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codeName="ThisWorkbook" defaultThemeVersion="124226"/>
  <bookViews>
    <workbookView xWindow="120" yWindow="75" windowWidth="19095" windowHeight="11760"/>
  </bookViews>
  <sheets>
    <sheet name="instruction" sheetId="13" r:id="rId1"/>
    <sheet name="Master Sheet"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sheetId="4" r:id="rId11"/>
    <sheet name="Double MarkSheet" sheetId="19" r:id="rId12"/>
    <sheet name="Marksheet After Supp. Result" sheetId="18" r:id="rId13"/>
  </sheets>
  <externalReferences>
    <externalReference r:id="rId14"/>
  </externalReferences>
  <definedNames>
    <definedName name="MKPIC">INDEX('Student DATA Entry'!#REF!,MATCH(MARKSHEET!$N$6,'Student DATA Entry'!$B$4:$B$203,0))</definedName>
    <definedName name="Pic">INDEX('Student DATA Entry'!#REF!,MATCH('Marksheet After Supp. Result'!$O$6,'Student DATA Entry'!$B$4:$B$203,0))</definedName>
    <definedName name="Picture">INDEX('Master Sheet'!$I$25,MATCH('Master Sheet'!$H$24,'Master Sheet'!$H$25,0))</definedName>
    <definedName name="_xlnm.Print_Area" localSheetId="11">'Double MarkSheet'!$B$1:$AF$28,'Double MarkSheet'!$B$30:$AF$57,'Double MarkSheet'!$B$59:$AF$86,'Double MarkSheet'!$B$88:$AF$115,'Double MarkSheet'!$B$117:$AF$144,'Double MarkSheet'!$AH$1:$AL$12</definedName>
    <definedName name="_xlnm.Print_Area" localSheetId="5">'Green sheet'!$A$1:$AG$221</definedName>
    <definedName name="_xlnm.Print_Area" localSheetId="10">MARKSHEET!$A$1:$T$26</definedName>
    <definedName name="_xlnm.Print_Area" localSheetId="12">'Marksheet After Supp. Result'!$A$1:$T$26</definedName>
    <definedName name="_xlnm.Print_Area" localSheetId="9">'Result Subject-wise'!$A$1:$T$217</definedName>
    <definedName name="_xlnm.Print_Area" localSheetId="4">'Statement of Marks'!$A$2:$HI$219</definedName>
    <definedName name="_xlnm.Print_Area" localSheetId="7">'Teacher &amp; Cat. Wise Result'!$A$1:$O$23,'Teacher &amp; Cat. Wise Result'!$A$25:$O$44</definedName>
    <definedName name="rolln">'Student DATA Entry'!$B$4:$B$203</definedName>
    <definedName name="section">#REF!</definedName>
    <definedName name="sub">OFFSET('Master Sheet'!$AC$4,,,COUNTIF('Master Sheet'!$AC$4:XFA63,"?*"))</definedName>
    <definedName name="Subject">'Master Sheet'!$AB$4:$AB$67</definedName>
    <definedName name="subject5">'Green sheet'!$AT$8:$AT$16</definedName>
  </definedNames>
  <calcPr calcId="124519"/>
</workbook>
</file>

<file path=xl/calcChain.xml><?xml version="1.0" encoding="utf-8"?>
<calcChain xmlns="http://schemas.openxmlformats.org/spreadsheetml/2006/main">
  <c r="AP15" i="18"/>
  <c r="AQ16" i="4"/>
  <c r="AQ15"/>
  <c r="DO7" i="9" l="1"/>
  <c r="DJ7"/>
  <c r="DN7"/>
  <c r="DR7" s="1"/>
  <c r="N6" i="4"/>
  <c r="O24"/>
  <c r="J24"/>
  <c r="Q23"/>
  <c r="G23"/>
  <c r="G18"/>
  <c r="F18"/>
  <c r="E18"/>
  <c r="D18"/>
  <c r="C18"/>
  <c r="O17"/>
  <c r="N17"/>
  <c r="L17"/>
  <c r="K17"/>
  <c r="I17"/>
  <c r="H17"/>
  <c r="G17"/>
  <c r="F17"/>
  <c r="E17"/>
  <c r="D17"/>
  <c r="C17"/>
  <c r="O16"/>
  <c r="N16"/>
  <c r="L16"/>
  <c r="K16"/>
  <c r="I16"/>
  <c r="H16"/>
  <c r="G16"/>
  <c r="F16"/>
  <c r="E16"/>
  <c r="D16"/>
  <c r="C16"/>
  <c r="O15"/>
  <c r="N15"/>
  <c r="K15"/>
  <c r="I15"/>
  <c r="G15"/>
  <c r="F15"/>
  <c r="E15"/>
  <c r="D15"/>
  <c r="C15"/>
  <c r="O14"/>
  <c r="N14"/>
  <c r="K14"/>
  <c r="I14"/>
  <c r="G14"/>
  <c r="F14"/>
  <c r="E14"/>
  <c r="D14"/>
  <c r="C14"/>
  <c r="AI18"/>
  <c r="AI17"/>
  <c r="AI16"/>
  <c r="M9"/>
  <c r="N8"/>
  <c r="N7"/>
  <c r="N5"/>
  <c r="P8"/>
  <c r="AG5" s="1"/>
  <c r="D8"/>
  <c r="D7"/>
  <c r="D6"/>
  <c r="J5"/>
  <c r="P5"/>
  <c r="P7"/>
  <c r="DJ9" i="9"/>
  <c r="DN9"/>
  <c r="DR9" s="1"/>
  <c r="DO9"/>
  <c r="DE10"/>
  <c r="DF10"/>
  <c r="DG10"/>
  <c r="DI10"/>
  <c r="DJ10"/>
  <c r="DM10"/>
  <c r="DN10"/>
  <c r="DR10" s="1"/>
  <c r="DO10"/>
  <c r="DE11"/>
  <c r="DF11"/>
  <c r="DG11"/>
  <c r="DI11"/>
  <c r="DJ11"/>
  <c r="DE12"/>
  <c r="DF12"/>
  <c r="DG12"/>
  <c r="DI12"/>
  <c r="DJ12"/>
  <c r="DE13"/>
  <c r="DF13"/>
  <c r="DG13"/>
  <c r="DI13"/>
  <c r="DJ13"/>
  <c r="DE14"/>
  <c r="DF14"/>
  <c r="DG14"/>
  <c r="DI14"/>
  <c r="DJ14"/>
  <c r="DM14"/>
  <c r="DN14"/>
  <c r="DR14" s="1"/>
  <c r="DO14"/>
  <c r="DE15"/>
  <c r="DF15"/>
  <c r="DG15"/>
  <c r="DI15"/>
  <c r="DJ15"/>
  <c r="DM15"/>
  <c r="DN15"/>
  <c r="DR15" s="1"/>
  <c r="DO15"/>
  <c r="DE16"/>
  <c r="DF16"/>
  <c r="DG16"/>
  <c r="DI16"/>
  <c r="DJ16"/>
  <c r="DM16"/>
  <c r="DN16"/>
  <c r="DR16" s="1"/>
  <c r="DO16"/>
  <c r="DE17"/>
  <c r="DF17"/>
  <c r="DG17"/>
  <c r="DI17"/>
  <c r="DJ17"/>
  <c r="DM17"/>
  <c r="DN17"/>
  <c r="DR17" s="1"/>
  <c r="DO17"/>
  <c r="DE18"/>
  <c r="DF18"/>
  <c r="DG18"/>
  <c r="DI18"/>
  <c r="DJ18"/>
  <c r="DM18"/>
  <c r="DN18"/>
  <c r="DR18" s="1"/>
  <c r="DO18"/>
  <c r="DE19"/>
  <c r="DF19"/>
  <c r="DG19"/>
  <c r="DI19"/>
  <c r="DJ19"/>
  <c r="DM19"/>
  <c r="DN19"/>
  <c r="DR19" s="1"/>
  <c r="DO19"/>
  <c r="DE20"/>
  <c r="DF20"/>
  <c r="DG20"/>
  <c r="DI20"/>
  <c r="DJ20"/>
  <c r="DM20"/>
  <c r="DN20"/>
  <c r="DR20" s="1"/>
  <c r="DO20"/>
  <c r="DE21"/>
  <c r="DF21"/>
  <c r="DG21"/>
  <c r="DI21"/>
  <c r="DJ21"/>
  <c r="DM21"/>
  <c r="DN21"/>
  <c r="DR21" s="1"/>
  <c r="DO21"/>
  <c r="DE22"/>
  <c r="DF22"/>
  <c r="DG22"/>
  <c r="DI22"/>
  <c r="DJ22"/>
  <c r="DM22"/>
  <c r="DN22"/>
  <c r="DR22" s="1"/>
  <c r="DO22"/>
  <c r="DE23"/>
  <c r="DF23"/>
  <c r="DG23"/>
  <c r="DI23"/>
  <c r="DJ23"/>
  <c r="DM23"/>
  <c r="DN23"/>
  <c r="DR23" s="1"/>
  <c r="DO23"/>
  <c r="DE24"/>
  <c r="DF24"/>
  <c r="DG24"/>
  <c r="DI24"/>
  <c r="DJ24"/>
  <c r="DM24"/>
  <c r="DN24"/>
  <c r="DR24" s="1"/>
  <c r="DO24"/>
  <c r="DE25"/>
  <c r="DF25"/>
  <c r="DG25"/>
  <c r="DI25"/>
  <c r="DJ25"/>
  <c r="DM25"/>
  <c r="DN25"/>
  <c r="DR25" s="1"/>
  <c r="DO25"/>
  <c r="DE26"/>
  <c r="DF26"/>
  <c r="DG26"/>
  <c r="DI26"/>
  <c r="DJ26"/>
  <c r="DM26"/>
  <c r="DN26"/>
  <c r="DR26" s="1"/>
  <c r="DO26"/>
  <c r="DE27"/>
  <c r="DF27"/>
  <c r="DG27"/>
  <c r="DI27"/>
  <c r="DJ27"/>
  <c r="DM27"/>
  <c r="DN27"/>
  <c r="DR27" s="1"/>
  <c r="DO27"/>
  <c r="DE28"/>
  <c r="DF28"/>
  <c r="DG28"/>
  <c r="DI28"/>
  <c r="DJ28"/>
  <c r="DM28"/>
  <c r="DN28"/>
  <c r="DR28" s="1"/>
  <c r="DO28"/>
  <c r="DE29"/>
  <c r="DF29"/>
  <c r="DG29"/>
  <c r="DI29"/>
  <c r="DJ29"/>
  <c r="DM29"/>
  <c r="DN29"/>
  <c r="DR29" s="1"/>
  <c r="DO29"/>
  <c r="DE30"/>
  <c r="DF30"/>
  <c r="DG30"/>
  <c r="DI30"/>
  <c r="DJ30"/>
  <c r="DM30"/>
  <c r="DN30"/>
  <c r="DR30" s="1"/>
  <c r="DO30"/>
  <c r="DE31"/>
  <c r="DF31"/>
  <c r="DG31"/>
  <c r="DI31"/>
  <c r="DJ31"/>
  <c r="DM31"/>
  <c r="DN31"/>
  <c r="DR31" s="1"/>
  <c r="DO31"/>
  <c r="DE32"/>
  <c r="DF32"/>
  <c r="DG32"/>
  <c r="DI32"/>
  <c r="DJ32"/>
  <c r="DM32"/>
  <c r="DN32"/>
  <c r="DR32" s="1"/>
  <c r="DO32"/>
  <c r="DE33"/>
  <c r="DF33"/>
  <c r="DG33"/>
  <c r="DI33"/>
  <c r="DJ33"/>
  <c r="DM33"/>
  <c r="DN33"/>
  <c r="DR33" s="1"/>
  <c r="DO33"/>
  <c r="DE34"/>
  <c r="DF34"/>
  <c r="DG34"/>
  <c r="DI34"/>
  <c r="DJ34"/>
  <c r="DM34"/>
  <c r="DN34"/>
  <c r="DR34" s="1"/>
  <c r="DO34"/>
  <c r="DE35"/>
  <c r="DF35"/>
  <c r="DG35"/>
  <c r="DI35"/>
  <c r="DJ35"/>
  <c r="DM35"/>
  <c r="DN35"/>
  <c r="DR35" s="1"/>
  <c r="DO35"/>
  <c r="DE36"/>
  <c r="DF36"/>
  <c r="DG36"/>
  <c r="DI36"/>
  <c r="DJ36"/>
  <c r="DM36"/>
  <c r="DN36"/>
  <c r="DR36" s="1"/>
  <c r="DO36"/>
  <c r="DE37"/>
  <c r="DF37"/>
  <c r="DG37"/>
  <c r="DI37"/>
  <c r="DJ37"/>
  <c r="DM37"/>
  <c r="DN37"/>
  <c r="DR37" s="1"/>
  <c r="DO37"/>
  <c r="DE38"/>
  <c r="DF38"/>
  <c r="DG38"/>
  <c r="DI38"/>
  <c r="DJ38"/>
  <c r="DM38"/>
  <c r="DN38"/>
  <c r="DR38" s="1"/>
  <c r="DO38"/>
  <c r="DE39"/>
  <c r="DF39"/>
  <c r="DG39"/>
  <c r="DI39"/>
  <c r="DJ39"/>
  <c r="DM39"/>
  <c r="DN39"/>
  <c r="DR39" s="1"/>
  <c r="DO39"/>
  <c r="DE40"/>
  <c r="DF40"/>
  <c r="DG40"/>
  <c r="DI40"/>
  <c r="DJ40"/>
  <c r="DM40"/>
  <c r="DN40"/>
  <c r="DR40" s="1"/>
  <c r="DO40"/>
  <c r="DE41"/>
  <c r="DF41"/>
  <c r="DG41"/>
  <c r="DI41"/>
  <c r="DJ41"/>
  <c r="DM41"/>
  <c r="DN41"/>
  <c r="DR41" s="1"/>
  <c r="DO41"/>
  <c r="DE42"/>
  <c r="DF42"/>
  <c r="DG42"/>
  <c r="DI42"/>
  <c r="DJ42"/>
  <c r="DM42"/>
  <c r="DN42"/>
  <c r="DR42" s="1"/>
  <c r="DO42"/>
  <c r="DE43"/>
  <c r="DF43"/>
  <c r="DG43"/>
  <c r="DI43"/>
  <c r="DJ43"/>
  <c r="DM43"/>
  <c r="DN43"/>
  <c r="DR43" s="1"/>
  <c r="DO43"/>
  <c r="DE44"/>
  <c r="DF44"/>
  <c r="DG44"/>
  <c r="DI44"/>
  <c r="DJ44"/>
  <c r="DM44"/>
  <c r="DN44"/>
  <c r="DR44" s="1"/>
  <c r="DO44"/>
  <c r="DE45"/>
  <c r="DF45"/>
  <c r="DG45"/>
  <c r="DI45"/>
  <c r="DJ45"/>
  <c r="DM45"/>
  <c r="DN45"/>
  <c r="DR45" s="1"/>
  <c r="DO45"/>
  <c r="DE46"/>
  <c r="DF46"/>
  <c r="DG46"/>
  <c r="DI46"/>
  <c r="DJ46"/>
  <c r="DM46"/>
  <c r="DN46"/>
  <c r="DR46" s="1"/>
  <c r="DO46"/>
  <c r="DE47"/>
  <c r="DF47"/>
  <c r="DG47"/>
  <c r="DI47"/>
  <c r="DJ47"/>
  <c r="DM47"/>
  <c r="DN47"/>
  <c r="DR47" s="1"/>
  <c r="DO47"/>
  <c r="DE48"/>
  <c r="DF48"/>
  <c r="DG48"/>
  <c r="DI48"/>
  <c r="DJ48"/>
  <c r="DM48"/>
  <c r="DN48"/>
  <c r="DR48" s="1"/>
  <c r="DO48"/>
  <c r="DE49"/>
  <c r="DF49"/>
  <c r="DG49"/>
  <c r="DI49"/>
  <c r="DJ49"/>
  <c r="DM49"/>
  <c r="DN49"/>
  <c r="DR49" s="1"/>
  <c r="DO49"/>
  <c r="DE50"/>
  <c r="DF50"/>
  <c r="DG50"/>
  <c r="DI50"/>
  <c r="DJ50"/>
  <c r="DM50"/>
  <c r="DN50"/>
  <c r="DR50" s="1"/>
  <c r="DO50"/>
  <c r="DE51"/>
  <c r="DF51"/>
  <c r="DG51"/>
  <c r="DI51"/>
  <c r="DJ51"/>
  <c r="DM51"/>
  <c r="DN51"/>
  <c r="DR51" s="1"/>
  <c r="DO51"/>
  <c r="DE52"/>
  <c r="DF52"/>
  <c r="DG52"/>
  <c r="DI52"/>
  <c r="DJ52"/>
  <c r="DM52"/>
  <c r="DN52"/>
  <c r="DR52" s="1"/>
  <c r="DO52"/>
  <c r="DE53"/>
  <c r="DF53"/>
  <c r="DG53"/>
  <c r="DI53"/>
  <c r="DJ53"/>
  <c r="DM53"/>
  <c r="DN53"/>
  <c r="DR53" s="1"/>
  <c r="DO53"/>
  <c r="DE54"/>
  <c r="DF54"/>
  <c r="DG54"/>
  <c r="DI54"/>
  <c r="DJ54"/>
  <c r="DM54"/>
  <c r="DN54"/>
  <c r="DR54" s="1"/>
  <c r="DO54"/>
  <c r="DE55"/>
  <c r="DF55"/>
  <c r="DG55"/>
  <c r="DI55"/>
  <c r="DJ55"/>
  <c r="DM55"/>
  <c r="DN55"/>
  <c r="DR55" s="1"/>
  <c r="DO55"/>
  <c r="DE56"/>
  <c r="DF56"/>
  <c r="DG56"/>
  <c r="DI56"/>
  <c r="DJ56"/>
  <c r="DM56"/>
  <c r="DN56"/>
  <c r="DR56" s="1"/>
  <c r="DO56"/>
  <c r="DE57"/>
  <c r="DF57"/>
  <c r="DG57"/>
  <c r="DI57"/>
  <c r="DJ57"/>
  <c r="DM57"/>
  <c r="DN57"/>
  <c r="DR57" s="1"/>
  <c r="DO57"/>
  <c r="DE58"/>
  <c r="DF58"/>
  <c r="DG58"/>
  <c r="DI58"/>
  <c r="DJ58"/>
  <c r="DM58"/>
  <c r="DN58"/>
  <c r="DR58" s="1"/>
  <c r="DO58"/>
  <c r="DE59"/>
  <c r="DF59"/>
  <c r="DG59"/>
  <c r="DI59"/>
  <c r="DJ59"/>
  <c r="DM59"/>
  <c r="DN59"/>
  <c r="DR59" s="1"/>
  <c r="DO59"/>
  <c r="DE60"/>
  <c r="DF60"/>
  <c r="DG60"/>
  <c r="DI60"/>
  <c r="DJ60"/>
  <c r="DM60"/>
  <c r="DN60"/>
  <c r="DR60" s="1"/>
  <c r="DO60"/>
  <c r="DE61"/>
  <c r="DF61"/>
  <c r="DG61"/>
  <c r="DI61"/>
  <c r="DJ61"/>
  <c r="DM61"/>
  <c r="DN61"/>
  <c r="DR61" s="1"/>
  <c r="DO61"/>
  <c r="DE62"/>
  <c r="DF62"/>
  <c r="DG62"/>
  <c r="DI62"/>
  <c r="DJ62"/>
  <c r="DM62"/>
  <c r="DN62"/>
  <c r="DR62" s="1"/>
  <c r="DO62"/>
  <c r="DE63"/>
  <c r="DF63"/>
  <c r="DG63"/>
  <c r="DI63"/>
  <c r="DJ63"/>
  <c r="DM63"/>
  <c r="DN63"/>
  <c r="DR63" s="1"/>
  <c r="DO63"/>
  <c r="DE64"/>
  <c r="DF64"/>
  <c r="DG64"/>
  <c r="DI64"/>
  <c r="DJ64"/>
  <c r="DM64"/>
  <c r="DN64"/>
  <c r="DR64" s="1"/>
  <c r="DO64"/>
  <c r="DE65"/>
  <c r="DF65"/>
  <c r="DG65"/>
  <c r="DI65"/>
  <c r="DJ65"/>
  <c r="DM65"/>
  <c r="DN65"/>
  <c r="DR65" s="1"/>
  <c r="DO65"/>
  <c r="DE66"/>
  <c r="DF66"/>
  <c r="DG66"/>
  <c r="DI66"/>
  <c r="DJ66"/>
  <c r="DM66"/>
  <c r="DN66"/>
  <c r="DR66" s="1"/>
  <c r="DO66"/>
  <c r="DE67"/>
  <c r="DF67"/>
  <c r="DG67"/>
  <c r="DI67"/>
  <c r="DJ67"/>
  <c r="DM67"/>
  <c r="DN67"/>
  <c r="DR67" s="1"/>
  <c r="DO67"/>
  <c r="DE68"/>
  <c r="DF68"/>
  <c r="DG68"/>
  <c r="DI68"/>
  <c r="DJ68"/>
  <c r="DM68"/>
  <c r="DN68"/>
  <c r="DR68" s="1"/>
  <c r="DO68"/>
  <c r="DE69"/>
  <c r="DF69"/>
  <c r="DG69"/>
  <c r="DI69"/>
  <c r="DJ69"/>
  <c r="DM69"/>
  <c r="DN69"/>
  <c r="DR69" s="1"/>
  <c r="DO69"/>
  <c r="DE70"/>
  <c r="DF70"/>
  <c r="DG70"/>
  <c r="DI70"/>
  <c r="DJ70"/>
  <c r="DM70"/>
  <c r="DN70"/>
  <c r="DR70" s="1"/>
  <c r="DO70"/>
  <c r="DE71"/>
  <c r="DF71"/>
  <c r="DG71"/>
  <c r="DI71"/>
  <c r="DJ71"/>
  <c r="DM71"/>
  <c r="DN71"/>
  <c r="DR71" s="1"/>
  <c r="DO71"/>
  <c r="DE72"/>
  <c r="DF72"/>
  <c r="DG72"/>
  <c r="DI72"/>
  <c r="DJ72"/>
  <c r="DM72"/>
  <c r="DN72"/>
  <c r="DR72" s="1"/>
  <c r="DO72"/>
  <c r="DE73"/>
  <c r="DF73"/>
  <c r="DG73"/>
  <c r="DI73"/>
  <c r="DJ73"/>
  <c r="DM73"/>
  <c r="DN73"/>
  <c r="DR73" s="1"/>
  <c r="DO73"/>
  <c r="DE74"/>
  <c r="DF74"/>
  <c r="DG74"/>
  <c r="DI74"/>
  <c r="DJ74"/>
  <c r="DM74"/>
  <c r="DN74"/>
  <c r="DR74" s="1"/>
  <c r="DO74"/>
  <c r="DE75"/>
  <c r="DF75"/>
  <c r="DG75"/>
  <c r="DI75"/>
  <c r="DJ75"/>
  <c r="DM75"/>
  <c r="DN75"/>
  <c r="DR75" s="1"/>
  <c r="DO75"/>
  <c r="DE76"/>
  <c r="DF76"/>
  <c r="DG76"/>
  <c r="DI76"/>
  <c r="DJ76"/>
  <c r="DM76"/>
  <c r="DN76"/>
  <c r="DR76" s="1"/>
  <c r="DO76"/>
  <c r="DE77"/>
  <c r="DF77"/>
  <c r="DG77"/>
  <c r="DI77"/>
  <c r="DJ77"/>
  <c r="DM77"/>
  <c r="DN77"/>
  <c r="DR77" s="1"/>
  <c r="DO77"/>
  <c r="DE78"/>
  <c r="DF78"/>
  <c r="DG78"/>
  <c r="DI78"/>
  <c r="DJ78"/>
  <c r="DM78"/>
  <c r="DN78"/>
  <c r="DR78" s="1"/>
  <c r="DO78"/>
  <c r="DE79"/>
  <c r="DF79"/>
  <c r="DG79"/>
  <c r="DI79"/>
  <c r="DJ79"/>
  <c r="DM79"/>
  <c r="DN79"/>
  <c r="DR79" s="1"/>
  <c r="DO79"/>
  <c r="DE80"/>
  <c r="DF80"/>
  <c r="DG80"/>
  <c r="DI80"/>
  <c r="DJ80"/>
  <c r="DM80"/>
  <c r="DN80"/>
  <c r="DR80" s="1"/>
  <c r="DO80"/>
  <c r="DE81"/>
  <c r="DF81"/>
  <c r="DG81"/>
  <c r="DI81"/>
  <c r="DJ81"/>
  <c r="DM81"/>
  <c r="DN81"/>
  <c r="DR81" s="1"/>
  <c r="DO81"/>
  <c r="DE82"/>
  <c r="DF82"/>
  <c r="DG82"/>
  <c r="DI82"/>
  <c r="DJ82"/>
  <c r="DM82"/>
  <c r="DN82"/>
  <c r="DR82" s="1"/>
  <c r="DO82"/>
  <c r="DE83"/>
  <c r="DF83"/>
  <c r="DG83"/>
  <c r="DI83"/>
  <c r="DJ83"/>
  <c r="DM83"/>
  <c r="DN83"/>
  <c r="DR83" s="1"/>
  <c r="DO83"/>
  <c r="DE84"/>
  <c r="DF84"/>
  <c r="DG84"/>
  <c r="DI84"/>
  <c r="DJ84"/>
  <c r="DM84"/>
  <c r="DN84"/>
  <c r="DR84" s="1"/>
  <c r="DO84"/>
  <c r="DE85"/>
  <c r="DF85"/>
  <c r="DG85"/>
  <c r="DI85"/>
  <c r="DJ85"/>
  <c r="DM85"/>
  <c r="DN85"/>
  <c r="DR85" s="1"/>
  <c r="DO85"/>
  <c r="DE86"/>
  <c r="DF86"/>
  <c r="DG86"/>
  <c r="DI86"/>
  <c r="DJ86"/>
  <c r="DM86"/>
  <c r="DN86"/>
  <c r="DR86" s="1"/>
  <c r="DO86"/>
  <c r="DE87"/>
  <c r="DF87"/>
  <c r="DG87"/>
  <c r="DI87"/>
  <c r="DJ87"/>
  <c r="DM87"/>
  <c r="DN87"/>
  <c r="DR87" s="1"/>
  <c r="DO87"/>
  <c r="DE88"/>
  <c r="DF88"/>
  <c r="DG88"/>
  <c r="DI88"/>
  <c r="DJ88"/>
  <c r="DM88"/>
  <c r="DN88"/>
  <c r="DR88" s="1"/>
  <c r="DO88"/>
  <c r="DE89"/>
  <c r="DF89"/>
  <c r="DG89"/>
  <c r="DI89"/>
  <c r="DJ89"/>
  <c r="DM89"/>
  <c r="DN89"/>
  <c r="DR89" s="1"/>
  <c r="DO89"/>
  <c r="DE90"/>
  <c r="DF90"/>
  <c r="DG90"/>
  <c r="DI90"/>
  <c r="DJ90"/>
  <c r="DM90"/>
  <c r="DN90"/>
  <c r="DR90" s="1"/>
  <c r="DO90"/>
  <c r="DE91"/>
  <c r="DF91"/>
  <c r="DG91"/>
  <c r="DI91"/>
  <c r="DJ91"/>
  <c r="DM91"/>
  <c r="DN91"/>
  <c r="DR91" s="1"/>
  <c r="DO91"/>
  <c r="DE92"/>
  <c r="DF92"/>
  <c r="DG92"/>
  <c r="DI92"/>
  <c r="DJ92"/>
  <c r="DM92"/>
  <c r="DN92"/>
  <c r="DR92" s="1"/>
  <c r="DO92"/>
  <c r="DE93"/>
  <c r="DF93"/>
  <c r="DG93"/>
  <c r="DI93"/>
  <c r="DJ93"/>
  <c r="DM93"/>
  <c r="DN93"/>
  <c r="DR93" s="1"/>
  <c r="DO93"/>
  <c r="DE94"/>
  <c r="DF94"/>
  <c r="DG94"/>
  <c r="DI94"/>
  <c r="DJ94"/>
  <c r="DM94"/>
  <c r="DN94"/>
  <c r="DR94" s="1"/>
  <c r="DO94"/>
  <c r="DE95"/>
  <c r="DF95"/>
  <c r="DG95"/>
  <c r="DI95"/>
  <c r="DJ95"/>
  <c r="DM95"/>
  <c r="DN95"/>
  <c r="DR95" s="1"/>
  <c r="DO95"/>
  <c r="DE96"/>
  <c r="DF96"/>
  <c r="DG96"/>
  <c r="DI96"/>
  <c r="DJ96"/>
  <c r="DM96"/>
  <c r="DN96"/>
  <c r="DR96" s="1"/>
  <c r="DO96"/>
  <c r="DE97"/>
  <c r="DF97"/>
  <c r="DG97"/>
  <c r="DI97"/>
  <c r="DJ97"/>
  <c r="DM97"/>
  <c r="DN97"/>
  <c r="DR97" s="1"/>
  <c r="DO97"/>
  <c r="DE98"/>
  <c r="DF98"/>
  <c r="DG98"/>
  <c r="DI98"/>
  <c r="DJ98"/>
  <c r="DM98"/>
  <c r="DN98"/>
  <c r="DR98" s="1"/>
  <c r="DO98"/>
  <c r="DE99"/>
  <c r="DF99"/>
  <c r="DG99"/>
  <c r="DI99"/>
  <c r="DJ99"/>
  <c r="DM99"/>
  <c r="DN99"/>
  <c r="DR99" s="1"/>
  <c r="DO99"/>
  <c r="DE100"/>
  <c r="DF100"/>
  <c r="DG100"/>
  <c r="DI100"/>
  <c r="DJ100"/>
  <c r="DM100"/>
  <c r="DN100"/>
  <c r="DR100" s="1"/>
  <c r="DO100"/>
  <c r="DE101"/>
  <c r="DF101"/>
  <c r="DG101"/>
  <c r="DI101"/>
  <c r="DJ101"/>
  <c r="DM101"/>
  <c r="DN101"/>
  <c r="DR101" s="1"/>
  <c r="DO101"/>
  <c r="DE102"/>
  <c r="DF102"/>
  <c r="DG102"/>
  <c r="DI102"/>
  <c r="DJ102"/>
  <c r="DM102"/>
  <c r="DN102"/>
  <c r="DR102" s="1"/>
  <c r="DO102"/>
  <c r="DE103"/>
  <c r="DF103"/>
  <c r="DG103"/>
  <c r="DI103"/>
  <c r="DJ103"/>
  <c r="DM103"/>
  <c r="DN103"/>
  <c r="DR103" s="1"/>
  <c r="DO103"/>
  <c r="DE104"/>
  <c r="DF104"/>
  <c r="DG104"/>
  <c r="DI104"/>
  <c r="DJ104"/>
  <c r="DM104"/>
  <c r="DN104"/>
  <c r="DR104" s="1"/>
  <c r="DO104"/>
  <c r="DE105"/>
  <c r="DF105"/>
  <c r="DG105"/>
  <c r="DI105"/>
  <c r="DJ105"/>
  <c r="DM105"/>
  <c r="DN105"/>
  <c r="DR105" s="1"/>
  <c r="DO105"/>
  <c r="DE106"/>
  <c r="DF106"/>
  <c r="DG106"/>
  <c r="DI106"/>
  <c r="DJ106"/>
  <c r="DM106"/>
  <c r="DN106"/>
  <c r="DR106" s="1"/>
  <c r="DO106"/>
  <c r="DE107"/>
  <c r="DF107"/>
  <c r="DG107"/>
  <c r="DI107"/>
  <c r="DJ107"/>
  <c r="DM107"/>
  <c r="DN107"/>
  <c r="DR107" s="1"/>
  <c r="DO107"/>
  <c r="DE108"/>
  <c r="DF108"/>
  <c r="DG108"/>
  <c r="DI108"/>
  <c r="DJ108"/>
  <c r="DM108"/>
  <c r="DN108"/>
  <c r="DR108" s="1"/>
  <c r="DO108"/>
  <c r="DE109"/>
  <c r="DF109"/>
  <c r="DG109"/>
  <c r="DI109"/>
  <c r="DJ109"/>
  <c r="DM109"/>
  <c r="DN109"/>
  <c r="DR109" s="1"/>
  <c r="DO109"/>
  <c r="DE110"/>
  <c r="DF110"/>
  <c r="DG110"/>
  <c r="DI110"/>
  <c r="DJ110"/>
  <c r="DM110"/>
  <c r="DN110"/>
  <c r="DR110" s="1"/>
  <c r="DO110"/>
  <c r="DE111"/>
  <c r="DF111"/>
  <c r="DG111"/>
  <c r="DI111"/>
  <c r="DJ111"/>
  <c r="DM111"/>
  <c r="DN111"/>
  <c r="DR111" s="1"/>
  <c r="DO111"/>
  <c r="DE112"/>
  <c r="DF112"/>
  <c r="DG112"/>
  <c r="DI112"/>
  <c r="DJ112"/>
  <c r="DM112"/>
  <c r="DN112"/>
  <c r="DR112" s="1"/>
  <c r="DO112"/>
  <c r="DE113"/>
  <c r="DF113"/>
  <c r="DG113"/>
  <c r="DI113"/>
  <c r="DJ113"/>
  <c r="DM113"/>
  <c r="DN113"/>
  <c r="DR113" s="1"/>
  <c r="DO113"/>
  <c r="DE114"/>
  <c r="DF114"/>
  <c r="DG114"/>
  <c r="DI114"/>
  <c r="DJ114"/>
  <c r="DM114"/>
  <c r="DN114"/>
  <c r="DR114" s="1"/>
  <c r="DO114"/>
  <c r="DE115"/>
  <c r="DF115"/>
  <c r="DG115"/>
  <c r="DI115"/>
  <c r="DJ115"/>
  <c r="DM115"/>
  <c r="DN115"/>
  <c r="DR115" s="1"/>
  <c r="DO115"/>
  <c r="DE116"/>
  <c r="DF116"/>
  <c r="DG116"/>
  <c r="DI116"/>
  <c r="DJ116"/>
  <c r="DM116"/>
  <c r="DN116"/>
  <c r="DR116" s="1"/>
  <c r="DO116"/>
  <c r="DE117"/>
  <c r="DF117"/>
  <c r="DG117"/>
  <c r="DI117"/>
  <c r="DJ117"/>
  <c r="DM117"/>
  <c r="DN117"/>
  <c r="DR117" s="1"/>
  <c r="DO117"/>
  <c r="DE118"/>
  <c r="DF118"/>
  <c r="DG118"/>
  <c r="DI118"/>
  <c r="DJ118"/>
  <c r="DM118"/>
  <c r="DN118"/>
  <c r="DR118" s="1"/>
  <c r="DO118"/>
  <c r="DE119"/>
  <c r="DF119"/>
  <c r="DG119"/>
  <c r="DI119"/>
  <c r="DJ119"/>
  <c r="DM119"/>
  <c r="DN119"/>
  <c r="DR119" s="1"/>
  <c r="DO119"/>
  <c r="DE120"/>
  <c r="DF120"/>
  <c r="DG120"/>
  <c r="DI120"/>
  <c r="DJ120"/>
  <c r="DM120"/>
  <c r="DN120"/>
  <c r="DR120" s="1"/>
  <c r="DO120"/>
  <c r="DE121"/>
  <c r="DF121"/>
  <c r="DG121"/>
  <c r="DI121"/>
  <c r="DJ121"/>
  <c r="DM121"/>
  <c r="DN121"/>
  <c r="DR121" s="1"/>
  <c r="DO121"/>
  <c r="DE122"/>
  <c r="DF122"/>
  <c r="DG122"/>
  <c r="DI122"/>
  <c r="DJ122"/>
  <c r="DM122"/>
  <c r="DN122"/>
  <c r="DR122" s="1"/>
  <c r="DO122"/>
  <c r="DE123"/>
  <c r="DF123"/>
  <c r="DG123"/>
  <c r="DI123"/>
  <c r="DJ123"/>
  <c r="DM123"/>
  <c r="DN123"/>
  <c r="DR123" s="1"/>
  <c r="DO123"/>
  <c r="DE124"/>
  <c r="DF124"/>
  <c r="DG124"/>
  <c r="DI124"/>
  <c r="DJ124"/>
  <c r="DM124"/>
  <c r="DN124"/>
  <c r="DR124" s="1"/>
  <c r="DO124"/>
  <c r="DE125"/>
  <c r="DF125"/>
  <c r="DG125"/>
  <c r="DI125"/>
  <c r="DJ125"/>
  <c r="DM125"/>
  <c r="DN125"/>
  <c r="DR125" s="1"/>
  <c r="DO125"/>
  <c r="DE126"/>
  <c r="DF126"/>
  <c r="DG126"/>
  <c r="DI126"/>
  <c r="DJ126"/>
  <c r="DM126"/>
  <c r="DN126"/>
  <c r="DR126" s="1"/>
  <c r="DO126"/>
  <c r="DE127"/>
  <c r="DF127"/>
  <c r="DG127"/>
  <c r="DI127"/>
  <c r="DJ127"/>
  <c r="DM127"/>
  <c r="DN127"/>
  <c r="DR127" s="1"/>
  <c r="DO127"/>
  <c r="DE128"/>
  <c r="DF128"/>
  <c r="DG128"/>
  <c r="DI128"/>
  <c r="DJ128"/>
  <c r="DM128"/>
  <c r="DN128"/>
  <c r="DR128" s="1"/>
  <c r="DO128"/>
  <c r="DE129"/>
  <c r="DF129"/>
  <c r="DG129"/>
  <c r="DI129"/>
  <c r="DJ129"/>
  <c r="DM129"/>
  <c r="DN129"/>
  <c r="DR129" s="1"/>
  <c r="DO129"/>
  <c r="DE130"/>
  <c r="DF130"/>
  <c r="DG130"/>
  <c r="DI130"/>
  <c r="DJ130"/>
  <c r="DM130"/>
  <c r="DN130"/>
  <c r="DR130" s="1"/>
  <c r="DO130"/>
  <c r="DE131"/>
  <c r="DF131"/>
  <c r="DG131"/>
  <c r="DI131"/>
  <c r="DJ131"/>
  <c r="DM131"/>
  <c r="DN131"/>
  <c r="DR131" s="1"/>
  <c r="DO131"/>
  <c r="DE132"/>
  <c r="DF132"/>
  <c r="DG132"/>
  <c r="DI132"/>
  <c r="DJ132"/>
  <c r="DM132"/>
  <c r="DN132"/>
  <c r="DR132" s="1"/>
  <c r="DO132"/>
  <c r="DE133"/>
  <c r="DF133"/>
  <c r="DG133"/>
  <c r="DI133"/>
  <c r="DJ133"/>
  <c r="DM133"/>
  <c r="DN133"/>
  <c r="DR133" s="1"/>
  <c r="DO133"/>
  <c r="DE134"/>
  <c r="DF134"/>
  <c r="DG134"/>
  <c r="DI134"/>
  <c r="DJ134"/>
  <c r="DM134"/>
  <c r="DN134"/>
  <c r="DR134" s="1"/>
  <c r="DO134"/>
  <c r="DE135"/>
  <c r="DF135"/>
  <c r="DG135"/>
  <c r="DI135"/>
  <c r="DJ135"/>
  <c r="DM135"/>
  <c r="DN135"/>
  <c r="DR135" s="1"/>
  <c r="DO135"/>
  <c r="DE136"/>
  <c r="DF136"/>
  <c r="DG136"/>
  <c r="DI136"/>
  <c r="DJ136"/>
  <c r="DM136"/>
  <c r="DN136"/>
  <c r="DR136" s="1"/>
  <c r="DO136"/>
  <c r="DE137"/>
  <c r="DF137"/>
  <c r="DG137"/>
  <c r="DI137"/>
  <c r="DJ137"/>
  <c r="DM137"/>
  <c r="DN137"/>
  <c r="DR137" s="1"/>
  <c r="DO137"/>
  <c r="DE138"/>
  <c r="DF138"/>
  <c r="DG138"/>
  <c r="DI138"/>
  <c r="DJ138"/>
  <c r="DM138"/>
  <c r="DN138"/>
  <c r="DR138" s="1"/>
  <c r="DO138"/>
  <c r="DE139"/>
  <c r="DF139"/>
  <c r="DG139"/>
  <c r="DI139"/>
  <c r="DJ139"/>
  <c r="DM139"/>
  <c r="DN139"/>
  <c r="DR139" s="1"/>
  <c r="DO139"/>
  <c r="DE140"/>
  <c r="DF140"/>
  <c r="DG140"/>
  <c r="DI140"/>
  <c r="DJ140"/>
  <c r="DM140"/>
  <c r="DN140"/>
  <c r="DR140" s="1"/>
  <c r="DO140"/>
  <c r="DE141"/>
  <c r="DF141"/>
  <c r="DG141"/>
  <c r="DI141"/>
  <c r="DJ141"/>
  <c r="DM141"/>
  <c r="DN141"/>
  <c r="DR141" s="1"/>
  <c r="DO141"/>
  <c r="DE142"/>
  <c r="DF142"/>
  <c r="DG142"/>
  <c r="DI142"/>
  <c r="DJ142"/>
  <c r="DM142"/>
  <c r="DN142"/>
  <c r="DR142" s="1"/>
  <c r="DO142"/>
  <c r="DE143"/>
  <c r="DF143"/>
  <c r="DG143"/>
  <c r="DI143"/>
  <c r="DJ143"/>
  <c r="DM143"/>
  <c r="DN143"/>
  <c r="DR143" s="1"/>
  <c r="DO143"/>
  <c r="DE144"/>
  <c r="DF144"/>
  <c r="DG144"/>
  <c r="DI144"/>
  <c r="DJ144"/>
  <c r="DM144"/>
  <c r="DN144"/>
  <c r="DR144" s="1"/>
  <c r="DO144"/>
  <c r="DE145"/>
  <c r="DF145"/>
  <c r="DG145"/>
  <c r="DI145"/>
  <c r="DJ145"/>
  <c r="DM145"/>
  <c r="DN145"/>
  <c r="DR145" s="1"/>
  <c r="DO145"/>
  <c r="DE146"/>
  <c r="DF146"/>
  <c r="DG146"/>
  <c r="DI146"/>
  <c r="DJ146"/>
  <c r="DM146"/>
  <c r="DN146"/>
  <c r="DR146" s="1"/>
  <c r="DO146"/>
  <c r="DE147"/>
  <c r="DF147"/>
  <c r="DG147"/>
  <c r="DI147"/>
  <c r="DJ147"/>
  <c r="DM147"/>
  <c r="DN147"/>
  <c r="DR147" s="1"/>
  <c r="DO147"/>
  <c r="DE148"/>
  <c r="DF148"/>
  <c r="DG148"/>
  <c r="DI148"/>
  <c r="DJ148"/>
  <c r="DM148"/>
  <c r="DN148"/>
  <c r="DR148" s="1"/>
  <c r="DO148"/>
  <c r="DE149"/>
  <c r="DF149"/>
  <c r="DG149"/>
  <c r="DI149"/>
  <c r="DJ149"/>
  <c r="DM149"/>
  <c r="DN149"/>
  <c r="DR149" s="1"/>
  <c r="DO149"/>
  <c r="DE150"/>
  <c r="DF150"/>
  <c r="DG150"/>
  <c r="DI150"/>
  <c r="DJ150"/>
  <c r="DM150"/>
  <c r="DN150"/>
  <c r="DR150" s="1"/>
  <c r="DO150"/>
  <c r="DE151"/>
  <c r="DF151"/>
  <c r="DG151"/>
  <c r="DI151"/>
  <c r="DJ151"/>
  <c r="DM151"/>
  <c r="DN151"/>
  <c r="DR151" s="1"/>
  <c r="DO151"/>
  <c r="DE152"/>
  <c r="DF152"/>
  <c r="DG152"/>
  <c r="DI152"/>
  <c r="DJ152"/>
  <c r="DM152"/>
  <c r="DN152"/>
  <c r="DR152" s="1"/>
  <c r="DO152"/>
  <c r="DE153"/>
  <c r="DF153"/>
  <c r="DG153"/>
  <c r="DI153"/>
  <c r="DJ153"/>
  <c r="DM153"/>
  <c r="DN153"/>
  <c r="DR153" s="1"/>
  <c r="DO153"/>
  <c r="DE154"/>
  <c r="DF154"/>
  <c r="DG154"/>
  <c r="DI154"/>
  <c r="DJ154"/>
  <c r="DM154"/>
  <c r="DN154"/>
  <c r="DR154" s="1"/>
  <c r="DO154"/>
  <c r="DE155"/>
  <c r="DF155"/>
  <c r="DG155"/>
  <c r="DI155"/>
  <c r="DJ155"/>
  <c r="DM155"/>
  <c r="DN155"/>
  <c r="DR155" s="1"/>
  <c r="DO155"/>
  <c r="DE156"/>
  <c r="DF156"/>
  <c r="DG156"/>
  <c r="DI156"/>
  <c r="DJ156"/>
  <c r="DM156"/>
  <c r="DN156"/>
  <c r="DR156" s="1"/>
  <c r="DO156"/>
  <c r="DE157"/>
  <c r="DF157"/>
  <c r="DG157"/>
  <c r="DI157"/>
  <c r="DJ157"/>
  <c r="DM157"/>
  <c r="DN157"/>
  <c r="DR157" s="1"/>
  <c r="DO157"/>
  <c r="DE158"/>
  <c r="DF158"/>
  <c r="DG158"/>
  <c r="DI158"/>
  <c r="DJ158"/>
  <c r="DM158"/>
  <c r="DN158"/>
  <c r="DR158" s="1"/>
  <c r="DO158"/>
  <c r="DE159"/>
  <c r="DF159"/>
  <c r="DG159"/>
  <c r="DI159"/>
  <c r="DJ159"/>
  <c r="DM159"/>
  <c r="DN159"/>
  <c r="DR159" s="1"/>
  <c r="DO159"/>
  <c r="DE160"/>
  <c r="DF160"/>
  <c r="DG160"/>
  <c r="DI160"/>
  <c r="DJ160"/>
  <c r="DM160"/>
  <c r="DN160"/>
  <c r="DR160" s="1"/>
  <c r="DO160"/>
  <c r="DE161"/>
  <c r="DF161"/>
  <c r="DG161"/>
  <c r="DI161"/>
  <c r="DJ161"/>
  <c r="DM161"/>
  <c r="DN161"/>
  <c r="DR161" s="1"/>
  <c r="DO161"/>
  <c r="DE162"/>
  <c r="DF162"/>
  <c r="DG162"/>
  <c r="DI162"/>
  <c r="DJ162"/>
  <c r="DM162"/>
  <c r="DN162"/>
  <c r="DR162" s="1"/>
  <c r="DO162"/>
  <c r="DE163"/>
  <c r="DF163"/>
  <c r="DG163"/>
  <c r="DI163"/>
  <c r="DJ163"/>
  <c r="DM163"/>
  <c r="DN163"/>
  <c r="DR163" s="1"/>
  <c r="DO163"/>
  <c r="DE164"/>
  <c r="DF164"/>
  <c r="DG164"/>
  <c r="DI164"/>
  <c r="DJ164"/>
  <c r="DM164"/>
  <c r="DN164"/>
  <c r="DR164" s="1"/>
  <c r="DO164"/>
  <c r="DE165"/>
  <c r="DF165"/>
  <c r="DG165"/>
  <c r="DI165"/>
  <c r="DJ165"/>
  <c r="DM165"/>
  <c r="DN165"/>
  <c r="DR165" s="1"/>
  <c r="DO165"/>
  <c r="DE166"/>
  <c r="DF166"/>
  <c r="DG166"/>
  <c r="DI166"/>
  <c r="DJ166"/>
  <c r="DM166"/>
  <c r="DN166"/>
  <c r="DR166" s="1"/>
  <c r="DO166"/>
  <c r="DE167"/>
  <c r="DF167"/>
  <c r="DG167"/>
  <c r="DI167"/>
  <c r="DJ167"/>
  <c r="DM167"/>
  <c r="DN167"/>
  <c r="DR167" s="1"/>
  <c r="DO167"/>
  <c r="DE168"/>
  <c r="DF168"/>
  <c r="DG168"/>
  <c r="DI168"/>
  <c r="DJ168"/>
  <c r="DM168"/>
  <c r="DN168"/>
  <c r="DR168" s="1"/>
  <c r="DO168"/>
  <c r="DE169"/>
  <c r="DF169"/>
  <c r="DG169"/>
  <c r="DI169"/>
  <c r="DJ169"/>
  <c r="DM169"/>
  <c r="DN169"/>
  <c r="DR169" s="1"/>
  <c r="DO169"/>
  <c r="DE170"/>
  <c r="DF170"/>
  <c r="DG170"/>
  <c r="DI170"/>
  <c r="DJ170"/>
  <c r="DM170"/>
  <c r="DN170"/>
  <c r="DR170" s="1"/>
  <c r="DO170"/>
  <c r="DE171"/>
  <c r="DF171"/>
  <c r="DG171"/>
  <c r="DI171"/>
  <c r="DJ171"/>
  <c r="DM171"/>
  <c r="DN171"/>
  <c r="DR171" s="1"/>
  <c r="DO171"/>
  <c r="DE172"/>
  <c r="DF172"/>
  <c r="DG172"/>
  <c r="DI172"/>
  <c r="DJ172"/>
  <c r="DM172"/>
  <c r="DN172"/>
  <c r="DR172" s="1"/>
  <c r="DO172"/>
  <c r="DE173"/>
  <c r="DF173"/>
  <c r="DG173"/>
  <c r="DI173"/>
  <c r="DJ173"/>
  <c r="DM173"/>
  <c r="DN173"/>
  <c r="DR173" s="1"/>
  <c r="DO173"/>
  <c r="DE174"/>
  <c r="DF174"/>
  <c r="DG174"/>
  <c r="DI174"/>
  <c r="DJ174"/>
  <c r="DM174"/>
  <c r="DN174"/>
  <c r="DR174" s="1"/>
  <c r="DO174"/>
  <c r="DE175"/>
  <c r="DF175"/>
  <c r="DG175"/>
  <c r="DI175"/>
  <c r="DJ175"/>
  <c r="DM175"/>
  <c r="DN175"/>
  <c r="DR175" s="1"/>
  <c r="DO175"/>
  <c r="DE176"/>
  <c r="DF176"/>
  <c r="DG176"/>
  <c r="DI176"/>
  <c r="DJ176"/>
  <c r="DM176"/>
  <c r="DN176"/>
  <c r="DR176" s="1"/>
  <c r="DO176"/>
  <c r="DE177"/>
  <c r="DF177"/>
  <c r="DG177"/>
  <c r="DI177"/>
  <c r="DJ177"/>
  <c r="DM177"/>
  <c r="DN177"/>
  <c r="DR177" s="1"/>
  <c r="DO177"/>
  <c r="DE178"/>
  <c r="DF178"/>
  <c r="DG178"/>
  <c r="DI178"/>
  <c r="DJ178"/>
  <c r="DM178"/>
  <c r="DN178"/>
  <c r="DR178" s="1"/>
  <c r="DO178"/>
  <c r="DE179"/>
  <c r="DF179"/>
  <c r="DG179"/>
  <c r="DI179"/>
  <c r="DJ179"/>
  <c r="DM179"/>
  <c r="DN179"/>
  <c r="DR179" s="1"/>
  <c r="DO179"/>
  <c r="DE180"/>
  <c r="DF180"/>
  <c r="DG180"/>
  <c r="DI180"/>
  <c r="DJ180"/>
  <c r="DM180"/>
  <c r="DN180"/>
  <c r="DR180" s="1"/>
  <c r="DO180"/>
  <c r="DE181"/>
  <c r="DF181"/>
  <c r="DG181"/>
  <c r="DI181"/>
  <c r="DJ181"/>
  <c r="DM181"/>
  <c r="DN181"/>
  <c r="DR181" s="1"/>
  <c r="DO181"/>
  <c r="DE182"/>
  <c r="DF182"/>
  <c r="DG182"/>
  <c r="DI182"/>
  <c r="DJ182"/>
  <c r="DM182"/>
  <c r="DN182"/>
  <c r="DR182" s="1"/>
  <c r="DO182"/>
  <c r="DE183"/>
  <c r="DF183"/>
  <c r="DG183"/>
  <c r="DI183"/>
  <c r="DJ183"/>
  <c r="DM183"/>
  <c r="DN183"/>
  <c r="DR183" s="1"/>
  <c r="DO183"/>
  <c r="DE184"/>
  <c r="DF184"/>
  <c r="DG184"/>
  <c r="DI184"/>
  <c r="DJ184"/>
  <c r="DM184"/>
  <c r="DN184"/>
  <c r="DR184" s="1"/>
  <c r="DO184"/>
  <c r="DE185"/>
  <c r="DF185"/>
  <c r="DG185"/>
  <c r="DI185"/>
  <c r="DJ185"/>
  <c r="DM185"/>
  <c r="DN185"/>
  <c r="DR185" s="1"/>
  <c r="DO185"/>
  <c r="DE186"/>
  <c r="DF186"/>
  <c r="DG186"/>
  <c r="DI186"/>
  <c r="DJ186"/>
  <c r="DM186"/>
  <c r="DN186"/>
  <c r="DR186" s="1"/>
  <c r="DO186"/>
  <c r="DE187"/>
  <c r="DF187"/>
  <c r="DG187"/>
  <c r="DI187"/>
  <c r="DJ187"/>
  <c r="DM187"/>
  <c r="DN187"/>
  <c r="DR187" s="1"/>
  <c r="DO187"/>
  <c r="DE188"/>
  <c r="DF188"/>
  <c r="DG188"/>
  <c r="DI188"/>
  <c r="DJ188"/>
  <c r="DM188"/>
  <c r="DN188"/>
  <c r="DR188" s="1"/>
  <c r="DO188"/>
  <c r="DE189"/>
  <c r="DF189"/>
  <c r="DG189"/>
  <c r="DI189"/>
  <c r="DJ189"/>
  <c r="DM189"/>
  <c r="DN189"/>
  <c r="DR189" s="1"/>
  <c r="DO189"/>
  <c r="DE190"/>
  <c r="DF190"/>
  <c r="DG190"/>
  <c r="DI190"/>
  <c r="DJ190"/>
  <c r="DM190"/>
  <c r="DN190"/>
  <c r="DR190" s="1"/>
  <c r="DO190"/>
  <c r="DE191"/>
  <c r="DF191"/>
  <c r="DG191"/>
  <c r="DI191"/>
  <c r="DJ191"/>
  <c r="DM191"/>
  <c r="DN191"/>
  <c r="DR191" s="1"/>
  <c r="DO191"/>
  <c r="DE192"/>
  <c r="DF192"/>
  <c r="DG192"/>
  <c r="DI192"/>
  <c r="DJ192"/>
  <c r="DM192"/>
  <c r="DN192"/>
  <c r="DR192" s="1"/>
  <c r="DO192"/>
  <c r="DE193"/>
  <c r="DF193"/>
  <c r="DG193"/>
  <c r="DI193"/>
  <c r="DJ193"/>
  <c r="DM193"/>
  <c r="DN193"/>
  <c r="DR193" s="1"/>
  <c r="DO193"/>
  <c r="DE194"/>
  <c r="DF194"/>
  <c r="DG194"/>
  <c r="DI194"/>
  <c r="DJ194"/>
  <c r="DM194"/>
  <c r="DN194"/>
  <c r="DR194" s="1"/>
  <c r="DO194"/>
  <c r="DE195"/>
  <c r="DF195"/>
  <c r="DG195"/>
  <c r="DI195"/>
  <c r="DJ195"/>
  <c r="DM195"/>
  <c r="DN195"/>
  <c r="DR195" s="1"/>
  <c r="DO195"/>
  <c r="DE196"/>
  <c r="DF196"/>
  <c r="DG196"/>
  <c r="DI196"/>
  <c r="DJ196"/>
  <c r="DM196"/>
  <c r="DN196"/>
  <c r="DR196" s="1"/>
  <c r="DO196"/>
  <c r="DE197"/>
  <c r="DF197"/>
  <c r="DG197"/>
  <c r="DI197"/>
  <c r="DJ197"/>
  <c r="DM197"/>
  <c r="DN197"/>
  <c r="DR197" s="1"/>
  <c r="DO197"/>
  <c r="DE198"/>
  <c r="DF198"/>
  <c r="DG198"/>
  <c r="DI198"/>
  <c r="DJ198"/>
  <c r="DM198"/>
  <c r="DN198"/>
  <c r="DR198" s="1"/>
  <c r="DO198"/>
  <c r="DE199"/>
  <c r="DF199"/>
  <c r="DG199"/>
  <c r="DI199"/>
  <c r="DJ199"/>
  <c r="DM199"/>
  <c r="DN199"/>
  <c r="DR199" s="1"/>
  <c r="DO199"/>
  <c r="DE200"/>
  <c r="DF200"/>
  <c r="DG200"/>
  <c r="DI200"/>
  <c r="DJ200"/>
  <c r="DM200"/>
  <c r="DN200"/>
  <c r="DR200" s="1"/>
  <c r="DO200"/>
  <c r="DE201"/>
  <c r="DF201"/>
  <c r="DG201"/>
  <c r="DI201"/>
  <c r="DJ201"/>
  <c r="DM201"/>
  <c r="DN201"/>
  <c r="DR201" s="1"/>
  <c r="DO201"/>
  <c r="DE202"/>
  <c r="DF202"/>
  <c r="DG202"/>
  <c r="DI202"/>
  <c r="DJ202"/>
  <c r="DM202"/>
  <c r="DN202"/>
  <c r="DR202" s="1"/>
  <c r="DO202"/>
  <c r="DE203"/>
  <c r="DF203"/>
  <c r="DG203"/>
  <c r="DI203"/>
  <c r="DJ203"/>
  <c r="DM203"/>
  <c r="DN203"/>
  <c r="DR203" s="1"/>
  <c r="DO203"/>
  <c r="DE204"/>
  <c r="DF204"/>
  <c r="DG204"/>
  <c r="DI204"/>
  <c r="DJ204"/>
  <c r="DM204"/>
  <c r="DN204"/>
  <c r="DR204" s="1"/>
  <c r="DO204"/>
  <c r="DE205"/>
  <c r="DF205"/>
  <c r="DG205"/>
  <c r="DI205"/>
  <c r="DJ205"/>
  <c r="DM205"/>
  <c r="DN205"/>
  <c r="DR205" s="1"/>
  <c r="DO205"/>
  <c r="DE206"/>
  <c r="DF206"/>
  <c r="DG206"/>
  <c r="DI206"/>
  <c r="DJ206"/>
  <c r="DM206"/>
  <c r="DN206"/>
  <c r="DR206" s="1"/>
  <c r="DO206"/>
  <c r="DE207"/>
  <c r="DF207"/>
  <c r="DG207"/>
  <c r="DI207"/>
  <c r="DJ207"/>
  <c r="DM207"/>
  <c r="DN207"/>
  <c r="DR207" s="1"/>
  <c r="DO207"/>
  <c r="DO8"/>
  <c r="DN8"/>
  <c r="DM8"/>
  <c r="DJ8"/>
  <c r="DI8"/>
  <c r="DG8"/>
  <c r="DF8"/>
  <c r="DE8"/>
  <c r="DD10"/>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DD49"/>
  <c r="DD50"/>
  <c r="DD51"/>
  <c r="DD52"/>
  <c r="DD53"/>
  <c r="DD54"/>
  <c r="DD55"/>
  <c r="DD56"/>
  <c r="DD57"/>
  <c r="DD58"/>
  <c r="DD59"/>
  <c r="DD60"/>
  <c r="DD61"/>
  <c r="DD62"/>
  <c r="DD63"/>
  <c r="DD64"/>
  <c r="DD65"/>
  <c r="DD66"/>
  <c r="DD67"/>
  <c r="DD68"/>
  <c r="DD69"/>
  <c r="DD70"/>
  <c r="DD71"/>
  <c r="DD72"/>
  <c r="DD73"/>
  <c r="DD74"/>
  <c r="DD75"/>
  <c r="DD76"/>
  <c r="DD77"/>
  <c r="DD78"/>
  <c r="DD79"/>
  <c r="DD80"/>
  <c r="DD81"/>
  <c r="DD82"/>
  <c r="DD83"/>
  <c r="DD84"/>
  <c r="DD85"/>
  <c r="DD86"/>
  <c r="DD87"/>
  <c r="DD88"/>
  <c r="DD89"/>
  <c r="DD90"/>
  <c r="DD91"/>
  <c r="DD92"/>
  <c r="DD93"/>
  <c r="DD94"/>
  <c r="DD95"/>
  <c r="DD96"/>
  <c r="DD97"/>
  <c r="DD98"/>
  <c r="DD99"/>
  <c r="DD100"/>
  <c r="DD101"/>
  <c r="DD102"/>
  <c r="DD103"/>
  <c r="DD104"/>
  <c r="DD105"/>
  <c r="DD106"/>
  <c r="DD107"/>
  <c r="DD108"/>
  <c r="DD109"/>
  <c r="DD110"/>
  <c r="DD111"/>
  <c r="DD112"/>
  <c r="DD113"/>
  <c r="DD114"/>
  <c r="DD115"/>
  <c r="DD116"/>
  <c r="DD117"/>
  <c r="DD118"/>
  <c r="DD119"/>
  <c r="DD120"/>
  <c r="DD121"/>
  <c r="DD122"/>
  <c r="DD123"/>
  <c r="DD124"/>
  <c r="DD125"/>
  <c r="DD126"/>
  <c r="DD127"/>
  <c r="DD128"/>
  <c r="DD129"/>
  <c r="DD130"/>
  <c r="DD131"/>
  <c r="DD132"/>
  <c r="DD133"/>
  <c r="DD134"/>
  <c r="DD135"/>
  <c r="DD136"/>
  <c r="DD137"/>
  <c r="DD138"/>
  <c r="DD139"/>
  <c r="DD140"/>
  <c r="DD141"/>
  <c r="DD142"/>
  <c r="DD143"/>
  <c r="DD144"/>
  <c r="DD145"/>
  <c r="DD146"/>
  <c r="DD147"/>
  <c r="DD148"/>
  <c r="DD149"/>
  <c r="DD150"/>
  <c r="DD151"/>
  <c r="DD152"/>
  <c r="DD153"/>
  <c r="DD154"/>
  <c r="DD155"/>
  <c r="DD156"/>
  <c r="DD157"/>
  <c r="DD158"/>
  <c r="DD159"/>
  <c r="DD160"/>
  <c r="DD161"/>
  <c r="DD162"/>
  <c r="DD163"/>
  <c r="DD164"/>
  <c r="DD165"/>
  <c r="DD166"/>
  <c r="DD167"/>
  <c r="DD168"/>
  <c r="DD169"/>
  <c r="DD170"/>
  <c r="DD171"/>
  <c r="DD172"/>
  <c r="DD173"/>
  <c r="DD174"/>
  <c r="DD175"/>
  <c r="DD176"/>
  <c r="DD177"/>
  <c r="DD178"/>
  <c r="DD179"/>
  <c r="DD180"/>
  <c r="DD181"/>
  <c r="DD182"/>
  <c r="DD183"/>
  <c r="DD184"/>
  <c r="DD185"/>
  <c r="DD186"/>
  <c r="DD187"/>
  <c r="DD188"/>
  <c r="DD189"/>
  <c r="DD190"/>
  <c r="DD191"/>
  <c r="DD192"/>
  <c r="DD193"/>
  <c r="DD194"/>
  <c r="DD195"/>
  <c r="DD196"/>
  <c r="DD197"/>
  <c r="DD198"/>
  <c r="DD199"/>
  <c r="DD200"/>
  <c r="DD201"/>
  <c r="DD202"/>
  <c r="DD203"/>
  <c r="DD204"/>
  <c r="DD205"/>
  <c r="DD206"/>
  <c r="DD207"/>
  <c r="DD8"/>
  <c r="A206" i="20"/>
  <c r="A207"/>
  <c r="A208"/>
  <c r="AG5"/>
  <c r="HI4" i="9"/>
  <c r="AW209" i="20"/>
  <c r="AX209"/>
  <c r="AW210"/>
  <c r="AX210"/>
  <c r="BV6" i="9"/>
  <c r="BY8"/>
  <c r="CR10"/>
  <c r="AC8" i="20"/>
  <c r="AF5"/>
  <c r="AE5"/>
  <c r="V6"/>
  <c r="AW5" i="9"/>
  <c r="U6" i="20"/>
  <c r="Q6"/>
  <c r="T6"/>
  <c r="P6"/>
  <c r="AS5" i="9"/>
  <c r="AH5" i="8"/>
  <c r="AG5"/>
  <c r="T5" i="20"/>
  <c r="AE8"/>
  <c r="K5"/>
  <c r="AT10"/>
  <c r="AT15"/>
  <c r="AT14"/>
  <c r="M6" s="1"/>
  <c r="AT13"/>
  <c r="AT11"/>
  <c r="AT12"/>
  <c r="AT9"/>
  <c r="AT8"/>
  <c r="M3"/>
  <c r="I3"/>
  <c r="H3"/>
  <c r="G3"/>
  <c r="F3"/>
  <c r="C5"/>
  <c r="D5"/>
  <c r="E3"/>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G221"/>
  <c r="G220"/>
  <c r="G219"/>
  <c r="G218"/>
  <c r="G217"/>
  <c r="G216"/>
  <c r="G215"/>
  <c r="G214"/>
  <c r="G213"/>
  <c r="G212"/>
  <c r="G211"/>
  <c r="G210"/>
  <c r="W5"/>
  <c r="J5"/>
  <c r="I5"/>
  <c r="H5"/>
  <c r="G5"/>
  <c r="F5"/>
  <c r="E5"/>
  <c r="B5"/>
  <c r="A5"/>
  <c r="B3"/>
  <c r="A1"/>
  <c r="H20" i="4" l="1"/>
  <c r="DS70" i="9"/>
  <c r="DX70" s="1"/>
  <c r="DW8"/>
  <c r="D21" i="4"/>
  <c r="DS7" i="9"/>
  <c r="G21" i="4"/>
  <c r="J15"/>
  <c r="J14"/>
  <c r="E21"/>
  <c r="C21"/>
  <c r="F21"/>
  <c r="DS10" i="9"/>
  <c r="DX10" s="1"/>
  <c r="DS9"/>
  <c r="DX9" s="1"/>
  <c r="DK156"/>
  <c r="DS169"/>
  <c r="DX169" s="1"/>
  <c r="DS58"/>
  <c r="DX58" s="1"/>
  <c r="DS54"/>
  <c r="DX54" s="1"/>
  <c r="DS50"/>
  <c r="DX50" s="1"/>
  <c r="DS48"/>
  <c r="DX48" s="1"/>
  <c r="DS47"/>
  <c r="DX47" s="1"/>
  <c r="DS46"/>
  <c r="DX46" s="1"/>
  <c r="DS44"/>
  <c r="DX44" s="1"/>
  <c r="DS43"/>
  <c r="DX43" s="1"/>
  <c r="DK43"/>
  <c r="DS42"/>
  <c r="DX42" s="1"/>
  <c r="DS38"/>
  <c r="DX38" s="1"/>
  <c r="DH181"/>
  <c r="DH179"/>
  <c r="DK128"/>
  <c r="DK124"/>
  <c r="DS31"/>
  <c r="DX31" s="1"/>
  <c r="DS30"/>
  <c r="DX30" s="1"/>
  <c r="DS29"/>
  <c r="DX29" s="1"/>
  <c r="DP177"/>
  <c r="DP176"/>
  <c r="DK144"/>
  <c r="DK140"/>
  <c r="DP113"/>
  <c r="DP112"/>
  <c r="DP109"/>
  <c r="DK174"/>
  <c r="DK172"/>
  <c r="DP149"/>
  <c r="DP145"/>
  <c r="DP144"/>
  <c r="DP141"/>
  <c r="DK112"/>
  <c r="DK108"/>
  <c r="DK96"/>
  <c r="DH91"/>
  <c r="DH90"/>
  <c r="DH89"/>
  <c r="DH88"/>
  <c r="DH87"/>
  <c r="DH86"/>
  <c r="DH85"/>
  <c r="DH84"/>
  <c r="DH83"/>
  <c r="DH82"/>
  <c r="DH81"/>
  <c r="DH80"/>
  <c r="DH79"/>
  <c r="DH78"/>
  <c r="DH77"/>
  <c r="DH76"/>
  <c r="DH75"/>
  <c r="DH74"/>
  <c r="DH73"/>
  <c r="DP161"/>
  <c r="DP160"/>
  <c r="DP157"/>
  <c r="DP129"/>
  <c r="DP128"/>
  <c r="DP125"/>
  <c r="DP97"/>
  <c r="DP96"/>
  <c r="DP93"/>
  <c r="DS66"/>
  <c r="DX66" s="1"/>
  <c r="DS64"/>
  <c r="DX64" s="1"/>
  <c r="DS63"/>
  <c r="DX63" s="1"/>
  <c r="DS62"/>
  <c r="DX62" s="1"/>
  <c r="DS60"/>
  <c r="DX60" s="1"/>
  <c r="DS59"/>
  <c r="DX59" s="1"/>
  <c r="DK59"/>
  <c r="DS177"/>
  <c r="DX177" s="1"/>
  <c r="DP169"/>
  <c r="DP168"/>
  <c r="DP165"/>
  <c r="DK152"/>
  <c r="DK148"/>
  <c r="DP137"/>
  <c r="DP136"/>
  <c r="DP133"/>
  <c r="DK120"/>
  <c r="DK116"/>
  <c r="DP105"/>
  <c r="DP104"/>
  <c r="DP101"/>
  <c r="DK26"/>
  <c r="DK24"/>
  <c r="DK22"/>
  <c r="DK20"/>
  <c r="DS40"/>
  <c r="DX40" s="1"/>
  <c r="DS39"/>
  <c r="DX39" s="1"/>
  <c r="DK39"/>
  <c r="DK164"/>
  <c r="DS161"/>
  <c r="DX161" s="1"/>
  <c r="DP153"/>
  <c r="DP152"/>
  <c r="DK136"/>
  <c r="DK132"/>
  <c r="DP121"/>
  <c r="DP120"/>
  <c r="DP117"/>
  <c r="DK104"/>
  <c r="DK100"/>
  <c r="DH207"/>
  <c r="DQ207" s="1"/>
  <c r="DH206"/>
  <c r="DQ206" s="1"/>
  <c r="DH205"/>
  <c r="DQ205" s="1"/>
  <c r="DH204"/>
  <c r="DQ204" s="1"/>
  <c r="DH203"/>
  <c r="DQ203" s="1"/>
  <c r="DH202"/>
  <c r="DQ202" s="1"/>
  <c r="DH201"/>
  <c r="DQ201" s="1"/>
  <c r="DH199"/>
  <c r="DH197"/>
  <c r="DQ197" s="1"/>
  <c r="DH195"/>
  <c r="DQ195" s="1"/>
  <c r="DH193"/>
  <c r="DQ193" s="1"/>
  <c r="DH191"/>
  <c r="DH189"/>
  <c r="DQ189" s="1"/>
  <c r="DH187"/>
  <c r="DQ187" s="1"/>
  <c r="DH185"/>
  <c r="DQ185" s="1"/>
  <c r="DH183"/>
  <c r="DQ183" s="1"/>
  <c r="DQ181"/>
  <c r="DQ179"/>
  <c r="DP173"/>
  <c r="DS173"/>
  <c r="DX173" s="1"/>
  <c r="DH171"/>
  <c r="DQ171" s="1"/>
  <c r="DK166"/>
  <c r="DS165"/>
  <c r="DX165" s="1"/>
  <c r="DH163"/>
  <c r="DQ163" s="1"/>
  <c r="DK158"/>
  <c r="DS157"/>
  <c r="DX157" s="1"/>
  <c r="DH155"/>
  <c r="DK150"/>
  <c r="DS149"/>
  <c r="DX149" s="1"/>
  <c r="DH147"/>
  <c r="DK142"/>
  <c r="DS141"/>
  <c r="DX141" s="1"/>
  <c r="DH139"/>
  <c r="DK134"/>
  <c r="DS133"/>
  <c r="DX133" s="1"/>
  <c r="DH131"/>
  <c r="DK126"/>
  <c r="DS125"/>
  <c r="DX125" s="1"/>
  <c r="DH123"/>
  <c r="DK118"/>
  <c r="DS117"/>
  <c r="DX117" s="1"/>
  <c r="DH115"/>
  <c r="DK110"/>
  <c r="DS109"/>
  <c r="DX109" s="1"/>
  <c r="DH107"/>
  <c r="DK102"/>
  <c r="DS101"/>
  <c r="DX101" s="1"/>
  <c r="DH99"/>
  <c r="DK94"/>
  <c r="DS93"/>
  <c r="DX93" s="1"/>
  <c r="DP92"/>
  <c r="DK63"/>
  <c r="DK47"/>
  <c r="DK28"/>
  <c r="DS27"/>
  <c r="DX27" s="1"/>
  <c r="DH27"/>
  <c r="DQ27" s="1"/>
  <c r="DS23"/>
  <c r="DX23" s="1"/>
  <c r="DS19"/>
  <c r="DX19" s="1"/>
  <c r="DP200"/>
  <c r="DH200"/>
  <c r="DQ200" s="1"/>
  <c r="DP198"/>
  <c r="DH198"/>
  <c r="DP196"/>
  <c r="DH196"/>
  <c r="DQ196" s="1"/>
  <c r="DP194"/>
  <c r="DH194"/>
  <c r="DP192"/>
  <c r="DH192"/>
  <c r="DP190"/>
  <c r="DH190"/>
  <c r="DP188"/>
  <c r="DH188"/>
  <c r="DP186"/>
  <c r="DH186"/>
  <c r="DP184"/>
  <c r="DH184"/>
  <c r="DP182"/>
  <c r="DH182"/>
  <c r="DP180"/>
  <c r="DH180"/>
  <c r="DK176"/>
  <c r="DP172"/>
  <c r="DK168"/>
  <c r="DP164"/>
  <c r="DK160"/>
  <c r="DP156"/>
  <c r="DP148"/>
  <c r="DP140"/>
  <c r="DP132"/>
  <c r="DP124"/>
  <c r="DP116"/>
  <c r="DP108"/>
  <c r="DP100"/>
  <c r="DS68"/>
  <c r="DX68" s="1"/>
  <c r="DS67"/>
  <c r="DX67" s="1"/>
  <c r="DK67"/>
  <c r="DS52"/>
  <c r="DX52" s="1"/>
  <c r="DS51"/>
  <c r="DX51" s="1"/>
  <c r="DK51"/>
  <c r="DP26"/>
  <c r="DK178"/>
  <c r="DH175"/>
  <c r="DQ175" s="1"/>
  <c r="DK170"/>
  <c r="DH167"/>
  <c r="DK162"/>
  <c r="DH159"/>
  <c r="DK154"/>
  <c r="DS153"/>
  <c r="DX153" s="1"/>
  <c r="DH151"/>
  <c r="DK146"/>
  <c r="DS145"/>
  <c r="DX145" s="1"/>
  <c r="DH143"/>
  <c r="DK138"/>
  <c r="DS137"/>
  <c r="DX137" s="1"/>
  <c r="DH135"/>
  <c r="DK130"/>
  <c r="DS129"/>
  <c r="DX129" s="1"/>
  <c r="DH127"/>
  <c r="DK122"/>
  <c r="DS121"/>
  <c r="DX121" s="1"/>
  <c r="DH119"/>
  <c r="DK114"/>
  <c r="DS113"/>
  <c r="DX113" s="1"/>
  <c r="DH111"/>
  <c r="DK106"/>
  <c r="DS105"/>
  <c r="DX105" s="1"/>
  <c r="DH103"/>
  <c r="DK98"/>
  <c r="DS97"/>
  <c r="DX97" s="1"/>
  <c r="DH95"/>
  <c r="DK92"/>
  <c r="DS90"/>
  <c r="DX90" s="1"/>
  <c r="DS89"/>
  <c r="DX89" s="1"/>
  <c r="DS88"/>
  <c r="DX88" s="1"/>
  <c r="DS87"/>
  <c r="DX87" s="1"/>
  <c r="DS86"/>
  <c r="DX86" s="1"/>
  <c r="DS85"/>
  <c r="DX85" s="1"/>
  <c r="DS84"/>
  <c r="DX84" s="1"/>
  <c r="DS83"/>
  <c r="DX83" s="1"/>
  <c r="DS82"/>
  <c r="DX82" s="1"/>
  <c r="DS81"/>
  <c r="DX81" s="1"/>
  <c r="DS80"/>
  <c r="DX80" s="1"/>
  <c r="DS79"/>
  <c r="DX79" s="1"/>
  <c r="DS78"/>
  <c r="DX78" s="1"/>
  <c r="DS77"/>
  <c r="DX77" s="1"/>
  <c r="DS76"/>
  <c r="DX76" s="1"/>
  <c r="DS75"/>
  <c r="DX75" s="1"/>
  <c r="DS74"/>
  <c r="DX74" s="1"/>
  <c r="DS73"/>
  <c r="DX73" s="1"/>
  <c r="DS72"/>
  <c r="DX72" s="1"/>
  <c r="DS71"/>
  <c r="DX71" s="1"/>
  <c r="DK71"/>
  <c r="DS56"/>
  <c r="DX56" s="1"/>
  <c r="DS55"/>
  <c r="DX55" s="1"/>
  <c r="DK55"/>
  <c r="DK18"/>
  <c r="DK207"/>
  <c r="DK206"/>
  <c r="DK205"/>
  <c r="DK204"/>
  <c r="DK203"/>
  <c r="DK202"/>
  <c r="DK201"/>
  <c r="DS200"/>
  <c r="DX200" s="1"/>
  <c r="DS199"/>
  <c r="DX199" s="1"/>
  <c r="DS196"/>
  <c r="DX196" s="1"/>
  <c r="DS195"/>
  <c r="DX195" s="1"/>
  <c r="DS192"/>
  <c r="DX192" s="1"/>
  <c r="DS191"/>
  <c r="DX191" s="1"/>
  <c r="DS188"/>
  <c r="DX188" s="1"/>
  <c r="DS187"/>
  <c r="DX187" s="1"/>
  <c r="DS184"/>
  <c r="DX184" s="1"/>
  <c r="DS183"/>
  <c r="DX183" s="1"/>
  <c r="DS180"/>
  <c r="DX180" s="1"/>
  <c r="DS179"/>
  <c r="DX179" s="1"/>
  <c r="DH176"/>
  <c r="DQ176" s="1"/>
  <c r="DS175"/>
  <c r="DX175" s="1"/>
  <c r="DH172"/>
  <c r="DQ172" s="1"/>
  <c r="DS171"/>
  <c r="DX171" s="1"/>
  <c r="DH168"/>
  <c r="DQ168" s="1"/>
  <c r="DS167"/>
  <c r="DX167" s="1"/>
  <c r="DH164"/>
  <c r="DQ164" s="1"/>
  <c r="DS163"/>
  <c r="DX163" s="1"/>
  <c r="DH160"/>
  <c r="DQ160" s="1"/>
  <c r="DS159"/>
  <c r="DX159" s="1"/>
  <c r="DH156"/>
  <c r="DQ156" s="1"/>
  <c r="DS155"/>
  <c r="DX155" s="1"/>
  <c r="DH152"/>
  <c r="DQ152" s="1"/>
  <c r="DS151"/>
  <c r="DX151" s="1"/>
  <c r="DH148"/>
  <c r="DQ148" s="1"/>
  <c r="DS147"/>
  <c r="DX147" s="1"/>
  <c r="DH144"/>
  <c r="DQ144" s="1"/>
  <c r="DS143"/>
  <c r="DX143" s="1"/>
  <c r="DH140"/>
  <c r="DQ140" s="1"/>
  <c r="DS139"/>
  <c r="DX139" s="1"/>
  <c r="DH136"/>
  <c r="DQ136" s="1"/>
  <c r="DS135"/>
  <c r="DX135" s="1"/>
  <c r="DH132"/>
  <c r="DQ132" s="1"/>
  <c r="DS131"/>
  <c r="DX131" s="1"/>
  <c r="DH128"/>
  <c r="DQ128" s="1"/>
  <c r="DS127"/>
  <c r="DX127" s="1"/>
  <c r="DH124"/>
  <c r="DQ124" s="1"/>
  <c r="DS123"/>
  <c r="DX123" s="1"/>
  <c r="DH120"/>
  <c r="DQ120" s="1"/>
  <c r="DS119"/>
  <c r="DX119" s="1"/>
  <c r="DH116"/>
  <c r="DQ116" s="1"/>
  <c r="DS115"/>
  <c r="DX115" s="1"/>
  <c r="DH112"/>
  <c r="DQ112" s="1"/>
  <c r="DS111"/>
  <c r="DX111" s="1"/>
  <c r="DH108"/>
  <c r="DQ108" s="1"/>
  <c r="DS107"/>
  <c r="DX107" s="1"/>
  <c r="DH104"/>
  <c r="DQ104" s="1"/>
  <c r="DS103"/>
  <c r="DX103" s="1"/>
  <c r="DH100"/>
  <c r="DQ100" s="1"/>
  <c r="DS99"/>
  <c r="DX99" s="1"/>
  <c r="DH96"/>
  <c r="DQ96" s="1"/>
  <c r="DS95"/>
  <c r="DX95" s="1"/>
  <c r="DH92"/>
  <c r="DQ92" s="1"/>
  <c r="DS91"/>
  <c r="DX91" s="1"/>
  <c r="DS69"/>
  <c r="DX69" s="1"/>
  <c r="DK69"/>
  <c r="DH68"/>
  <c r="DQ68" s="1"/>
  <c r="DS61"/>
  <c r="DX61" s="1"/>
  <c r="DK61"/>
  <c r="DH60"/>
  <c r="DQ60" s="1"/>
  <c r="DS53"/>
  <c r="DX53" s="1"/>
  <c r="DK53"/>
  <c r="DS45"/>
  <c r="DX45" s="1"/>
  <c r="DK45"/>
  <c r="DS35"/>
  <c r="DX35" s="1"/>
  <c r="DH35"/>
  <c r="DQ35" s="1"/>
  <c r="DS34"/>
  <c r="DX34" s="1"/>
  <c r="DH34"/>
  <c r="DS33"/>
  <c r="DX33" s="1"/>
  <c r="DS25"/>
  <c r="DX25" s="1"/>
  <c r="DS17"/>
  <c r="DX17" s="1"/>
  <c r="DQ192"/>
  <c r="DQ188"/>
  <c r="DQ184"/>
  <c r="DQ180"/>
  <c r="DH19"/>
  <c r="DQ19" s="1"/>
  <c r="DP18"/>
  <c r="DP207"/>
  <c r="DP206"/>
  <c r="DP205"/>
  <c r="DP204"/>
  <c r="DP203"/>
  <c r="DP202"/>
  <c r="DP201"/>
  <c r="DS198"/>
  <c r="DX198" s="1"/>
  <c r="DS197"/>
  <c r="DX197" s="1"/>
  <c r="DS194"/>
  <c r="DX194" s="1"/>
  <c r="DS193"/>
  <c r="DX193" s="1"/>
  <c r="DS190"/>
  <c r="DX190" s="1"/>
  <c r="DS189"/>
  <c r="DX189" s="1"/>
  <c r="DS186"/>
  <c r="DX186" s="1"/>
  <c r="DS185"/>
  <c r="DX185" s="1"/>
  <c r="DS182"/>
  <c r="DX182" s="1"/>
  <c r="DS181"/>
  <c r="DX181" s="1"/>
  <c r="DH178"/>
  <c r="DQ178" s="1"/>
  <c r="DH177"/>
  <c r="DQ177" s="1"/>
  <c r="DH174"/>
  <c r="DQ174" s="1"/>
  <c r="DH173"/>
  <c r="DQ173" s="1"/>
  <c r="DH170"/>
  <c r="DQ170" s="1"/>
  <c r="DH169"/>
  <c r="DQ169" s="1"/>
  <c r="DH166"/>
  <c r="DQ166" s="1"/>
  <c r="DH165"/>
  <c r="DQ165" s="1"/>
  <c r="DH162"/>
  <c r="DQ162" s="1"/>
  <c r="DH161"/>
  <c r="DQ161" s="1"/>
  <c r="DH158"/>
  <c r="DQ158" s="1"/>
  <c r="DH157"/>
  <c r="DQ157" s="1"/>
  <c r="DH154"/>
  <c r="DQ154" s="1"/>
  <c r="DH153"/>
  <c r="DQ153" s="1"/>
  <c r="DH150"/>
  <c r="DQ150" s="1"/>
  <c r="DH149"/>
  <c r="DQ149" s="1"/>
  <c r="DH146"/>
  <c r="DQ146" s="1"/>
  <c r="DH145"/>
  <c r="DQ145" s="1"/>
  <c r="DH142"/>
  <c r="DQ142" s="1"/>
  <c r="DH141"/>
  <c r="DQ141" s="1"/>
  <c r="DH138"/>
  <c r="DQ138" s="1"/>
  <c r="DH137"/>
  <c r="DQ137" s="1"/>
  <c r="DH134"/>
  <c r="DQ134" s="1"/>
  <c r="DH133"/>
  <c r="DQ133" s="1"/>
  <c r="DH130"/>
  <c r="DQ130" s="1"/>
  <c r="DH129"/>
  <c r="DQ129" s="1"/>
  <c r="DH126"/>
  <c r="DQ126" s="1"/>
  <c r="DH125"/>
  <c r="DQ125" s="1"/>
  <c r="DH122"/>
  <c r="DQ122" s="1"/>
  <c r="DH121"/>
  <c r="DQ121" s="1"/>
  <c r="DH118"/>
  <c r="DQ118" s="1"/>
  <c r="DH117"/>
  <c r="DQ117" s="1"/>
  <c r="DH114"/>
  <c r="DQ114" s="1"/>
  <c r="DH113"/>
  <c r="DQ113" s="1"/>
  <c r="DH110"/>
  <c r="DQ110" s="1"/>
  <c r="DH109"/>
  <c r="DQ109" s="1"/>
  <c r="DH106"/>
  <c r="DQ106" s="1"/>
  <c r="DH105"/>
  <c r="DQ105" s="1"/>
  <c r="DH102"/>
  <c r="DQ102" s="1"/>
  <c r="DH101"/>
  <c r="DQ101" s="1"/>
  <c r="DH98"/>
  <c r="DQ98" s="1"/>
  <c r="DH97"/>
  <c r="DQ97" s="1"/>
  <c r="DH94"/>
  <c r="DQ94" s="1"/>
  <c r="DH93"/>
  <c r="DQ93" s="1"/>
  <c r="DH72"/>
  <c r="DQ72" s="1"/>
  <c r="DS65"/>
  <c r="DX65" s="1"/>
  <c r="DK65"/>
  <c r="DH64"/>
  <c r="DQ64" s="1"/>
  <c r="DS57"/>
  <c r="DX57" s="1"/>
  <c r="DK57"/>
  <c r="DH56"/>
  <c r="DQ56" s="1"/>
  <c r="DS49"/>
  <c r="DX49" s="1"/>
  <c r="DK49"/>
  <c r="DS41"/>
  <c r="DX41" s="1"/>
  <c r="DK41"/>
  <c r="DS21"/>
  <c r="DX21" s="1"/>
  <c r="DK16"/>
  <c r="DK15"/>
  <c r="DH15"/>
  <c r="DQ15" s="1"/>
  <c r="DP14"/>
  <c r="DP10"/>
  <c r="DQ198"/>
  <c r="DQ194"/>
  <c r="DQ190"/>
  <c r="DQ186"/>
  <c r="DQ182"/>
  <c r="DP178"/>
  <c r="DP174"/>
  <c r="DP170"/>
  <c r="DP166"/>
  <c r="DP162"/>
  <c r="DP158"/>
  <c r="DP154"/>
  <c r="DP150"/>
  <c r="DP146"/>
  <c r="DP142"/>
  <c r="DP138"/>
  <c r="DP134"/>
  <c r="DP130"/>
  <c r="DP126"/>
  <c r="DP122"/>
  <c r="DP118"/>
  <c r="DP114"/>
  <c r="DP110"/>
  <c r="DP106"/>
  <c r="DP102"/>
  <c r="DP98"/>
  <c r="DP94"/>
  <c r="DH23"/>
  <c r="DQ23" s="1"/>
  <c r="DP22"/>
  <c r="DL202"/>
  <c r="DT202" s="1"/>
  <c r="EA202" s="1"/>
  <c r="DQ199"/>
  <c r="DL176"/>
  <c r="DT176" s="1"/>
  <c r="EA176" s="1"/>
  <c r="DL172"/>
  <c r="DT172" s="1"/>
  <c r="EA172" s="1"/>
  <c r="DL168"/>
  <c r="DT168" s="1"/>
  <c r="EA168" s="1"/>
  <c r="DQ167"/>
  <c r="DL164"/>
  <c r="DT164" s="1"/>
  <c r="EA164" s="1"/>
  <c r="DS206"/>
  <c r="DX206" s="1"/>
  <c r="DS204"/>
  <c r="DX204" s="1"/>
  <c r="DS202"/>
  <c r="DX202" s="1"/>
  <c r="DK199"/>
  <c r="DL199" s="1"/>
  <c r="DK197"/>
  <c r="DL197" s="1"/>
  <c r="DK195"/>
  <c r="DL195" s="1"/>
  <c r="DK193"/>
  <c r="DL193" s="1"/>
  <c r="DK191"/>
  <c r="DL191" s="1"/>
  <c r="DK189"/>
  <c r="DL189" s="1"/>
  <c r="DK187"/>
  <c r="DL187" s="1"/>
  <c r="DK185"/>
  <c r="DL185" s="1"/>
  <c r="DK183"/>
  <c r="DL183" s="1"/>
  <c r="DK181"/>
  <c r="DL181" s="1"/>
  <c r="DK179"/>
  <c r="DL179" s="1"/>
  <c r="DS176"/>
  <c r="DX176" s="1"/>
  <c r="DK175"/>
  <c r="DL175" s="1"/>
  <c r="DS172"/>
  <c r="DX172" s="1"/>
  <c r="DK171"/>
  <c r="DL171" s="1"/>
  <c r="DS168"/>
  <c r="DX168" s="1"/>
  <c r="DK167"/>
  <c r="DL167" s="1"/>
  <c r="DS164"/>
  <c r="DX164" s="1"/>
  <c r="DK163"/>
  <c r="DL163" s="1"/>
  <c r="DS160"/>
  <c r="DX160" s="1"/>
  <c r="DK159"/>
  <c r="DL159" s="1"/>
  <c r="DS156"/>
  <c r="DX156" s="1"/>
  <c r="DK155"/>
  <c r="DL155" s="1"/>
  <c r="DS152"/>
  <c r="DX152" s="1"/>
  <c r="DK151"/>
  <c r="DL151" s="1"/>
  <c r="DS148"/>
  <c r="DX148" s="1"/>
  <c r="DK147"/>
  <c r="DL147" s="1"/>
  <c r="DS144"/>
  <c r="DX144" s="1"/>
  <c r="DK143"/>
  <c r="DL143" s="1"/>
  <c r="DS140"/>
  <c r="DX140" s="1"/>
  <c r="DK139"/>
  <c r="DL139" s="1"/>
  <c r="DS136"/>
  <c r="DX136" s="1"/>
  <c r="DK135"/>
  <c r="DL135" s="1"/>
  <c r="DS132"/>
  <c r="DX132" s="1"/>
  <c r="DK131"/>
  <c r="DL131" s="1"/>
  <c r="DS128"/>
  <c r="DX128" s="1"/>
  <c r="DK127"/>
  <c r="DL127" s="1"/>
  <c r="DS124"/>
  <c r="DX124" s="1"/>
  <c r="DK123"/>
  <c r="DL123" s="1"/>
  <c r="DS120"/>
  <c r="DX120" s="1"/>
  <c r="DK119"/>
  <c r="DL119" s="1"/>
  <c r="DS116"/>
  <c r="DX116" s="1"/>
  <c r="DK115"/>
  <c r="DL115" s="1"/>
  <c r="DS112"/>
  <c r="DX112" s="1"/>
  <c r="DK111"/>
  <c r="DL111" s="1"/>
  <c r="DS108"/>
  <c r="DX108" s="1"/>
  <c r="DK107"/>
  <c r="DL107" s="1"/>
  <c r="DS104"/>
  <c r="DX104" s="1"/>
  <c r="DK103"/>
  <c r="DL103" s="1"/>
  <c r="DS100"/>
  <c r="DX100" s="1"/>
  <c r="DK99"/>
  <c r="DL99" s="1"/>
  <c r="DS96"/>
  <c r="DX96" s="1"/>
  <c r="DK95"/>
  <c r="DL95" s="1"/>
  <c r="DS92"/>
  <c r="DX92" s="1"/>
  <c r="DK91"/>
  <c r="DL91" s="1"/>
  <c r="DK90"/>
  <c r="DL90" s="1"/>
  <c r="DK89"/>
  <c r="DL89" s="1"/>
  <c r="DK88"/>
  <c r="DL88" s="1"/>
  <c r="DK87"/>
  <c r="DL87" s="1"/>
  <c r="DK86"/>
  <c r="DL86" s="1"/>
  <c r="DK85"/>
  <c r="DL85" s="1"/>
  <c r="DK84"/>
  <c r="DL84" s="1"/>
  <c r="DK83"/>
  <c r="DL83" s="1"/>
  <c r="DK82"/>
  <c r="DL82" s="1"/>
  <c r="DK81"/>
  <c r="DL81" s="1"/>
  <c r="DK80"/>
  <c r="DL80" s="1"/>
  <c r="DK79"/>
  <c r="DL79" s="1"/>
  <c r="DK78"/>
  <c r="DL78" s="1"/>
  <c r="DK77"/>
  <c r="DL77" s="1"/>
  <c r="DK76"/>
  <c r="DL76" s="1"/>
  <c r="DK75"/>
  <c r="DL75" s="1"/>
  <c r="DK74"/>
  <c r="DL74" s="1"/>
  <c r="DK73"/>
  <c r="DL73" s="1"/>
  <c r="DK70"/>
  <c r="DH69"/>
  <c r="DQ69" s="1"/>
  <c r="DK66"/>
  <c r="DH65"/>
  <c r="DQ65" s="1"/>
  <c r="DK62"/>
  <c r="DH61"/>
  <c r="DQ61" s="1"/>
  <c r="DK58"/>
  <c r="DH57"/>
  <c r="DQ57" s="1"/>
  <c r="DK54"/>
  <c r="DK50"/>
  <c r="DK46"/>
  <c r="DK42"/>
  <c r="DS37"/>
  <c r="DX37" s="1"/>
  <c r="DH37"/>
  <c r="DQ37" s="1"/>
  <c r="DS36"/>
  <c r="DX36" s="1"/>
  <c r="DH36"/>
  <c r="DP33"/>
  <c r="DK31"/>
  <c r="DK29"/>
  <c r="DS28"/>
  <c r="DX28" s="1"/>
  <c r="DH28"/>
  <c r="DQ28" s="1"/>
  <c r="DP27"/>
  <c r="DK25"/>
  <c r="DS24"/>
  <c r="DX24" s="1"/>
  <c r="DH24"/>
  <c r="DQ24" s="1"/>
  <c r="DP23"/>
  <c r="DK21"/>
  <c r="DS20"/>
  <c r="DX20" s="1"/>
  <c r="DH20"/>
  <c r="DQ20" s="1"/>
  <c r="DP19"/>
  <c r="DK17"/>
  <c r="DS16"/>
  <c r="DX16" s="1"/>
  <c r="DH16"/>
  <c r="DQ16" s="1"/>
  <c r="DP15"/>
  <c r="DK13"/>
  <c r="DH13"/>
  <c r="DK11"/>
  <c r="DH11"/>
  <c r="DL206"/>
  <c r="DT206" s="1"/>
  <c r="EA206" s="1"/>
  <c r="DL207"/>
  <c r="DT207" s="1"/>
  <c r="EA207" s="1"/>
  <c r="DL205"/>
  <c r="DT205" s="1"/>
  <c r="EA205" s="1"/>
  <c r="DL203"/>
  <c r="DT203" s="1"/>
  <c r="EA203" s="1"/>
  <c r="DL201"/>
  <c r="DT201" s="1"/>
  <c r="EA201" s="1"/>
  <c r="DP193"/>
  <c r="DP191"/>
  <c r="DP189"/>
  <c r="DP187"/>
  <c r="DP185"/>
  <c r="DP183"/>
  <c r="DP181"/>
  <c r="DP179"/>
  <c r="DL178"/>
  <c r="DT178" s="1"/>
  <c r="EA178" s="1"/>
  <c r="DP175"/>
  <c r="DL174"/>
  <c r="DT174" s="1"/>
  <c r="EA174" s="1"/>
  <c r="DP171"/>
  <c r="DL170"/>
  <c r="DT170" s="1"/>
  <c r="EA170" s="1"/>
  <c r="DP167"/>
  <c r="DL166"/>
  <c r="DT166" s="1"/>
  <c r="EA166" s="1"/>
  <c r="DP163"/>
  <c r="DL162"/>
  <c r="DT162" s="1"/>
  <c r="EA162" s="1"/>
  <c r="DP159"/>
  <c r="DL158"/>
  <c r="DT158" s="1"/>
  <c r="EA158" s="1"/>
  <c r="DP155"/>
  <c r="DL154"/>
  <c r="DT154" s="1"/>
  <c r="EA154" s="1"/>
  <c r="DP151"/>
  <c r="DL150"/>
  <c r="DT150" s="1"/>
  <c r="EA150" s="1"/>
  <c r="DP147"/>
  <c r="DL146"/>
  <c r="DT146" s="1"/>
  <c r="EA146" s="1"/>
  <c r="DP143"/>
  <c r="DL142"/>
  <c r="DT142" s="1"/>
  <c r="EA142" s="1"/>
  <c r="DP139"/>
  <c r="DL138"/>
  <c r="DT138" s="1"/>
  <c r="EA138" s="1"/>
  <c r="DP135"/>
  <c r="DL134"/>
  <c r="DT134" s="1"/>
  <c r="EA134" s="1"/>
  <c r="DP131"/>
  <c r="DL130"/>
  <c r="DT130" s="1"/>
  <c r="EA130" s="1"/>
  <c r="DP127"/>
  <c r="DL126"/>
  <c r="DT126" s="1"/>
  <c r="EA126" s="1"/>
  <c r="DP123"/>
  <c r="DL122"/>
  <c r="DT122" s="1"/>
  <c r="EA122" s="1"/>
  <c r="DP119"/>
  <c r="DL118"/>
  <c r="DT118" s="1"/>
  <c r="EA118" s="1"/>
  <c r="DP115"/>
  <c r="DL114"/>
  <c r="DT114" s="1"/>
  <c r="EA114" s="1"/>
  <c r="DP111"/>
  <c r="DL110"/>
  <c r="DT110" s="1"/>
  <c r="EA110" s="1"/>
  <c r="DP107"/>
  <c r="DL106"/>
  <c r="DT106" s="1"/>
  <c r="EA106" s="1"/>
  <c r="DP103"/>
  <c r="DL102"/>
  <c r="DT102" s="1"/>
  <c r="EA102" s="1"/>
  <c r="DP99"/>
  <c r="DL98"/>
  <c r="DT98" s="1"/>
  <c r="EA98" s="1"/>
  <c r="DP95"/>
  <c r="DL94"/>
  <c r="DT94" s="1"/>
  <c r="EA94" s="1"/>
  <c r="DP91"/>
  <c r="DP90"/>
  <c r="DP89"/>
  <c r="DP88"/>
  <c r="DP87"/>
  <c r="DP86"/>
  <c r="DP85"/>
  <c r="DP84"/>
  <c r="DP83"/>
  <c r="DP82"/>
  <c r="DP81"/>
  <c r="DP80"/>
  <c r="DP79"/>
  <c r="DP78"/>
  <c r="DP77"/>
  <c r="DP76"/>
  <c r="DP75"/>
  <c r="DP74"/>
  <c r="DP73"/>
  <c r="DH70"/>
  <c r="DQ70" s="1"/>
  <c r="DH66"/>
  <c r="DQ66" s="1"/>
  <c r="DH62"/>
  <c r="DQ62" s="1"/>
  <c r="DH58"/>
  <c r="DQ58" s="1"/>
  <c r="DH38"/>
  <c r="DH30"/>
  <c r="DH25"/>
  <c r="DQ25" s="1"/>
  <c r="DP24"/>
  <c r="DH21"/>
  <c r="DQ21" s="1"/>
  <c r="DP20"/>
  <c r="DH17"/>
  <c r="DQ17" s="1"/>
  <c r="DP16"/>
  <c r="DL204"/>
  <c r="DT204" s="1"/>
  <c r="EA204" s="1"/>
  <c r="DQ191"/>
  <c r="DP199"/>
  <c r="DP197"/>
  <c r="DP195"/>
  <c r="DS207"/>
  <c r="DX207" s="1"/>
  <c r="DS205"/>
  <c r="DX205" s="1"/>
  <c r="DS203"/>
  <c r="DX203" s="1"/>
  <c r="DS201"/>
  <c r="DX201" s="1"/>
  <c r="DK200"/>
  <c r="DL200" s="1"/>
  <c r="DT200" s="1"/>
  <c r="EA200" s="1"/>
  <c r="DK198"/>
  <c r="DL198" s="1"/>
  <c r="DT198" s="1"/>
  <c r="EA198" s="1"/>
  <c r="DK196"/>
  <c r="DL196" s="1"/>
  <c r="DT196" s="1"/>
  <c r="EA196" s="1"/>
  <c r="DK194"/>
  <c r="DL194" s="1"/>
  <c r="DT194" s="1"/>
  <c r="EA194" s="1"/>
  <c r="DK192"/>
  <c r="DL192" s="1"/>
  <c r="DT192" s="1"/>
  <c r="EA192" s="1"/>
  <c r="DK190"/>
  <c r="DL190" s="1"/>
  <c r="DT190" s="1"/>
  <c r="EA190" s="1"/>
  <c r="DK188"/>
  <c r="DL188" s="1"/>
  <c r="DT188" s="1"/>
  <c r="EA188" s="1"/>
  <c r="DK186"/>
  <c r="DL186" s="1"/>
  <c r="DT186" s="1"/>
  <c r="EA186" s="1"/>
  <c r="DK184"/>
  <c r="DL184" s="1"/>
  <c r="DT184" s="1"/>
  <c r="EA184" s="1"/>
  <c r="DK182"/>
  <c r="DL182" s="1"/>
  <c r="DT182" s="1"/>
  <c r="EA182" s="1"/>
  <c r="DK180"/>
  <c r="DL180" s="1"/>
  <c r="DT180" s="1"/>
  <c r="EA180" s="1"/>
  <c r="DS178"/>
  <c r="DX178" s="1"/>
  <c r="DK177"/>
  <c r="DL177" s="1"/>
  <c r="DT177" s="1"/>
  <c r="EA177" s="1"/>
  <c r="DS174"/>
  <c r="DX174" s="1"/>
  <c r="DK173"/>
  <c r="DL173" s="1"/>
  <c r="DT173" s="1"/>
  <c r="EA173" s="1"/>
  <c r="DS170"/>
  <c r="DX170" s="1"/>
  <c r="DK169"/>
  <c r="DL169" s="1"/>
  <c r="DT169" s="1"/>
  <c r="EA169" s="1"/>
  <c r="DS166"/>
  <c r="DX166" s="1"/>
  <c r="DK165"/>
  <c r="DL165" s="1"/>
  <c r="DT165" s="1"/>
  <c r="EA165" s="1"/>
  <c r="DS162"/>
  <c r="DX162" s="1"/>
  <c r="DK161"/>
  <c r="DL161" s="1"/>
  <c r="DT161" s="1"/>
  <c r="EA161" s="1"/>
  <c r="DS158"/>
  <c r="DX158" s="1"/>
  <c r="DK157"/>
  <c r="DL157" s="1"/>
  <c r="DT157" s="1"/>
  <c r="EA157" s="1"/>
  <c r="DS154"/>
  <c r="DX154" s="1"/>
  <c r="DK153"/>
  <c r="DL153" s="1"/>
  <c r="DT153" s="1"/>
  <c r="EA153" s="1"/>
  <c r="DS150"/>
  <c r="DX150" s="1"/>
  <c r="DK149"/>
  <c r="DL149" s="1"/>
  <c r="DT149" s="1"/>
  <c r="EA149" s="1"/>
  <c r="DS146"/>
  <c r="DX146" s="1"/>
  <c r="DK145"/>
  <c r="DL145" s="1"/>
  <c r="DT145" s="1"/>
  <c r="EA145" s="1"/>
  <c r="DS142"/>
  <c r="DX142" s="1"/>
  <c r="DK141"/>
  <c r="DL141" s="1"/>
  <c r="DT141" s="1"/>
  <c r="EA141" s="1"/>
  <c r="DS138"/>
  <c r="DX138" s="1"/>
  <c r="DK137"/>
  <c r="DL137" s="1"/>
  <c r="DT137" s="1"/>
  <c r="EA137" s="1"/>
  <c r="DS134"/>
  <c r="DX134" s="1"/>
  <c r="DK133"/>
  <c r="DL133" s="1"/>
  <c r="DT133" s="1"/>
  <c r="EA133" s="1"/>
  <c r="DS130"/>
  <c r="DX130" s="1"/>
  <c r="DK129"/>
  <c r="DL129" s="1"/>
  <c r="DT129" s="1"/>
  <c r="EA129" s="1"/>
  <c r="DS126"/>
  <c r="DX126" s="1"/>
  <c r="DK125"/>
  <c r="DL125" s="1"/>
  <c r="DT125" s="1"/>
  <c r="EA125" s="1"/>
  <c r="DS122"/>
  <c r="DX122" s="1"/>
  <c r="DK121"/>
  <c r="DL121" s="1"/>
  <c r="DT121" s="1"/>
  <c r="EA121" s="1"/>
  <c r="DS118"/>
  <c r="DX118" s="1"/>
  <c r="DK117"/>
  <c r="DL117" s="1"/>
  <c r="DT117" s="1"/>
  <c r="EA117" s="1"/>
  <c r="DS114"/>
  <c r="DX114" s="1"/>
  <c r="DK113"/>
  <c r="DL113" s="1"/>
  <c r="DT113" s="1"/>
  <c r="EA113" s="1"/>
  <c r="DS110"/>
  <c r="DX110" s="1"/>
  <c r="DK109"/>
  <c r="DL109" s="1"/>
  <c r="DT109" s="1"/>
  <c r="EA109" s="1"/>
  <c r="DS106"/>
  <c r="DX106" s="1"/>
  <c r="DK105"/>
  <c r="DL105" s="1"/>
  <c r="DT105" s="1"/>
  <c r="EA105" s="1"/>
  <c r="DS102"/>
  <c r="DX102" s="1"/>
  <c r="DK101"/>
  <c r="DL101" s="1"/>
  <c r="DT101" s="1"/>
  <c r="EA101" s="1"/>
  <c r="DS98"/>
  <c r="DX98" s="1"/>
  <c r="DK97"/>
  <c r="DL97" s="1"/>
  <c r="DT97" s="1"/>
  <c r="EA97" s="1"/>
  <c r="DS94"/>
  <c r="DX94" s="1"/>
  <c r="DK93"/>
  <c r="DL93" s="1"/>
  <c r="DT93" s="1"/>
  <c r="EA93" s="1"/>
  <c r="DK72"/>
  <c r="DL72" s="1"/>
  <c r="DH71"/>
  <c r="DQ71" s="1"/>
  <c r="DK68"/>
  <c r="DL68" s="1"/>
  <c r="DH67"/>
  <c r="DQ67" s="1"/>
  <c r="DK64"/>
  <c r="DL64" s="1"/>
  <c r="DH63"/>
  <c r="DQ63" s="1"/>
  <c r="DK60"/>
  <c r="DL60" s="1"/>
  <c r="DH59"/>
  <c r="DQ59" s="1"/>
  <c r="DK56"/>
  <c r="DL56" s="1"/>
  <c r="DH55"/>
  <c r="DQ55" s="1"/>
  <c r="DK52"/>
  <c r="DK48"/>
  <c r="DK44"/>
  <c r="DK40"/>
  <c r="DK33"/>
  <c r="DS32"/>
  <c r="DX32" s="1"/>
  <c r="DH32"/>
  <c r="DQ32" s="1"/>
  <c r="DP31"/>
  <c r="DP29"/>
  <c r="DK27"/>
  <c r="DL27" s="1"/>
  <c r="DS26"/>
  <c r="DX26" s="1"/>
  <c r="DH26"/>
  <c r="DQ26" s="1"/>
  <c r="DP25"/>
  <c r="DK23"/>
  <c r="DL23" s="1"/>
  <c r="DS22"/>
  <c r="DX22" s="1"/>
  <c r="DH22"/>
  <c r="DQ22" s="1"/>
  <c r="DP21"/>
  <c r="DK19"/>
  <c r="DL19" s="1"/>
  <c r="DS18"/>
  <c r="DX18" s="1"/>
  <c r="DH18"/>
  <c r="DQ18" s="1"/>
  <c r="DP17"/>
  <c r="DK14"/>
  <c r="DH14"/>
  <c r="DQ14" s="1"/>
  <c r="DK12"/>
  <c r="DH12"/>
  <c r="DK10"/>
  <c r="DH10"/>
  <c r="DQ10" s="1"/>
  <c r="DL160"/>
  <c r="DT160" s="1"/>
  <c r="EA160" s="1"/>
  <c r="DQ159"/>
  <c r="DL156"/>
  <c r="DT156" s="1"/>
  <c r="EA156" s="1"/>
  <c r="DQ155"/>
  <c r="DL152"/>
  <c r="DT152" s="1"/>
  <c r="EA152" s="1"/>
  <c r="DQ151"/>
  <c r="DL148"/>
  <c r="DT148" s="1"/>
  <c r="EA148" s="1"/>
  <c r="DQ147"/>
  <c r="DL144"/>
  <c r="DT144" s="1"/>
  <c r="EA144" s="1"/>
  <c r="DQ143"/>
  <c r="DL140"/>
  <c r="DT140" s="1"/>
  <c r="EA140" s="1"/>
  <c r="DQ139"/>
  <c r="DL136"/>
  <c r="DT136" s="1"/>
  <c r="EA136" s="1"/>
  <c r="DQ135"/>
  <c r="DL132"/>
  <c r="DT132" s="1"/>
  <c r="EA132" s="1"/>
  <c r="DQ131"/>
  <c r="DL128"/>
  <c r="DT128" s="1"/>
  <c r="EA128" s="1"/>
  <c r="DQ127"/>
  <c r="DL124"/>
  <c r="DT124" s="1"/>
  <c r="EA124" s="1"/>
  <c r="DQ123"/>
  <c r="DL120"/>
  <c r="DT120" s="1"/>
  <c r="EA120" s="1"/>
  <c r="DQ119"/>
  <c r="DL116"/>
  <c r="DT116" s="1"/>
  <c r="EA116" s="1"/>
  <c r="DQ115"/>
  <c r="DL112"/>
  <c r="DT112" s="1"/>
  <c r="EA112" s="1"/>
  <c r="DQ111"/>
  <c r="DL108"/>
  <c r="DT108" s="1"/>
  <c r="EA108" s="1"/>
  <c r="DQ107"/>
  <c r="DL104"/>
  <c r="DT104" s="1"/>
  <c r="EA104" s="1"/>
  <c r="DQ103"/>
  <c r="DL100"/>
  <c r="DT100" s="1"/>
  <c r="EA100" s="1"/>
  <c r="DQ99"/>
  <c r="DL96"/>
  <c r="DT96" s="1"/>
  <c r="EA96" s="1"/>
  <c r="DQ95"/>
  <c r="DL92"/>
  <c r="DT92" s="1"/>
  <c r="EA92" s="1"/>
  <c r="DQ91"/>
  <c r="DQ90"/>
  <c r="DQ89"/>
  <c r="DQ88"/>
  <c r="DQ87"/>
  <c r="DQ86"/>
  <c r="DQ85"/>
  <c r="DQ84"/>
  <c r="DQ83"/>
  <c r="DQ82"/>
  <c r="DQ81"/>
  <c r="DQ80"/>
  <c r="DQ79"/>
  <c r="DQ78"/>
  <c r="DQ77"/>
  <c r="DQ76"/>
  <c r="DQ75"/>
  <c r="DQ74"/>
  <c r="DQ73"/>
  <c r="DL69"/>
  <c r="DL65"/>
  <c r="DL61"/>
  <c r="DL57"/>
  <c r="DH54"/>
  <c r="DQ54" s="1"/>
  <c r="DH53"/>
  <c r="DQ53" s="1"/>
  <c r="DH52"/>
  <c r="DQ52" s="1"/>
  <c r="DH51"/>
  <c r="DQ51" s="1"/>
  <c r="DH50"/>
  <c r="DQ50" s="1"/>
  <c r="DH49"/>
  <c r="DQ49" s="1"/>
  <c r="DH48"/>
  <c r="DQ48" s="1"/>
  <c r="DH47"/>
  <c r="DQ47" s="1"/>
  <c r="DH46"/>
  <c r="DQ46" s="1"/>
  <c r="DH45"/>
  <c r="DQ45" s="1"/>
  <c r="DH44"/>
  <c r="DQ44" s="1"/>
  <c r="DH43"/>
  <c r="DQ43" s="1"/>
  <c r="DH42"/>
  <c r="DQ42" s="1"/>
  <c r="DH41"/>
  <c r="DQ41" s="1"/>
  <c r="DH40"/>
  <c r="DQ40" s="1"/>
  <c r="DH39"/>
  <c r="DQ39" s="1"/>
  <c r="DK38"/>
  <c r="DL38" s="1"/>
  <c r="DP37"/>
  <c r="DK36"/>
  <c r="DL36" s="1"/>
  <c r="DP35"/>
  <c r="DK34"/>
  <c r="DL34" s="1"/>
  <c r="DH33"/>
  <c r="DQ33" s="1"/>
  <c r="DP32"/>
  <c r="DK30"/>
  <c r="DL30" s="1"/>
  <c r="DH29"/>
  <c r="DQ29" s="1"/>
  <c r="DP28"/>
  <c r="DL26"/>
  <c r="DT26" s="1"/>
  <c r="EA26" s="1"/>
  <c r="DL22"/>
  <c r="DT22" s="1"/>
  <c r="EA22" s="1"/>
  <c r="DL18"/>
  <c r="DT18" s="1"/>
  <c r="EA18" s="1"/>
  <c r="DQ38"/>
  <c r="DQ36"/>
  <c r="DQ34"/>
  <c r="DQ30"/>
  <c r="DT27"/>
  <c r="EA27" s="1"/>
  <c r="DT23"/>
  <c r="EA23" s="1"/>
  <c r="DT19"/>
  <c r="EA19" s="1"/>
  <c r="DP72"/>
  <c r="DT72" s="1"/>
  <c r="EA72" s="1"/>
  <c r="DP71"/>
  <c r="DP70"/>
  <c r="DP69"/>
  <c r="DP68"/>
  <c r="DT68" s="1"/>
  <c r="EA68" s="1"/>
  <c r="DP67"/>
  <c r="DP66"/>
  <c r="DP65"/>
  <c r="DT65" s="1"/>
  <c r="EA65" s="1"/>
  <c r="DP64"/>
  <c r="DT64" s="1"/>
  <c r="EA64" s="1"/>
  <c r="DP63"/>
  <c r="DP62"/>
  <c r="DP61"/>
  <c r="DP60"/>
  <c r="DT60" s="1"/>
  <c r="EA60" s="1"/>
  <c r="DP59"/>
  <c r="DP58"/>
  <c r="DP57"/>
  <c r="DT57" s="1"/>
  <c r="EA57" s="1"/>
  <c r="DP56"/>
  <c r="DT56" s="1"/>
  <c r="EA56" s="1"/>
  <c r="DP55"/>
  <c r="DP54"/>
  <c r="DP53"/>
  <c r="DP52"/>
  <c r="DP51"/>
  <c r="DP50"/>
  <c r="DP49"/>
  <c r="DP48"/>
  <c r="DP47"/>
  <c r="DP46"/>
  <c r="DP45"/>
  <c r="DP44"/>
  <c r="DP43"/>
  <c r="DP42"/>
  <c r="DP41"/>
  <c r="DP40"/>
  <c r="DP39"/>
  <c r="DP38"/>
  <c r="DK37"/>
  <c r="DL37" s="1"/>
  <c r="DT37" s="1"/>
  <c r="EA37" s="1"/>
  <c r="DP36"/>
  <c r="DK35"/>
  <c r="DL35" s="1"/>
  <c r="DT35" s="1"/>
  <c r="EA35" s="1"/>
  <c r="DP34"/>
  <c r="DK32"/>
  <c r="DL32" s="1"/>
  <c r="DH31"/>
  <c r="DQ31" s="1"/>
  <c r="DP30"/>
  <c r="DL28"/>
  <c r="DT28" s="1"/>
  <c r="EA28" s="1"/>
  <c r="DL24"/>
  <c r="DT24" s="1"/>
  <c r="EA24" s="1"/>
  <c r="DL20"/>
  <c r="DT20" s="1"/>
  <c r="EA20" s="1"/>
  <c r="DL16"/>
  <c r="DT16" s="1"/>
  <c r="EA16" s="1"/>
  <c r="DS15"/>
  <c r="DX15" s="1"/>
  <c r="DS14"/>
  <c r="DX14" s="1"/>
  <c r="U210" i="20"/>
  <c r="U8"/>
  <c r="U7"/>
  <c r="O210"/>
  <c r="Q7"/>
  <c r="I211"/>
  <c r="O211"/>
  <c r="I210"/>
  <c r="U211"/>
  <c r="M7"/>
  <c r="Q8"/>
  <c r="L8"/>
  <c r="N8"/>
  <c r="L7"/>
  <c r="N7"/>
  <c r="M8"/>
  <c r="T8"/>
  <c r="P8"/>
  <c r="P7"/>
  <c r="T7"/>
  <c r="L5"/>
  <c r="O6"/>
  <c r="L6"/>
  <c r="N6"/>
  <c r="P5"/>
  <c r="R6"/>
  <c r="S5"/>
  <c r="R7" l="1"/>
  <c r="V8"/>
  <c r="O7"/>
  <c r="Z7" s="1"/>
  <c r="DL12" i="9"/>
  <c r="DL15"/>
  <c r="DT15" s="1"/>
  <c r="EA15" s="1"/>
  <c r="R8" i="20"/>
  <c r="DL10" i="9"/>
  <c r="DT10" s="1"/>
  <c r="EA10" s="1"/>
  <c r="DL14"/>
  <c r="DT14" s="1"/>
  <c r="EA14" s="1"/>
  <c r="DT75"/>
  <c r="EA75" s="1"/>
  <c r="DT79"/>
  <c r="EA79" s="1"/>
  <c r="DT83"/>
  <c r="EA83" s="1"/>
  <c r="DT87"/>
  <c r="EA87" s="1"/>
  <c r="DT91"/>
  <c r="EA91" s="1"/>
  <c r="DT99"/>
  <c r="EA99" s="1"/>
  <c r="DT107"/>
  <c r="EA107" s="1"/>
  <c r="DT115"/>
  <c r="EA115" s="1"/>
  <c r="DT123"/>
  <c r="EA123" s="1"/>
  <c r="DT131"/>
  <c r="EA131" s="1"/>
  <c r="DT139"/>
  <c r="EA139" s="1"/>
  <c r="DT147"/>
  <c r="EA147" s="1"/>
  <c r="DT155"/>
  <c r="EA155" s="1"/>
  <c r="DT163"/>
  <c r="EA163" s="1"/>
  <c r="DT171"/>
  <c r="EA171" s="1"/>
  <c r="DT179"/>
  <c r="EA179" s="1"/>
  <c r="DT187"/>
  <c r="EA187" s="1"/>
  <c r="DT195"/>
  <c r="EA195" s="1"/>
  <c r="DT32"/>
  <c r="EA32" s="1"/>
  <c r="DT61"/>
  <c r="EA61" s="1"/>
  <c r="DT69"/>
  <c r="EA69" s="1"/>
  <c r="DL55"/>
  <c r="DT55" s="1"/>
  <c r="EA55" s="1"/>
  <c r="DL63"/>
  <c r="DL71"/>
  <c r="DT71" s="1"/>
  <c r="EA71" s="1"/>
  <c r="DL13"/>
  <c r="DL17"/>
  <c r="DT17" s="1"/>
  <c r="EA17" s="1"/>
  <c r="DL21"/>
  <c r="DT21" s="1"/>
  <c r="EA21" s="1"/>
  <c r="DL25"/>
  <c r="DT25" s="1"/>
  <c r="EA25" s="1"/>
  <c r="DL58"/>
  <c r="DT58" s="1"/>
  <c r="EA58" s="1"/>
  <c r="DL66"/>
  <c r="DT66" s="1"/>
  <c r="EA66" s="1"/>
  <c r="DT74"/>
  <c r="EA74" s="1"/>
  <c r="DT78"/>
  <c r="EA78" s="1"/>
  <c r="DT82"/>
  <c r="EA82" s="1"/>
  <c r="DT86"/>
  <c r="EA86" s="1"/>
  <c r="DT90"/>
  <c r="EA90" s="1"/>
  <c r="DT185"/>
  <c r="EA185" s="1"/>
  <c r="DT193"/>
  <c r="EA193" s="1"/>
  <c r="DT73"/>
  <c r="EA73" s="1"/>
  <c r="DT77"/>
  <c r="EA77" s="1"/>
  <c r="DT81"/>
  <c r="EA81" s="1"/>
  <c r="DT85"/>
  <c r="EA85" s="1"/>
  <c r="DT89"/>
  <c r="EA89" s="1"/>
  <c r="DT95"/>
  <c r="EA95" s="1"/>
  <c r="DT103"/>
  <c r="EA103" s="1"/>
  <c r="DT111"/>
  <c r="EA111" s="1"/>
  <c r="DT119"/>
  <c r="EA119" s="1"/>
  <c r="DT127"/>
  <c r="EA127" s="1"/>
  <c r="DT135"/>
  <c r="EA135" s="1"/>
  <c r="DT143"/>
  <c r="EA143" s="1"/>
  <c r="DT151"/>
  <c r="EA151" s="1"/>
  <c r="DT159"/>
  <c r="EA159" s="1"/>
  <c r="DT167"/>
  <c r="EA167" s="1"/>
  <c r="DT175"/>
  <c r="EA175" s="1"/>
  <c r="DT183"/>
  <c r="EA183" s="1"/>
  <c r="DT191"/>
  <c r="EA191" s="1"/>
  <c r="DT199"/>
  <c r="EA199" s="1"/>
  <c r="DT63"/>
  <c r="EA63" s="1"/>
  <c r="DL59"/>
  <c r="DT59" s="1"/>
  <c r="EA59" s="1"/>
  <c r="DL67"/>
  <c r="DT67" s="1"/>
  <c r="EA67" s="1"/>
  <c r="DL11"/>
  <c r="DL62"/>
  <c r="DT62" s="1"/>
  <c r="EA62" s="1"/>
  <c r="DL70"/>
  <c r="DT70" s="1"/>
  <c r="EA70" s="1"/>
  <c r="DT76"/>
  <c r="EA76" s="1"/>
  <c r="DT80"/>
  <c r="EA80" s="1"/>
  <c r="DT84"/>
  <c r="EA84" s="1"/>
  <c r="DT88"/>
  <c r="EA88" s="1"/>
  <c r="DT181"/>
  <c r="EA181" s="1"/>
  <c r="DT189"/>
  <c r="EA189" s="1"/>
  <c r="DT197"/>
  <c r="EA197" s="1"/>
  <c r="DL31"/>
  <c r="DT31" s="1"/>
  <c r="EA31" s="1"/>
  <c r="DT34"/>
  <c r="EA34" s="1"/>
  <c r="DT38"/>
  <c r="EA38" s="1"/>
  <c r="DL45"/>
  <c r="DT45" s="1"/>
  <c r="EA45" s="1"/>
  <c r="DL44"/>
  <c r="DT44" s="1"/>
  <c r="EA44" s="1"/>
  <c r="DL39"/>
  <c r="DT39" s="1"/>
  <c r="EA39" s="1"/>
  <c r="DL54"/>
  <c r="DT54" s="1"/>
  <c r="EA54" s="1"/>
  <c r="DL41"/>
  <c r="DT41" s="1"/>
  <c r="EA41" s="1"/>
  <c r="DL40"/>
  <c r="DT40" s="1"/>
  <c r="EA40" s="1"/>
  <c r="DL51"/>
  <c r="DT51" s="1"/>
  <c r="EA51" s="1"/>
  <c r="DL50"/>
  <c r="DT50" s="1"/>
  <c r="EA50" s="1"/>
  <c r="DT36"/>
  <c r="EA36" s="1"/>
  <c r="DL33"/>
  <c r="DT33" s="1"/>
  <c r="EA33" s="1"/>
  <c r="DL53"/>
  <c r="DT53" s="1"/>
  <c r="EA53" s="1"/>
  <c r="DL52"/>
  <c r="DT52" s="1"/>
  <c r="EA52" s="1"/>
  <c r="DL47"/>
  <c r="DT47" s="1"/>
  <c r="EA47" s="1"/>
  <c r="DL46"/>
  <c r="DT46" s="1"/>
  <c r="EA46" s="1"/>
  <c r="DT30"/>
  <c r="EA30" s="1"/>
  <c r="DL29"/>
  <c r="DT29" s="1"/>
  <c r="EA29" s="1"/>
  <c r="DL49"/>
  <c r="DT49" s="1"/>
  <c r="EA49" s="1"/>
  <c r="DL48"/>
  <c r="DT48" s="1"/>
  <c r="EA48" s="1"/>
  <c r="DL43"/>
  <c r="DT43" s="1"/>
  <c r="EA43" s="1"/>
  <c r="DL42"/>
  <c r="DT42" s="1"/>
  <c r="EA42" s="1"/>
  <c r="O8" i="20"/>
  <c r="Z8" s="1"/>
  <c r="Y7"/>
  <c r="V7"/>
  <c r="Y8"/>
  <c r="AF8"/>
  <c r="S7" l="1"/>
  <c r="W7" s="1"/>
  <c r="S8"/>
  <c r="AD8" s="1"/>
  <c r="W8" l="1"/>
  <c r="AG8" s="1"/>
  <c r="BE1" i="8"/>
  <c r="BH3"/>
  <c r="GZ38" i="9"/>
  <c r="HA38" s="1"/>
  <c r="GZ39"/>
  <c r="HA39" s="1"/>
  <c r="GZ40"/>
  <c r="HA40" s="1"/>
  <c r="GZ41"/>
  <c r="HA41" s="1"/>
  <c r="GZ42"/>
  <c r="HA42" s="1"/>
  <c r="GZ43"/>
  <c r="HA43" s="1"/>
  <c r="GZ44"/>
  <c r="HA44" s="1"/>
  <c r="GZ45"/>
  <c r="HA45" s="1"/>
  <c r="GZ46"/>
  <c r="HA46" s="1"/>
  <c r="GZ47"/>
  <c r="HA47" s="1"/>
  <c r="GZ48"/>
  <c r="HA48" s="1"/>
  <c r="GZ49"/>
  <c r="HA49" s="1"/>
  <c r="GZ50"/>
  <c r="HA50" s="1"/>
  <c r="GZ51"/>
  <c r="HA51" s="1"/>
  <c r="GZ52"/>
  <c r="HA52" s="1"/>
  <c r="GZ53"/>
  <c r="HA53" s="1"/>
  <c r="GZ54"/>
  <c r="HA54" s="1"/>
  <c r="GZ55"/>
  <c r="HA55" s="1"/>
  <c r="GZ56"/>
  <c r="HA56" s="1"/>
  <c r="GZ57"/>
  <c r="HA57" s="1"/>
  <c r="GZ58"/>
  <c r="HA58" s="1"/>
  <c r="GZ59"/>
  <c r="HA59" s="1"/>
  <c r="GZ60"/>
  <c r="HA60" s="1"/>
  <c r="GZ61"/>
  <c r="HA61" s="1"/>
  <c r="GZ62"/>
  <c r="HA62" s="1"/>
  <c r="GZ63"/>
  <c r="HA63" s="1"/>
  <c r="GZ64"/>
  <c r="HA64" s="1"/>
  <c r="GZ65"/>
  <c r="HA65" s="1"/>
  <c r="GZ66"/>
  <c r="HA66" s="1"/>
  <c r="GZ67"/>
  <c r="HA67" s="1"/>
  <c r="GZ68"/>
  <c r="HA68" s="1"/>
  <c r="GZ69"/>
  <c r="HA69" s="1"/>
  <c r="GZ70"/>
  <c r="HA70" s="1"/>
  <c r="GZ71"/>
  <c r="HA71" s="1"/>
  <c r="GZ72"/>
  <c r="HA72" s="1"/>
  <c r="GZ73"/>
  <c r="HA73" s="1"/>
  <c r="GZ74"/>
  <c r="HA74" s="1"/>
  <c r="GZ75"/>
  <c r="HA75" s="1"/>
  <c r="GZ76"/>
  <c r="HA76" s="1"/>
  <c r="GZ77"/>
  <c r="HA77" s="1"/>
  <c r="GZ78"/>
  <c r="HA78" s="1"/>
  <c r="GZ79"/>
  <c r="HA79" s="1"/>
  <c r="GZ80"/>
  <c r="HA80" s="1"/>
  <c r="GZ81"/>
  <c r="HA81" s="1"/>
  <c r="GZ82"/>
  <c r="HA82" s="1"/>
  <c r="GZ83"/>
  <c r="HA83" s="1"/>
  <c r="GZ84"/>
  <c r="HA84" s="1"/>
  <c r="GZ85"/>
  <c r="HA85" s="1"/>
  <c r="GZ86"/>
  <c r="HA86" s="1"/>
  <c r="GZ87"/>
  <c r="HA87" s="1"/>
  <c r="GZ88"/>
  <c r="HA88" s="1"/>
  <c r="GZ89"/>
  <c r="HA89" s="1"/>
  <c r="GZ90"/>
  <c r="HA90" s="1"/>
  <c r="GZ91"/>
  <c r="HA91" s="1"/>
  <c r="GZ92"/>
  <c r="HA92" s="1"/>
  <c r="GZ93"/>
  <c r="HA93" s="1"/>
  <c r="GZ94"/>
  <c r="HA94" s="1"/>
  <c r="GZ95"/>
  <c r="HA95" s="1"/>
  <c r="GZ96"/>
  <c r="HA96" s="1"/>
  <c r="GZ97"/>
  <c r="HA97" s="1"/>
  <c r="GZ98"/>
  <c r="HA98" s="1"/>
  <c r="GZ99"/>
  <c r="HA99" s="1"/>
  <c r="GZ100"/>
  <c r="HA100" s="1"/>
  <c r="GZ101"/>
  <c r="HA101" s="1"/>
  <c r="GZ102"/>
  <c r="HA102" s="1"/>
  <c r="GZ103"/>
  <c r="HA103" s="1"/>
  <c r="GZ104"/>
  <c r="HA104" s="1"/>
  <c r="GZ105"/>
  <c r="HA105" s="1"/>
  <c r="GZ106"/>
  <c r="HA106" s="1"/>
  <c r="GZ107"/>
  <c r="HA107" s="1"/>
  <c r="GZ108"/>
  <c r="HA108" s="1"/>
  <c r="GZ109"/>
  <c r="HA109" s="1"/>
  <c r="GZ110"/>
  <c r="HA110" s="1"/>
  <c r="GZ111"/>
  <c r="HA111" s="1"/>
  <c r="GZ112"/>
  <c r="HA112" s="1"/>
  <c r="GZ113"/>
  <c r="HA113" s="1"/>
  <c r="GZ114"/>
  <c r="HA114" s="1"/>
  <c r="GZ115"/>
  <c r="HA115" s="1"/>
  <c r="GZ116"/>
  <c r="HA116" s="1"/>
  <c r="GZ117"/>
  <c r="HA117" s="1"/>
  <c r="GZ118"/>
  <c r="HA118" s="1"/>
  <c r="GZ119"/>
  <c r="HA119" s="1"/>
  <c r="GZ120"/>
  <c r="HA120" s="1"/>
  <c r="GZ121"/>
  <c r="HA121" s="1"/>
  <c r="GZ122"/>
  <c r="HA122" s="1"/>
  <c r="GZ123"/>
  <c r="HA123" s="1"/>
  <c r="GZ124"/>
  <c r="HA124" s="1"/>
  <c r="GZ125"/>
  <c r="HA125" s="1"/>
  <c r="GZ126"/>
  <c r="HA126" s="1"/>
  <c r="GZ127"/>
  <c r="HA127" s="1"/>
  <c r="GZ128"/>
  <c r="HA128" s="1"/>
  <c r="GZ129"/>
  <c r="HA129" s="1"/>
  <c r="GZ130"/>
  <c r="HA130" s="1"/>
  <c r="GZ131"/>
  <c r="HA131" s="1"/>
  <c r="GZ132"/>
  <c r="HA132" s="1"/>
  <c r="GZ133"/>
  <c r="HA133" s="1"/>
  <c r="GZ134"/>
  <c r="HA134" s="1"/>
  <c r="GZ135"/>
  <c r="HA135" s="1"/>
  <c r="GZ136"/>
  <c r="HA136" s="1"/>
  <c r="GZ137"/>
  <c r="HA137" s="1"/>
  <c r="GZ138"/>
  <c r="HA138" s="1"/>
  <c r="GZ139"/>
  <c r="HA139" s="1"/>
  <c r="GZ140"/>
  <c r="HA140" s="1"/>
  <c r="GZ141"/>
  <c r="HA141" s="1"/>
  <c r="GZ142"/>
  <c r="HA142" s="1"/>
  <c r="GZ143"/>
  <c r="HA143" s="1"/>
  <c r="GZ144"/>
  <c r="HA144" s="1"/>
  <c r="GZ145"/>
  <c r="HA145" s="1"/>
  <c r="GZ146"/>
  <c r="HA146" s="1"/>
  <c r="GZ147"/>
  <c r="HA147" s="1"/>
  <c r="GZ148"/>
  <c r="HA148" s="1"/>
  <c r="GZ149"/>
  <c r="HA149" s="1"/>
  <c r="GZ150"/>
  <c r="HA150" s="1"/>
  <c r="GZ151"/>
  <c r="HA151" s="1"/>
  <c r="GZ152"/>
  <c r="HA152" s="1"/>
  <c r="GZ153"/>
  <c r="HA153" s="1"/>
  <c r="GZ154"/>
  <c r="HA154" s="1"/>
  <c r="GZ155"/>
  <c r="HA155" s="1"/>
  <c r="GZ156"/>
  <c r="HA156" s="1"/>
  <c r="GZ157"/>
  <c r="HA157" s="1"/>
  <c r="GZ158"/>
  <c r="HA158" s="1"/>
  <c r="GZ159"/>
  <c r="HA159" s="1"/>
  <c r="GZ160"/>
  <c r="HA160" s="1"/>
  <c r="GZ161"/>
  <c r="HA161" s="1"/>
  <c r="GZ162"/>
  <c r="HA162" s="1"/>
  <c r="GZ163"/>
  <c r="HA163" s="1"/>
  <c r="GZ164"/>
  <c r="HA164" s="1"/>
  <c r="GZ165"/>
  <c r="HA165" s="1"/>
  <c r="GZ166"/>
  <c r="HA166" s="1"/>
  <c r="GZ167"/>
  <c r="HA167" s="1"/>
  <c r="GZ168"/>
  <c r="HA168" s="1"/>
  <c r="GZ169"/>
  <c r="HA169" s="1"/>
  <c r="GZ170"/>
  <c r="HA170" s="1"/>
  <c r="GZ171"/>
  <c r="HA171" s="1"/>
  <c r="GZ172"/>
  <c r="HA172" s="1"/>
  <c r="GZ173"/>
  <c r="HA173" s="1"/>
  <c r="GZ174"/>
  <c r="HA174" s="1"/>
  <c r="GZ175"/>
  <c r="HA175" s="1"/>
  <c r="GZ176"/>
  <c r="HA176" s="1"/>
  <c r="GZ177"/>
  <c r="HA177" s="1"/>
  <c r="GZ178"/>
  <c r="HA178" s="1"/>
  <c r="GZ179"/>
  <c r="HA179" s="1"/>
  <c r="GZ180"/>
  <c r="HA180" s="1"/>
  <c r="GZ181"/>
  <c r="HA181" s="1"/>
  <c r="GZ182"/>
  <c r="HA182" s="1"/>
  <c r="GZ183"/>
  <c r="HA183" s="1"/>
  <c r="GZ184"/>
  <c r="HA184" s="1"/>
  <c r="GZ185"/>
  <c r="HA185" s="1"/>
  <c r="GZ186"/>
  <c r="HA186" s="1"/>
  <c r="GZ187"/>
  <c r="HA187" s="1"/>
  <c r="GZ188"/>
  <c r="HA188" s="1"/>
  <c r="GZ189"/>
  <c r="HA189" s="1"/>
  <c r="GZ190"/>
  <c r="HA190" s="1"/>
  <c r="GZ191"/>
  <c r="HA191" s="1"/>
  <c r="GZ192"/>
  <c r="HA192" s="1"/>
  <c r="GZ193"/>
  <c r="HA193" s="1"/>
  <c r="GZ194"/>
  <c r="HA194" s="1"/>
  <c r="GZ195"/>
  <c r="HA195" s="1"/>
  <c r="GZ196"/>
  <c r="HA196" s="1"/>
  <c r="GZ197"/>
  <c r="HA197" s="1"/>
  <c r="GZ198"/>
  <c r="HA198" s="1"/>
  <c r="GZ199"/>
  <c r="HA199" s="1"/>
  <c r="GZ200"/>
  <c r="HA200" s="1"/>
  <c r="GZ201"/>
  <c r="HA201" s="1"/>
  <c r="GZ202"/>
  <c r="HA202" s="1"/>
  <c r="GZ203"/>
  <c r="HA203" s="1"/>
  <c r="GZ204"/>
  <c r="HA204" s="1"/>
  <c r="GZ205"/>
  <c r="HA205" s="1"/>
  <c r="GZ206"/>
  <c r="HA206" s="1"/>
  <c r="GZ207"/>
  <c r="HA207" s="1"/>
  <c r="J43" i="6"/>
  <c r="A43"/>
  <c r="BL214" i="11"/>
  <c r="A39" i="6" s="1"/>
  <c r="GY209" i="9"/>
  <c r="S13" i="18"/>
  <c r="G22"/>
  <c r="P11"/>
  <c r="HE2" i="9"/>
  <c r="A24" i="18"/>
  <c r="D24"/>
  <c r="O23"/>
  <c r="D23"/>
  <c r="O25"/>
  <c r="F26"/>
  <c r="T13"/>
  <c r="Q13"/>
  <c r="A22"/>
  <c r="O26"/>
  <c r="A26"/>
  <c r="A25"/>
  <c r="Q24"/>
  <c r="L24"/>
  <c r="G24"/>
  <c r="S22"/>
  <c r="Q22"/>
  <c r="O22"/>
  <c r="K22"/>
  <c r="I22"/>
  <c r="D22"/>
  <c r="A21"/>
  <c r="A21" i="4"/>
  <c r="O5" i="18"/>
  <c r="A19"/>
  <c r="A19" i="4"/>
  <c r="Q11" i="18"/>
  <c r="N12"/>
  <c r="M12"/>
  <c r="L12"/>
  <c r="K12"/>
  <c r="I12"/>
  <c r="H12"/>
  <c r="G12"/>
  <c r="F12"/>
  <c r="E12"/>
  <c r="D12"/>
  <c r="C12"/>
  <c r="O11"/>
  <c r="K11"/>
  <c r="J11"/>
  <c r="G11"/>
  <c r="C11"/>
  <c r="A11"/>
  <c r="L9"/>
  <c r="M8"/>
  <c r="M7"/>
  <c r="M6"/>
  <c r="M5"/>
  <c r="H5"/>
  <c r="A8"/>
  <c r="A7"/>
  <c r="A6"/>
  <c r="A5"/>
  <c r="E4"/>
  <c r="A3"/>
  <c r="D2"/>
  <c r="F1"/>
  <c r="AA144" i="19"/>
  <c r="V144"/>
  <c r="R144"/>
  <c r="K144"/>
  <c r="F144"/>
  <c r="B144"/>
  <c r="AB141"/>
  <c r="V141"/>
  <c r="R141"/>
  <c r="L141"/>
  <c r="F141"/>
  <c r="B141"/>
  <c r="AD140"/>
  <c r="Z140"/>
  <c r="V140"/>
  <c r="R140"/>
  <c r="N140"/>
  <c r="J140"/>
  <c r="F140"/>
  <c r="B140"/>
  <c r="AF138"/>
  <c r="AD138"/>
  <c r="AB138"/>
  <c r="Y138"/>
  <c r="W138"/>
  <c r="U138"/>
  <c r="S138"/>
  <c r="R138"/>
  <c r="P138"/>
  <c r="N138"/>
  <c r="L138"/>
  <c r="I138"/>
  <c r="G138"/>
  <c r="E138"/>
  <c r="C138"/>
  <c r="B138"/>
  <c r="AB137"/>
  <c r="L137"/>
  <c r="R135"/>
  <c r="B135"/>
  <c r="AD128"/>
  <c r="AC128"/>
  <c r="AB128"/>
  <c r="AA128"/>
  <c r="Y128"/>
  <c r="X128"/>
  <c r="W128"/>
  <c r="V128"/>
  <c r="U128"/>
  <c r="T128"/>
  <c r="S128"/>
  <c r="N128"/>
  <c r="M128"/>
  <c r="L128"/>
  <c r="K128"/>
  <c r="I128"/>
  <c r="H128"/>
  <c r="G128"/>
  <c r="F128"/>
  <c r="E128"/>
  <c r="D128"/>
  <c r="C128"/>
  <c r="AF127"/>
  <c r="AE127"/>
  <c r="AA127"/>
  <c r="Z127"/>
  <c r="W127"/>
  <c r="S127"/>
  <c r="R127"/>
  <c r="P127"/>
  <c r="O127"/>
  <c r="K127"/>
  <c r="J127"/>
  <c r="G127"/>
  <c r="C127"/>
  <c r="B127"/>
  <c r="Y125"/>
  <c r="I125"/>
  <c r="Y124"/>
  <c r="R124"/>
  <c r="I124"/>
  <c r="B124"/>
  <c r="Y123"/>
  <c r="R123"/>
  <c r="I123"/>
  <c r="B123"/>
  <c r="Y122"/>
  <c r="R122"/>
  <c r="I122"/>
  <c r="B122"/>
  <c r="AB121"/>
  <c r="Y121"/>
  <c r="S121"/>
  <c r="R121"/>
  <c r="L121"/>
  <c r="I121"/>
  <c r="C121"/>
  <c r="B121"/>
  <c r="R119"/>
  <c r="B119"/>
  <c r="S118"/>
  <c r="C118"/>
  <c r="S117"/>
  <c r="C117"/>
  <c r="AA115"/>
  <c r="V115"/>
  <c r="R115"/>
  <c r="K115"/>
  <c r="F115"/>
  <c r="B115"/>
  <c r="AB112"/>
  <c r="V112"/>
  <c r="R112"/>
  <c r="L112"/>
  <c r="F112"/>
  <c r="B112"/>
  <c r="AD111"/>
  <c r="Z111"/>
  <c r="V111"/>
  <c r="R111"/>
  <c r="N111"/>
  <c r="J111"/>
  <c r="F111"/>
  <c r="B111"/>
  <c r="AF109"/>
  <c r="AD109"/>
  <c r="AB109"/>
  <c r="Y109"/>
  <c r="W109"/>
  <c r="U109"/>
  <c r="S109"/>
  <c r="R109"/>
  <c r="P109"/>
  <c r="N109"/>
  <c r="L109"/>
  <c r="I109"/>
  <c r="G109"/>
  <c r="E109"/>
  <c r="C109"/>
  <c r="B109"/>
  <c r="AB108"/>
  <c r="L108"/>
  <c r="R106"/>
  <c r="B106"/>
  <c r="AD99"/>
  <c r="AC99"/>
  <c r="AB99"/>
  <c r="AA99"/>
  <c r="Y99"/>
  <c r="X99"/>
  <c r="W99"/>
  <c r="V99"/>
  <c r="U99"/>
  <c r="T99"/>
  <c r="S99"/>
  <c r="N99"/>
  <c r="M99"/>
  <c r="L99"/>
  <c r="K99"/>
  <c r="I99"/>
  <c r="H99"/>
  <c r="G99"/>
  <c r="F99"/>
  <c r="E99"/>
  <c r="D99"/>
  <c r="C99"/>
  <c r="AF98"/>
  <c r="AE98"/>
  <c r="AA98"/>
  <c r="Z98"/>
  <c r="W98"/>
  <c r="S98"/>
  <c r="R98"/>
  <c r="P98"/>
  <c r="O98"/>
  <c r="K98"/>
  <c r="J98"/>
  <c r="G98"/>
  <c r="C98"/>
  <c r="B98"/>
  <c r="Y96"/>
  <c r="I96"/>
  <c r="Y95"/>
  <c r="R95"/>
  <c r="I95"/>
  <c r="B95"/>
  <c r="Y94"/>
  <c r="R94"/>
  <c r="I94"/>
  <c r="B94"/>
  <c r="Y93"/>
  <c r="R93"/>
  <c r="I93"/>
  <c r="B93"/>
  <c r="AB92"/>
  <c r="Y92"/>
  <c r="S92"/>
  <c r="R92"/>
  <c r="L92"/>
  <c r="I92"/>
  <c r="C92"/>
  <c r="B92"/>
  <c r="R90"/>
  <c r="B90"/>
  <c r="S89"/>
  <c r="C89"/>
  <c r="S88"/>
  <c r="C88"/>
  <c r="AA86"/>
  <c r="V86"/>
  <c r="R86"/>
  <c r="K86"/>
  <c r="F86"/>
  <c r="B86"/>
  <c r="AB83"/>
  <c r="V83"/>
  <c r="R83"/>
  <c r="L83"/>
  <c r="F83"/>
  <c r="B83"/>
  <c r="AD82"/>
  <c r="Z82"/>
  <c r="V82"/>
  <c r="R82"/>
  <c r="N82"/>
  <c r="J82"/>
  <c r="F82"/>
  <c r="B82"/>
  <c r="AF80"/>
  <c r="AD80"/>
  <c r="AB80"/>
  <c r="Y80"/>
  <c r="W80"/>
  <c r="U80"/>
  <c r="S80"/>
  <c r="R80"/>
  <c r="P80"/>
  <c r="N80"/>
  <c r="L80"/>
  <c r="I80"/>
  <c r="G80"/>
  <c r="E80"/>
  <c r="C80"/>
  <c r="B80"/>
  <c r="AB79"/>
  <c r="L79"/>
  <c r="R77"/>
  <c r="B77"/>
  <c r="AD70"/>
  <c r="AC70"/>
  <c r="AB70"/>
  <c r="AA70"/>
  <c r="Y70"/>
  <c r="X70"/>
  <c r="W70"/>
  <c r="V70"/>
  <c r="U70"/>
  <c r="T70"/>
  <c r="S70"/>
  <c r="N70"/>
  <c r="M70"/>
  <c r="L70"/>
  <c r="K70"/>
  <c r="I70"/>
  <c r="H70"/>
  <c r="G70"/>
  <c r="F70"/>
  <c r="E70"/>
  <c r="D70"/>
  <c r="C70"/>
  <c r="AF69"/>
  <c r="AE69"/>
  <c r="AA69"/>
  <c r="Z69"/>
  <c r="W69"/>
  <c r="S69"/>
  <c r="R69"/>
  <c r="P69"/>
  <c r="O69"/>
  <c r="K69"/>
  <c r="J69"/>
  <c r="G69"/>
  <c r="C69"/>
  <c r="B69"/>
  <c r="Y67"/>
  <c r="I67"/>
  <c r="Y66"/>
  <c r="R66"/>
  <c r="I66"/>
  <c r="B66"/>
  <c r="Y65"/>
  <c r="R65"/>
  <c r="I65"/>
  <c r="B65"/>
  <c r="Y64"/>
  <c r="R64"/>
  <c r="I64"/>
  <c r="B64"/>
  <c r="AB63"/>
  <c r="Y63"/>
  <c r="S63"/>
  <c r="R63"/>
  <c r="L63"/>
  <c r="I63"/>
  <c r="C63"/>
  <c r="B63"/>
  <c r="R61"/>
  <c r="B61"/>
  <c r="S60"/>
  <c r="C60"/>
  <c r="S59"/>
  <c r="C59"/>
  <c r="AB54"/>
  <c r="V54"/>
  <c r="R54"/>
  <c r="L54"/>
  <c r="F54"/>
  <c r="B54"/>
  <c r="AB25"/>
  <c r="V25"/>
  <c r="R25"/>
  <c r="L25"/>
  <c r="F25"/>
  <c r="B25"/>
  <c r="GU4" i="9"/>
  <c r="GX4"/>
  <c r="GY2"/>
  <c r="AH7" i="19"/>
  <c r="M12" i="4"/>
  <c r="AA57" i="19" l="1"/>
  <c r="V57"/>
  <c r="R57"/>
  <c r="K57"/>
  <c r="F57"/>
  <c r="B57"/>
  <c r="AD53"/>
  <c r="Z53"/>
  <c r="V53"/>
  <c r="R53"/>
  <c r="N53"/>
  <c r="J53"/>
  <c r="F53"/>
  <c r="B53"/>
  <c r="AF51"/>
  <c r="AD51"/>
  <c r="AB51"/>
  <c r="Y51"/>
  <c r="W51"/>
  <c r="U51"/>
  <c r="S51"/>
  <c r="R51"/>
  <c r="P51"/>
  <c r="N51"/>
  <c r="L51"/>
  <c r="I51"/>
  <c r="G51"/>
  <c r="E51"/>
  <c r="C51"/>
  <c r="B51"/>
  <c r="AB50"/>
  <c r="L50"/>
  <c r="R48"/>
  <c r="B48"/>
  <c r="AD41"/>
  <c r="AC41"/>
  <c r="AB41"/>
  <c r="AA41"/>
  <c r="Y41"/>
  <c r="X41"/>
  <c r="W41"/>
  <c r="V41"/>
  <c r="U41"/>
  <c r="T41"/>
  <c r="S41"/>
  <c r="N41"/>
  <c r="M41"/>
  <c r="L41"/>
  <c r="K41"/>
  <c r="I41"/>
  <c r="H41"/>
  <c r="G41"/>
  <c r="F41"/>
  <c r="E41"/>
  <c r="D41"/>
  <c r="C41"/>
  <c r="AF40"/>
  <c r="AE40"/>
  <c r="AA40"/>
  <c r="Z40"/>
  <c r="W40"/>
  <c r="S40"/>
  <c r="R40"/>
  <c r="P40"/>
  <c r="O40"/>
  <c r="K40"/>
  <c r="J40"/>
  <c r="G40"/>
  <c r="C40"/>
  <c r="B40"/>
  <c r="Y38"/>
  <c r="I38"/>
  <c r="Y37"/>
  <c r="R37"/>
  <c r="I37"/>
  <c r="B37"/>
  <c r="Y36"/>
  <c r="R36"/>
  <c r="I36"/>
  <c r="B36"/>
  <c r="Y35"/>
  <c r="R35"/>
  <c r="I35"/>
  <c r="B35"/>
  <c r="AB34"/>
  <c r="Y34"/>
  <c r="S34"/>
  <c r="R34"/>
  <c r="L34"/>
  <c r="I34"/>
  <c r="C34"/>
  <c r="B34"/>
  <c r="R32"/>
  <c r="B32"/>
  <c r="S31"/>
  <c r="C31"/>
  <c r="S30"/>
  <c r="C30"/>
  <c r="D24" i="4"/>
  <c r="R11" i="19"/>
  <c r="B11"/>
  <c r="A11" i="4"/>
  <c r="AA28" i="19"/>
  <c r="V28"/>
  <c r="R28"/>
  <c r="AD24"/>
  <c r="Z24"/>
  <c r="V24"/>
  <c r="R24"/>
  <c r="AF22"/>
  <c r="AD22"/>
  <c r="AB22"/>
  <c r="Y22"/>
  <c r="W22"/>
  <c r="U22"/>
  <c r="S22"/>
  <c r="R22"/>
  <c r="AB21"/>
  <c r="R19"/>
  <c r="AD12"/>
  <c r="AC12"/>
  <c r="AB12"/>
  <c r="AA12"/>
  <c r="Y12"/>
  <c r="X12"/>
  <c r="W12"/>
  <c r="V12"/>
  <c r="U12"/>
  <c r="T12"/>
  <c r="S12"/>
  <c r="AF11"/>
  <c r="AE11"/>
  <c r="AA11"/>
  <c r="Z11"/>
  <c r="W11"/>
  <c r="S11"/>
  <c r="AB5"/>
  <c r="S5"/>
  <c r="R3"/>
  <c r="B3"/>
  <c r="L5"/>
  <c r="C5"/>
  <c r="Y9"/>
  <c r="Y8"/>
  <c r="R8"/>
  <c r="Y7"/>
  <c r="R7"/>
  <c r="Y6"/>
  <c r="R6"/>
  <c r="Y5"/>
  <c r="R5"/>
  <c r="S2"/>
  <c r="S1"/>
  <c r="F24"/>
  <c r="N22"/>
  <c r="L22"/>
  <c r="I22"/>
  <c r="E22"/>
  <c r="C22"/>
  <c r="B22"/>
  <c r="B19"/>
  <c r="P11"/>
  <c r="I9"/>
  <c r="I8"/>
  <c r="B8"/>
  <c r="I7"/>
  <c r="B7"/>
  <c r="I6"/>
  <c r="B6"/>
  <c r="I5"/>
  <c r="C2"/>
  <c r="C1"/>
  <c r="B5"/>
  <c r="B28"/>
  <c r="F28"/>
  <c r="K28"/>
  <c r="N26" i="4"/>
  <c r="F26"/>
  <c r="F25"/>
  <c r="A26"/>
  <c r="A25"/>
  <c r="N24" i="19"/>
  <c r="Q24" i="4"/>
  <c r="J24" i="19"/>
  <c r="G24" i="4"/>
  <c r="B24" i="19"/>
  <c r="A24" i="4"/>
  <c r="O23"/>
  <c r="L21" i="19"/>
  <c r="D23" i="4"/>
  <c r="P22" i="19"/>
  <c r="G22"/>
  <c r="I22" i="4"/>
  <c r="G22"/>
  <c r="D22"/>
  <c r="A22"/>
  <c r="N12" i="19"/>
  <c r="P11" i="4"/>
  <c r="M12" i="19"/>
  <c r="L12"/>
  <c r="K12"/>
  <c r="O11"/>
  <c r="K11"/>
  <c r="I12"/>
  <c r="H12"/>
  <c r="G12"/>
  <c r="F12"/>
  <c r="E12"/>
  <c r="D12"/>
  <c r="C12"/>
  <c r="J11"/>
  <c r="G11"/>
  <c r="C11"/>
  <c r="D5" i="4"/>
  <c r="B2" i="11"/>
  <c r="A8" i="4"/>
  <c r="A7"/>
  <c r="A6"/>
  <c r="A5"/>
  <c r="G4"/>
  <c r="A3"/>
  <c r="D2"/>
  <c r="G1"/>
  <c r="C2" i="12"/>
  <c r="N25" i="4"/>
  <c r="S214" i="12"/>
  <c r="S212"/>
  <c r="S206"/>
  <c r="HD4" i="9"/>
  <c r="L24" i="4"/>
  <c r="FH4" i="9"/>
  <c r="FG4"/>
  <c r="B215" i="12"/>
  <c r="O22" i="4"/>
  <c r="S22"/>
  <c r="Q22"/>
  <c r="K22"/>
  <c r="FF4" i="9"/>
  <c r="AA4" i="7"/>
  <c r="AA65" l="1"/>
  <c r="AA66"/>
  <c r="AA5"/>
  <c r="AA6" s="1"/>
  <c r="AA7" l="1"/>
  <c r="AA8" s="1"/>
  <c r="AA9" l="1"/>
  <c r="AA10" s="1"/>
  <c r="AA11" s="1"/>
  <c r="AA12" l="1"/>
  <c r="AA13" l="1"/>
  <c r="AA14" l="1"/>
  <c r="AA15" l="1"/>
  <c r="AA16" l="1"/>
  <c r="AA17" l="1"/>
  <c r="AA18" l="1"/>
  <c r="N12" i="4"/>
  <c r="O11"/>
  <c r="S11"/>
  <c r="Q11"/>
  <c r="AZ4" i="9"/>
  <c r="L12" i="4"/>
  <c r="K12"/>
  <c r="K11"/>
  <c r="J11"/>
  <c r="I12"/>
  <c r="G11"/>
  <c r="H12"/>
  <c r="G12"/>
  <c r="F12"/>
  <c r="C11"/>
  <c r="E12"/>
  <c r="D12"/>
  <c r="C12"/>
  <c r="H5"/>
  <c r="G3" i="8"/>
  <c r="E3" i="9" s="1"/>
  <c r="K1" i="12"/>
  <c r="AA19" i="7" l="1"/>
  <c r="AA20" s="1"/>
  <c r="AA21" s="1"/>
  <c r="AA22" s="1"/>
  <c r="AA23" s="1"/>
  <c r="AA24" s="1"/>
  <c r="AA25" s="1"/>
  <c r="AA26" s="1"/>
  <c r="AA27" s="1"/>
  <c r="AA28" s="1"/>
  <c r="AA29" s="1"/>
  <c r="AA30" s="1"/>
  <c r="AA31" s="1"/>
  <c r="AA32" s="1"/>
  <c r="AA33" s="1"/>
  <c r="AA34" s="1"/>
  <c r="AA35" s="1"/>
  <c r="AA36" s="1"/>
  <c r="AA37" s="1"/>
  <c r="AA38" s="1"/>
  <c r="AA39" s="1"/>
  <c r="AA40" s="1"/>
  <c r="AA41" s="1"/>
  <c r="AA42" s="1"/>
  <c r="AA43" s="1"/>
  <c r="AA44" s="1"/>
  <c r="AA45" s="1"/>
  <c r="AA46" s="1"/>
  <c r="AA47" s="1"/>
  <c r="AA48" s="1"/>
  <c r="AA49" s="1"/>
  <c r="AA50" s="1"/>
  <c r="AA51" s="1"/>
  <c r="AA52" s="1"/>
  <c r="AA53" s="1"/>
  <c r="AA54" s="1"/>
  <c r="AA55" s="1"/>
  <c r="AA56" s="1"/>
  <c r="AA57" s="1"/>
  <c r="AA58" s="1"/>
  <c r="AA59" s="1"/>
  <c r="AA60" s="1"/>
  <c r="AA61" s="1"/>
  <c r="AA62" s="1"/>
  <c r="AA63" s="1"/>
  <c r="AA64" s="1"/>
  <c r="T214" i="12"/>
  <c r="T212"/>
  <c r="T209"/>
  <c r="S209"/>
  <c r="F215"/>
  <c r="H205"/>
  <c r="H216"/>
  <c r="H215"/>
  <c r="H214"/>
  <c r="B214"/>
  <c r="H213"/>
  <c r="B213"/>
  <c r="H212"/>
  <c r="B212"/>
  <c r="H211"/>
  <c r="B211"/>
  <c r="H210"/>
  <c r="B210"/>
  <c r="H209"/>
  <c r="B209"/>
  <c r="H208"/>
  <c r="B208"/>
  <c r="H207"/>
  <c r="B207"/>
  <c r="H206"/>
  <c r="E206"/>
  <c r="B206"/>
  <c r="B205"/>
  <c r="S2"/>
  <c r="T2"/>
  <c r="AR2" i="15"/>
  <c r="K2" i="12"/>
  <c r="K2" i="15"/>
  <c r="B4" i="12"/>
  <c r="C4"/>
  <c r="D4"/>
  <c r="E4"/>
  <c r="F4"/>
  <c r="G4"/>
  <c r="A4"/>
  <c r="A1"/>
  <c r="A1" i="11"/>
  <c r="O205"/>
  <c r="M209"/>
  <c r="M211"/>
  <c r="M205"/>
  <c r="O211"/>
  <c r="J211"/>
  <c r="J209"/>
  <c r="J207"/>
  <c r="J205"/>
  <c r="D210"/>
  <c r="D212"/>
  <c r="D211"/>
  <c r="D209"/>
  <c r="D208"/>
  <c r="D207"/>
  <c r="D206"/>
  <c r="K2"/>
  <c r="L2"/>
  <c r="R2"/>
  <c r="Q2"/>
  <c r="P2"/>
  <c r="O2"/>
  <c r="N2"/>
  <c r="M2"/>
  <c r="J3"/>
  <c r="H3"/>
  <c r="I3"/>
  <c r="E2"/>
  <c r="F2"/>
  <c r="G2"/>
  <c r="D2"/>
  <c r="D5" i="15"/>
  <c r="C3" i="11"/>
  <c r="B3"/>
  <c r="A3"/>
  <c r="A5" i="15"/>
  <c r="H2" i="11"/>
  <c r="L30" i="6"/>
  <c r="A2" i="11"/>
  <c r="G30" i="6"/>
  <c r="N1" i="11"/>
  <c r="A28" i="6"/>
  <c r="A5" i="11"/>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31" i="6"/>
  <c r="J23"/>
  <c r="J44" s="1"/>
  <c r="A23"/>
  <c r="A44" s="1"/>
  <c r="F2"/>
  <c r="J22"/>
  <c r="A22"/>
  <c r="H19"/>
  <c r="I19"/>
  <c r="B14"/>
  <c r="B11"/>
  <c r="O4"/>
  <c r="N4"/>
  <c r="M4"/>
  <c r="L4"/>
  <c r="K4"/>
  <c r="J4"/>
  <c r="I4"/>
  <c r="H4"/>
  <c r="G4"/>
  <c r="F4"/>
  <c r="D4"/>
  <c r="C4"/>
  <c r="E4"/>
  <c r="B4"/>
  <c r="A4"/>
  <c r="A2"/>
  <c r="A1"/>
  <c r="A30"/>
  <c r="J2"/>
  <c r="F2" i="15"/>
  <c r="G2" i="12" s="1"/>
  <c r="A2" i="15"/>
  <c r="A2" i="12" s="1"/>
  <c r="A1" i="15"/>
  <c r="AC8" i="7" l="1"/>
  <c r="AC4"/>
  <c r="AC14"/>
  <c r="AC16"/>
  <c r="AC9"/>
  <c r="AC23"/>
  <c r="AC30"/>
  <c r="AC29"/>
  <c r="AC27"/>
  <c r="AC66"/>
  <c r="AC18"/>
  <c r="AC15"/>
  <c r="AC10"/>
  <c r="AC5"/>
  <c r="AC43"/>
  <c r="AC42"/>
  <c r="AC28"/>
  <c r="AC19"/>
  <c r="AC41"/>
  <c r="AC34"/>
  <c r="AC13"/>
  <c r="AC7"/>
  <c r="AC17"/>
  <c r="AC26"/>
  <c r="AC24"/>
  <c r="AC49"/>
  <c r="AC40"/>
  <c r="AC20"/>
  <c r="AC63"/>
  <c r="AC11"/>
  <c r="AC12"/>
  <c r="AC6"/>
  <c r="AC33"/>
  <c r="AC47"/>
  <c r="AC32"/>
  <c r="AC64"/>
  <c r="AC44"/>
  <c r="AC67"/>
  <c r="AC36"/>
  <c r="AC25"/>
  <c r="AC31"/>
  <c r="AC57"/>
  <c r="AC52"/>
  <c r="AC58"/>
  <c r="AC21"/>
  <c r="AC38"/>
  <c r="AC56"/>
  <c r="AC46"/>
  <c r="AC61"/>
  <c r="AC39"/>
  <c r="AC65"/>
  <c r="AC54"/>
  <c r="AC55"/>
  <c r="AC62"/>
  <c r="AC45"/>
  <c r="AC48"/>
  <c r="AC59"/>
  <c r="AC37"/>
  <c r="AC50"/>
  <c r="AC53"/>
  <c r="AC60"/>
  <c r="AC51"/>
  <c r="AC35"/>
  <c r="AC22"/>
  <c r="EC2" i="9"/>
  <c r="E2" i="15"/>
  <c r="C2"/>
  <c r="D2"/>
  <c r="G2" i="8"/>
  <c r="G1"/>
  <c r="G3" i="9" s="1"/>
  <c r="T216" i="15"/>
  <c r="T214"/>
  <c r="T211"/>
  <c r="G217"/>
  <c r="I218"/>
  <c r="I217"/>
  <c r="B217"/>
  <c r="S216"/>
  <c r="I216"/>
  <c r="B216"/>
  <c r="I215"/>
  <c r="B215"/>
  <c r="S214"/>
  <c r="I214"/>
  <c r="B214"/>
  <c r="I213"/>
  <c r="B213"/>
  <c r="I212"/>
  <c r="B212"/>
  <c r="S211"/>
  <c r="I211"/>
  <c r="B211"/>
  <c r="I210"/>
  <c r="B210"/>
  <c r="I209"/>
  <c r="B209"/>
  <c r="S208"/>
  <c r="I208"/>
  <c r="G208"/>
  <c r="F208"/>
  <c r="E208"/>
  <c r="B208"/>
  <c r="AS8"/>
  <c r="AS9"/>
  <c r="O6" i="11" s="1"/>
  <c r="AS10" i="15"/>
  <c r="AS11"/>
  <c r="AS12"/>
  <c r="AS15"/>
  <c r="AS16"/>
  <c r="AS17"/>
  <c r="O14" i="11" s="1"/>
  <c r="AS18" i="15"/>
  <c r="O15" i="11" s="1"/>
  <c r="AS19" i="15"/>
  <c r="AS20"/>
  <c r="AS21"/>
  <c r="AS22"/>
  <c r="AS23"/>
  <c r="AS24"/>
  <c r="AS25"/>
  <c r="O22" i="11" s="1"/>
  <c r="AS26" i="15"/>
  <c r="AS27"/>
  <c r="AS28"/>
  <c r="AS29"/>
  <c r="O26" i="11" s="1"/>
  <c r="AS30" i="15"/>
  <c r="O27" i="11" s="1"/>
  <c r="AS31" i="15"/>
  <c r="AS32"/>
  <c r="AS33"/>
  <c r="AS34"/>
  <c r="O31" i="11" s="1"/>
  <c r="AS35" i="15"/>
  <c r="AS36"/>
  <c r="AS37"/>
  <c r="AS38"/>
  <c r="AS39"/>
  <c r="AS40"/>
  <c r="AS41"/>
  <c r="O38" i="11" s="1"/>
  <c r="AS42" i="15"/>
  <c r="AS43"/>
  <c r="AS44"/>
  <c r="AS45"/>
  <c r="O42" i="11" s="1"/>
  <c r="AS46" i="15"/>
  <c r="O43" i="11" s="1"/>
  <c r="AS47" i="15"/>
  <c r="AS48"/>
  <c r="AS49"/>
  <c r="AS50"/>
  <c r="O47" i="11" s="1"/>
  <c r="AS51" i="15"/>
  <c r="AS52"/>
  <c r="AS53"/>
  <c r="AS54"/>
  <c r="AS55"/>
  <c r="AS56"/>
  <c r="AS57"/>
  <c r="O54" i="11" s="1"/>
  <c r="AS58" i="15"/>
  <c r="AS59"/>
  <c r="AS60"/>
  <c r="AS61"/>
  <c r="O58" i="11" s="1"/>
  <c r="AS62" i="15"/>
  <c r="O59" i="11" s="1"/>
  <c r="AS63" i="15"/>
  <c r="AS64"/>
  <c r="AS65"/>
  <c r="AS66"/>
  <c r="O63" i="11" s="1"/>
  <c r="AS67" i="15"/>
  <c r="AS68"/>
  <c r="AS69"/>
  <c r="AS70"/>
  <c r="AS71"/>
  <c r="AS72"/>
  <c r="AS73"/>
  <c r="O70" i="11" s="1"/>
  <c r="AS74" i="15"/>
  <c r="AS75"/>
  <c r="AS76"/>
  <c r="AS77"/>
  <c r="O74" i="11" s="1"/>
  <c r="AS78" i="15"/>
  <c r="O75" i="11" s="1"/>
  <c r="AS79" i="15"/>
  <c r="AS80"/>
  <c r="AS81"/>
  <c r="AS82"/>
  <c r="O79" i="11" s="1"/>
  <c r="AS83" i="15"/>
  <c r="AS84"/>
  <c r="AS85"/>
  <c r="O82" i="11" s="1"/>
  <c r="AS86" i="15"/>
  <c r="AS87"/>
  <c r="AS88"/>
  <c r="AS89"/>
  <c r="O86" i="11" s="1"/>
  <c r="AS90" i="15"/>
  <c r="AS91"/>
  <c r="AS92"/>
  <c r="AS93"/>
  <c r="O90" i="11" s="1"/>
  <c r="AS94" i="15"/>
  <c r="AS95"/>
  <c r="AS96"/>
  <c r="AS97"/>
  <c r="O94" i="11" s="1"/>
  <c r="AS98" i="15"/>
  <c r="O95" i="11" s="1"/>
  <c r="AS99" i="15"/>
  <c r="AS100"/>
  <c r="AS101"/>
  <c r="AS102"/>
  <c r="O99" i="11" s="1"/>
  <c r="AS103" i="15"/>
  <c r="AS104"/>
  <c r="AS105"/>
  <c r="AS106"/>
  <c r="AS107"/>
  <c r="AS108"/>
  <c r="AS109"/>
  <c r="O106" i="11" s="1"/>
  <c r="AS110" i="15"/>
  <c r="AS111"/>
  <c r="AS112"/>
  <c r="AS113"/>
  <c r="O110" i="11" s="1"/>
  <c r="AS114" i="15"/>
  <c r="AS115"/>
  <c r="AS116"/>
  <c r="AS117"/>
  <c r="O114" i="11" s="1"/>
  <c r="AS118" i="15"/>
  <c r="O115" i="11" s="1"/>
  <c r="AS119" i="15"/>
  <c r="AS120"/>
  <c r="AS121"/>
  <c r="AS122"/>
  <c r="O119" i="11" s="1"/>
  <c r="AS123" i="15"/>
  <c r="AS124"/>
  <c r="AS125"/>
  <c r="AS126"/>
  <c r="AS127"/>
  <c r="AS128"/>
  <c r="AS129"/>
  <c r="O126" i="11" s="1"/>
  <c r="AS130" i="15"/>
  <c r="AS131"/>
  <c r="AS132"/>
  <c r="AS133"/>
  <c r="O130" i="11" s="1"/>
  <c r="AS134" i="15"/>
  <c r="O131" i="11" s="1"/>
  <c r="AS135" i="15"/>
  <c r="AS136"/>
  <c r="AS137"/>
  <c r="AS138"/>
  <c r="O135" i="11" s="1"/>
  <c r="AS139" i="15"/>
  <c r="AS140"/>
  <c r="AS141"/>
  <c r="AS142"/>
  <c r="AS143"/>
  <c r="AS144"/>
  <c r="AS145"/>
  <c r="O142" i="11" s="1"/>
  <c r="AS146" i="15"/>
  <c r="AS147"/>
  <c r="AS148"/>
  <c r="AS149"/>
  <c r="O146" i="11" s="1"/>
  <c r="AS150" i="15"/>
  <c r="O147" i="11" s="1"/>
  <c r="AS151" i="15"/>
  <c r="AS152"/>
  <c r="AS153"/>
  <c r="AS154"/>
  <c r="O151" i="11" s="1"/>
  <c r="AS155" i="15"/>
  <c r="AS156"/>
  <c r="AS157"/>
  <c r="AS158"/>
  <c r="AS159"/>
  <c r="AS160"/>
  <c r="AS161"/>
  <c r="O158" i="11" s="1"/>
  <c r="AS162" i="15"/>
  <c r="AS163"/>
  <c r="AS164"/>
  <c r="AS165"/>
  <c r="O162" i="11" s="1"/>
  <c r="AS166" i="15"/>
  <c r="O163" i="11" s="1"/>
  <c r="AS167" i="15"/>
  <c r="AS168"/>
  <c r="AS169"/>
  <c r="AS170"/>
  <c r="O167" i="11" s="1"/>
  <c r="AS171" i="15"/>
  <c r="AS172"/>
  <c r="AS173"/>
  <c r="AS174"/>
  <c r="AS175"/>
  <c r="AS176"/>
  <c r="AS177"/>
  <c r="O174" i="11" s="1"/>
  <c r="AS178" i="15"/>
  <c r="AS179"/>
  <c r="AS180"/>
  <c r="AS181"/>
  <c r="O178" i="11" s="1"/>
  <c r="AS182" i="15"/>
  <c r="AS183"/>
  <c r="AS184"/>
  <c r="AS185"/>
  <c r="O182" i="11" s="1"/>
  <c r="AS186" i="15"/>
  <c r="AS187"/>
  <c r="AS188"/>
  <c r="AS189"/>
  <c r="O186" i="11" s="1"/>
  <c r="AS190" i="15"/>
  <c r="AS191"/>
  <c r="AS192"/>
  <c r="AS193"/>
  <c r="O190" i="11" s="1"/>
  <c r="AS194" i="15"/>
  <c r="AS195"/>
  <c r="AS196"/>
  <c r="AS197"/>
  <c r="AS198"/>
  <c r="AS199"/>
  <c r="AS200"/>
  <c r="AS201"/>
  <c r="AS202"/>
  <c r="AS203"/>
  <c r="AS204"/>
  <c r="AS205"/>
  <c r="AS206"/>
  <c r="AS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T1"/>
  <c r="AT5"/>
  <c r="AU5"/>
  <c r="AS5"/>
  <c r="AP5"/>
  <c r="AO5"/>
  <c r="AN5"/>
  <c r="AM5"/>
  <c r="AL5"/>
  <c r="AK5"/>
  <c r="AJ5"/>
  <c r="AI5"/>
  <c r="AH5"/>
  <c r="AG5"/>
  <c r="AF5"/>
  <c r="AE5"/>
  <c r="AD5"/>
  <c r="AC5"/>
  <c r="AB5"/>
  <c r="AA5"/>
  <c r="Z5"/>
  <c r="Y5"/>
  <c r="X5"/>
  <c r="W5"/>
  <c r="V5"/>
  <c r="U5"/>
  <c r="AS2"/>
  <c r="AQ2"/>
  <c r="T2"/>
  <c r="S2"/>
  <c r="AG4"/>
  <c r="AD4"/>
  <c r="S6"/>
  <c r="J5"/>
  <c r="J4" i="12" s="1"/>
  <c r="I5" i="15"/>
  <c r="I4" i="12" s="1"/>
  <c r="H5" i="15"/>
  <c r="H4" i="12" s="1"/>
  <c r="F5" i="15"/>
  <c r="G5"/>
  <c r="B5"/>
  <c r="C5"/>
  <c r="E5"/>
  <c r="A2" i="9"/>
  <c r="AU185" i="15" l="1"/>
  <c r="AU29"/>
  <c r="AU133"/>
  <c r="AU102"/>
  <c r="AU77"/>
  <c r="AU46"/>
  <c r="AU93"/>
  <c r="AU17"/>
  <c r="AU181"/>
  <c r="AU117"/>
  <c r="AU89"/>
  <c r="AU45"/>
  <c r="AU149"/>
  <c r="AU61"/>
  <c r="AU165"/>
  <c r="AU109"/>
  <c r="AU206"/>
  <c r="O203" i="11"/>
  <c r="AU202" i="15"/>
  <c r="O199" i="11"/>
  <c r="AU198" i="15"/>
  <c r="O195" i="11"/>
  <c r="AU194" i="15"/>
  <c r="O191" i="11"/>
  <c r="AU191" i="15"/>
  <c r="O188" i="11"/>
  <c r="AU188" i="15"/>
  <c r="O185" i="11"/>
  <c r="AU178" i="15"/>
  <c r="O175" i="11"/>
  <c r="AU175" i="15"/>
  <c r="O172" i="11"/>
  <c r="AU171" i="15"/>
  <c r="O168" i="11"/>
  <c r="AU168" i="15"/>
  <c r="O165" i="11"/>
  <c r="AU162" i="15"/>
  <c r="O159" i="11"/>
  <c r="AU159" i="15"/>
  <c r="O156" i="11"/>
  <c r="AU155" i="15"/>
  <c r="O152" i="11"/>
  <c r="AU152" i="15"/>
  <c r="O149" i="11"/>
  <c r="AU146" i="15"/>
  <c r="O143" i="11"/>
  <c r="AU143" i="15"/>
  <c r="O140" i="11"/>
  <c r="AU139" i="15"/>
  <c r="O136" i="11"/>
  <c r="AU136" i="15"/>
  <c r="O133" i="11"/>
  <c r="AU130" i="15"/>
  <c r="O127" i="11"/>
  <c r="AU127" i="15"/>
  <c r="O124" i="11"/>
  <c r="AU123" i="15"/>
  <c r="O120" i="11"/>
  <c r="AU120" i="15"/>
  <c r="O117" i="11"/>
  <c r="AU114" i="15"/>
  <c r="O111" i="11"/>
  <c r="AU111" i="15"/>
  <c r="O108" i="11"/>
  <c r="AU108" i="15"/>
  <c r="O105" i="11"/>
  <c r="AU104" i="15"/>
  <c r="O101" i="11"/>
  <c r="AU101" i="15"/>
  <c r="O98" i="11"/>
  <c r="AU95" i="15"/>
  <c r="O92" i="11"/>
  <c r="AU92" i="15"/>
  <c r="O89" i="11"/>
  <c r="AU79" i="15"/>
  <c r="O76" i="11"/>
  <c r="AU70" i="15"/>
  <c r="O67" i="11"/>
  <c r="AU63" i="15"/>
  <c r="O60" i="11"/>
  <c r="AU54" i="15"/>
  <c r="O51" i="11"/>
  <c r="AU47" i="15"/>
  <c r="O44" i="11"/>
  <c r="AU38" i="15"/>
  <c r="O35" i="11"/>
  <c r="AU31" i="15"/>
  <c r="O28" i="11"/>
  <c r="AU22" i="15"/>
  <c r="O19" i="11"/>
  <c r="AU16" i="15"/>
  <c r="O13" i="11"/>
  <c r="AU85" i="15"/>
  <c r="AU82"/>
  <c r="AU73"/>
  <c r="AU66"/>
  <c r="AU57"/>
  <c r="AU50"/>
  <c r="AU41"/>
  <c r="AU34"/>
  <c r="AU25"/>
  <c r="AU18"/>
  <c r="AU203"/>
  <c r="O200" i="11"/>
  <c r="AU199" i="15"/>
  <c r="O196" i="11"/>
  <c r="AU195" i="15"/>
  <c r="O192" i="11"/>
  <c r="AU192" i="15"/>
  <c r="O189" i="11"/>
  <c r="AU182" i="15"/>
  <c r="O179" i="11"/>
  <c r="AU179" i="15"/>
  <c r="O176" i="11"/>
  <c r="AU176" i="15"/>
  <c r="O173" i="11"/>
  <c r="AU169" i="15"/>
  <c r="O166" i="11"/>
  <c r="AU163" i="15"/>
  <c r="O160" i="11"/>
  <c r="AU160" i="15"/>
  <c r="O157" i="11"/>
  <c r="AU156" i="15"/>
  <c r="O153" i="11"/>
  <c r="AU153" i="15"/>
  <c r="O150" i="11"/>
  <c r="AU147" i="15"/>
  <c r="O144" i="11"/>
  <c r="AU144" i="15"/>
  <c r="O141" i="11"/>
  <c r="AU140" i="15"/>
  <c r="O137" i="11"/>
  <c r="AU137" i="15"/>
  <c r="O134" i="11"/>
  <c r="AU131" i="15"/>
  <c r="O128" i="11"/>
  <c r="AU128" i="15"/>
  <c r="O125" i="11"/>
  <c r="AU124" i="15"/>
  <c r="O121" i="11"/>
  <c r="AU121" i="15"/>
  <c r="O118" i="11"/>
  <c r="AU115" i="15"/>
  <c r="O112" i="11"/>
  <c r="AU112" i="15"/>
  <c r="O109" i="11"/>
  <c r="AU105" i="15"/>
  <c r="O102" i="11"/>
  <c r="AU96" i="15"/>
  <c r="O93" i="11"/>
  <c r="AU86" i="15"/>
  <c r="O83" i="11"/>
  <c r="AU83" i="15"/>
  <c r="O80" i="11"/>
  <c r="AU80" i="15"/>
  <c r="O77" i="11"/>
  <c r="AU74" i="15"/>
  <c r="O71" i="11"/>
  <c r="AU71" i="15"/>
  <c r="O68" i="11"/>
  <c r="AU67" i="15"/>
  <c r="O64" i="11"/>
  <c r="AU64" i="15"/>
  <c r="O61" i="11"/>
  <c r="AU58" i="15"/>
  <c r="O55" i="11"/>
  <c r="AU55" i="15"/>
  <c r="O52" i="11"/>
  <c r="AU51" i="15"/>
  <c r="O48" i="11"/>
  <c r="AU48" i="15"/>
  <c r="O45" i="11"/>
  <c r="AU42" i="15"/>
  <c r="O39" i="11"/>
  <c r="AU39" i="15"/>
  <c r="O36" i="11"/>
  <c r="AU35" i="15"/>
  <c r="O32" i="11"/>
  <c r="AU32" i="15"/>
  <c r="O29" i="11"/>
  <c r="AU26" i="15"/>
  <c r="O23" i="11"/>
  <c r="AU23" i="15"/>
  <c r="O20" i="11"/>
  <c r="AU19" i="15"/>
  <c r="O16" i="11"/>
  <c r="AU98" i="15"/>
  <c r="AU204"/>
  <c r="O201" i="11"/>
  <c r="AU200" i="15"/>
  <c r="O197" i="11"/>
  <c r="AU196" i="15"/>
  <c r="O193" i="11"/>
  <c r="AU186" i="15"/>
  <c r="O183" i="11"/>
  <c r="AU183" i="15"/>
  <c r="O180" i="11"/>
  <c r="AU180" i="15"/>
  <c r="O177" i="11"/>
  <c r="AU173" i="15"/>
  <c r="O170" i="11"/>
  <c r="AU164" i="15"/>
  <c r="O161" i="11"/>
  <c r="AU157" i="15"/>
  <c r="O154" i="11"/>
  <c r="AU148" i="15"/>
  <c r="O145" i="11"/>
  <c r="AU141" i="15"/>
  <c r="O138" i="11"/>
  <c r="AU132" i="15"/>
  <c r="O129" i="11"/>
  <c r="AU125" i="15"/>
  <c r="O122" i="11"/>
  <c r="AU116" i="15"/>
  <c r="O113" i="11"/>
  <c r="AU106" i="15"/>
  <c r="O103" i="11"/>
  <c r="AU99" i="15"/>
  <c r="O96" i="11"/>
  <c r="AU90" i="15"/>
  <c r="O87" i="11"/>
  <c r="AU87" i="15"/>
  <c r="O84" i="11"/>
  <c r="AU84" i="15"/>
  <c r="O81" i="11"/>
  <c r="AU81" i="15"/>
  <c r="O78" i="11"/>
  <c r="AU75" i="15"/>
  <c r="O72" i="11"/>
  <c r="AU72" i="15"/>
  <c r="O69" i="11"/>
  <c r="AU68" i="15"/>
  <c r="O65" i="11"/>
  <c r="AU65" i="15"/>
  <c r="O62" i="11"/>
  <c r="AU59" i="15"/>
  <c r="O56" i="11"/>
  <c r="AU56" i="15"/>
  <c r="O53" i="11"/>
  <c r="AU52" i="15"/>
  <c r="O49" i="11"/>
  <c r="AU49" i="15"/>
  <c r="O46" i="11"/>
  <c r="AU43" i="15"/>
  <c r="O40" i="11"/>
  <c r="AU40" i="15"/>
  <c r="O37" i="11"/>
  <c r="AU36" i="15"/>
  <c r="O33" i="11"/>
  <c r="AU33" i="15"/>
  <c r="O30" i="11"/>
  <c r="AU27" i="15"/>
  <c r="O24" i="11"/>
  <c r="AU24" i="15"/>
  <c r="O21" i="11"/>
  <c r="AU20" i="15"/>
  <c r="O17" i="11"/>
  <c r="AU189" i="15"/>
  <c r="AU166"/>
  <c r="AU150"/>
  <c r="AU134"/>
  <c r="AU118"/>
  <c r="AU205"/>
  <c r="O202" i="11"/>
  <c r="AU201" i="15"/>
  <c r="O198" i="11"/>
  <c r="AU197" i="15"/>
  <c r="O194" i="11"/>
  <c r="AU190" i="15"/>
  <c r="O187" i="11"/>
  <c r="AU187" i="15"/>
  <c r="O184" i="11"/>
  <c r="AU184" i="15"/>
  <c r="O181" i="11"/>
  <c r="AU174" i="15"/>
  <c r="O171" i="11"/>
  <c r="AU167" i="15"/>
  <c r="O164" i="11"/>
  <c r="AU158" i="15"/>
  <c r="O155" i="11"/>
  <c r="AU151" i="15"/>
  <c r="O148" i="11"/>
  <c r="AU142" i="15"/>
  <c r="O139" i="11"/>
  <c r="AU135" i="15"/>
  <c r="O132" i="11"/>
  <c r="AU126" i="15"/>
  <c r="O123" i="11"/>
  <c r="AU119" i="15"/>
  <c r="O116" i="11"/>
  <c r="AU110" i="15"/>
  <c r="O107" i="11"/>
  <c r="AU107" i="15"/>
  <c r="O104" i="11"/>
  <c r="AU103" i="15"/>
  <c r="O100" i="11"/>
  <c r="AU100" i="15"/>
  <c r="O97" i="11"/>
  <c r="AU94" i="15"/>
  <c r="O91" i="11"/>
  <c r="AU91" i="15"/>
  <c r="O88" i="11"/>
  <c r="AU88" i="15"/>
  <c r="O85" i="11"/>
  <c r="AU76" i="15"/>
  <c r="O73" i="11"/>
  <c r="AU69" i="15"/>
  <c r="O66" i="11"/>
  <c r="AU60" i="15"/>
  <c r="O57" i="11"/>
  <c r="AU53" i="15"/>
  <c r="O50" i="11"/>
  <c r="AU44" i="15"/>
  <c r="O41" i="11"/>
  <c r="AU37" i="15"/>
  <c r="O34" i="11"/>
  <c r="AU28" i="15"/>
  <c r="O25" i="11"/>
  <c r="AU21" i="15"/>
  <c r="O18" i="11"/>
  <c r="AU15" i="15"/>
  <c r="O12" i="11"/>
  <c r="AU193" i="15"/>
  <c r="AU177"/>
  <c r="AU170"/>
  <c r="AU161"/>
  <c r="AU154"/>
  <c r="AU145"/>
  <c r="AU138"/>
  <c r="AU129"/>
  <c r="AU122"/>
  <c r="AU113"/>
  <c r="AU97"/>
  <c r="AU78"/>
  <c r="AU62"/>
  <c r="AU30"/>
  <c r="AU172"/>
  <c r="O169" i="11"/>
  <c r="AF4" i="7"/>
  <c r="AU12" i="15"/>
  <c r="O9" i="11"/>
  <c r="AU11" i="15"/>
  <c r="O8" i="11"/>
  <c r="AU10" i="15"/>
  <c r="O7" i="11"/>
  <c r="AU9" i="15"/>
  <c r="AU8"/>
  <c r="O5" i="11"/>
  <c r="GX218" i="9" l="1"/>
  <c r="GX216"/>
  <c r="GX210"/>
  <c r="GX214"/>
  <c r="GX209"/>
  <c r="HE219"/>
  <c r="GY219"/>
  <c r="HE218"/>
  <c r="GY218"/>
  <c r="BL216" i="11" s="1"/>
  <c r="A41" i="6" s="1"/>
  <c r="GV218" i="9"/>
  <c r="HE217"/>
  <c r="GY217"/>
  <c r="BL212" i="11" s="1"/>
  <c r="A37" i="6" s="1"/>
  <c r="HE216" i="9"/>
  <c r="GY216"/>
  <c r="BL215" i="11" s="1"/>
  <c r="A40" i="6" s="1"/>
  <c r="GV216" i="9"/>
  <c r="HE215"/>
  <c r="GY215"/>
  <c r="BL213" i="11" s="1"/>
  <c r="A38" i="6" s="1"/>
  <c r="HE214" i="9"/>
  <c r="GY214"/>
  <c r="BL211" i="11" s="1"/>
  <c r="A36" i="6" s="1"/>
  <c r="GV214" i="9"/>
  <c r="HE213"/>
  <c r="GY213"/>
  <c r="BL210" i="11" s="1"/>
  <c r="A35" i="6" s="1"/>
  <c r="HE212" i="9"/>
  <c r="GY212"/>
  <c r="BL209" i="11" s="1"/>
  <c r="A34" i="6" s="1"/>
  <c r="GV212" i="9"/>
  <c r="HE211"/>
  <c r="GY211"/>
  <c r="BL208" i="11" s="1"/>
  <c r="A33" i="6" s="1"/>
  <c r="HE210" i="9"/>
  <c r="GY210"/>
  <c r="BL207" i="11" s="1"/>
  <c r="A32" i="6" s="1"/>
  <c r="GV210" i="9"/>
  <c r="HE209"/>
  <c r="GV209"/>
  <c r="HE208"/>
  <c r="GV208"/>
  <c r="DO216"/>
  <c r="GG8"/>
  <c r="CP209"/>
  <c r="CK209"/>
  <c r="BS209"/>
  <c r="BN209"/>
  <c r="F219"/>
  <c r="F218"/>
  <c r="F217"/>
  <c r="F216"/>
  <c r="F215"/>
  <c r="F214"/>
  <c r="F213"/>
  <c r="F212"/>
  <c r="F211"/>
  <c r="F210"/>
  <c r="F209"/>
  <c r="A209"/>
  <c r="IC6" l="1"/>
  <c r="IB6"/>
  <c r="IA6"/>
  <c r="HH4"/>
  <c r="HG4"/>
  <c r="HF4"/>
  <c r="HE4"/>
  <c r="HC4"/>
  <c r="HB4"/>
  <c r="GZ4"/>
  <c r="GY4"/>
  <c r="GT2"/>
  <c r="GW4"/>
  <c r="GV4"/>
  <c r="GT4"/>
  <c r="FJ2"/>
  <c r="FI4"/>
  <c r="EY9" l="1"/>
  <c r="FB9" s="1"/>
  <c r="EZ9"/>
  <c r="FA9"/>
  <c r="FC9"/>
  <c r="FD9"/>
  <c r="FE9" s="1"/>
  <c r="EY10"/>
  <c r="FB10" s="1"/>
  <c r="EZ10"/>
  <c r="FA10"/>
  <c r="FC10"/>
  <c r="FE10" s="1"/>
  <c r="FD10"/>
  <c r="EY11"/>
  <c r="EZ11"/>
  <c r="FA11"/>
  <c r="FC11"/>
  <c r="FD11"/>
  <c r="FE11"/>
  <c r="EY12"/>
  <c r="FB12" s="1"/>
  <c r="EZ12"/>
  <c r="FA12"/>
  <c r="FC12"/>
  <c r="FD12"/>
  <c r="EY13"/>
  <c r="EZ13"/>
  <c r="FA13"/>
  <c r="FC13"/>
  <c r="FD13"/>
  <c r="FE13"/>
  <c r="EY14"/>
  <c r="FE14" s="1"/>
  <c r="EZ14"/>
  <c r="FA14"/>
  <c r="FC14"/>
  <c r="FD14"/>
  <c r="EY15"/>
  <c r="EZ15"/>
  <c r="FA15"/>
  <c r="FC15"/>
  <c r="FD15"/>
  <c r="FE15"/>
  <c r="EY16"/>
  <c r="FE16" s="1"/>
  <c r="EZ16"/>
  <c r="FA16"/>
  <c r="FC16"/>
  <c r="FD16"/>
  <c r="EY17"/>
  <c r="EZ17"/>
  <c r="FA17"/>
  <c r="FC17"/>
  <c r="FD17"/>
  <c r="FE17"/>
  <c r="EY18"/>
  <c r="FE18" s="1"/>
  <c r="EZ18"/>
  <c r="FA18"/>
  <c r="FC18"/>
  <c r="FD18"/>
  <c r="EY19"/>
  <c r="EZ19"/>
  <c r="FA19"/>
  <c r="FC19"/>
  <c r="FD19"/>
  <c r="FE19"/>
  <c r="EY20"/>
  <c r="FE20" s="1"/>
  <c r="EZ20"/>
  <c r="FA20"/>
  <c r="FC20"/>
  <c r="FD20"/>
  <c r="EY21"/>
  <c r="FB21" s="1"/>
  <c r="EZ21"/>
  <c r="FA21"/>
  <c r="FC21"/>
  <c r="FD21"/>
  <c r="EY22"/>
  <c r="FB22" s="1"/>
  <c r="EZ22"/>
  <c r="FA22"/>
  <c r="FC22"/>
  <c r="FD22"/>
  <c r="EY23"/>
  <c r="FB23" s="1"/>
  <c r="EZ23"/>
  <c r="FA23"/>
  <c r="FC23"/>
  <c r="FD23"/>
  <c r="EY24"/>
  <c r="FB24" s="1"/>
  <c r="EZ24"/>
  <c r="FA24"/>
  <c r="FC24"/>
  <c r="FD24"/>
  <c r="EY25"/>
  <c r="FB25" s="1"/>
  <c r="EZ25"/>
  <c r="FA25"/>
  <c r="FC25"/>
  <c r="FD25"/>
  <c r="EY26"/>
  <c r="FB26" s="1"/>
  <c r="EZ26"/>
  <c r="FA26"/>
  <c r="FC26"/>
  <c r="FD26"/>
  <c r="EY27"/>
  <c r="FB27" s="1"/>
  <c r="EZ27"/>
  <c r="FA27"/>
  <c r="FC27"/>
  <c r="FD27"/>
  <c r="EY28"/>
  <c r="FB28" s="1"/>
  <c r="EZ28"/>
  <c r="FA28"/>
  <c r="FC28"/>
  <c r="FD28"/>
  <c r="EY29"/>
  <c r="FB29" s="1"/>
  <c r="EZ29"/>
  <c r="FA29"/>
  <c r="FC29"/>
  <c r="FD29"/>
  <c r="EY30"/>
  <c r="FB30" s="1"/>
  <c r="EZ30"/>
  <c r="FA30"/>
  <c r="FC30"/>
  <c r="FD30"/>
  <c r="EY31"/>
  <c r="FB31" s="1"/>
  <c r="EZ31"/>
  <c r="FA31"/>
  <c r="FC31"/>
  <c r="FD31"/>
  <c r="EY32"/>
  <c r="FB32" s="1"/>
  <c r="EZ32"/>
  <c r="FA32"/>
  <c r="FC32"/>
  <c r="FD32"/>
  <c r="EY33"/>
  <c r="FB33" s="1"/>
  <c r="EZ33"/>
  <c r="FA33"/>
  <c r="FC33"/>
  <c r="FD33"/>
  <c r="EY34"/>
  <c r="FB34" s="1"/>
  <c r="EZ34"/>
  <c r="FA34"/>
  <c r="FC34"/>
  <c r="FD34"/>
  <c r="EY35"/>
  <c r="FB35" s="1"/>
  <c r="EZ35"/>
  <c r="FA35"/>
  <c r="FC35"/>
  <c r="FD35"/>
  <c r="EY36"/>
  <c r="FB36" s="1"/>
  <c r="EZ36"/>
  <c r="FA36"/>
  <c r="FC36"/>
  <c r="FD36"/>
  <c r="EY37"/>
  <c r="FB37" s="1"/>
  <c r="EZ37"/>
  <c r="FA37"/>
  <c r="FC37"/>
  <c r="FD37"/>
  <c r="EY38"/>
  <c r="FB38" s="1"/>
  <c r="EZ38"/>
  <c r="FA38"/>
  <c r="FC38"/>
  <c r="FD38"/>
  <c r="EY39"/>
  <c r="FB39" s="1"/>
  <c r="EZ39"/>
  <c r="FA39"/>
  <c r="FC39"/>
  <c r="FD39"/>
  <c r="EY40"/>
  <c r="FB40" s="1"/>
  <c r="EZ40"/>
  <c r="FA40"/>
  <c r="FC40"/>
  <c r="FE40" s="1"/>
  <c r="FD40"/>
  <c r="EY41"/>
  <c r="EZ41"/>
  <c r="FA41"/>
  <c r="FB41" s="1"/>
  <c r="FC41"/>
  <c r="FD41"/>
  <c r="EY42"/>
  <c r="FB42" s="1"/>
  <c r="EZ42"/>
  <c r="FA42"/>
  <c r="FC42"/>
  <c r="FD42"/>
  <c r="EY43"/>
  <c r="FB43" s="1"/>
  <c r="EZ43"/>
  <c r="FA43"/>
  <c r="FC43"/>
  <c r="FD43"/>
  <c r="EY44"/>
  <c r="FB44" s="1"/>
  <c r="EZ44"/>
  <c r="FA44"/>
  <c r="FC44"/>
  <c r="FD44"/>
  <c r="FE44"/>
  <c r="EY45"/>
  <c r="FB45" s="1"/>
  <c r="EZ45"/>
  <c r="FA45"/>
  <c r="FC45"/>
  <c r="FD45"/>
  <c r="EY46"/>
  <c r="FB46" s="1"/>
  <c r="EZ46"/>
  <c r="FA46"/>
  <c r="FC46"/>
  <c r="FD46"/>
  <c r="EY47"/>
  <c r="FB47" s="1"/>
  <c r="EZ47"/>
  <c r="FA47"/>
  <c r="FC47"/>
  <c r="FD47"/>
  <c r="EY48"/>
  <c r="FB48" s="1"/>
  <c r="EZ48"/>
  <c r="FA48"/>
  <c r="FC48"/>
  <c r="FE48" s="1"/>
  <c r="FD48"/>
  <c r="EY49"/>
  <c r="FB49" s="1"/>
  <c r="EZ49"/>
  <c r="FA49"/>
  <c r="FC49"/>
  <c r="FD49"/>
  <c r="EY50"/>
  <c r="FB50" s="1"/>
  <c r="EZ50"/>
  <c r="FA50"/>
  <c r="FC50"/>
  <c r="FD50"/>
  <c r="EY51"/>
  <c r="FB51" s="1"/>
  <c r="EZ51"/>
  <c r="FA51"/>
  <c r="FC51"/>
  <c r="FD51"/>
  <c r="EY52"/>
  <c r="FB52" s="1"/>
  <c r="EZ52"/>
  <c r="FA52"/>
  <c r="FC52"/>
  <c r="FE52" s="1"/>
  <c r="FD52"/>
  <c r="EY53"/>
  <c r="FB53" s="1"/>
  <c r="EZ53"/>
  <c r="FA53"/>
  <c r="FC53"/>
  <c r="FD53"/>
  <c r="EY54"/>
  <c r="FB54" s="1"/>
  <c r="EZ54"/>
  <c r="FA54"/>
  <c r="FC54"/>
  <c r="FE54" s="1"/>
  <c r="FD54"/>
  <c r="EY55"/>
  <c r="FB55" s="1"/>
  <c r="EZ55"/>
  <c r="FA55"/>
  <c r="FC55"/>
  <c r="FD55"/>
  <c r="EY56"/>
  <c r="FB56" s="1"/>
  <c r="EZ56"/>
  <c r="FA56"/>
  <c r="FC56"/>
  <c r="FE56" s="1"/>
  <c r="FD56"/>
  <c r="EY57"/>
  <c r="FB57" s="1"/>
  <c r="EZ57"/>
  <c r="FA57"/>
  <c r="FC57"/>
  <c r="FD57"/>
  <c r="EY58"/>
  <c r="FB58" s="1"/>
  <c r="EZ58"/>
  <c r="FA58"/>
  <c r="FC58"/>
  <c r="FD58"/>
  <c r="EY59"/>
  <c r="FB59" s="1"/>
  <c r="EZ59"/>
  <c r="FA59"/>
  <c r="FC59"/>
  <c r="FD59"/>
  <c r="EY60"/>
  <c r="FB60" s="1"/>
  <c r="EZ60"/>
  <c r="FA60"/>
  <c r="FC60"/>
  <c r="FD60"/>
  <c r="EY61"/>
  <c r="FB61" s="1"/>
  <c r="EZ61"/>
  <c r="FA61"/>
  <c r="FC61"/>
  <c r="FD61"/>
  <c r="FE61"/>
  <c r="EY62"/>
  <c r="FB62" s="1"/>
  <c r="EZ62"/>
  <c r="FA62"/>
  <c r="FC62"/>
  <c r="FD62"/>
  <c r="FE62"/>
  <c r="EY63"/>
  <c r="FB63" s="1"/>
  <c r="EZ63"/>
  <c r="FA63"/>
  <c r="FC63"/>
  <c r="FD63"/>
  <c r="FE63"/>
  <c r="EY64"/>
  <c r="FB64" s="1"/>
  <c r="EZ64"/>
  <c r="FA64"/>
  <c r="FC64"/>
  <c r="FD64"/>
  <c r="FE64"/>
  <c r="EY65"/>
  <c r="FB65" s="1"/>
  <c r="EZ65"/>
  <c r="FA65"/>
  <c r="FC65"/>
  <c r="FD65"/>
  <c r="FE65"/>
  <c r="EY66"/>
  <c r="FB66" s="1"/>
  <c r="EZ66"/>
  <c r="FA66"/>
  <c r="FC66"/>
  <c r="FD66"/>
  <c r="FE66"/>
  <c r="EY67"/>
  <c r="FB67" s="1"/>
  <c r="EZ67"/>
  <c r="FA67"/>
  <c r="FC67"/>
  <c r="FD67"/>
  <c r="FE67"/>
  <c r="EY68"/>
  <c r="FB68" s="1"/>
  <c r="EZ68"/>
  <c r="FA68"/>
  <c r="FC68"/>
  <c r="FD68"/>
  <c r="FE68"/>
  <c r="EY69"/>
  <c r="FB69" s="1"/>
  <c r="EZ69"/>
  <c r="FA69"/>
  <c r="FC69"/>
  <c r="FD69"/>
  <c r="FE69"/>
  <c r="EY70"/>
  <c r="FB70" s="1"/>
  <c r="EZ70"/>
  <c r="FA70"/>
  <c r="FC70"/>
  <c r="FD70"/>
  <c r="FE70"/>
  <c r="EY71"/>
  <c r="FB71" s="1"/>
  <c r="EZ71"/>
  <c r="FA71"/>
  <c r="FC71"/>
  <c r="FD71"/>
  <c r="FE71"/>
  <c r="EY72"/>
  <c r="FB72" s="1"/>
  <c r="EZ72"/>
  <c r="FA72"/>
  <c r="FC72"/>
  <c r="FD72"/>
  <c r="FE72"/>
  <c r="EY73"/>
  <c r="FB73" s="1"/>
  <c r="EZ73"/>
  <c r="FA73"/>
  <c r="FC73"/>
  <c r="FD73"/>
  <c r="FE73"/>
  <c r="EY74"/>
  <c r="FB74" s="1"/>
  <c r="EZ74"/>
  <c r="FA74"/>
  <c r="FC74"/>
  <c r="FD74"/>
  <c r="FE74"/>
  <c r="EY75"/>
  <c r="FB75" s="1"/>
  <c r="EZ75"/>
  <c r="FA75"/>
  <c r="FC75"/>
  <c r="FD75"/>
  <c r="FE75"/>
  <c r="EY76"/>
  <c r="FB76" s="1"/>
  <c r="EZ76"/>
  <c r="FA76"/>
  <c r="FC76"/>
  <c r="FD76"/>
  <c r="FE76"/>
  <c r="EY77"/>
  <c r="FB77" s="1"/>
  <c r="EZ77"/>
  <c r="FA77"/>
  <c r="FC77"/>
  <c r="FD77"/>
  <c r="FE77"/>
  <c r="EY78"/>
  <c r="FB78" s="1"/>
  <c r="EZ78"/>
  <c r="FA78"/>
  <c r="FC78"/>
  <c r="FD78"/>
  <c r="FE78"/>
  <c r="EY79"/>
  <c r="FB79" s="1"/>
  <c r="EZ79"/>
  <c r="FA79"/>
  <c r="FC79"/>
  <c r="FD79"/>
  <c r="FE79"/>
  <c r="EY80"/>
  <c r="FB80" s="1"/>
  <c r="EZ80"/>
  <c r="FA80"/>
  <c r="FC80"/>
  <c r="FD80"/>
  <c r="FE80"/>
  <c r="EY81"/>
  <c r="FB81" s="1"/>
  <c r="EZ81"/>
  <c r="FA81"/>
  <c r="FC81"/>
  <c r="FD81"/>
  <c r="FE81"/>
  <c r="EY82"/>
  <c r="FB82" s="1"/>
  <c r="EZ82"/>
  <c r="FA82"/>
  <c r="FC82"/>
  <c r="FD82"/>
  <c r="FE82"/>
  <c r="EY83"/>
  <c r="FB83" s="1"/>
  <c r="EZ83"/>
  <c r="FA83"/>
  <c r="FC83"/>
  <c r="FD83"/>
  <c r="FE83"/>
  <c r="EY84"/>
  <c r="FB84" s="1"/>
  <c r="EZ84"/>
  <c r="FA84"/>
  <c r="FC84"/>
  <c r="FD84"/>
  <c r="FE84"/>
  <c r="EY85"/>
  <c r="FB85" s="1"/>
  <c r="EZ85"/>
  <c r="FA85"/>
  <c r="FC85"/>
  <c r="FD85"/>
  <c r="FE85"/>
  <c r="EY86"/>
  <c r="FB86" s="1"/>
  <c r="EZ86"/>
  <c r="FA86"/>
  <c r="FC86"/>
  <c r="FD86"/>
  <c r="FE86"/>
  <c r="EY87"/>
  <c r="FB87" s="1"/>
  <c r="EZ87"/>
  <c r="FA87"/>
  <c r="FC87"/>
  <c r="FD87"/>
  <c r="FE87"/>
  <c r="EY88"/>
  <c r="FB88" s="1"/>
  <c r="EZ88"/>
  <c r="FA88"/>
  <c r="FC88"/>
  <c r="FD88"/>
  <c r="FE88"/>
  <c r="EY89"/>
  <c r="FB89" s="1"/>
  <c r="EZ89"/>
  <c r="FA89"/>
  <c r="FC89"/>
  <c r="FD89"/>
  <c r="FE89"/>
  <c r="EY90"/>
  <c r="FB90" s="1"/>
  <c r="EZ90"/>
  <c r="FA90"/>
  <c r="FC90"/>
  <c r="FD90"/>
  <c r="FE90"/>
  <c r="EY91"/>
  <c r="FB91" s="1"/>
  <c r="EZ91"/>
  <c r="FA91"/>
  <c r="FC91"/>
  <c r="FD91"/>
  <c r="FE91"/>
  <c r="EY92"/>
  <c r="FB92" s="1"/>
  <c r="EZ92"/>
  <c r="FA92"/>
  <c r="FC92"/>
  <c r="FD92"/>
  <c r="FE92"/>
  <c r="EY93"/>
  <c r="FB93" s="1"/>
  <c r="EZ93"/>
  <c r="FA93"/>
  <c r="FC93"/>
  <c r="FD93"/>
  <c r="FE93"/>
  <c r="EY94"/>
  <c r="EZ94"/>
  <c r="FA94"/>
  <c r="FE94" s="1"/>
  <c r="FC94"/>
  <c r="FD94"/>
  <c r="EY95"/>
  <c r="FB95" s="1"/>
  <c r="EZ95"/>
  <c r="FA95"/>
  <c r="FE95" s="1"/>
  <c r="FC95"/>
  <c r="FD95"/>
  <c r="EY96"/>
  <c r="EZ96"/>
  <c r="FA96"/>
  <c r="FE96" s="1"/>
  <c r="FC96"/>
  <c r="FD96"/>
  <c r="EY97"/>
  <c r="FB97" s="1"/>
  <c r="EZ97"/>
  <c r="FA97"/>
  <c r="FE97" s="1"/>
  <c r="FC97"/>
  <c r="FD97"/>
  <c r="EY98"/>
  <c r="EZ98"/>
  <c r="FA98"/>
  <c r="FE98" s="1"/>
  <c r="FC98"/>
  <c r="FD98"/>
  <c r="EY99"/>
  <c r="FB99" s="1"/>
  <c r="EZ99"/>
  <c r="FA99"/>
  <c r="FE99" s="1"/>
  <c r="FC99"/>
  <c r="FD99"/>
  <c r="EY100"/>
  <c r="EZ100"/>
  <c r="FA100"/>
  <c r="FC100"/>
  <c r="FD100"/>
  <c r="EY101"/>
  <c r="EZ101"/>
  <c r="FA101"/>
  <c r="FC101"/>
  <c r="FD101"/>
  <c r="EY102"/>
  <c r="FB102" s="1"/>
  <c r="EZ102"/>
  <c r="FA102"/>
  <c r="FC102"/>
  <c r="FD102"/>
  <c r="EY103"/>
  <c r="FB103" s="1"/>
  <c r="EZ103"/>
  <c r="FA103"/>
  <c r="FC103"/>
  <c r="FE103" s="1"/>
  <c r="FD103"/>
  <c r="EY104"/>
  <c r="EZ104"/>
  <c r="FA104"/>
  <c r="FC104"/>
  <c r="FD104"/>
  <c r="EY105"/>
  <c r="EZ105"/>
  <c r="FA105"/>
  <c r="FC105"/>
  <c r="FD105"/>
  <c r="EY106"/>
  <c r="EZ106"/>
  <c r="FA106"/>
  <c r="FC106"/>
  <c r="FD106"/>
  <c r="EY107"/>
  <c r="EZ107"/>
  <c r="FA107"/>
  <c r="FC107"/>
  <c r="FD107"/>
  <c r="EY108"/>
  <c r="EZ108"/>
  <c r="FA108"/>
  <c r="FC108"/>
  <c r="FD108"/>
  <c r="EY109"/>
  <c r="EZ109"/>
  <c r="FA109"/>
  <c r="FC109"/>
  <c r="FD109"/>
  <c r="EY110"/>
  <c r="EZ110"/>
  <c r="FA110"/>
  <c r="FC110"/>
  <c r="FD110"/>
  <c r="EY111"/>
  <c r="EZ111"/>
  <c r="FA111"/>
  <c r="FC111"/>
  <c r="FD111"/>
  <c r="EY112"/>
  <c r="EZ112"/>
  <c r="FA112"/>
  <c r="FC112"/>
  <c r="FD112"/>
  <c r="EY113"/>
  <c r="EZ113"/>
  <c r="FA113"/>
  <c r="FC113"/>
  <c r="FD113"/>
  <c r="EY114"/>
  <c r="EZ114"/>
  <c r="FA114"/>
  <c r="FC114"/>
  <c r="FD114"/>
  <c r="EY115"/>
  <c r="EZ115"/>
  <c r="FA115"/>
  <c r="FC115"/>
  <c r="FD115"/>
  <c r="EY116"/>
  <c r="EZ116"/>
  <c r="FA116"/>
  <c r="FC116"/>
  <c r="FD116"/>
  <c r="EY117"/>
  <c r="EZ117"/>
  <c r="FA117"/>
  <c r="FC117"/>
  <c r="FD117"/>
  <c r="EY118"/>
  <c r="EZ118"/>
  <c r="FA118"/>
  <c r="FC118"/>
  <c r="FD118"/>
  <c r="EY119"/>
  <c r="EZ119"/>
  <c r="FA119"/>
  <c r="FC119"/>
  <c r="FD119"/>
  <c r="EY120"/>
  <c r="EZ120"/>
  <c r="FA120"/>
  <c r="FC120"/>
  <c r="FD120"/>
  <c r="EY121"/>
  <c r="EZ121"/>
  <c r="FA121"/>
  <c r="FC121"/>
  <c r="FD121"/>
  <c r="EY122"/>
  <c r="EZ122"/>
  <c r="FA122"/>
  <c r="FC122"/>
  <c r="FD122"/>
  <c r="EY123"/>
  <c r="EZ123"/>
  <c r="FA123"/>
  <c r="FC123"/>
  <c r="FD123"/>
  <c r="EY124"/>
  <c r="EZ124"/>
  <c r="FA124"/>
  <c r="FC124"/>
  <c r="FD124"/>
  <c r="EY125"/>
  <c r="EZ125"/>
  <c r="FA125"/>
  <c r="FC125"/>
  <c r="FD125"/>
  <c r="EY126"/>
  <c r="EZ126"/>
  <c r="FA126"/>
  <c r="FC126"/>
  <c r="FD126"/>
  <c r="EY127"/>
  <c r="EZ127"/>
  <c r="FA127"/>
  <c r="FC127"/>
  <c r="FD127"/>
  <c r="EY128"/>
  <c r="FB128" s="1"/>
  <c r="EZ128"/>
  <c r="FA128"/>
  <c r="FC128"/>
  <c r="FD128"/>
  <c r="EY129"/>
  <c r="FB129" s="1"/>
  <c r="EZ129"/>
  <c r="FA129"/>
  <c r="FC129"/>
  <c r="FD129"/>
  <c r="EY130"/>
  <c r="EZ130"/>
  <c r="FA130"/>
  <c r="FC130"/>
  <c r="FD130"/>
  <c r="EY131"/>
  <c r="FB131" s="1"/>
  <c r="EZ131"/>
  <c r="FA131"/>
  <c r="FC131"/>
  <c r="FD131"/>
  <c r="EY132"/>
  <c r="EZ132"/>
  <c r="FA132"/>
  <c r="FC132"/>
  <c r="FD132"/>
  <c r="EY133"/>
  <c r="FB133" s="1"/>
  <c r="EZ133"/>
  <c r="FA133"/>
  <c r="FC133"/>
  <c r="FD133"/>
  <c r="EY134"/>
  <c r="EZ134"/>
  <c r="FA134"/>
  <c r="FC134"/>
  <c r="FD134"/>
  <c r="EY135"/>
  <c r="FB135" s="1"/>
  <c r="EZ135"/>
  <c r="FA135"/>
  <c r="FC135"/>
  <c r="FD135"/>
  <c r="EY136"/>
  <c r="EZ136"/>
  <c r="FA136"/>
  <c r="FC136"/>
  <c r="FD136"/>
  <c r="EY137"/>
  <c r="FB137" s="1"/>
  <c r="EZ137"/>
  <c r="FA137"/>
  <c r="FC137"/>
  <c r="FD137"/>
  <c r="EY138"/>
  <c r="EZ138"/>
  <c r="FA138"/>
  <c r="FC138"/>
  <c r="FD138"/>
  <c r="EY139"/>
  <c r="FB139" s="1"/>
  <c r="EZ139"/>
  <c r="FA139"/>
  <c r="FC139"/>
  <c r="FD139"/>
  <c r="EY140"/>
  <c r="EZ140"/>
  <c r="FA140"/>
  <c r="FC140"/>
  <c r="FD140"/>
  <c r="EY141"/>
  <c r="FB141" s="1"/>
  <c r="EZ141"/>
  <c r="FA141"/>
  <c r="FC141"/>
  <c r="FD141"/>
  <c r="EY142"/>
  <c r="EZ142"/>
  <c r="FA142"/>
  <c r="FC142"/>
  <c r="FD142"/>
  <c r="EY143"/>
  <c r="FB143" s="1"/>
  <c r="EZ143"/>
  <c r="FA143"/>
  <c r="FC143"/>
  <c r="FD143"/>
  <c r="EY144"/>
  <c r="EZ144"/>
  <c r="FA144"/>
  <c r="FC144"/>
  <c r="FD144"/>
  <c r="EY145"/>
  <c r="FB145" s="1"/>
  <c r="EZ145"/>
  <c r="FA145"/>
  <c r="FC145"/>
  <c r="FD145"/>
  <c r="EY146"/>
  <c r="EZ146"/>
  <c r="FA146"/>
  <c r="FC146"/>
  <c r="FD146"/>
  <c r="EY147"/>
  <c r="FB147" s="1"/>
  <c r="EZ147"/>
  <c r="FA147"/>
  <c r="FC147"/>
  <c r="FD147"/>
  <c r="EY148"/>
  <c r="EZ148"/>
  <c r="FA148"/>
  <c r="FC148"/>
  <c r="FD148"/>
  <c r="EY149"/>
  <c r="FB149" s="1"/>
  <c r="EZ149"/>
  <c r="FA149"/>
  <c r="FC149"/>
  <c r="FD149"/>
  <c r="EY150"/>
  <c r="EZ150"/>
  <c r="FB150" s="1"/>
  <c r="FA150"/>
  <c r="FC150"/>
  <c r="FD150"/>
  <c r="EY151"/>
  <c r="EZ151"/>
  <c r="FB151" s="1"/>
  <c r="FA151"/>
  <c r="FC151"/>
  <c r="FD151"/>
  <c r="EY152"/>
  <c r="FE152" s="1"/>
  <c r="EZ152"/>
  <c r="FB152" s="1"/>
  <c r="FA152"/>
  <c r="FC152"/>
  <c r="FD152"/>
  <c r="EY153"/>
  <c r="FE153" s="1"/>
  <c r="EZ153"/>
  <c r="FB153" s="1"/>
  <c r="FA153"/>
  <c r="FC153"/>
  <c r="FD153"/>
  <c r="EY154"/>
  <c r="FE154" s="1"/>
  <c r="EZ154"/>
  <c r="FB154" s="1"/>
  <c r="FA154"/>
  <c r="FC154"/>
  <c r="FD154"/>
  <c r="EY155"/>
  <c r="FE155" s="1"/>
  <c r="EZ155"/>
  <c r="FB155" s="1"/>
  <c r="FA155"/>
  <c r="FC155"/>
  <c r="FD155"/>
  <c r="EY156"/>
  <c r="FE156" s="1"/>
  <c r="EZ156"/>
  <c r="FB156" s="1"/>
  <c r="FA156"/>
  <c r="FC156"/>
  <c r="FD156"/>
  <c r="EY157"/>
  <c r="FE157" s="1"/>
  <c r="EZ157"/>
  <c r="FB157" s="1"/>
  <c r="FA157"/>
  <c r="FC157"/>
  <c r="FD157"/>
  <c r="EY158"/>
  <c r="FE158" s="1"/>
  <c r="EZ158"/>
  <c r="FB158" s="1"/>
  <c r="FA158"/>
  <c r="FC158"/>
  <c r="FD158"/>
  <c r="EY159"/>
  <c r="FE159" s="1"/>
  <c r="EZ159"/>
  <c r="FB159" s="1"/>
  <c r="FA159"/>
  <c r="FC159"/>
  <c r="FD159"/>
  <c r="EY160"/>
  <c r="FE160" s="1"/>
  <c r="EZ160"/>
  <c r="FB160" s="1"/>
  <c r="FA160"/>
  <c r="FC160"/>
  <c r="FD160"/>
  <c r="EY161"/>
  <c r="FE161" s="1"/>
  <c r="EZ161"/>
  <c r="FB161" s="1"/>
  <c r="FA161"/>
  <c r="FC161"/>
  <c r="FD161"/>
  <c r="EY162"/>
  <c r="FE162" s="1"/>
  <c r="EZ162"/>
  <c r="FB162" s="1"/>
  <c r="FA162"/>
  <c r="FC162"/>
  <c r="FD162"/>
  <c r="EY163"/>
  <c r="FE163" s="1"/>
  <c r="EZ163"/>
  <c r="FB163" s="1"/>
  <c r="FA163"/>
  <c r="FC163"/>
  <c r="FD163"/>
  <c r="EY164"/>
  <c r="FE164" s="1"/>
  <c r="EZ164"/>
  <c r="FB164" s="1"/>
  <c r="FA164"/>
  <c r="FC164"/>
  <c r="FD164"/>
  <c r="EY165"/>
  <c r="EZ165"/>
  <c r="FB165" s="1"/>
  <c r="FA165"/>
  <c r="FC165"/>
  <c r="FD165"/>
  <c r="EY166"/>
  <c r="FE166" s="1"/>
  <c r="EZ166"/>
  <c r="FB166" s="1"/>
  <c r="FA166"/>
  <c r="FC166"/>
  <c r="FD166"/>
  <c r="EY167"/>
  <c r="FE167" s="1"/>
  <c r="EZ167"/>
  <c r="FB167" s="1"/>
  <c r="FA167"/>
  <c r="FC167"/>
  <c r="FD167"/>
  <c r="EY168"/>
  <c r="FE168" s="1"/>
  <c r="EZ168"/>
  <c r="FB168" s="1"/>
  <c r="FA168"/>
  <c r="FC168"/>
  <c r="FD168"/>
  <c r="EY169"/>
  <c r="EZ169"/>
  <c r="FB169" s="1"/>
  <c r="FA169"/>
  <c r="FC169"/>
  <c r="FD169"/>
  <c r="EY170"/>
  <c r="FE170" s="1"/>
  <c r="EZ170"/>
  <c r="FB170" s="1"/>
  <c r="FA170"/>
  <c r="FC170"/>
  <c r="FD170"/>
  <c r="EY171"/>
  <c r="FE171" s="1"/>
  <c r="EZ171"/>
  <c r="FB171" s="1"/>
  <c r="FA171"/>
  <c r="FC171"/>
  <c r="FD171"/>
  <c r="EY172"/>
  <c r="FE172" s="1"/>
  <c r="EZ172"/>
  <c r="FB172" s="1"/>
  <c r="FA172"/>
  <c r="FC172"/>
  <c r="FD172"/>
  <c r="EY173"/>
  <c r="EZ173"/>
  <c r="FB173" s="1"/>
  <c r="FA173"/>
  <c r="FC173"/>
  <c r="FD173"/>
  <c r="EY174"/>
  <c r="FE174" s="1"/>
  <c r="EZ174"/>
  <c r="FB174" s="1"/>
  <c r="FA174"/>
  <c r="FC174"/>
  <c r="FD174"/>
  <c r="EY175"/>
  <c r="FE175" s="1"/>
  <c r="EZ175"/>
  <c r="FB175" s="1"/>
  <c r="FA175"/>
  <c r="FC175"/>
  <c r="FD175"/>
  <c r="EY176"/>
  <c r="FE176" s="1"/>
  <c r="EZ176"/>
  <c r="FB176" s="1"/>
  <c r="FA176"/>
  <c r="FC176"/>
  <c r="FD176"/>
  <c r="EY177"/>
  <c r="FE177" s="1"/>
  <c r="EZ177"/>
  <c r="FB177" s="1"/>
  <c r="FA177"/>
  <c r="FC177"/>
  <c r="FD177"/>
  <c r="EY178"/>
  <c r="EZ178"/>
  <c r="FB178" s="1"/>
  <c r="FA178"/>
  <c r="FC178"/>
  <c r="FD178"/>
  <c r="EY179"/>
  <c r="EZ179"/>
  <c r="FB179" s="1"/>
  <c r="FA179"/>
  <c r="FC179"/>
  <c r="FD179"/>
  <c r="EY180"/>
  <c r="EZ180"/>
  <c r="FB180" s="1"/>
  <c r="FA180"/>
  <c r="FC180"/>
  <c r="FD180"/>
  <c r="EY181"/>
  <c r="EZ181"/>
  <c r="FB181" s="1"/>
  <c r="FA181"/>
  <c r="FC181"/>
  <c r="FD181"/>
  <c r="EY182"/>
  <c r="FE182" s="1"/>
  <c r="EZ182"/>
  <c r="FB182" s="1"/>
  <c r="FA182"/>
  <c r="FC182"/>
  <c r="FD182"/>
  <c r="EY183"/>
  <c r="EZ183"/>
  <c r="FB183" s="1"/>
  <c r="FA183"/>
  <c r="FC183"/>
  <c r="FD183"/>
  <c r="EY184"/>
  <c r="EZ184"/>
  <c r="FB184" s="1"/>
  <c r="FA184"/>
  <c r="FC184"/>
  <c r="FD184"/>
  <c r="EY185"/>
  <c r="EZ185"/>
  <c r="FB185" s="1"/>
  <c r="FA185"/>
  <c r="FC185"/>
  <c r="FD185"/>
  <c r="EY186"/>
  <c r="EZ186"/>
  <c r="FB186" s="1"/>
  <c r="FA186"/>
  <c r="FC186"/>
  <c r="FD186"/>
  <c r="EY187"/>
  <c r="FE187" s="1"/>
  <c r="EZ187"/>
  <c r="FB187" s="1"/>
  <c r="FA187"/>
  <c r="FC187"/>
  <c r="FD187"/>
  <c r="EY188"/>
  <c r="EZ188"/>
  <c r="FB188" s="1"/>
  <c r="FA188"/>
  <c r="FC188"/>
  <c r="FD188"/>
  <c r="EY189"/>
  <c r="EZ189"/>
  <c r="FB189" s="1"/>
  <c r="FA189"/>
  <c r="FC189"/>
  <c r="FD189"/>
  <c r="EY190"/>
  <c r="EZ190"/>
  <c r="FB190" s="1"/>
  <c r="FA190"/>
  <c r="FC190"/>
  <c r="FD190"/>
  <c r="EY191"/>
  <c r="EZ191"/>
  <c r="FB191" s="1"/>
  <c r="FA191"/>
  <c r="FC191"/>
  <c r="FD191"/>
  <c r="EY192"/>
  <c r="EZ192"/>
  <c r="FB192" s="1"/>
  <c r="FA192"/>
  <c r="FC192"/>
  <c r="FD192"/>
  <c r="EY193"/>
  <c r="EZ193"/>
  <c r="FB193" s="1"/>
  <c r="FA193"/>
  <c r="FC193"/>
  <c r="FD193"/>
  <c r="EY194"/>
  <c r="FB194" s="1"/>
  <c r="EZ194"/>
  <c r="FE194" s="1"/>
  <c r="FA194"/>
  <c r="FC194"/>
  <c r="FD194"/>
  <c r="EY195"/>
  <c r="FB195" s="1"/>
  <c r="EZ195"/>
  <c r="FE195" s="1"/>
  <c r="FA195"/>
  <c r="FC195"/>
  <c r="FD195"/>
  <c r="EY196"/>
  <c r="FB196" s="1"/>
  <c r="EZ196"/>
  <c r="FE196" s="1"/>
  <c r="FA196"/>
  <c r="FC196"/>
  <c r="FD196"/>
  <c r="EY197"/>
  <c r="FB197" s="1"/>
  <c r="EZ197"/>
  <c r="FE197" s="1"/>
  <c r="FA197"/>
  <c r="FC197"/>
  <c r="FD197"/>
  <c r="EY198"/>
  <c r="FB198" s="1"/>
  <c r="EZ198"/>
  <c r="FE198" s="1"/>
  <c r="FA198"/>
  <c r="FC198"/>
  <c r="FD198"/>
  <c r="EY199"/>
  <c r="FB199" s="1"/>
  <c r="EZ199"/>
  <c r="FE199" s="1"/>
  <c r="FA199"/>
  <c r="FC199"/>
  <c r="FD199"/>
  <c r="EY200"/>
  <c r="FB200" s="1"/>
  <c r="EZ200"/>
  <c r="FA200"/>
  <c r="FC200"/>
  <c r="FD200"/>
  <c r="EY201"/>
  <c r="FB201" s="1"/>
  <c r="EZ201"/>
  <c r="FA201"/>
  <c r="FC201"/>
  <c r="FD201"/>
  <c r="EY202"/>
  <c r="FB202" s="1"/>
  <c r="EZ202"/>
  <c r="FA202"/>
  <c r="FC202"/>
  <c r="FD202"/>
  <c r="EY203"/>
  <c r="FB203" s="1"/>
  <c r="EZ203"/>
  <c r="FA203"/>
  <c r="FC203"/>
  <c r="FD203"/>
  <c r="EY204"/>
  <c r="FB204" s="1"/>
  <c r="EZ204"/>
  <c r="FA204"/>
  <c r="FC204"/>
  <c r="FD204"/>
  <c r="EY205"/>
  <c r="FB205" s="1"/>
  <c r="EZ205"/>
  <c r="FA205"/>
  <c r="FC205"/>
  <c r="FD205"/>
  <c r="EY206"/>
  <c r="FB206" s="1"/>
  <c r="EZ206"/>
  <c r="FA206"/>
  <c r="FC206"/>
  <c r="FD206"/>
  <c r="EY207"/>
  <c r="FB207" s="1"/>
  <c r="EZ207"/>
  <c r="FA207"/>
  <c r="FC207"/>
  <c r="FD207"/>
  <c r="EZ8"/>
  <c r="FA8"/>
  <c r="FA6"/>
  <c r="EZ6"/>
  <c r="FB5"/>
  <c r="FE4"/>
  <c r="DH5"/>
  <c r="EY8"/>
  <c r="EC9"/>
  <c r="ED9"/>
  <c r="EE9"/>
  <c r="EJ9" s="1"/>
  <c r="EC10"/>
  <c r="ED10"/>
  <c r="EE10"/>
  <c r="EJ10" s="1"/>
  <c r="EC11"/>
  <c r="ED11"/>
  <c r="EF11" s="1"/>
  <c r="EE11"/>
  <c r="EJ11" s="1"/>
  <c r="EC12"/>
  <c r="ED12"/>
  <c r="EE12"/>
  <c r="EJ12" s="1"/>
  <c r="EC13"/>
  <c r="ED13"/>
  <c r="EE13"/>
  <c r="EJ13" s="1"/>
  <c r="EC14"/>
  <c r="ED14"/>
  <c r="EE14"/>
  <c r="EJ14" s="1"/>
  <c r="EC15"/>
  <c r="ED15"/>
  <c r="EF15" s="1"/>
  <c r="EE15"/>
  <c r="EJ15" s="1"/>
  <c r="EC16"/>
  <c r="ED16"/>
  <c r="EE16"/>
  <c r="EJ16" s="1"/>
  <c r="EC17"/>
  <c r="ED17"/>
  <c r="EE17"/>
  <c r="EJ17" s="1"/>
  <c r="EC18"/>
  <c r="EF18" s="1"/>
  <c r="ED18"/>
  <c r="EE18"/>
  <c r="EJ18" s="1"/>
  <c r="EC19"/>
  <c r="ED19"/>
  <c r="EE19"/>
  <c r="EJ19" s="1"/>
  <c r="EC20"/>
  <c r="ED20"/>
  <c r="EE20"/>
  <c r="EJ20" s="1"/>
  <c r="EC21"/>
  <c r="ED21"/>
  <c r="EE21"/>
  <c r="EJ21" s="1"/>
  <c r="EC22"/>
  <c r="EF22" s="1"/>
  <c r="ED22"/>
  <c r="EE22"/>
  <c r="EJ22" s="1"/>
  <c r="EC23"/>
  <c r="ED23"/>
  <c r="EE23"/>
  <c r="EJ23" s="1"/>
  <c r="EC24"/>
  <c r="ED24"/>
  <c r="EE24"/>
  <c r="EJ24" s="1"/>
  <c r="EC25"/>
  <c r="ED25"/>
  <c r="EE25"/>
  <c r="EJ25" s="1"/>
  <c r="EC26"/>
  <c r="EF26" s="1"/>
  <c r="ED26"/>
  <c r="EE26"/>
  <c r="EJ26" s="1"/>
  <c r="EC27"/>
  <c r="ED27"/>
  <c r="EE27"/>
  <c r="EJ27" s="1"/>
  <c r="EC28"/>
  <c r="ED28"/>
  <c r="EE28"/>
  <c r="EJ28" s="1"/>
  <c r="EC29"/>
  <c r="ED29"/>
  <c r="EE29"/>
  <c r="EJ29" s="1"/>
  <c r="EC30"/>
  <c r="EF30" s="1"/>
  <c r="ED30"/>
  <c r="EE30"/>
  <c r="EJ30" s="1"/>
  <c r="EC31"/>
  <c r="ED31"/>
  <c r="EE31"/>
  <c r="EJ31" s="1"/>
  <c r="EC32"/>
  <c r="ED32"/>
  <c r="EE32"/>
  <c r="EJ32" s="1"/>
  <c r="EC33"/>
  <c r="ED33"/>
  <c r="EE33"/>
  <c r="EJ33" s="1"/>
  <c r="EC34"/>
  <c r="EF34" s="1"/>
  <c r="ED34"/>
  <c r="EE34"/>
  <c r="EJ34" s="1"/>
  <c r="EC35"/>
  <c r="ED35"/>
  <c r="EE35"/>
  <c r="EJ35" s="1"/>
  <c r="EC36"/>
  <c r="ED36"/>
  <c r="EE36"/>
  <c r="EJ36" s="1"/>
  <c r="EC37"/>
  <c r="ED37"/>
  <c r="EE37"/>
  <c r="EJ37" s="1"/>
  <c r="EC38"/>
  <c r="EF38" s="1"/>
  <c r="ED38"/>
  <c r="EE38"/>
  <c r="EJ38" s="1"/>
  <c r="EC39"/>
  <c r="ED39"/>
  <c r="EE39"/>
  <c r="EJ39" s="1"/>
  <c r="EC40"/>
  <c r="ED40"/>
  <c r="EE40"/>
  <c r="EJ40" s="1"/>
  <c r="EC41"/>
  <c r="ED41"/>
  <c r="EE41"/>
  <c r="EJ41" s="1"/>
  <c r="EC42"/>
  <c r="EF42" s="1"/>
  <c r="ED42"/>
  <c r="EE42"/>
  <c r="EJ42" s="1"/>
  <c r="EC43"/>
  <c r="ED43"/>
  <c r="EE43"/>
  <c r="EJ43" s="1"/>
  <c r="EC44"/>
  <c r="ED44"/>
  <c r="EE44"/>
  <c r="EJ44" s="1"/>
  <c r="EC45"/>
  <c r="ED45"/>
  <c r="EE45"/>
  <c r="EJ45" s="1"/>
  <c r="EC46"/>
  <c r="EF46" s="1"/>
  <c r="ED46"/>
  <c r="EE46"/>
  <c r="EJ46" s="1"/>
  <c r="EC47"/>
  <c r="ED47"/>
  <c r="EE47"/>
  <c r="EJ47" s="1"/>
  <c r="EC48"/>
  <c r="ED48"/>
  <c r="EE48"/>
  <c r="EJ48" s="1"/>
  <c r="EC49"/>
  <c r="ED49"/>
  <c r="EE49"/>
  <c r="EJ49" s="1"/>
  <c r="EC50"/>
  <c r="EF50" s="1"/>
  <c r="ED50"/>
  <c r="EE50"/>
  <c r="EJ50" s="1"/>
  <c r="EC51"/>
  <c r="ED51"/>
  <c r="EE51"/>
  <c r="EJ51" s="1"/>
  <c r="EC52"/>
  <c r="ED52"/>
  <c r="EE52"/>
  <c r="EJ52" s="1"/>
  <c r="EC53"/>
  <c r="ED53"/>
  <c r="EE53"/>
  <c r="EJ53" s="1"/>
  <c r="EC54"/>
  <c r="EF54" s="1"/>
  <c r="ED54"/>
  <c r="EE54"/>
  <c r="EJ54" s="1"/>
  <c r="EC55"/>
  <c r="ED55"/>
  <c r="EE55"/>
  <c r="EJ55" s="1"/>
  <c r="EC56"/>
  <c r="ED56"/>
  <c r="EE56"/>
  <c r="EJ56" s="1"/>
  <c r="EC57"/>
  <c r="ED57"/>
  <c r="EE57"/>
  <c r="EJ57" s="1"/>
  <c r="EC58"/>
  <c r="EF58" s="1"/>
  <c r="ED58"/>
  <c r="EE58"/>
  <c r="EJ58" s="1"/>
  <c r="EC59"/>
  <c r="ED59"/>
  <c r="EE59"/>
  <c r="EJ59" s="1"/>
  <c r="EC60"/>
  <c r="ED60"/>
  <c r="EE60"/>
  <c r="EJ60" s="1"/>
  <c r="EC61"/>
  <c r="ED61"/>
  <c r="EE61"/>
  <c r="EJ61" s="1"/>
  <c r="EC62"/>
  <c r="EF62" s="1"/>
  <c r="ED62"/>
  <c r="EE62"/>
  <c r="EJ62" s="1"/>
  <c r="EC63"/>
  <c r="ED63"/>
  <c r="EE63"/>
  <c r="EJ63" s="1"/>
  <c r="EC64"/>
  <c r="ED64"/>
  <c r="EE64"/>
  <c r="EJ64" s="1"/>
  <c r="EC65"/>
  <c r="ED65"/>
  <c r="EE65"/>
  <c r="EJ65" s="1"/>
  <c r="EC66"/>
  <c r="EF66" s="1"/>
  <c r="ED66"/>
  <c r="EE66"/>
  <c r="EJ66" s="1"/>
  <c r="EC67"/>
  <c r="ED67"/>
  <c r="EE67"/>
  <c r="EJ67" s="1"/>
  <c r="EC68"/>
  <c r="ED68"/>
  <c r="EE68"/>
  <c r="EJ68" s="1"/>
  <c r="EC69"/>
  <c r="ED69"/>
  <c r="EE69"/>
  <c r="EJ69" s="1"/>
  <c r="EC70"/>
  <c r="EF70" s="1"/>
  <c r="ED70"/>
  <c r="EE70"/>
  <c r="EJ70" s="1"/>
  <c r="EC71"/>
  <c r="ED71"/>
  <c r="EE71"/>
  <c r="EJ71" s="1"/>
  <c r="EC72"/>
  <c r="ED72"/>
  <c r="EE72"/>
  <c r="EJ72" s="1"/>
  <c r="EC73"/>
  <c r="ED73"/>
  <c r="EE73"/>
  <c r="EJ73" s="1"/>
  <c r="EC74"/>
  <c r="EF74" s="1"/>
  <c r="ED74"/>
  <c r="EE74"/>
  <c r="EJ74" s="1"/>
  <c r="EC75"/>
  <c r="ED75"/>
  <c r="EE75"/>
  <c r="EJ75" s="1"/>
  <c r="EC76"/>
  <c r="ED76"/>
  <c r="EE76"/>
  <c r="EJ76" s="1"/>
  <c r="EC77"/>
  <c r="ED77"/>
  <c r="EE77"/>
  <c r="EJ77" s="1"/>
  <c r="EC78"/>
  <c r="EF78" s="1"/>
  <c r="ED78"/>
  <c r="EE78"/>
  <c r="EJ78" s="1"/>
  <c r="EC79"/>
  <c r="ED79"/>
  <c r="EE79"/>
  <c r="EJ79" s="1"/>
  <c r="EC80"/>
  <c r="ED80"/>
  <c r="EE80"/>
  <c r="EJ80" s="1"/>
  <c r="EC81"/>
  <c r="ED81"/>
  <c r="EE81"/>
  <c r="EJ81" s="1"/>
  <c r="EC82"/>
  <c r="EF82" s="1"/>
  <c r="ED82"/>
  <c r="EE82"/>
  <c r="EJ82" s="1"/>
  <c r="EC83"/>
  <c r="ED83"/>
  <c r="EE83"/>
  <c r="EJ83" s="1"/>
  <c r="EC84"/>
  <c r="ED84"/>
  <c r="EE84"/>
  <c r="EJ84" s="1"/>
  <c r="EC85"/>
  <c r="ED85"/>
  <c r="EE85"/>
  <c r="EJ85" s="1"/>
  <c r="EC86"/>
  <c r="EF86" s="1"/>
  <c r="ED86"/>
  <c r="EE86"/>
  <c r="EJ86" s="1"/>
  <c r="EC87"/>
  <c r="ED87"/>
  <c r="EE87"/>
  <c r="EJ87" s="1"/>
  <c r="EC88"/>
  <c r="ED88"/>
  <c r="EE88"/>
  <c r="EJ88" s="1"/>
  <c r="EC89"/>
  <c r="ED89"/>
  <c r="EE89"/>
  <c r="EJ89" s="1"/>
  <c r="EC90"/>
  <c r="EF90" s="1"/>
  <c r="ED90"/>
  <c r="EE90"/>
  <c r="EJ90" s="1"/>
  <c r="EC91"/>
  <c r="ED91"/>
  <c r="EE91"/>
  <c r="EJ91" s="1"/>
  <c r="EC92"/>
  <c r="ED92"/>
  <c r="EE92"/>
  <c r="EJ92" s="1"/>
  <c r="EC93"/>
  <c r="ED93"/>
  <c r="EE93"/>
  <c r="EJ93" s="1"/>
  <c r="EC94"/>
  <c r="EF94" s="1"/>
  <c r="ED94"/>
  <c r="EE94"/>
  <c r="EJ94" s="1"/>
  <c r="EC95"/>
  <c r="ED95"/>
  <c r="EE95"/>
  <c r="EJ95" s="1"/>
  <c r="EC96"/>
  <c r="ED96"/>
  <c r="EE96"/>
  <c r="EJ96" s="1"/>
  <c r="EC97"/>
  <c r="ED97"/>
  <c r="EE97"/>
  <c r="EJ97" s="1"/>
  <c r="EC98"/>
  <c r="EF98" s="1"/>
  <c r="ED98"/>
  <c r="EE98"/>
  <c r="EJ98" s="1"/>
  <c r="EC99"/>
  <c r="ED99"/>
  <c r="EE99"/>
  <c r="EJ99" s="1"/>
  <c r="EC100"/>
  <c r="ED100"/>
  <c r="EE100"/>
  <c r="EJ100" s="1"/>
  <c r="EC101"/>
  <c r="ED101"/>
  <c r="EE101"/>
  <c r="EJ101" s="1"/>
  <c r="EC102"/>
  <c r="EF102" s="1"/>
  <c r="ED102"/>
  <c r="EE102"/>
  <c r="EJ102" s="1"/>
  <c r="EC103"/>
  <c r="ED103"/>
  <c r="EE103"/>
  <c r="EJ103" s="1"/>
  <c r="EC104"/>
  <c r="ED104"/>
  <c r="EE104"/>
  <c r="EJ104" s="1"/>
  <c r="EC105"/>
  <c r="ED105"/>
  <c r="EE105"/>
  <c r="EJ105" s="1"/>
  <c r="EC106"/>
  <c r="EF106" s="1"/>
  <c r="ED106"/>
  <c r="EE106"/>
  <c r="EJ106" s="1"/>
  <c r="EC107"/>
  <c r="ED107"/>
  <c r="EE107"/>
  <c r="EJ107" s="1"/>
  <c r="EC108"/>
  <c r="ED108"/>
  <c r="EE108"/>
  <c r="EJ108" s="1"/>
  <c r="EC109"/>
  <c r="ED109"/>
  <c r="EE109"/>
  <c r="EJ109" s="1"/>
  <c r="EC110"/>
  <c r="EF110" s="1"/>
  <c r="ED110"/>
  <c r="EE110"/>
  <c r="EJ110" s="1"/>
  <c r="EC111"/>
  <c r="ED111"/>
  <c r="EE111"/>
  <c r="EJ111" s="1"/>
  <c r="EC112"/>
  <c r="ED112"/>
  <c r="EE112"/>
  <c r="EJ112" s="1"/>
  <c r="EC113"/>
  <c r="ED113"/>
  <c r="EE113"/>
  <c r="EJ113" s="1"/>
  <c r="EC114"/>
  <c r="EF114" s="1"/>
  <c r="ED114"/>
  <c r="EE114"/>
  <c r="EJ114" s="1"/>
  <c r="EC115"/>
  <c r="ED115"/>
  <c r="EE115"/>
  <c r="EJ115" s="1"/>
  <c r="EC116"/>
  <c r="ED116"/>
  <c r="EE116"/>
  <c r="EJ116" s="1"/>
  <c r="EC117"/>
  <c r="ED117"/>
  <c r="EE117"/>
  <c r="EJ117" s="1"/>
  <c r="EC118"/>
  <c r="EF118" s="1"/>
  <c r="ED118"/>
  <c r="EE118"/>
  <c r="EJ118" s="1"/>
  <c r="EC119"/>
  <c r="ED119"/>
  <c r="EE119"/>
  <c r="EJ119" s="1"/>
  <c r="EC120"/>
  <c r="ED120"/>
  <c r="EE120"/>
  <c r="EJ120" s="1"/>
  <c r="EC121"/>
  <c r="ED121"/>
  <c r="EE121"/>
  <c r="EJ121" s="1"/>
  <c r="EC122"/>
  <c r="EF122" s="1"/>
  <c r="ED122"/>
  <c r="EE122"/>
  <c r="EJ122" s="1"/>
  <c r="EC123"/>
  <c r="ED123"/>
  <c r="EE123"/>
  <c r="EJ123" s="1"/>
  <c r="EC124"/>
  <c r="ED124"/>
  <c r="EE124"/>
  <c r="EJ124" s="1"/>
  <c r="EC125"/>
  <c r="ED125"/>
  <c r="EE125"/>
  <c r="EJ125" s="1"/>
  <c r="EC126"/>
  <c r="EF126" s="1"/>
  <c r="ED126"/>
  <c r="EE126"/>
  <c r="EJ126" s="1"/>
  <c r="EC127"/>
  <c r="ED127"/>
  <c r="EE127"/>
  <c r="EJ127" s="1"/>
  <c r="EC128"/>
  <c r="ED128"/>
  <c r="EE128"/>
  <c r="EJ128" s="1"/>
  <c r="EC129"/>
  <c r="ED129"/>
  <c r="EE129"/>
  <c r="EJ129" s="1"/>
  <c r="EC130"/>
  <c r="EF130" s="1"/>
  <c r="ED130"/>
  <c r="EE130"/>
  <c r="EJ130" s="1"/>
  <c r="EC131"/>
  <c r="ED131"/>
  <c r="EE131"/>
  <c r="EJ131" s="1"/>
  <c r="EC132"/>
  <c r="ED132"/>
  <c r="EE132"/>
  <c r="EJ132" s="1"/>
  <c r="EC133"/>
  <c r="ED133"/>
  <c r="EE133"/>
  <c r="EJ133" s="1"/>
  <c r="EC134"/>
  <c r="EF134" s="1"/>
  <c r="ED134"/>
  <c r="EE134"/>
  <c r="EJ134" s="1"/>
  <c r="EC135"/>
  <c r="ED135"/>
  <c r="EE135"/>
  <c r="EJ135" s="1"/>
  <c r="EC136"/>
  <c r="ED136"/>
  <c r="EE136"/>
  <c r="EJ136" s="1"/>
  <c r="EC137"/>
  <c r="ED137"/>
  <c r="EE137"/>
  <c r="EJ137" s="1"/>
  <c r="EC138"/>
  <c r="EF138" s="1"/>
  <c r="ED138"/>
  <c r="EE138"/>
  <c r="EJ138" s="1"/>
  <c r="EC139"/>
  <c r="ED139"/>
  <c r="EE139"/>
  <c r="EJ139" s="1"/>
  <c r="EC140"/>
  <c r="ED140"/>
  <c r="EE140"/>
  <c r="EJ140" s="1"/>
  <c r="EC141"/>
  <c r="ED141"/>
  <c r="EE141"/>
  <c r="EJ141" s="1"/>
  <c r="EC142"/>
  <c r="EF142" s="1"/>
  <c r="ED142"/>
  <c r="EE142"/>
  <c r="EJ142" s="1"/>
  <c r="EC143"/>
  <c r="ED143"/>
  <c r="EE143"/>
  <c r="EJ143" s="1"/>
  <c r="EC144"/>
  <c r="ED144"/>
  <c r="EE144"/>
  <c r="EJ144" s="1"/>
  <c r="EC145"/>
  <c r="ED145"/>
  <c r="EE145"/>
  <c r="EJ145" s="1"/>
  <c r="EC146"/>
  <c r="EF146" s="1"/>
  <c r="ED146"/>
  <c r="EE146"/>
  <c r="EJ146" s="1"/>
  <c r="EC147"/>
  <c r="ED147"/>
  <c r="EE147"/>
  <c r="EJ147" s="1"/>
  <c r="EC148"/>
  <c r="ED148"/>
  <c r="EE148"/>
  <c r="EJ148" s="1"/>
  <c r="EC149"/>
  <c r="ED149"/>
  <c r="EE149"/>
  <c r="EJ149" s="1"/>
  <c r="EC150"/>
  <c r="EF150" s="1"/>
  <c r="ED150"/>
  <c r="EE150"/>
  <c r="EJ150" s="1"/>
  <c r="EC151"/>
  <c r="ED151"/>
  <c r="EE151"/>
  <c r="EJ151" s="1"/>
  <c r="EC152"/>
  <c r="ED152"/>
  <c r="EE152"/>
  <c r="EJ152" s="1"/>
  <c r="EC153"/>
  <c r="ED153"/>
  <c r="EE153"/>
  <c r="EJ153" s="1"/>
  <c r="EC154"/>
  <c r="EF154" s="1"/>
  <c r="ED154"/>
  <c r="EE154"/>
  <c r="EJ154" s="1"/>
  <c r="EC155"/>
  <c r="ED155"/>
  <c r="EE155"/>
  <c r="EJ155" s="1"/>
  <c r="EC156"/>
  <c r="ED156"/>
  <c r="EE156"/>
  <c r="EJ156" s="1"/>
  <c r="EC157"/>
  <c r="ED157"/>
  <c r="EE157"/>
  <c r="EJ157" s="1"/>
  <c r="EC158"/>
  <c r="EF158" s="1"/>
  <c r="ED158"/>
  <c r="EE158"/>
  <c r="EJ158" s="1"/>
  <c r="EC159"/>
  <c r="ED159"/>
  <c r="EE159"/>
  <c r="EJ159" s="1"/>
  <c r="EC160"/>
  <c r="ED160"/>
  <c r="EE160"/>
  <c r="EJ160" s="1"/>
  <c r="EC161"/>
  <c r="ED161"/>
  <c r="EE161"/>
  <c r="EJ161" s="1"/>
  <c r="EC162"/>
  <c r="EF162" s="1"/>
  <c r="ED162"/>
  <c r="EE162"/>
  <c r="EJ162" s="1"/>
  <c r="EC163"/>
  <c r="ED163"/>
  <c r="EE163"/>
  <c r="EJ163" s="1"/>
  <c r="EC164"/>
  <c r="ED164"/>
  <c r="EE164"/>
  <c r="EJ164" s="1"/>
  <c r="EC165"/>
  <c r="ED165"/>
  <c r="EE165"/>
  <c r="EJ165" s="1"/>
  <c r="EC166"/>
  <c r="EF166" s="1"/>
  <c r="ED166"/>
  <c r="EE166"/>
  <c r="EJ166" s="1"/>
  <c r="EC167"/>
  <c r="ED167"/>
  <c r="EE167"/>
  <c r="EJ167" s="1"/>
  <c r="EC168"/>
  <c r="ED168"/>
  <c r="EE168"/>
  <c r="EJ168" s="1"/>
  <c r="EC169"/>
  <c r="ED169"/>
  <c r="EE169"/>
  <c r="EJ169" s="1"/>
  <c r="EC170"/>
  <c r="EF170" s="1"/>
  <c r="ED170"/>
  <c r="EE170"/>
  <c r="EJ170" s="1"/>
  <c r="EC171"/>
  <c r="ED171"/>
  <c r="EE171"/>
  <c r="EJ171" s="1"/>
  <c r="EC172"/>
  <c r="ED172"/>
  <c r="EE172"/>
  <c r="EJ172" s="1"/>
  <c r="EC173"/>
  <c r="ED173"/>
  <c r="EE173"/>
  <c r="EJ173" s="1"/>
  <c r="EC174"/>
  <c r="EF174" s="1"/>
  <c r="ED174"/>
  <c r="EE174"/>
  <c r="EJ174" s="1"/>
  <c r="EC175"/>
  <c r="ED175"/>
  <c r="EE175"/>
  <c r="EJ175" s="1"/>
  <c r="EC176"/>
  <c r="ED176"/>
  <c r="EE176"/>
  <c r="EJ176" s="1"/>
  <c r="EC177"/>
  <c r="ED177"/>
  <c r="EE177"/>
  <c r="EJ177" s="1"/>
  <c r="EC178"/>
  <c r="EF178" s="1"/>
  <c r="ED178"/>
  <c r="EE178"/>
  <c r="EJ178" s="1"/>
  <c r="EC179"/>
  <c r="ED179"/>
  <c r="EE179"/>
  <c r="EJ179" s="1"/>
  <c r="EC180"/>
  <c r="ED180"/>
  <c r="EE180"/>
  <c r="EJ180" s="1"/>
  <c r="EC181"/>
  <c r="ED181"/>
  <c r="EE181"/>
  <c r="EJ181" s="1"/>
  <c r="EC182"/>
  <c r="EF182" s="1"/>
  <c r="ED182"/>
  <c r="EE182"/>
  <c r="EJ182" s="1"/>
  <c r="EC183"/>
  <c r="ED183"/>
  <c r="EE183"/>
  <c r="EJ183" s="1"/>
  <c r="EC184"/>
  <c r="ED184"/>
  <c r="EE184"/>
  <c r="EJ184" s="1"/>
  <c r="EC185"/>
  <c r="ED185"/>
  <c r="EE185"/>
  <c r="EJ185" s="1"/>
  <c r="EC186"/>
  <c r="EF186" s="1"/>
  <c r="ED186"/>
  <c r="EE186"/>
  <c r="EJ186" s="1"/>
  <c r="EC187"/>
  <c r="ED187"/>
  <c r="EE187"/>
  <c r="EJ187" s="1"/>
  <c r="EC188"/>
  <c r="ED188"/>
  <c r="EE188"/>
  <c r="EJ188" s="1"/>
  <c r="EC189"/>
  <c r="ED189"/>
  <c r="EE189"/>
  <c r="EJ189" s="1"/>
  <c r="EC190"/>
  <c r="EF190" s="1"/>
  <c r="ED190"/>
  <c r="EE190"/>
  <c r="EJ190" s="1"/>
  <c r="EC191"/>
  <c r="ED191"/>
  <c r="EE191"/>
  <c r="EJ191" s="1"/>
  <c r="EC192"/>
  <c r="ED192"/>
  <c r="EE192"/>
  <c r="EJ192" s="1"/>
  <c r="EC193"/>
  <c r="ED193"/>
  <c r="EE193"/>
  <c r="EJ193" s="1"/>
  <c r="EC194"/>
  <c r="EF194" s="1"/>
  <c r="ED194"/>
  <c r="EE194"/>
  <c r="EJ194" s="1"/>
  <c r="EC195"/>
  <c r="ED195"/>
  <c r="EE195"/>
  <c r="EJ195" s="1"/>
  <c r="EC196"/>
  <c r="ED196"/>
  <c r="EE196"/>
  <c r="EJ196" s="1"/>
  <c r="EC197"/>
  <c r="ED197"/>
  <c r="EE197"/>
  <c r="EJ197" s="1"/>
  <c r="EC198"/>
  <c r="EF198" s="1"/>
  <c r="ED198"/>
  <c r="EE198"/>
  <c r="EJ198" s="1"/>
  <c r="EC199"/>
  <c r="ED199"/>
  <c r="EE199"/>
  <c r="EJ199" s="1"/>
  <c r="EC200"/>
  <c r="ED200"/>
  <c r="EE200"/>
  <c r="EJ200" s="1"/>
  <c r="EC201"/>
  <c r="ED201"/>
  <c r="EE201"/>
  <c r="EJ201" s="1"/>
  <c r="EC202"/>
  <c r="EF202" s="1"/>
  <c r="ED202"/>
  <c r="EE202"/>
  <c r="EJ202" s="1"/>
  <c r="EC203"/>
  <c r="ED203"/>
  <c r="EE203"/>
  <c r="EJ203" s="1"/>
  <c r="EC204"/>
  <c r="ED204"/>
  <c r="EE204"/>
  <c r="EJ204" s="1"/>
  <c r="EC205"/>
  <c r="ED205"/>
  <c r="EE205"/>
  <c r="EJ205" s="1"/>
  <c r="EC206"/>
  <c r="EF206" s="1"/>
  <c r="ED206"/>
  <c r="EE206"/>
  <c r="EJ206" s="1"/>
  <c r="EC207"/>
  <c r="ED207"/>
  <c r="EE207"/>
  <c r="EJ207" s="1"/>
  <c r="ED8"/>
  <c r="EE8"/>
  <c r="EJ8" s="1"/>
  <c r="EF5"/>
  <c r="DT4"/>
  <c r="DP5"/>
  <c r="EE6"/>
  <c r="DR8"/>
  <c r="DR4"/>
  <c r="DS4"/>
  <c r="DQ4"/>
  <c r="DL4"/>
  <c r="DK5"/>
  <c r="CU7"/>
  <c r="CF207"/>
  <c r="CG207"/>
  <c r="CH207"/>
  <c r="CI207"/>
  <c r="CK207"/>
  <c r="CL207"/>
  <c r="CO207"/>
  <c r="CP207"/>
  <c r="CF9"/>
  <c r="CG9"/>
  <c r="CH9"/>
  <c r="CI9"/>
  <c r="CK9"/>
  <c r="CL9"/>
  <c r="H18" i="4" s="1"/>
  <c r="H21" s="1"/>
  <c r="CO9" i="9"/>
  <c r="K18" i="4" s="1"/>
  <c r="CP9" i="9"/>
  <c r="L18" i="4" s="1"/>
  <c r="CF10" i="9"/>
  <c r="CG10"/>
  <c r="CH10"/>
  <c r="CI10"/>
  <c r="CK10"/>
  <c r="CL10"/>
  <c r="CO10"/>
  <c r="CP10"/>
  <c r="CF11"/>
  <c r="CG11"/>
  <c r="CH11"/>
  <c r="CI11"/>
  <c r="CK11"/>
  <c r="CL11"/>
  <c r="CO11"/>
  <c r="CP11"/>
  <c r="CF12"/>
  <c r="CG12"/>
  <c r="CH12"/>
  <c r="CI12"/>
  <c r="CK12"/>
  <c r="CL12"/>
  <c r="CO12"/>
  <c r="CP12"/>
  <c r="CF13"/>
  <c r="CG13"/>
  <c r="CH13"/>
  <c r="CI13"/>
  <c r="CK13"/>
  <c r="CL13"/>
  <c r="CO13"/>
  <c r="CP13"/>
  <c r="CF14"/>
  <c r="CG14"/>
  <c r="CH14"/>
  <c r="CI14"/>
  <c r="CK14"/>
  <c r="CL14"/>
  <c r="CO14"/>
  <c r="CP14"/>
  <c r="CF15"/>
  <c r="CG15"/>
  <c r="CH15"/>
  <c r="CI15"/>
  <c r="CK15"/>
  <c r="CL15"/>
  <c r="CO15"/>
  <c r="CP15"/>
  <c r="CF16"/>
  <c r="CG16"/>
  <c r="CH16"/>
  <c r="CI16"/>
  <c r="CK16"/>
  <c r="CL16"/>
  <c r="CO16"/>
  <c r="CP16"/>
  <c r="CF17"/>
  <c r="CG17"/>
  <c r="CH17"/>
  <c r="CI17"/>
  <c r="CK17"/>
  <c r="CL17"/>
  <c r="CO17"/>
  <c r="CP17"/>
  <c r="CF18"/>
  <c r="CG18"/>
  <c r="CH18"/>
  <c r="CI18"/>
  <c r="CK18"/>
  <c r="CL18"/>
  <c r="CO18"/>
  <c r="CP18"/>
  <c r="CF19"/>
  <c r="CG19"/>
  <c r="CH19"/>
  <c r="CI19"/>
  <c r="CK19"/>
  <c r="CL19"/>
  <c r="CO19"/>
  <c r="CP19"/>
  <c r="CF20"/>
  <c r="CG20"/>
  <c r="CH20"/>
  <c r="CI20"/>
  <c r="CK20"/>
  <c r="CL20"/>
  <c r="CO20"/>
  <c r="CP20"/>
  <c r="CF21"/>
  <c r="CG21"/>
  <c r="CH21"/>
  <c r="CI21"/>
  <c r="CK21"/>
  <c r="CL21"/>
  <c r="CO21"/>
  <c r="CP21"/>
  <c r="CF22"/>
  <c r="CG22"/>
  <c r="CH22"/>
  <c r="CI22"/>
  <c r="CK22"/>
  <c r="CL22"/>
  <c r="CO22"/>
  <c r="CP22"/>
  <c r="CF23"/>
  <c r="CG23"/>
  <c r="CH23"/>
  <c r="CI23"/>
  <c r="CK23"/>
  <c r="CL23"/>
  <c r="CO23"/>
  <c r="CP23"/>
  <c r="CF24"/>
  <c r="CG24"/>
  <c r="CH24"/>
  <c r="CI24"/>
  <c r="CK24"/>
  <c r="CL24"/>
  <c r="CO24"/>
  <c r="CP24"/>
  <c r="CF25"/>
  <c r="CG25"/>
  <c r="CH25"/>
  <c r="CI25"/>
  <c r="CK25"/>
  <c r="CL25"/>
  <c r="CO25"/>
  <c r="CP25"/>
  <c r="CF26"/>
  <c r="CG26"/>
  <c r="CH26"/>
  <c r="CI26"/>
  <c r="CK26"/>
  <c r="CL26"/>
  <c r="CO26"/>
  <c r="CP26"/>
  <c r="CF27"/>
  <c r="CG27"/>
  <c r="CH27"/>
  <c r="CI27"/>
  <c r="CK27"/>
  <c r="CL27"/>
  <c r="CO27"/>
  <c r="CP27"/>
  <c r="CF28"/>
  <c r="CG28"/>
  <c r="CH28"/>
  <c r="CI28"/>
  <c r="CK28"/>
  <c r="CL28"/>
  <c r="CO28"/>
  <c r="CP28"/>
  <c r="CF29"/>
  <c r="CG29"/>
  <c r="CH29"/>
  <c r="CI29"/>
  <c r="CK29"/>
  <c r="CL29"/>
  <c r="CO29"/>
  <c r="CP29"/>
  <c r="CF30"/>
  <c r="CG30"/>
  <c r="CH30"/>
  <c r="CI30"/>
  <c r="CK30"/>
  <c r="CL30"/>
  <c r="CO30"/>
  <c r="CP30"/>
  <c r="CF31"/>
  <c r="CG31"/>
  <c r="CH31"/>
  <c r="CI31"/>
  <c r="CK31"/>
  <c r="CL31"/>
  <c r="CO31"/>
  <c r="CP31"/>
  <c r="CF32"/>
  <c r="CG32"/>
  <c r="CH32"/>
  <c r="CI32"/>
  <c r="CK32"/>
  <c r="CL32"/>
  <c r="CO32"/>
  <c r="CP32"/>
  <c r="CF33"/>
  <c r="CG33"/>
  <c r="CH33"/>
  <c r="CI33"/>
  <c r="CK33"/>
  <c r="CL33"/>
  <c r="CO33"/>
  <c r="CP33"/>
  <c r="CF34"/>
  <c r="CG34"/>
  <c r="CH34"/>
  <c r="CI34"/>
  <c r="CK34"/>
  <c r="CL34"/>
  <c r="CO34"/>
  <c r="CP34"/>
  <c r="CF35"/>
  <c r="CG35"/>
  <c r="CH35"/>
  <c r="CI35"/>
  <c r="CK35"/>
  <c r="CL35"/>
  <c r="CO35"/>
  <c r="CP35"/>
  <c r="CF36"/>
  <c r="CG36"/>
  <c r="CH36"/>
  <c r="CI36"/>
  <c r="CK36"/>
  <c r="CL36"/>
  <c r="CO36"/>
  <c r="CP36"/>
  <c r="CF37"/>
  <c r="CG37"/>
  <c r="CH37"/>
  <c r="CI37"/>
  <c r="CK37"/>
  <c r="CL37"/>
  <c r="CO37"/>
  <c r="CP37"/>
  <c r="CF38"/>
  <c r="CG38"/>
  <c r="CH38"/>
  <c r="CI38"/>
  <c r="CK38"/>
  <c r="CL38"/>
  <c r="CO38"/>
  <c r="CP38"/>
  <c r="CF39"/>
  <c r="CG39"/>
  <c r="CH39"/>
  <c r="CI39"/>
  <c r="CK39"/>
  <c r="CL39"/>
  <c r="CO39"/>
  <c r="CP39"/>
  <c r="CF40"/>
  <c r="CG40"/>
  <c r="CH40"/>
  <c r="CI40"/>
  <c r="CK40"/>
  <c r="CL40"/>
  <c r="CO40"/>
  <c r="CP40"/>
  <c r="CF41"/>
  <c r="CG41"/>
  <c r="CH41"/>
  <c r="CI41"/>
  <c r="CK41"/>
  <c r="CL41"/>
  <c r="CO41"/>
  <c r="CP41"/>
  <c r="CF42"/>
  <c r="CG42"/>
  <c r="CH42"/>
  <c r="CI42"/>
  <c r="CK42"/>
  <c r="CL42"/>
  <c r="CO42"/>
  <c r="CP42"/>
  <c r="CF43"/>
  <c r="CG43"/>
  <c r="CH43"/>
  <c r="CI43"/>
  <c r="CK43"/>
  <c r="CL43"/>
  <c r="CO43"/>
  <c r="CP43"/>
  <c r="CF44"/>
  <c r="CG44"/>
  <c r="CH44"/>
  <c r="CI44"/>
  <c r="CK44"/>
  <c r="CL44"/>
  <c r="CO44"/>
  <c r="CP44"/>
  <c r="CF45"/>
  <c r="CG45"/>
  <c r="CH45"/>
  <c r="CI45"/>
  <c r="CK45"/>
  <c r="CL45"/>
  <c r="CO45"/>
  <c r="CP45"/>
  <c r="CF46"/>
  <c r="CG46"/>
  <c r="CH46"/>
  <c r="CI46"/>
  <c r="CK46"/>
  <c r="CL46"/>
  <c r="CO46"/>
  <c r="CP46"/>
  <c r="CF47"/>
  <c r="CG47"/>
  <c r="CH47"/>
  <c r="CI47"/>
  <c r="CK47"/>
  <c r="CL47"/>
  <c r="CO47"/>
  <c r="CP47"/>
  <c r="CF48"/>
  <c r="CG48"/>
  <c r="CH48"/>
  <c r="CI48"/>
  <c r="CK48"/>
  <c r="CL48"/>
  <c r="CO48"/>
  <c r="CP48"/>
  <c r="CF49"/>
  <c r="CG49"/>
  <c r="CH49"/>
  <c r="CI49"/>
  <c r="CK49"/>
  <c r="CL49"/>
  <c r="CO49"/>
  <c r="CP49"/>
  <c r="CF50"/>
  <c r="CG50"/>
  <c r="CH50"/>
  <c r="CI50"/>
  <c r="CK50"/>
  <c r="CL50"/>
  <c r="CO50"/>
  <c r="CP50"/>
  <c r="CF51"/>
  <c r="CG51"/>
  <c r="CH51"/>
  <c r="CI51"/>
  <c r="CK51"/>
  <c r="CL51"/>
  <c r="CO51"/>
  <c r="CP51"/>
  <c r="CF52"/>
  <c r="CG52"/>
  <c r="CH52"/>
  <c r="CI52"/>
  <c r="CK52"/>
  <c r="CL52"/>
  <c r="CO52"/>
  <c r="CP52"/>
  <c r="CF53"/>
  <c r="CG53"/>
  <c r="CH53"/>
  <c r="CI53"/>
  <c r="CK53"/>
  <c r="CL53"/>
  <c r="CO53"/>
  <c r="CP53"/>
  <c r="CF54"/>
  <c r="CG54"/>
  <c r="CH54"/>
  <c r="CI54"/>
  <c r="CK54"/>
  <c r="CL54"/>
  <c r="CO54"/>
  <c r="CP54"/>
  <c r="CF55"/>
  <c r="CG55"/>
  <c r="CH55"/>
  <c r="CI55"/>
  <c r="CK55"/>
  <c r="CL55"/>
  <c r="CO55"/>
  <c r="CP55"/>
  <c r="CF56"/>
  <c r="CG56"/>
  <c r="CH56"/>
  <c r="CI56"/>
  <c r="CK56"/>
  <c r="CL56"/>
  <c r="CO56"/>
  <c r="CP56"/>
  <c r="CF57"/>
  <c r="CG57"/>
  <c r="CH57"/>
  <c r="CI57"/>
  <c r="CK57"/>
  <c r="CL57"/>
  <c r="CO57"/>
  <c r="CP57"/>
  <c r="CF58"/>
  <c r="CG58"/>
  <c r="CH58"/>
  <c r="CI58"/>
  <c r="CK58"/>
  <c r="CL58"/>
  <c r="CO58"/>
  <c r="CP58"/>
  <c r="CF59"/>
  <c r="CG59"/>
  <c r="CH59"/>
  <c r="CI59"/>
  <c r="CK59"/>
  <c r="CL59"/>
  <c r="CO59"/>
  <c r="CP59"/>
  <c r="CF60"/>
  <c r="CG60"/>
  <c r="CH60"/>
  <c r="CI60"/>
  <c r="CK60"/>
  <c r="CL60"/>
  <c r="CO60"/>
  <c r="CP60"/>
  <c r="CF61"/>
  <c r="CG61"/>
  <c r="CH61"/>
  <c r="CI61"/>
  <c r="CK61"/>
  <c r="CL61"/>
  <c r="CO61"/>
  <c r="CP61"/>
  <c r="CF62"/>
  <c r="CG62"/>
  <c r="CH62"/>
  <c r="CI62"/>
  <c r="CK62"/>
  <c r="CL62"/>
  <c r="CO62"/>
  <c r="CP62"/>
  <c r="CF63"/>
  <c r="CG63"/>
  <c r="CH63"/>
  <c r="CI63"/>
  <c r="CK63"/>
  <c r="CL63"/>
  <c r="CO63"/>
  <c r="CP63"/>
  <c r="CF64"/>
  <c r="CG64"/>
  <c r="CH64"/>
  <c r="CI64"/>
  <c r="CK64"/>
  <c r="CL64"/>
  <c r="CO64"/>
  <c r="CP64"/>
  <c r="CF65"/>
  <c r="CG65"/>
  <c r="CH65"/>
  <c r="CI65"/>
  <c r="CK65"/>
  <c r="CL65"/>
  <c r="CO65"/>
  <c r="CP65"/>
  <c r="CF66"/>
  <c r="CG66"/>
  <c r="CH66"/>
  <c r="CI66"/>
  <c r="CK66"/>
  <c r="CL66"/>
  <c r="CO66"/>
  <c r="CP66"/>
  <c r="CF67"/>
  <c r="CG67"/>
  <c r="CH67"/>
  <c r="CI67"/>
  <c r="CK67"/>
  <c r="CL67"/>
  <c r="CO67"/>
  <c r="CP67"/>
  <c r="CF68"/>
  <c r="CG68"/>
  <c r="CH68"/>
  <c r="CI68"/>
  <c r="CK68"/>
  <c r="CL68"/>
  <c r="CO68"/>
  <c r="CP68"/>
  <c r="CF69"/>
  <c r="CG69"/>
  <c r="CH69"/>
  <c r="CI69"/>
  <c r="CK69"/>
  <c r="CL69"/>
  <c r="CO69"/>
  <c r="CP69"/>
  <c r="CF70"/>
  <c r="CG70"/>
  <c r="CH70"/>
  <c r="CI70"/>
  <c r="CK70"/>
  <c r="CL70"/>
  <c r="CO70"/>
  <c r="CP70"/>
  <c r="CF71"/>
  <c r="CG71"/>
  <c r="CH71"/>
  <c r="CI71"/>
  <c r="CK71"/>
  <c r="CL71"/>
  <c r="CO71"/>
  <c r="CP71"/>
  <c r="CF72"/>
  <c r="CG72"/>
  <c r="CH72"/>
  <c r="CI72"/>
  <c r="CK72"/>
  <c r="CL72"/>
  <c r="CO72"/>
  <c r="CP72"/>
  <c r="CF73"/>
  <c r="CG73"/>
  <c r="CH73"/>
  <c r="CI73"/>
  <c r="CK73"/>
  <c r="CL73"/>
  <c r="CO73"/>
  <c r="CP73"/>
  <c r="CF74"/>
  <c r="CG74"/>
  <c r="CH74"/>
  <c r="CI74"/>
  <c r="CK74"/>
  <c r="CL74"/>
  <c r="CO74"/>
  <c r="CP74"/>
  <c r="CF75"/>
  <c r="CG75"/>
  <c r="CH75"/>
  <c r="CI75"/>
  <c r="CK75"/>
  <c r="CL75"/>
  <c r="CO75"/>
  <c r="CP75"/>
  <c r="CF76"/>
  <c r="CG76"/>
  <c r="CH76"/>
  <c r="CI76"/>
  <c r="CK76"/>
  <c r="CL76"/>
  <c r="CO76"/>
  <c r="CP76"/>
  <c r="CF77"/>
  <c r="CG77"/>
  <c r="CH77"/>
  <c r="CI77"/>
  <c r="CK77"/>
  <c r="CL77"/>
  <c r="CO77"/>
  <c r="CP77"/>
  <c r="CF78"/>
  <c r="CG78"/>
  <c r="CH78"/>
  <c r="CI78"/>
  <c r="CK78"/>
  <c r="CL78"/>
  <c r="CO78"/>
  <c r="CP78"/>
  <c r="CF79"/>
  <c r="CG79"/>
  <c r="CH79"/>
  <c r="CI79"/>
  <c r="CK79"/>
  <c r="CL79"/>
  <c r="CO79"/>
  <c r="CP79"/>
  <c r="CF80"/>
  <c r="CG80"/>
  <c r="CH80"/>
  <c r="CI80"/>
  <c r="CK80"/>
  <c r="CL80"/>
  <c r="CO80"/>
  <c r="CP80"/>
  <c r="CF81"/>
  <c r="CG81"/>
  <c r="CH81"/>
  <c r="CI81"/>
  <c r="CK81"/>
  <c r="CL81"/>
  <c r="CO81"/>
  <c r="CP81"/>
  <c r="CF82"/>
  <c r="CG82"/>
  <c r="CH82"/>
  <c r="CI82"/>
  <c r="CK82"/>
  <c r="CL82"/>
  <c r="CO82"/>
  <c r="CP82"/>
  <c r="CF83"/>
  <c r="CG83"/>
  <c r="CH83"/>
  <c r="CI83"/>
  <c r="CK83"/>
  <c r="CL83"/>
  <c r="CO83"/>
  <c r="CP83"/>
  <c r="CF84"/>
  <c r="CG84"/>
  <c r="CH84"/>
  <c r="CI84"/>
  <c r="CK84"/>
  <c r="CL84"/>
  <c r="CO84"/>
  <c r="CP84"/>
  <c r="CF85"/>
  <c r="CG85"/>
  <c r="CH85"/>
  <c r="CI85"/>
  <c r="CK85"/>
  <c r="CL85"/>
  <c r="CO85"/>
  <c r="CP85"/>
  <c r="CF86"/>
  <c r="CG86"/>
  <c r="CH86"/>
  <c r="CI86"/>
  <c r="CK86"/>
  <c r="CL86"/>
  <c r="CO86"/>
  <c r="CP86"/>
  <c r="CF87"/>
  <c r="CG87"/>
  <c r="CH87"/>
  <c r="CI87"/>
  <c r="CK87"/>
  <c r="CL87"/>
  <c r="CO87"/>
  <c r="CP87"/>
  <c r="CF88"/>
  <c r="CG88"/>
  <c r="CH88"/>
  <c r="CI88"/>
  <c r="CK88"/>
  <c r="CL88"/>
  <c r="CO88"/>
  <c r="CP88"/>
  <c r="CF89"/>
  <c r="CG89"/>
  <c r="CH89"/>
  <c r="CI89"/>
  <c r="CK89"/>
  <c r="CL89"/>
  <c r="CO89"/>
  <c r="CP89"/>
  <c r="CF90"/>
  <c r="CG90"/>
  <c r="CH90"/>
  <c r="CI90"/>
  <c r="CK90"/>
  <c r="CL90"/>
  <c r="CO90"/>
  <c r="CP90"/>
  <c r="CF91"/>
  <c r="CG91"/>
  <c r="CH91"/>
  <c r="CI91"/>
  <c r="CK91"/>
  <c r="CL91"/>
  <c r="CO91"/>
  <c r="CP91"/>
  <c r="CF92"/>
  <c r="CG92"/>
  <c r="CH92"/>
  <c r="CI92"/>
  <c r="CK92"/>
  <c r="CL92"/>
  <c r="CO92"/>
  <c r="CP92"/>
  <c r="CF93"/>
  <c r="CG93"/>
  <c r="CH93"/>
  <c r="CI93"/>
  <c r="CK93"/>
  <c r="CL93"/>
  <c r="CO93"/>
  <c r="CP93"/>
  <c r="CF94"/>
  <c r="CG94"/>
  <c r="CH94"/>
  <c r="CI94"/>
  <c r="CK94"/>
  <c r="CL94"/>
  <c r="CO94"/>
  <c r="CP94"/>
  <c r="CF95"/>
  <c r="CG95"/>
  <c r="CH95"/>
  <c r="CI95"/>
  <c r="CK95"/>
  <c r="CL95"/>
  <c r="CO95"/>
  <c r="CP95"/>
  <c r="CF96"/>
  <c r="CG96"/>
  <c r="CH96"/>
  <c r="CI96"/>
  <c r="CK96"/>
  <c r="CL96"/>
  <c r="CO96"/>
  <c r="CP96"/>
  <c r="CF97"/>
  <c r="CG97"/>
  <c r="CH97"/>
  <c r="CI97"/>
  <c r="CK97"/>
  <c r="CL97"/>
  <c r="CO97"/>
  <c r="CP97"/>
  <c r="CF98"/>
  <c r="CG98"/>
  <c r="CH98"/>
  <c r="CI98"/>
  <c r="CK98"/>
  <c r="CL98"/>
  <c r="CO98"/>
  <c r="CP98"/>
  <c r="CF99"/>
  <c r="CG99"/>
  <c r="CH99"/>
  <c r="CI99"/>
  <c r="CK99"/>
  <c r="CL99"/>
  <c r="CO99"/>
  <c r="CP99"/>
  <c r="CF100"/>
  <c r="CG100"/>
  <c r="CH100"/>
  <c r="CI100"/>
  <c r="CK100"/>
  <c r="CL100"/>
  <c r="CO100"/>
  <c r="CP100"/>
  <c r="CF101"/>
  <c r="CG101"/>
  <c r="CH101"/>
  <c r="CI101"/>
  <c r="CK101"/>
  <c r="CL101"/>
  <c r="CO101"/>
  <c r="CP101"/>
  <c r="CF102"/>
  <c r="CG102"/>
  <c r="CH102"/>
  <c r="CI102"/>
  <c r="CK102"/>
  <c r="CL102"/>
  <c r="CO102"/>
  <c r="CP102"/>
  <c r="CF103"/>
  <c r="CG103"/>
  <c r="CH103"/>
  <c r="CI103"/>
  <c r="CK103"/>
  <c r="CL103"/>
  <c r="CO103"/>
  <c r="CP103"/>
  <c r="CF104"/>
  <c r="CG104"/>
  <c r="CH104"/>
  <c r="CI104"/>
  <c r="CK104"/>
  <c r="CL104"/>
  <c r="CO104"/>
  <c r="CP104"/>
  <c r="CF105"/>
  <c r="CG105"/>
  <c r="CH105"/>
  <c r="CI105"/>
  <c r="CK105"/>
  <c r="CL105"/>
  <c r="CO105"/>
  <c r="CP105"/>
  <c r="CF106"/>
  <c r="CG106"/>
  <c r="CH106"/>
  <c r="CI106"/>
  <c r="CK106"/>
  <c r="CL106"/>
  <c r="CO106"/>
  <c r="CP106"/>
  <c r="CF107"/>
  <c r="CG107"/>
  <c r="CH107"/>
  <c r="CI107"/>
  <c r="CK107"/>
  <c r="CL107"/>
  <c r="CO107"/>
  <c r="CP107"/>
  <c r="CF108"/>
  <c r="CG108"/>
  <c r="CH108"/>
  <c r="CI108"/>
  <c r="CK108"/>
  <c r="CL108"/>
  <c r="CO108"/>
  <c r="CP108"/>
  <c r="CF109"/>
  <c r="CG109"/>
  <c r="CH109"/>
  <c r="CI109"/>
  <c r="CK109"/>
  <c r="CL109"/>
  <c r="CO109"/>
  <c r="CP109"/>
  <c r="CF110"/>
  <c r="CG110"/>
  <c r="CH110"/>
  <c r="CI110"/>
  <c r="CK110"/>
  <c r="CL110"/>
  <c r="CO110"/>
  <c r="CP110"/>
  <c r="CF111"/>
  <c r="CG111"/>
  <c r="CH111"/>
  <c r="CI111"/>
  <c r="CK111"/>
  <c r="CL111"/>
  <c r="CO111"/>
  <c r="CP111"/>
  <c r="CF112"/>
  <c r="CG112"/>
  <c r="CH112"/>
  <c r="CI112"/>
  <c r="CK112"/>
  <c r="CL112"/>
  <c r="CO112"/>
  <c r="CP112"/>
  <c r="CF113"/>
  <c r="CG113"/>
  <c r="CH113"/>
  <c r="CI113"/>
  <c r="CK113"/>
  <c r="CL113"/>
  <c r="CO113"/>
  <c r="CP113"/>
  <c r="CF114"/>
  <c r="CG114"/>
  <c r="CH114"/>
  <c r="CI114"/>
  <c r="CK114"/>
  <c r="CL114"/>
  <c r="CO114"/>
  <c r="CP114"/>
  <c r="CF115"/>
  <c r="CG115"/>
  <c r="CH115"/>
  <c r="CI115"/>
  <c r="CK115"/>
  <c r="CL115"/>
  <c r="CO115"/>
  <c r="CP115"/>
  <c r="CF116"/>
  <c r="CG116"/>
  <c r="CH116"/>
  <c r="CI116"/>
  <c r="CK116"/>
  <c r="CL116"/>
  <c r="CO116"/>
  <c r="CP116"/>
  <c r="CF117"/>
  <c r="CG117"/>
  <c r="CH117"/>
  <c r="CI117"/>
  <c r="CK117"/>
  <c r="CL117"/>
  <c r="CO117"/>
  <c r="CP117"/>
  <c r="CF118"/>
  <c r="CG118"/>
  <c r="CH118"/>
  <c r="CI118"/>
  <c r="CK118"/>
  <c r="CL118"/>
  <c r="CO118"/>
  <c r="CP118"/>
  <c r="CF119"/>
  <c r="CG119"/>
  <c r="CH119"/>
  <c r="CI119"/>
  <c r="CK119"/>
  <c r="CL119"/>
  <c r="CO119"/>
  <c r="CP119"/>
  <c r="CF120"/>
  <c r="CG120"/>
  <c r="CH120"/>
  <c r="CI120"/>
  <c r="CK120"/>
  <c r="CL120"/>
  <c r="CO120"/>
  <c r="CP120"/>
  <c r="CF121"/>
  <c r="CG121"/>
  <c r="CH121"/>
  <c r="CI121"/>
  <c r="CK121"/>
  <c r="CL121"/>
  <c r="CO121"/>
  <c r="CP121"/>
  <c r="CF122"/>
  <c r="CG122"/>
  <c r="CH122"/>
  <c r="CI122"/>
  <c r="CK122"/>
  <c r="CL122"/>
  <c r="CO122"/>
  <c r="CP122"/>
  <c r="CF123"/>
  <c r="CG123"/>
  <c r="CH123"/>
  <c r="CI123"/>
  <c r="CK123"/>
  <c r="CL123"/>
  <c r="CO123"/>
  <c r="CP123"/>
  <c r="CF124"/>
  <c r="CG124"/>
  <c r="CH124"/>
  <c r="CI124"/>
  <c r="CK124"/>
  <c r="CL124"/>
  <c r="CO124"/>
  <c r="CP124"/>
  <c r="CF125"/>
  <c r="CG125"/>
  <c r="CH125"/>
  <c r="CI125"/>
  <c r="CK125"/>
  <c r="CL125"/>
  <c r="CO125"/>
  <c r="CP125"/>
  <c r="CF126"/>
  <c r="CG126"/>
  <c r="CH126"/>
  <c r="CI126"/>
  <c r="CK126"/>
  <c r="CL126"/>
  <c r="CO126"/>
  <c r="CP126"/>
  <c r="CF127"/>
  <c r="CG127"/>
  <c r="CH127"/>
  <c r="CI127"/>
  <c r="CK127"/>
  <c r="CL127"/>
  <c r="CO127"/>
  <c r="CP127"/>
  <c r="CF128"/>
  <c r="CG128"/>
  <c r="CH128"/>
  <c r="CI128"/>
  <c r="CK128"/>
  <c r="CL128"/>
  <c r="CO128"/>
  <c r="CP128"/>
  <c r="CF129"/>
  <c r="CG129"/>
  <c r="CH129"/>
  <c r="CI129"/>
  <c r="CK129"/>
  <c r="CL129"/>
  <c r="CO129"/>
  <c r="CP129"/>
  <c r="CF130"/>
  <c r="CG130"/>
  <c r="CH130"/>
  <c r="CI130"/>
  <c r="CK130"/>
  <c r="CL130"/>
  <c r="CO130"/>
  <c r="CP130"/>
  <c r="CF131"/>
  <c r="CG131"/>
  <c r="CH131"/>
  <c r="CI131"/>
  <c r="CK131"/>
  <c r="CL131"/>
  <c r="CO131"/>
  <c r="CP131"/>
  <c r="CF132"/>
  <c r="CG132"/>
  <c r="CH132"/>
  <c r="CI132"/>
  <c r="CK132"/>
  <c r="CL132"/>
  <c r="CO132"/>
  <c r="CP132"/>
  <c r="CF133"/>
  <c r="CG133"/>
  <c r="CH133"/>
  <c r="CI133"/>
  <c r="CK133"/>
  <c r="CL133"/>
  <c r="CO133"/>
  <c r="CP133"/>
  <c r="CF134"/>
  <c r="CG134"/>
  <c r="CH134"/>
  <c r="CI134"/>
  <c r="CK134"/>
  <c r="CL134"/>
  <c r="CO134"/>
  <c r="CP134"/>
  <c r="CF135"/>
  <c r="CG135"/>
  <c r="CH135"/>
  <c r="CI135"/>
  <c r="CK135"/>
  <c r="CL135"/>
  <c r="CO135"/>
  <c r="CP135"/>
  <c r="CF136"/>
  <c r="CG136"/>
  <c r="CH136"/>
  <c r="CI136"/>
  <c r="CK136"/>
  <c r="CL136"/>
  <c r="CO136"/>
  <c r="CP136"/>
  <c r="CF137"/>
  <c r="CG137"/>
  <c r="CH137"/>
  <c r="CI137"/>
  <c r="CK137"/>
  <c r="CL137"/>
  <c r="CO137"/>
  <c r="CP137"/>
  <c r="CF138"/>
  <c r="CG138"/>
  <c r="CH138"/>
  <c r="CI138"/>
  <c r="CK138"/>
  <c r="CL138"/>
  <c r="CO138"/>
  <c r="CP138"/>
  <c r="CF139"/>
  <c r="CG139"/>
  <c r="CH139"/>
  <c r="CI139"/>
  <c r="CK139"/>
  <c r="CL139"/>
  <c r="CO139"/>
  <c r="CP139"/>
  <c r="CF140"/>
  <c r="CG140"/>
  <c r="CH140"/>
  <c r="CI140"/>
  <c r="CK140"/>
  <c r="CL140"/>
  <c r="CO140"/>
  <c r="CP140"/>
  <c r="CF141"/>
  <c r="CG141"/>
  <c r="CH141"/>
  <c r="CI141"/>
  <c r="CK141"/>
  <c r="CL141"/>
  <c r="CO141"/>
  <c r="CP141"/>
  <c r="CF142"/>
  <c r="CG142"/>
  <c r="CH142"/>
  <c r="CI142"/>
  <c r="CK142"/>
  <c r="CL142"/>
  <c r="CO142"/>
  <c r="CP142"/>
  <c r="CF143"/>
  <c r="CG143"/>
  <c r="CH143"/>
  <c r="CI143"/>
  <c r="CK143"/>
  <c r="CL143"/>
  <c r="CO143"/>
  <c r="CP143"/>
  <c r="CF144"/>
  <c r="CG144"/>
  <c r="CH144"/>
  <c r="CI144"/>
  <c r="CK144"/>
  <c r="CL144"/>
  <c r="CO144"/>
  <c r="CP144"/>
  <c r="CF145"/>
  <c r="CG145"/>
  <c r="CH145"/>
  <c r="CI145"/>
  <c r="CK145"/>
  <c r="CL145"/>
  <c r="CO145"/>
  <c r="CP145"/>
  <c r="CF146"/>
  <c r="CG146"/>
  <c r="CH146"/>
  <c r="CI146"/>
  <c r="CK146"/>
  <c r="CL146"/>
  <c r="CO146"/>
  <c r="CP146"/>
  <c r="CF147"/>
  <c r="CG147"/>
  <c r="CH147"/>
  <c r="CI147"/>
  <c r="CK147"/>
  <c r="CL147"/>
  <c r="CO147"/>
  <c r="CP147"/>
  <c r="CF148"/>
  <c r="CG148"/>
  <c r="CH148"/>
  <c r="CI148"/>
  <c r="CK148"/>
  <c r="CL148"/>
  <c r="CO148"/>
  <c r="CP148"/>
  <c r="CF149"/>
  <c r="CG149"/>
  <c r="CH149"/>
  <c r="CI149"/>
  <c r="CK149"/>
  <c r="CL149"/>
  <c r="CO149"/>
  <c r="CP149"/>
  <c r="CF150"/>
  <c r="CG150"/>
  <c r="CH150"/>
  <c r="CI150"/>
  <c r="CK150"/>
  <c r="CL150"/>
  <c r="CO150"/>
  <c r="CP150"/>
  <c r="CF151"/>
  <c r="CG151"/>
  <c r="CH151"/>
  <c r="CI151"/>
  <c r="CK151"/>
  <c r="CL151"/>
  <c r="CO151"/>
  <c r="CP151"/>
  <c r="CF152"/>
  <c r="CG152"/>
  <c r="CH152"/>
  <c r="CI152"/>
  <c r="CK152"/>
  <c r="CL152"/>
  <c r="CO152"/>
  <c r="CP152"/>
  <c r="CF153"/>
  <c r="CG153"/>
  <c r="CH153"/>
  <c r="CI153"/>
  <c r="CK153"/>
  <c r="CL153"/>
  <c r="CO153"/>
  <c r="CP153"/>
  <c r="CF154"/>
  <c r="CG154"/>
  <c r="CH154"/>
  <c r="CI154"/>
  <c r="CK154"/>
  <c r="CL154"/>
  <c r="CO154"/>
  <c r="CP154"/>
  <c r="CF155"/>
  <c r="CG155"/>
  <c r="CH155"/>
  <c r="CI155"/>
  <c r="CK155"/>
  <c r="CL155"/>
  <c r="CO155"/>
  <c r="CP155"/>
  <c r="CF156"/>
  <c r="CG156"/>
  <c r="CH156"/>
  <c r="CI156"/>
  <c r="CK156"/>
  <c r="CL156"/>
  <c r="CO156"/>
  <c r="CP156"/>
  <c r="CF157"/>
  <c r="CG157"/>
  <c r="CH157"/>
  <c r="CI157"/>
  <c r="CK157"/>
  <c r="CL157"/>
  <c r="CO157"/>
  <c r="CP157"/>
  <c r="CF158"/>
  <c r="CG158"/>
  <c r="CH158"/>
  <c r="CI158"/>
  <c r="CK158"/>
  <c r="CL158"/>
  <c r="CO158"/>
  <c r="CP158"/>
  <c r="CF159"/>
  <c r="CG159"/>
  <c r="CH159"/>
  <c r="CI159"/>
  <c r="CK159"/>
  <c r="CL159"/>
  <c r="CO159"/>
  <c r="CP159"/>
  <c r="CF160"/>
  <c r="CG160"/>
  <c r="CH160"/>
  <c r="CI160"/>
  <c r="CK160"/>
  <c r="CL160"/>
  <c r="CO160"/>
  <c r="CP160"/>
  <c r="CF161"/>
  <c r="CG161"/>
  <c r="CH161"/>
  <c r="CI161"/>
  <c r="CK161"/>
  <c r="CL161"/>
  <c r="CO161"/>
  <c r="CP161"/>
  <c r="CF162"/>
  <c r="CG162"/>
  <c r="CH162"/>
  <c r="CI162"/>
  <c r="CK162"/>
  <c r="CL162"/>
  <c r="CO162"/>
  <c r="CP162"/>
  <c r="CF163"/>
  <c r="CG163"/>
  <c r="CH163"/>
  <c r="CI163"/>
  <c r="CK163"/>
  <c r="CL163"/>
  <c r="CO163"/>
  <c r="CP163"/>
  <c r="CF164"/>
  <c r="CG164"/>
  <c r="CH164"/>
  <c r="CI164"/>
  <c r="CK164"/>
  <c r="CL164"/>
  <c r="CS164" s="1"/>
  <c r="CO164"/>
  <c r="CQ164" s="1"/>
  <c r="CP164"/>
  <c r="CF165"/>
  <c r="CG165"/>
  <c r="CH165"/>
  <c r="CI165"/>
  <c r="CK165"/>
  <c r="CL165"/>
  <c r="CO165"/>
  <c r="CP165"/>
  <c r="CF166"/>
  <c r="CG166"/>
  <c r="CH166"/>
  <c r="CI166"/>
  <c r="CK166"/>
  <c r="CL166"/>
  <c r="CO166"/>
  <c r="CP166"/>
  <c r="CF167"/>
  <c r="CG167"/>
  <c r="CH167"/>
  <c r="CI167"/>
  <c r="CK167"/>
  <c r="CL167"/>
  <c r="CO167"/>
  <c r="CP167"/>
  <c r="CF168"/>
  <c r="CG168"/>
  <c r="CH168"/>
  <c r="CI168"/>
  <c r="CK168"/>
  <c r="CL168"/>
  <c r="CS168" s="1"/>
  <c r="CO168"/>
  <c r="CP168"/>
  <c r="CF169"/>
  <c r="CG169"/>
  <c r="CH169"/>
  <c r="CI169"/>
  <c r="CK169"/>
  <c r="CL169"/>
  <c r="CO169"/>
  <c r="CP169"/>
  <c r="CF170"/>
  <c r="CG170"/>
  <c r="CH170"/>
  <c r="CI170"/>
  <c r="CK170"/>
  <c r="CL170"/>
  <c r="CS170" s="1"/>
  <c r="CO170"/>
  <c r="CQ170" s="1"/>
  <c r="CP170"/>
  <c r="CF171"/>
  <c r="CG171"/>
  <c r="CH171"/>
  <c r="CI171"/>
  <c r="CK171"/>
  <c r="CL171"/>
  <c r="CO171"/>
  <c r="CP171"/>
  <c r="CF172"/>
  <c r="CG172"/>
  <c r="CH172"/>
  <c r="CI172"/>
  <c r="CK172"/>
  <c r="CL172"/>
  <c r="CS172" s="1"/>
  <c r="CO172"/>
  <c r="CP172"/>
  <c r="CF173"/>
  <c r="CG173"/>
  <c r="CH173"/>
  <c r="CI173"/>
  <c r="CK173"/>
  <c r="CL173"/>
  <c r="CO173"/>
  <c r="CP173"/>
  <c r="CF174"/>
  <c r="CG174"/>
  <c r="CH174"/>
  <c r="CI174"/>
  <c r="CK174"/>
  <c r="CL174"/>
  <c r="CO174"/>
  <c r="CP174"/>
  <c r="CF175"/>
  <c r="CG175"/>
  <c r="CH175"/>
  <c r="CI175"/>
  <c r="CK175"/>
  <c r="CL175"/>
  <c r="CO175"/>
  <c r="CP175"/>
  <c r="CF176"/>
  <c r="CG176"/>
  <c r="CH176"/>
  <c r="CI176"/>
  <c r="CK176"/>
  <c r="CL176"/>
  <c r="CS176" s="1"/>
  <c r="CO176"/>
  <c r="CQ176" s="1"/>
  <c r="CP176"/>
  <c r="CF177"/>
  <c r="CG177"/>
  <c r="CH177"/>
  <c r="CI177"/>
  <c r="CK177"/>
  <c r="CL177"/>
  <c r="CO177"/>
  <c r="CP177"/>
  <c r="CF178"/>
  <c r="CG178"/>
  <c r="CH178"/>
  <c r="CI178"/>
  <c r="CK178"/>
  <c r="CL178"/>
  <c r="CO178"/>
  <c r="CP178"/>
  <c r="CF179"/>
  <c r="CG179"/>
  <c r="CH179"/>
  <c r="CI179"/>
  <c r="CK179"/>
  <c r="CL179"/>
  <c r="CO179"/>
  <c r="CP179"/>
  <c r="CF180"/>
  <c r="CG180"/>
  <c r="CH180"/>
  <c r="CI180"/>
  <c r="CK180"/>
  <c r="CL180"/>
  <c r="CO180"/>
  <c r="CP180"/>
  <c r="CF181"/>
  <c r="CG181"/>
  <c r="CH181"/>
  <c r="CI181"/>
  <c r="CK181"/>
  <c r="CL181"/>
  <c r="CO181"/>
  <c r="CP181"/>
  <c r="CF182"/>
  <c r="CG182"/>
  <c r="CH182"/>
  <c r="CI182"/>
  <c r="CK182"/>
  <c r="CL182"/>
  <c r="CO182"/>
  <c r="CP182"/>
  <c r="CF183"/>
  <c r="CG183"/>
  <c r="CH183"/>
  <c r="CI183"/>
  <c r="CK183"/>
  <c r="CL183"/>
  <c r="CO183"/>
  <c r="CP183"/>
  <c r="CF184"/>
  <c r="CG184"/>
  <c r="CH184"/>
  <c r="CI184"/>
  <c r="CK184"/>
  <c r="CL184"/>
  <c r="CO184"/>
  <c r="CP184"/>
  <c r="CF185"/>
  <c r="CG185"/>
  <c r="CH185"/>
  <c r="CI185"/>
  <c r="CK185"/>
  <c r="CL185"/>
  <c r="CO185"/>
  <c r="CP185"/>
  <c r="CF186"/>
  <c r="CG186"/>
  <c r="CH186"/>
  <c r="CI186"/>
  <c r="CK186"/>
  <c r="CL186"/>
  <c r="CO186"/>
  <c r="CP186"/>
  <c r="CF187"/>
  <c r="CG187"/>
  <c r="CH187"/>
  <c r="CI187"/>
  <c r="CK187"/>
  <c r="CL187"/>
  <c r="CO187"/>
  <c r="CP187"/>
  <c r="CF188"/>
  <c r="CG188"/>
  <c r="CH188"/>
  <c r="CI188"/>
  <c r="CK188"/>
  <c r="CL188"/>
  <c r="CO188"/>
  <c r="CP188"/>
  <c r="CF189"/>
  <c r="CG189"/>
  <c r="CH189"/>
  <c r="CI189"/>
  <c r="CK189"/>
  <c r="CL189"/>
  <c r="CO189"/>
  <c r="CP189"/>
  <c r="CF190"/>
  <c r="CG190"/>
  <c r="CH190"/>
  <c r="CI190"/>
  <c r="CK190"/>
  <c r="CL190"/>
  <c r="CO190"/>
  <c r="CP190"/>
  <c r="CF191"/>
  <c r="CG191"/>
  <c r="CH191"/>
  <c r="CI191"/>
  <c r="CK191"/>
  <c r="CL191"/>
  <c r="CO191"/>
  <c r="CP191"/>
  <c r="CF192"/>
  <c r="CG192"/>
  <c r="CH192"/>
  <c r="CI192"/>
  <c r="CK192"/>
  <c r="CL192"/>
  <c r="CO192"/>
  <c r="CP192"/>
  <c r="CF193"/>
  <c r="CG193"/>
  <c r="CH193"/>
  <c r="CI193"/>
  <c r="CK193"/>
  <c r="CL193"/>
  <c r="CO193"/>
  <c r="CP193"/>
  <c r="CF194"/>
  <c r="CG194"/>
  <c r="CH194"/>
  <c r="CI194"/>
  <c r="CK194"/>
  <c r="CL194"/>
  <c r="CO194"/>
  <c r="CP194"/>
  <c r="CF195"/>
  <c r="CG195"/>
  <c r="CH195"/>
  <c r="CI195"/>
  <c r="CK195"/>
  <c r="CL195"/>
  <c r="CO195"/>
  <c r="CP195"/>
  <c r="CF196"/>
  <c r="CG196"/>
  <c r="CH196"/>
  <c r="CI196"/>
  <c r="CK196"/>
  <c r="CL196"/>
  <c r="CO196"/>
  <c r="CP196"/>
  <c r="CF197"/>
  <c r="CG197"/>
  <c r="CH197"/>
  <c r="CI197"/>
  <c r="CK197"/>
  <c r="CL197"/>
  <c r="CO197"/>
  <c r="CP197"/>
  <c r="CF198"/>
  <c r="CG198"/>
  <c r="CH198"/>
  <c r="CI198"/>
  <c r="CK198"/>
  <c r="CL198"/>
  <c r="CO198"/>
  <c r="CP198"/>
  <c r="CF199"/>
  <c r="CG199"/>
  <c r="CH199"/>
  <c r="CI199"/>
  <c r="CK199"/>
  <c r="CL199"/>
  <c r="CO199"/>
  <c r="CP199"/>
  <c r="CF200"/>
  <c r="CG200"/>
  <c r="CH200"/>
  <c r="CI200"/>
  <c r="CK200"/>
  <c r="CL200"/>
  <c r="CO200"/>
  <c r="CP200"/>
  <c r="CF201"/>
  <c r="CG201"/>
  <c r="CH201"/>
  <c r="CI201"/>
  <c r="CK201"/>
  <c r="CL201"/>
  <c r="CO201"/>
  <c r="CP201"/>
  <c r="CF202"/>
  <c r="CG202"/>
  <c r="CH202"/>
  <c r="CI202"/>
  <c r="CK202"/>
  <c r="CL202"/>
  <c r="CO202"/>
  <c r="CP202"/>
  <c r="CF203"/>
  <c r="CG203"/>
  <c r="CH203"/>
  <c r="CI203"/>
  <c r="CK203"/>
  <c r="CL203"/>
  <c r="CO203"/>
  <c r="CP203"/>
  <c r="CF204"/>
  <c r="CG204"/>
  <c r="CH204"/>
  <c r="CI204"/>
  <c r="CK204"/>
  <c r="CL204"/>
  <c r="CO204"/>
  <c r="CP204"/>
  <c r="CF205"/>
  <c r="CG205"/>
  <c r="CH205"/>
  <c r="CI205"/>
  <c r="CK205"/>
  <c r="CL205"/>
  <c r="CO205"/>
  <c r="CP205"/>
  <c r="CF206"/>
  <c r="CG206"/>
  <c r="CH206"/>
  <c r="CI206"/>
  <c r="CK206"/>
  <c r="CL206"/>
  <c r="CO206"/>
  <c r="CP206"/>
  <c r="CL8"/>
  <c r="CH8"/>
  <c r="CI8"/>
  <c r="CQ3"/>
  <c r="GG5" s="1"/>
  <c r="CT4"/>
  <c r="CS4"/>
  <c r="CR4"/>
  <c r="CQ5"/>
  <c r="CN4"/>
  <c r="CM5"/>
  <c r="CJ5"/>
  <c r="CO8"/>
  <c r="CP6"/>
  <c r="CP7"/>
  <c r="CL6"/>
  <c r="CL7"/>
  <c r="CI6"/>
  <c r="CH6"/>
  <c r="CG8"/>
  <c r="CF8"/>
  <c r="BX7"/>
  <c r="BI9"/>
  <c r="BJ9"/>
  <c r="BK9"/>
  <c r="BL9"/>
  <c r="BN9"/>
  <c r="BO9"/>
  <c r="BR9"/>
  <c r="BS9"/>
  <c r="BI10"/>
  <c r="BJ10"/>
  <c r="BK10"/>
  <c r="BL10"/>
  <c r="BN10"/>
  <c r="BO10"/>
  <c r="BR10"/>
  <c r="BS10"/>
  <c r="BI11"/>
  <c r="BJ11"/>
  <c r="BK11"/>
  <c r="BL11"/>
  <c r="BN11"/>
  <c r="BO11"/>
  <c r="BR11"/>
  <c r="BS11"/>
  <c r="BI12"/>
  <c r="BJ12"/>
  <c r="BK12"/>
  <c r="BL12"/>
  <c r="BN12"/>
  <c r="BO12"/>
  <c r="BR12"/>
  <c r="BS12"/>
  <c r="BI13"/>
  <c r="BJ13"/>
  <c r="BK13"/>
  <c r="BL13"/>
  <c r="BN13"/>
  <c r="BO13"/>
  <c r="BR13"/>
  <c r="BS13"/>
  <c r="BI14"/>
  <c r="BJ14"/>
  <c r="BK14"/>
  <c r="BL14"/>
  <c r="BN14"/>
  <c r="BO14"/>
  <c r="BR14"/>
  <c r="BS14"/>
  <c r="BI15"/>
  <c r="BJ15"/>
  <c r="BK15"/>
  <c r="BL15"/>
  <c r="BN15"/>
  <c r="BO15"/>
  <c r="BR15"/>
  <c r="BS15"/>
  <c r="BI16"/>
  <c r="BJ16"/>
  <c r="BK16"/>
  <c r="BL16"/>
  <c r="BN16"/>
  <c r="BO16"/>
  <c r="BR16"/>
  <c r="BS16"/>
  <c r="BI17"/>
  <c r="BJ17"/>
  <c r="BK17"/>
  <c r="BL17"/>
  <c r="BN17"/>
  <c r="BO17"/>
  <c r="BR17"/>
  <c r="BS17"/>
  <c r="BI18"/>
  <c r="BJ18"/>
  <c r="BK18"/>
  <c r="BL18"/>
  <c r="BN18"/>
  <c r="BO18"/>
  <c r="BR18"/>
  <c r="BS18"/>
  <c r="BI19"/>
  <c r="BJ19"/>
  <c r="BK19"/>
  <c r="BL19"/>
  <c r="BN19"/>
  <c r="BO19"/>
  <c r="BR19"/>
  <c r="BS19"/>
  <c r="BI20"/>
  <c r="BJ20"/>
  <c r="BK20"/>
  <c r="BL20"/>
  <c r="BN20"/>
  <c r="BO20"/>
  <c r="BR20"/>
  <c r="BS20"/>
  <c r="BI21"/>
  <c r="BJ21"/>
  <c r="BK21"/>
  <c r="BL21"/>
  <c r="BN21"/>
  <c r="BO21"/>
  <c r="BR21"/>
  <c r="BS21"/>
  <c r="BI22"/>
  <c r="BJ22"/>
  <c r="BK22"/>
  <c r="BL22"/>
  <c r="BN22"/>
  <c r="BO22"/>
  <c r="BR22"/>
  <c r="BS22"/>
  <c r="BI23"/>
  <c r="BJ23"/>
  <c r="BK23"/>
  <c r="BL23"/>
  <c r="BN23"/>
  <c r="BO23"/>
  <c r="BR23"/>
  <c r="BS23"/>
  <c r="BI24"/>
  <c r="BJ24"/>
  <c r="BK24"/>
  <c r="BL24"/>
  <c r="BN24"/>
  <c r="BO24"/>
  <c r="BR24"/>
  <c r="BS24"/>
  <c r="BI25"/>
  <c r="BJ25"/>
  <c r="BK25"/>
  <c r="BL25"/>
  <c r="BN25"/>
  <c r="BO25"/>
  <c r="BR25"/>
  <c r="BS25"/>
  <c r="BI26"/>
  <c r="BJ26"/>
  <c r="BK26"/>
  <c r="BL26"/>
  <c r="BN26"/>
  <c r="BO26"/>
  <c r="BR26"/>
  <c r="BS26"/>
  <c r="BI27"/>
  <c r="BJ27"/>
  <c r="BK27"/>
  <c r="BL27"/>
  <c r="BN27"/>
  <c r="BO27"/>
  <c r="BR27"/>
  <c r="BS27"/>
  <c r="BI28"/>
  <c r="BJ28"/>
  <c r="BK28"/>
  <c r="BL28"/>
  <c r="BN28"/>
  <c r="BO28"/>
  <c r="BR28"/>
  <c r="BS28"/>
  <c r="BI29"/>
  <c r="BJ29"/>
  <c r="BK29"/>
  <c r="BL29"/>
  <c r="BN29"/>
  <c r="BO29"/>
  <c r="BR29"/>
  <c r="BS29"/>
  <c r="BI30"/>
  <c r="BJ30"/>
  <c r="BK30"/>
  <c r="BL30"/>
  <c r="BN30"/>
  <c r="BO30"/>
  <c r="BR30"/>
  <c r="BS30"/>
  <c r="BI31"/>
  <c r="BJ31"/>
  <c r="BK31"/>
  <c r="BL31"/>
  <c r="BN31"/>
  <c r="BO31"/>
  <c r="BR31"/>
  <c r="BS31"/>
  <c r="BI32"/>
  <c r="BJ32"/>
  <c r="BK32"/>
  <c r="BL32"/>
  <c r="BN32"/>
  <c r="BO32"/>
  <c r="BR32"/>
  <c r="BS32"/>
  <c r="BI33"/>
  <c r="BJ33"/>
  <c r="BK33"/>
  <c r="BL33"/>
  <c r="BN33"/>
  <c r="BO33"/>
  <c r="BR33"/>
  <c r="BS33"/>
  <c r="BI34"/>
  <c r="BJ34"/>
  <c r="BK34"/>
  <c r="BL34"/>
  <c r="BN34"/>
  <c r="BO34"/>
  <c r="BR34"/>
  <c r="BS34"/>
  <c r="BI35"/>
  <c r="BJ35"/>
  <c r="BK35"/>
  <c r="BL35"/>
  <c r="BN35"/>
  <c r="BO35"/>
  <c r="BR35"/>
  <c r="BS35"/>
  <c r="BI36"/>
  <c r="BJ36"/>
  <c r="BK36"/>
  <c r="BL36"/>
  <c r="BN36"/>
  <c r="BO36"/>
  <c r="BR36"/>
  <c r="BS36"/>
  <c r="BI37"/>
  <c r="BJ37"/>
  <c r="BK37"/>
  <c r="BL37"/>
  <c r="BN37"/>
  <c r="BO37"/>
  <c r="BR37"/>
  <c r="BS37"/>
  <c r="BI38"/>
  <c r="BJ38"/>
  <c r="BK38"/>
  <c r="BL38"/>
  <c r="BN38"/>
  <c r="BO38"/>
  <c r="BR38"/>
  <c r="BS38"/>
  <c r="BI39"/>
  <c r="BJ39"/>
  <c r="BK39"/>
  <c r="BL39"/>
  <c r="BN39"/>
  <c r="BO39"/>
  <c r="BR39"/>
  <c r="BS39"/>
  <c r="BI40"/>
  <c r="BJ40"/>
  <c r="BK40"/>
  <c r="BL40"/>
  <c r="BN40"/>
  <c r="BO40"/>
  <c r="BR40"/>
  <c r="BS40"/>
  <c r="BI41"/>
  <c r="BJ41"/>
  <c r="BK41"/>
  <c r="BL41"/>
  <c r="BN41"/>
  <c r="BO41"/>
  <c r="BR41"/>
  <c r="BS41"/>
  <c r="BI42"/>
  <c r="BJ42"/>
  <c r="BK42"/>
  <c r="BL42"/>
  <c r="BN42"/>
  <c r="BO42"/>
  <c r="BR42"/>
  <c r="BS42"/>
  <c r="BI43"/>
  <c r="BJ43"/>
  <c r="BK43"/>
  <c r="BL43"/>
  <c r="BN43"/>
  <c r="BO43"/>
  <c r="BR43"/>
  <c r="BS43"/>
  <c r="BI44"/>
  <c r="BJ44"/>
  <c r="BK44"/>
  <c r="BL44"/>
  <c r="BN44"/>
  <c r="BO44"/>
  <c r="BR44"/>
  <c r="BS44"/>
  <c r="BI45"/>
  <c r="BJ45"/>
  <c r="BK45"/>
  <c r="BL45"/>
  <c r="BN45"/>
  <c r="BO45"/>
  <c r="BR45"/>
  <c r="BS45"/>
  <c r="BI46"/>
  <c r="BJ46"/>
  <c r="BK46"/>
  <c r="BL46"/>
  <c r="BN46"/>
  <c r="BO46"/>
  <c r="BR46"/>
  <c r="BS46"/>
  <c r="BI47"/>
  <c r="BJ47"/>
  <c r="BK47"/>
  <c r="BL47"/>
  <c r="BN47"/>
  <c r="BO47"/>
  <c r="BR47"/>
  <c r="BS47"/>
  <c r="BI48"/>
  <c r="BJ48"/>
  <c r="BK48"/>
  <c r="BL48"/>
  <c r="BN48"/>
  <c r="BO48"/>
  <c r="BR48"/>
  <c r="BS48"/>
  <c r="BI49"/>
  <c r="BJ49"/>
  <c r="BK49"/>
  <c r="BL49"/>
  <c r="BN49"/>
  <c r="BO49"/>
  <c r="BR49"/>
  <c r="BS49"/>
  <c r="BI50"/>
  <c r="BJ50"/>
  <c r="BK50"/>
  <c r="BL50"/>
  <c r="BN50"/>
  <c r="BO50"/>
  <c r="BR50"/>
  <c r="BS50"/>
  <c r="BI51"/>
  <c r="BJ51"/>
  <c r="BK51"/>
  <c r="BL51"/>
  <c r="BN51"/>
  <c r="BO51"/>
  <c r="BR51"/>
  <c r="BS51"/>
  <c r="BI52"/>
  <c r="BJ52"/>
  <c r="BK52"/>
  <c r="BL52"/>
  <c r="BN52"/>
  <c r="BO52"/>
  <c r="BR52"/>
  <c r="BS52"/>
  <c r="BI53"/>
  <c r="BJ53"/>
  <c r="BK53"/>
  <c r="BL53"/>
  <c r="BN53"/>
  <c r="BO53"/>
  <c r="BR53"/>
  <c r="BS53"/>
  <c r="BI54"/>
  <c r="BJ54"/>
  <c r="BK54"/>
  <c r="BL54"/>
  <c r="BN54"/>
  <c r="BO54"/>
  <c r="BR54"/>
  <c r="BS54"/>
  <c r="BI55"/>
  <c r="BJ55"/>
  <c r="BK55"/>
  <c r="BL55"/>
  <c r="BN55"/>
  <c r="BO55"/>
  <c r="BR55"/>
  <c r="BS55"/>
  <c r="BI56"/>
  <c r="BJ56"/>
  <c r="BK56"/>
  <c r="BL56"/>
  <c r="BN56"/>
  <c r="BO56"/>
  <c r="BR56"/>
  <c r="BS56"/>
  <c r="BI57"/>
  <c r="BJ57"/>
  <c r="BK57"/>
  <c r="BL57"/>
  <c r="BN57"/>
  <c r="BO57"/>
  <c r="BR57"/>
  <c r="BS57"/>
  <c r="BI58"/>
  <c r="BJ58"/>
  <c r="BK58"/>
  <c r="BL58"/>
  <c r="BN58"/>
  <c r="BO58"/>
  <c r="BR58"/>
  <c r="BS58"/>
  <c r="BI59"/>
  <c r="BJ59"/>
  <c r="BK59"/>
  <c r="BL59"/>
  <c r="BN59"/>
  <c r="BO59"/>
  <c r="BR59"/>
  <c r="BS59"/>
  <c r="BI60"/>
  <c r="BJ60"/>
  <c r="BK60"/>
  <c r="BL60"/>
  <c r="BN60"/>
  <c r="BO60"/>
  <c r="BR60"/>
  <c r="BS60"/>
  <c r="BI61"/>
  <c r="BJ61"/>
  <c r="BK61"/>
  <c r="BL61"/>
  <c r="BN61"/>
  <c r="BO61"/>
  <c r="BR61"/>
  <c r="BS61"/>
  <c r="BI62"/>
  <c r="BJ62"/>
  <c r="BK62"/>
  <c r="BL62"/>
  <c r="BN62"/>
  <c r="BO62"/>
  <c r="BR62"/>
  <c r="BS62"/>
  <c r="BI63"/>
  <c r="BJ63"/>
  <c r="BK63"/>
  <c r="BL63"/>
  <c r="BN63"/>
  <c r="BO63"/>
  <c r="BR63"/>
  <c r="BS63"/>
  <c r="BI64"/>
  <c r="BJ64"/>
  <c r="BK64"/>
  <c r="BL64"/>
  <c r="BN64"/>
  <c r="BO64"/>
  <c r="BR64"/>
  <c r="BS64"/>
  <c r="BI65"/>
  <c r="BJ65"/>
  <c r="BK65"/>
  <c r="BL65"/>
  <c r="BN65"/>
  <c r="BO65"/>
  <c r="BR65"/>
  <c r="BS65"/>
  <c r="BI66"/>
  <c r="BJ66"/>
  <c r="BK66"/>
  <c r="BL66"/>
  <c r="BN66"/>
  <c r="BO66"/>
  <c r="BR66"/>
  <c r="BS66"/>
  <c r="BI67"/>
  <c r="BJ67"/>
  <c r="BK67"/>
  <c r="BL67"/>
  <c r="BN67"/>
  <c r="BO67"/>
  <c r="BR67"/>
  <c r="BS67"/>
  <c r="BI68"/>
  <c r="BJ68"/>
  <c r="BK68"/>
  <c r="BL68"/>
  <c r="BN68"/>
  <c r="BO68"/>
  <c r="BR68"/>
  <c r="BS68"/>
  <c r="BI69"/>
  <c r="BJ69"/>
  <c r="BK69"/>
  <c r="BL69"/>
  <c r="BN69"/>
  <c r="BO69"/>
  <c r="BR69"/>
  <c r="BS69"/>
  <c r="BI70"/>
  <c r="BJ70"/>
  <c r="BK70"/>
  <c r="BL70"/>
  <c r="BN70"/>
  <c r="BO70"/>
  <c r="BR70"/>
  <c r="BS70"/>
  <c r="BI71"/>
  <c r="BJ71"/>
  <c r="BK71"/>
  <c r="BL71"/>
  <c r="BN71"/>
  <c r="BO71"/>
  <c r="BR71"/>
  <c r="BS71"/>
  <c r="BI72"/>
  <c r="BJ72"/>
  <c r="BK72"/>
  <c r="BL72"/>
  <c r="BN72"/>
  <c r="BO72"/>
  <c r="BR72"/>
  <c r="BS72"/>
  <c r="BI73"/>
  <c r="BJ73"/>
  <c r="BK73"/>
  <c r="BL73"/>
  <c r="BN73"/>
  <c r="BO73"/>
  <c r="BR73"/>
  <c r="BS73"/>
  <c r="BI74"/>
  <c r="BJ74"/>
  <c r="BK74"/>
  <c r="BL74"/>
  <c r="BN74"/>
  <c r="BO74"/>
  <c r="BR74"/>
  <c r="BS74"/>
  <c r="BI75"/>
  <c r="BJ75"/>
  <c r="BK75"/>
  <c r="BL75"/>
  <c r="BN75"/>
  <c r="BO75"/>
  <c r="BR75"/>
  <c r="BS75"/>
  <c r="BI76"/>
  <c r="BJ76"/>
  <c r="BK76"/>
  <c r="BL76"/>
  <c r="BN76"/>
  <c r="BO76"/>
  <c r="BR76"/>
  <c r="BS76"/>
  <c r="BI77"/>
  <c r="BJ77"/>
  <c r="BK77"/>
  <c r="BL77"/>
  <c r="BN77"/>
  <c r="BO77"/>
  <c r="BR77"/>
  <c r="BS77"/>
  <c r="BI78"/>
  <c r="BJ78"/>
  <c r="BK78"/>
  <c r="BL78"/>
  <c r="BN78"/>
  <c r="BO78"/>
  <c r="BR78"/>
  <c r="BS78"/>
  <c r="BI79"/>
  <c r="BJ79"/>
  <c r="BK79"/>
  <c r="BL79"/>
  <c r="BN79"/>
  <c r="BO79"/>
  <c r="BR79"/>
  <c r="BS79"/>
  <c r="BI80"/>
  <c r="BJ80"/>
  <c r="BK80"/>
  <c r="BL80"/>
  <c r="BN80"/>
  <c r="BO80"/>
  <c r="BR80"/>
  <c r="BS80"/>
  <c r="BI81"/>
  <c r="BJ81"/>
  <c r="BK81"/>
  <c r="BL81"/>
  <c r="BN81"/>
  <c r="BO81"/>
  <c r="BR81"/>
  <c r="BS81"/>
  <c r="BI82"/>
  <c r="BJ82"/>
  <c r="BK82"/>
  <c r="BL82"/>
  <c r="BN82"/>
  <c r="BO82"/>
  <c r="BR82"/>
  <c r="BS82"/>
  <c r="BI83"/>
  <c r="BJ83"/>
  <c r="BK83"/>
  <c r="BL83"/>
  <c r="BN83"/>
  <c r="BO83"/>
  <c r="BR83"/>
  <c r="BS83"/>
  <c r="BI84"/>
  <c r="BJ84"/>
  <c r="BK84"/>
  <c r="BL84"/>
  <c r="BN84"/>
  <c r="BO84"/>
  <c r="BR84"/>
  <c r="BS84"/>
  <c r="BI85"/>
  <c r="BJ85"/>
  <c r="BK85"/>
  <c r="BL85"/>
  <c r="BN85"/>
  <c r="BO85"/>
  <c r="BR85"/>
  <c r="BS85"/>
  <c r="BI86"/>
  <c r="BJ86"/>
  <c r="BK86"/>
  <c r="BL86"/>
  <c r="BN86"/>
  <c r="BO86"/>
  <c r="BR86"/>
  <c r="BS86"/>
  <c r="BI87"/>
  <c r="BJ87"/>
  <c r="BK87"/>
  <c r="BL87"/>
  <c r="BN87"/>
  <c r="BO87"/>
  <c r="BR87"/>
  <c r="BS87"/>
  <c r="BI88"/>
  <c r="BJ88"/>
  <c r="BK88"/>
  <c r="BL88"/>
  <c r="BN88"/>
  <c r="BO88"/>
  <c r="BR88"/>
  <c r="BS88"/>
  <c r="BI89"/>
  <c r="BJ89"/>
  <c r="BK89"/>
  <c r="BL89"/>
  <c r="BN89"/>
  <c r="BO89"/>
  <c r="BR89"/>
  <c r="BS89"/>
  <c r="BI90"/>
  <c r="BJ90"/>
  <c r="BK90"/>
  <c r="BL90"/>
  <c r="BN90"/>
  <c r="BO90"/>
  <c r="BR90"/>
  <c r="BS90"/>
  <c r="BI91"/>
  <c r="BJ91"/>
  <c r="BK91"/>
  <c r="BL91"/>
  <c r="BN91"/>
  <c r="BO91"/>
  <c r="BR91"/>
  <c r="BS91"/>
  <c r="BI92"/>
  <c r="BJ92"/>
  <c r="BK92"/>
  <c r="BL92"/>
  <c r="BN92"/>
  <c r="BO92"/>
  <c r="BR92"/>
  <c r="BS92"/>
  <c r="BI93"/>
  <c r="BJ93"/>
  <c r="BK93"/>
  <c r="BL93"/>
  <c r="BN93"/>
  <c r="BO93"/>
  <c r="BR93"/>
  <c r="BS93"/>
  <c r="BI94"/>
  <c r="BJ94"/>
  <c r="BK94"/>
  <c r="BL94"/>
  <c r="BN94"/>
  <c r="BO94"/>
  <c r="BR94"/>
  <c r="BS94"/>
  <c r="BI95"/>
  <c r="BJ95"/>
  <c r="BK95"/>
  <c r="BL95"/>
  <c r="BN95"/>
  <c r="BO95"/>
  <c r="BR95"/>
  <c r="BS95"/>
  <c r="BI96"/>
  <c r="BJ96"/>
  <c r="BK96"/>
  <c r="BL96"/>
  <c r="BN96"/>
  <c r="BO96"/>
  <c r="BR96"/>
  <c r="BS96"/>
  <c r="BI97"/>
  <c r="BJ97"/>
  <c r="BK97"/>
  <c r="BL97"/>
  <c r="BN97"/>
  <c r="BO97"/>
  <c r="BR97"/>
  <c r="BS97"/>
  <c r="BI98"/>
  <c r="BJ98"/>
  <c r="BK98"/>
  <c r="BL98"/>
  <c r="BN98"/>
  <c r="BO98"/>
  <c r="BR98"/>
  <c r="BS98"/>
  <c r="BI99"/>
  <c r="BJ99"/>
  <c r="BK99"/>
  <c r="BL99"/>
  <c r="BN99"/>
  <c r="BO99"/>
  <c r="BR99"/>
  <c r="BS99"/>
  <c r="BI100"/>
  <c r="BJ100"/>
  <c r="BK100"/>
  <c r="BL100"/>
  <c r="BN100"/>
  <c r="BO100"/>
  <c r="BR100"/>
  <c r="BS100"/>
  <c r="BI101"/>
  <c r="BJ101"/>
  <c r="BK101"/>
  <c r="BL101"/>
  <c r="BN101"/>
  <c r="BO101"/>
  <c r="BR101"/>
  <c r="BS101"/>
  <c r="BI102"/>
  <c r="BJ102"/>
  <c r="BK102"/>
  <c r="BL102"/>
  <c r="BN102"/>
  <c r="BO102"/>
  <c r="BR102"/>
  <c r="BS102"/>
  <c r="BI103"/>
  <c r="BJ103"/>
  <c r="BK103"/>
  <c r="BL103"/>
  <c r="BN103"/>
  <c r="BO103"/>
  <c r="BR103"/>
  <c r="BS103"/>
  <c r="BI104"/>
  <c r="BJ104"/>
  <c r="BK104"/>
  <c r="BL104"/>
  <c r="BN104"/>
  <c r="BO104"/>
  <c r="BR104"/>
  <c r="BS104"/>
  <c r="BI105"/>
  <c r="BJ105"/>
  <c r="BK105"/>
  <c r="BL105"/>
  <c r="BN105"/>
  <c r="BO105"/>
  <c r="BR105"/>
  <c r="BS105"/>
  <c r="BI106"/>
  <c r="BJ106"/>
  <c r="BK106"/>
  <c r="BL106"/>
  <c r="BN106"/>
  <c r="BO106"/>
  <c r="BR106"/>
  <c r="BS106"/>
  <c r="BI107"/>
  <c r="BJ107"/>
  <c r="BK107"/>
  <c r="BL107"/>
  <c r="BN107"/>
  <c r="BO107"/>
  <c r="BR107"/>
  <c r="BS107"/>
  <c r="BI108"/>
  <c r="BJ108"/>
  <c r="BK108"/>
  <c r="BL108"/>
  <c r="BN108"/>
  <c r="BO108"/>
  <c r="BR108"/>
  <c r="BS108"/>
  <c r="BI109"/>
  <c r="BJ109"/>
  <c r="BK109"/>
  <c r="BL109"/>
  <c r="BN109"/>
  <c r="BO109"/>
  <c r="BR109"/>
  <c r="BS109"/>
  <c r="BI110"/>
  <c r="BJ110"/>
  <c r="BK110"/>
  <c r="BL110"/>
  <c r="BN110"/>
  <c r="BO110"/>
  <c r="BR110"/>
  <c r="BS110"/>
  <c r="BI111"/>
  <c r="BJ111"/>
  <c r="BK111"/>
  <c r="BL111"/>
  <c r="BN111"/>
  <c r="BO111"/>
  <c r="BR111"/>
  <c r="BS111"/>
  <c r="BI112"/>
  <c r="BJ112"/>
  <c r="BK112"/>
  <c r="BL112"/>
  <c r="BN112"/>
  <c r="BO112"/>
  <c r="BR112"/>
  <c r="BS112"/>
  <c r="BI113"/>
  <c r="BJ113"/>
  <c r="BK113"/>
  <c r="BL113"/>
  <c r="BN113"/>
  <c r="BO113"/>
  <c r="BR113"/>
  <c r="BS113"/>
  <c r="BI114"/>
  <c r="BJ114"/>
  <c r="BK114"/>
  <c r="BL114"/>
  <c r="BN114"/>
  <c r="BO114"/>
  <c r="BR114"/>
  <c r="BS114"/>
  <c r="BI115"/>
  <c r="BJ115"/>
  <c r="BK115"/>
  <c r="BL115"/>
  <c r="BN115"/>
  <c r="BO115"/>
  <c r="BR115"/>
  <c r="BS115"/>
  <c r="BI116"/>
  <c r="BJ116"/>
  <c r="BK116"/>
  <c r="BL116"/>
  <c r="BN116"/>
  <c r="BO116"/>
  <c r="BR116"/>
  <c r="BS116"/>
  <c r="BI117"/>
  <c r="BJ117"/>
  <c r="BK117"/>
  <c r="BL117"/>
  <c r="BN117"/>
  <c r="BO117"/>
  <c r="BR117"/>
  <c r="BS117"/>
  <c r="BI118"/>
  <c r="BJ118"/>
  <c r="BK118"/>
  <c r="BL118"/>
  <c r="BN118"/>
  <c r="BO118"/>
  <c r="BR118"/>
  <c r="BS118"/>
  <c r="BI119"/>
  <c r="BJ119"/>
  <c r="BK119"/>
  <c r="BL119"/>
  <c r="BN119"/>
  <c r="BO119"/>
  <c r="BR119"/>
  <c r="BS119"/>
  <c r="BI120"/>
  <c r="BJ120"/>
  <c r="BK120"/>
  <c r="BL120"/>
  <c r="BN120"/>
  <c r="BO120"/>
  <c r="BR120"/>
  <c r="BS120"/>
  <c r="BI121"/>
  <c r="BJ121"/>
  <c r="BK121"/>
  <c r="BL121"/>
  <c r="BN121"/>
  <c r="BO121"/>
  <c r="BR121"/>
  <c r="BS121"/>
  <c r="BI122"/>
  <c r="BJ122"/>
  <c r="BK122"/>
  <c r="BL122"/>
  <c r="BN122"/>
  <c r="BO122"/>
  <c r="BR122"/>
  <c r="BS122"/>
  <c r="BI123"/>
  <c r="BJ123"/>
  <c r="BK123"/>
  <c r="BL123"/>
  <c r="BN123"/>
  <c r="BO123"/>
  <c r="BR123"/>
  <c r="BS123"/>
  <c r="BI124"/>
  <c r="BJ124"/>
  <c r="BK124"/>
  <c r="BL124"/>
  <c r="BN124"/>
  <c r="BO124"/>
  <c r="BR124"/>
  <c r="BS124"/>
  <c r="BI125"/>
  <c r="BJ125"/>
  <c r="BK125"/>
  <c r="BL125"/>
  <c r="BN125"/>
  <c r="BO125"/>
  <c r="BR125"/>
  <c r="BS125"/>
  <c r="BI126"/>
  <c r="BJ126"/>
  <c r="BK126"/>
  <c r="BL126"/>
  <c r="BN126"/>
  <c r="BO126"/>
  <c r="BR126"/>
  <c r="BS126"/>
  <c r="BI127"/>
  <c r="BJ127"/>
  <c r="BK127"/>
  <c r="BL127"/>
  <c r="BN127"/>
  <c r="BO127"/>
  <c r="BR127"/>
  <c r="BS127"/>
  <c r="BI128"/>
  <c r="BJ128"/>
  <c r="BK128"/>
  <c r="BL128"/>
  <c r="BN128"/>
  <c r="BO128"/>
  <c r="BR128"/>
  <c r="BS128"/>
  <c r="BI129"/>
  <c r="BJ129"/>
  <c r="BK129"/>
  <c r="BL129"/>
  <c r="BN129"/>
  <c r="BO129"/>
  <c r="BR129"/>
  <c r="BS129"/>
  <c r="BI130"/>
  <c r="BJ130"/>
  <c r="BK130"/>
  <c r="BL130"/>
  <c r="BN130"/>
  <c r="BO130"/>
  <c r="BR130"/>
  <c r="BS130"/>
  <c r="BI131"/>
  <c r="BJ131"/>
  <c r="BK131"/>
  <c r="BL131"/>
  <c r="BN131"/>
  <c r="BO131"/>
  <c r="BR131"/>
  <c r="BS131"/>
  <c r="BI132"/>
  <c r="BJ132"/>
  <c r="BK132"/>
  <c r="BL132"/>
  <c r="BN132"/>
  <c r="BO132"/>
  <c r="BR132"/>
  <c r="BS132"/>
  <c r="BI133"/>
  <c r="BJ133"/>
  <c r="BK133"/>
  <c r="BL133"/>
  <c r="BN133"/>
  <c r="BO133"/>
  <c r="BR133"/>
  <c r="BS133"/>
  <c r="BI134"/>
  <c r="BJ134"/>
  <c r="BK134"/>
  <c r="BL134"/>
  <c r="BN134"/>
  <c r="BO134"/>
  <c r="BR134"/>
  <c r="BS134"/>
  <c r="BI135"/>
  <c r="BJ135"/>
  <c r="BK135"/>
  <c r="BL135"/>
  <c r="BN135"/>
  <c r="BO135"/>
  <c r="BR135"/>
  <c r="BS135"/>
  <c r="BI136"/>
  <c r="BJ136"/>
  <c r="BK136"/>
  <c r="BL136"/>
  <c r="BN136"/>
  <c r="BO136"/>
  <c r="BR136"/>
  <c r="BS136"/>
  <c r="BI137"/>
  <c r="BJ137"/>
  <c r="BK137"/>
  <c r="BL137"/>
  <c r="BN137"/>
  <c r="BO137"/>
  <c r="BR137"/>
  <c r="BS137"/>
  <c r="BI138"/>
  <c r="BJ138"/>
  <c r="BK138"/>
  <c r="BL138"/>
  <c r="BN138"/>
  <c r="BO138"/>
  <c r="BR138"/>
  <c r="BS138"/>
  <c r="BI139"/>
  <c r="BJ139"/>
  <c r="BK139"/>
  <c r="BL139"/>
  <c r="BN139"/>
  <c r="BO139"/>
  <c r="BR139"/>
  <c r="BS139"/>
  <c r="BI140"/>
  <c r="BJ140"/>
  <c r="BK140"/>
  <c r="BL140"/>
  <c r="BN140"/>
  <c r="BO140"/>
  <c r="BR140"/>
  <c r="BS140"/>
  <c r="BI141"/>
  <c r="BJ141"/>
  <c r="BK141"/>
  <c r="BL141"/>
  <c r="BN141"/>
  <c r="BO141"/>
  <c r="BR141"/>
  <c r="BS141"/>
  <c r="BI142"/>
  <c r="BJ142"/>
  <c r="BK142"/>
  <c r="BL142"/>
  <c r="BN142"/>
  <c r="BO142"/>
  <c r="BR142"/>
  <c r="BS142"/>
  <c r="BI143"/>
  <c r="BJ143"/>
  <c r="BK143"/>
  <c r="BL143"/>
  <c r="BN143"/>
  <c r="BO143"/>
  <c r="BR143"/>
  <c r="BS143"/>
  <c r="BI144"/>
  <c r="BJ144"/>
  <c r="BK144"/>
  <c r="BL144"/>
  <c r="BN144"/>
  <c r="BO144"/>
  <c r="BR144"/>
  <c r="BS144"/>
  <c r="BI145"/>
  <c r="BJ145"/>
  <c r="BK145"/>
  <c r="BL145"/>
  <c r="BN145"/>
  <c r="BO145"/>
  <c r="BR145"/>
  <c r="BS145"/>
  <c r="BI146"/>
  <c r="BJ146"/>
  <c r="BK146"/>
  <c r="BL146"/>
  <c r="BN146"/>
  <c r="BO146"/>
  <c r="BR146"/>
  <c r="BS146"/>
  <c r="BI147"/>
  <c r="BJ147"/>
  <c r="BK147"/>
  <c r="BL147"/>
  <c r="BN147"/>
  <c r="BO147"/>
  <c r="BR147"/>
  <c r="BS147"/>
  <c r="BI148"/>
  <c r="BJ148"/>
  <c r="BK148"/>
  <c r="BL148"/>
  <c r="BN148"/>
  <c r="BO148"/>
  <c r="BR148"/>
  <c r="BS148"/>
  <c r="BI149"/>
  <c r="BJ149"/>
  <c r="BK149"/>
  <c r="BL149"/>
  <c r="BN149"/>
  <c r="BO149"/>
  <c r="BR149"/>
  <c r="BS149"/>
  <c r="BI150"/>
  <c r="BJ150"/>
  <c r="BK150"/>
  <c r="BL150"/>
  <c r="BN150"/>
  <c r="BO150"/>
  <c r="BR150"/>
  <c r="BS150"/>
  <c r="BI151"/>
  <c r="BJ151"/>
  <c r="BK151"/>
  <c r="BL151"/>
  <c r="BN151"/>
  <c r="BO151"/>
  <c r="BR151"/>
  <c r="BS151"/>
  <c r="BI152"/>
  <c r="BJ152"/>
  <c r="BK152"/>
  <c r="BL152"/>
  <c r="BN152"/>
  <c r="BO152"/>
  <c r="BR152"/>
  <c r="BS152"/>
  <c r="BI153"/>
  <c r="BJ153"/>
  <c r="BK153"/>
  <c r="BL153"/>
  <c r="BN153"/>
  <c r="BO153"/>
  <c r="BR153"/>
  <c r="BS153"/>
  <c r="BI154"/>
  <c r="BJ154"/>
  <c r="BK154"/>
  <c r="BL154"/>
  <c r="BN154"/>
  <c r="BO154"/>
  <c r="BR154"/>
  <c r="BS154"/>
  <c r="BI155"/>
  <c r="BJ155"/>
  <c r="BK155"/>
  <c r="BL155"/>
  <c r="BN155"/>
  <c r="BO155"/>
  <c r="BR155"/>
  <c r="BS155"/>
  <c r="BI156"/>
  <c r="BJ156"/>
  <c r="BK156"/>
  <c r="BL156"/>
  <c r="BN156"/>
  <c r="BO156"/>
  <c r="BR156"/>
  <c r="BS156"/>
  <c r="BI157"/>
  <c r="BJ157"/>
  <c r="BK157"/>
  <c r="BL157"/>
  <c r="BN157"/>
  <c r="BO157"/>
  <c r="BR157"/>
  <c r="BS157"/>
  <c r="BI158"/>
  <c r="BJ158"/>
  <c r="BK158"/>
  <c r="BL158"/>
  <c r="BN158"/>
  <c r="BO158"/>
  <c r="BR158"/>
  <c r="BS158"/>
  <c r="BI159"/>
  <c r="BJ159"/>
  <c r="BK159"/>
  <c r="BL159"/>
  <c r="BN159"/>
  <c r="BO159"/>
  <c r="BR159"/>
  <c r="BS159"/>
  <c r="BI160"/>
  <c r="BJ160"/>
  <c r="BK160"/>
  <c r="BL160"/>
  <c r="BN160"/>
  <c r="BO160"/>
  <c r="BR160"/>
  <c r="BS160"/>
  <c r="BI161"/>
  <c r="BJ161"/>
  <c r="BK161"/>
  <c r="BL161"/>
  <c r="BN161"/>
  <c r="BO161"/>
  <c r="BR161"/>
  <c r="BS161"/>
  <c r="BI162"/>
  <c r="BJ162"/>
  <c r="BK162"/>
  <c r="BL162"/>
  <c r="BN162"/>
  <c r="BO162"/>
  <c r="BR162"/>
  <c r="BS162"/>
  <c r="BI163"/>
  <c r="BJ163"/>
  <c r="BK163"/>
  <c r="BL163"/>
  <c r="BN163"/>
  <c r="BO163"/>
  <c r="BR163"/>
  <c r="BS163"/>
  <c r="BI164"/>
  <c r="BJ164"/>
  <c r="BK164"/>
  <c r="BL164"/>
  <c r="BN164"/>
  <c r="BO164"/>
  <c r="BR164"/>
  <c r="BS164"/>
  <c r="BI165"/>
  <c r="BJ165"/>
  <c r="BK165"/>
  <c r="BL165"/>
  <c r="BN165"/>
  <c r="BO165"/>
  <c r="BR165"/>
  <c r="BS165"/>
  <c r="BI166"/>
  <c r="BJ166"/>
  <c r="BK166"/>
  <c r="BL166"/>
  <c r="BN166"/>
  <c r="BO166"/>
  <c r="BR166"/>
  <c r="BS166"/>
  <c r="BI167"/>
  <c r="BJ167"/>
  <c r="BK167"/>
  <c r="BL167"/>
  <c r="BN167"/>
  <c r="BO167"/>
  <c r="BR167"/>
  <c r="BS167"/>
  <c r="BI168"/>
  <c r="BJ168"/>
  <c r="BK168"/>
  <c r="BL168"/>
  <c r="BN168"/>
  <c r="BO168"/>
  <c r="BR168"/>
  <c r="BS168"/>
  <c r="BI169"/>
  <c r="BJ169"/>
  <c r="BK169"/>
  <c r="BL169"/>
  <c r="BN169"/>
  <c r="BO169"/>
  <c r="BR169"/>
  <c r="BS169"/>
  <c r="BI170"/>
  <c r="BJ170"/>
  <c r="BK170"/>
  <c r="BL170"/>
  <c r="BN170"/>
  <c r="BO170"/>
  <c r="BR170"/>
  <c r="BS170"/>
  <c r="BI171"/>
  <c r="BJ171"/>
  <c r="BK171"/>
  <c r="BL171"/>
  <c r="BN171"/>
  <c r="BO171"/>
  <c r="BR171"/>
  <c r="BS171"/>
  <c r="BI172"/>
  <c r="BJ172"/>
  <c r="BK172"/>
  <c r="BL172"/>
  <c r="BN172"/>
  <c r="BO172"/>
  <c r="BR172"/>
  <c r="BS172"/>
  <c r="BI173"/>
  <c r="BJ173"/>
  <c r="BK173"/>
  <c r="BL173"/>
  <c r="BN173"/>
  <c r="BO173"/>
  <c r="BR173"/>
  <c r="BS173"/>
  <c r="BI174"/>
  <c r="BJ174"/>
  <c r="BK174"/>
  <c r="BL174"/>
  <c r="BN174"/>
  <c r="BO174"/>
  <c r="BR174"/>
  <c r="BS174"/>
  <c r="BI175"/>
  <c r="BJ175"/>
  <c r="BK175"/>
  <c r="BL175"/>
  <c r="BN175"/>
  <c r="BO175"/>
  <c r="BR175"/>
  <c r="BS175"/>
  <c r="BI176"/>
  <c r="BJ176"/>
  <c r="BK176"/>
  <c r="BL176"/>
  <c r="BN176"/>
  <c r="BO176"/>
  <c r="BR176"/>
  <c r="BS176"/>
  <c r="BI177"/>
  <c r="BJ177"/>
  <c r="BK177"/>
  <c r="BL177"/>
  <c r="BN177"/>
  <c r="BO177"/>
  <c r="BR177"/>
  <c r="BS177"/>
  <c r="BI178"/>
  <c r="BJ178"/>
  <c r="BK178"/>
  <c r="BL178"/>
  <c r="BN178"/>
  <c r="BO178"/>
  <c r="BR178"/>
  <c r="BS178"/>
  <c r="BI179"/>
  <c r="BJ179"/>
  <c r="BK179"/>
  <c r="BL179"/>
  <c r="BN179"/>
  <c r="BO179"/>
  <c r="BR179"/>
  <c r="BS179"/>
  <c r="BI180"/>
  <c r="BJ180"/>
  <c r="BK180"/>
  <c r="BL180"/>
  <c r="BN180"/>
  <c r="BO180"/>
  <c r="BR180"/>
  <c r="BS180"/>
  <c r="BI181"/>
  <c r="BJ181"/>
  <c r="BK181"/>
  <c r="BL181"/>
  <c r="BN181"/>
  <c r="BO181"/>
  <c r="BR181"/>
  <c r="BS181"/>
  <c r="BI182"/>
  <c r="BJ182"/>
  <c r="BK182"/>
  <c r="BL182"/>
  <c r="BN182"/>
  <c r="BO182"/>
  <c r="BR182"/>
  <c r="BS182"/>
  <c r="BI183"/>
  <c r="BJ183"/>
  <c r="BK183"/>
  <c r="BL183"/>
  <c r="BN183"/>
  <c r="BO183"/>
  <c r="BR183"/>
  <c r="BS183"/>
  <c r="BI184"/>
  <c r="BJ184"/>
  <c r="BK184"/>
  <c r="BL184"/>
  <c r="BN184"/>
  <c r="BO184"/>
  <c r="BR184"/>
  <c r="BS184"/>
  <c r="BI185"/>
  <c r="BJ185"/>
  <c r="BK185"/>
  <c r="BL185"/>
  <c r="BN185"/>
  <c r="BO185"/>
  <c r="BR185"/>
  <c r="BS185"/>
  <c r="BI186"/>
  <c r="BJ186"/>
  <c r="BK186"/>
  <c r="BL186"/>
  <c r="BN186"/>
  <c r="BO186"/>
  <c r="BR186"/>
  <c r="BS186"/>
  <c r="BI187"/>
  <c r="BJ187"/>
  <c r="BK187"/>
  <c r="BL187"/>
  <c r="BN187"/>
  <c r="BO187"/>
  <c r="BR187"/>
  <c r="BS187"/>
  <c r="BI188"/>
  <c r="BJ188"/>
  <c r="BK188"/>
  <c r="BL188"/>
  <c r="BN188"/>
  <c r="BO188"/>
  <c r="BR188"/>
  <c r="BS188"/>
  <c r="BI189"/>
  <c r="BJ189"/>
  <c r="BK189"/>
  <c r="BL189"/>
  <c r="BN189"/>
  <c r="BO189"/>
  <c r="BR189"/>
  <c r="BS189"/>
  <c r="BI190"/>
  <c r="BJ190"/>
  <c r="BK190"/>
  <c r="BL190"/>
  <c r="BN190"/>
  <c r="BO190"/>
  <c r="BR190"/>
  <c r="BS190"/>
  <c r="BI191"/>
  <c r="BJ191"/>
  <c r="BK191"/>
  <c r="BL191"/>
  <c r="BN191"/>
  <c r="BO191"/>
  <c r="BR191"/>
  <c r="BS191"/>
  <c r="BI192"/>
  <c r="BJ192"/>
  <c r="BK192"/>
  <c r="BL192"/>
  <c r="BN192"/>
  <c r="BO192"/>
  <c r="BR192"/>
  <c r="BS192"/>
  <c r="BI193"/>
  <c r="BJ193"/>
  <c r="BK193"/>
  <c r="BL193"/>
  <c r="BN193"/>
  <c r="BO193"/>
  <c r="BR193"/>
  <c r="BS193"/>
  <c r="BI194"/>
  <c r="BJ194"/>
  <c r="BK194"/>
  <c r="BL194"/>
  <c r="BN194"/>
  <c r="BO194"/>
  <c r="BR194"/>
  <c r="BS194"/>
  <c r="BI195"/>
  <c r="BJ195"/>
  <c r="BK195"/>
  <c r="BL195"/>
  <c r="BN195"/>
  <c r="BO195"/>
  <c r="BR195"/>
  <c r="BS195"/>
  <c r="BI196"/>
  <c r="BJ196"/>
  <c r="BK196"/>
  <c r="BL196"/>
  <c r="BN196"/>
  <c r="BO196"/>
  <c r="BR196"/>
  <c r="BS196"/>
  <c r="BI197"/>
  <c r="BJ197"/>
  <c r="BK197"/>
  <c r="BL197"/>
  <c r="BN197"/>
  <c r="BO197"/>
  <c r="BR197"/>
  <c r="BS197"/>
  <c r="BI198"/>
  <c r="BJ198"/>
  <c r="BK198"/>
  <c r="BL198"/>
  <c r="BN198"/>
  <c r="BO198"/>
  <c r="BR198"/>
  <c r="BS198"/>
  <c r="BI199"/>
  <c r="BJ199"/>
  <c r="BK199"/>
  <c r="BL199"/>
  <c r="BN199"/>
  <c r="BO199"/>
  <c r="BR199"/>
  <c r="BS199"/>
  <c r="BI200"/>
  <c r="BJ200"/>
  <c r="BK200"/>
  <c r="BL200"/>
  <c r="BN200"/>
  <c r="BO200"/>
  <c r="BR200"/>
  <c r="BS200"/>
  <c r="BI201"/>
  <c r="BJ201"/>
  <c r="BK201"/>
  <c r="BL201"/>
  <c r="BN201"/>
  <c r="BO201"/>
  <c r="BR201"/>
  <c r="BS201"/>
  <c r="BI202"/>
  <c r="BJ202"/>
  <c r="BK202"/>
  <c r="BL202"/>
  <c r="BN202"/>
  <c r="BO202"/>
  <c r="BR202"/>
  <c r="BS202"/>
  <c r="BI203"/>
  <c r="BJ203"/>
  <c r="BK203"/>
  <c r="BL203"/>
  <c r="BN203"/>
  <c r="BO203"/>
  <c r="BR203"/>
  <c r="BS203"/>
  <c r="BI204"/>
  <c r="BJ204"/>
  <c r="BK204"/>
  <c r="BL204"/>
  <c r="BN204"/>
  <c r="BO204"/>
  <c r="BR204"/>
  <c r="BS204"/>
  <c r="BI205"/>
  <c r="BJ205"/>
  <c r="BK205"/>
  <c r="BL205"/>
  <c r="BN205"/>
  <c r="BO205"/>
  <c r="BR205"/>
  <c r="BS205"/>
  <c r="BI206"/>
  <c r="BJ206"/>
  <c r="BK206"/>
  <c r="BL206"/>
  <c r="BN206"/>
  <c r="BO206"/>
  <c r="BR206"/>
  <c r="BS206"/>
  <c r="BI207"/>
  <c r="BJ207"/>
  <c r="BK207"/>
  <c r="BL207"/>
  <c r="BN207"/>
  <c r="BO207"/>
  <c r="BR207"/>
  <c r="BS207"/>
  <c r="BS8"/>
  <c r="BO8"/>
  <c r="BK8"/>
  <c r="BL8"/>
  <c r="BS6"/>
  <c r="BS7"/>
  <c r="BO6"/>
  <c r="BO7"/>
  <c r="BL6"/>
  <c r="BK6"/>
  <c r="BT3"/>
  <c r="FZ5" s="1"/>
  <c r="BT5"/>
  <c r="BW4"/>
  <c r="BV4"/>
  <c r="BU4"/>
  <c r="BQ4"/>
  <c r="BP5"/>
  <c r="BM5"/>
  <c r="BI8"/>
  <c r="BA7"/>
  <c r="AL9"/>
  <c r="AM9"/>
  <c r="AN9"/>
  <c r="AO9"/>
  <c r="AQ9"/>
  <c r="AR9"/>
  <c r="AU9"/>
  <c r="AV9"/>
  <c r="AL10"/>
  <c r="AM10"/>
  <c r="AN10"/>
  <c r="AO10"/>
  <c r="AQ10"/>
  <c r="AR10"/>
  <c r="AU10"/>
  <c r="AV10"/>
  <c r="AL11"/>
  <c r="AM11"/>
  <c r="AN11"/>
  <c r="AO11"/>
  <c r="AQ11"/>
  <c r="AR11"/>
  <c r="AU11"/>
  <c r="AV11"/>
  <c r="AL12"/>
  <c r="AM12"/>
  <c r="AN12"/>
  <c r="AO12"/>
  <c r="AQ12"/>
  <c r="AR12"/>
  <c r="AU12"/>
  <c r="AV12"/>
  <c r="AL13"/>
  <c r="AM13"/>
  <c r="AN13"/>
  <c r="AO13"/>
  <c r="AQ13"/>
  <c r="AR13"/>
  <c r="AU13"/>
  <c r="AV13"/>
  <c r="AL14"/>
  <c r="AM14"/>
  <c r="AN14"/>
  <c r="AO14"/>
  <c r="AQ14"/>
  <c r="AR14"/>
  <c r="AU14"/>
  <c r="AV14"/>
  <c r="AL15"/>
  <c r="AM15"/>
  <c r="AN15"/>
  <c r="AO15"/>
  <c r="AQ15"/>
  <c r="AR15"/>
  <c r="AU15"/>
  <c r="AV15"/>
  <c r="AL16"/>
  <c r="AM16"/>
  <c r="AN16"/>
  <c r="AO16"/>
  <c r="AQ16"/>
  <c r="AR16"/>
  <c r="AU16"/>
  <c r="AV16"/>
  <c r="AL17"/>
  <c r="AM17"/>
  <c r="AN17"/>
  <c r="AO17"/>
  <c r="AQ17"/>
  <c r="AR17"/>
  <c r="AU17"/>
  <c r="AV17"/>
  <c r="AL18"/>
  <c r="AM18"/>
  <c r="AN18"/>
  <c r="AO18"/>
  <c r="AQ18"/>
  <c r="AR18"/>
  <c r="AU18"/>
  <c r="AV18"/>
  <c r="AL19"/>
  <c r="AM19"/>
  <c r="AN19"/>
  <c r="AO19"/>
  <c r="AQ19"/>
  <c r="AR19"/>
  <c r="AU19"/>
  <c r="AV19"/>
  <c r="AL20"/>
  <c r="AM20"/>
  <c r="AN20"/>
  <c r="AO20"/>
  <c r="AQ20"/>
  <c r="AR20"/>
  <c r="AU20"/>
  <c r="AV20"/>
  <c r="AL21"/>
  <c r="AM21"/>
  <c r="AN21"/>
  <c r="AO21"/>
  <c r="AQ21"/>
  <c r="AR21"/>
  <c r="AU21"/>
  <c r="AV21"/>
  <c r="AL22"/>
  <c r="AM22"/>
  <c r="AN22"/>
  <c r="AO22"/>
  <c r="AQ22"/>
  <c r="AR22"/>
  <c r="AU22"/>
  <c r="AV22"/>
  <c r="AL23"/>
  <c r="AM23"/>
  <c r="AN23"/>
  <c r="AO23"/>
  <c r="AQ23"/>
  <c r="AR23"/>
  <c r="AU23"/>
  <c r="AV23"/>
  <c r="AL24"/>
  <c r="AM24"/>
  <c r="AN24"/>
  <c r="AO24"/>
  <c r="AQ24"/>
  <c r="AR24"/>
  <c r="AU24"/>
  <c r="AV24"/>
  <c r="AL25"/>
  <c r="AM25"/>
  <c r="AN25"/>
  <c r="AO25"/>
  <c r="AQ25"/>
  <c r="AR25"/>
  <c r="AU25"/>
  <c r="AV25"/>
  <c r="AL26"/>
  <c r="AM26"/>
  <c r="AN26"/>
  <c r="AO26"/>
  <c r="AQ26"/>
  <c r="AR26"/>
  <c r="AU26"/>
  <c r="AV26"/>
  <c r="AL27"/>
  <c r="AM27"/>
  <c r="AN27"/>
  <c r="AO27"/>
  <c r="AQ27"/>
  <c r="AR27"/>
  <c r="AU27"/>
  <c r="AV27"/>
  <c r="AL28"/>
  <c r="AM28"/>
  <c r="AN28"/>
  <c r="AO28"/>
  <c r="AQ28"/>
  <c r="AR28"/>
  <c r="AU28"/>
  <c r="AV28"/>
  <c r="AL29"/>
  <c r="AM29"/>
  <c r="AN29"/>
  <c r="AO29"/>
  <c r="AQ29"/>
  <c r="AR29"/>
  <c r="AU29"/>
  <c r="AV29"/>
  <c r="AL30"/>
  <c r="AM30"/>
  <c r="AN30"/>
  <c r="AO30"/>
  <c r="AQ30"/>
  <c r="AR30"/>
  <c r="AU30"/>
  <c r="AV30"/>
  <c r="AL31"/>
  <c r="AM31"/>
  <c r="AN31"/>
  <c r="AO31"/>
  <c r="AQ31"/>
  <c r="AR31"/>
  <c r="AU31"/>
  <c r="AV31"/>
  <c r="AL32"/>
  <c r="AM32"/>
  <c r="AN32"/>
  <c r="AO32"/>
  <c r="AQ32"/>
  <c r="AR32"/>
  <c r="AU32"/>
  <c r="AV32"/>
  <c r="AL33"/>
  <c r="AM33"/>
  <c r="AN33"/>
  <c r="AO33"/>
  <c r="AQ33"/>
  <c r="AR33"/>
  <c r="AU33"/>
  <c r="AV33"/>
  <c r="AL34"/>
  <c r="AM34"/>
  <c r="AN34"/>
  <c r="AO34"/>
  <c r="AQ34"/>
  <c r="AR34"/>
  <c r="AU34"/>
  <c r="AV34"/>
  <c r="AL35"/>
  <c r="AM35"/>
  <c r="AN35"/>
  <c r="AO35"/>
  <c r="AQ35"/>
  <c r="AR35"/>
  <c r="AU35"/>
  <c r="AV35"/>
  <c r="AL36"/>
  <c r="AM36"/>
  <c r="AN36"/>
  <c r="AO36"/>
  <c r="AQ36"/>
  <c r="AR36"/>
  <c r="AU36"/>
  <c r="AV36"/>
  <c r="AL37"/>
  <c r="AM37"/>
  <c r="AN37"/>
  <c r="AO37"/>
  <c r="AQ37"/>
  <c r="AR37"/>
  <c r="AU37"/>
  <c r="AV37"/>
  <c r="AL38"/>
  <c r="AM38"/>
  <c r="AN38"/>
  <c r="AO38"/>
  <c r="AQ38"/>
  <c r="AR38"/>
  <c r="AU38"/>
  <c r="AV38"/>
  <c r="AL39"/>
  <c r="AM39"/>
  <c r="AN39"/>
  <c r="AO39"/>
  <c r="AQ39"/>
  <c r="AR39"/>
  <c r="AU39"/>
  <c r="AV39"/>
  <c r="AL40"/>
  <c r="AM40"/>
  <c r="AN40"/>
  <c r="AO40"/>
  <c r="AQ40"/>
  <c r="AR40"/>
  <c r="AU40"/>
  <c r="AV40"/>
  <c r="AL41"/>
  <c r="AM41"/>
  <c r="AN41"/>
  <c r="AO41"/>
  <c r="AQ41"/>
  <c r="AR41"/>
  <c r="AU41"/>
  <c r="AV41"/>
  <c r="AL42"/>
  <c r="AM42"/>
  <c r="AN42"/>
  <c r="AO42"/>
  <c r="AQ42"/>
  <c r="AR42"/>
  <c r="AU42"/>
  <c r="AV42"/>
  <c r="AL43"/>
  <c r="AM43"/>
  <c r="AN43"/>
  <c r="AO43"/>
  <c r="AQ43"/>
  <c r="AR43"/>
  <c r="AU43"/>
  <c r="AV43"/>
  <c r="AL44"/>
  <c r="AM44"/>
  <c r="AN44"/>
  <c r="AO44"/>
  <c r="AQ44"/>
  <c r="AR44"/>
  <c r="AU44"/>
  <c r="AV44"/>
  <c r="AL45"/>
  <c r="AM45"/>
  <c r="AN45"/>
  <c r="AO45"/>
  <c r="AQ45"/>
  <c r="AR45"/>
  <c r="AU45"/>
  <c r="AV45"/>
  <c r="AL46"/>
  <c r="AM46"/>
  <c r="AN46"/>
  <c r="AO46"/>
  <c r="AQ46"/>
  <c r="AR46"/>
  <c r="AU46"/>
  <c r="AV46"/>
  <c r="AL47"/>
  <c r="AM47"/>
  <c r="AN47"/>
  <c r="AO47"/>
  <c r="AQ47"/>
  <c r="AR47"/>
  <c r="AU47"/>
  <c r="AV47"/>
  <c r="AL48"/>
  <c r="AM48"/>
  <c r="AN48"/>
  <c r="AO48"/>
  <c r="AQ48"/>
  <c r="AR48"/>
  <c r="AU48"/>
  <c r="AV48"/>
  <c r="AL49"/>
  <c r="AM49"/>
  <c r="AN49"/>
  <c r="AO49"/>
  <c r="AQ49"/>
  <c r="AR49"/>
  <c r="AU49"/>
  <c r="AV49"/>
  <c r="AL50"/>
  <c r="AM50"/>
  <c r="AN50"/>
  <c r="AO50"/>
  <c r="AQ50"/>
  <c r="AR50"/>
  <c r="AU50"/>
  <c r="AV50"/>
  <c r="AL51"/>
  <c r="AM51"/>
  <c r="AN51"/>
  <c r="AO51"/>
  <c r="AQ51"/>
  <c r="AR51"/>
  <c r="AU51"/>
  <c r="AV51"/>
  <c r="AL52"/>
  <c r="AM52"/>
  <c r="AN52"/>
  <c r="AO52"/>
  <c r="AQ52"/>
  <c r="AR52"/>
  <c r="AU52"/>
  <c r="AV52"/>
  <c r="AL53"/>
  <c r="AM53"/>
  <c r="AN53"/>
  <c r="AO53"/>
  <c r="AQ53"/>
  <c r="AR53"/>
  <c r="AU53"/>
  <c r="AV53"/>
  <c r="AL54"/>
  <c r="AM54"/>
  <c r="AN54"/>
  <c r="AO54"/>
  <c r="AQ54"/>
  <c r="AR54"/>
  <c r="AU54"/>
  <c r="AV54"/>
  <c r="AL55"/>
  <c r="AM55"/>
  <c r="AN55"/>
  <c r="AO55"/>
  <c r="AQ55"/>
  <c r="AR55"/>
  <c r="AU55"/>
  <c r="AV55"/>
  <c r="AL56"/>
  <c r="AM56"/>
  <c r="AN56"/>
  <c r="AO56"/>
  <c r="AQ56"/>
  <c r="AR56"/>
  <c r="AU56"/>
  <c r="AV56"/>
  <c r="AL57"/>
  <c r="AM57"/>
  <c r="AN57"/>
  <c r="AO57"/>
  <c r="AQ57"/>
  <c r="AR57"/>
  <c r="AU57"/>
  <c r="AV57"/>
  <c r="AL58"/>
  <c r="AM58"/>
  <c r="AN58"/>
  <c r="AO58"/>
  <c r="AQ58"/>
  <c r="AR58"/>
  <c r="AU58"/>
  <c r="AV58"/>
  <c r="AL59"/>
  <c r="AM59"/>
  <c r="AN59"/>
  <c r="AO59"/>
  <c r="AQ59"/>
  <c r="AR59"/>
  <c r="AU59"/>
  <c r="AV59"/>
  <c r="AL60"/>
  <c r="AM60"/>
  <c r="AN60"/>
  <c r="AO60"/>
  <c r="AQ60"/>
  <c r="AR60"/>
  <c r="AU60"/>
  <c r="AV60"/>
  <c r="AL61"/>
  <c r="AM61"/>
  <c r="AN61"/>
  <c r="AO61"/>
  <c r="AQ61"/>
  <c r="AR61"/>
  <c r="AU61"/>
  <c r="AV61"/>
  <c r="AL62"/>
  <c r="AM62"/>
  <c r="AN62"/>
  <c r="AO62"/>
  <c r="AQ62"/>
  <c r="AR62"/>
  <c r="AU62"/>
  <c r="AV62"/>
  <c r="AL63"/>
  <c r="AM63"/>
  <c r="AN63"/>
  <c r="AO63"/>
  <c r="AQ63"/>
  <c r="AR63"/>
  <c r="AU63"/>
  <c r="AV63"/>
  <c r="AL64"/>
  <c r="AM64"/>
  <c r="AN64"/>
  <c r="AO64"/>
  <c r="AQ64"/>
  <c r="AR64"/>
  <c r="AU64"/>
  <c r="AV64"/>
  <c r="AL65"/>
  <c r="AM65"/>
  <c r="AN65"/>
  <c r="AO65"/>
  <c r="AQ65"/>
  <c r="AR65"/>
  <c r="AU65"/>
  <c r="AV65"/>
  <c r="AL66"/>
  <c r="AM66"/>
  <c r="AN66"/>
  <c r="AO66"/>
  <c r="AQ66"/>
  <c r="AR66"/>
  <c r="AU66"/>
  <c r="AV66"/>
  <c r="AL67"/>
  <c r="AM67"/>
  <c r="AN67"/>
  <c r="AO67"/>
  <c r="AQ67"/>
  <c r="AR67"/>
  <c r="AU67"/>
  <c r="AV67"/>
  <c r="AL68"/>
  <c r="AM68"/>
  <c r="AN68"/>
  <c r="AO68"/>
  <c r="AQ68"/>
  <c r="AR68"/>
  <c r="AU68"/>
  <c r="AV68"/>
  <c r="AL69"/>
  <c r="AM69"/>
  <c r="AN69"/>
  <c r="AO69"/>
  <c r="AQ69"/>
  <c r="AR69"/>
  <c r="AU69"/>
  <c r="AV69"/>
  <c r="AL70"/>
  <c r="AM70"/>
  <c r="AN70"/>
  <c r="AO70"/>
  <c r="AQ70"/>
  <c r="AR70"/>
  <c r="AU70"/>
  <c r="AV70"/>
  <c r="AL71"/>
  <c r="AM71"/>
  <c r="AN71"/>
  <c r="AO71"/>
  <c r="AQ71"/>
  <c r="AR71"/>
  <c r="AU71"/>
  <c r="AV71"/>
  <c r="AL72"/>
  <c r="AM72"/>
  <c r="AN72"/>
  <c r="AO72"/>
  <c r="AQ72"/>
  <c r="AR72"/>
  <c r="AU72"/>
  <c r="AV72"/>
  <c r="AL73"/>
  <c r="AM73"/>
  <c r="AN73"/>
  <c r="AO73"/>
  <c r="AQ73"/>
  <c r="AR73"/>
  <c r="AU73"/>
  <c r="AV73"/>
  <c r="AL74"/>
  <c r="AM74"/>
  <c r="AN74"/>
  <c r="AO74"/>
  <c r="AQ74"/>
  <c r="AR74"/>
  <c r="AU74"/>
  <c r="AV74"/>
  <c r="AL75"/>
  <c r="AM75"/>
  <c r="AN75"/>
  <c r="AO75"/>
  <c r="AQ75"/>
  <c r="AR75"/>
  <c r="AU75"/>
  <c r="AV75"/>
  <c r="AL76"/>
  <c r="AM76"/>
  <c r="AN76"/>
  <c r="AO76"/>
  <c r="AQ76"/>
  <c r="AR76"/>
  <c r="AU76"/>
  <c r="AV76"/>
  <c r="AL77"/>
  <c r="AM77"/>
  <c r="AN77"/>
  <c r="AO77"/>
  <c r="AQ77"/>
  <c r="AR77"/>
  <c r="AU77"/>
  <c r="AV77"/>
  <c r="AL78"/>
  <c r="AM78"/>
  <c r="AN78"/>
  <c r="AO78"/>
  <c r="AQ78"/>
  <c r="AR78"/>
  <c r="AU78"/>
  <c r="AV78"/>
  <c r="AL79"/>
  <c r="AM79"/>
  <c r="AN79"/>
  <c r="AO79"/>
  <c r="AQ79"/>
  <c r="AR79"/>
  <c r="AU79"/>
  <c r="AV79"/>
  <c r="AL80"/>
  <c r="AM80"/>
  <c r="AN80"/>
  <c r="AO80"/>
  <c r="AQ80"/>
  <c r="AR80"/>
  <c r="AU80"/>
  <c r="AV80"/>
  <c r="AL81"/>
  <c r="AM81"/>
  <c r="AN81"/>
  <c r="AO81"/>
  <c r="AQ81"/>
  <c r="AR81"/>
  <c r="AU81"/>
  <c r="AV81"/>
  <c r="AL82"/>
  <c r="AM82"/>
  <c r="AN82"/>
  <c r="AO82"/>
  <c r="AQ82"/>
  <c r="AR82"/>
  <c r="AU82"/>
  <c r="AV82"/>
  <c r="AL83"/>
  <c r="AM83"/>
  <c r="AN83"/>
  <c r="AO83"/>
  <c r="AQ83"/>
  <c r="AR83"/>
  <c r="AU83"/>
  <c r="AV83"/>
  <c r="AL84"/>
  <c r="AM84"/>
  <c r="AN84"/>
  <c r="AO84"/>
  <c r="AQ84"/>
  <c r="AR84"/>
  <c r="AU84"/>
  <c r="AV84"/>
  <c r="AL85"/>
  <c r="AM85"/>
  <c r="AN85"/>
  <c r="AO85"/>
  <c r="AQ85"/>
  <c r="AR85"/>
  <c r="AU85"/>
  <c r="AV85"/>
  <c r="AL86"/>
  <c r="AM86"/>
  <c r="AN86"/>
  <c r="AO86"/>
  <c r="AQ86"/>
  <c r="AR86"/>
  <c r="AU86"/>
  <c r="AV86"/>
  <c r="AL87"/>
  <c r="AM87"/>
  <c r="AN87"/>
  <c r="AO87"/>
  <c r="AQ87"/>
  <c r="AR87"/>
  <c r="AU87"/>
  <c r="AV87"/>
  <c r="AL88"/>
  <c r="AM88"/>
  <c r="AN88"/>
  <c r="AO88"/>
  <c r="AQ88"/>
  <c r="AR88"/>
  <c r="AU88"/>
  <c r="AV88"/>
  <c r="AL89"/>
  <c r="AM89"/>
  <c r="AN89"/>
  <c r="AO89"/>
  <c r="AQ89"/>
  <c r="AR89"/>
  <c r="AU89"/>
  <c r="AV89"/>
  <c r="AL90"/>
  <c r="AM90"/>
  <c r="AN90"/>
  <c r="AO90"/>
  <c r="AQ90"/>
  <c r="AR90"/>
  <c r="AU90"/>
  <c r="AV90"/>
  <c r="AL91"/>
  <c r="AM91"/>
  <c r="AN91"/>
  <c r="AO91"/>
  <c r="AQ91"/>
  <c r="AR91"/>
  <c r="AU91"/>
  <c r="AV91"/>
  <c r="AL92"/>
  <c r="AM92"/>
  <c r="AN92"/>
  <c r="AO92"/>
  <c r="AQ92"/>
  <c r="AR92"/>
  <c r="AU92"/>
  <c r="AV92"/>
  <c r="AL93"/>
  <c r="AM93"/>
  <c r="AN93"/>
  <c r="AO93"/>
  <c r="AQ93"/>
  <c r="AR93"/>
  <c r="AU93"/>
  <c r="AV93"/>
  <c r="AL94"/>
  <c r="AM94"/>
  <c r="AN94"/>
  <c r="AO94"/>
  <c r="AQ94"/>
  <c r="AR94"/>
  <c r="AU94"/>
  <c r="AV94"/>
  <c r="AL95"/>
  <c r="AM95"/>
  <c r="AN95"/>
  <c r="AO95"/>
  <c r="AQ95"/>
  <c r="AR95"/>
  <c r="AU95"/>
  <c r="AV95"/>
  <c r="AL96"/>
  <c r="AM96"/>
  <c r="AN96"/>
  <c r="AO96"/>
  <c r="AQ96"/>
  <c r="AR96"/>
  <c r="AU96"/>
  <c r="AV96"/>
  <c r="AL97"/>
  <c r="AM97"/>
  <c r="AN97"/>
  <c r="AO97"/>
  <c r="AQ97"/>
  <c r="AR97"/>
  <c r="AU97"/>
  <c r="AV97"/>
  <c r="AL98"/>
  <c r="AM98"/>
  <c r="AN98"/>
  <c r="AO98"/>
  <c r="AQ98"/>
  <c r="AR98"/>
  <c r="AU98"/>
  <c r="AV98"/>
  <c r="AL99"/>
  <c r="AM99"/>
  <c r="AN99"/>
  <c r="AO99"/>
  <c r="AQ99"/>
  <c r="AR99"/>
  <c r="AU99"/>
  <c r="AV99"/>
  <c r="AL100"/>
  <c r="AM100"/>
  <c r="AN100"/>
  <c r="AO100"/>
  <c r="AQ100"/>
  <c r="AR100"/>
  <c r="AU100"/>
  <c r="AV100"/>
  <c r="AL101"/>
  <c r="AM101"/>
  <c r="AN101"/>
  <c r="AO101"/>
  <c r="AQ101"/>
  <c r="AR101"/>
  <c r="AU101"/>
  <c r="AV101"/>
  <c r="AL102"/>
  <c r="AM102"/>
  <c r="AN102"/>
  <c r="AO102"/>
  <c r="AQ102"/>
  <c r="AR102"/>
  <c r="AU102"/>
  <c r="AV102"/>
  <c r="AL103"/>
  <c r="AM103"/>
  <c r="AN103"/>
  <c r="AO103"/>
  <c r="AQ103"/>
  <c r="AR103"/>
  <c r="AU103"/>
  <c r="AV103"/>
  <c r="AL104"/>
  <c r="AM104"/>
  <c r="AN104"/>
  <c r="AO104"/>
  <c r="AQ104"/>
  <c r="AR104"/>
  <c r="AU104"/>
  <c r="AV104"/>
  <c r="AL105"/>
  <c r="AM105"/>
  <c r="AN105"/>
  <c r="AO105"/>
  <c r="AQ105"/>
  <c r="AR105"/>
  <c r="AU105"/>
  <c r="AV105"/>
  <c r="AL106"/>
  <c r="AM106"/>
  <c r="AN106"/>
  <c r="AO106"/>
  <c r="AQ106"/>
  <c r="AR106"/>
  <c r="AU106"/>
  <c r="AV106"/>
  <c r="AL107"/>
  <c r="AM107"/>
  <c r="AN107"/>
  <c r="AO107"/>
  <c r="AQ107"/>
  <c r="AR107"/>
  <c r="AU107"/>
  <c r="AV107"/>
  <c r="AL108"/>
  <c r="AM108"/>
  <c r="AN108"/>
  <c r="AO108"/>
  <c r="AQ108"/>
  <c r="AR108"/>
  <c r="AU108"/>
  <c r="AV108"/>
  <c r="AL109"/>
  <c r="AM109"/>
  <c r="AN109"/>
  <c r="AO109"/>
  <c r="AQ109"/>
  <c r="AR109"/>
  <c r="AU109"/>
  <c r="AV109"/>
  <c r="AL110"/>
  <c r="AM110"/>
  <c r="AN110"/>
  <c r="AO110"/>
  <c r="AQ110"/>
  <c r="AR110"/>
  <c r="AU110"/>
  <c r="AV110"/>
  <c r="AL111"/>
  <c r="AM111"/>
  <c r="AN111"/>
  <c r="AO111"/>
  <c r="AQ111"/>
  <c r="AR111"/>
  <c r="AU111"/>
  <c r="AV111"/>
  <c r="AL112"/>
  <c r="AM112"/>
  <c r="AN112"/>
  <c r="AO112"/>
  <c r="AQ112"/>
  <c r="AR112"/>
  <c r="AU112"/>
  <c r="AV112"/>
  <c r="AL113"/>
  <c r="AM113"/>
  <c r="AN113"/>
  <c r="AO113"/>
  <c r="AQ113"/>
  <c r="AR113"/>
  <c r="AU113"/>
  <c r="AV113"/>
  <c r="AL114"/>
  <c r="AM114"/>
  <c r="AN114"/>
  <c r="AO114"/>
  <c r="AQ114"/>
  <c r="AR114"/>
  <c r="AU114"/>
  <c r="AV114"/>
  <c r="AL115"/>
  <c r="AM115"/>
  <c r="AN115"/>
  <c r="AO115"/>
  <c r="AQ115"/>
  <c r="AR115"/>
  <c r="AU115"/>
  <c r="AV115"/>
  <c r="AL116"/>
  <c r="AM116"/>
  <c r="AN116"/>
  <c r="AO116"/>
  <c r="AQ116"/>
  <c r="AR116"/>
  <c r="AU116"/>
  <c r="AV116"/>
  <c r="AL117"/>
  <c r="AM117"/>
  <c r="AN117"/>
  <c r="AO117"/>
  <c r="AQ117"/>
  <c r="AR117"/>
  <c r="AU117"/>
  <c r="AV117"/>
  <c r="AL118"/>
  <c r="AM118"/>
  <c r="AN118"/>
  <c r="AO118"/>
  <c r="AQ118"/>
  <c r="AR118"/>
  <c r="AU118"/>
  <c r="AV118"/>
  <c r="AL119"/>
  <c r="AM119"/>
  <c r="AN119"/>
  <c r="AO119"/>
  <c r="AQ119"/>
  <c r="AR119"/>
  <c r="AU119"/>
  <c r="AV119"/>
  <c r="AL120"/>
  <c r="AM120"/>
  <c r="AN120"/>
  <c r="AO120"/>
  <c r="AQ120"/>
  <c r="AR120"/>
  <c r="AU120"/>
  <c r="AV120"/>
  <c r="AL121"/>
  <c r="AM121"/>
  <c r="AN121"/>
  <c r="AO121"/>
  <c r="AQ121"/>
  <c r="AR121"/>
  <c r="AU121"/>
  <c r="AV121"/>
  <c r="AL122"/>
  <c r="AM122"/>
  <c r="AN122"/>
  <c r="AO122"/>
  <c r="AQ122"/>
  <c r="AR122"/>
  <c r="AU122"/>
  <c r="AV122"/>
  <c r="AL123"/>
  <c r="AM123"/>
  <c r="AN123"/>
  <c r="AO123"/>
  <c r="AQ123"/>
  <c r="AR123"/>
  <c r="AU123"/>
  <c r="AV123"/>
  <c r="AL124"/>
  <c r="AM124"/>
  <c r="AN124"/>
  <c r="AO124"/>
  <c r="AQ124"/>
  <c r="AR124"/>
  <c r="AU124"/>
  <c r="AV124"/>
  <c r="AL125"/>
  <c r="AM125"/>
  <c r="AN125"/>
  <c r="AO125"/>
  <c r="AQ125"/>
  <c r="AR125"/>
  <c r="AU125"/>
  <c r="AV125"/>
  <c r="AL126"/>
  <c r="AM126"/>
  <c r="AN126"/>
  <c r="AO126"/>
  <c r="AQ126"/>
  <c r="AR126"/>
  <c r="AU126"/>
  <c r="AV126"/>
  <c r="AL127"/>
  <c r="AM127"/>
  <c r="AN127"/>
  <c r="AO127"/>
  <c r="AQ127"/>
  <c r="AR127"/>
  <c r="AU127"/>
  <c r="AV127"/>
  <c r="AL128"/>
  <c r="AM128"/>
  <c r="AN128"/>
  <c r="AO128"/>
  <c r="AQ128"/>
  <c r="AR128"/>
  <c r="AU128"/>
  <c r="AV128"/>
  <c r="AL129"/>
  <c r="AM129"/>
  <c r="AN129"/>
  <c r="AO129"/>
  <c r="AQ129"/>
  <c r="AR129"/>
  <c r="AU129"/>
  <c r="AV129"/>
  <c r="AL130"/>
  <c r="AM130"/>
  <c r="AN130"/>
  <c r="AO130"/>
  <c r="AQ130"/>
  <c r="AR130"/>
  <c r="AU130"/>
  <c r="AV130"/>
  <c r="AL131"/>
  <c r="AM131"/>
  <c r="AN131"/>
  <c r="AO131"/>
  <c r="AQ131"/>
  <c r="AR131"/>
  <c r="AU131"/>
  <c r="AV131"/>
  <c r="AL132"/>
  <c r="AM132"/>
  <c r="AN132"/>
  <c r="AO132"/>
  <c r="AQ132"/>
  <c r="AR132"/>
  <c r="AU132"/>
  <c r="AV132"/>
  <c r="AL133"/>
  <c r="AM133"/>
  <c r="AN133"/>
  <c r="AO133"/>
  <c r="AQ133"/>
  <c r="AR133"/>
  <c r="AU133"/>
  <c r="AV133"/>
  <c r="AL134"/>
  <c r="AM134"/>
  <c r="AN134"/>
  <c r="AO134"/>
  <c r="AQ134"/>
  <c r="AR134"/>
  <c r="AU134"/>
  <c r="AV134"/>
  <c r="AL135"/>
  <c r="AM135"/>
  <c r="AN135"/>
  <c r="AO135"/>
  <c r="AQ135"/>
  <c r="AR135"/>
  <c r="AU135"/>
  <c r="AV135"/>
  <c r="AL136"/>
  <c r="AM136"/>
  <c r="AN136"/>
  <c r="AO136"/>
  <c r="AQ136"/>
  <c r="AR136"/>
  <c r="AU136"/>
  <c r="AV136"/>
  <c r="AL137"/>
  <c r="AM137"/>
  <c r="AN137"/>
  <c r="AO137"/>
  <c r="AQ137"/>
  <c r="AR137"/>
  <c r="AU137"/>
  <c r="AV137"/>
  <c r="AL138"/>
  <c r="AM138"/>
  <c r="AN138"/>
  <c r="AO138"/>
  <c r="AQ138"/>
  <c r="AR138"/>
  <c r="AU138"/>
  <c r="AV138"/>
  <c r="AL139"/>
  <c r="AM139"/>
  <c r="AN139"/>
  <c r="AO139"/>
  <c r="AQ139"/>
  <c r="AR139"/>
  <c r="AU139"/>
  <c r="AV139"/>
  <c r="AL140"/>
  <c r="AM140"/>
  <c r="AN140"/>
  <c r="AO140"/>
  <c r="AQ140"/>
  <c r="AR140"/>
  <c r="AU140"/>
  <c r="AV140"/>
  <c r="AL141"/>
  <c r="AM141"/>
  <c r="AN141"/>
  <c r="AO141"/>
  <c r="AQ141"/>
  <c r="AR141"/>
  <c r="AU141"/>
  <c r="AV141"/>
  <c r="AL142"/>
  <c r="AM142"/>
  <c r="AN142"/>
  <c r="AO142"/>
  <c r="AQ142"/>
  <c r="AR142"/>
  <c r="AU142"/>
  <c r="AV142"/>
  <c r="AL143"/>
  <c r="AM143"/>
  <c r="AN143"/>
  <c r="AO143"/>
  <c r="AQ143"/>
  <c r="AR143"/>
  <c r="AU143"/>
  <c r="AV143"/>
  <c r="AL144"/>
  <c r="AM144"/>
  <c r="AN144"/>
  <c r="AO144"/>
  <c r="AQ144"/>
  <c r="AR144"/>
  <c r="AU144"/>
  <c r="AV144"/>
  <c r="AL145"/>
  <c r="AM145"/>
  <c r="AN145"/>
  <c r="AO145"/>
  <c r="AQ145"/>
  <c r="AR145"/>
  <c r="AU145"/>
  <c r="AV145"/>
  <c r="AL146"/>
  <c r="AM146"/>
  <c r="AN146"/>
  <c r="AO146"/>
  <c r="AQ146"/>
  <c r="AR146"/>
  <c r="AU146"/>
  <c r="AV146"/>
  <c r="AL147"/>
  <c r="AM147"/>
  <c r="AN147"/>
  <c r="AO147"/>
  <c r="AQ147"/>
  <c r="AR147"/>
  <c r="AU147"/>
  <c r="AV147"/>
  <c r="AL148"/>
  <c r="AM148"/>
  <c r="AN148"/>
  <c r="AO148"/>
  <c r="AQ148"/>
  <c r="AR148"/>
  <c r="AU148"/>
  <c r="AV148"/>
  <c r="AL149"/>
  <c r="AM149"/>
  <c r="AN149"/>
  <c r="AO149"/>
  <c r="AQ149"/>
  <c r="AR149"/>
  <c r="AU149"/>
  <c r="AV149"/>
  <c r="AL150"/>
  <c r="AM150"/>
  <c r="AN150"/>
  <c r="AO150"/>
  <c r="AQ150"/>
  <c r="AR150"/>
  <c r="AU150"/>
  <c r="AV150"/>
  <c r="AL151"/>
  <c r="AM151"/>
  <c r="AN151"/>
  <c r="AO151"/>
  <c r="AQ151"/>
  <c r="AR151"/>
  <c r="AU151"/>
  <c r="AV151"/>
  <c r="AL152"/>
  <c r="AM152"/>
  <c r="AN152"/>
  <c r="AO152"/>
  <c r="AQ152"/>
  <c r="AR152"/>
  <c r="AU152"/>
  <c r="AV152"/>
  <c r="AL153"/>
  <c r="AM153"/>
  <c r="AN153"/>
  <c r="AO153"/>
  <c r="AQ153"/>
  <c r="AR153"/>
  <c r="AU153"/>
  <c r="AV153"/>
  <c r="AL154"/>
  <c r="AM154"/>
  <c r="AN154"/>
  <c r="AO154"/>
  <c r="AQ154"/>
  <c r="AR154"/>
  <c r="AU154"/>
  <c r="AV154"/>
  <c r="AL155"/>
  <c r="AM155"/>
  <c r="AN155"/>
  <c r="AO155"/>
  <c r="AQ155"/>
  <c r="AR155"/>
  <c r="AU155"/>
  <c r="AV155"/>
  <c r="AL156"/>
  <c r="AM156"/>
  <c r="AN156"/>
  <c r="AO156"/>
  <c r="AQ156"/>
  <c r="AR156"/>
  <c r="AU156"/>
  <c r="AV156"/>
  <c r="AL157"/>
  <c r="AM157"/>
  <c r="AN157"/>
  <c r="AO157"/>
  <c r="AQ157"/>
  <c r="AR157"/>
  <c r="AU157"/>
  <c r="AV157"/>
  <c r="AL158"/>
  <c r="AM158"/>
  <c r="AN158"/>
  <c r="AO158"/>
  <c r="AQ158"/>
  <c r="AR158"/>
  <c r="AU158"/>
  <c r="AV158"/>
  <c r="AL159"/>
  <c r="AM159"/>
  <c r="AN159"/>
  <c r="AO159"/>
  <c r="AQ159"/>
  <c r="AR159"/>
  <c r="AU159"/>
  <c r="AV159"/>
  <c r="AL160"/>
  <c r="AM160"/>
  <c r="AN160"/>
  <c r="AO160"/>
  <c r="AQ160"/>
  <c r="AR160"/>
  <c r="AU160"/>
  <c r="AV160"/>
  <c r="AL161"/>
  <c r="AM161"/>
  <c r="AN161"/>
  <c r="AO161"/>
  <c r="AQ161"/>
  <c r="AR161"/>
  <c r="AU161"/>
  <c r="AV161"/>
  <c r="AL162"/>
  <c r="AM162"/>
  <c r="AN162"/>
  <c r="AO162"/>
  <c r="AQ162"/>
  <c r="AR162"/>
  <c r="AU162"/>
  <c r="AV162"/>
  <c r="AL163"/>
  <c r="AM163"/>
  <c r="AN163"/>
  <c r="AO163"/>
  <c r="AQ163"/>
  <c r="AR163"/>
  <c r="AU163"/>
  <c r="AV163"/>
  <c r="AL164"/>
  <c r="AM164"/>
  <c r="AN164"/>
  <c r="AO164"/>
  <c r="AQ164"/>
  <c r="AR164"/>
  <c r="AU164"/>
  <c r="AV164"/>
  <c r="AL165"/>
  <c r="AM165"/>
  <c r="AN165"/>
  <c r="AO165"/>
  <c r="AQ165"/>
  <c r="AR165"/>
  <c r="AU165"/>
  <c r="AV165"/>
  <c r="AL166"/>
  <c r="AM166"/>
  <c r="AN166"/>
  <c r="AO166"/>
  <c r="AQ166"/>
  <c r="AR166"/>
  <c r="AU166"/>
  <c r="AV166"/>
  <c r="AL167"/>
  <c r="AM167"/>
  <c r="AN167"/>
  <c r="AO167"/>
  <c r="AQ167"/>
  <c r="AR167"/>
  <c r="AU167"/>
  <c r="AV167"/>
  <c r="AL168"/>
  <c r="AM168"/>
  <c r="AN168"/>
  <c r="AO168"/>
  <c r="AQ168"/>
  <c r="AR168"/>
  <c r="AU168"/>
  <c r="AV168"/>
  <c r="AL169"/>
  <c r="AM169"/>
  <c r="AN169"/>
  <c r="AO169"/>
  <c r="AQ169"/>
  <c r="AR169"/>
  <c r="AU169"/>
  <c r="AV169"/>
  <c r="AL170"/>
  <c r="AM170"/>
  <c r="AN170"/>
  <c r="AO170"/>
  <c r="AQ170"/>
  <c r="AR170"/>
  <c r="AU170"/>
  <c r="AV170"/>
  <c r="AL171"/>
  <c r="AM171"/>
  <c r="AN171"/>
  <c r="AO171"/>
  <c r="AQ171"/>
  <c r="AR171"/>
  <c r="AU171"/>
  <c r="AV171"/>
  <c r="AL172"/>
  <c r="AM172"/>
  <c r="AN172"/>
  <c r="AO172"/>
  <c r="AQ172"/>
  <c r="AR172"/>
  <c r="AU172"/>
  <c r="AV172"/>
  <c r="AL173"/>
  <c r="AM173"/>
  <c r="AN173"/>
  <c r="AO173"/>
  <c r="AQ173"/>
  <c r="AR173"/>
  <c r="AU173"/>
  <c r="AV173"/>
  <c r="AL174"/>
  <c r="AM174"/>
  <c r="AN174"/>
  <c r="AO174"/>
  <c r="AQ174"/>
  <c r="AR174"/>
  <c r="AU174"/>
  <c r="AV174"/>
  <c r="AL175"/>
  <c r="AM175"/>
  <c r="AN175"/>
  <c r="AO175"/>
  <c r="AQ175"/>
  <c r="AR175"/>
  <c r="AU175"/>
  <c r="AV175"/>
  <c r="AL176"/>
  <c r="AM176"/>
  <c r="AN176"/>
  <c r="AO176"/>
  <c r="AQ176"/>
  <c r="AR176"/>
  <c r="AU176"/>
  <c r="AV176"/>
  <c r="AL177"/>
  <c r="AM177"/>
  <c r="AN177"/>
  <c r="AO177"/>
  <c r="AQ177"/>
  <c r="AR177"/>
  <c r="AU177"/>
  <c r="AV177"/>
  <c r="AL178"/>
  <c r="AM178"/>
  <c r="AN178"/>
  <c r="AO178"/>
  <c r="AQ178"/>
  <c r="AR178"/>
  <c r="AU178"/>
  <c r="AV178"/>
  <c r="AL179"/>
  <c r="AM179"/>
  <c r="AN179"/>
  <c r="AO179"/>
  <c r="AQ179"/>
  <c r="AR179"/>
  <c r="AU179"/>
  <c r="AV179"/>
  <c r="AL180"/>
  <c r="AM180"/>
  <c r="AN180"/>
  <c r="AO180"/>
  <c r="AQ180"/>
  <c r="AR180"/>
  <c r="AU180"/>
  <c r="AV180"/>
  <c r="AL181"/>
  <c r="AM181"/>
  <c r="AN181"/>
  <c r="AO181"/>
  <c r="AQ181"/>
  <c r="AR181"/>
  <c r="AU181"/>
  <c r="AV181"/>
  <c r="AL182"/>
  <c r="AM182"/>
  <c r="AN182"/>
  <c r="AO182"/>
  <c r="AQ182"/>
  <c r="AR182"/>
  <c r="AU182"/>
  <c r="AV182"/>
  <c r="AL183"/>
  <c r="AM183"/>
  <c r="AN183"/>
  <c r="AO183"/>
  <c r="AQ183"/>
  <c r="AR183"/>
  <c r="AU183"/>
  <c r="AV183"/>
  <c r="AL184"/>
  <c r="AM184"/>
  <c r="AN184"/>
  <c r="AO184"/>
  <c r="AQ184"/>
  <c r="AR184"/>
  <c r="AU184"/>
  <c r="AV184"/>
  <c r="AL185"/>
  <c r="AM185"/>
  <c r="AN185"/>
  <c r="AO185"/>
  <c r="AQ185"/>
  <c r="AR185"/>
  <c r="AU185"/>
  <c r="AV185"/>
  <c r="AL186"/>
  <c r="AM186"/>
  <c r="AN186"/>
  <c r="AO186"/>
  <c r="AQ186"/>
  <c r="AR186"/>
  <c r="AU186"/>
  <c r="AV186"/>
  <c r="AL187"/>
  <c r="AM187"/>
  <c r="AN187"/>
  <c r="AO187"/>
  <c r="AQ187"/>
  <c r="AR187"/>
  <c r="AU187"/>
  <c r="AV187"/>
  <c r="AL188"/>
  <c r="AM188"/>
  <c r="AN188"/>
  <c r="AO188"/>
  <c r="AQ188"/>
  <c r="AR188"/>
  <c r="AU188"/>
  <c r="AV188"/>
  <c r="AL189"/>
  <c r="AM189"/>
  <c r="AN189"/>
  <c r="AO189"/>
  <c r="AQ189"/>
  <c r="AR189"/>
  <c r="AU189"/>
  <c r="AV189"/>
  <c r="AL190"/>
  <c r="AM190"/>
  <c r="AN190"/>
  <c r="AO190"/>
  <c r="AQ190"/>
  <c r="AR190"/>
  <c r="AU190"/>
  <c r="AV190"/>
  <c r="AL191"/>
  <c r="AM191"/>
  <c r="AN191"/>
  <c r="AO191"/>
  <c r="AQ191"/>
  <c r="AR191"/>
  <c r="AU191"/>
  <c r="AV191"/>
  <c r="AL192"/>
  <c r="AM192"/>
  <c r="AN192"/>
  <c r="AO192"/>
  <c r="AQ192"/>
  <c r="AR192"/>
  <c r="AU192"/>
  <c r="AV192"/>
  <c r="AL193"/>
  <c r="AM193"/>
  <c r="AN193"/>
  <c r="AO193"/>
  <c r="AQ193"/>
  <c r="AR193"/>
  <c r="AU193"/>
  <c r="AV193"/>
  <c r="AL194"/>
  <c r="AM194"/>
  <c r="AN194"/>
  <c r="AO194"/>
  <c r="AQ194"/>
  <c r="AR194"/>
  <c r="AU194"/>
  <c r="AV194"/>
  <c r="AL195"/>
  <c r="AM195"/>
  <c r="AN195"/>
  <c r="AO195"/>
  <c r="AQ195"/>
  <c r="AR195"/>
  <c r="AU195"/>
  <c r="AV195"/>
  <c r="AL196"/>
  <c r="AM196"/>
  <c r="AN196"/>
  <c r="AO196"/>
  <c r="AQ196"/>
  <c r="AR196"/>
  <c r="AU196"/>
  <c r="AV196"/>
  <c r="AL197"/>
  <c r="AM197"/>
  <c r="AN197"/>
  <c r="AO197"/>
  <c r="AQ197"/>
  <c r="AR197"/>
  <c r="AU197"/>
  <c r="AV197"/>
  <c r="AL198"/>
  <c r="AM198"/>
  <c r="AN198"/>
  <c r="AO198"/>
  <c r="AQ198"/>
  <c r="AR198"/>
  <c r="AU198"/>
  <c r="AV198"/>
  <c r="AL199"/>
  <c r="AM199"/>
  <c r="AN199"/>
  <c r="AO199"/>
  <c r="AQ199"/>
  <c r="AR199"/>
  <c r="AU199"/>
  <c r="AV199"/>
  <c r="AL200"/>
  <c r="AM200"/>
  <c r="AN200"/>
  <c r="AO200"/>
  <c r="AQ200"/>
  <c r="AR200"/>
  <c r="AU200"/>
  <c r="AV200"/>
  <c r="AL201"/>
  <c r="AM201"/>
  <c r="AN201"/>
  <c r="AO201"/>
  <c r="AQ201"/>
  <c r="AR201"/>
  <c r="AU201"/>
  <c r="AV201"/>
  <c r="AL202"/>
  <c r="AM202"/>
  <c r="AN202"/>
  <c r="AO202"/>
  <c r="AQ202"/>
  <c r="AR202"/>
  <c r="AU202"/>
  <c r="AV202"/>
  <c r="AL203"/>
  <c r="AM203"/>
  <c r="AN203"/>
  <c r="AO203"/>
  <c r="AQ203"/>
  <c r="AR203"/>
  <c r="AU203"/>
  <c r="AV203"/>
  <c r="AL204"/>
  <c r="AM204"/>
  <c r="AN204"/>
  <c r="AO204"/>
  <c r="AQ204"/>
  <c r="AR204"/>
  <c r="AU204"/>
  <c r="AV204"/>
  <c r="AL205"/>
  <c r="AM205"/>
  <c r="AN205"/>
  <c r="AO205"/>
  <c r="AQ205"/>
  <c r="AR205"/>
  <c r="AU205"/>
  <c r="AV205"/>
  <c r="AL206"/>
  <c r="AM206"/>
  <c r="AN206"/>
  <c r="AO206"/>
  <c r="AQ206"/>
  <c r="AR206"/>
  <c r="AU206"/>
  <c r="AV206"/>
  <c r="AL207"/>
  <c r="AM207"/>
  <c r="AN207"/>
  <c r="AO207"/>
  <c r="AQ207"/>
  <c r="AR207"/>
  <c r="AU207"/>
  <c r="AV207"/>
  <c r="AV8"/>
  <c r="AU8"/>
  <c r="AY4"/>
  <c r="Z5" i="8"/>
  <c r="AR5" i="9" s="1"/>
  <c r="AX4"/>
  <c r="Y5" i="8"/>
  <c r="AQ5" i="9" s="1"/>
  <c r="AT4"/>
  <c r="AP5"/>
  <c r="AV6"/>
  <c r="AV7"/>
  <c r="AR6"/>
  <c r="AR7"/>
  <c r="AN8"/>
  <c r="AO8"/>
  <c r="AO6"/>
  <c r="AN6"/>
  <c r="U4" i="8"/>
  <c r="AL4" i="9" s="1"/>
  <c r="AW3"/>
  <c r="X9"/>
  <c r="Y9"/>
  <c r="Z9"/>
  <c r="AB9"/>
  <c r="AD9"/>
  <c r="X10"/>
  <c r="Y10"/>
  <c r="Z10"/>
  <c r="AB10"/>
  <c r="AD10"/>
  <c r="X11"/>
  <c r="Y11"/>
  <c r="Z11"/>
  <c r="AB11"/>
  <c r="AD11"/>
  <c r="X12"/>
  <c r="Y12"/>
  <c r="Z12"/>
  <c r="AB12"/>
  <c r="AD12"/>
  <c r="X13"/>
  <c r="Y13"/>
  <c r="Z13"/>
  <c r="AB13"/>
  <c r="AD13"/>
  <c r="X14"/>
  <c r="Y14"/>
  <c r="Z14"/>
  <c r="AB14"/>
  <c r="AD14"/>
  <c r="X15"/>
  <c r="Y15"/>
  <c r="Z15"/>
  <c r="AB15"/>
  <c r="AD15"/>
  <c r="X16"/>
  <c r="Y16"/>
  <c r="Z16"/>
  <c r="AB16"/>
  <c r="AD16"/>
  <c r="X17"/>
  <c r="Y17"/>
  <c r="Z17"/>
  <c r="AB17"/>
  <c r="AD17"/>
  <c r="X18"/>
  <c r="Y18"/>
  <c r="Z18"/>
  <c r="AB18"/>
  <c r="AD18"/>
  <c r="X19"/>
  <c r="Y19"/>
  <c r="Z19"/>
  <c r="AB19"/>
  <c r="AD19"/>
  <c r="X20"/>
  <c r="Y20"/>
  <c r="Z20"/>
  <c r="AB20"/>
  <c r="AD20"/>
  <c r="X21"/>
  <c r="Y21"/>
  <c r="Z21"/>
  <c r="AB21"/>
  <c r="AD21"/>
  <c r="X22"/>
  <c r="Y22"/>
  <c r="Z22"/>
  <c r="AB22"/>
  <c r="AD22"/>
  <c r="X23"/>
  <c r="Y23"/>
  <c r="Z23"/>
  <c r="AB23"/>
  <c r="AD23"/>
  <c r="X24"/>
  <c r="Y24"/>
  <c r="Z24"/>
  <c r="AB24"/>
  <c r="AD24"/>
  <c r="X25"/>
  <c r="Y25"/>
  <c r="Z25"/>
  <c r="AB25"/>
  <c r="AD25"/>
  <c r="X26"/>
  <c r="Y26"/>
  <c r="Z26"/>
  <c r="AB26"/>
  <c r="AD26"/>
  <c r="X27"/>
  <c r="Y27"/>
  <c r="Z27"/>
  <c r="AB27"/>
  <c r="AD27"/>
  <c r="X28"/>
  <c r="Y28"/>
  <c r="Z28"/>
  <c r="AB28"/>
  <c r="AD28"/>
  <c r="X29"/>
  <c r="Y29"/>
  <c r="Z29"/>
  <c r="AB29"/>
  <c r="AD29"/>
  <c r="X30"/>
  <c r="Y30"/>
  <c r="Z30"/>
  <c r="AB30"/>
  <c r="AD30"/>
  <c r="X31"/>
  <c r="Y31"/>
  <c r="Z31"/>
  <c r="AB31"/>
  <c r="AD31"/>
  <c r="X32"/>
  <c r="Y32"/>
  <c r="Z32"/>
  <c r="AB32"/>
  <c r="AD32"/>
  <c r="X33"/>
  <c r="Y33"/>
  <c r="Z33"/>
  <c r="AB33"/>
  <c r="AD33"/>
  <c r="X34"/>
  <c r="Y34"/>
  <c r="Z34"/>
  <c r="AB34"/>
  <c r="AD34"/>
  <c r="X35"/>
  <c r="Y35"/>
  <c r="Z35"/>
  <c r="AB35"/>
  <c r="AD35"/>
  <c r="X36"/>
  <c r="Y36"/>
  <c r="Z36"/>
  <c r="AB36"/>
  <c r="AD36"/>
  <c r="X37"/>
  <c r="Y37"/>
  <c r="Z37"/>
  <c r="AB37"/>
  <c r="AD37"/>
  <c r="X38"/>
  <c r="Y38"/>
  <c r="Z38"/>
  <c r="AB38"/>
  <c r="AD38"/>
  <c r="X39"/>
  <c r="Y39"/>
  <c r="Z39"/>
  <c r="AB39"/>
  <c r="AD39"/>
  <c r="X40"/>
  <c r="Y40"/>
  <c r="Z40"/>
  <c r="AB40"/>
  <c r="AD40"/>
  <c r="X41"/>
  <c r="Y41"/>
  <c r="Z41"/>
  <c r="AB41"/>
  <c r="AD41"/>
  <c r="X42"/>
  <c r="Y42"/>
  <c r="Z42"/>
  <c r="AB42"/>
  <c r="AD42"/>
  <c r="X43"/>
  <c r="Y43"/>
  <c r="Z43"/>
  <c r="AB43"/>
  <c r="AD43"/>
  <c r="X44"/>
  <c r="Y44"/>
  <c r="Z44"/>
  <c r="AB44"/>
  <c r="AD44"/>
  <c r="X45"/>
  <c r="Y45"/>
  <c r="Z45"/>
  <c r="AB45"/>
  <c r="AD45"/>
  <c r="X46"/>
  <c r="Y46"/>
  <c r="Z46"/>
  <c r="AB46"/>
  <c r="AD46"/>
  <c r="X47"/>
  <c r="Y47"/>
  <c r="Z47"/>
  <c r="AB47"/>
  <c r="AD47"/>
  <c r="X48"/>
  <c r="Y48"/>
  <c r="Z48"/>
  <c r="AB48"/>
  <c r="AD48"/>
  <c r="X49"/>
  <c r="Y49"/>
  <c r="Z49"/>
  <c r="AB49"/>
  <c r="AD49"/>
  <c r="X50"/>
  <c r="Y50"/>
  <c r="Z50"/>
  <c r="AB50"/>
  <c r="AD50"/>
  <c r="X51"/>
  <c r="Y51"/>
  <c r="Z51"/>
  <c r="AB51"/>
  <c r="AD51"/>
  <c r="X52"/>
  <c r="Y52"/>
  <c r="Z52"/>
  <c r="AB52"/>
  <c r="AD52"/>
  <c r="X53"/>
  <c r="Y53"/>
  <c r="Z53"/>
  <c r="AB53"/>
  <c r="AD53"/>
  <c r="X54"/>
  <c r="Y54"/>
  <c r="Z54"/>
  <c r="AB54"/>
  <c r="AD54"/>
  <c r="X55"/>
  <c r="Y55"/>
  <c r="Z55"/>
  <c r="AB55"/>
  <c r="AD55"/>
  <c r="X56"/>
  <c r="Y56"/>
  <c r="Z56"/>
  <c r="AB56"/>
  <c r="AD56"/>
  <c r="X57"/>
  <c r="Y57"/>
  <c r="Z57"/>
  <c r="AB57"/>
  <c r="AD57"/>
  <c r="X58"/>
  <c r="Y58"/>
  <c r="Z58"/>
  <c r="AB58"/>
  <c r="AD58"/>
  <c r="X59"/>
  <c r="Y59"/>
  <c r="Z59"/>
  <c r="AB59"/>
  <c r="AD59"/>
  <c r="X60"/>
  <c r="Y60"/>
  <c r="Z60"/>
  <c r="AB60"/>
  <c r="AD60"/>
  <c r="X61"/>
  <c r="Y61"/>
  <c r="Z61"/>
  <c r="AB61"/>
  <c r="AD61"/>
  <c r="X62"/>
  <c r="Y62"/>
  <c r="Z62"/>
  <c r="AB62"/>
  <c r="AD62"/>
  <c r="X63"/>
  <c r="Y63"/>
  <c r="Z63"/>
  <c r="AB63"/>
  <c r="AD63"/>
  <c r="X64"/>
  <c r="Y64"/>
  <c r="Z64"/>
  <c r="AB64"/>
  <c r="AD64"/>
  <c r="X65"/>
  <c r="Y65"/>
  <c r="Z65"/>
  <c r="AB65"/>
  <c r="AD65"/>
  <c r="X66"/>
  <c r="Y66"/>
  <c r="Z66"/>
  <c r="AB66"/>
  <c r="AD66"/>
  <c r="X67"/>
  <c r="Y67"/>
  <c r="Z67"/>
  <c r="AB67"/>
  <c r="AD67"/>
  <c r="X68"/>
  <c r="Y68"/>
  <c r="Z68"/>
  <c r="AB68"/>
  <c r="AD68"/>
  <c r="X69"/>
  <c r="Y69"/>
  <c r="Z69"/>
  <c r="AB69"/>
  <c r="AD69"/>
  <c r="X70"/>
  <c r="Y70"/>
  <c r="Z70"/>
  <c r="AB70"/>
  <c r="AD70"/>
  <c r="X71"/>
  <c r="Y71"/>
  <c r="Z71"/>
  <c r="AB71"/>
  <c r="AD71"/>
  <c r="X72"/>
  <c r="Y72"/>
  <c r="Z72"/>
  <c r="AB72"/>
  <c r="AD72"/>
  <c r="X73"/>
  <c r="Y73"/>
  <c r="Z73"/>
  <c r="AB73"/>
  <c r="AD73"/>
  <c r="X74"/>
  <c r="Y74"/>
  <c r="Z74"/>
  <c r="AB74"/>
  <c r="AD74"/>
  <c r="X75"/>
  <c r="Y75"/>
  <c r="Z75"/>
  <c r="AB75"/>
  <c r="AD75"/>
  <c r="X76"/>
  <c r="Y76"/>
  <c r="Z76"/>
  <c r="AB76"/>
  <c r="AD76"/>
  <c r="X77"/>
  <c r="Y77"/>
  <c r="Z77"/>
  <c r="AB77"/>
  <c r="AD77"/>
  <c r="X78"/>
  <c r="Y78"/>
  <c r="Z78"/>
  <c r="AB78"/>
  <c r="AD78"/>
  <c r="X79"/>
  <c r="Y79"/>
  <c r="Z79"/>
  <c r="AB79"/>
  <c r="AD79"/>
  <c r="X80"/>
  <c r="Y80"/>
  <c r="Z80"/>
  <c r="AB80"/>
  <c r="AD80"/>
  <c r="X81"/>
  <c r="Y81"/>
  <c r="Z81"/>
  <c r="AB81"/>
  <c r="AD81"/>
  <c r="X82"/>
  <c r="Y82"/>
  <c r="Z82"/>
  <c r="AB82"/>
  <c r="AD82"/>
  <c r="X83"/>
  <c r="Y83"/>
  <c r="Z83"/>
  <c r="AB83"/>
  <c r="AD83"/>
  <c r="X84"/>
  <c r="Y84"/>
  <c r="Z84"/>
  <c r="AB84"/>
  <c r="AD84"/>
  <c r="X85"/>
  <c r="Y85"/>
  <c r="Z85"/>
  <c r="AB85"/>
  <c r="AD85"/>
  <c r="X86"/>
  <c r="Y86"/>
  <c r="Z86"/>
  <c r="AB86"/>
  <c r="AD86"/>
  <c r="X87"/>
  <c r="Y87"/>
  <c r="Z87"/>
  <c r="AB87"/>
  <c r="AD87"/>
  <c r="X88"/>
  <c r="Y88"/>
  <c r="Z88"/>
  <c r="AB88"/>
  <c r="AD88"/>
  <c r="X89"/>
  <c r="Y89"/>
  <c r="Z89"/>
  <c r="AB89"/>
  <c r="AD89"/>
  <c r="X90"/>
  <c r="Y90"/>
  <c r="Z90"/>
  <c r="AB90"/>
  <c r="AD90"/>
  <c r="X91"/>
  <c r="Y91"/>
  <c r="Z91"/>
  <c r="AB91"/>
  <c r="AD91"/>
  <c r="X92"/>
  <c r="Y92"/>
  <c r="Z92"/>
  <c r="AB92"/>
  <c r="AD92"/>
  <c r="X93"/>
  <c r="Y93"/>
  <c r="Z93"/>
  <c r="AB93"/>
  <c r="AD93"/>
  <c r="X94"/>
  <c r="Y94"/>
  <c r="Z94"/>
  <c r="AB94"/>
  <c r="AD94"/>
  <c r="X95"/>
  <c r="Y95"/>
  <c r="Z95"/>
  <c r="AB95"/>
  <c r="AD95"/>
  <c r="X96"/>
  <c r="Y96"/>
  <c r="Z96"/>
  <c r="AB96"/>
  <c r="AD96"/>
  <c r="X97"/>
  <c r="Y97"/>
  <c r="Z97"/>
  <c r="AB97"/>
  <c r="AD97"/>
  <c r="X98"/>
  <c r="Y98"/>
  <c r="Z98"/>
  <c r="AB98"/>
  <c r="AD98"/>
  <c r="X99"/>
  <c r="Y99"/>
  <c r="Z99"/>
  <c r="AB99"/>
  <c r="AD99"/>
  <c r="X100"/>
  <c r="Y100"/>
  <c r="Z100"/>
  <c r="AB100"/>
  <c r="AD100"/>
  <c r="X101"/>
  <c r="Y101"/>
  <c r="Z101"/>
  <c r="AB101"/>
  <c r="AD101"/>
  <c r="X102"/>
  <c r="Y102"/>
  <c r="Z102"/>
  <c r="AB102"/>
  <c r="AD102"/>
  <c r="X103"/>
  <c r="Y103"/>
  <c r="Z103"/>
  <c r="AB103"/>
  <c r="AD103"/>
  <c r="X104"/>
  <c r="Y104"/>
  <c r="Z104"/>
  <c r="AB104"/>
  <c r="AD104"/>
  <c r="X105"/>
  <c r="Y105"/>
  <c r="Z105"/>
  <c r="AB105"/>
  <c r="AD105"/>
  <c r="X106"/>
  <c r="Y106"/>
  <c r="Z106"/>
  <c r="AB106"/>
  <c r="AD106"/>
  <c r="X107"/>
  <c r="Y107"/>
  <c r="Z107"/>
  <c r="AB107"/>
  <c r="AD107"/>
  <c r="X108"/>
  <c r="Y108"/>
  <c r="Z108"/>
  <c r="AB108"/>
  <c r="AD108"/>
  <c r="X109"/>
  <c r="Y109"/>
  <c r="Z109"/>
  <c r="AB109"/>
  <c r="AD109"/>
  <c r="X110"/>
  <c r="Y110"/>
  <c r="Z110"/>
  <c r="AB110"/>
  <c r="AD110"/>
  <c r="X111"/>
  <c r="Y111"/>
  <c r="Z111"/>
  <c r="AB111"/>
  <c r="AD111"/>
  <c r="X112"/>
  <c r="Y112"/>
  <c r="Z112"/>
  <c r="AB112"/>
  <c r="AD112"/>
  <c r="X113"/>
  <c r="Y113"/>
  <c r="Z113"/>
  <c r="AB113"/>
  <c r="AD113"/>
  <c r="X114"/>
  <c r="Y114"/>
  <c r="Z114"/>
  <c r="AB114"/>
  <c r="AD114"/>
  <c r="X115"/>
  <c r="Y115"/>
  <c r="Z115"/>
  <c r="AB115"/>
  <c r="AD115"/>
  <c r="X116"/>
  <c r="Y116"/>
  <c r="Z116"/>
  <c r="AB116"/>
  <c r="AD116"/>
  <c r="X117"/>
  <c r="Y117"/>
  <c r="Z117"/>
  <c r="AB117"/>
  <c r="AD117"/>
  <c r="X118"/>
  <c r="Y118"/>
  <c r="Z118"/>
  <c r="AB118"/>
  <c r="AD118"/>
  <c r="X119"/>
  <c r="Y119"/>
  <c r="Z119"/>
  <c r="AB119"/>
  <c r="AD119"/>
  <c r="X120"/>
  <c r="Y120"/>
  <c r="Z120"/>
  <c r="AB120"/>
  <c r="AD120"/>
  <c r="X121"/>
  <c r="Y121"/>
  <c r="Z121"/>
  <c r="AB121"/>
  <c r="AD121"/>
  <c r="X122"/>
  <c r="Y122"/>
  <c r="Z122"/>
  <c r="AB122"/>
  <c r="AD122"/>
  <c r="X123"/>
  <c r="Y123"/>
  <c r="Z123"/>
  <c r="AB123"/>
  <c r="AD123"/>
  <c r="X124"/>
  <c r="Y124"/>
  <c r="Z124"/>
  <c r="AB124"/>
  <c r="AD124"/>
  <c r="X125"/>
  <c r="Y125"/>
  <c r="Z125"/>
  <c r="AB125"/>
  <c r="AD125"/>
  <c r="X126"/>
  <c r="Y126"/>
  <c r="Z126"/>
  <c r="AB126"/>
  <c r="AD126"/>
  <c r="X127"/>
  <c r="Y127"/>
  <c r="Z127"/>
  <c r="AB127"/>
  <c r="AD127"/>
  <c r="X128"/>
  <c r="Y128"/>
  <c r="Z128"/>
  <c r="AB128"/>
  <c r="AD128"/>
  <c r="X129"/>
  <c r="Y129"/>
  <c r="Z129"/>
  <c r="AB129"/>
  <c r="AD129"/>
  <c r="X130"/>
  <c r="Y130"/>
  <c r="Z130"/>
  <c r="AB130"/>
  <c r="AD130"/>
  <c r="X131"/>
  <c r="Y131"/>
  <c r="Z131"/>
  <c r="AB131"/>
  <c r="AD131"/>
  <c r="X132"/>
  <c r="Y132"/>
  <c r="Z132"/>
  <c r="AB132"/>
  <c r="AD132"/>
  <c r="X133"/>
  <c r="Y133"/>
  <c r="Z133"/>
  <c r="AB133"/>
  <c r="AD133"/>
  <c r="X134"/>
  <c r="Y134"/>
  <c r="Z134"/>
  <c r="AB134"/>
  <c r="AD134"/>
  <c r="X135"/>
  <c r="Y135"/>
  <c r="Z135"/>
  <c r="AB135"/>
  <c r="AD135"/>
  <c r="X136"/>
  <c r="Y136"/>
  <c r="Z136"/>
  <c r="AB136"/>
  <c r="AD136"/>
  <c r="X137"/>
  <c r="Y137"/>
  <c r="Z137"/>
  <c r="AB137"/>
  <c r="AD137"/>
  <c r="X138"/>
  <c r="Y138"/>
  <c r="Z138"/>
  <c r="AB138"/>
  <c r="AD138"/>
  <c r="X139"/>
  <c r="Y139"/>
  <c r="Z139"/>
  <c r="AB139"/>
  <c r="AD139"/>
  <c r="X140"/>
  <c r="Y140"/>
  <c r="Z140"/>
  <c r="AB140"/>
  <c r="AD140"/>
  <c r="X141"/>
  <c r="Y141"/>
  <c r="Z141"/>
  <c r="AB141"/>
  <c r="AD141"/>
  <c r="X142"/>
  <c r="Y142"/>
  <c r="Z142"/>
  <c r="AB142"/>
  <c r="AD142"/>
  <c r="X143"/>
  <c r="Y143"/>
  <c r="Z143"/>
  <c r="AB143"/>
  <c r="AD143"/>
  <c r="X144"/>
  <c r="Y144"/>
  <c r="Z144"/>
  <c r="AB144"/>
  <c r="AD144"/>
  <c r="X145"/>
  <c r="Y145"/>
  <c r="Z145"/>
  <c r="AB145"/>
  <c r="AD145"/>
  <c r="X146"/>
  <c r="Y146"/>
  <c r="Z146"/>
  <c r="AB146"/>
  <c r="AD146"/>
  <c r="X147"/>
  <c r="Y147"/>
  <c r="Z147"/>
  <c r="AB147"/>
  <c r="AD147"/>
  <c r="X148"/>
  <c r="Y148"/>
  <c r="Z148"/>
  <c r="AB148"/>
  <c r="AD148"/>
  <c r="X149"/>
  <c r="Y149"/>
  <c r="Z149"/>
  <c r="AB149"/>
  <c r="AD149"/>
  <c r="X150"/>
  <c r="Y150"/>
  <c r="Z150"/>
  <c r="AB150"/>
  <c r="AD150"/>
  <c r="X151"/>
  <c r="Y151"/>
  <c r="Z151"/>
  <c r="AB151"/>
  <c r="AD151"/>
  <c r="X152"/>
  <c r="Y152"/>
  <c r="Z152"/>
  <c r="AB152"/>
  <c r="AD152"/>
  <c r="X153"/>
  <c r="Y153"/>
  <c r="Z153"/>
  <c r="AB153"/>
  <c r="AD153"/>
  <c r="X154"/>
  <c r="Y154"/>
  <c r="Z154"/>
  <c r="AB154"/>
  <c r="AD154"/>
  <c r="X155"/>
  <c r="Y155"/>
  <c r="Z155"/>
  <c r="AB155"/>
  <c r="AD155"/>
  <c r="X156"/>
  <c r="Y156"/>
  <c r="Z156"/>
  <c r="AB156"/>
  <c r="AD156"/>
  <c r="X157"/>
  <c r="Y157"/>
  <c r="Z157"/>
  <c r="AB157"/>
  <c r="AD157"/>
  <c r="X158"/>
  <c r="Y158"/>
  <c r="Z158"/>
  <c r="AB158"/>
  <c r="AD158"/>
  <c r="X159"/>
  <c r="Y159"/>
  <c r="Z159"/>
  <c r="AB159"/>
  <c r="AD159"/>
  <c r="X160"/>
  <c r="Y160"/>
  <c r="Z160"/>
  <c r="AB160"/>
  <c r="AD160"/>
  <c r="X161"/>
  <c r="Y161"/>
  <c r="Z161"/>
  <c r="AB161"/>
  <c r="AD161"/>
  <c r="X162"/>
  <c r="Y162"/>
  <c r="Z162"/>
  <c r="AB162"/>
  <c r="AD162"/>
  <c r="X163"/>
  <c r="Y163"/>
  <c r="Z163"/>
  <c r="AB163"/>
  <c r="AD163"/>
  <c r="X164"/>
  <c r="Y164"/>
  <c r="Z164"/>
  <c r="AB164"/>
  <c r="AD164"/>
  <c r="X165"/>
  <c r="Y165"/>
  <c r="Z165"/>
  <c r="AB165"/>
  <c r="AD165"/>
  <c r="X166"/>
  <c r="Y166"/>
  <c r="Z166"/>
  <c r="AB166"/>
  <c r="AD166"/>
  <c r="X167"/>
  <c r="Y167"/>
  <c r="Z167"/>
  <c r="AB167"/>
  <c r="AD167"/>
  <c r="X168"/>
  <c r="Y168"/>
  <c r="Z168"/>
  <c r="AB168"/>
  <c r="AD168"/>
  <c r="X169"/>
  <c r="Y169"/>
  <c r="Z169"/>
  <c r="AB169"/>
  <c r="AD169"/>
  <c r="X170"/>
  <c r="Y170"/>
  <c r="Z170"/>
  <c r="AB170"/>
  <c r="AD170"/>
  <c r="X171"/>
  <c r="Y171"/>
  <c r="Z171"/>
  <c r="AB171"/>
  <c r="AD171"/>
  <c r="X172"/>
  <c r="Y172"/>
  <c r="Z172"/>
  <c r="AB172"/>
  <c r="AD172"/>
  <c r="X173"/>
  <c r="Y173"/>
  <c r="Z173"/>
  <c r="AB173"/>
  <c r="AD173"/>
  <c r="X174"/>
  <c r="Y174"/>
  <c r="Z174"/>
  <c r="AB174"/>
  <c r="AD174"/>
  <c r="X175"/>
  <c r="Y175"/>
  <c r="Z175"/>
  <c r="AB175"/>
  <c r="AD175"/>
  <c r="X176"/>
  <c r="Y176"/>
  <c r="Z176"/>
  <c r="AB176"/>
  <c r="AD176"/>
  <c r="X177"/>
  <c r="Y177"/>
  <c r="Z177"/>
  <c r="AB177"/>
  <c r="AD177"/>
  <c r="X178"/>
  <c r="Y178"/>
  <c r="Z178"/>
  <c r="AB178"/>
  <c r="AD178"/>
  <c r="X179"/>
  <c r="Y179"/>
  <c r="Z179"/>
  <c r="AB179"/>
  <c r="AD179"/>
  <c r="X180"/>
  <c r="Y180"/>
  <c r="Z180"/>
  <c r="AB180"/>
  <c r="AD180"/>
  <c r="X181"/>
  <c r="Y181"/>
  <c r="Z181"/>
  <c r="AB181"/>
  <c r="AD181"/>
  <c r="X182"/>
  <c r="Y182"/>
  <c r="Z182"/>
  <c r="AB182"/>
  <c r="AD182"/>
  <c r="X183"/>
  <c r="Y183"/>
  <c r="Z183"/>
  <c r="AB183"/>
  <c r="AD183"/>
  <c r="X184"/>
  <c r="Y184"/>
  <c r="Z184"/>
  <c r="AB184"/>
  <c r="AD184"/>
  <c r="X185"/>
  <c r="Y185"/>
  <c r="Z185"/>
  <c r="AB185"/>
  <c r="AD185"/>
  <c r="X186"/>
  <c r="Y186"/>
  <c r="Z186"/>
  <c r="AB186"/>
  <c r="AD186"/>
  <c r="X187"/>
  <c r="Y187"/>
  <c r="Z187"/>
  <c r="AB187"/>
  <c r="AD187"/>
  <c r="X188"/>
  <c r="Y188"/>
  <c r="Z188"/>
  <c r="AB188"/>
  <c r="AD188"/>
  <c r="X189"/>
  <c r="Y189"/>
  <c r="Z189"/>
  <c r="AB189"/>
  <c r="AD189"/>
  <c r="X190"/>
  <c r="Y190"/>
  <c r="Z190"/>
  <c r="AB190"/>
  <c r="AD190"/>
  <c r="X191"/>
  <c r="Y191"/>
  <c r="Z191"/>
  <c r="AB191"/>
  <c r="AD191"/>
  <c r="X192"/>
  <c r="Y192"/>
  <c r="Z192"/>
  <c r="AB192"/>
  <c r="AD192"/>
  <c r="X193"/>
  <c r="Y193"/>
  <c r="Z193"/>
  <c r="AB193"/>
  <c r="AD193"/>
  <c r="X194"/>
  <c r="Y194"/>
  <c r="Z194"/>
  <c r="AB194"/>
  <c r="AD194"/>
  <c r="X195"/>
  <c r="Y195"/>
  <c r="Z195"/>
  <c r="AB195"/>
  <c r="AD195"/>
  <c r="X196"/>
  <c r="Y196"/>
  <c r="Z196"/>
  <c r="AB196"/>
  <c r="AD196"/>
  <c r="X197"/>
  <c r="Y197"/>
  <c r="Z197"/>
  <c r="AB197"/>
  <c r="AD197"/>
  <c r="X198"/>
  <c r="Y198"/>
  <c r="Z198"/>
  <c r="AB198"/>
  <c r="AD198"/>
  <c r="X199"/>
  <c r="Y199"/>
  <c r="Z199"/>
  <c r="AB199"/>
  <c r="AD199"/>
  <c r="X200"/>
  <c r="Y200"/>
  <c r="Z200"/>
  <c r="AB200"/>
  <c r="AD200"/>
  <c r="X201"/>
  <c r="Y201"/>
  <c r="Z201"/>
  <c r="AB201"/>
  <c r="AD201"/>
  <c r="X202"/>
  <c r="Y202"/>
  <c r="Z202"/>
  <c r="AB202"/>
  <c r="AD202"/>
  <c r="X203"/>
  <c r="Y203"/>
  <c r="Z203"/>
  <c r="AB203"/>
  <c r="AD203"/>
  <c r="X204"/>
  <c r="Y204"/>
  <c r="Z204"/>
  <c r="AB204"/>
  <c r="AD204"/>
  <c r="X205"/>
  <c r="Y205"/>
  <c r="Z205"/>
  <c r="AB205"/>
  <c r="AD205"/>
  <c r="X206"/>
  <c r="Y206"/>
  <c r="Z206"/>
  <c r="AB206"/>
  <c r="AD206"/>
  <c r="X207"/>
  <c r="Y207"/>
  <c r="Z207"/>
  <c r="AB207"/>
  <c r="AD207"/>
  <c r="Y8"/>
  <c r="Z8"/>
  <c r="Z6"/>
  <c r="Y6"/>
  <c r="AA5"/>
  <c r="AE4"/>
  <c r="AC4"/>
  <c r="M5"/>
  <c r="O4"/>
  <c r="Q4"/>
  <c r="FE173" l="1"/>
  <c r="FS5"/>
  <c r="AA4" i="15"/>
  <c r="AV209" i="9"/>
  <c r="DU204"/>
  <c r="DZ195"/>
  <c r="DU195"/>
  <c r="DU194"/>
  <c r="DZ193"/>
  <c r="DU193"/>
  <c r="DZ188"/>
  <c r="DU188"/>
  <c r="DU179"/>
  <c r="DZ178"/>
  <c r="DU178"/>
  <c r="DZ177"/>
  <c r="DU177"/>
  <c r="DU172"/>
  <c r="DZ163"/>
  <c r="DU163"/>
  <c r="DU162"/>
  <c r="DZ161"/>
  <c r="DU161"/>
  <c r="DZ156"/>
  <c r="DU156"/>
  <c r="DZ149"/>
  <c r="DU149"/>
  <c r="DU147"/>
  <c r="DU146"/>
  <c r="DU144"/>
  <c r="DZ133"/>
  <c r="DU133"/>
  <c r="DU131"/>
  <c r="DU130"/>
  <c r="DZ128"/>
  <c r="DU128"/>
  <c r="DU120"/>
  <c r="DZ113"/>
  <c r="DU113"/>
  <c r="DZ111"/>
  <c r="DU111"/>
  <c r="DU110"/>
  <c r="DU104"/>
  <c r="DZ97"/>
  <c r="DU97"/>
  <c r="DZ95"/>
  <c r="DU95"/>
  <c r="DU94"/>
  <c r="EF205"/>
  <c r="EF201"/>
  <c r="EF197"/>
  <c r="EF193"/>
  <c r="EF189"/>
  <c r="EF185"/>
  <c r="EF181"/>
  <c r="EF177"/>
  <c r="EF173"/>
  <c r="EF169"/>
  <c r="EF165"/>
  <c r="EF161"/>
  <c r="EF157"/>
  <c r="EF153"/>
  <c r="EF149"/>
  <c r="EF145"/>
  <c r="EF141"/>
  <c r="EF137"/>
  <c r="EF133"/>
  <c r="EF129"/>
  <c r="EF125"/>
  <c r="EF121"/>
  <c r="EF117"/>
  <c r="EF113"/>
  <c r="EF109"/>
  <c r="EF105"/>
  <c r="EF101"/>
  <c r="DU199"/>
  <c r="DZ198"/>
  <c r="DU198"/>
  <c r="DZ197"/>
  <c r="DU197"/>
  <c r="DU192"/>
  <c r="DZ183"/>
  <c r="DU183"/>
  <c r="DU182"/>
  <c r="DZ181"/>
  <c r="DU181"/>
  <c r="DZ176"/>
  <c r="DU176"/>
  <c r="DU167"/>
  <c r="DZ166"/>
  <c r="DU166"/>
  <c r="DZ165"/>
  <c r="DU165"/>
  <c r="DU160"/>
  <c r="DU155"/>
  <c r="DZ153"/>
  <c r="DU153"/>
  <c r="DU151"/>
  <c r="DZ150"/>
  <c r="DU150"/>
  <c r="DZ148"/>
  <c r="DU148"/>
  <c r="DZ137"/>
  <c r="DU137"/>
  <c r="DU135"/>
  <c r="DZ134"/>
  <c r="DU134"/>
  <c r="DU132"/>
  <c r="DZ124"/>
  <c r="DU124"/>
  <c r="DZ117"/>
  <c r="DU117"/>
  <c r="DU115"/>
  <c r="DZ114"/>
  <c r="DU114"/>
  <c r="DZ108"/>
  <c r="DU108"/>
  <c r="DZ101"/>
  <c r="DU101"/>
  <c r="DU99"/>
  <c r="DZ98"/>
  <c r="DU98"/>
  <c r="DZ92"/>
  <c r="DU92"/>
  <c r="DZ89"/>
  <c r="DU89"/>
  <c r="DZ77"/>
  <c r="DU77"/>
  <c r="DU74"/>
  <c r="DU70"/>
  <c r="AY114"/>
  <c r="AY110"/>
  <c r="AY108"/>
  <c r="AY107"/>
  <c r="AY106"/>
  <c r="AY86"/>
  <c r="AY84"/>
  <c r="AY83"/>
  <c r="AY82"/>
  <c r="AY78"/>
  <c r="AY77"/>
  <c r="AY76"/>
  <c r="AY75"/>
  <c r="AY72"/>
  <c r="DU203"/>
  <c r="DZ202"/>
  <c r="DU202"/>
  <c r="DZ201"/>
  <c r="DU201"/>
  <c r="DU196"/>
  <c r="DZ187"/>
  <c r="DU187"/>
  <c r="DU186"/>
  <c r="DZ185"/>
  <c r="DU185"/>
  <c r="DZ180"/>
  <c r="DU180"/>
  <c r="DU171"/>
  <c r="DZ170"/>
  <c r="DU170"/>
  <c r="DZ169"/>
  <c r="DU169"/>
  <c r="DU164"/>
  <c r="DZ154"/>
  <c r="DU154"/>
  <c r="DZ152"/>
  <c r="DU152"/>
  <c r="DZ141"/>
  <c r="DU141"/>
  <c r="DU139"/>
  <c r="DZ138"/>
  <c r="DU138"/>
  <c r="DU136"/>
  <c r="DZ121"/>
  <c r="DU121"/>
  <c r="DZ119"/>
  <c r="DU119"/>
  <c r="DZ118"/>
  <c r="DU118"/>
  <c r="DU112"/>
  <c r="DZ105"/>
  <c r="DU105"/>
  <c r="DZ103"/>
  <c r="DU103"/>
  <c r="DZ102"/>
  <c r="DU102"/>
  <c r="DU96"/>
  <c r="DZ87"/>
  <c r="DU87"/>
  <c r="DU84"/>
  <c r="DU75"/>
  <c r="DU73"/>
  <c r="DU64"/>
  <c r="DS8"/>
  <c r="DX8" s="1"/>
  <c r="FB8"/>
  <c r="DU207"/>
  <c r="DZ206"/>
  <c r="DU206"/>
  <c r="DZ205"/>
  <c r="DU205"/>
  <c r="DU200"/>
  <c r="DZ191"/>
  <c r="DU191"/>
  <c r="DU190"/>
  <c r="DZ189"/>
  <c r="DU189"/>
  <c r="DZ184"/>
  <c r="DU184"/>
  <c r="DU175"/>
  <c r="DZ174"/>
  <c r="DU174"/>
  <c r="DZ173"/>
  <c r="DU173"/>
  <c r="DU168"/>
  <c r="DZ159"/>
  <c r="DU159"/>
  <c r="DU158"/>
  <c r="DZ157"/>
  <c r="DU157"/>
  <c r="DZ145"/>
  <c r="DU145"/>
  <c r="DU143"/>
  <c r="DZ142"/>
  <c r="DU142"/>
  <c r="DZ140"/>
  <c r="DU140"/>
  <c r="DZ129"/>
  <c r="DU129"/>
  <c r="DZ127"/>
  <c r="DU127"/>
  <c r="DZ126"/>
  <c r="DU126"/>
  <c r="DZ125"/>
  <c r="DU125"/>
  <c r="DZ123"/>
  <c r="DU123"/>
  <c r="DZ122"/>
  <c r="DU122"/>
  <c r="DU116"/>
  <c r="DZ109"/>
  <c r="DU109"/>
  <c r="DZ107"/>
  <c r="DU107"/>
  <c r="DZ106"/>
  <c r="DU106"/>
  <c r="DU100"/>
  <c r="DZ93"/>
  <c r="DU93"/>
  <c r="DZ91"/>
  <c r="DU91"/>
  <c r="DZ90"/>
  <c r="DU90"/>
  <c r="DU86"/>
  <c r="DU80"/>
  <c r="DU71"/>
  <c r="DU57"/>
  <c r="DZ55"/>
  <c r="DU55"/>
  <c r="DU54"/>
  <c r="DU48"/>
  <c r="DU41"/>
  <c r="DZ39"/>
  <c r="DU39"/>
  <c r="DU38"/>
  <c r="DU32"/>
  <c r="DU25"/>
  <c r="DZ23"/>
  <c r="DU23"/>
  <c r="DU22"/>
  <c r="DU16"/>
  <c r="DZ16"/>
  <c r="DU68"/>
  <c r="DZ61"/>
  <c r="DU61"/>
  <c r="DZ59"/>
  <c r="DU59"/>
  <c r="DU58"/>
  <c r="DU52"/>
  <c r="DZ45"/>
  <c r="DU45"/>
  <c r="DZ43"/>
  <c r="DU43"/>
  <c r="DU42"/>
  <c r="DU36"/>
  <c r="DZ29"/>
  <c r="DU29"/>
  <c r="DZ27"/>
  <c r="DU27"/>
  <c r="DU26"/>
  <c r="DU20"/>
  <c r="DU13"/>
  <c r="DU11"/>
  <c r="DU10"/>
  <c r="DU88"/>
  <c r="DZ81"/>
  <c r="DU81"/>
  <c r="DZ79"/>
  <c r="DU79"/>
  <c r="DZ78"/>
  <c r="DU78"/>
  <c r="DU72"/>
  <c r="DZ65"/>
  <c r="DU65"/>
  <c r="DZ63"/>
  <c r="DU63"/>
  <c r="DZ62"/>
  <c r="DU62"/>
  <c r="DU56"/>
  <c r="DZ49"/>
  <c r="DU49"/>
  <c r="DZ47"/>
  <c r="DU47"/>
  <c r="DZ46"/>
  <c r="DU46"/>
  <c r="DU40"/>
  <c r="DZ33"/>
  <c r="DU33"/>
  <c r="DZ31"/>
  <c r="DU31"/>
  <c r="DZ30"/>
  <c r="DU30"/>
  <c r="DU24"/>
  <c r="DU17"/>
  <c r="DZ17"/>
  <c r="DU15"/>
  <c r="DZ15"/>
  <c r="DU14"/>
  <c r="DZ14"/>
  <c r="DZ85"/>
  <c r="DU85"/>
  <c r="DZ83"/>
  <c r="DU83"/>
  <c r="DZ82"/>
  <c r="DU82"/>
  <c r="DU76"/>
  <c r="DZ69"/>
  <c r="DU69"/>
  <c r="DZ67"/>
  <c r="DU67"/>
  <c r="DZ66"/>
  <c r="DU66"/>
  <c r="DU60"/>
  <c r="DZ53"/>
  <c r="DU53"/>
  <c r="DZ51"/>
  <c r="DU51"/>
  <c r="DZ50"/>
  <c r="DU50"/>
  <c r="DU44"/>
  <c r="DZ37"/>
  <c r="DU37"/>
  <c r="DZ35"/>
  <c r="DU35"/>
  <c r="DZ34"/>
  <c r="DU34"/>
  <c r="DU28"/>
  <c r="DZ21"/>
  <c r="DU21"/>
  <c r="DZ19"/>
  <c r="DU19"/>
  <c r="DU18"/>
  <c r="DZ18"/>
  <c r="DU12"/>
  <c r="FB126"/>
  <c r="FE126"/>
  <c r="FB122"/>
  <c r="FE122"/>
  <c r="FB118"/>
  <c r="FE118"/>
  <c r="FB114"/>
  <c r="FE114"/>
  <c r="FB127"/>
  <c r="FE127"/>
  <c r="FB123"/>
  <c r="FE123"/>
  <c r="FB119"/>
  <c r="FE119"/>
  <c r="FB115"/>
  <c r="FE115"/>
  <c r="FE111"/>
  <c r="FB111"/>
  <c r="FE107"/>
  <c r="FB107"/>
  <c r="FE207"/>
  <c r="FE206"/>
  <c r="FE205"/>
  <c r="FE204"/>
  <c r="FE203"/>
  <c r="FE202"/>
  <c r="FE201"/>
  <c r="FE200"/>
  <c r="FE193"/>
  <c r="FE192"/>
  <c r="FE191"/>
  <c r="FE190"/>
  <c r="FE189"/>
  <c r="FE188"/>
  <c r="FE186"/>
  <c r="FE185"/>
  <c r="FE184"/>
  <c r="FE183"/>
  <c r="FE181"/>
  <c r="FE180"/>
  <c r="FE179"/>
  <c r="FE178"/>
  <c r="FE169"/>
  <c r="FE165"/>
  <c r="FE151"/>
  <c r="FE150"/>
  <c r="FE149"/>
  <c r="FE147"/>
  <c r="FE145"/>
  <c r="FE143"/>
  <c r="FE141"/>
  <c r="FE139"/>
  <c r="FE137"/>
  <c r="FE135"/>
  <c r="FE133"/>
  <c r="FE131"/>
  <c r="FE129"/>
  <c r="FB124"/>
  <c r="FE124"/>
  <c r="FB120"/>
  <c r="FE120"/>
  <c r="FB116"/>
  <c r="FE116"/>
  <c r="FB148"/>
  <c r="FB146"/>
  <c r="FB144"/>
  <c r="FB142"/>
  <c r="FB140"/>
  <c r="FB138"/>
  <c r="FB136"/>
  <c r="FB134"/>
  <c r="FB132"/>
  <c r="FB130"/>
  <c r="FB100"/>
  <c r="FB98"/>
  <c r="FB96"/>
  <c r="FB94"/>
  <c r="FB125"/>
  <c r="FE125"/>
  <c r="FB121"/>
  <c r="FE121"/>
  <c r="FB117"/>
  <c r="FE117"/>
  <c r="FB113"/>
  <c r="FE113"/>
  <c r="FE109"/>
  <c r="FB109"/>
  <c r="FE105"/>
  <c r="FB105"/>
  <c r="FE101"/>
  <c r="FB101"/>
  <c r="FE148"/>
  <c r="FE146"/>
  <c r="FE144"/>
  <c r="FE142"/>
  <c r="FE140"/>
  <c r="FE138"/>
  <c r="FE136"/>
  <c r="FE134"/>
  <c r="FE132"/>
  <c r="FE130"/>
  <c r="FE128"/>
  <c r="FE112"/>
  <c r="FE110"/>
  <c r="FE108"/>
  <c r="FE106"/>
  <c r="FE104"/>
  <c r="FE102"/>
  <c r="FE100"/>
  <c r="FE59"/>
  <c r="FE57"/>
  <c r="FE55"/>
  <c r="FE53"/>
  <c r="FE51"/>
  <c r="FE47"/>
  <c r="FE46"/>
  <c r="FE42"/>
  <c r="FE41"/>
  <c r="FE39"/>
  <c r="FE38"/>
  <c r="FE37"/>
  <c r="FE36"/>
  <c r="FE35"/>
  <c r="FE34"/>
  <c r="FE33"/>
  <c r="FE32"/>
  <c r="FE31"/>
  <c r="FE30"/>
  <c r="FE29"/>
  <c r="FE28"/>
  <c r="FE27"/>
  <c r="FE26"/>
  <c r="FE25"/>
  <c r="FE24"/>
  <c r="FE23"/>
  <c r="FE22"/>
  <c r="FE21"/>
  <c r="FE12"/>
  <c r="FE49"/>
  <c r="FE45"/>
  <c r="FB20"/>
  <c r="FB18"/>
  <c r="FB16"/>
  <c r="FB14"/>
  <c r="FB13"/>
  <c r="FB11"/>
  <c r="FB112"/>
  <c r="FB110"/>
  <c r="FB108"/>
  <c r="FB106"/>
  <c r="FB104"/>
  <c r="FE60"/>
  <c r="FE58"/>
  <c r="FE50"/>
  <c r="FE43"/>
  <c r="FB19"/>
  <c r="FB17"/>
  <c r="FB15"/>
  <c r="DZ155"/>
  <c r="DZ151"/>
  <c r="DZ147"/>
  <c r="DZ143"/>
  <c r="DZ139"/>
  <c r="DZ135"/>
  <c r="DZ131"/>
  <c r="CS163"/>
  <c r="CS160"/>
  <c r="CS156"/>
  <c r="CS132"/>
  <c r="CS78"/>
  <c r="EF97"/>
  <c r="EF93"/>
  <c r="EF89"/>
  <c r="EF85"/>
  <c r="EF81"/>
  <c r="EF77"/>
  <c r="EF73"/>
  <c r="EF69"/>
  <c r="EF65"/>
  <c r="EF61"/>
  <c r="EF57"/>
  <c r="EF53"/>
  <c r="EF49"/>
  <c r="EF45"/>
  <c r="EF41"/>
  <c r="EF37"/>
  <c r="EF33"/>
  <c r="EF29"/>
  <c r="EF25"/>
  <c r="EF21"/>
  <c r="CQ163"/>
  <c r="CQ81"/>
  <c r="CQ79"/>
  <c r="CQ77"/>
  <c r="CQ75"/>
  <c r="CQ71"/>
  <c r="CQ69"/>
  <c r="EF204"/>
  <c r="EF200"/>
  <c r="EF196"/>
  <c r="EF192"/>
  <c r="EF188"/>
  <c r="EF184"/>
  <c r="EF180"/>
  <c r="EF176"/>
  <c r="EF172"/>
  <c r="EF168"/>
  <c r="EF164"/>
  <c r="EF160"/>
  <c r="EF156"/>
  <c r="EF152"/>
  <c r="EF148"/>
  <c r="EF144"/>
  <c r="EF140"/>
  <c r="EF136"/>
  <c r="EF132"/>
  <c r="EF128"/>
  <c r="EF124"/>
  <c r="EF120"/>
  <c r="EF116"/>
  <c r="EF112"/>
  <c r="EF108"/>
  <c r="EF104"/>
  <c r="EF100"/>
  <c r="EF96"/>
  <c r="EF92"/>
  <c r="EF88"/>
  <c r="EF84"/>
  <c r="EF80"/>
  <c r="EF76"/>
  <c r="EF72"/>
  <c r="EF68"/>
  <c r="EF64"/>
  <c r="EF60"/>
  <c r="EF56"/>
  <c r="EF52"/>
  <c r="EF48"/>
  <c r="EF44"/>
  <c r="EF40"/>
  <c r="EF36"/>
  <c r="EF32"/>
  <c r="EF28"/>
  <c r="EF24"/>
  <c r="EF20"/>
  <c r="CQ178"/>
  <c r="CQ177"/>
  <c r="EF207"/>
  <c r="EF203"/>
  <c r="EF199"/>
  <c r="EF195"/>
  <c r="EF191"/>
  <c r="EF187"/>
  <c r="EF183"/>
  <c r="EF179"/>
  <c r="EF175"/>
  <c r="EF171"/>
  <c r="EF167"/>
  <c r="EF163"/>
  <c r="EF159"/>
  <c r="EF155"/>
  <c r="EF151"/>
  <c r="EF147"/>
  <c r="EF143"/>
  <c r="EF139"/>
  <c r="EF135"/>
  <c r="EF131"/>
  <c r="EF127"/>
  <c r="EF123"/>
  <c r="EF119"/>
  <c r="EF115"/>
  <c r="EF111"/>
  <c r="EF107"/>
  <c r="EF103"/>
  <c r="EF99"/>
  <c r="EF95"/>
  <c r="EF91"/>
  <c r="EF87"/>
  <c r="EF83"/>
  <c r="EF79"/>
  <c r="EF75"/>
  <c r="EF71"/>
  <c r="EF67"/>
  <c r="EF63"/>
  <c r="EF59"/>
  <c r="EF55"/>
  <c r="EF51"/>
  <c r="EF47"/>
  <c r="EF43"/>
  <c r="EF39"/>
  <c r="EF35"/>
  <c r="EF31"/>
  <c r="EF27"/>
  <c r="EF23"/>
  <c r="EF19"/>
  <c r="AY70"/>
  <c r="AY60"/>
  <c r="AY53"/>
  <c r="AY205"/>
  <c r="AY204"/>
  <c r="AY201"/>
  <c r="AY155"/>
  <c r="AY153"/>
  <c r="AY148"/>
  <c r="AY146"/>
  <c r="AY142"/>
  <c r="AY140"/>
  <c r="AY138"/>
  <c r="AY136"/>
  <c r="AY134"/>
  <c r="AY124"/>
  <c r="AY122"/>
  <c r="AY118"/>
  <c r="AY116"/>
  <c r="EF17"/>
  <c r="EF13"/>
  <c r="EF9"/>
  <c r="CM144"/>
  <c r="CM84"/>
  <c r="CM68"/>
  <c r="CJ8"/>
  <c r="CS150"/>
  <c r="CQ121"/>
  <c r="CM116"/>
  <c r="CM100"/>
  <c r="EF14"/>
  <c r="EF10"/>
  <c r="BV190"/>
  <c r="BV166"/>
  <c r="BV66"/>
  <c r="CS7"/>
  <c r="CS206"/>
  <c r="CS202"/>
  <c r="CS201"/>
  <c r="CS200"/>
  <c r="CS199"/>
  <c r="CS194"/>
  <c r="CS193"/>
  <c r="CS192"/>
  <c r="CS191"/>
  <c r="CS183"/>
  <c r="CJ83"/>
  <c r="CQ124"/>
  <c r="CQ84"/>
  <c r="CQ60"/>
  <c r="CQ52"/>
  <c r="EF16"/>
  <c r="EF12"/>
  <c r="BT108"/>
  <c r="BT68"/>
  <c r="BP28"/>
  <c r="CU156"/>
  <c r="CQ112"/>
  <c r="CQ101"/>
  <c r="CQ97"/>
  <c r="CQ96"/>
  <c r="CQ93"/>
  <c r="CQ91"/>
  <c r="CM60"/>
  <c r="CM52"/>
  <c r="CM20"/>
  <c r="AY59"/>
  <c r="AY58"/>
  <c r="BP150"/>
  <c r="BP124"/>
  <c r="BP100"/>
  <c r="BP93"/>
  <c r="CQ206"/>
  <c r="CQ204"/>
  <c r="CQ194"/>
  <c r="CQ192"/>
  <c r="CQ191"/>
  <c r="CQ190"/>
  <c r="CQ140"/>
  <c r="CQ136"/>
  <c r="CM132"/>
  <c r="CM128"/>
  <c r="CS74"/>
  <c r="CS70"/>
  <c r="AY38"/>
  <c r="CS187"/>
  <c r="CS118"/>
  <c r="CS103"/>
  <c r="CS102"/>
  <c r="CS101"/>
  <c r="CS99"/>
  <c r="CS94"/>
  <c r="CS91"/>
  <c r="CS90"/>
  <c r="CS87"/>
  <c r="CS64"/>
  <c r="CS56"/>
  <c r="CS20"/>
  <c r="CS9"/>
  <c r="CS207"/>
  <c r="CU207"/>
  <c r="BX164"/>
  <c r="BX163"/>
  <c r="BV148"/>
  <c r="BV142"/>
  <c r="BV140"/>
  <c r="BV138"/>
  <c r="BP116"/>
  <c r="CQ150"/>
  <c r="CQ149"/>
  <c r="CS116"/>
  <c r="CM108"/>
  <c r="CQ67"/>
  <c r="CJ67"/>
  <c r="CQ65"/>
  <c r="CQ63"/>
  <c r="CJ63"/>
  <c r="CQ51"/>
  <c r="CQ47"/>
  <c r="CQ45"/>
  <c r="CQ41"/>
  <c r="CQ39"/>
  <c r="CQ33"/>
  <c r="CQ31"/>
  <c r="CQ29"/>
  <c r="CQ27"/>
  <c r="CQ25"/>
  <c r="CQ24"/>
  <c r="CQ23"/>
  <c r="CQ21"/>
  <c r="CS203"/>
  <c r="CQ202"/>
  <c r="CQ201"/>
  <c r="CQ186"/>
  <c r="CQ162"/>
  <c r="CS6"/>
  <c r="CS180"/>
  <c r="CS179"/>
  <c r="CS178"/>
  <c r="CS177"/>
  <c r="CQ157"/>
  <c r="CQ152"/>
  <c r="CJ115"/>
  <c r="CJ111"/>
  <c r="CJ107"/>
  <c r="CM44"/>
  <c r="AY54"/>
  <c r="AY52"/>
  <c r="CQ183"/>
  <c r="CQ182"/>
  <c r="CM170"/>
  <c r="CM162"/>
  <c r="CS147"/>
  <c r="CS146"/>
  <c r="CS67"/>
  <c r="CS51"/>
  <c r="CS50"/>
  <c r="CS47"/>
  <c r="CS46"/>
  <c r="CS43"/>
  <c r="CS42"/>
  <c r="CS41"/>
  <c r="CS39"/>
  <c r="CS38"/>
  <c r="CM36"/>
  <c r="CS34"/>
  <c r="CS33"/>
  <c r="CS30"/>
  <c r="CS26"/>
  <c r="CJ103"/>
  <c r="CS96"/>
  <c r="CQ92"/>
  <c r="CS88"/>
  <c r="CM76"/>
  <c r="CS66"/>
  <c r="CS59"/>
  <c r="CS58"/>
  <c r="CJ51"/>
  <c r="CJ47"/>
  <c r="CJ43"/>
  <c r="CJ39"/>
  <c r="CQ37"/>
  <c r="CS32"/>
  <c r="CS28"/>
  <c r="CS24"/>
  <c r="CS19"/>
  <c r="CS18"/>
  <c r="CS14"/>
  <c r="CS13"/>
  <c r="CS10"/>
  <c r="BV54"/>
  <c r="BV53"/>
  <c r="BV51"/>
  <c r="BV50"/>
  <c r="CS204"/>
  <c r="CQ200"/>
  <c r="CQ199"/>
  <c r="CQ198"/>
  <c r="CQ193"/>
  <c r="CQ179"/>
  <c r="CJ174"/>
  <c r="CR174" s="1"/>
  <c r="CQ173"/>
  <c r="CQ156"/>
  <c r="CQ155"/>
  <c r="CQ146"/>
  <c r="CM140"/>
  <c r="CM136"/>
  <c r="CJ127"/>
  <c r="CS112"/>
  <c r="CS108"/>
  <c r="CQ100"/>
  <c r="CM92"/>
  <c r="CQ61"/>
  <c r="CJ59"/>
  <c r="CQ57"/>
  <c r="CQ56"/>
  <c r="CQ55"/>
  <c r="CJ55"/>
  <c r="CQ53"/>
  <c r="CQ44"/>
  <c r="CS36"/>
  <c r="CM28"/>
  <c r="CQ19"/>
  <c r="CQ17"/>
  <c r="CQ16"/>
  <c r="CQ15"/>
  <c r="CJ15"/>
  <c r="CQ12"/>
  <c r="CJ11"/>
  <c r="BP68"/>
  <c r="CS196"/>
  <c r="CS195"/>
  <c r="CS186"/>
  <c r="CS185"/>
  <c r="CS184"/>
  <c r="CS171"/>
  <c r="CS159"/>
  <c r="CS155"/>
  <c r="CJ79"/>
  <c r="CJ75"/>
  <c r="CJ71"/>
  <c r="CM202"/>
  <c r="CS188"/>
  <c r="CS175"/>
  <c r="CQ172"/>
  <c r="CS167"/>
  <c r="CJ166"/>
  <c r="CQ165"/>
  <c r="CQ161"/>
  <c r="CM154"/>
  <c r="CM148"/>
  <c r="CJ143"/>
  <c r="CQ132"/>
  <c r="CQ128"/>
  <c r="CM124"/>
  <c r="CJ99"/>
  <c r="CJ95"/>
  <c r="CJ91"/>
  <c r="CQ87"/>
  <c r="CJ87"/>
  <c r="CS80"/>
  <c r="CS76"/>
  <c r="CS72"/>
  <c r="CQ68"/>
  <c r="CJ35"/>
  <c r="CJ31"/>
  <c r="CJ27"/>
  <c r="CJ23"/>
  <c r="CQ20"/>
  <c r="BT53"/>
  <c r="BT28"/>
  <c r="BT26"/>
  <c r="BT24"/>
  <c r="BT12"/>
  <c r="BT11"/>
  <c r="BT10"/>
  <c r="BT9"/>
  <c r="CJ206"/>
  <c r="CQ205"/>
  <c r="CJ203"/>
  <c r="CR203" s="1"/>
  <c r="CJ195"/>
  <c r="CR195" s="1"/>
  <c r="CJ187"/>
  <c r="CR187" s="1"/>
  <c r="CJ175"/>
  <c r="CR175" s="1"/>
  <c r="CS174"/>
  <c r="CJ167"/>
  <c r="CR167" s="1"/>
  <c r="CS166"/>
  <c r="CJ159"/>
  <c r="CR159" s="1"/>
  <c r="CS158"/>
  <c r="CS157"/>
  <c r="CS152"/>
  <c r="CQ144"/>
  <c r="CS138"/>
  <c r="CJ123"/>
  <c r="CJ119"/>
  <c r="CZ207"/>
  <c r="CQ203"/>
  <c r="CJ199"/>
  <c r="CR199" s="1"/>
  <c r="CS198"/>
  <c r="CQ196"/>
  <c r="CQ195"/>
  <c r="CJ191"/>
  <c r="CR191" s="1"/>
  <c r="CS190"/>
  <c r="CQ188"/>
  <c r="CQ187"/>
  <c r="CQ185"/>
  <c r="CJ183"/>
  <c r="CR183" s="1"/>
  <c r="CS182"/>
  <c r="CQ180"/>
  <c r="CM178"/>
  <c r="CQ175"/>
  <c r="CQ174"/>
  <c r="CS169"/>
  <c r="CQ168"/>
  <c r="CQ167"/>
  <c r="CQ166"/>
  <c r="CS162"/>
  <c r="CS161"/>
  <c r="CQ160"/>
  <c r="CQ159"/>
  <c r="CQ158"/>
  <c r="CS154"/>
  <c r="CS148"/>
  <c r="CS142"/>
  <c r="CJ139"/>
  <c r="CJ135"/>
  <c r="CS126"/>
  <c r="CS114"/>
  <c r="CS110"/>
  <c r="CJ109"/>
  <c r="CR109" s="1"/>
  <c r="CQ108"/>
  <c r="CS100"/>
  <c r="CS98"/>
  <c r="CJ97"/>
  <c r="CR97" s="1"/>
  <c r="CS93"/>
  <c r="CJ93"/>
  <c r="CR93" s="1"/>
  <c r="CS84"/>
  <c r="CS83"/>
  <c r="CS82"/>
  <c r="CJ81"/>
  <c r="CR81" s="1"/>
  <c r="CJ77"/>
  <c r="CR77" s="1"/>
  <c r="CQ76"/>
  <c r="CS68"/>
  <c r="CJ65"/>
  <c r="CR65" s="1"/>
  <c r="CS62"/>
  <c r="CS61"/>
  <c r="CJ61"/>
  <c r="CR61" s="1"/>
  <c r="CS52"/>
  <c r="CJ49"/>
  <c r="CR49" s="1"/>
  <c r="CS45"/>
  <c r="CJ45"/>
  <c r="CR45" s="1"/>
  <c r="CS40"/>
  <c r="CJ33"/>
  <c r="CR33" s="1"/>
  <c r="CJ29"/>
  <c r="CR29" s="1"/>
  <c r="CQ28"/>
  <c r="CJ17"/>
  <c r="CQ9"/>
  <c r="N18" i="4" s="1"/>
  <c r="CJ171" i="9"/>
  <c r="CR171" s="1"/>
  <c r="CJ163"/>
  <c r="CR163" s="1"/>
  <c r="AY50"/>
  <c r="BV28"/>
  <c r="BV22"/>
  <c r="BV21"/>
  <c r="BV20"/>
  <c r="BV19"/>
  <c r="BV16"/>
  <c r="BV14"/>
  <c r="BV13"/>
  <c r="BV11"/>
  <c r="CJ198"/>
  <c r="CQ197"/>
  <c r="CJ190"/>
  <c r="CQ189"/>
  <c r="CQ184"/>
  <c r="CJ182"/>
  <c r="CR182" s="1"/>
  <c r="CQ181"/>
  <c r="CJ179"/>
  <c r="CR179" s="1"/>
  <c r="CQ171"/>
  <c r="CQ169"/>
  <c r="CJ153"/>
  <c r="CZ150"/>
  <c r="CQ148"/>
  <c r="CS140"/>
  <c r="CJ131"/>
  <c r="CQ125"/>
  <c r="CS124"/>
  <c r="CS122"/>
  <c r="CQ116"/>
  <c r="CQ113"/>
  <c r="CQ109"/>
  <c r="CJ101"/>
  <c r="CR101" s="1"/>
  <c r="CS92"/>
  <c r="CJ89"/>
  <c r="CR89" s="1"/>
  <c r="CS86"/>
  <c r="CJ85"/>
  <c r="CR85" s="1"/>
  <c r="CJ73"/>
  <c r="CR73" s="1"/>
  <c r="CJ69"/>
  <c r="CR69" s="1"/>
  <c r="CS60"/>
  <c r="CJ57"/>
  <c r="CR57" s="1"/>
  <c r="CS54"/>
  <c r="CS53"/>
  <c r="CJ53"/>
  <c r="CR53" s="1"/>
  <c r="CS48"/>
  <c r="CS44"/>
  <c r="CJ41"/>
  <c r="CR41" s="1"/>
  <c r="CJ37"/>
  <c r="CR37" s="1"/>
  <c r="CQ36"/>
  <c r="CJ25"/>
  <c r="CR25" s="1"/>
  <c r="CS22"/>
  <c r="CS21"/>
  <c r="CJ21"/>
  <c r="CR21" s="1"/>
  <c r="CS17"/>
  <c r="CS16"/>
  <c r="CS12"/>
  <c r="CJ204"/>
  <c r="CR204" s="1"/>
  <c r="CZ204"/>
  <c r="CU204"/>
  <c r="CJ196"/>
  <c r="CR196" s="1"/>
  <c r="CZ196"/>
  <c r="CU196"/>
  <c r="CJ188"/>
  <c r="CR188" s="1"/>
  <c r="CZ188"/>
  <c r="CU188"/>
  <c r="CJ180"/>
  <c r="CR180" s="1"/>
  <c r="CZ180"/>
  <c r="CU180"/>
  <c r="CJ172"/>
  <c r="CR172" s="1"/>
  <c r="CZ172"/>
  <c r="CU172"/>
  <c r="CJ164"/>
  <c r="CR164" s="1"/>
  <c r="CZ164"/>
  <c r="CU164"/>
  <c r="CM156"/>
  <c r="CZ155"/>
  <c r="CJ155"/>
  <c r="CR155" s="1"/>
  <c r="CU155"/>
  <c r="CZ151"/>
  <c r="CU151"/>
  <c r="CJ151"/>
  <c r="CR151" s="1"/>
  <c r="CZ145"/>
  <c r="CU145"/>
  <c r="CJ145"/>
  <c r="CR145" s="1"/>
  <c r="CM141"/>
  <c r="CJ134"/>
  <c r="CZ134"/>
  <c r="CU134"/>
  <c r="CZ129"/>
  <c r="CU129"/>
  <c r="CJ129"/>
  <c r="CR129" s="1"/>
  <c r="CZ113"/>
  <c r="CU113"/>
  <c r="CJ113"/>
  <c r="CR113" s="1"/>
  <c r="CJ110"/>
  <c r="CZ110"/>
  <c r="CU110"/>
  <c r="CM105"/>
  <c r="CM104"/>
  <c r="AS12"/>
  <c r="BT195"/>
  <c r="BT194"/>
  <c r="BP190"/>
  <c r="BP174"/>
  <c r="BP40"/>
  <c r="BP9"/>
  <c r="CM194"/>
  <c r="CM186"/>
  <c r="CJ158"/>
  <c r="CR158" s="1"/>
  <c r="CQ154"/>
  <c r="CU152"/>
  <c r="CR139"/>
  <c r="CS136"/>
  <c r="CU135"/>
  <c r="CS134"/>
  <c r="CR123"/>
  <c r="CZ206"/>
  <c r="CU206"/>
  <c r="CJ205"/>
  <c r="CR205" s="1"/>
  <c r="CZ205"/>
  <c r="CU205"/>
  <c r="CM203"/>
  <c r="CN203" s="1"/>
  <c r="CT203" s="1"/>
  <c r="CZ203"/>
  <c r="CU203"/>
  <c r="CM200"/>
  <c r="CZ198"/>
  <c r="CU198"/>
  <c r="CJ197"/>
  <c r="CR197" s="1"/>
  <c r="CZ197"/>
  <c r="CU197"/>
  <c r="CM195"/>
  <c r="CZ195"/>
  <c r="CU195"/>
  <c r="CM192"/>
  <c r="CZ190"/>
  <c r="CU190"/>
  <c r="CJ189"/>
  <c r="CR189" s="1"/>
  <c r="CZ189"/>
  <c r="CU189"/>
  <c r="CM187"/>
  <c r="CN187" s="1"/>
  <c r="CT187" s="1"/>
  <c r="CZ187"/>
  <c r="CU187"/>
  <c r="CM184"/>
  <c r="CZ182"/>
  <c r="CU182"/>
  <c r="CJ181"/>
  <c r="CR181" s="1"/>
  <c r="CZ181"/>
  <c r="CU181"/>
  <c r="CM179"/>
  <c r="CN179" s="1"/>
  <c r="CT179" s="1"/>
  <c r="CZ179"/>
  <c r="CU179"/>
  <c r="CM176"/>
  <c r="CZ174"/>
  <c r="CU174"/>
  <c r="CJ173"/>
  <c r="CR173" s="1"/>
  <c r="CZ173"/>
  <c r="CU173"/>
  <c r="CM171"/>
  <c r="CZ171"/>
  <c r="CU171"/>
  <c r="CM168"/>
  <c r="CZ166"/>
  <c r="CU166"/>
  <c r="CJ165"/>
  <c r="CR165" s="1"/>
  <c r="CZ165"/>
  <c r="CU165"/>
  <c r="CM163"/>
  <c r="CZ163"/>
  <c r="CU163"/>
  <c r="CM160"/>
  <c r="CM153"/>
  <c r="CJ146"/>
  <c r="CR146" s="1"/>
  <c r="CZ146"/>
  <c r="CU146"/>
  <c r="CM143"/>
  <c r="CN143" s="1"/>
  <c r="CZ141"/>
  <c r="CJ141"/>
  <c r="CR141" s="1"/>
  <c r="CU141"/>
  <c r="CM137"/>
  <c r="CJ130"/>
  <c r="CR130" s="1"/>
  <c r="CZ130"/>
  <c r="CU130"/>
  <c r="CM127"/>
  <c r="CN127" s="1"/>
  <c r="CS120"/>
  <c r="CQ120"/>
  <c r="CZ105"/>
  <c r="CU105"/>
  <c r="CJ105"/>
  <c r="CR105" s="1"/>
  <c r="AY46"/>
  <c r="AY45"/>
  <c r="BV134"/>
  <c r="BV132"/>
  <c r="BV130"/>
  <c r="BV129"/>
  <c r="BV128"/>
  <c r="BV126"/>
  <c r="BV125"/>
  <c r="BV102"/>
  <c r="BV101"/>
  <c r="BM97"/>
  <c r="BV88"/>
  <c r="BV86"/>
  <c r="BV85"/>
  <c r="BV74"/>
  <c r="CS205"/>
  <c r="CJ202"/>
  <c r="CR202" s="1"/>
  <c r="CS197"/>
  <c r="CJ194"/>
  <c r="CR194" s="1"/>
  <c r="CS189"/>
  <c r="CJ186"/>
  <c r="CR186" s="1"/>
  <c r="CS181"/>
  <c r="CJ178"/>
  <c r="CR178" s="1"/>
  <c r="CS173"/>
  <c r="CJ170"/>
  <c r="CR170" s="1"/>
  <c r="CS165"/>
  <c r="CJ162"/>
  <c r="CR162" s="1"/>
  <c r="CR135"/>
  <c r="CS130"/>
  <c r="CJ125"/>
  <c r="CR125" s="1"/>
  <c r="CR115"/>
  <c r="CS106"/>
  <c r="CJ200"/>
  <c r="CR200" s="1"/>
  <c r="CZ200"/>
  <c r="CU200"/>
  <c r="CJ192"/>
  <c r="CR192" s="1"/>
  <c r="CZ192"/>
  <c r="CU192"/>
  <c r="CJ184"/>
  <c r="CR184" s="1"/>
  <c r="CZ184"/>
  <c r="CU184"/>
  <c r="CJ176"/>
  <c r="CR176" s="1"/>
  <c r="CZ176"/>
  <c r="CU176"/>
  <c r="CJ168"/>
  <c r="CR168" s="1"/>
  <c r="CZ168"/>
  <c r="CU168"/>
  <c r="CJ160"/>
  <c r="CR160" s="1"/>
  <c r="CZ160"/>
  <c r="CU160"/>
  <c r="CZ158"/>
  <c r="CU158"/>
  <c r="CJ157"/>
  <c r="CR157" s="1"/>
  <c r="CZ157"/>
  <c r="CU157"/>
  <c r="CM150"/>
  <c r="CZ148"/>
  <c r="CU148"/>
  <c r="CZ147"/>
  <c r="CU147"/>
  <c r="CJ142"/>
  <c r="CZ142"/>
  <c r="CU142"/>
  <c r="CM139"/>
  <c r="CN139" s="1"/>
  <c r="CZ137"/>
  <c r="CU137"/>
  <c r="CJ137"/>
  <c r="CR137" s="1"/>
  <c r="CM133"/>
  <c r="CJ126"/>
  <c r="CZ126"/>
  <c r="CU126"/>
  <c r="CM120"/>
  <c r="CM119"/>
  <c r="CN119" s="1"/>
  <c r="AW155"/>
  <c r="AW148"/>
  <c r="AW147"/>
  <c r="AW146"/>
  <c r="AW140"/>
  <c r="AW139"/>
  <c r="AW124"/>
  <c r="AW116"/>
  <c r="AW115"/>
  <c r="AW84"/>
  <c r="AW76"/>
  <c r="AW68"/>
  <c r="AW60"/>
  <c r="AW58"/>
  <c r="AW56"/>
  <c r="AW52"/>
  <c r="AW45"/>
  <c r="BV206"/>
  <c r="BP198"/>
  <c r="BT190"/>
  <c r="BT182"/>
  <c r="BT150"/>
  <c r="BT142"/>
  <c r="BT140"/>
  <c r="BT128"/>
  <c r="BT127"/>
  <c r="BT126"/>
  <c r="BT125"/>
  <c r="BM125"/>
  <c r="BT124"/>
  <c r="BT104"/>
  <c r="BT103"/>
  <c r="BT102"/>
  <c r="BT101"/>
  <c r="BT92"/>
  <c r="BT91"/>
  <c r="BT84"/>
  <c r="BT83"/>
  <c r="BT82"/>
  <c r="BV58"/>
  <c r="BT36"/>
  <c r="BM9"/>
  <c r="CM206"/>
  <c r="CN206" s="1"/>
  <c r="CT206" s="1"/>
  <c r="CM198"/>
  <c r="CM190"/>
  <c r="CM182"/>
  <c r="CN182" s="1"/>
  <c r="CT182" s="1"/>
  <c r="CM174"/>
  <c r="CN174" s="1"/>
  <c r="CT174" s="1"/>
  <c r="CM166"/>
  <c r="CZ153"/>
  <c r="CS144"/>
  <c r="CZ144"/>
  <c r="CZ143"/>
  <c r="CR131"/>
  <c r="CS128"/>
  <c r="CU127"/>
  <c r="CJ117"/>
  <c r="CR117" s="1"/>
  <c r="CR107"/>
  <c r="CU8"/>
  <c r="CM204"/>
  <c r="CN204" s="1"/>
  <c r="CZ202"/>
  <c r="CU202"/>
  <c r="CJ201"/>
  <c r="CR201" s="1"/>
  <c r="CZ201"/>
  <c r="CU201"/>
  <c r="CM199"/>
  <c r="CZ199"/>
  <c r="CU199"/>
  <c r="CM196"/>
  <c r="CZ194"/>
  <c r="CU194"/>
  <c r="CJ193"/>
  <c r="CR193" s="1"/>
  <c r="CZ193"/>
  <c r="CU193"/>
  <c r="CM191"/>
  <c r="CN191" s="1"/>
  <c r="CT191" s="1"/>
  <c r="CZ191"/>
  <c r="CU191"/>
  <c r="CM188"/>
  <c r="CN188" s="1"/>
  <c r="CT188" s="1"/>
  <c r="CZ186"/>
  <c r="CU186"/>
  <c r="CJ185"/>
  <c r="CR185" s="1"/>
  <c r="CZ185"/>
  <c r="CU185"/>
  <c r="CM183"/>
  <c r="CN183" s="1"/>
  <c r="CT183" s="1"/>
  <c r="CZ183"/>
  <c r="CU183"/>
  <c r="CM180"/>
  <c r="CN180" s="1"/>
  <c r="CT180" s="1"/>
  <c r="CZ178"/>
  <c r="CU178"/>
  <c r="CJ177"/>
  <c r="CR177" s="1"/>
  <c r="CZ177"/>
  <c r="CU177"/>
  <c r="CM175"/>
  <c r="CN175" s="1"/>
  <c r="CT175" s="1"/>
  <c r="CZ175"/>
  <c r="CU175"/>
  <c r="CM172"/>
  <c r="CN172" s="1"/>
  <c r="CT172" s="1"/>
  <c r="CZ170"/>
  <c r="CU170"/>
  <c r="CJ169"/>
  <c r="CR169" s="1"/>
  <c r="CZ169"/>
  <c r="CU169"/>
  <c r="CM167"/>
  <c r="CZ167"/>
  <c r="CU167"/>
  <c r="CM164"/>
  <c r="CZ162"/>
  <c r="CU162"/>
  <c r="CJ161"/>
  <c r="CR161" s="1"/>
  <c r="CZ161"/>
  <c r="CU161"/>
  <c r="CM159"/>
  <c r="CN159" s="1"/>
  <c r="CT159" s="1"/>
  <c r="CZ159"/>
  <c r="CU159"/>
  <c r="CM155"/>
  <c r="CM152"/>
  <c r="CZ149"/>
  <c r="CJ149"/>
  <c r="CR149" s="1"/>
  <c r="CU149"/>
  <c r="CM145"/>
  <c r="CN145" s="1"/>
  <c r="CJ138"/>
  <c r="CR138" s="1"/>
  <c r="CZ138"/>
  <c r="CU138"/>
  <c r="CZ133"/>
  <c r="CJ133"/>
  <c r="CR133" s="1"/>
  <c r="CU133"/>
  <c r="CM129"/>
  <c r="CN129" s="1"/>
  <c r="CZ121"/>
  <c r="CU121"/>
  <c r="CJ121"/>
  <c r="CR121" s="1"/>
  <c r="CJ118"/>
  <c r="CZ118"/>
  <c r="CU118"/>
  <c r="CM112"/>
  <c r="CS104"/>
  <c r="CQ104"/>
  <c r="BV174"/>
  <c r="BV172"/>
  <c r="CR206"/>
  <c r="CR198"/>
  <c r="CR190"/>
  <c r="CR166"/>
  <c r="CR153"/>
  <c r="CR143"/>
  <c r="CR127"/>
  <c r="CM134"/>
  <c r="CN134" s="1"/>
  <c r="CM126"/>
  <c r="CN126" s="1"/>
  <c r="CM118"/>
  <c r="CZ116"/>
  <c r="CU116"/>
  <c r="CZ115"/>
  <c r="CU115"/>
  <c r="CM110"/>
  <c r="CN110" s="1"/>
  <c r="CZ108"/>
  <c r="CU108"/>
  <c r="CZ107"/>
  <c r="CU107"/>
  <c r="CM102"/>
  <c r="CJ100"/>
  <c r="CR100" s="1"/>
  <c r="CZ100"/>
  <c r="CU100"/>
  <c r="CZ99"/>
  <c r="CU99"/>
  <c r="CM94"/>
  <c r="CJ92"/>
  <c r="CR92" s="1"/>
  <c r="CZ92"/>
  <c r="CU92"/>
  <c r="CZ91"/>
  <c r="CU91"/>
  <c r="CM86"/>
  <c r="CJ84"/>
  <c r="CR84" s="1"/>
  <c r="CZ84"/>
  <c r="CU84"/>
  <c r="CZ83"/>
  <c r="CU83"/>
  <c r="CM78"/>
  <c r="CJ76"/>
  <c r="CR76" s="1"/>
  <c r="CZ76"/>
  <c r="CU76"/>
  <c r="CZ75"/>
  <c r="CU75"/>
  <c r="CM70"/>
  <c r="CJ68"/>
  <c r="CR68" s="1"/>
  <c r="CZ68"/>
  <c r="CU68"/>
  <c r="CZ67"/>
  <c r="CU67"/>
  <c r="CM62"/>
  <c r="CJ60"/>
  <c r="CR60" s="1"/>
  <c r="CU60"/>
  <c r="CZ60"/>
  <c r="CU59"/>
  <c r="CZ59"/>
  <c r="CM54"/>
  <c r="CJ52"/>
  <c r="CR52" s="1"/>
  <c r="CZ52"/>
  <c r="CU52"/>
  <c r="CZ51"/>
  <c r="CU51"/>
  <c r="CM46"/>
  <c r="CJ44"/>
  <c r="CR44" s="1"/>
  <c r="CU44"/>
  <c r="CZ44"/>
  <c r="CU43"/>
  <c r="CZ43"/>
  <c r="CM38"/>
  <c r="CJ36"/>
  <c r="CR36" s="1"/>
  <c r="CU36"/>
  <c r="CZ36"/>
  <c r="CZ35"/>
  <c r="CU35"/>
  <c r="CM30"/>
  <c r="CJ28"/>
  <c r="CR28" s="1"/>
  <c r="CU28"/>
  <c r="CZ28"/>
  <c r="CU27"/>
  <c r="CZ27"/>
  <c r="CM22"/>
  <c r="CU20"/>
  <c r="CZ20"/>
  <c r="CJ19"/>
  <c r="CR19" s="1"/>
  <c r="CU19"/>
  <c r="CZ19"/>
  <c r="CM14"/>
  <c r="CM13"/>
  <c r="CM10"/>
  <c r="CZ9"/>
  <c r="CU9"/>
  <c r="CM158"/>
  <c r="CJ154"/>
  <c r="CR154" s="1"/>
  <c r="CQ151"/>
  <c r="CS149"/>
  <c r="CQ145"/>
  <c r="CM142"/>
  <c r="CN142" s="1"/>
  <c r="CS141"/>
  <c r="CZ140"/>
  <c r="CZ139"/>
  <c r="CQ138"/>
  <c r="CQ137"/>
  <c r="CQ135"/>
  <c r="CS133"/>
  <c r="CZ132"/>
  <c r="CZ131"/>
  <c r="CQ130"/>
  <c r="CQ129"/>
  <c r="CM125"/>
  <c r="CN125" s="1"/>
  <c r="CT125" s="1"/>
  <c r="CZ124"/>
  <c r="CZ123"/>
  <c r="CQ122"/>
  <c r="CS117"/>
  <c r="CQ114"/>
  <c r="CQ111"/>
  <c r="CM109"/>
  <c r="CQ106"/>
  <c r="CQ105"/>
  <c r="CQ103"/>
  <c r="CQ98"/>
  <c r="CQ95"/>
  <c r="CQ90"/>
  <c r="CQ89"/>
  <c r="CM85"/>
  <c r="CQ82"/>
  <c r="CS77"/>
  <c r="CS75"/>
  <c r="CQ74"/>
  <c r="CQ73"/>
  <c r="CM69"/>
  <c r="CN69" s="1"/>
  <c r="CT69" s="1"/>
  <c r="CQ66"/>
  <c r="CQ58"/>
  <c r="CQ50"/>
  <c r="CQ49"/>
  <c r="CQ42"/>
  <c r="CS37"/>
  <c r="CS35"/>
  <c r="CQ34"/>
  <c r="CS29"/>
  <c r="CS27"/>
  <c r="CQ26"/>
  <c r="CQ18"/>
  <c r="CJ16"/>
  <c r="CJ12"/>
  <c r="CQ11"/>
  <c r="CQ207"/>
  <c r="CJ102"/>
  <c r="CR102" s="1"/>
  <c r="CZ102"/>
  <c r="CU102"/>
  <c r="CM97"/>
  <c r="CN97" s="1"/>
  <c r="CT97" s="1"/>
  <c r="CZ97"/>
  <c r="CU97"/>
  <c r="CJ94"/>
  <c r="CR94" s="1"/>
  <c r="CZ94"/>
  <c r="CU94"/>
  <c r="CZ89"/>
  <c r="CU89"/>
  <c r="CM87"/>
  <c r="CN87" s="1"/>
  <c r="CT87" s="1"/>
  <c r="CJ86"/>
  <c r="CR86" s="1"/>
  <c r="CZ86"/>
  <c r="CU86"/>
  <c r="CM81"/>
  <c r="CN81" s="1"/>
  <c r="CT81" s="1"/>
  <c r="CZ81"/>
  <c r="CU81"/>
  <c r="CJ78"/>
  <c r="CR78" s="1"/>
  <c r="CZ78"/>
  <c r="CU78"/>
  <c r="CZ73"/>
  <c r="CU73"/>
  <c r="CM71"/>
  <c r="CN71" s="1"/>
  <c r="CT71" s="1"/>
  <c r="CJ70"/>
  <c r="CR70" s="1"/>
  <c r="CZ70"/>
  <c r="CU70"/>
  <c r="CM65"/>
  <c r="CN65" s="1"/>
  <c r="CT65" s="1"/>
  <c r="CZ65"/>
  <c r="CU65"/>
  <c r="CM63"/>
  <c r="CN63" s="1"/>
  <c r="CT63" s="1"/>
  <c r="CJ62"/>
  <c r="CR62" s="1"/>
  <c r="CU62"/>
  <c r="CZ62"/>
  <c r="CM57"/>
  <c r="CZ57"/>
  <c r="CU57"/>
  <c r="CM55"/>
  <c r="CJ54"/>
  <c r="CR54" s="1"/>
  <c r="CZ54"/>
  <c r="CU54"/>
  <c r="CZ49"/>
  <c r="CU49"/>
  <c r="CM47"/>
  <c r="CN47" s="1"/>
  <c r="CT47" s="1"/>
  <c r="CJ46"/>
  <c r="CR46" s="1"/>
  <c r="CU46"/>
  <c r="CZ46"/>
  <c r="CM41"/>
  <c r="CN41" s="1"/>
  <c r="CT41" s="1"/>
  <c r="CZ41"/>
  <c r="CU41"/>
  <c r="CM39"/>
  <c r="CN39" s="1"/>
  <c r="CT39" s="1"/>
  <c r="CJ38"/>
  <c r="CR38" s="1"/>
  <c r="CZ38"/>
  <c r="CU38"/>
  <c r="CM33"/>
  <c r="CN33" s="1"/>
  <c r="CT33" s="1"/>
  <c r="CU33"/>
  <c r="CZ33"/>
  <c r="CM31"/>
  <c r="CJ30"/>
  <c r="CR30" s="1"/>
  <c r="CU30"/>
  <c r="CZ30"/>
  <c r="CM25"/>
  <c r="CN25" s="1"/>
  <c r="CZ25"/>
  <c r="CU25"/>
  <c r="CM23"/>
  <c r="CJ22"/>
  <c r="CR22" s="1"/>
  <c r="CZ22"/>
  <c r="CU22"/>
  <c r="CM17"/>
  <c r="CN17" s="1"/>
  <c r="CT17" s="1"/>
  <c r="CZ17"/>
  <c r="CU17"/>
  <c r="CM15"/>
  <c r="CN15" s="1"/>
  <c r="CT15" s="1"/>
  <c r="CZ14"/>
  <c r="CU14"/>
  <c r="CZ13"/>
  <c r="CU13"/>
  <c r="CU10"/>
  <c r="CZ10"/>
  <c r="CR99"/>
  <c r="CR91"/>
  <c r="CR83"/>
  <c r="CR75"/>
  <c r="CR67"/>
  <c r="CR59"/>
  <c r="CR51"/>
  <c r="CR43"/>
  <c r="CR35"/>
  <c r="CR27"/>
  <c r="CU154"/>
  <c r="CU153"/>
  <c r="CU150"/>
  <c r="CU144"/>
  <c r="CU143"/>
  <c r="CU139"/>
  <c r="CU131"/>
  <c r="CU125"/>
  <c r="CU123"/>
  <c r="CM138"/>
  <c r="CM130"/>
  <c r="CN130" s="1"/>
  <c r="CT130" s="1"/>
  <c r="CM122"/>
  <c r="CZ120"/>
  <c r="CU120"/>
  <c r="CZ119"/>
  <c r="CU119"/>
  <c r="CM114"/>
  <c r="CZ112"/>
  <c r="CU112"/>
  <c r="CZ111"/>
  <c r="CU111"/>
  <c r="CM106"/>
  <c r="CJ104"/>
  <c r="CR104" s="1"/>
  <c r="CZ104"/>
  <c r="CU104"/>
  <c r="CZ103"/>
  <c r="CU103"/>
  <c r="CM98"/>
  <c r="CJ96"/>
  <c r="CR96" s="1"/>
  <c r="CZ96"/>
  <c r="CU96"/>
  <c r="CZ95"/>
  <c r="CU95"/>
  <c r="CM90"/>
  <c r="CJ88"/>
  <c r="CR88" s="1"/>
  <c r="CZ88"/>
  <c r="CU88"/>
  <c r="CZ87"/>
  <c r="CU87"/>
  <c r="CM82"/>
  <c r="CJ80"/>
  <c r="CR80" s="1"/>
  <c r="CZ80"/>
  <c r="CU80"/>
  <c r="CZ79"/>
  <c r="CU79"/>
  <c r="CM74"/>
  <c r="CJ72"/>
  <c r="CR72" s="1"/>
  <c r="CZ72"/>
  <c r="CU72"/>
  <c r="CZ71"/>
  <c r="CU71"/>
  <c r="CM66"/>
  <c r="CJ64"/>
  <c r="CR64" s="1"/>
  <c r="CZ64"/>
  <c r="CU64"/>
  <c r="CZ63"/>
  <c r="CU63"/>
  <c r="CM58"/>
  <c r="CJ56"/>
  <c r="CR56" s="1"/>
  <c r="CZ56"/>
  <c r="CU56"/>
  <c r="CZ55"/>
  <c r="CU55"/>
  <c r="CM50"/>
  <c r="CJ48"/>
  <c r="CR48" s="1"/>
  <c r="CZ48"/>
  <c r="CU48"/>
  <c r="CZ47"/>
  <c r="CU47"/>
  <c r="CM42"/>
  <c r="CJ40"/>
  <c r="CR40" s="1"/>
  <c r="CZ40"/>
  <c r="CU40"/>
  <c r="CZ39"/>
  <c r="CU39"/>
  <c r="CM34"/>
  <c r="CJ32"/>
  <c r="CR32" s="1"/>
  <c r="CU32"/>
  <c r="CZ32"/>
  <c r="CZ31"/>
  <c r="CU31"/>
  <c r="CM26"/>
  <c r="CJ24"/>
  <c r="CR24" s="1"/>
  <c r="CU24"/>
  <c r="CZ24"/>
  <c r="CZ23"/>
  <c r="CU23"/>
  <c r="CM18"/>
  <c r="CU16"/>
  <c r="CZ16"/>
  <c r="CZ15"/>
  <c r="CU15"/>
  <c r="CU12"/>
  <c r="CZ12"/>
  <c r="CZ11"/>
  <c r="CU11"/>
  <c r="CJ156"/>
  <c r="CR156" s="1"/>
  <c r="CJ152"/>
  <c r="CJ147"/>
  <c r="CR147" s="1"/>
  <c r="CM146"/>
  <c r="CN146" s="1"/>
  <c r="CT146" s="1"/>
  <c r="CS145"/>
  <c r="CQ142"/>
  <c r="CQ141"/>
  <c r="CS137"/>
  <c r="CZ136"/>
  <c r="CZ135"/>
  <c r="CQ134"/>
  <c r="CQ133"/>
  <c r="CQ131"/>
  <c r="CS129"/>
  <c r="CZ128"/>
  <c r="CZ127"/>
  <c r="CQ126"/>
  <c r="CM121"/>
  <c r="CN121" s="1"/>
  <c r="CT121" s="1"/>
  <c r="CQ118"/>
  <c r="CQ117"/>
  <c r="CQ115"/>
  <c r="CM113"/>
  <c r="CN113" s="1"/>
  <c r="CT113" s="1"/>
  <c r="CQ110"/>
  <c r="CQ107"/>
  <c r="CS105"/>
  <c r="CQ102"/>
  <c r="CQ99"/>
  <c r="CS97"/>
  <c r="CS95"/>
  <c r="CQ94"/>
  <c r="CM89"/>
  <c r="CN89" s="1"/>
  <c r="CT89" s="1"/>
  <c r="CQ88"/>
  <c r="CQ86"/>
  <c r="CQ85"/>
  <c r="CQ83"/>
  <c r="CS81"/>
  <c r="CQ80"/>
  <c r="CS79"/>
  <c r="CQ78"/>
  <c r="CM73"/>
  <c r="CN73" s="1"/>
  <c r="CQ72"/>
  <c r="CS71"/>
  <c r="CQ70"/>
  <c r="CS65"/>
  <c r="CQ64"/>
  <c r="CS63"/>
  <c r="CQ62"/>
  <c r="CQ59"/>
  <c r="CS57"/>
  <c r="CS55"/>
  <c r="CQ54"/>
  <c r="CM49"/>
  <c r="CN49" s="1"/>
  <c r="CT49" s="1"/>
  <c r="CQ48"/>
  <c r="CQ46"/>
  <c r="CQ43"/>
  <c r="CQ40"/>
  <c r="CQ38"/>
  <c r="CQ35"/>
  <c r="CQ32"/>
  <c r="CS31"/>
  <c r="CQ30"/>
  <c r="CS25"/>
  <c r="CS23"/>
  <c r="CQ22"/>
  <c r="CJ20"/>
  <c r="CR20" s="1"/>
  <c r="CS15"/>
  <c r="CQ14"/>
  <c r="CQ13"/>
  <c r="CS11"/>
  <c r="CQ10"/>
  <c r="CJ9"/>
  <c r="CR9" s="1"/>
  <c r="CM207"/>
  <c r="CZ156"/>
  <c r="CZ154"/>
  <c r="CZ152"/>
  <c r="CM123"/>
  <c r="CN123" s="1"/>
  <c r="CJ122"/>
  <c r="CZ122"/>
  <c r="CM117"/>
  <c r="CN117" s="1"/>
  <c r="CZ117"/>
  <c r="CU117"/>
  <c r="CJ114"/>
  <c r="CR114" s="1"/>
  <c r="CZ114"/>
  <c r="CU114"/>
  <c r="CZ109"/>
  <c r="CU109"/>
  <c r="CJ106"/>
  <c r="CR106" s="1"/>
  <c r="CZ106"/>
  <c r="CU106"/>
  <c r="CM101"/>
  <c r="CZ101"/>
  <c r="CU101"/>
  <c r="CJ98"/>
  <c r="CR98" s="1"/>
  <c r="CZ98"/>
  <c r="CU98"/>
  <c r="CM93"/>
  <c r="CN93" s="1"/>
  <c r="CT93" s="1"/>
  <c r="CZ93"/>
  <c r="CU93"/>
  <c r="CM91"/>
  <c r="CN91" s="1"/>
  <c r="CT91" s="1"/>
  <c r="CJ90"/>
  <c r="CR90" s="1"/>
  <c r="CZ90"/>
  <c r="CU90"/>
  <c r="CZ85"/>
  <c r="CU85"/>
  <c r="CJ82"/>
  <c r="CR82" s="1"/>
  <c r="CZ82"/>
  <c r="CU82"/>
  <c r="CM77"/>
  <c r="CN77" s="1"/>
  <c r="CT77" s="1"/>
  <c r="CZ77"/>
  <c r="CU77"/>
  <c r="CJ74"/>
  <c r="CR74" s="1"/>
  <c r="CZ74"/>
  <c r="CU74"/>
  <c r="CZ69"/>
  <c r="CU69"/>
  <c r="CM67"/>
  <c r="CN67" s="1"/>
  <c r="CT67" s="1"/>
  <c r="CJ66"/>
  <c r="CR66" s="1"/>
  <c r="CZ66"/>
  <c r="CU66"/>
  <c r="CM61"/>
  <c r="CN61" s="1"/>
  <c r="CT61" s="1"/>
  <c r="CU61"/>
  <c r="CZ61"/>
  <c r="CJ58"/>
  <c r="CR58" s="1"/>
  <c r="CZ58"/>
  <c r="CU58"/>
  <c r="CM53"/>
  <c r="CZ53"/>
  <c r="CU53"/>
  <c r="CM51"/>
  <c r="CN51" s="1"/>
  <c r="CT51" s="1"/>
  <c r="CJ50"/>
  <c r="CR50" s="1"/>
  <c r="CZ50"/>
  <c r="CU50"/>
  <c r="CM45"/>
  <c r="CU45"/>
  <c r="CZ45"/>
  <c r="CJ42"/>
  <c r="CR42" s="1"/>
  <c r="CZ42"/>
  <c r="CU42"/>
  <c r="CM37"/>
  <c r="CN37" s="1"/>
  <c r="CT37" s="1"/>
  <c r="CZ37"/>
  <c r="CU37"/>
  <c r="CJ34"/>
  <c r="CR34" s="1"/>
  <c r="CZ34"/>
  <c r="CU34"/>
  <c r="CM29"/>
  <c r="CZ29"/>
  <c r="CU29"/>
  <c r="CJ26"/>
  <c r="CR26" s="1"/>
  <c r="CZ26"/>
  <c r="CU26"/>
  <c r="CM21"/>
  <c r="CN21" s="1"/>
  <c r="CT21" s="1"/>
  <c r="CU21"/>
  <c r="CZ21"/>
  <c r="CM19"/>
  <c r="CN19" s="1"/>
  <c r="CT19" s="1"/>
  <c r="CJ18"/>
  <c r="CR18" s="1"/>
  <c r="CZ18"/>
  <c r="CU18"/>
  <c r="CM9"/>
  <c r="I18" i="4" s="1"/>
  <c r="I21" s="1"/>
  <c r="CZ125" i="9"/>
  <c r="CR119"/>
  <c r="CR111"/>
  <c r="CR103"/>
  <c r="CM96"/>
  <c r="CN96" s="1"/>
  <c r="CT96" s="1"/>
  <c r="CR95"/>
  <c r="CM88"/>
  <c r="CR87"/>
  <c r="CM80"/>
  <c r="CN80" s="1"/>
  <c r="CT80" s="1"/>
  <c r="CR79"/>
  <c r="CM72"/>
  <c r="CR71"/>
  <c r="CM64"/>
  <c r="CN64" s="1"/>
  <c r="CT64" s="1"/>
  <c r="CR63"/>
  <c r="CM56"/>
  <c r="CR55"/>
  <c r="CM48"/>
  <c r="CN48" s="1"/>
  <c r="CT48" s="1"/>
  <c r="CR47"/>
  <c r="CM40"/>
  <c r="CR39"/>
  <c r="CM32"/>
  <c r="CN32" s="1"/>
  <c r="CT32" s="1"/>
  <c r="CR31"/>
  <c r="CM24"/>
  <c r="CR23"/>
  <c r="CM16"/>
  <c r="CN16" s="1"/>
  <c r="CT16" s="1"/>
  <c r="CR15"/>
  <c r="CJ13"/>
  <c r="CM12"/>
  <c r="CJ207"/>
  <c r="CR207" s="1"/>
  <c r="CU140"/>
  <c r="CU136"/>
  <c r="CU132"/>
  <c r="CU128"/>
  <c r="CU124"/>
  <c r="CU122"/>
  <c r="CJ14"/>
  <c r="CR14" s="1"/>
  <c r="CJ10"/>
  <c r="CN153"/>
  <c r="CN198"/>
  <c r="CT198" s="1"/>
  <c r="CN190"/>
  <c r="CT190" s="1"/>
  <c r="CN166"/>
  <c r="CT166" s="1"/>
  <c r="CT204"/>
  <c r="CN156"/>
  <c r="CT156" s="1"/>
  <c r="CN202"/>
  <c r="CT202" s="1"/>
  <c r="CN178"/>
  <c r="CT178" s="1"/>
  <c r="CN170"/>
  <c r="CT170" s="1"/>
  <c r="CN24"/>
  <c r="CT24" s="1"/>
  <c r="CM205"/>
  <c r="CN205" s="1"/>
  <c r="CT205" s="1"/>
  <c r="CM201"/>
  <c r="CM197"/>
  <c r="CN197" s="1"/>
  <c r="CT197" s="1"/>
  <c r="CM193"/>
  <c r="CN193" s="1"/>
  <c r="CT193" s="1"/>
  <c r="CM189"/>
  <c r="CM185"/>
  <c r="CN185" s="1"/>
  <c r="CT185" s="1"/>
  <c r="CM181"/>
  <c r="CN181" s="1"/>
  <c r="CT181" s="1"/>
  <c r="CM177"/>
  <c r="CN177" s="1"/>
  <c r="CT177" s="1"/>
  <c r="CM173"/>
  <c r="CN173" s="1"/>
  <c r="CT173" s="1"/>
  <c r="CM169"/>
  <c r="CM165"/>
  <c r="CN165" s="1"/>
  <c r="CT165" s="1"/>
  <c r="CM161"/>
  <c r="CN161" s="1"/>
  <c r="CT161" s="1"/>
  <c r="CM157"/>
  <c r="CN157" s="1"/>
  <c r="CT157" s="1"/>
  <c r="CS153"/>
  <c r="CR152"/>
  <c r="CR142"/>
  <c r="CR134"/>
  <c r="CR126"/>
  <c r="CR122"/>
  <c r="CR118"/>
  <c r="CR110"/>
  <c r="CS151"/>
  <c r="CM151"/>
  <c r="CS135"/>
  <c r="CM135"/>
  <c r="CN135" s="1"/>
  <c r="CT135" s="1"/>
  <c r="CS131"/>
  <c r="CM131"/>
  <c r="CN131" s="1"/>
  <c r="CT131" s="1"/>
  <c r="CS115"/>
  <c r="CM115"/>
  <c r="CN115" s="1"/>
  <c r="CT115" s="1"/>
  <c r="CS111"/>
  <c r="CM111"/>
  <c r="CN111" s="1"/>
  <c r="CT111" s="1"/>
  <c r="CS107"/>
  <c r="CM107"/>
  <c r="CN107" s="1"/>
  <c r="CJ150"/>
  <c r="CR150" s="1"/>
  <c r="CM149"/>
  <c r="CN149" s="1"/>
  <c r="CT149" s="1"/>
  <c r="CQ147"/>
  <c r="CS143"/>
  <c r="CS139"/>
  <c r="CS127"/>
  <c r="CS123"/>
  <c r="CS119"/>
  <c r="CN100"/>
  <c r="CT100" s="1"/>
  <c r="CN92"/>
  <c r="CT92" s="1"/>
  <c r="CN84"/>
  <c r="CT84" s="1"/>
  <c r="CN76"/>
  <c r="CT76" s="1"/>
  <c r="CN68"/>
  <c r="CT68" s="1"/>
  <c r="CN60"/>
  <c r="CT60" s="1"/>
  <c r="CN55"/>
  <c r="CN44"/>
  <c r="CT44" s="1"/>
  <c r="CN31"/>
  <c r="CT31" s="1"/>
  <c r="CN28"/>
  <c r="CT25"/>
  <c r="CN23"/>
  <c r="CT23" s="1"/>
  <c r="CQ153"/>
  <c r="CJ148"/>
  <c r="CR148" s="1"/>
  <c r="CM147"/>
  <c r="CJ144"/>
  <c r="CR144" s="1"/>
  <c r="CQ143"/>
  <c r="CT143" s="1"/>
  <c r="CJ140"/>
  <c r="CR140" s="1"/>
  <c r="CQ139"/>
  <c r="CJ136"/>
  <c r="CR136" s="1"/>
  <c r="CJ132"/>
  <c r="CR132" s="1"/>
  <c r="CJ128"/>
  <c r="CR128" s="1"/>
  <c r="CQ127"/>
  <c r="CT127" s="1"/>
  <c r="CJ124"/>
  <c r="CR124" s="1"/>
  <c r="CQ123"/>
  <c r="CJ120"/>
  <c r="CR120" s="1"/>
  <c r="CQ119"/>
  <c r="CT119" s="1"/>
  <c r="CJ116"/>
  <c r="CR116" s="1"/>
  <c r="CJ112"/>
  <c r="CR112" s="1"/>
  <c r="CJ108"/>
  <c r="CR108" s="1"/>
  <c r="CN82"/>
  <c r="CT82" s="1"/>
  <c r="CS125"/>
  <c r="CS121"/>
  <c r="CS113"/>
  <c r="CS109"/>
  <c r="CM103"/>
  <c r="CN103" s="1"/>
  <c r="CT103" s="1"/>
  <c r="CM99"/>
  <c r="CN99" s="1"/>
  <c r="CM95"/>
  <c r="CN95" s="1"/>
  <c r="CT95" s="1"/>
  <c r="CS89"/>
  <c r="CS85"/>
  <c r="CM83"/>
  <c r="CN83" s="1"/>
  <c r="CM79"/>
  <c r="CN79" s="1"/>
  <c r="CT79" s="1"/>
  <c r="CM75"/>
  <c r="CN75" s="1"/>
  <c r="CT75" s="1"/>
  <c r="CS73"/>
  <c r="CS69"/>
  <c r="CM59"/>
  <c r="CN59" s="1"/>
  <c r="CS49"/>
  <c r="CM43"/>
  <c r="CN43" s="1"/>
  <c r="CM35"/>
  <c r="CN35" s="1"/>
  <c r="CT35" s="1"/>
  <c r="CM27"/>
  <c r="CN27" s="1"/>
  <c r="CT27" s="1"/>
  <c r="CM11"/>
  <c r="BP206"/>
  <c r="BP205"/>
  <c r="BP204"/>
  <c r="BP182"/>
  <c r="CC182"/>
  <c r="CC181"/>
  <c r="BM145"/>
  <c r="BM137"/>
  <c r="BT76"/>
  <c r="BV62"/>
  <c r="BP60"/>
  <c r="BT52"/>
  <c r="BM49"/>
  <c r="BU49" s="1"/>
  <c r="BT44"/>
  <c r="BT43"/>
  <c r="BT42"/>
  <c r="BM33"/>
  <c r="BU33" s="1"/>
  <c r="BT32"/>
  <c r="BV24"/>
  <c r="BT20"/>
  <c r="BT17"/>
  <c r="BV9"/>
  <c r="BT163"/>
  <c r="BT158"/>
  <c r="BV120"/>
  <c r="BV70"/>
  <c r="BV69"/>
  <c r="BV67"/>
  <c r="BT66"/>
  <c r="BV32"/>
  <c r="BV30"/>
  <c r="BP24"/>
  <c r="AW114"/>
  <c r="AW108"/>
  <c r="AW44"/>
  <c r="AW43"/>
  <c r="AW42"/>
  <c r="BV8"/>
  <c r="BT206"/>
  <c r="BT205"/>
  <c r="BT171"/>
  <c r="BT170"/>
  <c r="BM167"/>
  <c r="BU167" s="1"/>
  <c r="BP158"/>
  <c r="BV78"/>
  <c r="BP76"/>
  <c r="BT74"/>
  <c r="BM57"/>
  <c r="BU57" s="1"/>
  <c r="BV56"/>
  <c r="BP48"/>
  <c r="BP44"/>
  <c r="BP32"/>
  <c r="BV10"/>
  <c r="BM101"/>
  <c r="BM91"/>
  <c r="BU91" s="1"/>
  <c r="AP184"/>
  <c r="AX184" s="1"/>
  <c r="BV203"/>
  <c r="BP199"/>
  <c r="BT198"/>
  <c r="BV188"/>
  <c r="BT187"/>
  <c r="BT186"/>
  <c r="BM183"/>
  <c r="BU183" s="1"/>
  <c r="BV182"/>
  <c r="BP167"/>
  <c r="BT166"/>
  <c r="BT157"/>
  <c r="BM157"/>
  <c r="BU157" s="1"/>
  <c r="BP144"/>
  <c r="BP136"/>
  <c r="BP128"/>
  <c r="BV118"/>
  <c r="BV112"/>
  <c r="BV110"/>
  <c r="BV98"/>
  <c r="BV75"/>
  <c r="BV61"/>
  <c r="BV59"/>
  <c r="BV38"/>
  <c r="BX180"/>
  <c r="CC179"/>
  <c r="BV178"/>
  <c r="BM178"/>
  <c r="BU178" s="1"/>
  <c r="BV177"/>
  <c r="CC177"/>
  <c r="BV176"/>
  <c r="BM176"/>
  <c r="BU176" s="1"/>
  <c r="CC175"/>
  <c r="BT174"/>
  <c r="BV150"/>
  <c r="BM147"/>
  <c r="BU147" s="1"/>
  <c r="BM129"/>
  <c r="BM121"/>
  <c r="BT118"/>
  <c r="BT117"/>
  <c r="BT116"/>
  <c r="BM113"/>
  <c r="BT112"/>
  <c r="BV100"/>
  <c r="BM89"/>
  <c r="BU89" s="1"/>
  <c r="BM81"/>
  <c r="BU81" s="1"/>
  <c r="BT78"/>
  <c r="BM77"/>
  <c r="BU77" s="1"/>
  <c r="BM65"/>
  <c r="BU65" s="1"/>
  <c r="BT62"/>
  <c r="BT61"/>
  <c r="BT60"/>
  <c r="BT58"/>
  <c r="BT49"/>
  <c r="BV48"/>
  <c r="BM41"/>
  <c r="BU41" s="1"/>
  <c r="BV40"/>
  <c r="BP36"/>
  <c r="BM24"/>
  <c r="BP20"/>
  <c r="AW187"/>
  <c r="AW186"/>
  <c r="BT202"/>
  <c r="BT201"/>
  <c r="BM199"/>
  <c r="BU199" s="1"/>
  <c r="BV198"/>
  <c r="BP183"/>
  <c r="BU145"/>
  <c r="BU9"/>
  <c r="CC198"/>
  <c r="CC197"/>
  <c r="BX196"/>
  <c r="CC195"/>
  <c r="BV194"/>
  <c r="BM194"/>
  <c r="BV193"/>
  <c r="CC193"/>
  <c r="BV192"/>
  <c r="BM192"/>
  <c r="BU192" s="1"/>
  <c r="BP191"/>
  <c r="CC191"/>
  <c r="BT178"/>
  <c r="BP166"/>
  <c r="CC166"/>
  <c r="CC165"/>
  <c r="BV162"/>
  <c r="BV160"/>
  <c r="BP159"/>
  <c r="BM159"/>
  <c r="BU159" s="1"/>
  <c r="BV157"/>
  <c r="BM155"/>
  <c r="BU155" s="1"/>
  <c r="BV154"/>
  <c r="BV153"/>
  <c r="BM153"/>
  <c r="BU153" s="1"/>
  <c r="BT148"/>
  <c r="BV144"/>
  <c r="BV136"/>
  <c r="BT131"/>
  <c r="BP120"/>
  <c r="BT99"/>
  <c r="BM99"/>
  <c r="BU99" s="1"/>
  <c r="BV90"/>
  <c r="BM73"/>
  <c r="BU73" s="1"/>
  <c r="BT70"/>
  <c r="BT69"/>
  <c r="BM53"/>
  <c r="BP52"/>
  <c r="BP49"/>
  <c r="BQ49" s="1"/>
  <c r="BW49" s="1"/>
  <c r="BV46"/>
  <c r="BV45"/>
  <c r="BM45"/>
  <c r="BU45" s="1"/>
  <c r="BT40"/>
  <c r="BV27"/>
  <c r="BV26"/>
  <c r="BM25"/>
  <c r="BU25" s="1"/>
  <c r="BT21"/>
  <c r="BQ9"/>
  <c r="BW9" s="1"/>
  <c r="AY175"/>
  <c r="AP168"/>
  <c r="AY159"/>
  <c r="BV207"/>
  <c r="BM203"/>
  <c r="BV202"/>
  <c r="BX202"/>
  <c r="CC201"/>
  <c r="BV200"/>
  <c r="BM200"/>
  <c r="BU200" s="1"/>
  <c r="CC199"/>
  <c r="BV196"/>
  <c r="BM191"/>
  <c r="BU191" s="1"/>
  <c r="CC190"/>
  <c r="CC189"/>
  <c r="BX188"/>
  <c r="CC187"/>
  <c r="BV186"/>
  <c r="BM186"/>
  <c r="BU186" s="1"/>
  <c r="BV185"/>
  <c r="CC185"/>
  <c r="BV184"/>
  <c r="BM184"/>
  <c r="BU184" s="1"/>
  <c r="CC183"/>
  <c r="BV180"/>
  <c r="BM175"/>
  <c r="BU175" s="1"/>
  <c r="CC174"/>
  <c r="CC173"/>
  <c r="BX172"/>
  <c r="CC171"/>
  <c r="BV170"/>
  <c r="BM170"/>
  <c r="BU170" s="1"/>
  <c r="BV169"/>
  <c r="CC169"/>
  <c r="BV168"/>
  <c r="BM168"/>
  <c r="BU168" s="1"/>
  <c r="CC167"/>
  <c r="BV164"/>
  <c r="BV158"/>
  <c r="BV152"/>
  <c r="BV146"/>
  <c r="BV122"/>
  <c r="BV114"/>
  <c r="BV109"/>
  <c r="BV108"/>
  <c r="BV106"/>
  <c r="BV105"/>
  <c r="BM105"/>
  <c r="BU105" s="1"/>
  <c r="BV96"/>
  <c r="BV94"/>
  <c r="BM93"/>
  <c r="BU93" s="1"/>
  <c r="BV80"/>
  <c r="BV72"/>
  <c r="BV64"/>
  <c r="BM61"/>
  <c r="BU61" s="1"/>
  <c r="BV36"/>
  <c r="BV35"/>
  <c r="BV34"/>
  <c r="BV29"/>
  <c r="BM29"/>
  <c r="BU29" s="1"/>
  <c r="BT19"/>
  <c r="BM19"/>
  <c r="BU19" s="1"/>
  <c r="BT16"/>
  <c r="BT14"/>
  <c r="BM13"/>
  <c r="BU13" s="1"/>
  <c r="AW8"/>
  <c r="AS175"/>
  <c r="AS160"/>
  <c r="AS159"/>
  <c r="AP155"/>
  <c r="AP153"/>
  <c r="AP151"/>
  <c r="AP145"/>
  <c r="AP141"/>
  <c r="AX141" s="1"/>
  <c r="AP137"/>
  <c r="AX137" s="1"/>
  <c r="AP121"/>
  <c r="AX121" s="1"/>
  <c r="AS109"/>
  <c r="AY51"/>
  <c r="BP207"/>
  <c r="BX206"/>
  <c r="CC205"/>
  <c r="BX204"/>
  <c r="BT200"/>
  <c r="BP196"/>
  <c r="BP194"/>
  <c r="BP193"/>
  <c r="BT189"/>
  <c r="BM189"/>
  <c r="BU189" s="1"/>
  <c r="BT184"/>
  <c r="BP180"/>
  <c r="BP178"/>
  <c r="BQ178" s="1"/>
  <c r="BW178" s="1"/>
  <c r="BP177"/>
  <c r="BT173"/>
  <c r="BM173"/>
  <c r="BU173" s="1"/>
  <c r="BT168"/>
  <c r="BP164"/>
  <c r="BV156"/>
  <c r="BT144"/>
  <c r="BP140"/>
  <c r="BT136"/>
  <c r="BT120"/>
  <c r="BT110"/>
  <c r="BT109"/>
  <c r="BT106"/>
  <c r="BT105"/>
  <c r="BT96"/>
  <c r="BT94"/>
  <c r="BP84"/>
  <c r="BT80"/>
  <c r="BP73"/>
  <c r="BQ73" s="1"/>
  <c r="BT72"/>
  <c r="BT64"/>
  <c r="BT56"/>
  <c r="BT48"/>
  <c r="BV44"/>
  <c r="BV43"/>
  <c r="BV42"/>
  <c r="BV37"/>
  <c r="BM37"/>
  <c r="BU37" s="1"/>
  <c r="BT34"/>
  <c r="BV18"/>
  <c r="BM16"/>
  <c r="BP12"/>
  <c r="AW205"/>
  <c r="AW92"/>
  <c r="AY10"/>
  <c r="BP203"/>
  <c r="BQ203" s="1"/>
  <c r="BP201"/>
  <c r="BT197"/>
  <c r="BM197"/>
  <c r="BU197" s="1"/>
  <c r="BT192"/>
  <c r="BP188"/>
  <c r="BP186"/>
  <c r="BP185"/>
  <c r="BT181"/>
  <c r="BM181"/>
  <c r="BT177"/>
  <c r="BT176"/>
  <c r="BP172"/>
  <c r="BP170"/>
  <c r="BP169"/>
  <c r="BT165"/>
  <c r="BM165"/>
  <c r="BU165" s="1"/>
  <c r="BT162"/>
  <c r="BT160"/>
  <c r="BT154"/>
  <c r="BT153"/>
  <c r="BP141"/>
  <c r="BQ141" s="1"/>
  <c r="BM141"/>
  <c r="BU141" s="1"/>
  <c r="BT139"/>
  <c r="BM139"/>
  <c r="BU139" s="1"/>
  <c r="BT132"/>
  <c r="BT130"/>
  <c r="BT129"/>
  <c r="BV124"/>
  <c r="BM123"/>
  <c r="BU123" s="1"/>
  <c r="BP117"/>
  <c r="BM117"/>
  <c r="BU117" s="1"/>
  <c r="BT115"/>
  <c r="BM115"/>
  <c r="BU115" s="1"/>
  <c r="BP104"/>
  <c r="BT100"/>
  <c r="BP92"/>
  <c r="BT88"/>
  <c r="BT87"/>
  <c r="BT86"/>
  <c r="BT85"/>
  <c r="BM85"/>
  <c r="BU85" s="1"/>
  <c r="BV82"/>
  <c r="BV77"/>
  <c r="BM69"/>
  <c r="BU69" s="1"/>
  <c r="BU53"/>
  <c r="BT51"/>
  <c r="BT50"/>
  <c r="BT45"/>
  <c r="BM21"/>
  <c r="BU21" s="1"/>
  <c r="BP161"/>
  <c r="BM160"/>
  <c r="BU160" s="1"/>
  <c r="CC160"/>
  <c r="BX160"/>
  <c r="BX154"/>
  <c r="CC154"/>
  <c r="BM148"/>
  <c r="BU148" s="1"/>
  <c r="CC148"/>
  <c r="BX148"/>
  <c r="BP143"/>
  <c r="BM142"/>
  <c r="BU142" s="1"/>
  <c r="BX142"/>
  <c r="CC142"/>
  <c r="CC140"/>
  <c r="BX140"/>
  <c r="BP134"/>
  <c r="BP133"/>
  <c r="CC133"/>
  <c r="BX133"/>
  <c r="BM130"/>
  <c r="BU130" s="1"/>
  <c r="BX130"/>
  <c r="CC130"/>
  <c r="CC128"/>
  <c r="BX128"/>
  <c r="CC127"/>
  <c r="BX127"/>
  <c r="BP119"/>
  <c r="BM118"/>
  <c r="BU118" s="1"/>
  <c r="BX118"/>
  <c r="CC118"/>
  <c r="CC116"/>
  <c r="BX116"/>
  <c r="BP110"/>
  <c r="BP109"/>
  <c r="CC109"/>
  <c r="BX109"/>
  <c r="BM106"/>
  <c r="BU106" s="1"/>
  <c r="BX106"/>
  <c r="CC106"/>
  <c r="CC104"/>
  <c r="BX104"/>
  <c r="CC103"/>
  <c r="BX103"/>
  <c r="BP95"/>
  <c r="BM94"/>
  <c r="BU94" s="1"/>
  <c r="BX94"/>
  <c r="CC94"/>
  <c r="CC92"/>
  <c r="BX92"/>
  <c r="BP87"/>
  <c r="BM86"/>
  <c r="BU86" s="1"/>
  <c r="BX86"/>
  <c r="CC86"/>
  <c r="CC84"/>
  <c r="BX84"/>
  <c r="CC83"/>
  <c r="BX83"/>
  <c r="BP78"/>
  <c r="BM76"/>
  <c r="BU76" s="1"/>
  <c r="CC76"/>
  <c r="BX76"/>
  <c r="CC75"/>
  <c r="BX75"/>
  <c r="BP70"/>
  <c r="BM68"/>
  <c r="BU68" s="1"/>
  <c r="CC68"/>
  <c r="BX68"/>
  <c r="CC67"/>
  <c r="BX67"/>
  <c r="BP62"/>
  <c r="BM60"/>
  <c r="BU60" s="1"/>
  <c r="CC60"/>
  <c r="BX60"/>
  <c r="CC59"/>
  <c r="BX59"/>
  <c r="BP54"/>
  <c r="BM52"/>
  <c r="BU52" s="1"/>
  <c r="CC52"/>
  <c r="BX52"/>
  <c r="CC51"/>
  <c r="BX51"/>
  <c r="BP46"/>
  <c r="BM44"/>
  <c r="BU44" s="1"/>
  <c r="CC44"/>
  <c r="BX44"/>
  <c r="CC43"/>
  <c r="BX43"/>
  <c r="BP38"/>
  <c r="BM36"/>
  <c r="BU36" s="1"/>
  <c r="BX36"/>
  <c r="CC36"/>
  <c r="BX35"/>
  <c r="CC35"/>
  <c r="BP30"/>
  <c r="BM28"/>
  <c r="BU28" s="1"/>
  <c r="BX28"/>
  <c r="CC28"/>
  <c r="BX27"/>
  <c r="CC27"/>
  <c r="BP22"/>
  <c r="BX17"/>
  <c r="CC17"/>
  <c r="BM14"/>
  <c r="BU14" s="1"/>
  <c r="BX14"/>
  <c r="CC14"/>
  <c r="BX12"/>
  <c r="CC12"/>
  <c r="BM11"/>
  <c r="BU11" s="1"/>
  <c r="BX11"/>
  <c r="CC11"/>
  <c r="BU181"/>
  <c r="BU24"/>
  <c r="CC206"/>
  <c r="BX205"/>
  <c r="CC202"/>
  <c r="BX201"/>
  <c r="BX197"/>
  <c r="CC194"/>
  <c r="BX193"/>
  <c r="BX189"/>
  <c r="CC186"/>
  <c r="BX185"/>
  <c r="BX181"/>
  <c r="CC178"/>
  <c r="BX177"/>
  <c r="BX173"/>
  <c r="CC170"/>
  <c r="BX169"/>
  <c r="BX165"/>
  <c r="BM162"/>
  <c r="BU162" s="1"/>
  <c r="BX162"/>
  <c r="CC162"/>
  <c r="CC161"/>
  <c r="BX161"/>
  <c r="BP156"/>
  <c r="CC155"/>
  <c r="BX155"/>
  <c r="CC152"/>
  <c r="BX152"/>
  <c r="CC151"/>
  <c r="BX151"/>
  <c r="BP146"/>
  <c r="CC145"/>
  <c r="BX145"/>
  <c r="CC143"/>
  <c r="BX143"/>
  <c r="BP138"/>
  <c r="BP137"/>
  <c r="CC137"/>
  <c r="BX137"/>
  <c r="BM134"/>
  <c r="BU134" s="1"/>
  <c r="BX134"/>
  <c r="CC134"/>
  <c r="CC132"/>
  <c r="BX132"/>
  <c r="CC131"/>
  <c r="BX131"/>
  <c r="BP122"/>
  <c r="BP121"/>
  <c r="BQ121" s="1"/>
  <c r="CC121"/>
  <c r="BX121"/>
  <c r="CC119"/>
  <c r="BX119"/>
  <c r="BP114"/>
  <c r="BP113"/>
  <c r="BQ113" s="1"/>
  <c r="CC113"/>
  <c r="BX113"/>
  <c r="BM110"/>
  <c r="BU110" s="1"/>
  <c r="BX110"/>
  <c r="CC110"/>
  <c r="CC108"/>
  <c r="BX108"/>
  <c r="CC107"/>
  <c r="BX107"/>
  <c r="BP98"/>
  <c r="BQ98" s="1"/>
  <c r="BP97"/>
  <c r="BQ97" s="1"/>
  <c r="CC97"/>
  <c r="BX97"/>
  <c r="CC95"/>
  <c r="BX95"/>
  <c r="BP90"/>
  <c r="CC89"/>
  <c r="BX89"/>
  <c r="CC87"/>
  <c r="BX87"/>
  <c r="BP81"/>
  <c r="BQ81" s="1"/>
  <c r="CC81"/>
  <c r="BX81"/>
  <c r="BP79"/>
  <c r="BM78"/>
  <c r="BU78" s="1"/>
  <c r="BX78"/>
  <c r="CC78"/>
  <c r="CC73"/>
  <c r="BX73"/>
  <c r="BP71"/>
  <c r="BM70"/>
  <c r="BU70" s="1"/>
  <c r="BX70"/>
  <c r="CC70"/>
  <c r="BP65"/>
  <c r="CC65"/>
  <c r="BX65"/>
  <c r="BP63"/>
  <c r="BM62"/>
  <c r="BU62" s="1"/>
  <c r="BX62"/>
  <c r="CC62"/>
  <c r="BP57"/>
  <c r="CC57"/>
  <c r="BX57"/>
  <c r="BP55"/>
  <c r="BM54"/>
  <c r="BU54" s="1"/>
  <c r="BX54"/>
  <c r="CC54"/>
  <c r="CC49"/>
  <c r="BX49"/>
  <c r="BP47"/>
  <c r="BM46"/>
  <c r="BU46" s="1"/>
  <c r="BX46"/>
  <c r="CC46"/>
  <c r="BP41"/>
  <c r="CC41"/>
  <c r="BX41"/>
  <c r="BP39"/>
  <c r="BM38"/>
  <c r="BU38" s="1"/>
  <c r="BX38"/>
  <c r="CC38"/>
  <c r="BP33"/>
  <c r="BX33"/>
  <c r="CC33"/>
  <c r="BP31"/>
  <c r="BM30"/>
  <c r="BU30" s="1"/>
  <c r="BX30"/>
  <c r="CC30"/>
  <c r="BX25"/>
  <c r="CC25"/>
  <c r="BM22"/>
  <c r="BU22" s="1"/>
  <c r="BX22"/>
  <c r="CC22"/>
  <c r="BP18"/>
  <c r="BX16"/>
  <c r="CC16"/>
  <c r="BX15"/>
  <c r="CC15"/>
  <c r="BX9"/>
  <c r="CC9"/>
  <c r="AY180"/>
  <c r="AY177"/>
  <c r="AP176"/>
  <c r="AX176" s="1"/>
  <c r="AS170"/>
  <c r="AW133"/>
  <c r="AW107"/>
  <c r="AW106"/>
  <c r="AW96"/>
  <c r="AW79"/>
  <c r="AW32"/>
  <c r="AW16"/>
  <c r="AW9"/>
  <c r="BU203"/>
  <c r="BP202"/>
  <c r="BV201"/>
  <c r="BT199"/>
  <c r="BP195"/>
  <c r="BU194"/>
  <c r="BT191"/>
  <c r="BP187"/>
  <c r="BT183"/>
  <c r="BP179"/>
  <c r="BT175"/>
  <c r="BP171"/>
  <c r="BT167"/>
  <c r="BP163"/>
  <c r="BV161"/>
  <c r="BT159"/>
  <c r="BT141"/>
  <c r="BV133"/>
  <c r="BM127"/>
  <c r="BU127" s="1"/>
  <c r="BT123"/>
  <c r="BV116"/>
  <c r="BV104"/>
  <c r="BM103"/>
  <c r="BU103" s="1"/>
  <c r="BV92"/>
  <c r="BV84"/>
  <c r="BM83"/>
  <c r="BU83" s="1"/>
  <c r="BT77"/>
  <c r="BV76"/>
  <c r="BT75"/>
  <c r="BM75"/>
  <c r="BU75" s="1"/>
  <c r="BV68"/>
  <c r="BT67"/>
  <c r="BM67"/>
  <c r="BU67" s="1"/>
  <c r="BV60"/>
  <c r="BT59"/>
  <c r="BM59"/>
  <c r="BU59" s="1"/>
  <c r="BV52"/>
  <c r="BM51"/>
  <c r="BU51" s="1"/>
  <c r="BM43"/>
  <c r="BU43" s="1"/>
  <c r="BT37"/>
  <c r="BT35"/>
  <c r="BM35"/>
  <c r="BU35" s="1"/>
  <c r="BT29"/>
  <c r="BT27"/>
  <c r="BM27"/>
  <c r="BU27" s="1"/>
  <c r="BM20"/>
  <c r="BU20" s="1"/>
  <c r="BP17"/>
  <c r="BV15"/>
  <c r="BT13"/>
  <c r="BX200"/>
  <c r="BX192"/>
  <c r="BX184"/>
  <c r="BX176"/>
  <c r="BX168"/>
  <c r="CC159"/>
  <c r="BX159"/>
  <c r="BP157"/>
  <c r="BM156"/>
  <c r="BU156" s="1"/>
  <c r="CC156"/>
  <c r="BX156"/>
  <c r="BM150"/>
  <c r="BU150" s="1"/>
  <c r="BX150"/>
  <c r="CC150"/>
  <c r="CC149"/>
  <c r="BX149"/>
  <c r="BX146"/>
  <c r="CC146"/>
  <c r="CC144"/>
  <c r="BX144"/>
  <c r="BP139"/>
  <c r="BM138"/>
  <c r="BU138" s="1"/>
  <c r="BX138"/>
  <c r="CC138"/>
  <c r="CC136"/>
  <c r="BX136"/>
  <c r="CC135"/>
  <c r="BX135"/>
  <c r="BP126"/>
  <c r="BP125"/>
  <c r="BQ125" s="1"/>
  <c r="BW125" s="1"/>
  <c r="CC125"/>
  <c r="BX125"/>
  <c r="BM122"/>
  <c r="BU122" s="1"/>
  <c r="BX122"/>
  <c r="CC122"/>
  <c r="CC120"/>
  <c r="BX120"/>
  <c r="BP115"/>
  <c r="BQ115" s="1"/>
  <c r="BM114"/>
  <c r="BU114" s="1"/>
  <c r="BX114"/>
  <c r="CC114"/>
  <c r="CC112"/>
  <c r="BX112"/>
  <c r="CC111"/>
  <c r="BX111"/>
  <c r="BP102"/>
  <c r="BP101"/>
  <c r="BQ101" s="1"/>
  <c r="BW101" s="1"/>
  <c r="CC101"/>
  <c r="BX101"/>
  <c r="BM98"/>
  <c r="BU98" s="1"/>
  <c r="BX98"/>
  <c r="CC98"/>
  <c r="CC96"/>
  <c r="BX96"/>
  <c r="BP91"/>
  <c r="BM90"/>
  <c r="BU90" s="1"/>
  <c r="BX90"/>
  <c r="CC90"/>
  <c r="CC88"/>
  <c r="BX88"/>
  <c r="BP82"/>
  <c r="BM80"/>
  <c r="BU80" s="1"/>
  <c r="CC80"/>
  <c r="BX80"/>
  <c r="CC79"/>
  <c r="BX79"/>
  <c r="BP74"/>
  <c r="BM72"/>
  <c r="BU72" s="1"/>
  <c r="CC72"/>
  <c r="BX72"/>
  <c r="CC71"/>
  <c r="BX71"/>
  <c r="BP66"/>
  <c r="BM64"/>
  <c r="BU64" s="1"/>
  <c r="CC64"/>
  <c r="BX64"/>
  <c r="CC63"/>
  <c r="BX63"/>
  <c r="BP58"/>
  <c r="BM56"/>
  <c r="BU56" s="1"/>
  <c r="CC56"/>
  <c r="BX56"/>
  <c r="CC55"/>
  <c r="BX55"/>
  <c r="BP50"/>
  <c r="BM48"/>
  <c r="BU48" s="1"/>
  <c r="CC48"/>
  <c r="BX48"/>
  <c r="CC47"/>
  <c r="BX47"/>
  <c r="BP42"/>
  <c r="BM40"/>
  <c r="BU40" s="1"/>
  <c r="CC40"/>
  <c r="BX40"/>
  <c r="CC39"/>
  <c r="BX39"/>
  <c r="BP34"/>
  <c r="BM32"/>
  <c r="BU32" s="1"/>
  <c r="BX32"/>
  <c r="CC32"/>
  <c r="BX31"/>
  <c r="CC31"/>
  <c r="BP26"/>
  <c r="BX24"/>
  <c r="CC24"/>
  <c r="BX23"/>
  <c r="CC23"/>
  <c r="BP21"/>
  <c r="BX21"/>
  <c r="CC21"/>
  <c r="BM18"/>
  <c r="BU18" s="1"/>
  <c r="BX18"/>
  <c r="CC18"/>
  <c r="BP13"/>
  <c r="BQ13" s="1"/>
  <c r="BX13"/>
  <c r="CC13"/>
  <c r="BP10"/>
  <c r="AS207"/>
  <c r="AS206"/>
  <c r="AP204"/>
  <c r="AW175"/>
  <c r="AY128"/>
  <c r="AW125"/>
  <c r="AY102"/>
  <c r="AY96"/>
  <c r="AY94"/>
  <c r="AY88"/>
  <c r="AS80"/>
  <c r="AS64"/>
  <c r="BM207"/>
  <c r="BU207" s="1"/>
  <c r="BV205"/>
  <c r="BV204"/>
  <c r="BM204"/>
  <c r="BU204" s="1"/>
  <c r="BT203"/>
  <c r="BM202"/>
  <c r="BU202" s="1"/>
  <c r="BM201"/>
  <c r="BU201" s="1"/>
  <c r="BP197"/>
  <c r="BM196"/>
  <c r="BU196" s="1"/>
  <c r="BT193"/>
  <c r="BM193"/>
  <c r="BU193" s="1"/>
  <c r="BP189"/>
  <c r="BM188"/>
  <c r="BU188" s="1"/>
  <c r="BT185"/>
  <c r="BM185"/>
  <c r="BU185" s="1"/>
  <c r="BP181"/>
  <c r="BM180"/>
  <c r="BU180" s="1"/>
  <c r="BM177"/>
  <c r="BU177" s="1"/>
  <c r="BP173"/>
  <c r="BQ173" s="1"/>
  <c r="BW173" s="1"/>
  <c r="BM172"/>
  <c r="BU172" s="1"/>
  <c r="BT169"/>
  <c r="BM169"/>
  <c r="BU169" s="1"/>
  <c r="BP165"/>
  <c r="BM164"/>
  <c r="BU164" s="1"/>
  <c r="BP162"/>
  <c r="BQ162" s="1"/>
  <c r="BW162" s="1"/>
  <c r="BT161"/>
  <c r="BM161"/>
  <c r="BU161" s="1"/>
  <c r="BP152"/>
  <c r="BM151"/>
  <c r="BU151" s="1"/>
  <c r="BV149"/>
  <c r="BT147"/>
  <c r="BT143"/>
  <c r="BM143"/>
  <c r="BU143" s="1"/>
  <c r="BV137"/>
  <c r="BT134"/>
  <c r="BT133"/>
  <c r="BP132"/>
  <c r="BM131"/>
  <c r="BU131" s="1"/>
  <c r="BV121"/>
  <c r="BT119"/>
  <c r="BM119"/>
  <c r="BU119" s="1"/>
  <c r="BV113"/>
  <c r="BP108"/>
  <c r="BM107"/>
  <c r="BU107" s="1"/>
  <c r="BV97"/>
  <c r="BT95"/>
  <c r="BM95"/>
  <c r="BU95" s="1"/>
  <c r="BT93"/>
  <c r="BP89"/>
  <c r="BM87"/>
  <c r="BU87" s="1"/>
  <c r="BV81"/>
  <c r="BV79"/>
  <c r="BV71"/>
  <c r="BV65"/>
  <c r="BV63"/>
  <c r="BV57"/>
  <c r="BV55"/>
  <c r="BT54"/>
  <c r="BV47"/>
  <c r="BT46"/>
  <c r="BV41"/>
  <c r="BV39"/>
  <c r="BT38"/>
  <c r="BV33"/>
  <c r="BV31"/>
  <c r="BT30"/>
  <c r="BP25"/>
  <c r="BQ25" s="1"/>
  <c r="BV23"/>
  <c r="BT22"/>
  <c r="BP16"/>
  <c r="BT15"/>
  <c r="BM15"/>
  <c r="BU15" s="1"/>
  <c r="BM12"/>
  <c r="BU12" s="1"/>
  <c r="BX207"/>
  <c r="CC204"/>
  <c r="BX203"/>
  <c r="CC200"/>
  <c r="BX199"/>
  <c r="CC196"/>
  <c r="BX195"/>
  <c r="CC192"/>
  <c r="BX191"/>
  <c r="CC188"/>
  <c r="BX187"/>
  <c r="CC184"/>
  <c r="BX183"/>
  <c r="CC180"/>
  <c r="BX179"/>
  <c r="CC176"/>
  <c r="BX175"/>
  <c r="CC172"/>
  <c r="BX171"/>
  <c r="CC168"/>
  <c r="BX167"/>
  <c r="CC164"/>
  <c r="BP160"/>
  <c r="BQ160" s="1"/>
  <c r="BW160" s="1"/>
  <c r="BM158"/>
  <c r="BU158" s="1"/>
  <c r="BX158"/>
  <c r="CC158"/>
  <c r="CC157"/>
  <c r="BX157"/>
  <c r="BP154"/>
  <c r="CC153"/>
  <c r="BX153"/>
  <c r="BP148"/>
  <c r="BQ148" s="1"/>
  <c r="BW148" s="1"/>
  <c r="CC147"/>
  <c r="BX147"/>
  <c r="BP142"/>
  <c r="BQ142" s="1"/>
  <c r="BW142" s="1"/>
  <c r="CC141"/>
  <c r="BX141"/>
  <c r="CC139"/>
  <c r="BX139"/>
  <c r="BP130"/>
  <c r="BQ130" s="1"/>
  <c r="BW130" s="1"/>
  <c r="BP129"/>
  <c r="CC129"/>
  <c r="BX129"/>
  <c r="BM126"/>
  <c r="BU126" s="1"/>
  <c r="BX126"/>
  <c r="CC126"/>
  <c r="CC124"/>
  <c r="BX124"/>
  <c r="CC123"/>
  <c r="BX123"/>
  <c r="BP118"/>
  <c r="BQ118" s="1"/>
  <c r="BW118" s="1"/>
  <c r="CC117"/>
  <c r="BX117"/>
  <c r="CC115"/>
  <c r="BX115"/>
  <c r="BP106"/>
  <c r="BQ106" s="1"/>
  <c r="BW106" s="1"/>
  <c r="BP105"/>
  <c r="CC105"/>
  <c r="BX105"/>
  <c r="BM102"/>
  <c r="BU102" s="1"/>
  <c r="BX102"/>
  <c r="CC102"/>
  <c r="CC100"/>
  <c r="BX100"/>
  <c r="CC99"/>
  <c r="BX99"/>
  <c r="BP94"/>
  <c r="BQ94" s="1"/>
  <c r="BW94" s="1"/>
  <c r="CC93"/>
  <c r="BX93"/>
  <c r="CC91"/>
  <c r="BX91"/>
  <c r="BP86"/>
  <c r="BQ86" s="1"/>
  <c r="BW86" s="1"/>
  <c r="BP85"/>
  <c r="CC85"/>
  <c r="BX85"/>
  <c r="BM82"/>
  <c r="BU82" s="1"/>
  <c r="BX82"/>
  <c r="CC82"/>
  <c r="BP77"/>
  <c r="BQ77" s="1"/>
  <c r="CC77"/>
  <c r="BX77"/>
  <c r="BP75"/>
  <c r="BM74"/>
  <c r="BU74" s="1"/>
  <c r="BX74"/>
  <c r="CC74"/>
  <c r="BP69"/>
  <c r="CC69"/>
  <c r="BX69"/>
  <c r="BP67"/>
  <c r="BM66"/>
  <c r="BU66" s="1"/>
  <c r="BX66"/>
  <c r="CC66"/>
  <c r="BP61"/>
  <c r="CC61"/>
  <c r="BX61"/>
  <c r="BP59"/>
  <c r="BM58"/>
  <c r="BU58" s="1"/>
  <c r="BX58"/>
  <c r="CC58"/>
  <c r="BP53"/>
  <c r="BQ53" s="1"/>
  <c r="BW53" s="1"/>
  <c r="CC53"/>
  <c r="BX53"/>
  <c r="BP51"/>
  <c r="BQ51" s="1"/>
  <c r="BW51" s="1"/>
  <c r="BM50"/>
  <c r="BU50" s="1"/>
  <c r="BX50"/>
  <c r="CC50"/>
  <c r="BP45"/>
  <c r="BQ45" s="1"/>
  <c r="BW45" s="1"/>
  <c r="CC45"/>
  <c r="BX45"/>
  <c r="BP43"/>
  <c r="BM42"/>
  <c r="BU42" s="1"/>
  <c r="BX42"/>
  <c r="CC42"/>
  <c r="BP37"/>
  <c r="BX37"/>
  <c r="CC37"/>
  <c r="BP35"/>
  <c r="BM34"/>
  <c r="BU34" s="1"/>
  <c r="BX34"/>
  <c r="CC34"/>
  <c r="BP29"/>
  <c r="BX29"/>
  <c r="CC29"/>
  <c r="BM26"/>
  <c r="BU26" s="1"/>
  <c r="BX26"/>
  <c r="CC26"/>
  <c r="BX20"/>
  <c r="CC20"/>
  <c r="BX19"/>
  <c r="CC19"/>
  <c r="BP14"/>
  <c r="BQ14" s="1"/>
  <c r="BW14" s="1"/>
  <c r="BP11"/>
  <c r="BQ11" s="1"/>
  <c r="BW11" s="1"/>
  <c r="BM10"/>
  <c r="BU10" s="1"/>
  <c r="BX10"/>
  <c r="CC10"/>
  <c r="AX168"/>
  <c r="AS150"/>
  <c r="AS128"/>
  <c r="AS96"/>
  <c r="AS88"/>
  <c r="AP85"/>
  <c r="AP81"/>
  <c r="AX81" s="1"/>
  <c r="AP77"/>
  <c r="AX77" s="1"/>
  <c r="AP57"/>
  <c r="AX57" s="1"/>
  <c r="AS49"/>
  <c r="AY44"/>
  <c r="BT207"/>
  <c r="BM206"/>
  <c r="BU206" s="1"/>
  <c r="BM205"/>
  <c r="BU205" s="1"/>
  <c r="BT204"/>
  <c r="BP200"/>
  <c r="BQ200" s="1"/>
  <c r="BW200" s="1"/>
  <c r="BQ199"/>
  <c r="BW199" s="1"/>
  <c r="BM198"/>
  <c r="BU198" s="1"/>
  <c r="BV197"/>
  <c r="BT196"/>
  <c r="BM195"/>
  <c r="BU195" s="1"/>
  <c r="BP192"/>
  <c r="BQ192" s="1"/>
  <c r="BM190"/>
  <c r="BU190" s="1"/>
  <c r="BV189"/>
  <c r="BT188"/>
  <c r="BM187"/>
  <c r="BU187" s="1"/>
  <c r="BP184"/>
  <c r="BQ184" s="1"/>
  <c r="BW184" s="1"/>
  <c r="BQ183"/>
  <c r="BM182"/>
  <c r="BU182" s="1"/>
  <c r="BV181"/>
  <c r="BT180"/>
  <c r="BT179"/>
  <c r="BM179"/>
  <c r="BU179" s="1"/>
  <c r="BP176"/>
  <c r="BP175"/>
  <c r="BQ175" s="1"/>
  <c r="BM174"/>
  <c r="BU174" s="1"/>
  <c r="BV173"/>
  <c r="BT172"/>
  <c r="BM171"/>
  <c r="BU171" s="1"/>
  <c r="BP168"/>
  <c r="BQ168" s="1"/>
  <c r="BW168" s="1"/>
  <c r="BQ167"/>
  <c r="BM166"/>
  <c r="BU166" s="1"/>
  <c r="BV165"/>
  <c r="BT164"/>
  <c r="BM163"/>
  <c r="BU163" s="1"/>
  <c r="BT156"/>
  <c r="BT152"/>
  <c r="BT149"/>
  <c r="BM149"/>
  <c r="BU149" s="1"/>
  <c r="BT146"/>
  <c r="BT145"/>
  <c r="BT138"/>
  <c r="BT137"/>
  <c r="BT135"/>
  <c r="BM135"/>
  <c r="BU135" s="1"/>
  <c r="BM133"/>
  <c r="BQ133" s="1"/>
  <c r="BW133" s="1"/>
  <c r="BT122"/>
  <c r="BT121"/>
  <c r="BT114"/>
  <c r="BT113"/>
  <c r="BP112"/>
  <c r="BT111"/>
  <c r="BM111"/>
  <c r="BU111" s="1"/>
  <c r="BM109"/>
  <c r="BU109" s="1"/>
  <c r="BT107"/>
  <c r="BT98"/>
  <c r="BT97"/>
  <c r="BP96"/>
  <c r="BT90"/>
  <c r="BT89"/>
  <c r="BP88"/>
  <c r="BT81"/>
  <c r="BP80"/>
  <c r="BQ80" s="1"/>
  <c r="BW80" s="1"/>
  <c r="BT79"/>
  <c r="BM79"/>
  <c r="BU79" s="1"/>
  <c r="BT73"/>
  <c r="BP72"/>
  <c r="BQ72" s="1"/>
  <c r="BW72" s="1"/>
  <c r="BT71"/>
  <c r="BM71"/>
  <c r="BU71" s="1"/>
  <c r="BT65"/>
  <c r="BP64"/>
  <c r="BQ64" s="1"/>
  <c r="BW64" s="1"/>
  <c r="BT63"/>
  <c r="BM63"/>
  <c r="BU63" s="1"/>
  <c r="BT57"/>
  <c r="BP56"/>
  <c r="BQ56" s="1"/>
  <c r="BW56" s="1"/>
  <c r="BT55"/>
  <c r="BM55"/>
  <c r="BU55" s="1"/>
  <c r="BT47"/>
  <c r="BM47"/>
  <c r="BU47" s="1"/>
  <c r="BT41"/>
  <c r="BT39"/>
  <c r="BM39"/>
  <c r="BU39" s="1"/>
  <c r="BT33"/>
  <c r="BT31"/>
  <c r="BM31"/>
  <c r="BU31" s="1"/>
  <c r="BT25"/>
  <c r="BW25" s="1"/>
  <c r="BT23"/>
  <c r="BM23"/>
  <c r="BU23" s="1"/>
  <c r="BT18"/>
  <c r="BM17"/>
  <c r="BU17" s="1"/>
  <c r="BU16"/>
  <c r="BV12"/>
  <c r="CC207"/>
  <c r="CC203"/>
  <c r="BX198"/>
  <c r="BX194"/>
  <c r="BX190"/>
  <c r="BX186"/>
  <c r="BX182"/>
  <c r="BX178"/>
  <c r="BX174"/>
  <c r="BX170"/>
  <c r="BX166"/>
  <c r="CC163"/>
  <c r="BQ193"/>
  <c r="BW193" s="1"/>
  <c r="BQ177"/>
  <c r="BW177" s="1"/>
  <c r="BQ166"/>
  <c r="BW166" s="1"/>
  <c r="BQ194"/>
  <c r="BW194" s="1"/>
  <c r="BQ170"/>
  <c r="BW170" s="1"/>
  <c r="BV155"/>
  <c r="BP155"/>
  <c r="BQ155" s="1"/>
  <c r="BV147"/>
  <c r="BP147"/>
  <c r="BV135"/>
  <c r="BP135"/>
  <c r="BV131"/>
  <c r="BP131"/>
  <c r="BV127"/>
  <c r="BP127"/>
  <c r="BV123"/>
  <c r="BP123"/>
  <c r="BV111"/>
  <c r="BP111"/>
  <c r="BV107"/>
  <c r="BP107"/>
  <c r="BV103"/>
  <c r="BP103"/>
  <c r="BV99"/>
  <c r="BP99"/>
  <c r="BV83"/>
  <c r="BP83"/>
  <c r="BQ83" s="1"/>
  <c r="BW83" s="1"/>
  <c r="BV199"/>
  <c r="BV195"/>
  <c r="BV191"/>
  <c r="BV187"/>
  <c r="BV183"/>
  <c r="BV179"/>
  <c r="BV175"/>
  <c r="BV171"/>
  <c r="BV167"/>
  <c r="BV163"/>
  <c r="BV159"/>
  <c r="BM154"/>
  <c r="BU154" s="1"/>
  <c r="BP153"/>
  <c r="BQ153" s="1"/>
  <c r="BW153" s="1"/>
  <c r="BT151"/>
  <c r="BM146"/>
  <c r="BU146" s="1"/>
  <c r="BV143"/>
  <c r="BV139"/>
  <c r="BV119"/>
  <c r="BV115"/>
  <c r="BV95"/>
  <c r="BV91"/>
  <c r="BV87"/>
  <c r="BQ62"/>
  <c r="BW62" s="1"/>
  <c r="BQ38"/>
  <c r="BW38" s="1"/>
  <c r="BP145"/>
  <c r="BQ145" s="1"/>
  <c r="BV145"/>
  <c r="BM152"/>
  <c r="BU152" s="1"/>
  <c r="BM144"/>
  <c r="BU144" s="1"/>
  <c r="BM140"/>
  <c r="BU140" s="1"/>
  <c r="BU137"/>
  <c r="BM136"/>
  <c r="BU136" s="1"/>
  <c r="BM132"/>
  <c r="BU132" s="1"/>
  <c r="BU129"/>
  <c r="BM128"/>
  <c r="BU128" s="1"/>
  <c r="BU125"/>
  <c r="BM124"/>
  <c r="BU124" s="1"/>
  <c r="BU121"/>
  <c r="BM120"/>
  <c r="BU120" s="1"/>
  <c r="BM116"/>
  <c r="BU116" s="1"/>
  <c r="BU113"/>
  <c r="BM112"/>
  <c r="BU112" s="1"/>
  <c r="BM108"/>
  <c r="BU108" s="1"/>
  <c r="BM104"/>
  <c r="BU104" s="1"/>
  <c r="BU101"/>
  <c r="BM100"/>
  <c r="BU100" s="1"/>
  <c r="BU97"/>
  <c r="BM96"/>
  <c r="BU96" s="1"/>
  <c r="BM92"/>
  <c r="BU92" s="1"/>
  <c r="BM88"/>
  <c r="BU88" s="1"/>
  <c r="BM84"/>
  <c r="BU84" s="1"/>
  <c r="BV151"/>
  <c r="BP151"/>
  <c r="BT155"/>
  <c r="BP149"/>
  <c r="BQ122"/>
  <c r="BQ110"/>
  <c r="BW110" s="1"/>
  <c r="BQ58"/>
  <c r="BW58" s="1"/>
  <c r="BQ50"/>
  <c r="BW50" s="1"/>
  <c r="BV141"/>
  <c r="BV117"/>
  <c r="BV93"/>
  <c r="BV89"/>
  <c r="BV73"/>
  <c r="BV49"/>
  <c r="BP27"/>
  <c r="BV25"/>
  <c r="BP23"/>
  <c r="BP19"/>
  <c r="BV17"/>
  <c r="BP15"/>
  <c r="AS191"/>
  <c r="AS190"/>
  <c r="AS186"/>
  <c r="AW171"/>
  <c r="BF147"/>
  <c r="AS141"/>
  <c r="AT141" s="1"/>
  <c r="AY133"/>
  <c r="AP129"/>
  <c r="AX129" s="1"/>
  <c r="AW100"/>
  <c r="AS65"/>
  <c r="AP49"/>
  <c r="AX49" s="1"/>
  <c r="AW36"/>
  <c r="AW203"/>
  <c r="AS167"/>
  <c r="AY165"/>
  <c r="AY157"/>
  <c r="AW138"/>
  <c r="AW119"/>
  <c r="AY104"/>
  <c r="AW103"/>
  <c r="AP65"/>
  <c r="AX65" s="1"/>
  <c r="AY40"/>
  <c r="AY32"/>
  <c r="AY28"/>
  <c r="AY27"/>
  <c r="AY26"/>
  <c r="AY25"/>
  <c r="AY24"/>
  <c r="AY199"/>
  <c r="AY189"/>
  <c r="AS183"/>
  <c r="AY173"/>
  <c r="AW163"/>
  <c r="AW161"/>
  <c r="AW159"/>
  <c r="AY126"/>
  <c r="AS104"/>
  <c r="AP97"/>
  <c r="AX97" s="1"/>
  <c r="AW71"/>
  <c r="AY64"/>
  <c r="AS40"/>
  <c r="AW28"/>
  <c r="AW26"/>
  <c r="AW25"/>
  <c r="AW24"/>
  <c r="AW22"/>
  <c r="AW21"/>
  <c r="AP21"/>
  <c r="AS199"/>
  <c r="AP182"/>
  <c r="AX182" s="1"/>
  <c r="AW177"/>
  <c r="AW174"/>
  <c r="AW158"/>
  <c r="AX155"/>
  <c r="AX153"/>
  <c r="AX151"/>
  <c r="AW132"/>
  <c r="AW129"/>
  <c r="AW123"/>
  <c r="AW120"/>
  <c r="AY112"/>
  <c r="AY74"/>
  <c r="AP73"/>
  <c r="AX73" s="1"/>
  <c r="AW72"/>
  <c r="AY62"/>
  <c r="AW49"/>
  <c r="AY48"/>
  <c r="AW20"/>
  <c r="AY197"/>
  <c r="AY193"/>
  <c r="AY192"/>
  <c r="AY172"/>
  <c r="BA157"/>
  <c r="AY144"/>
  <c r="AS136"/>
  <c r="AY120"/>
  <c r="AS112"/>
  <c r="AY92"/>
  <c r="AY91"/>
  <c r="AY90"/>
  <c r="AP89"/>
  <c r="AX89" s="1"/>
  <c r="AW75"/>
  <c r="AW74"/>
  <c r="AY56"/>
  <c r="AS48"/>
  <c r="AW37"/>
  <c r="AY16"/>
  <c r="AY15"/>
  <c r="AY14"/>
  <c r="AP13"/>
  <c r="AX13" s="1"/>
  <c r="AS203"/>
  <c r="AS202"/>
  <c r="AW201"/>
  <c r="AW200"/>
  <c r="AP198"/>
  <c r="AX198" s="1"/>
  <c r="AW195"/>
  <c r="AW194"/>
  <c r="AP194"/>
  <c r="AX194" s="1"/>
  <c r="AW192"/>
  <c r="AW191"/>
  <c r="AY183"/>
  <c r="AS176"/>
  <c r="AS174"/>
  <c r="BF174"/>
  <c r="AW172"/>
  <c r="AY167"/>
  <c r="AY163"/>
  <c r="AY161"/>
  <c r="AY150"/>
  <c r="AS144"/>
  <c r="AW128"/>
  <c r="AS120"/>
  <c r="AP117"/>
  <c r="AP113"/>
  <c r="AX113" s="1"/>
  <c r="AP109"/>
  <c r="AX109" s="1"/>
  <c r="AP105"/>
  <c r="AX105" s="1"/>
  <c r="AW104"/>
  <c r="AW99"/>
  <c r="AW90"/>
  <c r="AW88"/>
  <c r="AY80"/>
  <c r="AS72"/>
  <c r="AS56"/>
  <c r="AP45"/>
  <c r="AX45" s="1"/>
  <c r="AP41"/>
  <c r="AX41" s="1"/>
  <c r="AW40"/>
  <c r="AW12"/>
  <c r="BF160"/>
  <c r="AP196"/>
  <c r="AX196" s="1"/>
  <c r="AP192"/>
  <c r="AX192" s="1"/>
  <c r="BF184"/>
  <c r="AW183"/>
  <c r="AY181"/>
  <c r="AW179"/>
  <c r="AS168"/>
  <c r="BF168"/>
  <c r="AW167"/>
  <c r="AW166"/>
  <c r="AS162"/>
  <c r="AY156"/>
  <c r="BF156"/>
  <c r="AW153"/>
  <c r="AW137"/>
  <c r="AS117"/>
  <c r="AX117"/>
  <c r="AW105"/>
  <c r="AS85"/>
  <c r="AX85"/>
  <c r="AW83"/>
  <c r="AW82"/>
  <c r="AW77"/>
  <c r="AW73"/>
  <c r="AW64"/>
  <c r="AP53"/>
  <c r="AX53" s="1"/>
  <c r="AW50"/>
  <c r="AY31"/>
  <c r="AY30"/>
  <c r="AS29"/>
  <c r="AS13"/>
  <c r="AX204"/>
  <c r="AY188"/>
  <c r="AY187"/>
  <c r="AY185"/>
  <c r="BF176"/>
  <c r="AY171"/>
  <c r="AY169"/>
  <c r="BA165"/>
  <c r="AY164"/>
  <c r="AW156"/>
  <c r="AY152"/>
  <c r="AW151"/>
  <c r="AP149"/>
  <c r="AX149" s="1"/>
  <c r="AW136"/>
  <c r="AW135"/>
  <c r="AY132"/>
  <c r="AY130"/>
  <c r="AS125"/>
  <c r="AP125"/>
  <c r="AX125" s="1"/>
  <c r="AW122"/>
  <c r="AY100"/>
  <c r="AY99"/>
  <c r="AY98"/>
  <c r="AS93"/>
  <c r="AP93"/>
  <c r="AX93" s="1"/>
  <c r="AY68"/>
  <c r="AY67"/>
  <c r="AY66"/>
  <c r="AY61"/>
  <c r="AP61"/>
  <c r="AX61" s="1"/>
  <c r="AY36"/>
  <c r="AY35"/>
  <c r="AY34"/>
  <c r="AS33"/>
  <c r="AW30"/>
  <c r="AY20"/>
  <c r="AY19"/>
  <c r="AY18"/>
  <c r="AY17"/>
  <c r="AW14"/>
  <c r="AY11"/>
  <c r="AP9"/>
  <c r="AX9" s="1"/>
  <c r="AG205"/>
  <c r="AG201"/>
  <c r="AW207"/>
  <c r="AW204"/>
  <c r="AP200"/>
  <c r="AX200" s="1"/>
  <c r="AW199"/>
  <c r="AY195"/>
  <c r="AY191"/>
  <c r="AP190"/>
  <c r="AW185"/>
  <c r="AS182"/>
  <c r="AT182" s="1"/>
  <c r="BA181"/>
  <c r="AS178"/>
  <c r="BA173"/>
  <c r="BF172"/>
  <c r="AW169"/>
  <c r="AW164"/>
  <c r="AP160"/>
  <c r="AX160" s="1"/>
  <c r="BA151"/>
  <c r="AW150"/>
  <c r="BA145"/>
  <c r="AW144"/>
  <c r="AP133"/>
  <c r="AX133" s="1"/>
  <c r="AW131"/>
  <c r="AW130"/>
  <c r="AW121"/>
  <c r="AW112"/>
  <c r="AY101"/>
  <c r="AP101"/>
  <c r="AX101" s="1"/>
  <c r="AW98"/>
  <c r="AW80"/>
  <c r="AS69"/>
  <c r="AP69"/>
  <c r="AX69" s="1"/>
  <c r="AW67"/>
  <c r="AW66"/>
  <c r="AW48"/>
  <c r="AY43"/>
  <c r="AY42"/>
  <c r="AY37"/>
  <c r="AP37"/>
  <c r="AX37" s="1"/>
  <c r="AW35"/>
  <c r="AW34"/>
  <c r="AY23"/>
  <c r="AY22"/>
  <c r="AS21"/>
  <c r="AW18"/>
  <c r="AW17"/>
  <c r="AP17"/>
  <c r="AY13"/>
  <c r="AW11"/>
  <c r="BF204"/>
  <c r="BA204"/>
  <c r="AP201"/>
  <c r="AX201" s="1"/>
  <c r="BF201"/>
  <c r="BA201"/>
  <c r="AP199"/>
  <c r="AX199" s="1"/>
  <c r="BF199"/>
  <c r="BA199"/>
  <c r="BF198"/>
  <c r="BA198"/>
  <c r="AS193"/>
  <c r="AS187"/>
  <c r="AS181"/>
  <c r="BF180"/>
  <c r="BA180"/>
  <c r="AP180"/>
  <c r="AX180" s="1"/>
  <c r="AS157"/>
  <c r="AA17"/>
  <c r="AC17" s="1"/>
  <c r="AE17" s="1"/>
  <c r="AA13"/>
  <c r="AC13" s="1"/>
  <c r="AE13" s="1"/>
  <c r="AA9"/>
  <c r="AC9" s="1"/>
  <c r="AE9" s="1"/>
  <c r="AY207"/>
  <c r="AW206"/>
  <c r="AP206"/>
  <c r="AX206" s="1"/>
  <c r="AY200"/>
  <c r="AS198"/>
  <c r="AT198" s="1"/>
  <c r="AZ198" s="1"/>
  <c r="AW197"/>
  <c r="AW196"/>
  <c r="BF190"/>
  <c r="AW182"/>
  <c r="AS205"/>
  <c r="AP203"/>
  <c r="AX203" s="1"/>
  <c r="BF203"/>
  <c r="BA203"/>
  <c r="BF202"/>
  <c r="BA202"/>
  <c r="BF196"/>
  <c r="BA196"/>
  <c r="AS194"/>
  <c r="AP193"/>
  <c r="AX193" s="1"/>
  <c r="BF193"/>
  <c r="BA193"/>
  <c r="AS188"/>
  <c r="AP187"/>
  <c r="AX187" s="1"/>
  <c r="BF187"/>
  <c r="BA187"/>
  <c r="BF186"/>
  <c r="BA186"/>
  <c r="AP185"/>
  <c r="AX185" s="1"/>
  <c r="BF185"/>
  <c r="BA185"/>
  <c r="AS165"/>
  <c r="AP163"/>
  <c r="AX163" s="1"/>
  <c r="BF163"/>
  <c r="BA163"/>
  <c r="BF162"/>
  <c r="BA162"/>
  <c r="AP205"/>
  <c r="AX205" s="1"/>
  <c r="BF205"/>
  <c r="BA205"/>
  <c r="AS197"/>
  <c r="AP195"/>
  <c r="AX195" s="1"/>
  <c r="BF195"/>
  <c r="BA195"/>
  <c r="BF194"/>
  <c r="BA194"/>
  <c r="AS189"/>
  <c r="BF188"/>
  <c r="BA188"/>
  <c r="AP188"/>
  <c r="AX188" s="1"/>
  <c r="AS179"/>
  <c r="AS173"/>
  <c r="AP171"/>
  <c r="AX171" s="1"/>
  <c r="BF171"/>
  <c r="BA171"/>
  <c r="BF170"/>
  <c r="BA170"/>
  <c r="AA188"/>
  <c r="AA15"/>
  <c r="AA11"/>
  <c r="AY203"/>
  <c r="AW202"/>
  <c r="AP202"/>
  <c r="AX202" s="1"/>
  <c r="AW198"/>
  <c r="AY196"/>
  <c r="AY194"/>
  <c r="AW193"/>
  <c r="AW190"/>
  <c r="AW184"/>
  <c r="BF182"/>
  <c r="BF164"/>
  <c r="BF158"/>
  <c r="AP207"/>
  <c r="AX207" s="1"/>
  <c r="BF207"/>
  <c r="BA207"/>
  <c r="BF206"/>
  <c r="BA206"/>
  <c r="AS201"/>
  <c r="AS200"/>
  <c r="BF200"/>
  <c r="BA200"/>
  <c r="AP197"/>
  <c r="AX197" s="1"/>
  <c r="BF197"/>
  <c r="BA197"/>
  <c r="AS192"/>
  <c r="BF192"/>
  <c r="BA192"/>
  <c r="AS180"/>
  <c r="AP179"/>
  <c r="AX179" s="1"/>
  <c r="BF179"/>
  <c r="BA179"/>
  <c r="BF178"/>
  <c r="BA178"/>
  <c r="AP177"/>
  <c r="AX177" s="1"/>
  <c r="BF177"/>
  <c r="BA177"/>
  <c r="AG197"/>
  <c r="AS195"/>
  <c r="BA189"/>
  <c r="AY179"/>
  <c r="BF166"/>
  <c r="AS146"/>
  <c r="AP144"/>
  <c r="AX144" s="1"/>
  <c r="BF144"/>
  <c r="AS138"/>
  <c r="AP136"/>
  <c r="AX136" s="1"/>
  <c r="BF136"/>
  <c r="BA136"/>
  <c r="BF135"/>
  <c r="BA135"/>
  <c r="AS130"/>
  <c r="AP128"/>
  <c r="AX128" s="1"/>
  <c r="BF128"/>
  <c r="BA128"/>
  <c r="BF127"/>
  <c r="BA127"/>
  <c r="AS122"/>
  <c r="AP120"/>
  <c r="AX120" s="1"/>
  <c r="BF120"/>
  <c r="BA120"/>
  <c r="BF119"/>
  <c r="BA119"/>
  <c r="AS114"/>
  <c r="AP112"/>
  <c r="AX112" s="1"/>
  <c r="BF112"/>
  <c r="BA112"/>
  <c r="BF111"/>
  <c r="BA111"/>
  <c r="AS106"/>
  <c r="AP104"/>
  <c r="AX104" s="1"/>
  <c r="BF104"/>
  <c r="BA104"/>
  <c r="BF103"/>
  <c r="BA103"/>
  <c r="AS98"/>
  <c r="AP96"/>
  <c r="AX96" s="1"/>
  <c r="BA96"/>
  <c r="BF96"/>
  <c r="BF95"/>
  <c r="BA95"/>
  <c r="AS90"/>
  <c r="AP88"/>
  <c r="AX88" s="1"/>
  <c r="BA88"/>
  <c r="BF88"/>
  <c r="BF87"/>
  <c r="BA87"/>
  <c r="AS82"/>
  <c r="AP80"/>
  <c r="AX80" s="1"/>
  <c r="BA80"/>
  <c r="BF80"/>
  <c r="BF79"/>
  <c r="BA79"/>
  <c r="AS74"/>
  <c r="AP72"/>
  <c r="AX72" s="1"/>
  <c r="BA72"/>
  <c r="BF72"/>
  <c r="BF71"/>
  <c r="BA71"/>
  <c r="AS66"/>
  <c r="AP64"/>
  <c r="AX64" s="1"/>
  <c r="BA64"/>
  <c r="BF64"/>
  <c r="BF63"/>
  <c r="BA63"/>
  <c r="AS58"/>
  <c r="AP56"/>
  <c r="AX56" s="1"/>
  <c r="BA56"/>
  <c r="BF56"/>
  <c r="BF55"/>
  <c r="BA55"/>
  <c r="AS50"/>
  <c r="AP48"/>
  <c r="AX48" s="1"/>
  <c r="BA48"/>
  <c r="BF48"/>
  <c r="BF47"/>
  <c r="BA47"/>
  <c r="AS42"/>
  <c r="AP40"/>
  <c r="AX40" s="1"/>
  <c r="BA40"/>
  <c r="BF40"/>
  <c r="BF39"/>
  <c r="BA39"/>
  <c r="AS34"/>
  <c r="AS30"/>
  <c r="AS26"/>
  <c r="AS25"/>
  <c r="AS22"/>
  <c r="AS18"/>
  <c r="AS17"/>
  <c r="AS14"/>
  <c r="AS11"/>
  <c r="AP10"/>
  <c r="AX10" s="1"/>
  <c r="BA10"/>
  <c r="BF10"/>
  <c r="AP191"/>
  <c r="AX191" s="1"/>
  <c r="AW189"/>
  <c r="AS185"/>
  <c r="AY184"/>
  <c r="AP183"/>
  <c r="AX183" s="1"/>
  <c r="AW181"/>
  <c r="AW178"/>
  <c r="AS177"/>
  <c r="AY176"/>
  <c r="AP175"/>
  <c r="AX175" s="1"/>
  <c r="AW173"/>
  <c r="AP172"/>
  <c r="AX172" s="1"/>
  <c r="AW170"/>
  <c r="AS169"/>
  <c r="AY168"/>
  <c r="AP167"/>
  <c r="AX167" s="1"/>
  <c r="AS166"/>
  <c r="AW165"/>
  <c r="AP164"/>
  <c r="AX164" s="1"/>
  <c r="AW162"/>
  <c r="AS161"/>
  <c r="AY160"/>
  <c r="AP159"/>
  <c r="AX159" s="1"/>
  <c r="AS158"/>
  <c r="AW157"/>
  <c r="AP156"/>
  <c r="AX156" s="1"/>
  <c r="AW154"/>
  <c r="BF152"/>
  <c r="AY145"/>
  <c r="BF143"/>
  <c r="AW142"/>
  <c r="AW141"/>
  <c r="AS137"/>
  <c r="AT137" s="1"/>
  <c r="AZ137" s="1"/>
  <c r="AW134"/>
  <c r="AS129"/>
  <c r="AW126"/>
  <c r="AS121"/>
  <c r="AT121" s="1"/>
  <c r="AW118"/>
  <c r="AY113"/>
  <c r="AW110"/>
  <c r="AW109"/>
  <c r="AS105"/>
  <c r="AY103"/>
  <c r="AW102"/>
  <c r="AS97"/>
  <c r="AY95"/>
  <c r="AW94"/>
  <c r="AW93"/>
  <c r="AW91"/>
  <c r="AS89"/>
  <c r="AY87"/>
  <c r="AW86"/>
  <c r="AW85"/>
  <c r="AY81"/>
  <c r="AY79"/>
  <c r="AW78"/>
  <c r="AS73"/>
  <c r="AT73" s="1"/>
  <c r="AY71"/>
  <c r="AW70"/>
  <c r="AW69"/>
  <c r="AY63"/>
  <c r="AW62"/>
  <c r="AW59"/>
  <c r="AS57"/>
  <c r="AY55"/>
  <c r="AW54"/>
  <c r="AY47"/>
  <c r="AW46"/>
  <c r="AY41"/>
  <c r="AY39"/>
  <c r="AW38"/>
  <c r="AY12"/>
  <c r="AS154"/>
  <c r="AS147"/>
  <c r="AP146"/>
  <c r="AX146" s="1"/>
  <c r="BF146"/>
  <c r="AP138"/>
  <c r="AX138" s="1"/>
  <c r="BF138"/>
  <c r="BA138"/>
  <c r="AS133"/>
  <c r="BF133"/>
  <c r="BA133"/>
  <c r="AP130"/>
  <c r="AX130" s="1"/>
  <c r="BF130"/>
  <c r="BA130"/>
  <c r="BF125"/>
  <c r="BA125"/>
  <c r="AS123"/>
  <c r="AP122"/>
  <c r="AX122" s="1"/>
  <c r="BF122"/>
  <c r="BA122"/>
  <c r="BF117"/>
  <c r="BA117"/>
  <c r="AP114"/>
  <c r="AX114" s="1"/>
  <c r="BF114"/>
  <c r="BA114"/>
  <c r="BF109"/>
  <c r="BA109"/>
  <c r="AS107"/>
  <c r="AP106"/>
  <c r="AX106" s="1"/>
  <c r="BF106"/>
  <c r="BA106"/>
  <c r="AS101"/>
  <c r="BF101"/>
  <c r="BA101"/>
  <c r="AP98"/>
  <c r="AX98" s="1"/>
  <c r="BF98"/>
  <c r="BA98"/>
  <c r="BF93"/>
  <c r="BA93"/>
  <c r="AP90"/>
  <c r="AX90" s="1"/>
  <c r="BF90"/>
  <c r="BA90"/>
  <c r="BF85"/>
  <c r="BA85"/>
  <c r="AS83"/>
  <c r="AP82"/>
  <c r="AX82" s="1"/>
  <c r="BF82"/>
  <c r="BA82"/>
  <c r="AS77"/>
  <c r="BF77"/>
  <c r="BA77"/>
  <c r="AS75"/>
  <c r="AP74"/>
  <c r="AX74" s="1"/>
  <c r="BF74"/>
  <c r="BA74"/>
  <c r="BF69"/>
  <c r="BA69"/>
  <c r="AS67"/>
  <c r="AP66"/>
  <c r="AX66" s="1"/>
  <c r="BF66"/>
  <c r="BA66"/>
  <c r="AS61"/>
  <c r="BF61"/>
  <c r="BA61"/>
  <c r="AP58"/>
  <c r="AX58" s="1"/>
  <c r="BF58"/>
  <c r="BA58"/>
  <c r="AS53"/>
  <c r="BF53"/>
  <c r="BA53"/>
  <c r="AS51"/>
  <c r="AP50"/>
  <c r="AX50" s="1"/>
  <c r="BF50"/>
  <c r="BA50"/>
  <c r="AS45"/>
  <c r="BF45"/>
  <c r="BA45"/>
  <c r="AS43"/>
  <c r="AP42"/>
  <c r="AX42" s="1"/>
  <c r="BF42"/>
  <c r="BA42"/>
  <c r="AS37"/>
  <c r="BA37"/>
  <c r="BF37"/>
  <c r="AS35"/>
  <c r="BA34"/>
  <c r="BF34"/>
  <c r="BA33"/>
  <c r="BF33"/>
  <c r="AS31"/>
  <c r="BA30"/>
  <c r="BF30"/>
  <c r="BA29"/>
  <c r="BF29"/>
  <c r="BA26"/>
  <c r="BF26"/>
  <c r="BA25"/>
  <c r="BF25"/>
  <c r="AS23"/>
  <c r="BA22"/>
  <c r="BF22"/>
  <c r="BA21"/>
  <c r="BF21"/>
  <c r="AS19"/>
  <c r="BA18"/>
  <c r="BF18"/>
  <c r="BA17"/>
  <c r="BF17"/>
  <c r="BA14"/>
  <c r="BF14"/>
  <c r="BA12"/>
  <c r="BF12"/>
  <c r="AP11"/>
  <c r="AX11" s="1"/>
  <c r="BA11"/>
  <c r="BF11"/>
  <c r="AW176"/>
  <c r="AP174"/>
  <c r="AX174" s="1"/>
  <c r="AS172"/>
  <c r="AP169"/>
  <c r="AX169" s="1"/>
  <c r="AW168"/>
  <c r="AP166"/>
  <c r="AX166" s="1"/>
  <c r="AS164"/>
  <c r="AP161"/>
  <c r="AX161" s="1"/>
  <c r="AW160"/>
  <c r="AP158"/>
  <c r="AX158" s="1"/>
  <c r="AS156"/>
  <c r="BF153"/>
  <c r="AW152"/>
  <c r="BF150"/>
  <c r="BF149"/>
  <c r="AW145"/>
  <c r="AW143"/>
  <c r="AP143"/>
  <c r="AX143" s="1"/>
  <c r="BF141"/>
  <c r="AP135"/>
  <c r="AX135" s="1"/>
  <c r="AW127"/>
  <c r="AP127"/>
  <c r="AX127" s="1"/>
  <c r="AP119"/>
  <c r="AX119" s="1"/>
  <c r="AW113"/>
  <c r="AW111"/>
  <c r="AP111"/>
  <c r="AX111" s="1"/>
  <c r="AP103"/>
  <c r="AX103" s="1"/>
  <c r="AW97"/>
  <c r="AT96"/>
  <c r="AZ96" s="1"/>
  <c r="AW95"/>
  <c r="AP95"/>
  <c r="AX95" s="1"/>
  <c r="AW89"/>
  <c r="AW87"/>
  <c r="AP87"/>
  <c r="AX87" s="1"/>
  <c r="AW81"/>
  <c r="AT80"/>
  <c r="AP79"/>
  <c r="AX79" s="1"/>
  <c r="AP71"/>
  <c r="AX71" s="1"/>
  <c r="AW65"/>
  <c r="AT64"/>
  <c r="AW63"/>
  <c r="AP63"/>
  <c r="AX63" s="1"/>
  <c r="AW57"/>
  <c r="AT56"/>
  <c r="AZ56" s="1"/>
  <c r="AW55"/>
  <c r="AP55"/>
  <c r="AX55" s="1"/>
  <c r="AW47"/>
  <c r="AP47"/>
  <c r="AX47" s="1"/>
  <c r="AW41"/>
  <c r="AW39"/>
  <c r="AP39"/>
  <c r="AX39" s="1"/>
  <c r="AW13"/>
  <c r="AW10"/>
  <c r="BA155"/>
  <c r="BA153"/>
  <c r="BA149"/>
  <c r="BA147"/>
  <c r="BA143"/>
  <c r="BA141"/>
  <c r="AP154"/>
  <c r="AX154" s="1"/>
  <c r="BF154"/>
  <c r="AP148"/>
  <c r="AX148" s="1"/>
  <c r="BF148"/>
  <c r="AS142"/>
  <c r="AP140"/>
  <c r="AX140" s="1"/>
  <c r="BF140"/>
  <c r="BA140"/>
  <c r="BF139"/>
  <c r="BA139"/>
  <c r="AS134"/>
  <c r="AP132"/>
  <c r="AX132" s="1"/>
  <c r="BF132"/>
  <c r="BA132"/>
  <c r="BF131"/>
  <c r="BA131"/>
  <c r="AS126"/>
  <c r="AP124"/>
  <c r="AX124" s="1"/>
  <c r="BF124"/>
  <c r="BA124"/>
  <c r="BF123"/>
  <c r="BA123"/>
  <c r="AS118"/>
  <c r="AP116"/>
  <c r="AX116" s="1"/>
  <c r="BF116"/>
  <c r="BA116"/>
  <c r="BF115"/>
  <c r="BA115"/>
  <c r="AS110"/>
  <c r="AP108"/>
  <c r="AX108" s="1"/>
  <c r="BF108"/>
  <c r="BA108"/>
  <c r="BF107"/>
  <c r="BA107"/>
  <c r="AS102"/>
  <c r="AP100"/>
  <c r="AX100" s="1"/>
  <c r="BF100"/>
  <c r="BA100"/>
  <c r="BF99"/>
  <c r="BA99"/>
  <c r="AS94"/>
  <c r="AP92"/>
  <c r="AX92" s="1"/>
  <c r="BA92"/>
  <c r="BF92"/>
  <c r="BF91"/>
  <c r="BA91"/>
  <c r="AS86"/>
  <c r="AP84"/>
  <c r="AX84" s="1"/>
  <c r="BA84"/>
  <c r="BF84"/>
  <c r="BF83"/>
  <c r="BA83"/>
  <c r="AS78"/>
  <c r="AP76"/>
  <c r="AX76" s="1"/>
  <c r="BA76"/>
  <c r="BF76"/>
  <c r="BF75"/>
  <c r="BA75"/>
  <c r="AS70"/>
  <c r="AP68"/>
  <c r="AX68" s="1"/>
  <c r="BA68"/>
  <c r="BF68"/>
  <c r="BF67"/>
  <c r="BA67"/>
  <c r="AS62"/>
  <c r="AP60"/>
  <c r="AX60" s="1"/>
  <c r="BA60"/>
  <c r="BF60"/>
  <c r="BF59"/>
  <c r="BA59"/>
  <c r="AS54"/>
  <c r="AP52"/>
  <c r="AX52" s="1"/>
  <c r="BA52"/>
  <c r="BF52"/>
  <c r="BF51"/>
  <c r="BA51"/>
  <c r="AS46"/>
  <c r="AP44"/>
  <c r="AX44" s="1"/>
  <c r="BA44"/>
  <c r="BF44"/>
  <c r="BF43"/>
  <c r="BA43"/>
  <c r="AS38"/>
  <c r="BA36"/>
  <c r="BF36"/>
  <c r="BA35"/>
  <c r="BF35"/>
  <c r="BA32"/>
  <c r="BF32"/>
  <c r="BA31"/>
  <c r="BF31"/>
  <c r="BA28"/>
  <c r="BF28"/>
  <c r="BA27"/>
  <c r="BF27"/>
  <c r="BA24"/>
  <c r="BF24"/>
  <c r="BA23"/>
  <c r="BF23"/>
  <c r="BA20"/>
  <c r="BF20"/>
  <c r="BA19"/>
  <c r="BF19"/>
  <c r="BA16"/>
  <c r="BF16"/>
  <c r="BA15"/>
  <c r="BF15"/>
  <c r="BA9"/>
  <c r="BF9"/>
  <c r="AT109"/>
  <c r="AT93"/>
  <c r="AT85"/>
  <c r="AX21"/>
  <c r="BA191"/>
  <c r="BA190"/>
  <c r="BA184"/>
  <c r="BA183"/>
  <c r="BA182"/>
  <c r="BA176"/>
  <c r="BA175"/>
  <c r="BA174"/>
  <c r="BA172"/>
  <c r="BA169"/>
  <c r="BA168"/>
  <c r="BA167"/>
  <c r="BA166"/>
  <c r="BA164"/>
  <c r="BA161"/>
  <c r="BA160"/>
  <c r="BA159"/>
  <c r="BA158"/>
  <c r="BA156"/>
  <c r="AS152"/>
  <c r="AS145"/>
  <c r="AT145" s="1"/>
  <c r="AZ145" s="1"/>
  <c r="AS143"/>
  <c r="AP142"/>
  <c r="AX142" s="1"/>
  <c r="BF142"/>
  <c r="BF137"/>
  <c r="BA137"/>
  <c r="AP134"/>
  <c r="AX134" s="1"/>
  <c r="BF134"/>
  <c r="BA134"/>
  <c r="BF129"/>
  <c r="BA129"/>
  <c r="AS127"/>
  <c r="AT127" s="1"/>
  <c r="AP126"/>
  <c r="AX126" s="1"/>
  <c r="BF126"/>
  <c r="BA126"/>
  <c r="BF121"/>
  <c r="BA121"/>
  <c r="AP118"/>
  <c r="AX118" s="1"/>
  <c r="BF118"/>
  <c r="BA118"/>
  <c r="AS113"/>
  <c r="AT113" s="1"/>
  <c r="AZ113" s="1"/>
  <c r="BF113"/>
  <c r="BA113"/>
  <c r="AP110"/>
  <c r="AX110" s="1"/>
  <c r="BF110"/>
  <c r="BA110"/>
  <c r="BF105"/>
  <c r="BA105"/>
  <c r="AP102"/>
  <c r="AX102" s="1"/>
  <c r="BF102"/>
  <c r="BA102"/>
  <c r="BF97"/>
  <c r="BA97"/>
  <c r="AP94"/>
  <c r="AX94" s="1"/>
  <c r="BF94"/>
  <c r="BA94"/>
  <c r="BF89"/>
  <c r="BA89"/>
  <c r="AS87"/>
  <c r="AP86"/>
  <c r="AX86" s="1"/>
  <c r="BF86"/>
  <c r="BA86"/>
  <c r="AS81"/>
  <c r="AT81" s="1"/>
  <c r="AZ81" s="1"/>
  <c r="BF81"/>
  <c r="BA81"/>
  <c r="AP78"/>
  <c r="AX78" s="1"/>
  <c r="BF78"/>
  <c r="BA78"/>
  <c r="BF73"/>
  <c r="BA73"/>
  <c r="AP70"/>
  <c r="AX70" s="1"/>
  <c r="BF70"/>
  <c r="BA70"/>
  <c r="BF65"/>
  <c r="BA65"/>
  <c r="AS63"/>
  <c r="AT63" s="1"/>
  <c r="AP62"/>
  <c r="AX62" s="1"/>
  <c r="BF62"/>
  <c r="BA62"/>
  <c r="BF57"/>
  <c r="BA57"/>
  <c r="AP54"/>
  <c r="AX54" s="1"/>
  <c r="BF54"/>
  <c r="BA54"/>
  <c r="BF49"/>
  <c r="BA49"/>
  <c r="AP46"/>
  <c r="AX46" s="1"/>
  <c r="BF46"/>
  <c r="BA46"/>
  <c r="AS41"/>
  <c r="BF41"/>
  <c r="BA41"/>
  <c r="AS39"/>
  <c r="AP38"/>
  <c r="AX38" s="1"/>
  <c r="BF38"/>
  <c r="BA38"/>
  <c r="BA13"/>
  <c r="BF13"/>
  <c r="AS10"/>
  <c r="AP189"/>
  <c r="AX189" s="1"/>
  <c r="AW188"/>
  <c r="AP186"/>
  <c r="AX186" s="1"/>
  <c r="AS184"/>
  <c r="AT184" s="1"/>
  <c r="AZ184" s="1"/>
  <c r="AP181"/>
  <c r="AX181" s="1"/>
  <c r="AW180"/>
  <c r="AP178"/>
  <c r="AX178" s="1"/>
  <c r="AP173"/>
  <c r="AX173" s="1"/>
  <c r="AS171"/>
  <c r="AP170"/>
  <c r="AX170" s="1"/>
  <c r="AT168"/>
  <c r="AP165"/>
  <c r="AX165" s="1"/>
  <c r="AS163"/>
  <c r="AT163" s="1"/>
  <c r="AZ163" s="1"/>
  <c r="AP162"/>
  <c r="AX162" s="1"/>
  <c r="AT160"/>
  <c r="AP157"/>
  <c r="AX157" s="1"/>
  <c r="AS155"/>
  <c r="AT155" s="1"/>
  <c r="AZ155" s="1"/>
  <c r="BF151"/>
  <c r="AW149"/>
  <c r="AS148"/>
  <c r="AT148" s="1"/>
  <c r="AZ148" s="1"/>
  <c r="AP147"/>
  <c r="AX147" s="1"/>
  <c r="AX145"/>
  <c r="BF145"/>
  <c r="AS140"/>
  <c r="AT140" s="1"/>
  <c r="AZ140" s="1"/>
  <c r="AP139"/>
  <c r="AX139" s="1"/>
  <c r="AS132"/>
  <c r="AP131"/>
  <c r="AX131" s="1"/>
  <c r="AS124"/>
  <c r="AT124" s="1"/>
  <c r="AZ124" s="1"/>
  <c r="AP123"/>
  <c r="AX123" s="1"/>
  <c r="AW117"/>
  <c r="AS116"/>
  <c r="AP115"/>
  <c r="AX115" s="1"/>
  <c r="AS108"/>
  <c r="AT108" s="1"/>
  <c r="AZ108" s="1"/>
  <c r="AP107"/>
  <c r="AX107" s="1"/>
  <c r="AW101"/>
  <c r="AS100"/>
  <c r="AP99"/>
  <c r="AX99" s="1"/>
  <c r="AS92"/>
  <c r="AT92" s="1"/>
  <c r="AZ92" s="1"/>
  <c r="AP91"/>
  <c r="AX91" s="1"/>
  <c r="AS84"/>
  <c r="AP83"/>
  <c r="AX83" s="1"/>
  <c r="AS76"/>
  <c r="AT76" s="1"/>
  <c r="AZ76" s="1"/>
  <c r="AP75"/>
  <c r="AX75" s="1"/>
  <c r="AS68"/>
  <c r="AP67"/>
  <c r="AX67" s="1"/>
  <c r="AW61"/>
  <c r="AS60"/>
  <c r="AT60" s="1"/>
  <c r="AZ60" s="1"/>
  <c r="AP59"/>
  <c r="AX59" s="1"/>
  <c r="AW53"/>
  <c r="AS52"/>
  <c r="AW51"/>
  <c r="AP51"/>
  <c r="AX51" s="1"/>
  <c r="AS44"/>
  <c r="AT44" s="1"/>
  <c r="AZ44" s="1"/>
  <c r="AP43"/>
  <c r="AX43" s="1"/>
  <c r="AS36"/>
  <c r="AP35"/>
  <c r="AX35" s="1"/>
  <c r="AW33"/>
  <c r="AS32"/>
  <c r="AW31"/>
  <c r="AW29"/>
  <c r="AS28"/>
  <c r="AW27"/>
  <c r="AS24"/>
  <c r="AW23"/>
  <c r="AS20"/>
  <c r="AW19"/>
  <c r="AP19"/>
  <c r="AX19" s="1"/>
  <c r="AS16"/>
  <c r="AW15"/>
  <c r="AP15"/>
  <c r="AX15" s="1"/>
  <c r="AP12"/>
  <c r="AX12" s="1"/>
  <c r="AS9"/>
  <c r="BF191"/>
  <c r="BF189"/>
  <c r="BF183"/>
  <c r="BF181"/>
  <c r="BF175"/>
  <c r="BF173"/>
  <c r="BF169"/>
  <c r="BF167"/>
  <c r="BF165"/>
  <c r="BF161"/>
  <c r="BF159"/>
  <c r="BF157"/>
  <c r="BF155"/>
  <c r="BA154"/>
  <c r="BA152"/>
  <c r="BA150"/>
  <c r="BA148"/>
  <c r="BA146"/>
  <c r="BA144"/>
  <c r="BA142"/>
  <c r="AP14"/>
  <c r="AX14" s="1"/>
  <c r="AP16"/>
  <c r="AX16" s="1"/>
  <c r="AP18"/>
  <c r="AX18" s="1"/>
  <c r="AT21"/>
  <c r="AP22"/>
  <c r="AX22" s="1"/>
  <c r="AP25"/>
  <c r="AX25" s="1"/>
  <c r="AP26"/>
  <c r="AX26" s="1"/>
  <c r="AP28"/>
  <c r="AX28" s="1"/>
  <c r="AP29"/>
  <c r="AX29" s="1"/>
  <c r="AP30"/>
  <c r="AX30" s="1"/>
  <c r="AP32"/>
  <c r="AX32" s="1"/>
  <c r="AP33"/>
  <c r="AX33" s="1"/>
  <c r="AP34"/>
  <c r="AX34" s="1"/>
  <c r="AP36"/>
  <c r="AX36" s="1"/>
  <c r="AP31"/>
  <c r="AX31" s="1"/>
  <c r="AP27"/>
  <c r="AX27" s="1"/>
  <c r="AP24"/>
  <c r="AX24" s="1"/>
  <c r="AP23"/>
  <c r="AX23" s="1"/>
  <c r="AP20"/>
  <c r="AX20" s="1"/>
  <c r="AT201"/>
  <c r="AZ201" s="1"/>
  <c r="AT187"/>
  <c r="AZ187" s="1"/>
  <c r="AZ160"/>
  <c r="AT193"/>
  <c r="AT185"/>
  <c r="AZ185" s="1"/>
  <c r="AT169"/>
  <c r="AT205"/>
  <c r="AZ205" s="1"/>
  <c r="AP152"/>
  <c r="AX152" s="1"/>
  <c r="AY151"/>
  <c r="AS151"/>
  <c r="AT151" s="1"/>
  <c r="AZ151" s="1"/>
  <c r="AY139"/>
  <c r="AS139"/>
  <c r="AY135"/>
  <c r="AS135"/>
  <c r="AY131"/>
  <c r="AS131"/>
  <c r="AT131" s="1"/>
  <c r="AY119"/>
  <c r="AS119"/>
  <c r="AY115"/>
  <c r="AS115"/>
  <c r="AY111"/>
  <c r="AS111"/>
  <c r="AT111" s="1"/>
  <c r="AY206"/>
  <c r="AS204"/>
  <c r="AT204" s="1"/>
  <c r="AY202"/>
  <c r="AY198"/>
  <c r="AS196"/>
  <c r="AT196" s="1"/>
  <c r="AZ196" s="1"/>
  <c r="AY190"/>
  <c r="AY186"/>
  <c r="AY182"/>
  <c r="AY178"/>
  <c r="AY174"/>
  <c r="AY170"/>
  <c r="AY166"/>
  <c r="AY162"/>
  <c r="AY158"/>
  <c r="AY154"/>
  <c r="AP150"/>
  <c r="AX150" s="1"/>
  <c r="AY147"/>
  <c r="AY143"/>
  <c r="AY127"/>
  <c r="AY123"/>
  <c r="AT90"/>
  <c r="AZ90" s="1"/>
  <c r="AT42"/>
  <c r="AZ42" s="1"/>
  <c r="AS149"/>
  <c r="AY149"/>
  <c r="AS153"/>
  <c r="AT153" s="1"/>
  <c r="AT138"/>
  <c r="AZ138" s="1"/>
  <c r="AT116"/>
  <c r="AZ116" s="1"/>
  <c r="AY141"/>
  <c r="AY137"/>
  <c r="AY129"/>
  <c r="AY125"/>
  <c r="AY121"/>
  <c r="AY117"/>
  <c r="AY109"/>
  <c r="AY105"/>
  <c r="AS103"/>
  <c r="AT103" s="1"/>
  <c r="AZ103" s="1"/>
  <c r="AS99"/>
  <c r="AY97"/>
  <c r="AS95"/>
  <c r="AT95" s="1"/>
  <c r="AY93"/>
  <c r="AS91"/>
  <c r="AY89"/>
  <c r="AY85"/>
  <c r="AS79"/>
  <c r="AY73"/>
  <c r="AS71"/>
  <c r="AT71" s="1"/>
  <c r="AY69"/>
  <c r="AY65"/>
  <c r="AS59"/>
  <c r="AY57"/>
  <c r="AS55"/>
  <c r="AT55" s="1"/>
  <c r="AY49"/>
  <c r="AS47"/>
  <c r="AY33"/>
  <c r="AY29"/>
  <c r="AS27"/>
  <c r="AY21"/>
  <c r="AS15"/>
  <c r="AY9"/>
  <c r="AG193"/>
  <c r="AG189"/>
  <c r="AF207"/>
  <c r="AF203"/>
  <c r="AF199"/>
  <c r="AF195"/>
  <c r="AF191"/>
  <c r="AA204"/>
  <c r="AC204" s="1"/>
  <c r="AE204" s="1"/>
  <c r="AA200"/>
  <c r="AC200" s="1"/>
  <c r="AE200" s="1"/>
  <c r="AA196"/>
  <c r="AA192"/>
  <c r="AC192" s="1"/>
  <c r="AE192" s="1"/>
  <c r="AA186"/>
  <c r="AC186" s="1"/>
  <c r="AE186" s="1"/>
  <c r="AG186"/>
  <c r="AF186"/>
  <c r="AA182"/>
  <c r="AG182"/>
  <c r="AF182"/>
  <c r="AA178"/>
  <c r="AG178"/>
  <c r="AF178"/>
  <c r="AA174"/>
  <c r="AC174" s="1"/>
  <c r="AE174" s="1"/>
  <c r="AG174"/>
  <c r="AF174"/>
  <c r="AA170"/>
  <c r="AC170" s="1"/>
  <c r="AE170" s="1"/>
  <c r="AG170"/>
  <c r="AF170"/>
  <c r="AA166"/>
  <c r="AC166" s="1"/>
  <c r="AE166" s="1"/>
  <c r="AG166"/>
  <c r="AF166"/>
  <c r="AA162"/>
  <c r="AG162"/>
  <c r="AF162"/>
  <c r="AA158"/>
  <c r="AC158" s="1"/>
  <c r="AE158" s="1"/>
  <c r="AG158"/>
  <c r="AF158"/>
  <c r="AA154"/>
  <c r="AC154" s="1"/>
  <c r="AE154" s="1"/>
  <c r="AG154"/>
  <c r="AF154"/>
  <c r="AA150"/>
  <c r="AC150" s="1"/>
  <c r="AE150" s="1"/>
  <c r="AG150"/>
  <c r="AF150"/>
  <c r="AA146"/>
  <c r="AG146"/>
  <c r="AF146"/>
  <c r="AA142"/>
  <c r="AC142" s="1"/>
  <c r="AE142" s="1"/>
  <c r="AG142"/>
  <c r="AF142"/>
  <c r="AA138"/>
  <c r="AC138" s="1"/>
  <c r="AE138" s="1"/>
  <c r="AG138"/>
  <c r="AF138"/>
  <c r="AG134"/>
  <c r="AF134"/>
  <c r="AA131"/>
  <c r="AC131" s="1"/>
  <c r="AE131" s="1"/>
  <c r="AG131"/>
  <c r="AF131"/>
  <c r="AG128"/>
  <c r="AF128"/>
  <c r="AA122"/>
  <c r="AG122"/>
  <c r="AF122"/>
  <c r="AA118"/>
  <c r="AC118" s="1"/>
  <c r="AE118" s="1"/>
  <c r="AG118"/>
  <c r="AF118"/>
  <c r="AA114"/>
  <c r="AC114" s="1"/>
  <c r="AE114" s="1"/>
  <c r="AG114"/>
  <c r="AF114"/>
  <c r="AA110"/>
  <c r="AC110" s="1"/>
  <c r="AE110" s="1"/>
  <c r="AG110"/>
  <c r="AF110"/>
  <c r="AA106"/>
  <c r="AG106"/>
  <c r="AF106"/>
  <c r="AA102"/>
  <c r="AC102" s="1"/>
  <c r="AE102" s="1"/>
  <c r="AG102"/>
  <c r="AF102"/>
  <c r="AA98"/>
  <c r="AC98" s="1"/>
  <c r="AE98" s="1"/>
  <c r="AG98"/>
  <c r="AF98"/>
  <c r="AA94"/>
  <c r="AC94" s="1"/>
  <c r="AE94" s="1"/>
  <c r="AG94"/>
  <c r="AF94"/>
  <c r="AA90"/>
  <c r="AG90"/>
  <c r="AF90"/>
  <c r="AA86"/>
  <c r="AC86" s="1"/>
  <c r="AE86" s="1"/>
  <c r="AG86"/>
  <c r="AF86"/>
  <c r="AA82"/>
  <c r="AG82"/>
  <c r="AF82"/>
  <c r="AA78"/>
  <c r="AC78" s="1"/>
  <c r="AE78" s="1"/>
  <c r="AG78"/>
  <c r="AF78"/>
  <c r="AA74"/>
  <c r="AG74"/>
  <c r="AF74"/>
  <c r="AA70"/>
  <c r="AC70" s="1"/>
  <c r="AE70" s="1"/>
  <c r="AG70"/>
  <c r="AF70"/>
  <c r="AA66"/>
  <c r="AC66" s="1"/>
  <c r="AE66" s="1"/>
  <c r="AG66"/>
  <c r="AF66"/>
  <c r="AA62"/>
  <c r="AC62" s="1"/>
  <c r="AE62" s="1"/>
  <c r="AG62"/>
  <c r="AF62"/>
  <c r="AA58"/>
  <c r="AG58"/>
  <c r="AF58"/>
  <c r="AA54"/>
  <c r="AC54" s="1"/>
  <c r="AE54" s="1"/>
  <c r="AG54"/>
  <c r="AF54"/>
  <c r="AA50"/>
  <c r="AG50"/>
  <c r="AF50"/>
  <c r="AA46"/>
  <c r="AG46"/>
  <c r="AF46"/>
  <c r="AA42"/>
  <c r="AG42"/>
  <c r="AF42"/>
  <c r="AA38"/>
  <c r="AC38" s="1"/>
  <c r="AE38" s="1"/>
  <c r="AG38"/>
  <c r="AF38"/>
  <c r="AA34"/>
  <c r="AC34" s="1"/>
  <c r="AE34" s="1"/>
  <c r="AG34"/>
  <c r="AF34"/>
  <c r="AA30"/>
  <c r="AC30" s="1"/>
  <c r="AE30" s="1"/>
  <c r="AG30"/>
  <c r="AF30"/>
  <c r="AA26"/>
  <c r="AG26"/>
  <c r="AF26"/>
  <c r="AA22"/>
  <c r="AC22" s="1"/>
  <c r="AE22" s="1"/>
  <c r="AG22"/>
  <c r="AF22"/>
  <c r="AG18"/>
  <c r="AF18"/>
  <c r="AG14"/>
  <c r="AF14"/>
  <c r="AF10"/>
  <c r="AG10"/>
  <c r="AA206"/>
  <c r="AA202"/>
  <c r="AC202" s="1"/>
  <c r="AE202" s="1"/>
  <c r="AA198"/>
  <c r="AC198" s="1"/>
  <c r="AE198" s="1"/>
  <c r="AA194"/>
  <c r="AA190"/>
  <c r="AF205"/>
  <c r="AF201"/>
  <c r="AF197"/>
  <c r="AF193"/>
  <c r="AF189"/>
  <c r="AA187"/>
  <c r="AC187" s="1"/>
  <c r="AE187" s="1"/>
  <c r="AG187"/>
  <c r="AF187"/>
  <c r="AA183"/>
  <c r="AC183" s="1"/>
  <c r="AE183" s="1"/>
  <c r="AG183"/>
  <c r="AF183"/>
  <c r="AA179"/>
  <c r="AG179"/>
  <c r="AF179"/>
  <c r="AA175"/>
  <c r="AC175" s="1"/>
  <c r="AE175" s="1"/>
  <c r="AG175"/>
  <c r="AF175"/>
  <c r="AA171"/>
  <c r="AC171" s="1"/>
  <c r="AE171" s="1"/>
  <c r="AG171"/>
  <c r="AF171"/>
  <c r="AA167"/>
  <c r="AC167" s="1"/>
  <c r="AE167" s="1"/>
  <c r="AG167"/>
  <c r="AF167"/>
  <c r="AA163"/>
  <c r="AG163"/>
  <c r="AF163"/>
  <c r="AA159"/>
  <c r="AC159" s="1"/>
  <c r="AE159" s="1"/>
  <c r="AG159"/>
  <c r="AF159"/>
  <c r="AA155"/>
  <c r="AC155" s="1"/>
  <c r="AE155" s="1"/>
  <c r="AG155"/>
  <c r="AF155"/>
  <c r="AA151"/>
  <c r="AC151" s="1"/>
  <c r="AE151" s="1"/>
  <c r="AG151"/>
  <c r="AF151"/>
  <c r="AA147"/>
  <c r="AG147"/>
  <c r="AF147"/>
  <c r="AA143"/>
  <c r="AC143" s="1"/>
  <c r="AE143" s="1"/>
  <c r="AG143"/>
  <c r="AF143"/>
  <c r="AA139"/>
  <c r="AC139" s="1"/>
  <c r="AE139" s="1"/>
  <c r="AG139"/>
  <c r="AF139"/>
  <c r="AA135"/>
  <c r="AC135" s="1"/>
  <c r="AE135" s="1"/>
  <c r="AG135"/>
  <c r="AF135"/>
  <c r="AA129"/>
  <c r="AC129" s="1"/>
  <c r="AE129" s="1"/>
  <c r="AG129"/>
  <c r="AF129"/>
  <c r="AG126"/>
  <c r="AF126"/>
  <c r="AA123"/>
  <c r="AC123" s="1"/>
  <c r="AE123" s="1"/>
  <c r="AG123"/>
  <c r="AF123"/>
  <c r="AA119"/>
  <c r="AC119" s="1"/>
  <c r="AE119" s="1"/>
  <c r="AG119"/>
  <c r="AF119"/>
  <c r="AA115"/>
  <c r="AC115" s="1"/>
  <c r="AE115" s="1"/>
  <c r="AG115"/>
  <c r="AF115"/>
  <c r="AA111"/>
  <c r="AC111" s="1"/>
  <c r="AE111" s="1"/>
  <c r="AG111"/>
  <c r="AF111"/>
  <c r="AA107"/>
  <c r="AC107" s="1"/>
  <c r="AE107" s="1"/>
  <c r="AG107"/>
  <c r="AF107"/>
  <c r="AA103"/>
  <c r="AC103" s="1"/>
  <c r="AE103" s="1"/>
  <c r="AG103"/>
  <c r="AF103"/>
  <c r="AA99"/>
  <c r="AC99" s="1"/>
  <c r="AE99" s="1"/>
  <c r="AG99"/>
  <c r="AF99"/>
  <c r="AA95"/>
  <c r="AC95" s="1"/>
  <c r="AE95" s="1"/>
  <c r="AG95"/>
  <c r="AF95"/>
  <c r="AA91"/>
  <c r="AC91" s="1"/>
  <c r="AE91" s="1"/>
  <c r="AG91"/>
  <c r="AF91"/>
  <c r="AA87"/>
  <c r="AC87" s="1"/>
  <c r="AE87" s="1"/>
  <c r="AG87"/>
  <c r="AF87"/>
  <c r="AA83"/>
  <c r="AC83" s="1"/>
  <c r="AE83" s="1"/>
  <c r="AG83"/>
  <c r="AF83"/>
  <c r="AA79"/>
  <c r="AC79" s="1"/>
  <c r="AE79" s="1"/>
  <c r="AG79"/>
  <c r="AF79"/>
  <c r="AA75"/>
  <c r="AC75" s="1"/>
  <c r="AE75" s="1"/>
  <c r="AG75"/>
  <c r="AF75"/>
  <c r="AA71"/>
  <c r="AC71" s="1"/>
  <c r="AE71" s="1"/>
  <c r="AG71"/>
  <c r="AF71"/>
  <c r="AA67"/>
  <c r="AC67" s="1"/>
  <c r="AE67" s="1"/>
  <c r="AG67"/>
  <c r="AF67"/>
  <c r="AA63"/>
  <c r="AC63" s="1"/>
  <c r="AE63" s="1"/>
  <c r="AG63"/>
  <c r="AF63"/>
  <c r="AA59"/>
  <c r="AC59" s="1"/>
  <c r="AE59" s="1"/>
  <c r="AG59"/>
  <c r="AF59"/>
  <c r="AA55"/>
  <c r="AC55" s="1"/>
  <c r="AE55" s="1"/>
  <c r="AG55"/>
  <c r="AF55"/>
  <c r="AA51"/>
  <c r="AC51" s="1"/>
  <c r="AE51" s="1"/>
  <c r="AG51"/>
  <c r="AF51"/>
  <c r="AA47"/>
  <c r="AC47" s="1"/>
  <c r="AE47" s="1"/>
  <c r="AG47"/>
  <c r="AF47"/>
  <c r="AA43"/>
  <c r="AC43" s="1"/>
  <c r="AE43" s="1"/>
  <c r="AG43"/>
  <c r="AF43"/>
  <c r="AA39"/>
  <c r="AC39" s="1"/>
  <c r="AE39" s="1"/>
  <c r="AG39"/>
  <c r="AF39"/>
  <c r="AA35"/>
  <c r="AC35" s="1"/>
  <c r="AE35" s="1"/>
  <c r="AF35"/>
  <c r="AG35"/>
  <c r="AA31"/>
  <c r="AC31" s="1"/>
  <c r="AE31" s="1"/>
  <c r="AF31"/>
  <c r="AG31"/>
  <c r="AA27"/>
  <c r="AC27" s="1"/>
  <c r="AE27" s="1"/>
  <c r="AF27"/>
  <c r="AG27"/>
  <c r="AA23"/>
  <c r="AC23" s="1"/>
  <c r="AE23" s="1"/>
  <c r="AF23"/>
  <c r="AG23"/>
  <c r="AA19"/>
  <c r="AC19" s="1"/>
  <c r="AE19" s="1"/>
  <c r="AF19"/>
  <c r="AG19"/>
  <c r="AF15"/>
  <c r="AG15"/>
  <c r="AF11"/>
  <c r="AG11"/>
  <c r="AA207"/>
  <c r="AC207" s="1"/>
  <c r="AE207" s="1"/>
  <c r="AA203"/>
  <c r="AC203" s="1"/>
  <c r="AE203" s="1"/>
  <c r="AA199"/>
  <c r="AC196"/>
  <c r="AE196" s="1"/>
  <c r="AA195"/>
  <c r="AC195" s="1"/>
  <c r="AE195" s="1"/>
  <c r="AA191"/>
  <c r="AC188"/>
  <c r="AE188" s="1"/>
  <c r="AA18"/>
  <c r="AC18" s="1"/>
  <c r="AE18" s="1"/>
  <c r="AA14"/>
  <c r="AC14" s="1"/>
  <c r="AE14" s="1"/>
  <c r="AA10"/>
  <c r="AC10" s="1"/>
  <c r="AE10" s="1"/>
  <c r="AG207"/>
  <c r="AG203"/>
  <c r="AG199"/>
  <c r="AG195"/>
  <c r="AG191"/>
  <c r="AA184"/>
  <c r="AC184" s="1"/>
  <c r="AE184" s="1"/>
  <c r="AG184"/>
  <c r="AF184"/>
  <c r="AA180"/>
  <c r="AC180" s="1"/>
  <c r="AE180" s="1"/>
  <c r="AG180"/>
  <c r="AF180"/>
  <c r="AA176"/>
  <c r="AC176" s="1"/>
  <c r="AE176" s="1"/>
  <c r="AG176"/>
  <c r="AF176"/>
  <c r="AA172"/>
  <c r="AC172" s="1"/>
  <c r="AE172" s="1"/>
  <c r="AG172"/>
  <c r="AF172"/>
  <c r="AA168"/>
  <c r="AC168" s="1"/>
  <c r="AE168" s="1"/>
  <c r="AG168"/>
  <c r="AF168"/>
  <c r="AA164"/>
  <c r="AC164" s="1"/>
  <c r="AE164" s="1"/>
  <c r="AG164"/>
  <c r="AF164"/>
  <c r="AA160"/>
  <c r="AC160" s="1"/>
  <c r="AE160" s="1"/>
  <c r="AG160"/>
  <c r="AF160"/>
  <c r="AA156"/>
  <c r="AC156" s="1"/>
  <c r="AE156" s="1"/>
  <c r="AG156"/>
  <c r="AF156"/>
  <c r="AA152"/>
  <c r="AC152" s="1"/>
  <c r="AE152" s="1"/>
  <c r="AG152"/>
  <c r="AF152"/>
  <c r="AA148"/>
  <c r="AC148" s="1"/>
  <c r="AE148" s="1"/>
  <c r="AG148"/>
  <c r="AF148"/>
  <c r="AA144"/>
  <c r="AC144" s="1"/>
  <c r="AE144" s="1"/>
  <c r="AG144"/>
  <c r="AF144"/>
  <c r="AA140"/>
  <c r="AC140" s="1"/>
  <c r="AE140" s="1"/>
  <c r="AG140"/>
  <c r="AF140"/>
  <c r="AG136"/>
  <c r="AF136"/>
  <c r="AG132"/>
  <c r="AF132"/>
  <c r="AA127"/>
  <c r="AC127" s="1"/>
  <c r="AE127" s="1"/>
  <c r="AG127"/>
  <c r="AF127"/>
  <c r="AG124"/>
  <c r="AF124"/>
  <c r="AG120"/>
  <c r="AF120"/>
  <c r="AG116"/>
  <c r="AF116"/>
  <c r="AG112"/>
  <c r="AF112"/>
  <c r="AG108"/>
  <c r="AF108"/>
  <c r="AG104"/>
  <c r="AF104"/>
  <c r="AG100"/>
  <c r="AF100"/>
  <c r="AA96"/>
  <c r="AC96" s="1"/>
  <c r="AE96" s="1"/>
  <c r="AG96"/>
  <c r="AF96"/>
  <c r="AA92"/>
  <c r="AC92" s="1"/>
  <c r="AE92" s="1"/>
  <c r="AG92"/>
  <c r="AF92"/>
  <c r="AA88"/>
  <c r="AC88" s="1"/>
  <c r="AE88" s="1"/>
  <c r="AG88"/>
  <c r="AF88"/>
  <c r="AA84"/>
  <c r="AG84"/>
  <c r="AF84"/>
  <c r="AA80"/>
  <c r="AC80" s="1"/>
  <c r="AE80" s="1"/>
  <c r="AG80"/>
  <c r="AF80"/>
  <c r="AA76"/>
  <c r="AC76" s="1"/>
  <c r="AE76" s="1"/>
  <c r="AG76"/>
  <c r="AF76"/>
  <c r="AA72"/>
  <c r="AC72" s="1"/>
  <c r="AE72" s="1"/>
  <c r="AG72"/>
  <c r="AF72"/>
  <c r="AA68"/>
  <c r="AC68" s="1"/>
  <c r="AE68" s="1"/>
  <c r="AG68"/>
  <c r="AF68"/>
  <c r="AA64"/>
  <c r="AC64" s="1"/>
  <c r="AE64" s="1"/>
  <c r="AG64"/>
  <c r="AF64"/>
  <c r="AA60"/>
  <c r="AC60" s="1"/>
  <c r="AE60" s="1"/>
  <c r="AG60"/>
  <c r="AF60"/>
  <c r="AA56"/>
  <c r="AC56" s="1"/>
  <c r="AE56" s="1"/>
  <c r="AG56"/>
  <c r="AF56"/>
  <c r="AA52"/>
  <c r="AC52" s="1"/>
  <c r="AE52" s="1"/>
  <c r="AG52"/>
  <c r="AF52"/>
  <c r="AA48"/>
  <c r="AG48"/>
  <c r="AF48"/>
  <c r="AA44"/>
  <c r="AC44" s="1"/>
  <c r="AE44" s="1"/>
  <c r="AG44"/>
  <c r="AF44"/>
  <c r="AA40"/>
  <c r="AC40" s="1"/>
  <c r="AE40" s="1"/>
  <c r="AG40"/>
  <c r="AF40"/>
  <c r="AA36"/>
  <c r="AC36" s="1"/>
  <c r="AE36" s="1"/>
  <c r="AG36"/>
  <c r="AF36"/>
  <c r="AA32"/>
  <c r="AC32" s="1"/>
  <c r="AE32" s="1"/>
  <c r="AG32"/>
  <c r="AF32"/>
  <c r="AA28"/>
  <c r="AC28" s="1"/>
  <c r="AE28" s="1"/>
  <c r="AG28"/>
  <c r="AF28"/>
  <c r="AA24"/>
  <c r="AC24" s="1"/>
  <c r="AE24" s="1"/>
  <c r="AG24"/>
  <c r="AF24"/>
  <c r="AA20"/>
  <c r="AC20" s="1"/>
  <c r="AE20" s="1"/>
  <c r="AG20"/>
  <c r="AF20"/>
  <c r="AG16"/>
  <c r="AF16"/>
  <c r="AG12"/>
  <c r="AF12"/>
  <c r="AC15"/>
  <c r="AE15" s="1"/>
  <c r="AC11"/>
  <c r="AE11" s="1"/>
  <c r="AF206"/>
  <c r="AF204"/>
  <c r="AF202"/>
  <c r="AF200"/>
  <c r="AF198"/>
  <c r="AF196"/>
  <c r="AF194"/>
  <c r="AF192"/>
  <c r="AF190"/>
  <c r="AF188"/>
  <c r="AA185"/>
  <c r="AC185" s="1"/>
  <c r="AE185" s="1"/>
  <c r="AG185"/>
  <c r="AF185"/>
  <c r="AA181"/>
  <c r="AC181" s="1"/>
  <c r="AE181" s="1"/>
  <c r="AG181"/>
  <c r="AF181"/>
  <c r="AA177"/>
  <c r="AC177" s="1"/>
  <c r="AE177" s="1"/>
  <c r="AG177"/>
  <c r="AF177"/>
  <c r="AA173"/>
  <c r="AC173" s="1"/>
  <c r="AE173" s="1"/>
  <c r="AG173"/>
  <c r="AF173"/>
  <c r="AA169"/>
  <c r="AC169" s="1"/>
  <c r="AE169" s="1"/>
  <c r="AG169"/>
  <c r="AF169"/>
  <c r="AA165"/>
  <c r="AC165" s="1"/>
  <c r="AE165" s="1"/>
  <c r="AG165"/>
  <c r="AF165"/>
  <c r="AA161"/>
  <c r="AC161" s="1"/>
  <c r="AE161" s="1"/>
  <c r="AG161"/>
  <c r="AF161"/>
  <c r="AA157"/>
  <c r="AC157" s="1"/>
  <c r="AE157" s="1"/>
  <c r="AG157"/>
  <c r="AF157"/>
  <c r="AA153"/>
  <c r="AG153"/>
  <c r="AF153"/>
  <c r="AA149"/>
  <c r="AC149" s="1"/>
  <c r="AE149" s="1"/>
  <c r="AG149"/>
  <c r="AF149"/>
  <c r="AA145"/>
  <c r="AC145" s="1"/>
  <c r="AE145" s="1"/>
  <c r="AG145"/>
  <c r="AF145"/>
  <c r="AA141"/>
  <c r="AC141" s="1"/>
  <c r="AE141" s="1"/>
  <c r="AG141"/>
  <c r="AF141"/>
  <c r="AA137"/>
  <c r="AC137" s="1"/>
  <c r="AE137" s="1"/>
  <c r="AG137"/>
  <c r="AF137"/>
  <c r="AA133"/>
  <c r="AC133" s="1"/>
  <c r="AE133" s="1"/>
  <c r="AG133"/>
  <c r="AF133"/>
  <c r="AG130"/>
  <c r="AF130"/>
  <c r="AA125"/>
  <c r="AC125" s="1"/>
  <c r="AE125" s="1"/>
  <c r="AG125"/>
  <c r="AF125"/>
  <c r="AG121"/>
  <c r="AF121"/>
  <c r="AG117"/>
  <c r="AF117"/>
  <c r="AG113"/>
  <c r="AF113"/>
  <c r="AG109"/>
  <c r="AF109"/>
  <c r="AG105"/>
  <c r="AF105"/>
  <c r="AG101"/>
  <c r="AF101"/>
  <c r="AA97"/>
  <c r="AC97" s="1"/>
  <c r="AE97" s="1"/>
  <c r="AG97"/>
  <c r="AF97"/>
  <c r="AA93"/>
  <c r="AC93" s="1"/>
  <c r="AE93" s="1"/>
  <c r="AG93"/>
  <c r="AF93"/>
  <c r="AA89"/>
  <c r="AC89" s="1"/>
  <c r="AE89" s="1"/>
  <c r="AG89"/>
  <c r="AF89"/>
  <c r="AA85"/>
  <c r="AC85" s="1"/>
  <c r="AE85" s="1"/>
  <c r="AG85"/>
  <c r="AF85"/>
  <c r="AA81"/>
  <c r="AC81" s="1"/>
  <c r="AE81" s="1"/>
  <c r="AG81"/>
  <c r="AF81"/>
  <c r="AA77"/>
  <c r="AC77" s="1"/>
  <c r="AE77" s="1"/>
  <c r="AG77"/>
  <c r="AF77"/>
  <c r="AA73"/>
  <c r="AC73" s="1"/>
  <c r="AE73" s="1"/>
  <c r="AG73"/>
  <c r="AF73"/>
  <c r="AA69"/>
  <c r="AC69" s="1"/>
  <c r="AE69" s="1"/>
  <c r="AG69"/>
  <c r="AF69"/>
  <c r="AA65"/>
  <c r="AC65" s="1"/>
  <c r="AE65" s="1"/>
  <c r="AG65"/>
  <c r="AF65"/>
  <c r="AA61"/>
  <c r="AC61" s="1"/>
  <c r="AE61" s="1"/>
  <c r="AG61"/>
  <c r="AF61"/>
  <c r="AA57"/>
  <c r="AC57" s="1"/>
  <c r="AE57" s="1"/>
  <c r="AG57"/>
  <c r="AF57"/>
  <c r="AA53"/>
  <c r="AC53" s="1"/>
  <c r="AE53" s="1"/>
  <c r="AG53"/>
  <c r="AF53"/>
  <c r="AA49"/>
  <c r="AC49" s="1"/>
  <c r="AE49" s="1"/>
  <c r="AG49"/>
  <c r="AF49"/>
  <c r="AA45"/>
  <c r="AC45" s="1"/>
  <c r="AE45" s="1"/>
  <c r="AG45"/>
  <c r="AF45"/>
  <c r="AA41"/>
  <c r="AC41" s="1"/>
  <c r="AE41" s="1"/>
  <c r="AG41"/>
  <c r="AF41"/>
  <c r="AA37"/>
  <c r="AC37" s="1"/>
  <c r="AE37" s="1"/>
  <c r="AG37"/>
  <c r="AF37"/>
  <c r="AA33"/>
  <c r="AC33" s="1"/>
  <c r="AE33" s="1"/>
  <c r="AG33"/>
  <c r="AF33"/>
  <c r="AA29"/>
  <c r="AC29" s="1"/>
  <c r="AE29" s="1"/>
  <c r="AG29"/>
  <c r="AF29"/>
  <c r="AA25"/>
  <c r="AC25" s="1"/>
  <c r="AE25" s="1"/>
  <c r="AG25"/>
  <c r="AF25"/>
  <c r="AA21"/>
  <c r="AC21" s="1"/>
  <c r="AE21" s="1"/>
  <c r="AG21"/>
  <c r="AF21"/>
  <c r="AG17"/>
  <c r="AF17"/>
  <c r="AG13"/>
  <c r="AF13"/>
  <c r="AG9"/>
  <c r="AF9"/>
  <c r="AC206"/>
  <c r="AE206" s="1"/>
  <c r="AA205"/>
  <c r="AC205" s="1"/>
  <c r="AE205" s="1"/>
  <c r="AA201"/>
  <c r="AC201" s="1"/>
  <c r="AE201" s="1"/>
  <c r="AA197"/>
  <c r="AC197" s="1"/>
  <c r="AE197" s="1"/>
  <c r="AC194"/>
  <c r="AE194" s="1"/>
  <c r="AA193"/>
  <c r="AC193" s="1"/>
  <c r="AE193" s="1"/>
  <c r="AC190"/>
  <c r="AE190" s="1"/>
  <c r="AA189"/>
  <c r="AC189" s="1"/>
  <c r="AE189" s="1"/>
  <c r="AC182"/>
  <c r="AE182" s="1"/>
  <c r="AC178"/>
  <c r="AE178" s="1"/>
  <c r="AC162"/>
  <c r="AE162" s="1"/>
  <c r="AC146"/>
  <c r="AE146" s="1"/>
  <c r="AA16"/>
  <c r="AC16" s="1"/>
  <c r="AE16" s="1"/>
  <c r="AA12"/>
  <c r="AC12" s="1"/>
  <c r="AE12" s="1"/>
  <c r="AG206"/>
  <c r="AG204"/>
  <c r="AG202"/>
  <c r="AG200"/>
  <c r="AG198"/>
  <c r="AG196"/>
  <c r="AG194"/>
  <c r="AG192"/>
  <c r="AG190"/>
  <c r="AG188"/>
  <c r="AC199"/>
  <c r="AE199" s="1"/>
  <c r="AC191"/>
  <c r="AE191" s="1"/>
  <c r="AC179"/>
  <c r="AE179" s="1"/>
  <c r="AC163"/>
  <c r="AE163" s="1"/>
  <c r="AC147"/>
  <c r="AE147" s="1"/>
  <c r="AC153"/>
  <c r="AE153" s="1"/>
  <c r="AA134"/>
  <c r="AC134" s="1"/>
  <c r="AE134" s="1"/>
  <c r="AC122"/>
  <c r="AE122" s="1"/>
  <c r="AA121"/>
  <c r="AC121" s="1"/>
  <c r="AE121" s="1"/>
  <c r="AA117"/>
  <c r="AC117" s="1"/>
  <c r="AE117" s="1"/>
  <c r="AA113"/>
  <c r="AC113" s="1"/>
  <c r="AE113" s="1"/>
  <c r="AA109"/>
  <c r="AC109" s="1"/>
  <c r="AE109" s="1"/>
  <c r="AC106"/>
  <c r="AE106" s="1"/>
  <c r="AA105"/>
  <c r="AC105" s="1"/>
  <c r="AE105" s="1"/>
  <c r="AA101"/>
  <c r="AC101" s="1"/>
  <c r="AE101" s="1"/>
  <c r="AC90"/>
  <c r="AE90" s="1"/>
  <c r="AC82"/>
  <c r="AE82" s="1"/>
  <c r="AC74"/>
  <c r="AE74" s="1"/>
  <c r="AC58"/>
  <c r="AE58" s="1"/>
  <c r="AC50"/>
  <c r="AE50" s="1"/>
  <c r="AC46"/>
  <c r="AE46" s="1"/>
  <c r="AC42"/>
  <c r="AE42" s="1"/>
  <c r="AC26"/>
  <c r="AE26" s="1"/>
  <c r="AC84"/>
  <c r="AE84" s="1"/>
  <c r="AC48"/>
  <c r="AE48" s="1"/>
  <c r="AA136"/>
  <c r="AC136" s="1"/>
  <c r="AE136" s="1"/>
  <c r="AA132"/>
  <c r="AC132" s="1"/>
  <c r="AE132" s="1"/>
  <c r="AA130"/>
  <c r="AC130" s="1"/>
  <c r="AE130" s="1"/>
  <c r="AA128"/>
  <c r="AC128" s="1"/>
  <c r="AE128" s="1"/>
  <c r="AA126"/>
  <c r="AC126" s="1"/>
  <c r="AE126" s="1"/>
  <c r="AA124"/>
  <c r="AC124" s="1"/>
  <c r="AE124" s="1"/>
  <c r="AA120"/>
  <c r="AC120" s="1"/>
  <c r="AE120" s="1"/>
  <c r="AA116"/>
  <c r="AC116" s="1"/>
  <c r="AE116" s="1"/>
  <c r="AA112"/>
  <c r="AC112" s="1"/>
  <c r="AE112" s="1"/>
  <c r="AA108"/>
  <c r="AC108" s="1"/>
  <c r="AE108" s="1"/>
  <c r="AA104"/>
  <c r="AC104" s="1"/>
  <c r="AE104" s="1"/>
  <c r="AA100"/>
  <c r="AC100" s="1"/>
  <c r="AE100" s="1"/>
  <c r="J9"/>
  <c r="K9"/>
  <c r="L9"/>
  <c r="N9"/>
  <c r="P9"/>
  <c r="J10"/>
  <c r="K10"/>
  <c r="L10"/>
  <c r="N10"/>
  <c r="P10"/>
  <c r="J11"/>
  <c r="K11"/>
  <c r="L11"/>
  <c r="N11"/>
  <c r="P11"/>
  <c r="J12"/>
  <c r="K12"/>
  <c r="L12"/>
  <c r="N12"/>
  <c r="P12"/>
  <c r="J13"/>
  <c r="K13"/>
  <c r="L13"/>
  <c r="N13"/>
  <c r="P13"/>
  <c r="J14"/>
  <c r="K14"/>
  <c r="L14"/>
  <c r="N14"/>
  <c r="P14"/>
  <c r="J15"/>
  <c r="K15"/>
  <c r="L15"/>
  <c r="N15"/>
  <c r="P15"/>
  <c r="J16"/>
  <c r="K16"/>
  <c r="L16"/>
  <c r="N16"/>
  <c r="P16"/>
  <c r="J17"/>
  <c r="K17"/>
  <c r="L17"/>
  <c r="N17"/>
  <c r="P17"/>
  <c r="J18"/>
  <c r="K18"/>
  <c r="L18"/>
  <c r="N18"/>
  <c r="P18"/>
  <c r="J19"/>
  <c r="K19"/>
  <c r="L19"/>
  <c r="N19"/>
  <c r="P19"/>
  <c r="J20"/>
  <c r="K20"/>
  <c r="L20"/>
  <c r="N20"/>
  <c r="P20"/>
  <c r="J21"/>
  <c r="K21"/>
  <c r="L21"/>
  <c r="N21"/>
  <c r="P21"/>
  <c r="J22"/>
  <c r="K22"/>
  <c r="L22"/>
  <c r="N22"/>
  <c r="P22"/>
  <c r="J23"/>
  <c r="K23"/>
  <c r="L23"/>
  <c r="N23"/>
  <c r="P23"/>
  <c r="J24"/>
  <c r="K24"/>
  <c r="L24"/>
  <c r="N24"/>
  <c r="P24"/>
  <c r="J25"/>
  <c r="K25"/>
  <c r="L25"/>
  <c r="N25"/>
  <c r="P25"/>
  <c r="J26"/>
  <c r="K26"/>
  <c r="L26"/>
  <c r="N26"/>
  <c r="P26"/>
  <c r="J27"/>
  <c r="K27"/>
  <c r="L27"/>
  <c r="N27"/>
  <c r="P27"/>
  <c r="J28"/>
  <c r="K28"/>
  <c r="L28"/>
  <c r="N28"/>
  <c r="P28"/>
  <c r="J29"/>
  <c r="K29"/>
  <c r="L29"/>
  <c r="N29"/>
  <c r="P29"/>
  <c r="J30"/>
  <c r="K30"/>
  <c r="L30"/>
  <c r="N30"/>
  <c r="P30"/>
  <c r="J31"/>
  <c r="K31"/>
  <c r="L31"/>
  <c r="N31"/>
  <c r="P31"/>
  <c r="J32"/>
  <c r="K32"/>
  <c r="L32"/>
  <c r="N32"/>
  <c r="P32"/>
  <c r="J33"/>
  <c r="K33"/>
  <c r="L33"/>
  <c r="N33"/>
  <c r="P33"/>
  <c r="J34"/>
  <c r="K34"/>
  <c r="L34"/>
  <c r="N34"/>
  <c r="P34"/>
  <c r="J35"/>
  <c r="K35"/>
  <c r="L35"/>
  <c r="N35"/>
  <c r="P35"/>
  <c r="J36"/>
  <c r="K36"/>
  <c r="L36"/>
  <c r="N36"/>
  <c r="P36"/>
  <c r="J37"/>
  <c r="K37"/>
  <c r="L37"/>
  <c r="N37"/>
  <c r="P37"/>
  <c r="J38"/>
  <c r="K38"/>
  <c r="L38"/>
  <c r="N38"/>
  <c r="P38"/>
  <c r="J39"/>
  <c r="K39"/>
  <c r="L39"/>
  <c r="N39"/>
  <c r="P39"/>
  <c r="J40"/>
  <c r="K40"/>
  <c r="L40"/>
  <c r="N40"/>
  <c r="P40"/>
  <c r="J41"/>
  <c r="K41"/>
  <c r="L41"/>
  <c r="N41"/>
  <c r="P41"/>
  <c r="J42"/>
  <c r="K42"/>
  <c r="L42"/>
  <c r="N42"/>
  <c r="P42"/>
  <c r="J43"/>
  <c r="K43"/>
  <c r="L43"/>
  <c r="N43"/>
  <c r="P43"/>
  <c r="J44"/>
  <c r="K44"/>
  <c r="L44"/>
  <c r="N44"/>
  <c r="P44"/>
  <c r="J45"/>
  <c r="K45"/>
  <c r="L45"/>
  <c r="N45"/>
  <c r="P45"/>
  <c r="J46"/>
  <c r="K46"/>
  <c r="L46"/>
  <c r="N46"/>
  <c r="P46"/>
  <c r="J47"/>
  <c r="K47"/>
  <c r="L47"/>
  <c r="N47"/>
  <c r="P47"/>
  <c r="J48"/>
  <c r="K48"/>
  <c r="L48"/>
  <c r="N48"/>
  <c r="P48"/>
  <c r="J49"/>
  <c r="K49"/>
  <c r="L49"/>
  <c r="N49"/>
  <c r="P49"/>
  <c r="J50"/>
  <c r="K50"/>
  <c r="L50"/>
  <c r="N50"/>
  <c r="P50"/>
  <c r="J51"/>
  <c r="K51"/>
  <c r="L51"/>
  <c r="N51"/>
  <c r="P51"/>
  <c r="J52"/>
  <c r="K52"/>
  <c r="L52"/>
  <c r="N52"/>
  <c r="P52"/>
  <c r="J53"/>
  <c r="K53"/>
  <c r="L53"/>
  <c r="N53"/>
  <c r="P53"/>
  <c r="J54"/>
  <c r="K54"/>
  <c r="L54"/>
  <c r="N54"/>
  <c r="P54"/>
  <c r="J55"/>
  <c r="K55"/>
  <c r="L55"/>
  <c r="N55"/>
  <c r="P55"/>
  <c r="J56"/>
  <c r="K56"/>
  <c r="L56"/>
  <c r="N56"/>
  <c r="P56"/>
  <c r="J57"/>
  <c r="K57"/>
  <c r="L57"/>
  <c r="N57"/>
  <c r="P57"/>
  <c r="J58"/>
  <c r="K58"/>
  <c r="L58"/>
  <c r="N58"/>
  <c r="P58"/>
  <c r="J59"/>
  <c r="K59"/>
  <c r="L59"/>
  <c r="N59"/>
  <c r="P59"/>
  <c r="J60"/>
  <c r="K60"/>
  <c r="L60"/>
  <c r="N60"/>
  <c r="P60"/>
  <c r="J61"/>
  <c r="K61"/>
  <c r="L61"/>
  <c r="N61"/>
  <c r="P61"/>
  <c r="J62"/>
  <c r="K62"/>
  <c r="L62"/>
  <c r="N62"/>
  <c r="P62"/>
  <c r="J63"/>
  <c r="K63"/>
  <c r="L63"/>
  <c r="N63"/>
  <c r="P63"/>
  <c r="J64"/>
  <c r="K64"/>
  <c r="L64"/>
  <c r="N64"/>
  <c r="P64"/>
  <c r="J65"/>
  <c r="K65"/>
  <c r="L65"/>
  <c r="N65"/>
  <c r="P65"/>
  <c r="J66"/>
  <c r="K66"/>
  <c r="L66"/>
  <c r="N66"/>
  <c r="P66"/>
  <c r="J67"/>
  <c r="K67"/>
  <c r="L67"/>
  <c r="N67"/>
  <c r="P67"/>
  <c r="J68"/>
  <c r="K68"/>
  <c r="L68"/>
  <c r="N68"/>
  <c r="P68"/>
  <c r="J69"/>
  <c r="K69"/>
  <c r="L69"/>
  <c r="N69"/>
  <c r="P69"/>
  <c r="J70"/>
  <c r="K70"/>
  <c r="L70"/>
  <c r="N70"/>
  <c r="P70"/>
  <c r="J71"/>
  <c r="K71"/>
  <c r="L71"/>
  <c r="N71"/>
  <c r="P71"/>
  <c r="J72"/>
  <c r="K72"/>
  <c r="L72"/>
  <c r="N72"/>
  <c r="P72"/>
  <c r="J73"/>
  <c r="K73"/>
  <c r="L73"/>
  <c r="N73"/>
  <c r="P73"/>
  <c r="J74"/>
  <c r="K74"/>
  <c r="L74"/>
  <c r="N74"/>
  <c r="P74"/>
  <c r="J75"/>
  <c r="K75"/>
  <c r="L75"/>
  <c r="N75"/>
  <c r="P75"/>
  <c r="J76"/>
  <c r="K76"/>
  <c r="L76"/>
  <c r="N76"/>
  <c r="P76"/>
  <c r="J77"/>
  <c r="K77"/>
  <c r="L77"/>
  <c r="N77"/>
  <c r="P77"/>
  <c r="J78"/>
  <c r="K78"/>
  <c r="L78"/>
  <c r="N78"/>
  <c r="P78"/>
  <c r="J79"/>
  <c r="K79"/>
  <c r="L79"/>
  <c r="N79"/>
  <c r="P79"/>
  <c r="J80"/>
  <c r="K80"/>
  <c r="L80"/>
  <c r="N80"/>
  <c r="P80"/>
  <c r="J81"/>
  <c r="K81"/>
  <c r="L81"/>
  <c r="N81"/>
  <c r="P81"/>
  <c r="J82"/>
  <c r="K82"/>
  <c r="L82"/>
  <c r="N82"/>
  <c r="P82"/>
  <c r="J83"/>
  <c r="K83"/>
  <c r="L83"/>
  <c r="N83"/>
  <c r="P83"/>
  <c r="J84"/>
  <c r="K84"/>
  <c r="L84"/>
  <c r="N84"/>
  <c r="P84"/>
  <c r="J85"/>
  <c r="K85"/>
  <c r="L85"/>
  <c r="N85"/>
  <c r="P85"/>
  <c r="J86"/>
  <c r="K86"/>
  <c r="L86"/>
  <c r="N86"/>
  <c r="P86"/>
  <c r="J87"/>
  <c r="K87"/>
  <c r="L87"/>
  <c r="N87"/>
  <c r="P87"/>
  <c r="J88"/>
  <c r="K88"/>
  <c r="L88"/>
  <c r="N88"/>
  <c r="P88"/>
  <c r="J89"/>
  <c r="K89"/>
  <c r="L89"/>
  <c r="N89"/>
  <c r="P89"/>
  <c r="J90"/>
  <c r="K90"/>
  <c r="L90"/>
  <c r="N90"/>
  <c r="P90"/>
  <c r="J91"/>
  <c r="K91"/>
  <c r="L91"/>
  <c r="N91"/>
  <c r="P91"/>
  <c r="J92"/>
  <c r="K92"/>
  <c r="L92"/>
  <c r="N92"/>
  <c r="P92"/>
  <c r="J93"/>
  <c r="K93"/>
  <c r="L93"/>
  <c r="N93"/>
  <c r="P93"/>
  <c r="J94"/>
  <c r="K94"/>
  <c r="L94"/>
  <c r="N94"/>
  <c r="P94"/>
  <c r="J95"/>
  <c r="K95"/>
  <c r="L95"/>
  <c r="N95"/>
  <c r="P95"/>
  <c r="J96"/>
  <c r="K96"/>
  <c r="L96"/>
  <c r="N96"/>
  <c r="P96"/>
  <c r="J97"/>
  <c r="K97"/>
  <c r="L97"/>
  <c r="N97"/>
  <c r="P97"/>
  <c r="J98"/>
  <c r="K98"/>
  <c r="L98"/>
  <c r="N98"/>
  <c r="P98"/>
  <c r="J99"/>
  <c r="K99"/>
  <c r="L99"/>
  <c r="N99"/>
  <c r="P99"/>
  <c r="J100"/>
  <c r="K100"/>
  <c r="L100"/>
  <c r="N100"/>
  <c r="P100"/>
  <c r="J101"/>
  <c r="K101"/>
  <c r="L101"/>
  <c r="N101"/>
  <c r="P101"/>
  <c r="J102"/>
  <c r="K102"/>
  <c r="L102"/>
  <c r="N102"/>
  <c r="P102"/>
  <c r="J103"/>
  <c r="K103"/>
  <c r="L103"/>
  <c r="N103"/>
  <c r="P103"/>
  <c r="J104"/>
  <c r="K104"/>
  <c r="L104"/>
  <c r="N104"/>
  <c r="P104"/>
  <c r="J105"/>
  <c r="K105"/>
  <c r="L105"/>
  <c r="N105"/>
  <c r="P105"/>
  <c r="J106"/>
  <c r="K106"/>
  <c r="L106"/>
  <c r="N106"/>
  <c r="P106"/>
  <c r="J107"/>
  <c r="K107"/>
  <c r="L107"/>
  <c r="N107"/>
  <c r="P107"/>
  <c r="J108"/>
  <c r="K108"/>
  <c r="L108"/>
  <c r="N108"/>
  <c r="P108"/>
  <c r="J109"/>
  <c r="K109"/>
  <c r="L109"/>
  <c r="N109"/>
  <c r="P109"/>
  <c r="J110"/>
  <c r="K110"/>
  <c r="L110"/>
  <c r="N110"/>
  <c r="P110"/>
  <c r="J111"/>
  <c r="K111"/>
  <c r="L111"/>
  <c r="N111"/>
  <c r="P111"/>
  <c r="J112"/>
  <c r="K112"/>
  <c r="L112"/>
  <c r="N112"/>
  <c r="P112"/>
  <c r="J113"/>
  <c r="K113"/>
  <c r="L113"/>
  <c r="N113"/>
  <c r="P113"/>
  <c r="J114"/>
  <c r="K114"/>
  <c r="L114"/>
  <c r="N114"/>
  <c r="P114"/>
  <c r="J115"/>
  <c r="K115"/>
  <c r="L115"/>
  <c r="N115"/>
  <c r="P115"/>
  <c r="J116"/>
  <c r="K116"/>
  <c r="L116"/>
  <c r="N116"/>
  <c r="P116"/>
  <c r="J117"/>
  <c r="K117"/>
  <c r="L117"/>
  <c r="N117"/>
  <c r="P117"/>
  <c r="J118"/>
  <c r="K118"/>
  <c r="L118"/>
  <c r="N118"/>
  <c r="P118"/>
  <c r="J119"/>
  <c r="K119"/>
  <c r="L119"/>
  <c r="N119"/>
  <c r="P119"/>
  <c r="J120"/>
  <c r="K120"/>
  <c r="L120"/>
  <c r="N120"/>
  <c r="P120"/>
  <c r="J121"/>
  <c r="K121"/>
  <c r="L121"/>
  <c r="N121"/>
  <c r="P121"/>
  <c r="J122"/>
  <c r="K122"/>
  <c r="L122"/>
  <c r="N122"/>
  <c r="P122"/>
  <c r="J123"/>
  <c r="K123"/>
  <c r="L123"/>
  <c r="N123"/>
  <c r="P123"/>
  <c r="J124"/>
  <c r="K124"/>
  <c r="L124"/>
  <c r="N124"/>
  <c r="P124"/>
  <c r="J125"/>
  <c r="K125"/>
  <c r="L125"/>
  <c r="N125"/>
  <c r="P125"/>
  <c r="J126"/>
  <c r="K126"/>
  <c r="L126"/>
  <c r="N126"/>
  <c r="P126"/>
  <c r="J127"/>
  <c r="K127"/>
  <c r="L127"/>
  <c r="N127"/>
  <c r="P127"/>
  <c r="J128"/>
  <c r="K128"/>
  <c r="L128"/>
  <c r="N128"/>
  <c r="P128"/>
  <c r="J129"/>
  <c r="K129"/>
  <c r="L129"/>
  <c r="N129"/>
  <c r="P129"/>
  <c r="J130"/>
  <c r="K130"/>
  <c r="L130"/>
  <c r="N130"/>
  <c r="P130"/>
  <c r="J131"/>
  <c r="K131"/>
  <c r="L131"/>
  <c r="N131"/>
  <c r="P131"/>
  <c r="J132"/>
  <c r="K132"/>
  <c r="L132"/>
  <c r="N132"/>
  <c r="P132"/>
  <c r="J133"/>
  <c r="K133"/>
  <c r="L133"/>
  <c r="N133"/>
  <c r="P133"/>
  <c r="J134"/>
  <c r="K134"/>
  <c r="L134"/>
  <c r="N134"/>
  <c r="P134"/>
  <c r="J135"/>
  <c r="K135"/>
  <c r="L135"/>
  <c r="N135"/>
  <c r="P135"/>
  <c r="J136"/>
  <c r="K136"/>
  <c r="L136"/>
  <c r="N136"/>
  <c r="P136"/>
  <c r="J137"/>
  <c r="K137"/>
  <c r="L137"/>
  <c r="N137"/>
  <c r="P137"/>
  <c r="J138"/>
  <c r="K138"/>
  <c r="L138"/>
  <c r="N138"/>
  <c r="P138"/>
  <c r="J139"/>
  <c r="K139"/>
  <c r="L139"/>
  <c r="N139"/>
  <c r="P139"/>
  <c r="J140"/>
  <c r="K140"/>
  <c r="L140"/>
  <c r="N140"/>
  <c r="P140"/>
  <c r="J141"/>
  <c r="K141"/>
  <c r="L141"/>
  <c r="N141"/>
  <c r="P141"/>
  <c r="J142"/>
  <c r="K142"/>
  <c r="L142"/>
  <c r="N142"/>
  <c r="P142"/>
  <c r="J143"/>
  <c r="K143"/>
  <c r="L143"/>
  <c r="N143"/>
  <c r="P143"/>
  <c r="J144"/>
  <c r="K144"/>
  <c r="L144"/>
  <c r="N144"/>
  <c r="P144"/>
  <c r="J145"/>
  <c r="K145"/>
  <c r="L145"/>
  <c r="N145"/>
  <c r="P145"/>
  <c r="J146"/>
  <c r="K146"/>
  <c r="L146"/>
  <c r="N146"/>
  <c r="P146"/>
  <c r="J147"/>
  <c r="K147"/>
  <c r="L147"/>
  <c r="N147"/>
  <c r="P147"/>
  <c r="J148"/>
  <c r="K148"/>
  <c r="L148"/>
  <c r="N148"/>
  <c r="P148"/>
  <c r="J149"/>
  <c r="K149"/>
  <c r="L149"/>
  <c r="N149"/>
  <c r="P149"/>
  <c r="J150"/>
  <c r="K150"/>
  <c r="L150"/>
  <c r="N150"/>
  <c r="P150"/>
  <c r="J151"/>
  <c r="K151"/>
  <c r="L151"/>
  <c r="N151"/>
  <c r="P151"/>
  <c r="J152"/>
  <c r="K152"/>
  <c r="L152"/>
  <c r="N152"/>
  <c r="P152"/>
  <c r="J153"/>
  <c r="K153"/>
  <c r="L153"/>
  <c r="N153"/>
  <c r="P153"/>
  <c r="J154"/>
  <c r="K154"/>
  <c r="L154"/>
  <c r="N154"/>
  <c r="P154"/>
  <c r="J155"/>
  <c r="K155"/>
  <c r="L155"/>
  <c r="N155"/>
  <c r="P155"/>
  <c r="J156"/>
  <c r="K156"/>
  <c r="L156"/>
  <c r="N156"/>
  <c r="P156"/>
  <c r="J157"/>
  <c r="K157"/>
  <c r="L157"/>
  <c r="N157"/>
  <c r="P157"/>
  <c r="J158"/>
  <c r="K158"/>
  <c r="L158"/>
  <c r="N158"/>
  <c r="P158"/>
  <c r="J159"/>
  <c r="K159"/>
  <c r="L159"/>
  <c r="N159"/>
  <c r="P159"/>
  <c r="J160"/>
  <c r="K160"/>
  <c r="L160"/>
  <c r="N160"/>
  <c r="P160"/>
  <c r="J161"/>
  <c r="K161"/>
  <c r="L161"/>
  <c r="N161"/>
  <c r="P161"/>
  <c r="J162"/>
  <c r="K162"/>
  <c r="L162"/>
  <c r="N162"/>
  <c r="P162"/>
  <c r="J163"/>
  <c r="K163"/>
  <c r="L163"/>
  <c r="N163"/>
  <c r="P163"/>
  <c r="J164"/>
  <c r="K164"/>
  <c r="L164"/>
  <c r="N164"/>
  <c r="P164"/>
  <c r="J165"/>
  <c r="K165"/>
  <c r="L165"/>
  <c r="N165"/>
  <c r="P165"/>
  <c r="J166"/>
  <c r="K166"/>
  <c r="L166"/>
  <c r="N166"/>
  <c r="P166"/>
  <c r="J167"/>
  <c r="K167"/>
  <c r="L167"/>
  <c r="N167"/>
  <c r="P167"/>
  <c r="J168"/>
  <c r="K168"/>
  <c r="L168"/>
  <c r="N168"/>
  <c r="P168"/>
  <c r="J169"/>
  <c r="K169"/>
  <c r="L169"/>
  <c r="N169"/>
  <c r="P169"/>
  <c r="J170"/>
  <c r="K170"/>
  <c r="L170"/>
  <c r="N170"/>
  <c r="P170"/>
  <c r="J171"/>
  <c r="K171"/>
  <c r="L171"/>
  <c r="N171"/>
  <c r="P171"/>
  <c r="J172"/>
  <c r="K172"/>
  <c r="L172"/>
  <c r="N172"/>
  <c r="P172"/>
  <c r="J173"/>
  <c r="K173"/>
  <c r="L173"/>
  <c r="N173"/>
  <c r="P173"/>
  <c r="J174"/>
  <c r="K174"/>
  <c r="L174"/>
  <c r="N174"/>
  <c r="P174"/>
  <c r="J175"/>
  <c r="K175"/>
  <c r="L175"/>
  <c r="N175"/>
  <c r="P175"/>
  <c r="J176"/>
  <c r="K176"/>
  <c r="L176"/>
  <c r="N176"/>
  <c r="P176"/>
  <c r="J177"/>
  <c r="K177"/>
  <c r="L177"/>
  <c r="N177"/>
  <c r="P177"/>
  <c r="J178"/>
  <c r="K178"/>
  <c r="L178"/>
  <c r="N178"/>
  <c r="P178"/>
  <c r="J179"/>
  <c r="K179"/>
  <c r="L179"/>
  <c r="N179"/>
  <c r="P179"/>
  <c r="J180"/>
  <c r="K180"/>
  <c r="L180"/>
  <c r="N180"/>
  <c r="P180"/>
  <c r="J181"/>
  <c r="K181"/>
  <c r="L181"/>
  <c r="N181"/>
  <c r="P181"/>
  <c r="J182"/>
  <c r="K182"/>
  <c r="L182"/>
  <c r="N182"/>
  <c r="P182"/>
  <c r="J183"/>
  <c r="K183"/>
  <c r="L183"/>
  <c r="N183"/>
  <c r="P183"/>
  <c r="J184"/>
  <c r="K184"/>
  <c r="L184"/>
  <c r="N184"/>
  <c r="P184"/>
  <c r="J185"/>
  <c r="K185"/>
  <c r="L185"/>
  <c r="N185"/>
  <c r="P185"/>
  <c r="J186"/>
  <c r="K186"/>
  <c r="L186"/>
  <c r="N186"/>
  <c r="P186"/>
  <c r="J187"/>
  <c r="K187"/>
  <c r="L187"/>
  <c r="N187"/>
  <c r="P187"/>
  <c r="J188"/>
  <c r="K188"/>
  <c r="L188"/>
  <c r="N188"/>
  <c r="P188"/>
  <c r="J189"/>
  <c r="K189"/>
  <c r="L189"/>
  <c r="N189"/>
  <c r="P189"/>
  <c r="J190"/>
  <c r="K190"/>
  <c r="L190"/>
  <c r="N190"/>
  <c r="P190"/>
  <c r="J191"/>
  <c r="K191"/>
  <c r="L191"/>
  <c r="N191"/>
  <c r="P191"/>
  <c r="J192"/>
  <c r="K192"/>
  <c r="L192"/>
  <c r="N192"/>
  <c r="P192"/>
  <c r="J193"/>
  <c r="K193"/>
  <c r="L193"/>
  <c r="N193"/>
  <c r="P193"/>
  <c r="J194"/>
  <c r="K194"/>
  <c r="L194"/>
  <c r="N194"/>
  <c r="P194"/>
  <c r="J195"/>
  <c r="K195"/>
  <c r="L195"/>
  <c r="N195"/>
  <c r="P195"/>
  <c r="J196"/>
  <c r="K196"/>
  <c r="L196"/>
  <c r="N196"/>
  <c r="P196"/>
  <c r="J197"/>
  <c r="K197"/>
  <c r="L197"/>
  <c r="N197"/>
  <c r="P197"/>
  <c r="J198"/>
  <c r="K198"/>
  <c r="L198"/>
  <c r="N198"/>
  <c r="P198"/>
  <c r="J199"/>
  <c r="K199"/>
  <c r="L199"/>
  <c r="N199"/>
  <c r="P199"/>
  <c r="J200"/>
  <c r="K200"/>
  <c r="L200"/>
  <c r="N200"/>
  <c r="P200"/>
  <c r="J201"/>
  <c r="K201"/>
  <c r="L201"/>
  <c r="N201"/>
  <c r="P201"/>
  <c r="J202"/>
  <c r="K202"/>
  <c r="L202"/>
  <c r="N202"/>
  <c r="P202"/>
  <c r="J203"/>
  <c r="K203"/>
  <c r="L203"/>
  <c r="N203"/>
  <c r="P203"/>
  <c r="J204"/>
  <c r="K204"/>
  <c r="L204"/>
  <c r="N204"/>
  <c r="P204"/>
  <c r="J205"/>
  <c r="K205"/>
  <c r="L205"/>
  <c r="N205"/>
  <c r="P205"/>
  <c r="J206"/>
  <c r="K206"/>
  <c r="L206"/>
  <c r="N206"/>
  <c r="P206"/>
  <c r="J207"/>
  <c r="K207"/>
  <c r="L207"/>
  <c r="N207"/>
  <c r="P207"/>
  <c r="K8"/>
  <c r="L8"/>
  <c r="K6"/>
  <c r="L6"/>
  <c r="J6"/>
  <c r="B10" i="8"/>
  <c r="B10" i="9" s="1"/>
  <c r="C10" i="8"/>
  <c r="C11" i="20" s="1"/>
  <c r="D10" i="8"/>
  <c r="C10" i="9" s="1"/>
  <c r="E10" i="8"/>
  <c r="D10" i="9" s="1"/>
  <c r="F10" i="8"/>
  <c r="E10" i="9" s="1"/>
  <c r="G10" i="8"/>
  <c r="F10" i="9" s="1"/>
  <c r="H10" i="8"/>
  <c r="G10" i="9" s="1"/>
  <c r="I10" i="8"/>
  <c r="H10" i="9" s="1"/>
  <c r="J10" i="8"/>
  <c r="I10" i="9" s="1"/>
  <c r="B11" i="8"/>
  <c r="B11" i="9" s="1"/>
  <c r="C11" i="8"/>
  <c r="C12" i="20" s="1"/>
  <c r="D11" i="8"/>
  <c r="C11" i="9" s="1"/>
  <c r="E11" i="8"/>
  <c r="D11" i="9" s="1"/>
  <c r="F11" i="8"/>
  <c r="E11" i="9" s="1"/>
  <c r="G11" i="8"/>
  <c r="F11" i="9" s="1"/>
  <c r="H11" i="8"/>
  <c r="G11" i="9" s="1"/>
  <c r="I11" i="8"/>
  <c r="H11" i="9" s="1"/>
  <c r="J11" i="8"/>
  <c r="I11" i="9" s="1"/>
  <c r="B12" i="8"/>
  <c r="B12" i="9" s="1"/>
  <c r="C12" i="8"/>
  <c r="C13" i="20" s="1"/>
  <c r="D12" i="8"/>
  <c r="C12" i="9" s="1"/>
  <c r="E12" i="8"/>
  <c r="D12" i="9" s="1"/>
  <c r="F12" i="8"/>
  <c r="E12" i="9" s="1"/>
  <c r="G12" i="8"/>
  <c r="F12" i="9" s="1"/>
  <c r="H12" i="8"/>
  <c r="G12" i="9" s="1"/>
  <c r="I12" i="8"/>
  <c r="H12" i="9" s="1"/>
  <c r="J12" i="8"/>
  <c r="I12" i="9" s="1"/>
  <c r="B13" i="8"/>
  <c r="B13" i="9" s="1"/>
  <c r="C13" i="8"/>
  <c r="C14" i="20" s="1"/>
  <c r="D13" i="8"/>
  <c r="C13" i="9" s="1"/>
  <c r="E13" i="8"/>
  <c r="D13" i="9" s="1"/>
  <c r="F13" i="8"/>
  <c r="E13" i="9" s="1"/>
  <c r="G13" i="8"/>
  <c r="F13" i="9" s="1"/>
  <c r="H13" i="8"/>
  <c r="G13" i="9" s="1"/>
  <c r="I13" i="8"/>
  <c r="H13" i="9" s="1"/>
  <c r="J13" i="8"/>
  <c r="I13" i="9" s="1"/>
  <c r="B14" i="8"/>
  <c r="B14" i="9" s="1"/>
  <c r="C14" i="8"/>
  <c r="C15" i="20" s="1"/>
  <c r="D14" i="8"/>
  <c r="C14" i="9" s="1"/>
  <c r="E14" i="8"/>
  <c r="D14" i="9" s="1"/>
  <c r="F14" i="8"/>
  <c r="E14" i="9" s="1"/>
  <c r="G14" i="8"/>
  <c r="F14" i="9" s="1"/>
  <c r="H14" i="8"/>
  <c r="G14" i="9" s="1"/>
  <c r="I14" i="8"/>
  <c r="H14" i="9" s="1"/>
  <c r="J14" i="8"/>
  <c r="I14" i="9" s="1"/>
  <c r="B15" i="8"/>
  <c r="B15" i="9" s="1"/>
  <c r="C15" i="8"/>
  <c r="C16" i="20" s="1"/>
  <c r="D15" i="8"/>
  <c r="C15" i="9" s="1"/>
  <c r="E15" i="8"/>
  <c r="D15" i="9" s="1"/>
  <c r="F15" i="8"/>
  <c r="E15" i="9" s="1"/>
  <c r="G15" i="8"/>
  <c r="F15" i="9" s="1"/>
  <c r="H15" i="8"/>
  <c r="G15" i="9" s="1"/>
  <c r="I15" i="8"/>
  <c r="H15" i="9" s="1"/>
  <c r="J15" i="8"/>
  <c r="I15" i="9" s="1"/>
  <c r="B16" i="8"/>
  <c r="B16" i="9" s="1"/>
  <c r="C16" i="8"/>
  <c r="C17" i="20" s="1"/>
  <c r="D16" i="8"/>
  <c r="C16" i="9" s="1"/>
  <c r="E16" i="8"/>
  <c r="D16" i="9" s="1"/>
  <c r="F16" i="8"/>
  <c r="E16" i="9" s="1"/>
  <c r="G16" i="8"/>
  <c r="F16" i="9" s="1"/>
  <c r="H16" i="8"/>
  <c r="G16" i="9" s="1"/>
  <c r="I16" i="8"/>
  <c r="H16" i="9" s="1"/>
  <c r="J16" i="8"/>
  <c r="I16" i="9" s="1"/>
  <c r="B17" i="8"/>
  <c r="B17" i="9" s="1"/>
  <c r="C17" i="8"/>
  <c r="C18" i="20" s="1"/>
  <c r="D17" i="8"/>
  <c r="C17" i="9" s="1"/>
  <c r="E17" i="8"/>
  <c r="D17" i="9" s="1"/>
  <c r="F17" i="8"/>
  <c r="E17" i="9" s="1"/>
  <c r="G17" i="8"/>
  <c r="F17" i="9" s="1"/>
  <c r="H17" i="8"/>
  <c r="G17" i="9" s="1"/>
  <c r="I17" i="8"/>
  <c r="H17" i="9" s="1"/>
  <c r="J17" i="8"/>
  <c r="I17" i="9" s="1"/>
  <c r="B18" i="8"/>
  <c r="B18" i="9" s="1"/>
  <c r="C18" i="8"/>
  <c r="C19" i="20" s="1"/>
  <c r="D18" i="8"/>
  <c r="C18" i="9" s="1"/>
  <c r="E18" i="8"/>
  <c r="D18" i="9" s="1"/>
  <c r="F18" i="8"/>
  <c r="E18" i="9" s="1"/>
  <c r="G18" i="8"/>
  <c r="F18" i="9" s="1"/>
  <c r="H18" i="8"/>
  <c r="G18" i="9" s="1"/>
  <c r="I18" i="8"/>
  <c r="H18" i="9" s="1"/>
  <c r="J18" i="8"/>
  <c r="I18" i="9" s="1"/>
  <c r="B19" i="8"/>
  <c r="B19" i="9" s="1"/>
  <c r="C19" i="8"/>
  <c r="C20" i="20" s="1"/>
  <c r="D19" i="8"/>
  <c r="C19" i="9" s="1"/>
  <c r="E19" i="8"/>
  <c r="D19" i="9" s="1"/>
  <c r="F19" i="8"/>
  <c r="E19" i="9" s="1"/>
  <c r="G19" i="8"/>
  <c r="F19" i="9" s="1"/>
  <c r="H19" i="8"/>
  <c r="G19" i="9" s="1"/>
  <c r="I19" i="8"/>
  <c r="H19" i="9" s="1"/>
  <c r="J19" i="8"/>
  <c r="I19" i="9" s="1"/>
  <c r="B20" i="8"/>
  <c r="B20" i="9" s="1"/>
  <c r="C20" i="8"/>
  <c r="C21" i="20" s="1"/>
  <c r="D20" i="8"/>
  <c r="C20" i="9" s="1"/>
  <c r="E20" i="8"/>
  <c r="D20" i="9" s="1"/>
  <c r="F20" i="8"/>
  <c r="E20" i="9" s="1"/>
  <c r="G20" i="8"/>
  <c r="F20" i="9" s="1"/>
  <c r="H20" i="8"/>
  <c r="G20" i="9" s="1"/>
  <c r="I20" i="8"/>
  <c r="H20" i="9" s="1"/>
  <c r="J20" i="8"/>
  <c r="I20" i="9" s="1"/>
  <c r="B21" i="8"/>
  <c r="B21" i="9" s="1"/>
  <c r="C21" i="8"/>
  <c r="C22" i="20" s="1"/>
  <c r="D21" i="8"/>
  <c r="C21" i="9" s="1"/>
  <c r="E21" i="8"/>
  <c r="D21" i="9" s="1"/>
  <c r="F21" i="8"/>
  <c r="E21" i="9" s="1"/>
  <c r="G21" i="8"/>
  <c r="F21" i="9" s="1"/>
  <c r="H21" i="8"/>
  <c r="G21" i="9" s="1"/>
  <c r="I21" i="8"/>
  <c r="H21" i="9" s="1"/>
  <c r="J21" i="8"/>
  <c r="I21" i="9" s="1"/>
  <c r="B22" i="8"/>
  <c r="B22" i="9" s="1"/>
  <c r="C22" i="8"/>
  <c r="C23" i="20" s="1"/>
  <c r="D22" i="8"/>
  <c r="C22" i="9" s="1"/>
  <c r="E22" i="8"/>
  <c r="D22" i="9" s="1"/>
  <c r="F22" i="8"/>
  <c r="E22" i="9" s="1"/>
  <c r="G22" i="8"/>
  <c r="F22" i="9" s="1"/>
  <c r="H22" i="8"/>
  <c r="G22" i="9" s="1"/>
  <c r="I22" i="8"/>
  <c r="H22" i="9" s="1"/>
  <c r="J22" i="8"/>
  <c r="I22" i="9" s="1"/>
  <c r="B23" i="8"/>
  <c r="B23" i="9" s="1"/>
  <c r="C23" i="8"/>
  <c r="C24" i="20" s="1"/>
  <c r="D23" i="8"/>
  <c r="C23" i="9" s="1"/>
  <c r="E23" i="8"/>
  <c r="D23" i="9" s="1"/>
  <c r="F23" i="8"/>
  <c r="E23" i="9" s="1"/>
  <c r="G23" i="8"/>
  <c r="F23" i="9" s="1"/>
  <c r="H23" i="8"/>
  <c r="G23" i="9" s="1"/>
  <c r="I23" i="8"/>
  <c r="H23" i="9" s="1"/>
  <c r="J23" i="8"/>
  <c r="I23" i="9" s="1"/>
  <c r="B24" i="8"/>
  <c r="B24" i="9" s="1"/>
  <c r="C24" i="8"/>
  <c r="C25" i="20" s="1"/>
  <c r="D24" i="8"/>
  <c r="C24" i="9" s="1"/>
  <c r="E24" i="8"/>
  <c r="D24" i="9" s="1"/>
  <c r="F24" i="8"/>
  <c r="E24" i="9" s="1"/>
  <c r="G24" i="8"/>
  <c r="F24" i="9" s="1"/>
  <c r="H24" i="8"/>
  <c r="G24" i="9" s="1"/>
  <c r="I24" i="8"/>
  <c r="H24" i="9" s="1"/>
  <c r="J24" i="8"/>
  <c r="I24" i="9" s="1"/>
  <c r="B25" i="8"/>
  <c r="B25" i="9" s="1"/>
  <c r="C25" i="8"/>
  <c r="C26" i="20" s="1"/>
  <c r="D25" i="8"/>
  <c r="C25" i="9" s="1"/>
  <c r="E25" i="8"/>
  <c r="D25" i="9" s="1"/>
  <c r="F25" i="8"/>
  <c r="E25" i="9" s="1"/>
  <c r="G25" i="8"/>
  <c r="F25" i="9" s="1"/>
  <c r="H25" i="8"/>
  <c r="G25" i="9" s="1"/>
  <c r="I25" i="8"/>
  <c r="H25" i="9" s="1"/>
  <c r="J25" i="8"/>
  <c r="I25" i="9" s="1"/>
  <c r="B26" i="8"/>
  <c r="B26" i="9" s="1"/>
  <c r="C26" i="8"/>
  <c r="C27" i="20" s="1"/>
  <c r="D26" i="8"/>
  <c r="C26" i="9" s="1"/>
  <c r="E26" i="8"/>
  <c r="D26" i="9" s="1"/>
  <c r="F26" i="8"/>
  <c r="E26" i="9" s="1"/>
  <c r="G26" i="8"/>
  <c r="F26" i="9" s="1"/>
  <c r="H26" i="8"/>
  <c r="G26" i="9" s="1"/>
  <c r="I26" i="8"/>
  <c r="H26" i="9" s="1"/>
  <c r="J26" i="8"/>
  <c r="I26" i="9" s="1"/>
  <c r="B27" i="8"/>
  <c r="B27" i="9" s="1"/>
  <c r="C27" i="8"/>
  <c r="C28" i="20" s="1"/>
  <c r="D27" i="8"/>
  <c r="C27" i="9" s="1"/>
  <c r="E27" i="8"/>
  <c r="D27" i="9" s="1"/>
  <c r="F27" i="8"/>
  <c r="E27" i="9" s="1"/>
  <c r="G27" i="8"/>
  <c r="F27" i="9" s="1"/>
  <c r="H27" i="8"/>
  <c r="G27" i="9" s="1"/>
  <c r="I27" i="8"/>
  <c r="H27" i="9" s="1"/>
  <c r="J27" i="8"/>
  <c r="I27" i="9" s="1"/>
  <c r="B28" i="8"/>
  <c r="B28" i="9" s="1"/>
  <c r="C28" i="8"/>
  <c r="C29" i="20" s="1"/>
  <c r="D28" i="8"/>
  <c r="C28" i="9" s="1"/>
  <c r="E28" i="8"/>
  <c r="D28" i="9" s="1"/>
  <c r="F28" i="8"/>
  <c r="E28" i="9" s="1"/>
  <c r="G28" i="8"/>
  <c r="F28" i="9" s="1"/>
  <c r="H28" i="8"/>
  <c r="G28" i="9" s="1"/>
  <c r="I28" i="8"/>
  <c r="H28" i="9" s="1"/>
  <c r="J28" i="8"/>
  <c r="I28" i="9" s="1"/>
  <c r="B29" i="8"/>
  <c r="B29" i="9" s="1"/>
  <c r="C29" i="8"/>
  <c r="C30" i="20" s="1"/>
  <c r="D29" i="8"/>
  <c r="C29" i="9" s="1"/>
  <c r="E29" i="8"/>
  <c r="D29" i="9" s="1"/>
  <c r="F29" i="8"/>
  <c r="E29" i="9" s="1"/>
  <c r="G29" i="8"/>
  <c r="F29" i="9" s="1"/>
  <c r="H29" i="8"/>
  <c r="G29" i="9" s="1"/>
  <c r="I29" i="8"/>
  <c r="H29" i="9" s="1"/>
  <c r="J29" i="8"/>
  <c r="I29" i="9" s="1"/>
  <c r="B30" i="8"/>
  <c r="B30" i="9" s="1"/>
  <c r="C30" i="8"/>
  <c r="C31" i="20" s="1"/>
  <c r="D30" i="8"/>
  <c r="C30" i="9" s="1"/>
  <c r="E30" i="8"/>
  <c r="D30" i="9" s="1"/>
  <c r="F30" i="8"/>
  <c r="E30" i="9" s="1"/>
  <c r="G30" i="8"/>
  <c r="F30" i="9" s="1"/>
  <c r="H30" i="8"/>
  <c r="G30" i="9" s="1"/>
  <c r="I30" i="8"/>
  <c r="H30" i="9" s="1"/>
  <c r="J30" i="8"/>
  <c r="I30" i="9" s="1"/>
  <c r="B31" i="8"/>
  <c r="B31" i="9" s="1"/>
  <c r="C31" i="8"/>
  <c r="C32" i="20" s="1"/>
  <c r="D31" i="8"/>
  <c r="C31" i="9" s="1"/>
  <c r="E31" i="8"/>
  <c r="D31" i="9" s="1"/>
  <c r="F31" i="8"/>
  <c r="E31" i="9" s="1"/>
  <c r="G31" i="8"/>
  <c r="F31" i="9" s="1"/>
  <c r="H31" i="8"/>
  <c r="G31" i="9" s="1"/>
  <c r="I31" i="8"/>
  <c r="H31" i="9" s="1"/>
  <c r="J31" i="8"/>
  <c r="I31" i="9" s="1"/>
  <c r="B32" i="8"/>
  <c r="B32" i="9" s="1"/>
  <c r="C32" i="8"/>
  <c r="C33" i="20" s="1"/>
  <c r="D32" i="8"/>
  <c r="C32" i="9" s="1"/>
  <c r="E32" i="8"/>
  <c r="D32" i="9" s="1"/>
  <c r="F32" i="8"/>
  <c r="E32" i="9" s="1"/>
  <c r="G32" i="8"/>
  <c r="F32" i="9" s="1"/>
  <c r="H32" i="8"/>
  <c r="G32" i="9" s="1"/>
  <c r="I32" i="8"/>
  <c r="H32" i="9" s="1"/>
  <c r="J32" i="8"/>
  <c r="I32" i="9" s="1"/>
  <c r="B33" i="8"/>
  <c r="B33" i="9" s="1"/>
  <c r="C33" i="8"/>
  <c r="C34" i="20" s="1"/>
  <c r="D33" i="8"/>
  <c r="C33" i="9" s="1"/>
  <c r="E33" i="8"/>
  <c r="D33" i="9" s="1"/>
  <c r="F33" i="8"/>
  <c r="E33" i="9" s="1"/>
  <c r="G33" i="8"/>
  <c r="F33" i="9" s="1"/>
  <c r="H33" i="8"/>
  <c r="G33" i="9" s="1"/>
  <c r="I33" i="8"/>
  <c r="H33" i="9" s="1"/>
  <c r="J33" i="8"/>
  <c r="I33" i="9" s="1"/>
  <c r="B34" i="8"/>
  <c r="B34" i="9" s="1"/>
  <c r="C34" i="8"/>
  <c r="C35" i="20" s="1"/>
  <c r="D34" i="8"/>
  <c r="C34" i="9" s="1"/>
  <c r="E34" i="8"/>
  <c r="D34" i="9" s="1"/>
  <c r="F34" i="8"/>
  <c r="E34" i="9" s="1"/>
  <c r="G34" i="8"/>
  <c r="F34" i="9" s="1"/>
  <c r="H34" i="8"/>
  <c r="G34" i="9" s="1"/>
  <c r="I34" i="8"/>
  <c r="H34" i="9" s="1"/>
  <c r="J34" i="8"/>
  <c r="I34" i="9" s="1"/>
  <c r="B35" i="8"/>
  <c r="B35" i="9" s="1"/>
  <c r="C35" i="8"/>
  <c r="C36" i="20" s="1"/>
  <c r="D35" i="8"/>
  <c r="C35" i="9" s="1"/>
  <c r="E35" i="8"/>
  <c r="D35" i="9" s="1"/>
  <c r="F35" i="8"/>
  <c r="E35" i="9" s="1"/>
  <c r="G35" i="8"/>
  <c r="F35" i="9" s="1"/>
  <c r="H35" i="8"/>
  <c r="G35" i="9" s="1"/>
  <c r="I35" i="8"/>
  <c r="H35" i="9" s="1"/>
  <c r="J35" i="8"/>
  <c r="I35" i="9" s="1"/>
  <c r="B36" i="8"/>
  <c r="B36" i="9" s="1"/>
  <c r="C36" i="8"/>
  <c r="C37" i="20" s="1"/>
  <c r="D36" i="8"/>
  <c r="C36" i="9" s="1"/>
  <c r="E36" i="8"/>
  <c r="D36" i="9" s="1"/>
  <c r="F36" i="8"/>
  <c r="E36" i="9" s="1"/>
  <c r="G36" i="8"/>
  <c r="F36" i="9" s="1"/>
  <c r="H36" i="8"/>
  <c r="G36" i="9" s="1"/>
  <c r="I36" i="8"/>
  <c r="H36" i="9" s="1"/>
  <c r="J36" i="8"/>
  <c r="I36" i="9" s="1"/>
  <c r="B37" i="8"/>
  <c r="B37" i="9" s="1"/>
  <c r="C37" i="8"/>
  <c r="C38" i="20" s="1"/>
  <c r="D37" i="8"/>
  <c r="C37" i="9" s="1"/>
  <c r="E37" i="8"/>
  <c r="D37" i="9" s="1"/>
  <c r="F37" i="8"/>
  <c r="E37" i="9" s="1"/>
  <c r="G37" i="8"/>
  <c r="F37" i="9" s="1"/>
  <c r="H37" i="8"/>
  <c r="G37" i="9" s="1"/>
  <c r="I37" i="8"/>
  <c r="H37" i="9" s="1"/>
  <c r="J37" i="8"/>
  <c r="I37" i="9" s="1"/>
  <c r="B38" i="8"/>
  <c r="B38" i="9" s="1"/>
  <c r="C38" i="8"/>
  <c r="C39" i="20" s="1"/>
  <c r="D38" i="8"/>
  <c r="C38" i="9" s="1"/>
  <c r="E38" i="8"/>
  <c r="D38" i="9" s="1"/>
  <c r="F38" i="8"/>
  <c r="E38" i="9" s="1"/>
  <c r="G38" i="8"/>
  <c r="F38" i="9" s="1"/>
  <c r="H38" i="8"/>
  <c r="G38" i="9" s="1"/>
  <c r="I38" i="8"/>
  <c r="H38" i="9" s="1"/>
  <c r="J38" i="8"/>
  <c r="I38" i="9" s="1"/>
  <c r="B39" i="8"/>
  <c r="B39" i="9" s="1"/>
  <c r="C39" i="8"/>
  <c r="C40" i="20" s="1"/>
  <c r="D39" i="8"/>
  <c r="C39" i="9" s="1"/>
  <c r="E39" i="8"/>
  <c r="D39" i="9" s="1"/>
  <c r="F39" i="8"/>
  <c r="E39" i="9" s="1"/>
  <c r="G39" i="8"/>
  <c r="F39" i="9" s="1"/>
  <c r="H39" i="8"/>
  <c r="G39" i="9" s="1"/>
  <c r="I39" i="8"/>
  <c r="H39" i="9" s="1"/>
  <c r="J39" i="8"/>
  <c r="I39" i="9" s="1"/>
  <c r="B40" i="8"/>
  <c r="B40" i="9" s="1"/>
  <c r="C40" i="8"/>
  <c r="C41" i="20" s="1"/>
  <c r="D40" i="8"/>
  <c r="C40" i="9" s="1"/>
  <c r="E40" i="8"/>
  <c r="D40" i="9" s="1"/>
  <c r="F40" i="8"/>
  <c r="E40" i="9" s="1"/>
  <c r="G40" i="8"/>
  <c r="F40" i="9" s="1"/>
  <c r="H40" i="8"/>
  <c r="G40" i="9" s="1"/>
  <c r="I40" i="8"/>
  <c r="H40" i="9" s="1"/>
  <c r="J40" i="8"/>
  <c r="I40" i="9" s="1"/>
  <c r="B41" i="8"/>
  <c r="B41" i="9" s="1"/>
  <c r="C41" i="8"/>
  <c r="C42" i="20" s="1"/>
  <c r="D41" i="8"/>
  <c r="C41" i="9" s="1"/>
  <c r="E41" i="8"/>
  <c r="D41" i="9" s="1"/>
  <c r="F41" i="8"/>
  <c r="E41" i="9" s="1"/>
  <c r="G41" i="8"/>
  <c r="F41" i="9" s="1"/>
  <c r="H41" i="8"/>
  <c r="G41" i="9" s="1"/>
  <c r="I41" i="8"/>
  <c r="H41" i="9" s="1"/>
  <c r="J41" i="8"/>
  <c r="I41" i="9" s="1"/>
  <c r="B42" i="8"/>
  <c r="B42" i="9" s="1"/>
  <c r="C42" i="8"/>
  <c r="C43" i="20" s="1"/>
  <c r="D42" i="8"/>
  <c r="C42" i="9" s="1"/>
  <c r="E42" i="8"/>
  <c r="D42" i="9" s="1"/>
  <c r="F42" i="8"/>
  <c r="E42" i="9" s="1"/>
  <c r="G42" i="8"/>
  <c r="F42" i="9" s="1"/>
  <c r="H42" i="8"/>
  <c r="G42" i="9" s="1"/>
  <c r="I42" i="8"/>
  <c r="H42" i="9" s="1"/>
  <c r="J42" i="8"/>
  <c r="I42" i="9" s="1"/>
  <c r="B43" i="8"/>
  <c r="B43" i="9" s="1"/>
  <c r="C43" i="8"/>
  <c r="C44" i="20" s="1"/>
  <c r="D43" i="8"/>
  <c r="C43" i="9" s="1"/>
  <c r="E43" i="8"/>
  <c r="D43" i="9" s="1"/>
  <c r="F43" i="8"/>
  <c r="E43" i="9" s="1"/>
  <c r="G43" i="8"/>
  <c r="F43" i="9" s="1"/>
  <c r="H43" i="8"/>
  <c r="G43" i="9" s="1"/>
  <c r="I43" i="8"/>
  <c r="H43" i="9" s="1"/>
  <c r="J43" i="8"/>
  <c r="I43" i="9" s="1"/>
  <c r="B44" i="8"/>
  <c r="B44" i="9" s="1"/>
  <c r="C44" i="8"/>
  <c r="C45" i="20" s="1"/>
  <c r="D44" i="8"/>
  <c r="C44" i="9" s="1"/>
  <c r="E44" i="8"/>
  <c r="D44" i="9" s="1"/>
  <c r="F44" i="8"/>
  <c r="E44" i="9" s="1"/>
  <c r="G44" i="8"/>
  <c r="F44" i="9" s="1"/>
  <c r="H44" i="8"/>
  <c r="G44" i="9" s="1"/>
  <c r="I44" i="8"/>
  <c r="H44" i="9" s="1"/>
  <c r="J44" i="8"/>
  <c r="I44" i="9" s="1"/>
  <c r="B45" i="8"/>
  <c r="B45" i="9" s="1"/>
  <c r="C45" i="8"/>
  <c r="C46" i="20" s="1"/>
  <c r="D45" i="8"/>
  <c r="C45" i="9" s="1"/>
  <c r="E45" i="8"/>
  <c r="D45" i="9" s="1"/>
  <c r="F45" i="8"/>
  <c r="E45" i="9" s="1"/>
  <c r="G45" i="8"/>
  <c r="F45" i="9" s="1"/>
  <c r="H45" i="8"/>
  <c r="G45" i="9" s="1"/>
  <c r="I45" i="8"/>
  <c r="H45" i="9" s="1"/>
  <c r="J45" i="8"/>
  <c r="I45" i="9" s="1"/>
  <c r="B46" i="8"/>
  <c r="B46" i="9" s="1"/>
  <c r="C46" i="8"/>
  <c r="C47" i="20" s="1"/>
  <c r="D46" i="8"/>
  <c r="C46" i="9" s="1"/>
  <c r="E46" i="8"/>
  <c r="D46" i="9" s="1"/>
  <c r="F46" i="8"/>
  <c r="E46" i="9" s="1"/>
  <c r="G46" i="8"/>
  <c r="F46" i="9" s="1"/>
  <c r="H46" i="8"/>
  <c r="G46" i="9" s="1"/>
  <c r="I46" i="8"/>
  <c r="H46" i="9" s="1"/>
  <c r="J46" i="8"/>
  <c r="I46" i="9" s="1"/>
  <c r="B47" i="8"/>
  <c r="B47" i="9" s="1"/>
  <c r="C47" i="8"/>
  <c r="C48" i="20" s="1"/>
  <c r="D47" i="8"/>
  <c r="C47" i="9" s="1"/>
  <c r="E47" i="8"/>
  <c r="D47" i="9" s="1"/>
  <c r="F47" i="8"/>
  <c r="E47" i="9" s="1"/>
  <c r="G47" i="8"/>
  <c r="F47" i="9" s="1"/>
  <c r="H47" i="8"/>
  <c r="G47" i="9" s="1"/>
  <c r="I47" i="8"/>
  <c r="H47" i="9" s="1"/>
  <c r="J47" i="8"/>
  <c r="I47" i="9" s="1"/>
  <c r="B48" i="8"/>
  <c r="B48" i="9" s="1"/>
  <c r="C48" i="8"/>
  <c r="C49" i="20" s="1"/>
  <c r="D48" i="8"/>
  <c r="C48" i="9" s="1"/>
  <c r="E48" i="8"/>
  <c r="D48" i="9" s="1"/>
  <c r="F48" i="8"/>
  <c r="E48" i="9" s="1"/>
  <c r="G48" i="8"/>
  <c r="F48" i="9" s="1"/>
  <c r="H48" i="8"/>
  <c r="G48" i="9" s="1"/>
  <c r="I48" i="8"/>
  <c r="H48" i="9" s="1"/>
  <c r="J48" i="8"/>
  <c r="I48" i="9" s="1"/>
  <c r="B49" i="8"/>
  <c r="B49" i="9" s="1"/>
  <c r="C49" i="8"/>
  <c r="C50" i="20" s="1"/>
  <c r="D49" i="8"/>
  <c r="C49" i="9" s="1"/>
  <c r="E49" i="8"/>
  <c r="D49" i="9" s="1"/>
  <c r="F49" i="8"/>
  <c r="E49" i="9" s="1"/>
  <c r="G49" i="8"/>
  <c r="F49" i="9" s="1"/>
  <c r="H49" i="8"/>
  <c r="G49" i="9" s="1"/>
  <c r="I49" i="8"/>
  <c r="H49" i="9" s="1"/>
  <c r="J49" i="8"/>
  <c r="I49" i="9" s="1"/>
  <c r="B50" i="8"/>
  <c r="B50" i="9" s="1"/>
  <c r="C50" i="8"/>
  <c r="C51" i="20" s="1"/>
  <c r="D50" i="8"/>
  <c r="C50" i="9" s="1"/>
  <c r="E50" i="8"/>
  <c r="D50" i="9" s="1"/>
  <c r="F50" i="8"/>
  <c r="E50" i="9" s="1"/>
  <c r="G50" i="8"/>
  <c r="F50" i="9" s="1"/>
  <c r="H50" i="8"/>
  <c r="G50" i="9" s="1"/>
  <c r="I50" i="8"/>
  <c r="H50" i="9" s="1"/>
  <c r="J50" i="8"/>
  <c r="I50" i="9" s="1"/>
  <c r="B51" i="8"/>
  <c r="B51" i="9" s="1"/>
  <c r="C51" i="8"/>
  <c r="C52" i="20" s="1"/>
  <c r="D51" i="8"/>
  <c r="C51" i="9" s="1"/>
  <c r="E51" i="8"/>
  <c r="D51" i="9" s="1"/>
  <c r="F51" i="8"/>
  <c r="E51" i="9" s="1"/>
  <c r="G51" i="8"/>
  <c r="F51" i="9" s="1"/>
  <c r="H51" i="8"/>
  <c r="G51" i="9" s="1"/>
  <c r="I51" i="8"/>
  <c r="H51" i="9" s="1"/>
  <c r="J51" i="8"/>
  <c r="I51" i="9" s="1"/>
  <c r="B52" i="8"/>
  <c r="B52" i="9" s="1"/>
  <c r="C52" i="8"/>
  <c r="C53" i="20" s="1"/>
  <c r="D52" i="8"/>
  <c r="C52" i="9" s="1"/>
  <c r="E52" i="8"/>
  <c r="D52" i="9" s="1"/>
  <c r="F52" i="8"/>
  <c r="E52" i="9" s="1"/>
  <c r="G52" i="8"/>
  <c r="F52" i="9" s="1"/>
  <c r="H52" i="8"/>
  <c r="G52" i="9" s="1"/>
  <c r="I52" i="8"/>
  <c r="H52" i="9" s="1"/>
  <c r="J52" i="8"/>
  <c r="I52" i="9" s="1"/>
  <c r="B53" i="8"/>
  <c r="B53" i="9" s="1"/>
  <c r="C53" i="8"/>
  <c r="C54" i="20" s="1"/>
  <c r="D53" i="8"/>
  <c r="C53" i="9" s="1"/>
  <c r="E53" i="8"/>
  <c r="D53" i="9" s="1"/>
  <c r="F53" i="8"/>
  <c r="E53" i="9" s="1"/>
  <c r="G53" i="8"/>
  <c r="F53" i="9" s="1"/>
  <c r="H53" i="8"/>
  <c r="G53" i="9" s="1"/>
  <c r="I53" i="8"/>
  <c r="H53" i="9" s="1"/>
  <c r="J53" i="8"/>
  <c r="I53" i="9" s="1"/>
  <c r="B54" i="8"/>
  <c r="B54" i="9" s="1"/>
  <c r="C54" i="8"/>
  <c r="C55" i="20" s="1"/>
  <c r="D54" i="8"/>
  <c r="C54" i="9" s="1"/>
  <c r="E54" i="8"/>
  <c r="D54" i="9" s="1"/>
  <c r="F54" i="8"/>
  <c r="E54" i="9" s="1"/>
  <c r="G54" i="8"/>
  <c r="F54" i="9" s="1"/>
  <c r="H54" i="8"/>
  <c r="G54" i="9" s="1"/>
  <c r="I54" i="8"/>
  <c r="H54" i="9" s="1"/>
  <c r="J54" i="8"/>
  <c r="I54" i="9" s="1"/>
  <c r="B55" i="8"/>
  <c r="B55" i="9" s="1"/>
  <c r="C55" i="8"/>
  <c r="C56" i="20" s="1"/>
  <c r="D55" i="8"/>
  <c r="C55" i="9" s="1"/>
  <c r="E55" i="8"/>
  <c r="D55" i="9" s="1"/>
  <c r="F55" i="8"/>
  <c r="E55" i="9" s="1"/>
  <c r="G55" i="8"/>
  <c r="F55" i="9" s="1"/>
  <c r="H55" i="8"/>
  <c r="G55" i="9" s="1"/>
  <c r="I55" i="8"/>
  <c r="H55" i="9" s="1"/>
  <c r="J55" i="8"/>
  <c r="I55" i="9" s="1"/>
  <c r="B56" i="8"/>
  <c r="B56" i="9" s="1"/>
  <c r="C56" i="8"/>
  <c r="C57" i="20" s="1"/>
  <c r="D56" i="8"/>
  <c r="C56" i="9" s="1"/>
  <c r="E56" i="8"/>
  <c r="D56" i="9" s="1"/>
  <c r="F56" i="8"/>
  <c r="E56" i="9" s="1"/>
  <c r="G56" i="8"/>
  <c r="F56" i="9" s="1"/>
  <c r="H56" i="8"/>
  <c r="G56" i="9" s="1"/>
  <c r="I56" i="8"/>
  <c r="H56" i="9" s="1"/>
  <c r="J56" i="8"/>
  <c r="I56" i="9" s="1"/>
  <c r="B57" i="8"/>
  <c r="B57" i="9" s="1"/>
  <c r="C57" i="8"/>
  <c r="C58" i="20" s="1"/>
  <c r="D57" i="8"/>
  <c r="C57" i="9" s="1"/>
  <c r="E57" i="8"/>
  <c r="D57" i="9" s="1"/>
  <c r="F57" i="8"/>
  <c r="E57" i="9" s="1"/>
  <c r="G57" i="8"/>
  <c r="F57" i="9" s="1"/>
  <c r="H57" i="8"/>
  <c r="G57" i="9" s="1"/>
  <c r="I57" i="8"/>
  <c r="H57" i="9" s="1"/>
  <c r="J57" i="8"/>
  <c r="I57" i="9" s="1"/>
  <c r="B58" i="8"/>
  <c r="B58" i="9" s="1"/>
  <c r="C58" i="8"/>
  <c r="C59" i="20" s="1"/>
  <c r="D58" i="8"/>
  <c r="C58" i="9" s="1"/>
  <c r="E58" i="8"/>
  <c r="D58" i="9" s="1"/>
  <c r="F58" i="8"/>
  <c r="E58" i="9" s="1"/>
  <c r="G58" i="8"/>
  <c r="F58" i="9" s="1"/>
  <c r="H58" i="8"/>
  <c r="G58" i="9" s="1"/>
  <c r="I58" i="8"/>
  <c r="H58" i="9" s="1"/>
  <c r="J58" i="8"/>
  <c r="I58" i="9" s="1"/>
  <c r="B59" i="8"/>
  <c r="B59" i="9" s="1"/>
  <c r="C59" i="8"/>
  <c r="C60" i="20" s="1"/>
  <c r="D59" i="8"/>
  <c r="C59" i="9" s="1"/>
  <c r="E59" i="8"/>
  <c r="D59" i="9" s="1"/>
  <c r="F59" i="8"/>
  <c r="E59" i="9" s="1"/>
  <c r="G59" i="8"/>
  <c r="F59" i="9" s="1"/>
  <c r="H59" i="8"/>
  <c r="G59" i="9" s="1"/>
  <c r="I59" i="8"/>
  <c r="H59" i="9" s="1"/>
  <c r="J59" i="8"/>
  <c r="I59" i="9" s="1"/>
  <c r="B60" i="8"/>
  <c r="B60" i="9" s="1"/>
  <c r="C60" i="8"/>
  <c r="C61" i="20" s="1"/>
  <c r="D60" i="8"/>
  <c r="C60" i="9" s="1"/>
  <c r="E60" i="8"/>
  <c r="D60" i="9" s="1"/>
  <c r="F60" i="8"/>
  <c r="E60" i="9" s="1"/>
  <c r="G60" i="8"/>
  <c r="F60" i="9" s="1"/>
  <c r="H60" i="8"/>
  <c r="G60" i="9" s="1"/>
  <c r="I60" i="8"/>
  <c r="H60" i="9" s="1"/>
  <c r="J60" i="8"/>
  <c r="I60" i="9" s="1"/>
  <c r="B61" i="8"/>
  <c r="B61" i="9" s="1"/>
  <c r="C61" i="8"/>
  <c r="C62" i="20" s="1"/>
  <c r="D61" i="8"/>
  <c r="C61" i="9" s="1"/>
  <c r="E61" i="8"/>
  <c r="D61" i="9" s="1"/>
  <c r="F61" i="8"/>
  <c r="E61" i="9" s="1"/>
  <c r="G61" i="8"/>
  <c r="F61" i="9" s="1"/>
  <c r="H61" i="8"/>
  <c r="G61" i="9" s="1"/>
  <c r="I61" i="8"/>
  <c r="H61" i="9" s="1"/>
  <c r="J61" i="8"/>
  <c r="I61" i="9" s="1"/>
  <c r="B62" i="8"/>
  <c r="B62" i="9" s="1"/>
  <c r="C62" i="8"/>
  <c r="C63" i="20" s="1"/>
  <c r="D62" i="8"/>
  <c r="C62" i="9" s="1"/>
  <c r="E62" i="8"/>
  <c r="D62" i="9" s="1"/>
  <c r="F62" i="8"/>
  <c r="E62" i="9" s="1"/>
  <c r="G62" i="8"/>
  <c r="F62" i="9" s="1"/>
  <c r="H62" i="8"/>
  <c r="G62" i="9" s="1"/>
  <c r="I62" i="8"/>
  <c r="H62" i="9" s="1"/>
  <c r="J62" i="8"/>
  <c r="I62" i="9" s="1"/>
  <c r="B63" i="8"/>
  <c r="B63" i="9" s="1"/>
  <c r="C63" i="8"/>
  <c r="C64" i="20" s="1"/>
  <c r="D63" i="8"/>
  <c r="C63" i="9" s="1"/>
  <c r="E63" i="8"/>
  <c r="D63" i="9" s="1"/>
  <c r="F63" i="8"/>
  <c r="E63" i="9" s="1"/>
  <c r="G63" i="8"/>
  <c r="F63" i="9" s="1"/>
  <c r="H63" i="8"/>
  <c r="G63" i="9" s="1"/>
  <c r="I63" i="8"/>
  <c r="H63" i="9" s="1"/>
  <c r="J63" i="8"/>
  <c r="I63" i="9" s="1"/>
  <c r="B64" i="8"/>
  <c r="B64" i="9" s="1"/>
  <c r="C64" i="8"/>
  <c r="C65" i="20" s="1"/>
  <c r="D64" i="8"/>
  <c r="C64" i="9" s="1"/>
  <c r="E64" i="8"/>
  <c r="D64" i="9" s="1"/>
  <c r="F64" i="8"/>
  <c r="E64" i="9" s="1"/>
  <c r="G64" i="8"/>
  <c r="F64" i="9" s="1"/>
  <c r="H64" i="8"/>
  <c r="G64" i="9" s="1"/>
  <c r="I64" i="8"/>
  <c r="H64" i="9" s="1"/>
  <c r="J64" i="8"/>
  <c r="I64" i="9" s="1"/>
  <c r="B65" i="8"/>
  <c r="B65" i="9" s="1"/>
  <c r="C65" i="8"/>
  <c r="C66" i="20" s="1"/>
  <c r="D65" i="8"/>
  <c r="C65" i="9" s="1"/>
  <c r="E65" i="8"/>
  <c r="D65" i="9" s="1"/>
  <c r="F65" i="8"/>
  <c r="E65" i="9" s="1"/>
  <c r="G65" i="8"/>
  <c r="F65" i="9" s="1"/>
  <c r="H65" i="8"/>
  <c r="G65" i="9" s="1"/>
  <c r="I65" i="8"/>
  <c r="H65" i="9" s="1"/>
  <c r="J65" i="8"/>
  <c r="I65" i="9" s="1"/>
  <c r="B66" i="8"/>
  <c r="B66" i="9" s="1"/>
  <c r="C66" i="8"/>
  <c r="C67" i="20" s="1"/>
  <c r="D66" i="8"/>
  <c r="C66" i="9" s="1"/>
  <c r="E66" i="8"/>
  <c r="D66" i="9" s="1"/>
  <c r="F66" i="8"/>
  <c r="E66" i="9" s="1"/>
  <c r="G66" i="8"/>
  <c r="F66" i="9" s="1"/>
  <c r="H66" i="8"/>
  <c r="G66" i="9" s="1"/>
  <c r="I66" i="8"/>
  <c r="H66" i="9" s="1"/>
  <c r="J66" i="8"/>
  <c r="I66" i="9" s="1"/>
  <c r="B67" i="8"/>
  <c r="B67" i="9" s="1"/>
  <c r="C67" i="8"/>
  <c r="C68" i="20" s="1"/>
  <c r="D67" i="8"/>
  <c r="C67" i="9" s="1"/>
  <c r="E67" i="8"/>
  <c r="D67" i="9" s="1"/>
  <c r="F67" i="8"/>
  <c r="E67" i="9" s="1"/>
  <c r="G67" i="8"/>
  <c r="F67" i="9" s="1"/>
  <c r="H67" i="8"/>
  <c r="G67" i="9" s="1"/>
  <c r="I67" i="8"/>
  <c r="H67" i="9" s="1"/>
  <c r="J67" i="8"/>
  <c r="I67" i="9" s="1"/>
  <c r="B68" i="8"/>
  <c r="B68" i="9" s="1"/>
  <c r="C68" i="8"/>
  <c r="C69" i="20" s="1"/>
  <c r="D68" i="8"/>
  <c r="C68" i="9" s="1"/>
  <c r="E68" i="8"/>
  <c r="D68" i="9" s="1"/>
  <c r="F68" i="8"/>
  <c r="E68" i="9" s="1"/>
  <c r="G68" i="8"/>
  <c r="F68" i="9" s="1"/>
  <c r="H68" i="8"/>
  <c r="G68" i="9" s="1"/>
  <c r="I68" i="8"/>
  <c r="H68" i="9" s="1"/>
  <c r="J68" i="8"/>
  <c r="I68" i="9" s="1"/>
  <c r="B69" i="8"/>
  <c r="B69" i="9" s="1"/>
  <c r="C69" i="8"/>
  <c r="C70" i="20" s="1"/>
  <c r="D69" i="8"/>
  <c r="C69" i="9" s="1"/>
  <c r="E69" i="8"/>
  <c r="D69" i="9" s="1"/>
  <c r="F69" i="8"/>
  <c r="E69" i="9" s="1"/>
  <c r="G69" i="8"/>
  <c r="F69" i="9" s="1"/>
  <c r="H69" i="8"/>
  <c r="G69" i="9" s="1"/>
  <c r="I69" i="8"/>
  <c r="H69" i="9" s="1"/>
  <c r="J69" i="8"/>
  <c r="I69" i="9" s="1"/>
  <c r="B70" i="8"/>
  <c r="B70" i="9" s="1"/>
  <c r="C70" i="8"/>
  <c r="C71" i="20" s="1"/>
  <c r="D70" i="8"/>
  <c r="C70" i="9" s="1"/>
  <c r="E70" i="8"/>
  <c r="D70" i="9" s="1"/>
  <c r="F70" i="8"/>
  <c r="E70" i="9" s="1"/>
  <c r="G70" i="8"/>
  <c r="F70" i="9" s="1"/>
  <c r="H70" i="8"/>
  <c r="G70" i="9" s="1"/>
  <c r="I70" i="8"/>
  <c r="H70" i="9" s="1"/>
  <c r="J70" i="8"/>
  <c r="I70" i="9" s="1"/>
  <c r="B71" i="8"/>
  <c r="B71" i="9" s="1"/>
  <c r="C71" i="8"/>
  <c r="C72" i="20" s="1"/>
  <c r="D71" i="8"/>
  <c r="C71" i="9" s="1"/>
  <c r="E71" i="8"/>
  <c r="D71" i="9" s="1"/>
  <c r="F71" i="8"/>
  <c r="E71" i="9" s="1"/>
  <c r="G71" i="8"/>
  <c r="F71" i="9" s="1"/>
  <c r="H71" i="8"/>
  <c r="G71" i="9" s="1"/>
  <c r="I71" i="8"/>
  <c r="H71" i="9" s="1"/>
  <c r="J71" i="8"/>
  <c r="I71" i="9" s="1"/>
  <c r="B72" i="8"/>
  <c r="B72" i="9" s="1"/>
  <c r="C72" i="8"/>
  <c r="C73" i="20" s="1"/>
  <c r="D72" i="8"/>
  <c r="C72" i="9" s="1"/>
  <c r="E72" i="8"/>
  <c r="D72" i="9" s="1"/>
  <c r="F72" i="8"/>
  <c r="E72" i="9" s="1"/>
  <c r="G72" i="8"/>
  <c r="F72" i="9" s="1"/>
  <c r="H72" i="8"/>
  <c r="G72" i="9" s="1"/>
  <c r="I72" i="8"/>
  <c r="H72" i="9" s="1"/>
  <c r="J72" i="8"/>
  <c r="I72" i="9" s="1"/>
  <c r="B73" i="8"/>
  <c r="B73" i="9" s="1"/>
  <c r="C73" i="8"/>
  <c r="C74" i="20" s="1"/>
  <c r="D73" i="8"/>
  <c r="C73" i="9" s="1"/>
  <c r="E73" i="8"/>
  <c r="D73" i="9" s="1"/>
  <c r="F73" i="8"/>
  <c r="E73" i="9" s="1"/>
  <c r="G73" i="8"/>
  <c r="F73" i="9" s="1"/>
  <c r="H73" i="8"/>
  <c r="G73" i="9" s="1"/>
  <c r="I73" i="8"/>
  <c r="H73" i="9" s="1"/>
  <c r="J73" i="8"/>
  <c r="I73" i="9" s="1"/>
  <c r="B74" i="8"/>
  <c r="B74" i="9" s="1"/>
  <c r="C74" i="8"/>
  <c r="C75" i="20" s="1"/>
  <c r="D74" i="8"/>
  <c r="C74" i="9" s="1"/>
  <c r="E74" i="8"/>
  <c r="D74" i="9" s="1"/>
  <c r="F74" i="8"/>
  <c r="E74" i="9" s="1"/>
  <c r="G74" i="8"/>
  <c r="F74" i="9" s="1"/>
  <c r="H74" i="8"/>
  <c r="G74" i="9" s="1"/>
  <c r="I74" i="8"/>
  <c r="H74" i="9" s="1"/>
  <c r="J74" i="8"/>
  <c r="I74" i="9" s="1"/>
  <c r="B75" i="8"/>
  <c r="B75" i="9" s="1"/>
  <c r="C75" i="8"/>
  <c r="C76" i="20" s="1"/>
  <c r="D75" i="8"/>
  <c r="C75" i="9" s="1"/>
  <c r="E75" i="8"/>
  <c r="D75" i="9" s="1"/>
  <c r="F75" i="8"/>
  <c r="E75" i="9" s="1"/>
  <c r="G75" i="8"/>
  <c r="F75" i="9" s="1"/>
  <c r="H75" i="8"/>
  <c r="G75" i="9" s="1"/>
  <c r="I75" i="8"/>
  <c r="H75" i="9" s="1"/>
  <c r="J75" i="8"/>
  <c r="I75" i="9" s="1"/>
  <c r="B76" i="8"/>
  <c r="B76" i="9" s="1"/>
  <c r="C76" i="8"/>
  <c r="C77" i="20" s="1"/>
  <c r="D76" i="8"/>
  <c r="C76" i="9" s="1"/>
  <c r="E76" i="8"/>
  <c r="D76" i="9" s="1"/>
  <c r="F76" i="8"/>
  <c r="E76" i="9" s="1"/>
  <c r="G76" i="8"/>
  <c r="F76" i="9" s="1"/>
  <c r="H76" i="8"/>
  <c r="G76" i="9" s="1"/>
  <c r="I76" i="8"/>
  <c r="H76" i="9" s="1"/>
  <c r="J76" i="8"/>
  <c r="I76" i="9" s="1"/>
  <c r="B77" i="8"/>
  <c r="B77" i="9" s="1"/>
  <c r="C77" i="8"/>
  <c r="C78" i="20" s="1"/>
  <c r="D77" i="8"/>
  <c r="C77" i="9" s="1"/>
  <c r="E77" i="8"/>
  <c r="D77" i="9" s="1"/>
  <c r="F77" i="8"/>
  <c r="E77" i="9" s="1"/>
  <c r="G77" i="8"/>
  <c r="F77" i="9" s="1"/>
  <c r="H77" i="8"/>
  <c r="G77" i="9" s="1"/>
  <c r="I77" i="8"/>
  <c r="H77" i="9" s="1"/>
  <c r="J77" i="8"/>
  <c r="I77" i="9" s="1"/>
  <c r="B78" i="8"/>
  <c r="B78" i="9" s="1"/>
  <c r="C78" i="8"/>
  <c r="C79" i="20" s="1"/>
  <c r="D78" i="8"/>
  <c r="C78" i="9" s="1"/>
  <c r="E78" i="8"/>
  <c r="D78" i="9" s="1"/>
  <c r="F78" i="8"/>
  <c r="E78" i="9" s="1"/>
  <c r="G78" i="8"/>
  <c r="F78" i="9" s="1"/>
  <c r="H78" i="8"/>
  <c r="G78" i="9" s="1"/>
  <c r="I78" i="8"/>
  <c r="H78" i="9" s="1"/>
  <c r="J78" i="8"/>
  <c r="I78" i="9" s="1"/>
  <c r="B79" i="8"/>
  <c r="B79" i="9" s="1"/>
  <c r="C79" i="8"/>
  <c r="C80" i="20" s="1"/>
  <c r="D79" i="8"/>
  <c r="C79" i="9" s="1"/>
  <c r="E79" i="8"/>
  <c r="D79" i="9" s="1"/>
  <c r="F79" i="8"/>
  <c r="E79" i="9" s="1"/>
  <c r="G79" i="8"/>
  <c r="F79" i="9" s="1"/>
  <c r="H79" i="8"/>
  <c r="G79" i="9" s="1"/>
  <c r="I79" i="8"/>
  <c r="H79" i="9" s="1"/>
  <c r="J79" i="8"/>
  <c r="I79" i="9" s="1"/>
  <c r="B80" i="8"/>
  <c r="B80" i="9" s="1"/>
  <c r="C80" i="8"/>
  <c r="C81" i="20" s="1"/>
  <c r="D80" i="8"/>
  <c r="C80" i="9" s="1"/>
  <c r="E80" i="8"/>
  <c r="D80" i="9" s="1"/>
  <c r="F80" i="8"/>
  <c r="E80" i="9" s="1"/>
  <c r="G80" i="8"/>
  <c r="F80" i="9" s="1"/>
  <c r="H80" i="8"/>
  <c r="G80" i="9" s="1"/>
  <c r="I80" i="8"/>
  <c r="H80" i="9" s="1"/>
  <c r="J80" i="8"/>
  <c r="I80" i="9" s="1"/>
  <c r="B81" i="8"/>
  <c r="B81" i="9" s="1"/>
  <c r="C81" i="8"/>
  <c r="C82" i="20" s="1"/>
  <c r="D81" i="8"/>
  <c r="C81" i="9" s="1"/>
  <c r="E81" i="8"/>
  <c r="D81" i="9" s="1"/>
  <c r="F81" i="8"/>
  <c r="E81" i="9" s="1"/>
  <c r="G81" i="8"/>
  <c r="F81" i="9" s="1"/>
  <c r="H81" i="8"/>
  <c r="G81" i="9" s="1"/>
  <c r="I81" i="8"/>
  <c r="H81" i="9" s="1"/>
  <c r="J81" i="8"/>
  <c r="I81" i="9" s="1"/>
  <c r="B82" i="8"/>
  <c r="B82" i="9" s="1"/>
  <c r="C82" i="8"/>
  <c r="C83" i="20" s="1"/>
  <c r="D82" i="8"/>
  <c r="C82" i="9" s="1"/>
  <c r="E82" i="8"/>
  <c r="D82" i="9" s="1"/>
  <c r="F82" i="8"/>
  <c r="E82" i="9" s="1"/>
  <c r="G82" i="8"/>
  <c r="F82" i="9" s="1"/>
  <c r="H82" i="8"/>
  <c r="G82" i="9" s="1"/>
  <c r="I82" i="8"/>
  <c r="H82" i="9" s="1"/>
  <c r="J82" i="8"/>
  <c r="I82" i="9" s="1"/>
  <c r="B83" i="8"/>
  <c r="B83" i="9" s="1"/>
  <c r="C83" i="8"/>
  <c r="C84" i="20" s="1"/>
  <c r="D83" i="8"/>
  <c r="C83" i="9" s="1"/>
  <c r="E83" i="8"/>
  <c r="D83" i="9" s="1"/>
  <c r="F83" i="8"/>
  <c r="E83" i="9" s="1"/>
  <c r="G83" i="8"/>
  <c r="F83" i="9" s="1"/>
  <c r="H83" i="8"/>
  <c r="G83" i="9" s="1"/>
  <c r="I83" i="8"/>
  <c r="H83" i="9" s="1"/>
  <c r="J83" i="8"/>
  <c r="I83" i="9" s="1"/>
  <c r="B84" i="8"/>
  <c r="B84" i="9" s="1"/>
  <c r="C84" i="8"/>
  <c r="C85" i="20" s="1"/>
  <c r="D84" i="8"/>
  <c r="C84" i="9" s="1"/>
  <c r="E84" i="8"/>
  <c r="D84" i="9" s="1"/>
  <c r="F84" i="8"/>
  <c r="E84" i="9" s="1"/>
  <c r="G84" i="8"/>
  <c r="F84" i="9" s="1"/>
  <c r="H84" i="8"/>
  <c r="G84" i="9" s="1"/>
  <c r="I84" i="8"/>
  <c r="H84" i="9" s="1"/>
  <c r="J84" i="8"/>
  <c r="I84" i="9" s="1"/>
  <c r="B85" i="8"/>
  <c r="B85" i="9" s="1"/>
  <c r="C85" i="8"/>
  <c r="C86" i="20" s="1"/>
  <c r="D85" i="8"/>
  <c r="C85" i="9" s="1"/>
  <c r="E85" i="8"/>
  <c r="D85" i="9" s="1"/>
  <c r="F85" i="8"/>
  <c r="E85" i="9" s="1"/>
  <c r="G85" i="8"/>
  <c r="F85" i="9" s="1"/>
  <c r="H85" i="8"/>
  <c r="G85" i="9" s="1"/>
  <c r="I85" i="8"/>
  <c r="H85" i="9" s="1"/>
  <c r="J85" i="8"/>
  <c r="I85" i="9" s="1"/>
  <c r="B86" i="8"/>
  <c r="B86" i="9" s="1"/>
  <c r="C86" i="8"/>
  <c r="C87" i="20" s="1"/>
  <c r="D86" i="8"/>
  <c r="C86" i="9" s="1"/>
  <c r="E86" i="8"/>
  <c r="D86" i="9" s="1"/>
  <c r="F86" i="8"/>
  <c r="E86" i="9" s="1"/>
  <c r="G86" i="8"/>
  <c r="F86" i="9" s="1"/>
  <c r="H86" i="8"/>
  <c r="G86" i="9" s="1"/>
  <c r="I86" i="8"/>
  <c r="H86" i="9" s="1"/>
  <c r="J86" i="8"/>
  <c r="I86" i="9" s="1"/>
  <c r="B87" i="8"/>
  <c r="B87" i="9" s="1"/>
  <c r="C87" i="8"/>
  <c r="C88" i="20" s="1"/>
  <c r="D87" i="8"/>
  <c r="C87" i="9" s="1"/>
  <c r="E87" i="8"/>
  <c r="D87" i="9" s="1"/>
  <c r="F87" i="8"/>
  <c r="E87" i="9" s="1"/>
  <c r="G87" i="8"/>
  <c r="F87" i="9" s="1"/>
  <c r="H87" i="8"/>
  <c r="G87" i="9" s="1"/>
  <c r="I87" i="8"/>
  <c r="H87" i="9" s="1"/>
  <c r="J87" i="8"/>
  <c r="I87" i="9" s="1"/>
  <c r="B88" i="8"/>
  <c r="B88" i="9" s="1"/>
  <c r="C88" i="8"/>
  <c r="C89" i="20" s="1"/>
  <c r="D88" i="8"/>
  <c r="C88" i="9" s="1"/>
  <c r="E88" i="8"/>
  <c r="D88" i="9" s="1"/>
  <c r="F88" i="8"/>
  <c r="E88" i="9" s="1"/>
  <c r="G88" i="8"/>
  <c r="F88" i="9" s="1"/>
  <c r="H88" i="8"/>
  <c r="G88" i="9" s="1"/>
  <c r="I88" i="8"/>
  <c r="H88" i="9" s="1"/>
  <c r="J88" i="8"/>
  <c r="I88" i="9" s="1"/>
  <c r="B89" i="8"/>
  <c r="B89" i="9" s="1"/>
  <c r="C89" i="8"/>
  <c r="C90" i="20" s="1"/>
  <c r="D89" i="8"/>
  <c r="C89" i="9" s="1"/>
  <c r="E89" i="8"/>
  <c r="D89" i="9" s="1"/>
  <c r="F89" i="8"/>
  <c r="E89" i="9" s="1"/>
  <c r="G89" i="8"/>
  <c r="F89" i="9" s="1"/>
  <c r="H89" i="8"/>
  <c r="G89" i="9" s="1"/>
  <c r="I89" i="8"/>
  <c r="H89" i="9" s="1"/>
  <c r="J89" i="8"/>
  <c r="I89" i="9" s="1"/>
  <c r="B90" i="8"/>
  <c r="B90" i="9" s="1"/>
  <c r="C90" i="8"/>
  <c r="C91" i="20" s="1"/>
  <c r="D90" i="8"/>
  <c r="C90" i="9" s="1"/>
  <c r="E90" i="8"/>
  <c r="D90" i="9" s="1"/>
  <c r="F90" i="8"/>
  <c r="E90" i="9" s="1"/>
  <c r="G90" i="8"/>
  <c r="F90" i="9" s="1"/>
  <c r="H90" i="8"/>
  <c r="G90" i="9" s="1"/>
  <c r="I90" i="8"/>
  <c r="H90" i="9" s="1"/>
  <c r="J90" i="8"/>
  <c r="I90" i="9" s="1"/>
  <c r="B91" i="8"/>
  <c r="B91" i="9" s="1"/>
  <c r="C91" i="8"/>
  <c r="C92" i="20" s="1"/>
  <c r="D91" i="8"/>
  <c r="C91" i="9" s="1"/>
  <c r="E91" i="8"/>
  <c r="D91" i="9" s="1"/>
  <c r="F91" i="8"/>
  <c r="E91" i="9" s="1"/>
  <c r="G91" i="8"/>
  <c r="F91" i="9" s="1"/>
  <c r="H91" i="8"/>
  <c r="G91" i="9" s="1"/>
  <c r="I91" i="8"/>
  <c r="H91" i="9" s="1"/>
  <c r="J91" i="8"/>
  <c r="I91" i="9" s="1"/>
  <c r="B92" i="8"/>
  <c r="B92" i="9" s="1"/>
  <c r="C92" i="8"/>
  <c r="C93" i="20" s="1"/>
  <c r="D92" i="8"/>
  <c r="C92" i="9" s="1"/>
  <c r="E92" i="8"/>
  <c r="D92" i="9" s="1"/>
  <c r="F92" i="8"/>
  <c r="E92" i="9" s="1"/>
  <c r="G92" i="8"/>
  <c r="F92" i="9" s="1"/>
  <c r="H92" i="8"/>
  <c r="G92" i="9" s="1"/>
  <c r="I92" i="8"/>
  <c r="H92" i="9" s="1"/>
  <c r="J92" i="8"/>
  <c r="I92" i="9" s="1"/>
  <c r="B93" i="8"/>
  <c r="B93" i="9" s="1"/>
  <c r="C93" i="8"/>
  <c r="C94" i="20" s="1"/>
  <c r="D93" i="8"/>
  <c r="C93" i="9" s="1"/>
  <c r="E93" i="8"/>
  <c r="D93" i="9" s="1"/>
  <c r="F93" i="8"/>
  <c r="E93" i="9" s="1"/>
  <c r="G93" i="8"/>
  <c r="F93" i="9" s="1"/>
  <c r="H93" i="8"/>
  <c r="G93" i="9" s="1"/>
  <c r="I93" i="8"/>
  <c r="H93" i="9" s="1"/>
  <c r="J93" i="8"/>
  <c r="I93" i="9" s="1"/>
  <c r="B94" i="8"/>
  <c r="B94" i="9" s="1"/>
  <c r="C94" i="8"/>
  <c r="C95" i="20" s="1"/>
  <c r="D94" i="8"/>
  <c r="C94" i="9" s="1"/>
  <c r="E94" i="8"/>
  <c r="D94" i="9" s="1"/>
  <c r="F94" i="8"/>
  <c r="E94" i="9" s="1"/>
  <c r="G94" i="8"/>
  <c r="F94" i="9" s="1"/>
  <c r="H94" i="8"/>
  <c r="G94" i="9" s="1"/>
  <c r="I94" i="8"/>
  <c r="H94" i="9" s="1"/>
  <c r="J94" i="8"/>
  <c r="I94" i="9" s="1"/>
  <c r="B95" i="8"/>
  <c r="B95" i="9" s="1"/>
  <c r="C95" i="8"/>
  <c r="C96" i="20" s="1"/>
  <c r="D95" i="8"/>
  <c r="C95" i="9" s="1"/>
  <c r="E95" i="8"/>
  <c r="D95" i="9" s="1"/>
  <c r="F95" i="8"/>
  <c r="E95" i="9" s="1"/>
  <c r="G95" i="8"/>
  <c r="F95" i="9" s="1"/>
  <c r="H95" i="8"/>
  <c r="G95" i="9" s="1"/>
  <c r="I95" i="8"/>
  <c r="H95" i="9" s="1"/>
  <c r="J95" i="8"/>
  <c r="I95" i="9" s="1"/>
  <c r="B96" i="8"/>
  <c r="B96" i="9" s="1"/>
  <c r="C96" i="8"/>
  <c r="C97" i="20" s="1"/>
  <c r="D96" i="8"/>
  <c r="C96" i="9" s="1"/>
  <c r="E96" i="8"/>
  <c r="D96" i="9" s="1"/>
  <c r="F96" i="8"/>
  <c r="E96" i="9" s="1"/>
  <c r="G96" i="8"/>
  <c r="F96" i="9" s="1"/>
  <c r="H96" i="8"/>
  <c r="G96" i="9" s="1"/>
  <c r="I96" i="8"/>
  <c r="H96" i="9" s="1"/>
  <c r="J96" i="8"/>
  <c r="I96" i="9" s="1"/>
  <c r="B97" i="8"/>
  <c r="B97" i="9" s="1"/>
  <c r="C97" i="8"/>
  <c r="C98" i="20" s="1"/>
  <c r="D97" i="8"/>
  <c r="C97" i="9" s="1"/>
  <c r="E97" i="8"/>
  <c r="D97" i="9" s="1"/>
  <c r="F97" i="8"/>
  <c r="E97" i="9" s="1"/>
  <c r="G97" i="8"/>
  <c r="F97" i="9" s="1"/>
  <c r="H97" i="8"/>
  <c r="G97" i="9" s="1"/>
  <c r="I97" i="8"/>
  <c r="H97" i="9" s="1"/>
  <c r="J97" i="8"/>
  <c r="I97" i="9" s="1"/>
  <c r="B98" i="8"/>
  <c r="B98" i="9" s="1"/>
  <c r="C98" i="8"/>
  <c r="C99" i="20" s="1"/>
  <c r="D98" i="8"/>
  <c r="C98" i="9" s="1"/>
  <c r="E98" i="8"/>
  <c r="D98" i="9" s="1"/>
  <c r="F98" i="8"/>
  <c r="E98" i="9" s="1"/>
  <c r="G98" i="8"/>
  <c r="F98" i="9" s="1"/>
  <c r="H98" i="8"/>
  <c r="G98" i="9" s="1"/>
  <c r="I98" i="8"/>
  <c r="H98" i="9" s="1"/>
  <c r="J98" i="8"/>
  <c r="I98" i="9" s="1"/>
  <c r="B99" i="8"/>
  <c r="B99" i="9" s="1"/>
  <c r="C99" i="8"/>
  <c r="C100" i="20" s="1"/>
  <c r="D99" i="8"/>
  <c r="C99" i="9" s="1"/>
  <c r="E99" i="8"/>
  <c r="D99" i="9" s="1"/>
  <c r="F99" i="8"/>
  <c r="E99" i="9" s="1"/>
  <c r="G99" i="8"/>
  <c r="F99" i="9" s="1"/>
  <c r="H99" i="8"/>
  <c r="G99" i="9" s="1"/>
  <c r="I99" i="8"/>
  <c r="H99" i="9" s="1"/>
  <c r="J99" i="8"/>
  <c r="I99" i="9" s="1"/>
  <c r="B100" i="8"/>
  <c r="B100" i="9" s="1"/>
  <c r="C100" i="8"/>
  <c r="C101" i="20" s="1"/>
  <c r="D100" i="8"/>
  <c r="C100" i="9" s="1"/>
  <c r="E100" i="8"/>
  <c r="D100" i="9" s="1"/>
  <c r="F100" i="8"/>
  <c r="E100" i="9" s="1"/>
  <c r="G100" i="8"/>
  <c r="F100" i="9" s="1"/>
  <c r="H100" i="8"/>
  <c r="G100" i="9" s="1"/>
  <c r="I100" i="8"/>
  <c r="H100" i="9" s="1"/>
  <c r="J100" i="8"/>
  <c r="I100" i="9" s="1"/>
  <c r="B101" i="8"/>
  <c r="B101" i="9" s="1"/>
  <c r="C101" i="8"/>
  <c r="C102" i="20" s="1"/>
  <c r="D101" i="8"/>
  <c r="C101" i="9" s="1"/>
  <c r="E101" i="8"/>
  <c r="D101" i="9" s="1"/>
  <c r="F101" i="8"/>
  <c r="E101" i="9" s="1"/>
  <c r="G101" i="8"/>
  <c r="F101" i="9" s="1"/>
  <c r="H101" i="8"/>
  <c r="G101" i="9" s="1"/>
  <c r="I101" i="8"/>
  <c r="H101" i="9" s="1"/>
  <c r="J101" i="8"/>
  <c r="I101" i="9" s="1"/>
  <c r="B102" i="8"/>
  <c r="B102" i="9" s="1"/>
  <c r="C102" i="8"/>
  <c r="C103" i="20" s="1"/>
  <c r="D102" i="8"/>
  <c r="C102" i="9" s="1"/>
  <c r="E102" i="8"/>
  <c r="D102" i="9" s="1"/>
  <c r="F102" i="8"/>
  <c r="E102" i="9" s="1"/>
  <c r="G102" i="8"/>
  <c r="F102" i="9" s="1"/>
  <c r="H102" i="8"/>
  <c r="G102" i="9" s="1"/>
  <c r="I102" i="8"/>
  <c r="H102" i="9" s="1"/>
  <c r="J102" i="8"/>
  <c r="I102" i="9" s="1"/>
  <c r="B103" i="8"/>
  <c r="B103" i="9" s="1"/>
  <c r="C103" i="8"/>
  <c r="C104" i="20" s="1"/>
  <c r="D103" i="8"/>
  <c r="C103" i="9" s="1"/>
  <c r="E103" i="8"/>
  <c r="D103" i="9" s="1"/>
  <c r="F103" i="8"/>
  <c r="E103" i="9" s="1"/>
  <c r="G103" i="8"/>
  <c r="F103" i="9" s="1"/>
  <c r="H103" i="8"/>
  <c r="G103" i="9" s="1"/>
  <c r="I103" i="8"/>
  <c r="H103" i="9" s="1"/>
  <c r="J103" i="8"/>
  <c r="I103" i="9" s="1"/>
  <c r="B104" i="8"/>
  <c r="B104" i="9" s="1"/>
  <c r="C104" i="8"/>
  <c r="C105" i="20" s="1"/>
  <c r="D104" i="8"/>
  <c r="C104" i="9" s="1"/>
  <c r="E104" i="8"/>
  <c r="D104" i="9" s="1"/>
  <c r="F104" i="8"/>
  <c r="E104" i="9" s="1"/>
  <c r="G104" i="8"/>
  <c r="F104" i="9" s="1"/>
  <c r="H104" i="8"/>
  <c r="G104" i="9" s="1"/>
  <c r="I104" i="8"/>
  <c r="H104" i="9" s="1"/>
  <c r="J104" i="8"/>
  <c r="I104" i="9" s="1"/>
  <c r="B105" i="8"/>
  <c r="B105" i="9" s="1"/>
  <c r="C105" i="8"/>
  <c r="C106" i="20" s="1"/>
  <c r="D105" i="8"/>
  <c r="C105" i="9" s="1"/>
  <c r="E105" i="8"/>
  <c r="D105" i="9" s="1"/>
  <c r="F105" i="8"/>
  <c r="E105" i="9" s="1"/>
  <c r="G105" i="8"/>
  <c r="F105" i="9" s="1"/>
  <c r="H105" i="8"/>
  <c r="G105" i="9" s="1"/>
  <c r="I105" i="8"/>
  <c r="H105" i="9" s="1"/>
  <c r="J105" i="8"/>
  <c r="I105" i="9" s="1"/>
  <c r="B106" i="8"/>
  <c r="B106" i="9" s="1"/>
  <c r="C106" i="8"/>
  <c r="C107" i="20" s="1"/>
  <c r="D106" i="8"/>
  <c r="C106" i="9" s="1"/>
  <c r="E106" i="8"/>
  <c r="D106" i="9" s="1"/>
  <c r="F106" i="8"/>
  <c r="E106" i="9" s="1"/>
  <c r="G106" i="8"/>
  <c r="F106" i="9" s="1"/>
  <c r="H106" i="8"/>
  <c r="G106" i="9" s="1"/>
  <c r="I106" i="8"/>
  <c r="H106" i="9" s="1"/>
  <c r="J106" i="8"/>
  <c r="I106" i="9" s="1"/>
  <c r="B107" i="8"/>
  <c r="B107" i="9" s="1"/>
  <c r="C107" i="8"/>
  <c r="C108" i="20" s="1"/>
  <c r="D107" i="8"/>
  <c r="C107" i="9" s="1"/>
  <c r="E107" i="8"/>
  <c r="D107" i="9" s="1"/>
  <c r="F107" i="8"/>
  <c r="E107" i="9" s="1"/>
  <c r="G107" i="8"/>
  <c r="F107" i="9" s="1"/>
  <c r="H107" i="8"/>
  <c r="G107" i="9" s="1"/>
  <c r="I107" i="8"/>
  <c r="H107" i="9" s="1"/>
  <c r="J107" i="8"/>
  <c r="I107" i="9" s="1"/>
  <c r="B108" i="8"/>
  <c r="B108" i="9" s="1"/>
  <c r="C108" i="8"/>
  <c r="C109" i="20" s="1"/>
  <c r="D108" i="8"/>
  <c r="C108" i="9" s="1"/>
  <c r="E108" i="8"/>
  <c r="D108" i="9" s="1"/>
  <c r="F108" i="8"/>
  <c r="E108" i="9" s="1"/>
  <c r="G108" i="8"/>
  <c r="F108" i="9" s="1"/>
  <c r="H108" i="8"/>
  <c r="G108" i="9" s="1"/>
  <c r="I108" i="8"/>
  <c r="H108" i="9" s="1"/>
  <c r="J108" i="8"/>
  <c r="I108" i="9" s="1"/>
  <c r="B109" i="8"/>
  <c r="B109" i="9" s="1"/>
  <c r="C109" i="8"/>
  <c r="C110" i="20" s="1"/>
  <c r="D109" i="8"/>
  <c r="C109" i="9" s="1"/>
  <c r="E109" i="8"/>
  <c r="D109" i="9" s="1"/>
  <c r="F109" i="8"/>
  <c r="E109" i="9" s="1"/>
  <c r="G109" i="8"/>
  <c r="F109" i="9" s="1"/>
  <c r="H109" i="8"/>
  <c r="G109" i="9" s="1"/>
  <c r="I109" i="8"/>
  <c r="H109" i="9" s="1"/>
  <c r="J109" i="8"/>
  <c r="I109" i="9" s="1"/>
  <c r="B110" i="8"/>
  <c r="B110" i="9" s="1"/>
  <c r="C110" i="8"/>
  <c r="C111" i="20" s="1"/>
  <c r="D110" i="8"/>
  <c r="C110" i="9" s="1"/>
  <c r="E110" i="8"/>
  <c r="D110" i="9" s="1"/>
  <c r="F110" i="8"/>
  <c r="E110" i="9" s="1"/>
  <c r="G110" i="8"/>
  <c r="F110" i="9" s="1"/>
  <c r="H110" i="8"/>
  <c r="G110" i="9" s="1"/>
  <c r="I110" i="8"/>
  <c r="H110" i="9" s="1"/>
  <c r="J110" i="8"/>
  <c r="I110" i="9" s="1"/>
  <c r="B111" i="8"/>
  <c r="B111" i="9" s="1"/>
  <c r="C111" i="8"/>
  <c r="C112" i="20" s="1"/>
  <c r="D111" i="8"/>
  <c r="C111" i="9" s="1"/>
  <c r="E111" i="8"/>
  <c r="D111" i="9" s="1"/>
  <c r="F111" i="8"/>
  <c r="E111" i="9" s="1"/>
  <c r="G111" i="8"/>
  <c r="F111" i="9" s="1"/>
  <c r="H111" i="8"/>
  <c r="G111" i="9" s="1"/>
  <c r="I111" i="8"/>
  <c r="H111" i="9" s="1"/>
  <c r="J111" i="8"/>
  <c r="I111" i="9" s="1"/>
  <c r="B112" i="8"/>
  <c r="B112" i="9" s="1"/>
  <c r="C112" i="8"/>
  <c r="C113" i="20" s="1"/>
  <c r="D112" i="8"/>
  <c r="C112" i="9" s="1"/>
  <c r="E112" i="8"/>
  <c r="D112" i="9" s="1"/>
  <c r="F112" i="8"/>
  <c r="E112" i="9" s="1"/>
  <c r="G112" i="8"/>
  <c r="F112" i="9" s="1"/>
  <c r="H112" i="8"/>
  <c r="G112" i="9" s="1"/>
  <c r="I112" i="8"/>
  <c r="H112" i="9" s="1"/>
  <c r="J112" i="8"/>
  <c r="I112" i="9" s="1"/>
  <c r="B113" i="8"/>
  <c r="B113" i="9" s="1"/>
  <c r="C113" i="8"/>
  <c r="C114" i="20" s="1"/>
  <c r="D113" i="8"/>
  <c r="C113" i="9" s="1"/>
  <c r="E113" i="8"/>
  <c r="D113" i="9" s="1"/>
  <c r="F113" i="8"/>
  <c r="E113" i="9" s="1"/>
  <c r="G113" i="8"/>
  <c r="F113" i="9" s="1"/>
  <c r="H113" i="8"/>
  <c r="G113" i="9" s="1"/>
  <c r="I113" i="8"/>
  <c r="H113" i="9" s="1"/>
  <c r="J113" i="8"/>
  <c r="I113" i="9" s="1"/>
  <c r="B114" i="8"/>
  <c r="B114" i="9" s="1"/>
  <c r="C114" i="8"/>
  <c r="C115" i="20" s="1"/>
  <c r="D114" i="8"/>
  <c r="C114" i="9" s="1"/>
  <c r="E114" i="8"/>
  <c r="D114" i="9" s="1"/>
  <c r="F114" i="8"/>
  <c r="E114" i="9" s="1"/>
  <c r="G114" i="8"/>
  <c r="F114" i="9" s="1"/>
  <c r="H114" i="8"/>
  <c r="G114" i="9" s="1"/>
  <c r="I114" i="8"/>
  <c r="H114" i="9" s="1"/>
  <c r="J114" i="8"/>
  <c r="I114" i="9" s="1"/>
  <c r="B115" i="8"/>
  <c r="B115" i="9" s="1"/>
  <c r="C115" i="8"/>
  <c r="C116" i="20" s="1"/>
  <c r="D115" i="8"/>
  <c r="C115" i="9" s="1"/>
  <c r="E115" i="8"/>
  <c r="D115" i="9" s="1"/>
  <c r="F115" i="8"/>
  <c r="E115" i="9" s="1"/>
  <c r="G115" i="8"/>
  <c r="F115" i="9" s="1"/>
  <c r="H115" i="8"/>
  <c r="G115" i="9" s="1"/>
  <c r="I115" i="8"/>
  <c r="H115" i="9" s="1"/>
  <c r="J115" i="8"/>
  <c r="I115" i="9" s="1"/>
  <c r="B116" i="8"/>
  <c r="B116" i="9" s="1"/>
  <c r="C116" i="8"/>
  <c r="C117" i="20" s="1"/>
  <c r="D116" i="8"/>
  <c r="C116" i="9" s="1"/>
  <c r="E116" i="8"/>
  <c r="D116" i="9" s="1"/>
  <c r="F116" i="8"/>
  <c r="E116" i="9" s="1"/>
  <c r="G116" i="8"/>
  <c r="F116" i="9" s="1"/>
  <c r="H116" i="8"/>
  <c r="G116" i="9" s="1"/>
  <c r="I116" i="8"/>
  <c r="H116" i="9" s="1"/>
  <c r="J116" i="8"/>
  <c r="I116" i="9" s="1"/>
  <c r="B117" i="8"/>
  <c r="B117" i="9" s="1"/>
  <c r="C117" i="8"/>
  <c r="C118" i="20" s="1"/>
  <c r="D117" i="8"/>
  <c r="C117" i="9" s="1"/>
  <c r="E117" i="8"/>
  <c r="D117" i="9" s="1"/>
  <c r="F117" i="8"/>
  <c r="E117" i="9" s="1"/>
  <c r="G117" i="8"/>
  <c r="F117" i="9" s="1"/>
  <c r="H117" i="8"/>
  <c r="G117" i="9" s="1"/>
  <c r="I117" i="8"/>
  <c r="H117" i="9" s="1"/>
  <c r="J117" i="8"/>
  <c r="I117" i="9" s="1"/>
  <c r="B118" i="8"/>
  <c r="B118" i="9" s="1"/>
  <c r="C118" i="8"/>
  <c r="C119" i="20" s="1"/>
  <c r="D118" i="8"/>
  <c r="C118" i="9" s="1"/>
  <c r="E118" i="8"/>
  <c r="D118" i="9" s="1"/>
  <c r="F118" i="8"/>
  <c r="E118" i="9" s="1"/>
  <c r="G118" i="8"/>
  <c r="F118" i="9" s="1"/>
  <c r="H118" i="8"/>
  <c r="G118" i="9" s="1"/>
  <c r="I118" i="8"/>
  <c r="H118" i="9" s="1"/>
  <c r="J118" i="8"/>
  <c r="I118" i="9" s="1"/>
  <c r="B119" i="8"/>
  <c r="B119" i="9" s="1"/>
  <c r="C119" i="8"/>
  <c r="C120" i="20" s="1"/>
  <c r="D119" i="8"/>
  <c r="C119" i="9" s="1"/>
  <c r="E119" i="8"/>
  <c r="D119" i="9" s="1"/>
  <c r="F119" i="8"/>
  <c r="E119" i="9" s="1"/>
  <c r="G119" i="8"/>
  <c r="F119" i="9" s="1"/>
  <c r="H119" i="8"/>
  <c r="G119" i="9" s="1"/>
  <c r="I119" i="8"/>
  <c r="H119" i="9" s="1"/>
  <c r="J119" i="8"/>
  <c r="I119" i="9" s="1"/>
  <c r="B120" i="8"/>
  <c r="B120" i="9" s="1"/>
  <c r="C120" i="8"/>
  <c r="C121" i="20" s="1"/>
  <c r="D120" i="8"/>
  <c r="C120" i="9" s="1"/>
  <c r="E120" i="8"/>
  <c r="D120" i="9" s="1"/>
  <c r="F120" i="8"/>
  <c r="E120" i="9" s="1"/>
  <c r="G120" i="8"/>
  <c r="F120" i="9" s="1"/>
  <c r="H120" i="8"/>
  <c r="G120" i="9" s="1"/>
  <c r="I120" i="8"/>
  <c r="H120" i="9" s="1"/>
  <c r="J120" i="8"/>
  <c r="I120" i="9" s="1"/>
  <c r="B121" i="8"/>
  <c r="B121" i="9" s="1"/>
  <c r="C121" i="8"/>
  <c r="C122" i="20" s="1"/>
  <c r="D121" i="8"/>
  <c r="C121" i="9" s="1"/>
  <c r="E121" i="8"/>
  <c r="D121" i="9" s="1"/>
  <c r="F121" i="8"/>
  <c r="E121" i="9" s="1"/>
  <c r="G121" i="8"/>
  <c r="F121" i="9" s="1"/>
  <c r="H121" i="8"/>
  <c r="G121" i="9" s="1"/>
  <c r="I121" i="8"/>
  <c r="H121" i="9" s="1"/>
  <c r="J121" i="8"/>
  <c r="I121" i="9" s="1"/>
  <c r="B122" i="8"/>
  <c r="B122" i="9" s="1"/>
  <c r="C122" i="8"/>
  <c r="C123" i="20" s="1"/>
  <c r="D122" i="8"/>
  <c r="C122" i="9" s="1"/>
  <c r="E122" i="8"/>
  <c r="D122" i="9" s="1"/>
  <c r="F122" i="8"/>
  <c r="E122" i="9" s="1"/>
  <c r="G122" i="8"/>
  <c r="F122" i="9" s="1"/>
  <c r="H122" i="8"/>
  <c r="G122" i="9" s="1"/>
  <c r="I122" i="8"/>
  <c r="H122" i="9" s="1"/>
  <c r="J122" i="8"/>
  <c r="I122" i="9" s="1"/>
  <c r="B123" i="8"/>
  <c r="B123" i="9" s="1"/>
  <c r="C123" i="8"/>
  <c r="C124" i="20" s="1"/>
  <c r="D123" i="8"/>
  <c r="C123" i="9" s="1"/>
  <c r="E123" i="8"/>
  <c r="D123" i="9" s="1"/>
  <c r="F123" i="8"/>
  <c r="E123" i="9" s="1"/>
  <c r="G123" i="8"/>
  <c r="F123" i="9" s="1"/>
  <c r="H123" i="8"/>
  <c r="G123" i="9" s="1"/>
  <c r="I123" i="8"/>
  <c r="H123" i="9" s="1"/>
  <c r="J123" i="8"/>
  <c r="I123" i="9" s="1"/>
  <c r="B124" i="8"/>
  <c r="B124" i="9" s="1"/>
  <c r="C124" i="8"/>
  <c r="C125" i="20" s="1"/>
  <c r="D124" i="8"/>
  <c r="C124" i="9" s="1"/>
  <c r="E124" i="8"/>
  <c r="D124" i="9" s="1"/>
  <c r="F124" i="8"/>
  <c r="E124" i="9" s="1"/>
  <c r="G124" i="8"/>
  <c r="F124" i="9" s="1"/>
  <c r="H124" i="8"/>
  <c r="G124" i="9" s="1"/>
  <c r="I124" i="8"/>
  <c r="H124" i="9" s="1"/>
  <c r="J124" i="8"/>
  <c r="I124" i="9" s="1"/>
  <c r="B125" i="8"/>
  <c r="B125" i="9" s="1"/>
  <c r="C125" i="8"/>
  <c r="C126" i="20" s="1"/>
  <c r="D125" i="8"/>
  <c r="C125" i="9" s="1"/>
  <c r="E125" i="8"/>
  <c r="D125" i="9" s="1"/>
  <c r="F125" i="8"/>
  <c r="E125" i="9" s="1"/>
  <c r="G125" i="8"/>
  <c r="F125" i="9" s="1"/>
  <c r="H125" i="8"/>
  <c r="G125" i="9" s="1"/>
  <c r="I125" i="8"/>
  <c r="H125" i="9" s="1"/>
  <c r="J125" i="8"/>
  <c r="I125" i="9" s="1"/>
  <c r="B126" i="8"/>
  <c r="B126" i="9" s="1"/>
  <c r="C126" i="8"/>
  <c r="C127" i="20" s="1"/>
  <c r="D126" i="8"/>
  <c r="C126" i="9" s="1"/>
  <c r="E126" i="8"/>
  <c r="D126" i="9" s="1"/>
  <c r="F126" i="8"/>
  <c r="E126" i="9" s="1"/>
  <c r="G126" i="8"/>
  <c r="F126" i="9" s="1"/>
  <c r="H126" i="8"/>
  <c r="G126" i="9" s="1"/>
  <c r="I126" i="8"/>
  <c r="H126" i="9" s="1"/>
  <c r="J126" i="8"/>
  <c r="I126" i="9" s="1"/>
  <c r="B127" i="8"/>
  <c r="B127" i="9" s="1"/>
  <c r="C127" i="8"/>
  <c r="C128" i="20" s="1"/>
  <c r="D127" i="8"/>
  <c r="C127" i="9" s="1"/>
  <c r="E127" i="8"/>
  <c r="D127" i="9" s="1"/>
  <c r="F127" i="8"/>
  <c r="E127" i="9" s="1"/>
  <c r="G127" i="8"/>
  <c r="F127" i="9" s="1"/>
  <c r="H127" i="8"/>
  <c r="G127" i="9" s="1"/>
  <c r="I127" i="8"/>
  <c r="H127" i="9" s="1"/>
  <c r="J127" i="8"/>
  <c r="I127" i="9" s="1"/>
  <c r="B128" i="8"/>
  <c r="B128" i="9" s="1"/>
  <c r="C128" i="8"/>
  <c r="C129" i="20" s="1"/>
  <c r="D128" i="8"/>
  <c r="C128" i="9" s="1"/>
  <c r="E128" i="8"/>
  <c r="D128" i="9" s="1"/>
  <c r="F128" i="8"/>
  <c r="E128" i="9" s="1"/>
  <c r="G128" i="8"/>
  <c r="F128" i="9" s="1"/>
  <c r="H128" i="8"/>
  <c r="G128" i="9" s="1"/>
  <c r="I128" i="8"/>
  <c r="H128" i="9" s="1"/>
  <c r="J128" i="8"/>
  <c r="I128" i="9" s="1"/>
  <c r="B129" i="8"/>
  <c r="B129" i="9" s="1"/>
  <c r="C129" i="8"/>
  <c r="C130" i="20" s="1"/>
  <c r="D129" i="8"/>
  <c r="C129" i="9" s="1"/>
  <c r="E129" i="8"/>
  <c r="D129" i="9" s="1"/>
  <c r="F129" i="8"/>
  <c r="E129" i="9" s="1"/>
  <c r="G129" i="8"/>
  <c r="F129" i="9" s="1"/>
  <c r="H129" i="8"/>
  <c r="G129" i="9" s="1"/>
  <c r="I129" i="8"/>
  <c r="H129" i="9" s="1"/>
  <c r="J129" i="8"/>
  <c r="I129" i="9" s="1"/>
  <c r="B130" i="8"/>
  <c r="B130" i="9" s="1"/>
  <c r="C130" i="8"/>
  <c r="C131" i="20" s="1"/>
  <c r="D130" i="8"/>
  <c r="C130" i="9" s="1"/>
  <c r="E130" i="8"/>
  <c r="D130" i="9" s="1"/>
  <c r="F130" i="8"/>
  <c r="E130" i="9" s="1"/>
  <c r="G130" i="8"/>
  <c r="F130" i="9" s="1"/>
  <c r="H130" i="8"/>
  <c r="G130" i="9" s="1"/>
  <c r="I130" i="8"/>
  <c r="H130" i="9" s="1"/>
  <c r="J130" i="8"/>
  <c r="I130" i="9" s="1"/>
  <c r="B131" i="8"/>
  <c r="B131" i="9" s="1"/>
  <c r="C131" i="8"/>
  <c r="C132" i="20" s="1"/>
  <c r="D131" i="8"/>
  <c r="C131" i="9" s="1"/>
  <c r="E131" i="8"/>
  <c r="D131" i="9" s="1"/>
  <c r="F131" i="8"/>
  <c r="E131" i="9" s="1"/>
  <c r="G131" i="8"/>
  <c r="F131" i="9" s="1"/>
  <c r="H131" i="8"/>
  <c r="G131" i="9" s="1"/>
  <c r="I131" i="8"/>
  <c r="H131" i="9" s="1"/>
  <c r="J131" i="8"/>
  <c r="I131" i="9" s="1"/>
  <c r="B132" i="8"/>
  <c r="B132" i="9" s="1"/>
  <c r="C132" i="8"/>
  <c r="C133" i="20" s="1"/>
  <c r="D132" i="8"/>
  <c r="C132" i="9" s="1"/>
  <c r="E132" i="8"/>
  <c r="D132" i="9" s="1"/>
  <c r="F132" i="8"/>
  <c r="E132" i="9" s="1"/>
  <c r="G132" i="8"/>
  <c r="F132" i="9" s="1"/>
  <c r="H132" i="8"/>
  <c r="G132" i="9" s="1"/>
  <c r="I132" i="8"/>
  <c r="H132" i="9" s="1"/>
  <c r="J132" i="8"/>
  <c r="I132" i="9" s="1"/>
  <c r="B133" i="8"/>
  <c r="B133" i="9" s="1"/>
  <c r="C133" i="8"/>
  <c r="C134" i="20" s="1"/>
  <c r="D133" i="8"/>
  <c r="C133" i="9" s="1"/>
  <c r="E133" i="8"/>
  <c r="D133" i="9" s="1"/>
  <c r="F133" i="8"/>
  <c r="E133" i="9" s="1"/>
  <c r="G133" i="8"/>
  <c r="F133" i="9" s="1"/>
  <c r="H133" i="8"/>
  <c r="G133" i="9" s="1"/>
  <c r="I133" i="8"/>
  <c r="H133" i="9" s="1"/>
  <c r="J133" i="8"/>
  <c r="I133" i="9" s="1"/>
  <c r="B134" i="8"/>
  <c r="B134" i="9" s="1"/>
  <c r="C134" i="8"/>
  <c r="C135" i="20" s="1"/>
  <c r="D134" i="8"/>
  <c r="C134" i="9" s="1"/>
  <c r="E134" i="8"/>
  <c r="D134" i="9" s="1"/>
  <c r="F134" i="8"/>
  <c r="E134" i="9" s="1"/>
  <c r="G134" i="8"/>
  <c r="F134" i="9" s="1"/>
  <c r="H134" i="8"/>
  <c r="G134" i="9" s="1"/>
  <c r="I134" i="8"/>
  <c r="H134" i="9" s="1"/>
  <c r="J134" i="8"/>
  <c r="I134" i="9" s="1"/>
  <c r="B135" i="8"/>
  <c r="B135" i="9" s="1"/>
  <c r="C135" i="8"/>
  <c r="C136" i="20" s="1"/>
  <c r="D135" i="8"/>
  <c r="C135" i="9" s="1"/>
  <c r="E135" i="8"/>
  <c r="D135" i="9" s="1"/>
  <c r="F135" i="8"/>
  <c r="E135" i="9" s="1"/>
  <c r="G135" i="8"/>
  <c r="F135" i="9" s="1"/>
  <c r="H135" i="8"/>
  <c r="G135" i="9" s="1"/>
  <c r="I135" i="8"/>
  <c r="H135" i="9" s="1"/>
  <c r="J135" i="8"/>
  <c r="I135" i="9" s="1"/>
  <c r="B136" i="8"/>
  <c r="B136" i="9" s="1"/>
  <c r="C136" i="8"/>
  <c r="C137" i="20" s="1"/>
  <c r="D136" i="8"/>
  <c r="C136" i="9" s="1"/>
  <c r="E136" i="8"/>
  <c r="D136" i="9" s="1"/>
  <c r="F136" i="8"/>
  <c r="E136" i="9" s="1"/>
  <c r="G136" i="8"/>
  <c r="F136" i="9" s="1"/>
  <c r="H136" i="8"/>
  <c r="G136" i="9" s="1"/>
  <c r="I136" i="8"/>
  <c r="H136" i="9" s="1"/>
  <c r="J136" i="8"/>
  <c r="I136" i="9" s="1"/>
  <c r="B137" i="8"/>
  <c r="B137" i="9" s="1"/>
  <c r="C137" i="8"/>
  <c r="C138" i="20" s="1"/>
  <c r="D137" i="8"/>
  <c r="C137" i="9" s="1"/>
  <c r="E137" i="8"/>
  <c r="D137" i="9" s="1"/>
  <c r="F137" i="8"/>
  <c r="E137" i="9" s="1"/>
  <c r="G137" i="8"/>
  <c r="F137" i="9" s="1"/>
  <c r="H137" i="8"/>
  <c r="G137" i="9" s="1"/>
  <c r="I137" i="8"/>
  <c r="H137" i="9" s="1"/>
  <c r="J137" i="8"/>
  <c r="I137" i="9" s="1"/>
  <c r="B138" i="8"/>
  <c r="B138" i="9" s="1"/>
  <c r="C138" i="8"/>
  <c r="C139" i="20" s="1"/>
  <c r="D138" i="8"/>
  <c r="C138" i="9" s="1"/>
  <c r="E138" i="8"/>
  <c r="D138" i="9" s="1"/>
  <c r="F138" i="8"/>
  <c r="E138" i="9" s="1"/>
  <c r="G138" i="8"/>
  <c r="F138" i="9" s="1"/>
  <c r="H138" i="8"/>
  <c r="G138" i="9" s="1"/>
  <c r="I138" i="8"/>
  <c r="H138" i="9" s="1"/>
  <c r="J138" i="8"/>
  <c r="I138" i="9" s="1"/>
  <c r="B139" i="8"/>
  <c r="B139" i="9" s="1"/>
  <c r="C139" i="8"/>
  <c r="C140" i="20" s="1"/>
  <c r="D139" i="8"/>
  <c r="C139" i="9" s="1"/>
  <c r="E139" i="8"/>
  <c r="D139" i="9" s="1"/>
  <c r="F139" i="8"/>
  <c r="E139" i="9" s="1"/>
  <c r="G139" i="8"/>
  <c r="F139" i="9" s="1"/>
  <c r="H139" i="8"/>
  <c r="G139" i="9" s="1"/>
  <c r="I139" i="8"/>
  <c r="H139" i="9" s="1"/>
  <c r="J139" i="8"/>
  <c r="I139" i="9" s="1"/>
  <c r="B140" i="8"/>
  <c r="B140" i="9" s="1"/>
  <c r="C140" i="8"/>
  <c r="C141" i="20" s="1"/>
  <c r="D140" i="8"/>
  <c r="C140" i="9" s="1"/>
  <c r="E140" i="8"/>
  <c r="D140" i="9" s="1"/>
  <c r="F140" i="8"/>
  <c r="E140" i="9" s="1"/>
  <c r="G140" i="8"/>
  <c r="F140" i="9" s="1"/>
  <c r="H140" i="8"/>
  <c r="G140" i="9" s="1"/>
  <c r="I140" i="8"/>
  <c r="H140" i="9" s="1"/>
  <c r="J140" i="8"/>
  <c r="I140" i="9" s="1"/>
  <c r="B141" i="8"/>
  <c r="B141" i="9" s="1"/>
  <c r="C141" i="8"/>
  <c r="C142" i="20" s="1"/>
  <c r="D141" i="8"/>
  <c r="C141" i="9" s="1"/>
  <c r="E141" i="8"/>
  <c r="D141" i="9" s="1"/>
  <c r="F141" i="8"/>
  <c r="E141" i="9" s="1"/>
  <c r="G141" i="8"/>
  <c r="F141" i="9" s="1"/>
  <c r="H141" i="8"/>
  <c r="G141" i="9" s="1"/>
  <c r="I141" i="8"/>
  <c r="H141" i="9" s="1"/>
  <c r="J141" i="8"/>
  <c r="I141" i="9" s="1"/>
  <c r="B142" i="8"/>
  <c r="B142" i="9" s="1"/>
  <c r="C142" i="8"/>
  <c r="C143" i="20" s="1"/>
  <c r="D142" i="8"/>
  <c r="C142" i="9" s="1"/>
  <c r="E142" i="8"/>
  <c r="D142" i="9" s="1"/>
  <c r="F142" i="8"/>
  <c r="E142" i="9" s="1"/>
  <c r="G142" i="8"/>
  <c r="F142" i="9" s="1"/>
  <c r="H142" i="8"/>
  <c r="G142" i="9" s="1"/>
  <c r="I142" i="8"/>
  <c r="H142" i="9" s="1"/>
  <c r="J142" i="8"/>
  <c r="I142" i="9" s="1"/>
  <c r="B143" i="8"/>
  <c r="B143" i="9" s="1"/>
  <c r="C143" i="8"/>
  <c r="C144" i="20" s="1"/>
  <c r="D143" i="8"/>
  <c r="C143" i="9" s="1"/>
  <c r="E143" i="8"/>
  <c r="D143" i="9" s="1"/>
  <c r="F143" i="8"/>
  <c r="E143" i="9" s="1"/>
  <c r="G143" i="8"/>
  <c r="F143" i="9" s="1"/>
  <c r="H143" i="8"/>
  <c r="G143" i="9" s="1"/>
  <c r="I143" i="8"/>
  <c r="H143" i="9" s="1"/>
  <c r="J143" i="8"/>
  <c r="I143" i="9" s="1"/>
  <c r="B144" i="8"/>
  <c r="B144" i="9" s="1"/>
  <c r="C144" i="8"/>
  <c r="C145" i="20" s="1"/>
  <c r="D144" i="8"/>
  <c r="C144" i="9" s="1"/>
  <c r="E144" i="8"/>
  <c r="D144" i="9" s="1"/>
  <c r="F144" i="8"/>
  <c r="E144" i="9" s="1"/>
  <c r="G144" i="8"/>
  <c r="F144" i="9" s="1"/>
  <c r="H144" i="8"/>
  <c r="G144" i="9" s="1"/>
  <c r="I144" i="8"/>
  <c r="H144" i="9" s="1"/>
  <c r="J144" i="8"/>
  <c r="I144" i="9" s="1"/>
  <c r="B145" i="8"/>
  <c r="B145" i="9" s="1"/>
  <c r="C145" i="8"/>
  <c r="C146" i="20" s="1"/>
  <c r="D145" i="8"/>
  <c r="C145" i="9" s="1"/>
  <c r="E145" i="8"/>
  <c r="D145" i="9" s="1"/>
  <c r="F145" i="8"/>
  <c r="E145" i="9" s="1"/>
  <c r="G145" i="8"/>
  <c r="F145" i="9" s="1"/>
  <c r="H145" i="8"/>
  <c r="G145" i="9" s="1"/>
  <c r="I145" i="8"/>
  <c r="H145" i="9" s="1"/>
  <c r="J145" i="8"/>
  <c r="I145" i="9" s="1"/>
  <c r="B146" i="8"/>
  <c r="B146" i="9" s="1"/>
  <c r="C146" i="8"/>
  <c r="C147" i="20" s="1"/>
  <c r="D146" i="8"/>
  <c r="C146" i="9" s="1"/>
  <c r="E146" i="8"/>
  <c r="D146" i="9" s="1"/>
  <c r="F146" i="8"/>
  <c r="E146" i="9" s="1"/>
  <c r="G146" i="8"/>
  <c r="F146" i="9" s="1"/>
  <c r="H146" i="8"/>
  <c r="G146" i="9" s="1"/>
  <c r="I146" i="8"/>
  <c r="H146" i="9" s="1"/>
  <c r="J146" i="8"/>
  <c r="I146" i="9" s="1"/>
  <c r="B147" i="8"/>
  <c r="B147" i="9" s="1"/>
  <c r="C147" i="8"/>
  <c r="C148" i="20" s="1"/>
  <c r="D147" i="8"/>
  <c r="C147" i="9" s="1"/>
  <c r="E147" i="8"/>
  <c r="D147" i="9" s="1"/>
  <c r="F147" i="8"/>
  <c r="E147" i="9" s="1"/>
  <c r="G147" i="8"/>
  <c r="F147" i="9" s="1"/>
  <c r="H147" i="8"/>
  <c r="G147" i="9" s="1"/>
  <c r="I147" i="8"/>
  <c r="H147" i="9" s="1"/>
  <c r="J147" i="8"/>
  <c r="I147" i="9" s="1"/>
  <c r="B148" i="8"/>
  <c r="B148" i="9" s="1"/>
  <c r="C148" i="8"/>
  <c r="C149" i="20" s="1"/>
  <c r="D148" i="8"/>
  <c r="C148" i="9" s="1"/>
  <c r="E148" i="8"/>
  <c r="D148" i="9" s="1"/>
  <c r="F148" i="8"/>
  <c r="E148" i="9" s="1"/>
  <c r="G148" i="8"/>
  <c r="F148" i="9" s="1"/>
  <c r="H148" i="8"/>
  <c r="G148" i="9" s="1"/>
  <c r="I148" i="8"/>
  <c r="H148" i="9" s="1"/>
  <c r="J148" i="8"/>
  <c r="I148" i="9" s="1"/>
  <c r="B149" i="8"/>
  <c r="B149" i="9" s="1"/>
  <c r="C149" i="8"/>
  <c r="C150" i="20" s="1"/>
  <c r="D149" i="8"/>
  <c r="C149" i="9" s="1"/>
  <c r="E149" i="8"/>
  <c r="D149" i="9" s="1"/>
  <c r="F149" i="8"/>
  <c r="E149" i="9" s="1"/>
  <c r="G149" i="8"/>
  <c r="F149" i="9" s="1"/>
  <c r="H149" i="8"/>
  <c r="G149" i="9" s="1"/>
  <c r="I149" i="8"/>
  <c r="H149" i="9" s="1"/>
  <c r="J149" i="8"/>
  <c r="I149" i="9" s="1"/>
  <c r="B150" i="8"/>
  <c r="B150" i="9" s="1"/>
  <c r="C150" i="8"/>
  <c r="C151" i="20" s="1"/>
  <c r="D150" i="8"/>
  <c r="C150" i="9" s="1"/>
  <c r="E150" i="8"/>
  <c r="D150" i="9" s="1"/>
  <c r="F150" i="8"/>
  <c r="E150" i="9" s="1"/>
  <c r="G150" i="8"/>
  <c r="F150" i="9" s="1"/>
  <c r="H150" i="8"/>
  <c r="G150" i="9" s="1"/>
  <c r="I150" i="8"/>
  <c r="H150" i="9" s="1"/>
  <c r="J150" i="8"/>
  <c r="I150" i="9" s="1"/>
  <c r="B151" i="8"/>
  <c r="B151" i="9" s="1"/>
  <c r="C151" i="8"/>
  <c r="C152" i="20" s="1"/>
  <c r="D151" i="8"/>
  <c r="C151" i="9" s="1"/>
  <c r="E151" i="8"/>
  <c r="D151" i="9" s="1"/>
  <c r="F151" i="8"/>
  <c r="E151" i="9" s="1"/>
  <c r="G151" i="8"/>
  <c r="F151" i="9" s="1"/>
  <c r="H151" i="8"/>
  <c r="G151" i="9" s="1"/>
  <c r="I151" i="8"/>
  <c r="H151" i="9" s="1"/>
  <c r="J151" i="8"/>
  <c r="I151" i="9" s="1"/>
  <c r="B152" i="8"/>
  <c r="B152" i="9" s="1"/>
  <c r="C152" i="8"/>
  <c r="C153" i="20" s="1"/>
  <c r="D152" i="8"/>
  <c r="C152" i="9" s="1"/>
  <c r="E152" i="8"/>
  <c r="D152" i="9" s="1"/>
  <c r="F152" i="8"/>
  <c r="E152" i="9" s="1"/>
  <c r="G152" i="8"/>
  <c r="F152" i="9" s="1"/>
  <c r="H152" i="8"/>
  <c r="G152" i="9" s="1"/>
  <c r="I152" i="8"/>
  <c r="H152" i="9" s="1"/>
  <c r="J152" i="8"/>
  <c r="I152" i="9" s="1"/>
  <c r="B153" i="8"/>
  <c r="B153" i="9" s="1"/>
  <c r="C153" i="8"/>
  <c r="C154" i="20" s="1"/>
  <c r="D153" i="8"/>
  <c r="C153" i="9" s="1"/>
  <c r="E153" i="8"/>
  <c r="D153" i="9" s="1"/>
  <c r="F153" i="8"/>
  <c r="E153" i="9" s="1"/>
  <c r="G153" i="8"/>
  <c r="F153" i="9" s="1"/>
  <c r="H153" i="8"/>
  <c r="G153" i="9" s="1"/>
  <c r="I153" i="8"/>
  <c r="H153" i="9" s="1"/>
  <c r="J153" i="8"/>
  <c r="I153" i="9" s="1"/>
  <c r="B154" i="8"/>
  <c r="B154" i="9" s="1"/>
  <c r="C154" i="8"/>
  <c r="C155" i="20" s="1"/>
  <c r="D154" i="8"/>
  <c r="C154" i="9" s="1"/>
  <c r="E154" i="8"/>
  <c r="D154" i="9" s="1"/>
  <c r="F154" i="8"/>
  <c r="E154" i="9" s="1"/>
  <c r="G154" i="8"/>
  <c r="F154" i="9" s="1"/>
  <c r="H154" i="8"/>
  <c r="G154" i="9" s="1"/>
  <c r="I154" i="8"/>
  <c r="H154" i="9" s="1"/>
  <c r="J154" i="8"/>
  <c r="I154" i="9" s="1"/>
  <c r="B155" i="8"/>
  <c r="B155" i="9" s="1"/>
  <c r="C155" i="8"/>
  <c r="C156" i="20" s="1"/>
  <c r="D155" i="8"/>
  <c r="C155" i="9" s="1"/>
  <c r="E155" i="8"/>
  <c r="D155" i="9" s="1"/>
  <c r="F155" i="8"/>
  <c r="E155" i="9" s="1"/>
  <c r="G155" i="8"/>
  <c r="F155" i="9" s="1"/>
  <c r="H155" i="8"/>
  <c r="G155" i="9" s="1"/>
  <c r="I155" i="8"/>
  <c r="H155" i="9" s="1"/>
  <c r="J155" i="8"/>
  <c r="I155" i="9" s="1"/>
  <c r="B156" i="8"/>
  <c r="B156" i="9" s="1"/>
  <c r="C156" i="8"/>
  <c r="C157" i="20" s="1"/>
  <c r="D156" i="8"/>
  <c r="C156" i="9" s="1"/>
  <c r="E156" i="8"/>
  <c r="D156" i="9" s="1"/>
  <c r="F156" i="8"/>
  <c r="E156" i="9" s="1"/>
  <c r="G156" i="8"/>
  <c r="F156" i="9" s="1"/>
  <c r="H156" i="8"/>
  <c r="G156" i="9" s="1"/>
  <c r="I156" i="8"/>
  <c r="H156" i="9" s="1"/>
  <c r="J156" i="8"/>
  <c r="I156" i="9" s="1"/>
  <c r="B157" i="8"/>
  <c r="B157" i="9" s="1"/>
  <c r="C157" i="8"/>
  <c r="C158" i="20" s="1"/>
  <c r="D157" i="8"/>
  <c r="C157" i="9" s="1"/>
  <c r="E157" i="8"/>
  <c r="D157" i="9" s="1"/>
  <c r="F157" i="8"/>
  <c r="E157" i="9" s="1"/>
  <c r="G157" i="8"/>
  <c r="F157" i="9" s="1"/>
  <c r="H157" i="8"/>
  <c r="G157" i="9" s="1"/>
  <c r="I157" i="8"/>
  <c r="H157" i="9" s="1"/>
  <c r="J157" i="8"/>
  <c r="I157" i="9" s="1"/>
  <c r="B158" i="8"/>
  <c r="B158" i="9" s="1"/>
  <c r="C158" i="8"/>
  <c r="C159" i="20" s="1"/>
  <c r="D158" i="8"/>
  <c r="C158" i="9" s="1"/>
  <c r="E158" i="8"/>
  <c r="D158" i="9" s="1"/>
  <c r="F158" i="8"/>
  <c r="E158" i="9" s="1"/>
  <c r="G158" i="8"/>
  <c r="F158" i="9" s="1"/>
  <c r="H158" i="8"/>
  <c r="G158" i="9" s="1"/>
  <c r="I158" i="8"/>
  <c r="H158" i="9" s="1"/>
  <c r="J158" i="8"/>
  <c r="I158" i="9" s="1"/>
  <c r="B159" i="8"/>
  <c r="B159" i="9" s="1"/>
  <c r="C159" i="8"/>
  <c r="C160" i="20" s="1"/>
  <c r="D159" i="8"/>
  <c r="C159" i="9" s="1"/>
  <c r="E159" i="8"/>
  <c r="D159" i="9" s="1"/>
  <c r="F159" i="8"/>
  <c r="E159" i="9" s="1"/>
  <c r="G159" i="8"/>
  <c r="F159" i="9" s="1"/>
  <c r="H159" i="8"/>
  <c r="G159" i="9" s="1"/>
  <c r="I159" i="8"/>
  <c r="H159" i="9" s="1"/>
  <c r="J159" i="8"/>
  <c r="I159" i="9" s="1"/>
  <c r="B160" i="8"/>
  <c r="B160" i="9" s="1"/>
  <c r="C160" i="8"/>
  <c r="C161" i="20" s="1"/>
  <c r="D160" i="8"/>
  <c r="C160" i="9" s="1"/>
  <c r="E160" i="8"/>
  <c r="D160" i="9" s="1"/>
  <c r="F160" i="8"/>
  <c r="E160" i="9" s="1"/>
  <c r="G160" i="8"/>
  <c r="F160" i="9" s="1"/>
  <c r="H160" i="8"/>
  <c r="G160" i="9" s="1"/>
  <c r="I160" i="8"/>
  <c r="H160" i="9" s="1"/>
  <c r="J160" i="8"/>
  <c r="I160" i="9" s="1"/>
  <c r="B161" i="8"/>
  <c r="B161" i="9" s="1"/>
  <c r="C161" i="8"/>
  <c r="C162" i="20" s="1"/>
  <c r="D161" i="8"/>
  <c r="C161" i="9" s="1"/>
  <c r="E161" i="8"/>
  <c r="D161" i="9" s="1"/>
  <c r="F161" i="8"/>
  <c r="E161" i="9" s="1"/>
  <c r="G161" i="8"/>
  <c r="F161" i="9" s="1"/>
  <c r="H161" i="8"/>
  <c r="G161" i="9" s="1"/>
  <c r="I161" i="8"/>
  <c r="H161" i="9" s="1"/>
  <c r="J161" i="8"/>
  <c r="I161" i="9" s="1"/>
  <c r="B162" i="8"/>
  <c r="B162" i="9" s="1"/>
  <c r="C162" i="8"/>
  <c r="C163" i="20" s="1"/>
  <c r="D162" i="8"/>
  <c r="C162" i="9" s="1"/>
  <c r="E162" i="8"/>
  <c r="D162" i="9" s="1"/>
  <c r="F162" i="8"/>
  <c r="E162" i="9" s="1"/>
  <c r="G162" i="8"/>
  <c r="F162" i="9" s="1"/>
  <c r="H162" i="8"/>
  <c r="G162" i="9" s="1"/>
  <c r="I162" i="8"/>
  <c r="H162" i="9" s="1"/>
  <c r="J162" i="8"/>
  <c r="I162" i="9" s="1"/>
  <c r="B163" i="8"/>
  <c r="B163" i="9" s="1"/>
  <c r="C163" i="8"/>
  <c r="C164" i="20" s="1"/>
  <c r="D163" i="8"/>
  <c r="C163" i="9" s="1"/>
  <c r="E163" i="8"/>
  <c r="D163" i="9" s="1"/>
  <c r="F163" i="8"/>
  <c r="E163" i="9" s="1"/>
  <c r="G163" i="8"/>
  <c r="F163" i="9" s="1"/>
  <c r="H163" i="8"/>
  <c r="G163" i="9" s="1"/>
  <c r="I163" i="8"/>
  <c r="H163" i="9" s="1"/>
  <c r="J163" i="8"/>
  <c r="I163" i="9" s="1"/>
  <c r="B164" i="8"/>
  <c r="B164" i="9" s="1"/>
  <c r="C164" i="8"/>
  <c r="C165" i="20" s="1"/>
  <c r="D164" i="8"/>
  <c r="C164" i="9" s="1"/>
  <c r="E164" i="8"/>
  <c r="D164" i="9" s="1"/>
  <c r="F164" i="8"/>
  <c r="E164" i="9" s="1"/>
  <c r="G164" i="8"/>
  <c r="F164" i="9" s="1"/>
  <c r="H164" i="8"/>
  <c r="G164" i="9" s="1"/>
  <c r="I164" i="8"/>
  <c r="H164" i="9" s="1"/>
  <c r="J164" i="8"/>
  <c r="I164" i="9" s="1"/>
  <c r="B165" i="8"/>
  <c r="B165" i="9" s="1"/>
  <c r="C165" i="8"/>
  <c r="C166" i="20" s="1"/>
  <c r="D165" i="8"/>
  <c r="C165" i="9" s="1"/>
  <c r="E165" i="8"/>
  <c r="D165" i="9" s="1"/>
  <c r="F165" i="8"/>
  <c r="E165" i="9" s="1"/>
  <c r="G165" i="8"/>
  <c r="F165" i="9" s="1"/>
  <c r="H165" i="8"/>
  <c r="G165" i="9" s="1"/>
  <c r="I165" i="8"/>
  <c r="H165" i="9" s="1"/>
  <c r="J165" i="8"/>
  <c r="I165" i="9" s="1"/>
  <c r="B166" i="8"/>
  <c r="B166" i="9" s="1"/>
  <c r="C166" i="8"/>
  <c r="C167" i="20" s="1"/>
  <c r="D166" i="8"/>
  <c r="C166" i="9" s="1"/>
  <c r="E166" i="8"/>
  <c r="D166" i="9" s="1"/>
  <c r="F166" i="8"/>
  <c r="E166" i="9" s="1"/>
  <c r="G166" i="8"/>
  <c r="F166" i="9" s="1"/>
  <c r="H166" i="8"/>
  <c r="G166" i="9" s="1"/>
  <c r="I166" i="8"/>
  <c r="H166" i="9" s="1"/>
  <c r="J166" i="8"/>
  <c r="I166" i="9" s="1"/>
  <c r="B167" i="8"/>
  <c r="B167" i="9" s="1"/>
  <c r="C167" i="8"/>
  <c r="C168" i="20" s="1"/>
  <c r="D167" i="8"/>
  <c r="C167" i="9" s="1"/>
  <c r="E167" i="8"/>
  <c r="D167" i="9" s="1"/>
  <c r="F167" i="8"/>
  <c r="E167" i="9" s="1"/>
  <c r="G167" i="8"/>
  <c r="F167" i="9" s="1"/>
  <c r="H167" i="8"/>
  <c r="G167" i="9" s="1"/>
  <c r="I167" i="8"/>
  <c r="H167" i="9" s="1"/>
  <c r="J167" i="8"/>
  <c r="I167" i="9" s="1"/>
  <c r="B168" i="8"/>
  <c r="B168" i="9" s="1"/>
  <c r="C168" i="8"/>
  <c r="C169" i="20" s="1"/>
  <c r="D168" i="8"/>
  <c r="C168" i="9" s="1"/>
  <c r="E168" i="8"/>
  <c r="D168" i="9" s="1"/>
  <c r="F168" i="8"/>
  <c r="E168" i="9" s="1"/>
  <c r="G168" i="8"/>
  <c r="F168" i="9" s="1"/>
  <c r="H168" i="8"/>
  <c r="G168" i="9" s="1"/>
  <c r="I168" i="8"/>
  <c r="H168" i="9" s="1"/>
  <c r="J168" i="8"/>
  <c r="I168" i="9" s="1"/>
  <c r="B169" i="8"/>
  <c r="B169" i="9" s="1"/>
  <c r="C169" i="8"/>
  <c r="C170" i="20" s="1"/>
  <c r="D169" i="8"/>
  <c r="C169" i="9" s="1"/>
  <c r="E169" i="8"/>
  <c r="D169" i="9" s="1"/>
  <c r="F169" i="8"/>
  <c r="E169" i="9" s="1"/>
  <c r="G169" i="8"/>
  <c r="F169" i="9" s="1"/>
  <c r="H169" i="8"/>
  <c r="G169" i="9" s="1"/>
  <c r="I169" i="8"/>
  <c r="H169" i="9" s="1"/>
  <c r="J169" i="8"/>
  <c r="I169" i="9" s="1"/>
  <c r="B170" i="8"/>
  <c r="B170" i="9" s="1"/>
  <c r="C170" i="8"/>
  <c r="C171" i="20" s="1"/>
  <c r="D170" i="8"/>
  <c r="C170" i="9" s="1"/>
  <c r="E170" i="8"/>
  <c r="D170" i="9" s="1"/>
  <c r="F170" i="8"/>
  <c r="E170" i="9" s="1"/>
  <c r="G170" i="8"/>
  <c r="F170" i="9" s="1"/>
  <c r="H170" i="8"/>
  <c r="G170" i="9" s="1"/>
  <c r="I170" i="8"/>
  <c r="H170" i="9" s="1"/>
  <c r="J170" i="8"/>
  <c r="I170" i="9" s="1"/>
  <c r="B171" i="8"/>
  <c r="B171" i="9" s="1"/>
  <c r="C171" i="8"/>
  <c r="C172" i="20" s="1"/>
  <c r="D171" i="8"/>
  <c r="C171" i="9" s="1"/>
  <c r="E171" i="8"/>
  <c r="D171" i="9" s="1"/>
  <c r="F171" i="8"/>
  <c r="E171" i="9" s="1"/>
  <c r="G171" i="8"/>
  <c r="F171" i="9" s="1"/>
  <c r="H171" i="8"/>
  <c r="G171" i="9" s="1"/>
  <c r="I171" i="8"/>
  <c r="H171" i="9" s="1"/>
  <c r="J171" i="8"/>
  <c r="I171" i="9" s="1"/>
  <c r="B172" i="8"/>
  <c r="B172" i="9" s="1"/>
  <c r="C172" i="8"/>
  <c r="C173" i="20" s="1"/>
  <c r="D172" i="8"/>
  <c r="C172" i="9" s="1"/>
  <c r="E172" i="8"/>
  <c r="D172" i="9" s="1"/>
  <c r="F172" i="8"/>
  <c r="E172" i="9" s="1"/>
  <c r="G172" i="8"/>
  <c r="F172" i="9" s="1"/>
  <c r="H172" i="8"/>
  <c r="G172" i="9" s="1"/>
  <c r="I172" i="8"/>
  <c r="H172" i="9" s="1"/>
  <c r="J172" i="8"/>
  <c r="I172" i="9" s="1"/>
  <c r="B173" i="8"/>
  <c r="B173" i="9" s="1"/>
  <c r="C173" i="8"/>
  <c r="C174" i="20" s="1"/>
  <c r="D173" i="8"/>
  <c r="C173" i="9" s="1"/>
  <c r="E173" i="8"/>
  <c r="D173" i="9" s="1"/>
  <c r="F173" i="8"/>
  <c r="E173" i="9" s="1"/>
  <c r="G173" i="8"/>
  <c r="F173" i="9" s="1"/>
  <c r="H173" i="8"/>
  <c r="G173" i="9" s="1"/>
  <c r="I173" i="8"/>
  <c r="H173" i="9" s="1"/>
  <c r="J173" i="8"/>
  <c r="I173" i="9" s="1"/>
  <c r="B174" i="8"/>
  <c r="B174" i="9" s="1"/>
  <c r="C174" i="8"/>
  <c r="C175" i="20" s="1"/>
  <c r="D174" i="8"/>
  <c r="C174" i="9" s="1"/>
  <c r="E174" i="8"/>
  <c r="D174" i="9" s="1"/>
  <c r="F174" i="8"/>
  <c r="E174" i="9" s="1"/>
  <c r="G174" i="8"/>
  <c r="F174" i="9" s="1"/>
  <c r="H174" i="8"/>
  <c r="G174" i="9" s="1"/>
  <c r="I174" i="8"/>
  <c r="H174" i="9" s="1"/>
  <c r="J174" i="8"/>
  <c r="I174" i="9" s="1"/>
  <c r="B175" i="8"/>
  <c r="B175" i="9" s="1"/>
  <c r="C175" i="8"/>
  <c r="C176" i="20" s="1"/>
  <c r="D175" i="8"/>
  <c r="C175" i="9" s="1"/>
  <c r="E175" i="8"/>
  <c r="D175" i="9" s="1"/>
  <c r="F175" i="8"/>
  <c r="E175" i="9" s="1"/>
  <c r="G175" i="8"/>
  <c r="F175" i="9" s="1"/>
  <c r="H175" i="8"/>
  <c r="G175" i="9" s="1"/>
  <c r="I175" i="8"/>
  <c r="H175" i="9" s="1"/>
  <c r="J175" i="8"/>
  <c r="I175" i="9" s="1"/>
  <c r="B176" i="8"/>
  <c r="B176" i="9" s="1"/>
  <c r="C176" i="8"/>
  <c r="C177" i="20" s="1"/>
  <c r="D176" i="8"/>
  <c r="C176" i="9" s="1"/>
  <c r="E176" i="8"/>
  <c r="D176" i="9" s="1"/>
  <c r="F176" i="8"/>
  <c r="E176" i="9" s="1"/>
  <c r="G176" i="8"/>
  <c r="F176" i="9" s="1"/>
  <c r="H176" i="8"/>
  <c r="G176" i="9" s="1"/>
  <c r="I176" i="8"/>
  <c r="H176" i="9" s="1"/>
  <c r="J176" i="8"/>
  <c r="I176" i="9" s="1"/>
  <c r="B177" i="8"/>
  <c r="B177" i="9" s="1"/>
  <c r="C177" i="8"/>
  <c r="C178" i="20" s="1"/>
  <c r="D177" i="8"/>
  <c r="C177" i="9" s="1"/>
  <c r="E177" i="8"/>
  <c r="D177" i="9" s="1"/>
  <c r="F177" i="8"/>
  <c r="E177" i="9" s="1"/>
  <c r="G177" i="8"/>
  <c r="F177" i="9" s="1"/>
  <c r="H177" i="8"/>
  <c r="G177" i="9" s="1"/>
  <c r="I177" i="8"/>
  <c r="H177" i="9" s="1"/>
  <c r="J177" i="8"/>
  <c r="I177" i="9" s="1"/>
  <c r="B178" i="8"/>
  <c r="B178" i="9" s="1"/>
  <c r="C178" i="8"/>
  <c r="C179" i="20" s="1"/>
  <c r="D178" i="8"/>
  <c r="C178" i="9" s="1"/>
  <c r="E178" i="8"/>
  <c r="D178" i="9" s="1"/>
  <c r="F178" i="8"/>
  <c r="E178" i="9" s="1"/>
  <c r="G178" i="8"/>
  <c r="F178" i="9" s="1"/>
  <c r="H178" i="8"/>
  <c r="G178" i="9" s="1"/>
  <c r="I178" i="8"/>
  <c r="H178" i="9" s="1"/>
  <c r="J178" i="8"/>
  <c r="I178" i="9" s="1"/>
  <c r="B179" i="8"/>
  <c r="B179" i="9" s="1"/>
  <c r="C179" i="8"/>
  <c r="C180" i="20" s="1"/>
  <c r="D179" i="8"/>
  <c r="C179" i="9" s="1"/>
  <c r="E179" i="8"/>
  <c r="D179" i="9" s="1"/>
  <c r="F179" i="8"/>
  <c r="E179" i="9" s="1"/>
  <c r="G179" i="8"/>
  <c r="F179" i="9" s="1"/>
  <c r="H179" i="8"/>
  <c r="G179" i="9" s="1"/>
  <c r="I179" i="8"/>
  <c r="H179" i="9" s="1"/>
  <c r="J179" i="8"/>
  <c r="I179" i="9" s="1"/>
  <c r="B180" i="8"/>
  <c r="B180" i="9" s="1"/>
  <c r="C180" i="8"/>
  <c r="C181" i="20" s="1"/>
  <c r="D180" i="8"/>
  <c r="C180" i="9" s="1"/>
  <c r="E180" i="8"/>
  <c r="D180" i="9" s="1"/>
  <c r="F180" i="8"/>
  <c r="E180" i="9" s="1"/>
  <c r="G180" i="8"/>
  <c r="F180" i="9" s="1"/>
  <c r="H180" i="8"/>
  <c r="G180" i="9" s="1"/>
  <c r="I180" i="8"/>
  <c r="H180" i="9" s="1"/>
  <c r="J180" i="8"/>
  <c r="I180" i="9" s="1"/>
  <c r="B181" i="8"/>
  <c r="B181" i="9" s="1"/>
  <c r="C181" i="8"/>
  <c r="C182" i="20" s="1"/>
  <c r="D181" i="8"/>
  <c r="C181" i="9" s="1"/>
  <c r="E181" i="8"/>
  <c r="D181" i="9" s="1"/>
  <c r="F181" i="8"/>
  <c r="E181" i="9" s="1"/>
  <c r="G181" i="8"/>
  <c r="F181" i="9" s="1"/>
  <c r="H181" i="8"/>
  <c r="G181" i="9" s="1"/>
  <c r="I181" i="8"/>
  <c r="H181" i="9" s="1"/>
  <c r="J181" i="8"/>
  <c r="I181" i="9" s="1"/>
  <c r="B182" i="8"/>
  <c r="B182" i="9" s="1"/>
  <c r="C182" i="8"/>
  <c r="C183" i="20" s="1"/>
  <c r="D182" i="8"/>
  <c r="C182" i="9" s="1"/>
  <c r="E182" i="8"/>
  <c r="D182" i="9" s="1"/>
  <c r="F182" i="8"/>
  <c r="E182" i="9" s="1"/>
  <c r="G182" i="8"/>
  <c r="F182" i="9" s="1"/>
  <c r="H182" i="8"/>
  <c r="G182" i="9" s="1"/>
  <c r="I182" i="8"/>
  <c r="H182" i="9" s="1"/>
  <c r="J182" i="8"/>
  <c r="I182" i="9" s="1"/>
  <c r="B183" i="8"/>
  <c r="B183" i="9" s="1"/>
  <c r="C183" i="8"/>
  <c r="C184" i="20" s="1"/>
  <c r="D183" i="8"/>
  <c r="C183" i="9" s="1"/>
  <c r="E183" i="8"/>
  <c r="D183" i="9" s="1"/>
  <c r="F183" i="8"/>
  <c r="E183" i="9" s="1"/>
  <c r="G183" i="8"/>
  <c r="F183" i="9" s="1"/>
  <c r="H183" i="8"/>
  <c r="G183" i="9" s="1"/>
  <c r="I183" i="8"/>
  <c r="H183" i="9" s="1"/>
  <c r="J183" i="8"/>
  <c r="I183" i="9" s="1"/>
  <c r="B184" i="8"/>
  <c r="B184" i="9" s="1"/>
  <c r="C184" i="8"/>
  <c r="C185" i="20" s="1"/>
  <c r="D184" i="8"/>
  <c r="C184" i="9" s="1"/>
  <c r="E184" i="8"/>
  <c r="D184" i="9" s="1"/>
  <c r="F184" i="8"/>
  <c r="E184" i="9" s="1"/>
  <c r="G184" i="8"/>
  <c r="F184" i="9" s="1"/>
  <c r="H184" i="8"/>
  <c r="G184" i="9" s="1"/>
  <c r="I184" i="8"/>
  <c r="H184" i="9" s="1"/>
  <c r="J184" i="8"/>
  <c r="I184" i="9" s="1"/>
  <c r="B185" i="8"/>
  <c r="B185" i="9" s="1"/>
  <c r="C185" i="8"/>
  <c r="C186" i="20" s="1"/>
  <c r="D185" i="8"/>
  <c r="C185" i="9" s="1"/>
  <c r="E185" i="8"/>
  <c r="D185" i="9" s="1"/>
  <c r="F185" i="8"/>
  <c r="E185" i="9" s="1"/>
  <c r="G185" i="8"/>
  <c r="F185" i="9" s="1"/>
  <c r="H185" i="8"/>
  <c r="G185" i="9" s="1"/>
  <c r="I185" i="8"/>
  <c r="H185" i="9" s="1"/>
  <c r="J185" i="8"/>
  <c r="I185" i="9" s="1"/>
  <c r="B186" i="8"/>
  <c r="B186" i="9" s="1"/>
  <c r="C186" i="8"/>
  <c r="C187" i="20" s="1"/>
  <c r="D186" i="8"/>
  <c r="C186" i="9" s="1"/>
  <c r="E186" i="8"/>
  <c r="D186" i="9" s="1"/>
  <c r="F186" i="8"/>
  <c r="E186" i="9" s="1"/>
  <c r="G186" i="8"/>
  <c r="F186" i="9" s="1"/>
  <c r="H186" i="8"/>
  <c r="G186" i="9" s="1"/>
  <c r="I186" i="8"/>
  <c r="H186" i="9" s="1"/>
  <c r="J186" i="8"/>
  <c r="I186" i="9" s="1"/>
  <c r="B187" i="8"/>
  <c r="B187" i="9" s="1"/>
  <c r="C187" i="8"/>
  <c r="C188" i="20" s="1"/>
  <c r="D187" i="8"/>
  <c r="C187" i="9" s="1"/>
  <c r="E187" i="8"/>
  <c r="D187" i="9" s="1"/>
  <c r="F187" i="8"/>
  <c r="E187" i="9" s="1"/>
  <c r="G187" i="8"/>
  <c r="F187" i="9" s="1"/>
  <c r="H187" i="8"/>
  <c r="G187" i="9" s="1"/>
  <c r="I187" i="8"/>
  <c r="H187" i="9" s="1"/>
  <c r="J187" i="8"/>
  <c r="I187" i="9" s="1"/>
  <c r="B188" i="8"/>
  <c r="B188" i="9" s="1"/>
  <c r="C188" i="8"/>
  <c r="C189" i="20" s="1"/>
  <c r="D188" i="8"/>
  <c r="C188" i="9" s="1"/>
  <c r="E188" i="8"/>
  <c r="D188" i="9" s="1"/>
  <c r="F188" i="8"/>
  <c r="E188" i="9" s="1"/>
  <c r="G188" i="8"/>
  <c r="F188" i="9" s="1"/>
  <c r="H188" i="8"/>
  <c r="G188" i="9" s="1"/>
  <c r="I188" i="8"/>
  <c r="H188" i="9" s="1"/>
  <c r="J188" i="8"/>
  <c r="I188" i="9" s="1"/>
  <c r="B189" i="8"/>
  <c r="B189" i="9" s="1"/>
  <c r="C189" i="8"/>
  <c r="C190" i="20" s="1"/>
  <c r="D189" i="8"/>
  <c r="C189" i="9" s="1"/>
  <c r="E189" i="8"/>
  <c r="D189" i="9" s="1"/>
  <c r="F189" i="8"/>
  <c r="E189" i="9" s="1"/>
  <c r="G189" i="8"/>
  <c r="F189" i="9" s="1"/>
  <c r="H189" i="8"/>
  <c r="G189" i="9" s="1"/>
  <c r="I189" i="8"/>
  <c r="H189" i="9" s="1"/>
  <c r="J189" i="8"/>
  <c r="I189" i="9" s="1"/>
  <c r="B190" i="8"/>
  <c r="B190" i="9" s="1"/>
  <c r="C190" i="8"/>
  <c r="C191" i="20" s="1"/>
  <c r="D190" i="8"/>
  <c r="C190" i="9" s="1"/>
  <c r="E190" i="8"/>
  <c r="D190" i="9" s="1"/>
  <c r="F190" i="8"/>
  <c r="E190" i="9" s="1"/>
  <c r="G190" i="8"/>
  <c r="F190" i="9" s="1"/>
  <c r="H190" i="8"/>
  <c r="G190" i="9" s="1"/>
  <c r="I190" i="8"/>
  <c r="H190" i="9" s="1"/>
  <c r="J190" i="8"/>
  <c r="I190" i="9" s="1"/>
  <c r="B191" i="8"/>
  <c r="B191" i="9" s="1"/>
  <c r="C191" i="8"/>
  <c r="C192" i="20" s="1"/>
  <c r="D191" i="8"/>
  <c r="C191" i="9" s="1"/>
  <c r="E191" i="8"/>
  <c r="D191" i="9" s="1"/>
  <c r="F191" i="8"/>
  <c r="E191" i="9" s="1"/>
  <c r="G191" i="8"/>
  <c r="F191" i="9" s="1"/>
  <c r="H191" i="8"/>
  <c r="G191" i="9" s="1"/>
  <c r="I191" i="8"/>
  <c r="H191" i="9" s="1"/>
  <c r="J191" i="8"/>
  <c r="I191" i="9" s="1"/>
  <c r="B192" i="8"/>
  <c r="B192" i="9" s="1"/>
  <c r="C192" i="8"/>
  <c r="C193" i="20" s="1"/>
  <c r="D192" i="8"/>
  <c r="C192" i="9" s="1"/>
  <c r="E192" i="8"/>
  <c r="D192" i="9" s="1"/>
  <c r="F192" i="8"/>
  <c r="E192" i="9" s="1"/>
  <c r="G192" i="8"/>
  <c r="F192" i="9" s="1"/>
  <c r="H192" i="8"/>
  <c r="G192" i="9" s="1"/>
  <c r="I192" i="8"/>
  <c r="H192" i="9" s="1"/>
  <c r="J192" i="8"/>
  <c r="I192" i="9" s="1"/>
  <c r="B193" i="8"/>
  <c r="B193" i="9" s="1"/>
  <c r="C193" i="8"/>
  <c r="C194" i="20" s="1"/>
  <c r="D193" i="8"/>
  <c r="C193" i="9" s="1"/>
  <c r="E193" i="8"/>
  <c r="D193" i="9" s="1"/>
  <c r="F193" i="8"/>
  <c r="E193" i="9" s="1"/>
  <c r="G193" i="8"/>
  <c r="F193" i="9" s="1"/>
  <c r="H193" i="8"/>
  <c r="G193" i="9" s="1"/>
  <c r="I193" i="8"/>
  <c r="H193" i="9" s="1"/>
  <c r="J193" i="8"/>
  <c r="I193" i="9" s="1"/>
  <c r="B194" i="8"/>
  <c r="B194" i="9" s="1"/>
  <c r="C194" i="8"/>
  <c r="C195" i="20" s="1"/>
  <c r="D194" i="8"/>
  <c r="C194" i="9" s="1"/>
  <c r="E194" i="8"/>
  <c r="D194" i="9" s="1"/>
  <c r="F194" i="8"/>
  <c r="E194" i="9" s="1"/>
  <c r="G194" i="8"/>
  <c r="F194" i="9" s="1"/>
  <c r="H194" i="8"/>
  <c r="G194" i="9" s="1"/>
  <c r="I194" i="8"/>
  <c r="H194" i="9" s="1"/>
  <c r="J194" i="8"/>
  <c r="I194" i="9" s="1"/>
  <c r="B195" i="8"/>
  <c r="B195" i="9" s="1"/>
  <c r="C195" i="8"/>
  <c r="C196" i="20" s="1"/>
  <c r="D195" i="8"/>
  <c r="C195" i="9" s="1"/>
  <c r="E195" i="8"/>
  <c r="D195" i="9" s="1"/>
  <c r="F195" i="8"/>
  <c r="E195" i="9" s="1"/>
  <c r="G195" i="8"/>
  <c r="F195" i="9" s="1"/>
  <c r="H195" i="8"/>
  <c r="G195" i="9" s="1"/>
  <c r="I195" i="8"/>
  <c r="H195" i="9" s="1"/>
  <c r="J195" i="8"/>
  <c r="I195" i="9" s="1"/>
  <c r="B196" i="8"/>
  <c r="B196" i="9" s="1"/>
  <c r="C196" i="8"/>
  <c r="C197" i="20" s="1"/>
  <c r="D196" i="8"/>
  <c r="C196" i="9" s="1"/>
  <c r="E196" i="8"/>
  <c r="D196" i="9" s="1"/>
  <c r="F196" i="8"/>
  <c r="E196" i="9" s="1"/>
  <c r="G196" i="8"/>
  <c r="F196" i="9" s="1"/>
  <c r="H196" i="8"/>
  <c r="G196" i="9" s="1"/>
  <c r="I196" i="8"/>
  <c r="H196" i="9" s="1"/>
  <c r="J196" i="8"/>
  <c r="I196" i="9" s="1"/>
  <c r="B197" i="8"/>
  <c r="B197" i="9" s="1"/>
  <c r="C197" i="8"/>
  <c r="C198" i="20" s="1"/>
  <c r="D197" i="8"/>
  <c r="C197" i="9" s="1"/>
  <c r="E197" i="8"/>
  <c r="D197" i="9" s="1"/>
  <c r="F197" i="8"/>
  <c r="E197" i="9" s="1"/>
  <c r="G197" i="8"/>
  <c r="F197" i="9" s="1"/>
  <c r="H197" i="8"/>
  <c r="G197" i="9" s="1"/>
  <c r="I197" i="8"/>
  <c r="H197" i="9" s="1"/>
  <c r="J197" i="8"/>
  <c r="I197" i="9" s="1"/>
  <c r="B198" i="8"/>
  <c r="B198" i="9" s="1"/>
  <c r="C198" i="8"/>
  <c r="C199" i="20" s="1"/>
  <c r="D198" i="8"/>
  <c r="C198" i="9" s="1"/>
  <c r="E198" i="8"/>
  <c r="D198" i="9" s="1"/>
  <c r="F198" i="8"/>
  <c r="E198" i="9" s="1"/>
  <c r="G198" i="8"/>
  <c r="F198" i="9" s="1"/>
  <c r="H198" i="8"/>
  <c r="G198" i="9" s="1"/>
  <c r="I198" i="8"/>
  <c r="H198" i="9" s="1"/>
  <c r="J198" i="8"/>
  <c r="I198" i="9" s="1"/>
  <c r="B199" i="8"/>
  <c r="B199" i="9" s="1"/>
  <c r="C199" i="8"/>
  <c r="C200" i="20" s="1"/>
  <c r="D199" i="8"/>
  <c r="C199" i="9" s="1"/>
  <c r="E199" i="8"/>
  <c r="D199" i="9" s="1"/>
  <c r="F199" i="8"/>
  <c r="E199" i="9" s="1"/>
  <c r="G199" i="8"/>
  <c r="F199" i="9" s="1"/>
  <c r="H199" i="8"/>
  <c r="G199" i="9" s="1"/>
  <c r="I199" i="8"/>
  <c r="H199" i="9" s="1"/>
  <c r="J199" i="8"/>
  <c r="I199" i="9" s="1"/>
  <c r="B200" i="8"/>
  <c r="B200" i="9" s="1"/>
  <c r="C200" i="8"/>
  <c r="C201" i="20" s="1"/>
  <c r="D200" i="8"/>
  <c r="C200" i="9" s="1"/>
  <c r="E200" i="8"/>
  <c r="D200" i="9" s="1"/>
  <c r="F200" i="8"/>
  <c r="E200" i="9" s="1"/>
  <c r="G200" i="8"/>
  <c r="F200" i="9" s="1"/>
  <c r="H200" i="8"/>
  <c r="G200" i="9" s="1"/>
  <c r="I200" i="8"/>
  <c r="H200" i="9" s="1"/>
  <c r="J200" i="8"/>
  <c r="I200" i="9" s="1"/>
  <c r="B201" i="8"/>
  <c r="B201" i="9" s="1"/>
  <c r="C201" i="8"/>
  <c r="C202" i="20" s="1"/>
  <c r="D201" i="8"/>
  <c r="C201" i="9" s="1"/>
  <c r="E201" i="8"/>
  <c r="D201" i="9" s="1"/>
  <c r="F201" i="8"/>
  <c r="E201" i="9" s="1"/>
  <c r="G201" i="8"/>
  <c r="F201" i="9" s="1"/>
  <c r="H201" i="8"/>
  <c r="G201" i="9" s="1"/>
  <c r="I201" i="8"/>
  <c r="H201" i="9" s="1"/>
  <c r="J201" i="8"/>
  <c r="I201" i="9" s="1"/>
  <c r="B202" i="8"/>
  <c r="B202" i="9" s="1"/>
  <c r="C202" i="8"/>
  <c r="C203" i="20" s="1"/>
  <c r="D202" i="8"/>
  <c r="C202" i="9" s="1"/>
  <c r="E202" i="8"/>
  <c r="D202" i="9" s="1"/>
  <c r="F202" i="8"/>
  <c r="E202" i="9" s="1"/>
  <c r="G202" i="8"/>
  <c r="F202" i="9" s="1"/>
  <c r="H202" i="8"/>
  <c r="G202" i="9" s="1"/>
  <c r="I202" i="8"/>
  <c r="H202" i="9" s="1"/>
  <c r="J202" i="8"/>
  <c r="I202" i="9" s="1"/>
  <c r="B203" i="8"/>
  <c r="B203" i="9" s="1"/>
  <c r="C203" i="8"/>
  <c r="C204" i="20" s="1"/>
  <c r="D203" i="8"/>
  <c r="C203" i="9" s="1"/>
  <c r="E203" i="8"/>
  <c r="D203" i="9" s="1"/>
  <c r="F203" i="8"/>
  <c r="E203" i="9" s="1"/>
  <c r="G203" i="8"/>
  <c r="F203" i="9" s="1"/>
  <c r="H203" i="8"/>
  <c r="G203" i="9" s="1"/>
  <c r="I203" i="8"/>
  <c r="H203" i="9" s="1"/>
  <c r="J203" i="8"/>
  <c r="I203" i="9" s="1"/>
  <c r="B204" i="8"/>
  <c r="B204" i="9" s="1"/>
  <c r="C204" i="8"/>
  <c r="C205" i="20" s="1"/>
  <c r="D204" i="8"/>
  <c r="C204" i="9" s="1"/>
  <c r="E204" i="8"/>
  <c r="D204" i="9" s="1"/>
  <c r="F204" i="8"/>
  <c r="E204" i="9" s="1"/>
  <c r="G204" i="8"/>
  <c r="F204" i="9" s="1"/>
  <c r="H204" i="8"/>
  <c r="G204" i="9" s="1"/>
  <c r="I204" i="8"/>
  <c r="H204" i="9" s="1"/>
  <c r="J204" i="8"/>
  <c r="I204" i="9" s="1"/>
  <c r="B205" i="8"/>
  <c r="B205" i="9" s="1"/>
  <c r="C205" i="8"/>
  <c r="C206" i="20" s="1"/>
  <c r="D205" i="8"/>
  <c r="C205" i="9" s="1"/>
  <c r="E205" i="8"/>
  <c r="D205" i="9" s="1"/>
  <c r="F205" i="8"/>
  <c r="E205" i="9" s="1"/>
  <c r="G205" i="8"/>
  <c r="F205" i="9" s="1"/>
  <c r="H205" i="8"/>
  <c r="G205" i="9" s="1"/>
  <c r="I205" i="8"/>
  <c r="H205" i="9" s="1"/>
  <c r="J205" i="8"/>
  <c r="I205" i="9" s="1"/>
  <c r="B206" i="8"/>
  <c r="B206" i="9" s="1"/>
  <c r="C206" i="8"/>
  <c r="C207" i="20" s="1"/>
  <c r="D206" i="8"/>
  <c r="C206" i="9" s="1"/>
  <c r="E206" i="8"/>
  <c r="D206" i="9" s="1"/>
  <c r="F206" i="8"/>
  <c r="E206" i="9" s="1"/>
  <c r="G206" i="8"/>
  <c r="F206" i="9" s="1"/>
  <c r="H206" i="8"/>
  <c r="G206" i="9" s="1"/>
  <c r="I206" i="8"/>
  <c r="H206" i="9" s="1"/>
  <c r="J206" i="8"/>
  <c r="I206" i="9" s="1"/>
  <c r="B207" i="8"/>
  <c r="B207" i="9" s="1"/>
  <c r="C207" i="8"/>
  <c r="C208" i="20" s="1"/>
  <c r="D207" i="8"/>
  <c r="C207" i="9" s="1"/>
  <c r="E207" i="8"/>
  <c r="D207" i="9" s="1"/>
  <c r="F207" i="8"/>
  <c r="E207" i="9" s="1"/>
  <c r="G207" i="8"/>
  <c r="F207" i="9" s="1"/>
  <c r="H207" i="8"/>
  <c r="G207" i="9" s="1"/>
  <c r="I207" i="8"/>
  <c r="H207" i="9" s="1"/>
  <c r="J207" i="8"/>
  <c r="I207" i="9" s="1"/>
  <c r="B9" i="8"/>
  <c r="B9" i="9" s="1"/>
  <c r="C9" i="8"/>
  <c r="C10" i="20" s="1"/>
  <c r="D9" i="8"/>
  <c r="C9" i="9" s="1"/>
  <c r="E9" i="8"/>
  <c r="D9" i="9" s="1"/>
  <c r="E10" i="20" s="1"/>
  <c r="F9" i="8"/>
  <c r="E9" i="9" s="1"/>
  <c r="G9" i="8"/>
  <c r="F9" i="9" s="1"/>
  <c r="H9" i="8"/>
  <c r="G9" i="9" s="1"/>
  <c r="I9" i="8"/>
  <c r="H9" i="9" s="1"/>
  <c r="J9" i="8"/>
  <c r="I9" i="9" s="1"/>
  <c r="C8" i="8"/>
  <c r="C9" i="20" s="1"/>
  <c r="X2" i="9"/>
  <c r="K5" i="8"/>
  <c r="J5" i="9" s="1"/>
  <c r="A3"/>
  <c r="D3"/>
  <c r="A1" i="8"/>
  <c r="F4"/>
  <c r="BE3"/>
  <c r="EY4" i="9" s="1"/>
  <c r="P4" i="8"/>
  <c r="X4" i="9" s="1"/>
  <c r="BI3" i="8"/>
  <c r="FD4" i="9" s="1"/>
  <c r="AY4" i="8"/>
  <c r="DM4" i="9" s="1"/>
  <c r="FC4"/>
  <c r="AW4" i="8"/>
  <c r="DI4" i="9" s="1"/>
  <c r="BG4" i="8"/>
  <c r="FA5" i="9" s="1"/>
  <c r="M5" i="8"/>
  <c r="L5" i="9" s="1"/>
  <c r="BF4" i="8"/>
  <c r="EZ5" i="9" s="1"/>
  <c r="Q5" i="8"/>
  <c r="Y5" i="9" s="1"/>
  <c r="BE4" i="8"/>
  <c r="EY5" i="9" s="1"/>
  <c r="BC4" i="8"/>
  <c r="BB4"/>
  <c r="BD4"/>
  <c r="EE5" i="9" s="1"/>
  <c r="O4" i="8"/>
  <c r="P4" i="9" s="1"/>
  <c r="N4" i="8"/>
  <c r="N4" i="9" s="1"/>
  <c r="I10" i="20" l="1"/>
  <c r="H5" i="11"/>
  <c r="J10" i="20"/>
  <c r="I5" i="11"/>
  <c r="F10" i="20"/>
  <c r="E5" i="11"/>
  <c r="E8" i="15"/>
  <c r="B10" i="20"/>
  <c r="B5" i="11"/>
  <c r="B8" i="15"/>
  <c r="G208" i="20"/>
  <c r="F203" i="11"/>
  <c r="F206" i="15"/>
  <c r="H207" i="20"/>
  <c r="G202" i="11"/>
  <c r="G205" i="15"/>
  <c r="D207" i="20"/>
  <c r="C202" i="11"/>
  <c r="C205" i="15"/>
  <c r="I206" i="20"/>
  <c r="H201" i="11"/>
  <c r="E206" i="20"/>
  <c r="D201" i="11"/>
  <c r="D204" i="15"/>
  <c r="J205" i="20"/>
  <c r="I200" i="11"/>
  <c r="F205" i="20"/>
  <c r="E200" i="11"/>
  <c r="E203" i="15"/>
  <c r="B205" i="20"/>
  <c r="DY204" i="9"/>
  <c r="B200" i="11"/>
  <c r="K200" s="1"/>
  <c r="B203" i="15"/>
  <c r="G204" i="20"/>
  <c r="F199" i="11"/>
  <c r="F202" i="15"/>
  <c r="H203" i="20"/>
  <c r="G198" i="11"/>
  <c r="G201" i="15"/>
  <c r="D203" i="20"/>
  <c r="C198" i="11"/>
  <c r="C201" i="15"/>
  <c r="I202" i="20"/>
  <c r="H197" i="11"/>
  <c r="E202" i="20"/>
  <c r="D197" i="11"/>
  <c r="D200" i="15"/>
  <c r="J201" i="20"/>
  <c r="I196" i="11"/>
  <c r="F201" i="20"/>
  <c r="E196" i="11"/>
  <c r="E199" i="15"/>
  <c r="B201" i="20"/>
  <c r="DY200" i="9"/>
  <c r="B196" i="11"/>
  <c r="K196" s="1"/>
  <c r="B199" i="15"/>
  <c r="G200" i="20"/>
  <c r="F195" i="11"/>
  <c r="F198" i="15"/>
  <c r="H199" i="20"/>
  <c r="G194" i="11"/>
  <c r="G197" i="15"/>
  <c r="D199" i="20"/>
  <c r="C194" i="11"/>
  <c r="C197" i="15"/>
  <c r="I198" i="20"/>
  <c r="H193" i="11"/>
  <c r="E198" i="20"/>
  <c r="D193" i="11"/>
  <c r="D196" i="15"/>
  <c r="J197" i="20"/>
  <c r="I192" i="11"/>
  <c r="F197" i="20"/>
  <c r="E192" i="11"/>
  <c r="E195" i="15"/>
  <c r="B197" i="20"/>
  <c r="DY196" i="9"/>
  <c r="B192" i="11"/>
  <c r="K192" s="1"/>
  <c r="B195" i="15"/>
  <c r="G196" i="20"/>
  <c r="F191" i="11"/>
  <c r="F194" i="15"/>
  <c r="H195" i="20"/>
  <c r="G190" i="11"/>
  <c r="G193" i="15"/>
  <c r="D195" i="20"/>
  <c r="C190" i="11"/>
  <c r="C193" i="15"/>
  <c r="I194" i="20"/>
  <c r="H189" i="11"/>
  <c r="E194" i="20"/>
  <c r="D189" i="11"/>
  <c r="D192" i="15"/>
  <c r="J193" i="20"/>
  <c r="I188" i="11"/>
  <c r="F193" i="20"/>
  <c r="E188" i="11"/>
  <c r="E191" i="15"/>
  <c r="B193" i="20"/>
  <c r="DY192" i="9"/>
  <c r="B188" i="11"/>
  <c r="K188" s="1"/>
  <c r="B191" i="15"/>
  <c r="G192" i="20"/>
  <c r="F187" i="11"/>
  <c r="F190" i="15"/>
  <c r="H191" i="20"/>
  <c r="G186" i="11"/>
  <c r="G189" i="15"/>
  <c r="D191" i="20"/>
  <c r="C186" i="11"/>
  <c r="C189" i="15"/>
  <c r="I190" i="20"/>
  <c r="H185" i="11"/>
  <c r="E190" i="20"/>
  <c r="D185" i="11"/>
  <c r="D188" i="15"/>
  <c r="J189" i="20"/>
  <c r="I184" i="11"/>
  <c r="F189" i="20"/>
  <c r="E184" i="11"/>
  <c r="E187" i="15"/>
  <c r="B189" i="20"/>
  <c r="DY188" i="9"/>
  <c r="B184" i="11"/>
  <c r="K184" s="1"/>
  <c r="B187" i="15"/>
  <c r="G188" i="20"/>
  <c r="F183" i="11"/>
  <c r="F186" i="15"/>
  <c r="H187" i="20"/>
  <c r="G182" i="11"/>
  <c r="G185" i="15"/>
  <c r="D187" i="20"/>
  <c r="C182" i="11"/>
  <c r="C185" i="15"/>
  <c r="I186" i="20"/>
  <c r="H181" i="11"/>
  <c r="E186" i="20"/>
  <c r="D181" i="11"/>
  <c r="D184" i="15"/>
  <c r="J185" i="20"/>
  <c r="I180" i="11"/>
  <c r="F185" i="20"/>
  <c r="E180" i="11"/>
  <c r="E183" i="15"/>
  <c r="B185" i="20"/>
  <c r="DY184" i="9"/>
  <c r="B180" i="11"/>
  <c r="K180" s="1"/>
  <c r="B183" i="15"/>
  <c r="G184" i="20"/>
  <c r="F179" i="11"/>
  <c r="F182" i="15"/>
  <c r="H183" i="20"/>
  <c r="G178" i="11"/>
  <c r="G181" i="15"/>
  <c r="D183" i="20"/>
  <c r="C178" i="11"/>
  <c r="C181" i="15"/>
  <c r="I182" i="20"/>
  <c r="H177" i="11"/>
  <c r="E182" i="20"/>
  <c r="D177" i="11"/>
  <c r="D180" i="15"/>
  <c r="J181" i="20"/>
  <c r="I176" i="11"/>
  <c r="F181" i="20"/>
  <c r="E176" i="11"/>
  <c r="E179" i="15"/>
  <c r="B181" i="20"/>
  <c r="DY180" i="9"/>
  <c r="B176" i="11"/>
  <c r="K176" s="1"/>
  <c r="B179" i="15"/>
  <c r="G180" i="20"/>
  <c r="F175" i="11"/>
  <c r="F178" i="15"/>
  <c r="H179" i="20"/>
  <c r="G174" i="11"/>
  <c r="G177" i="15"/>
  <c r="D179" i="20"/>
  <c r="C174" i="11"/>
  <c r="C177" i="15"/>
  <c r="I178" i="20"/>
  <c r="H173" i="11"/>
  <c r="E178" i="20"/>
  <c r="D173" i="11"/>
  <c r="D176" i="15"/>
  <c r="J177" i="20"/>
  <c r="I172" i="11"/>
  <c r="F177" i="20"/>
  <c r="E172" i="11"/>
  <c r="E175" i="15"/>
  <c r="B177" i="20"/>
  <c r="DY176" i="9"/>
  <c r="B172" i="11"/>
  <c r="K172" s="1"/>
  <c r="B175" i="15"/>
  <c r="G176" i="20"/>
  <c r="F171" i="11"/>
  <c r="F174" i="15"/>
  <c r="H175" i="20"/>
  <c r="G170" i="11"/>
  <c r="G173" i="15"/>
  <c r="D175" i="20"/>
  <c r="C170" i="11"/>
  <c r="C173" i="15"/>
  <c r="I174" i="20"/>
  <c r="H169" i="11"/>
  <c r="E174" i="20"/>
  <c r="D169" i="11"/>
  <c r="D172" i="15"/>
  <c r="J173" i="20"/>
  <c r="I168" i="11"/>
  <c r="F173" i="20"/>
  <c r="E168" i="11"/>
  <c r="E171" i="15"/>
  <c r="B173" i="20"/>
  <c r="DY172" i="9"/>
  <c r="B168" i="11"/>
  <c r="K168" s="1"/>
  <c r="B171" i="15"/>
  <c r="G172" i="20"/>
  <c r="F167" i="11"/>
  <c r="F170" i="15"/>
  <c r="H171" i="20"/>
  <c r="G166" i="11"/>
  <c r="G169" i="15"/>
  <c r="D171" i="20"/>
  <c r="C166" i="11"/>
  <c r="C169" i="15"/>
  <c r="I170" i="20"/>
  <c r="H165" i="11"/>
  <c r="E170" i="20"/>
  <c r="D165" i="11"/>
  <c r="D168" i="15"/>
  <c r="J169" i="20"/>
  <c r="I164" i="11"/>
  <c r="F169" i="20"/>
  <c r="E164" i="11"/>
  <c r="E167" i="15"/>
  <c r="B169" i="20"/>
  <c r="DY168" i="9"/>
  <c r="B164" i="11"/>
  <c r="K164" s="1"/>
  <c r="B167" i="15"/>
  <c r="G168" i="20"/>
  <c r="F163" i="11"/>
  <c r="F166" i="15"/>
  <c r="H167" i="20"/>
  <c r="G162" i="11"/>
  <c r="G165" i="15"/>
  <c r="D167" i="20"/>
  <c r="C162" i="11"/>
  <c r="C165" i="15"/>
  <c r="I166" i="20"/>
  <c r="H161" i="11"/>
  <c r="E166" i="20"/>
  <c r="D161" i="11"/>
  <c r="D164" i="15"/>
  <c r="J165" i="20"/>
  <c r="I160" i="11"/>
  <c r="F165" i="20"/>
  <c r="E160" i="11"/>
  <c r="E163" i="15"/>
  <c r="B165" i="20"/>
  <c r="DY164" i="9"/>
  <c r="B160" i="11"/>
  <c r="K160" s="1"/>
  <c r="B163" i="15"/>
  <c r="G164" i="20"/>
  <c r="F159" i="11"/>
  <c r="F162" i="15"/>
  <c r="H163" i="20"/>
  <c r="G158" i="11"/>
  <c r="G161" i="15"/>
  <c r="D163" i="20"/>
  <c r="C158" i="11"/>
  <c r="C161" i="15"/>
  <c r="I162" i="20"/>
  <c r="H157" i="11"/>
  <c r="E162" i="20"/>
  <c r="D157" i="11"/>
  <c r="D160" i="15"/>
  <c r="J161" i="20"/>
  <c r="I156" i="11"/>
  <c r="F161" i="20"/>
  <c r="E156" i="11"/>
  <c r="E159" i="15"/>
  <c r="B161" i="20"/>
  <c r="DY160" i="9"/>
  <c r="B156" i="11"/>
  <c r="K156" s="1"/>
  <c r="B159" i="15"/>
  <c r="G160" i="20"/>
  <c r="F155" i="11"/>
  <c r="F158" i="15"/>
  <c r="H159" i="20"/>
  <c r="G154" i="11"/>
  <c r="G157" i="15"/>
  <c r="D159" i="20"/>
  <c r="C154" i="11"/>
  <c r="C157" i="15"/>
  <c r="I158" i="20"/>
  <c r="H153" i="11"/>
  <c r="E158" i="20"/>
  <c r="D153" i="11"/>
  <c r="D156" i="15"/>
  <c r="J157" i="20"/>
  <c r="I152" i="11"/>
  <c r="F157" i="20"/>
  <c r="E152" i="11"/>
  <c r="E155" i="15"/>
  <c r="B157" i="20"/>
  <c r="DY156" i="9"/>
  <c r="B152" i="11"/>
  <c r="K152" s="1"/>
  <c r="B155" i="15"/>
  <c r="G156" i="20"/>
  <c r="F151" i="11"/>
  <c r="F154" i="15"/>
  <c r="H155" i="20"/>
  <c r="G150" i="11"/>
  <c r="G153" i="15"/>
  <c r="D155" i="20"/>
  <c r="C150" i="11"/>
  <c r="C153" i="15"/>
  <c r="I154" i="20"/>
  <c r="H149" i="11"/>
  <c r="E154" i="20"/>
  <c r="D149" i="11"/>
  <c r="D152" i="15"/>
  <c r="J153" i="20"/>
  <c r="I148" i="11"/>
  <c r="F153" i="20"/>
  <c r="E148" i="11"/>
  <c r="E151" i="15"/>
  <c r="B153" i="20"/>
  <c r="DY152" i="9"/>
  <c r="B148" i="11"/>
  <c r="K148" s="1"/>
  <c r="B151" i="15"/>
  <c r="G152" i="20"/>
  <c r="F147" i="11"/>
  <c r="F150" i="15"/>
  <c r="H151" i="20"/>
  <c r="G146" i="11"/>
  <c r="G149" i="15"/>
  <c r="D151" i="20"/>
  <c r="C146" i="11"/>
  <c r="C149" i="15"/>
  <c r="I150" i="20"/>
  <c r="H145" i="11"/>
  <c r="E150" i="20"/>
  <c r="D145" i="11"/>
  <c r="D148" i="15"/>
  <c r="J149" i="20"/>
  <c r="I144" i="11"/>
  <c r="F149" i="20"/>
  <c r="E144" i="11"/>
  <c r="E147" i="15"/>
  <c r="B149" i="20"/>
  <c r="DY148" i="9"/>
  <c r="B144" i="11"/>
  <c r="K144" s="1"/>
  <c r="B147" i="15"/>
  <c r="G148" i="20"/>
  <c r="F143" i="11"/>
  <c r="F146" i="15"/>
  <c r="H147" i="20"/>
  <c r="G142" i="11"/>
  <c r="G145" i="15"/>
  <c r="D147" i="20"/>
  <c r="C142" i="11"/>
  <c r="C145" i="15"/>
  <c r="I146" i="20"/>
  <c r="H141" i="11"/>
  <c r="E146" i="20"/>
  <c r="D141" i="11"/>
  <c r="D144" i="15"/>
  <c r="J145" i="20"/>
  <c r="I140" i="11"/>
  <c r="F145" i="20"/>
  <c r="E140" i="11"/>
  <c r="E143" i="15"/>
  <c r="B145" i="20"/>
  <c r="DY144" i="9"/>
  <c r="B140" i="11"/>
  <c r="K140" s="1"/>
  <c r="B143" i="15"/>
  <c r="G144" i="20"/>
  <c r="F139" i="11"/>
  <c r="F142" i="15"/>
  <c r="H143" i="20"/>
  <c r="G138" i="11"/>
  <c r="G141" i="15"/>
  <c r="D143" i="20"/>
  <c r="C138" i="11"/>
  <c r="C141" i="15"/>
  <c r="I142" i="20"/>
  <c r="H137" i="11"/>
  <c r="E142" i="20"/>
  <c r="D137" i="11"/>
  <c r="D140" i="15"/>
  <c r="J141" i="20"/>
  <c r="I136" i="11"/>
  <c r="F141" i="20"/>
  <c r="E136" i="11"/>
  <c r="E139" i="15"/>
  <c r="B141" i="20"/>
  <c r="DY140" i="9"/>
  <c r="B136" i="11"/>
  <c r="K136" s="1"/>
  <c r="B139" i="15"/>
  <c r="G140" i="20"/>
  <c r="F135" i="11"/>
  <c r="F138" i="15"/>
  <c r="H139" i="20"/>
  <c r="G134" i="11"/>
  <c r="G137" i="15"/>
  <c r="D139" i="20"/>
  <c r="C134" i="11"/>
  <c r="C137" i="15"/>
  <c r="I138" i="20"/>
  <c r="H133" i="11"/>
  <c r="E138" i="20"/>
  <c r="D133" i="11"/>
  <c r="D136" i="15"/>
  <c r="G10" i="20"/>
  <c r="F5" i="11"/>
  <c r="F8" i="15"/>
  <c r="H208" i="20"/>
  <c r="G203" i="11"/>
  <c r="G206" i="15"/>
  <c r="I207" i="20"/>
  <c r="H202" i="11"/>
  <c r="E207" i="20"/>
  <c r="D202" i="11"/>
  <c r="D205" i="15"/>
  <c r="J206" i="20"/>
  <c r="I201" i="11"/>
  <c r="F206" i="20"/>
  <c r="E201" i="11"/>
  <c r="E204" i="15"/>
  <c r="B206" i="20"/>
  <c r="DY205" i="9"/>
  <c r="B201" i="11"/>
  <c r="K201" s="1"/>
  <c r="B204" i="15"/>
  <c r="G205" i="20"/>
  <c r="F200" i="11"/>
  <c r="F203" i="15"/>
  <c r="H204" i="20"/>
  <c r="G199" i="11"/>
  <c r="G202" i="15"/>
  <c r="D204" i="20"/>
  <c r="C199" i="11"/>
  <c r="C202" i="15"/>
  <c r="I203" i="20"/>
  <c r="H198" i="11"/>
  <c r="E203" i="20"/>
  <c r="D198" i="11"/>
  <c r="D201" i="15"/>
  <c r="J202" i="20"/>
  <c r="I197" i="11"/>
  <c r="F202" i="20"/>
  <c r="E197" i="11"/>
  <c r="E200" i="15"/>
  <c r="B202" i="20"/>
  <c r="DY201" i="9"/>
  <c r="B197" i="11"/>
  <c r="K197" s="1"/>
  <c r="B200" i="15"/>
  <c r="G201" i="20"/>
  <c r="F196" i="11"/>
  <c r="F199" i="15"/>
  <c r="H200" i="20"/>
  <c r="G195" i="11"/>
  <c r="G198" i="15"/>
  <c r="D200" i="20"/>
  <c r="C195" i="11"/>
  <c r="C198" i="15"/>
  <c r="I199" i="20"/>
  <c r="H194" i="11"/>
  <c r="E199" i="20"/>
  <c r="D194" i="11"/>
  <c r="D197" i="15"/>
  <c r="J198" i="20"/>
  <c r="I193" i="11"/>
  <c r="F198" i="20"/>
  <c r="E193" i="11"/>
  <c r="E196" i="15"/>
  <c r="B198" i="20"/>
  <c r="DY197" i="9"/>
  <c r="B193" i="11"/>
  <c r="K193" s="1"/>
  <c r="B196" i="15"/>
  <c r="G197" i="20"/>
  <c r="F192" i="11"/>
  <c r="F195" i="15"/>
  <c r="H196" i="20"/>
  <c r="G191" i="11"/>
  <c r="G194" i="15"/>
  <c r="D196" i="20"/>
  <c r="C191" i="11"/>
  <c r="C194" i="15"/>
  <c r="I195" i="20"/>
  <c r="H190" i="11"/>
  <c r="E195" i="20"/>
  <c r="D190" i="11"/>
  <c r="D193" i="15"/>
  <c r="J194" i="20"/>
  <c r="I189" i="11"/>
  <c r="F194" i="20"/>
  <c r="E189" i="11"/>
  <c r="E192" i="15"/>
  <c r="B194" i="20"/>
  <c r="DY193" i="9"/>
  <c r="B189" i="11"/>
  <c r="K189" s="1"/>
  <c r="B192" i="15"/>
  <c r="G193" i="20"/>
  <c r="F188" i="11"/>
  <c r="F191" i="15"/>
  <c r="H192" i="20"/>
  <c r="G187" i="11"/>
  <c r="G190" i="15"/>
  <c r="D192" i="20"/>
  <c r="C187" i="11"/>
  <c r="C190" i="15"/>
  <c r="I191" i="20"/>
  <c r="H186" i="11"/>
  <c r="E191" i="20"/>
  <c r="D186" i="11"/>
  <c r="D189" i="15"/>
  <c r="J190" i="20"/>
  <c r="I185" i="11"/>
  <c r="F190" i="20"/>
  <c r="E185" i="11"/>
  <c r="E188" i="15"/>
  <c r="B190" i="20"/>
  <c r="DY189" i="9"/>
  <c r="B185" i="11"/>
  <c r="K185" s="1"/>
  <c r="B188" i="15"/>
  <c r="G189" i="20"/>
  <c r="F184" i="11"/>
  <c r="F187" i="15"/>
  <c r="H188" i="20"/>
  <c r="G183" i="11"/>
  <c r="G186" i="15"/>
  <c r="D188" i="20"/>
  <c r="C183" i="11"/>
  <c r="C186" i="15"/>
  <c r="I187" i="20"/>
  <c r="H182" i="11"/>
  <c r="E187" i="20"/>
  <c r="D182" i="11"/>
  <c r="D185" i="15"/>
  <c r="J186" i="20"/>
  <c r="I181" i="11"/>
  <c r="F186" i="20"/>
  <c r="E181" i="11"/>
  <c r="E184" i="15"/>
  <c r="B186" i="20"/>
  <c r="DY185" i="9"/>
  <c r="B181" i="11"/>
  <c r="K181" s="1"/>
  <c r="B184" i="15"/>
  <c r="G185" i="20"/>
  <c r="F180" i="11"/>
  <c r="F183" i="15"/>
  <c r="H184" i="20"/>
  <c r="G179" i="11"/>
  <c r="G182" i="15"/>
  <c r="D184" i="20"/>
  <c r="C179" i="11"/>
  <c r="C182" i="15"/>
  <c r="I183" i="20"/>
  <c r="H178" i="11"/>
  <c r="E183" i="20"/>
  <c r="D178" i="11"/>
  <c r="D181" i="15"/>
  <c r="J182" i="20"/>
  <c r="I177" i="11"/>
  <c r="F182" i="20"/>
  <c r="E177" i="11"/>
  <c r="E180" i="15"/>
  <c r="B182" i="20"/>
  <c r="DY181" i="9"/>
  <c r="B177" i="11"/>
  <c r="K177" s="1"/>
  <c r="B180" i="15"/>
  <c r="G181" i="20"/>
  <c r="F176" i="11"/>
  <c r="F179" i="15"/>
  <c r="H180" i="20"/>
  <c r="G175" i="11"/>
  <c r="G178" i="15"/>
  <c r="D180" i="20"/>
  <c r="C175" i="11"/>
  <c r="C178" i="15"/>
  <c r="I179" i="20"/>
  <c r="H174" i="11"/>
  <c r="E179" i="20"/>
  <c r="D174" i="11"/>
  <c r="D177" i="15"/>
  <c r="J178" i="20"/>
  <c r="I173" i="11"/>
  <c r="F178" i="20"/>
  <c r="E173" i="11"/>
  <c r="E176" i="15"/>
  <c r="B178" i="20"/>
  <c r="DY177" i="9"/>
  <c r="B173" i="11"/>
  <c r="K173" s="1"/>
  <c r="B176" i="15"/>
  <c r="G177" i="20"/>
  <c r="F172" i="11"/>
  <c r="F175" i="15"/>
  <c r="H176" i="20"/>
  <c r="G171" i="11"/>
  <c r="G174" i="15"/>
  <c r="D176" i="20"/>
  <c r="C171" i="11"/>
  <c r="C174" i="15"/>
  <c r="I175" i="20"/>
  <c r="H170" i="11"/>
  <c r="E175" i="20"/>
  <c r="D170" i="11"/>
  <c r="D173" i="15"/>
  <c r="J174" i="20"/>
  <c r="I169" i="11"/>
  <c r="F174" i="20"/>
  <c r="E169" i="11"/>
  <c r="E172" i="15"/>
  <c r="B174" i="20"/>
  <c r="DY173" i="9"/>
  <c r="B169" i="11"/>
  <c r="K169" s="1"/>
  <c r="B172" i="15"/>
  <c r="G173" i="20"/>
  <c r="F168" i="11"/>
  <c r="F171" i="15"/>
  <c r="H172" i="20"/>
  <c r="G167" i="11"/>
  <c r="G170" i="15"/>
  <c r="D172" i="20"/>
  <c r="C167" i="11"/>
  <c r="C170" i="15"/>
  <c r="I171" i="20"/>
  <c r="H166" i="11"/>
  <c r="E171" i="20"/>
  <c r="D166" i="11"/>
  <c r="D169" i="15"/>
  <c r="J170" i="20"/>
  <c r="I165" i="11"/>
  <c r="F170" i="20"/>
  <c r="E165" i="11"/>
  <c r="E168" i="15"/>
  <c r="B170" i="20"/>
  <c r="DY169" i="9"/>
  <c r="B165" i="11"/>
  <c r="K165" s="1"/>
  <c r="B168" i="15"/>
  <c r="G169" i="20"/>
  <c r="F164" i="11"/>
  <c r="F167" i="15"/>
  <c r="H168" i="20"/>
  <c r="G163" i="11"/>
  <c r="G166" i="15"/>
  <c r="D168" i="20"/>
  <c r="C163" i="11"/>
  <c r="C166" i="15"/>
  <c r="I167" i="20"/>
  <c r="H162" i="11"/>
  <c r="E167" i="20"/>
  <c r="D162" i="11"/>
  <c r="D165" i="15"/>
  <c r="J166" i="20"/>
  <c r="I161" i="11"/>
  <c r="F166" i="20"/>
  <c r="E161" i="11"/>
  <c r="E164" i="15"/>
  <c r="B166" i="20"/>
  <c r="DY165" i="9"/>
  <c r="B161" i="11"/>
  <c r="K161" s="1"/>
  <c r="B164" i="15"/>
  <c r="G165" i="20"/>
  <c r="F160" i="11"/>
  <c r="F163" i="15"/>
  <c r="H164" i="20"/>
  <c r="G159" i="11"/>
  <c r="G162" i="15"/>
  <c r="D164" i="20"/>
  <c r="C159" i="11"/>
  <c r="C162" i="15"/>
  <c r="I163" i="20"/>
  <c r="H158" i="11"/>
  <c r="E163" i="20"/>
  <c r="D158" i="11"/>
  <c r="D161" i="15"/>
  <c r="J162" i="20"/>
  <c r="I157" i="11"/>
  <c r="F162" i="20"/>
  <c r="E157" i="11"/>
  <c r="E160" i="15"/>
  <c r="B162" i="20"/>
  <c r="DY161" i="9"/>
  <c r="B157" i="11"/>
  <c r="K157" s="1"/>
  <c r="B160" i="15"/>
  <c r="G161" i="20"/>
  <c r="F156" i="11"/>
  <c r="F159" i="15"/>
  <c r="H160" i="20"/>
  <c r="G155" i="11"/>
  <c r="G158" i="15"/>
  <c r="D160" i="20"/>
  <c r="C155" i="11"/>
  <c r="C158" i="15"/>
  <c r="I159" i="20"/>
  <c r="H154" i="11"/>
  <c r="E159" i="20"/>
  <c r="D154" i="11"/>
  <c r="D157" i="15"/>
  <c r="J158" i="20"/>
  <c r="I153" i="11"/>
  <c r="F158" i="20"/>
  <c r="E153" i="11"/>
  <c r="E156" i="15"/>
  <c r="B158" i="20"/>
  <c r="DY157" i="9"/>
  <c r="B153" i="11"/>
  <c r="K153" s="1"/>
  <c r="B156" i="15"/>
  <c r="G157" i="20"/>
  <c r="F152" i="11"/>
  <c r="F155" i="15"/>
  <c r="H156" i="20"/>
  <c r="G151" i="11"/>
  <c r="G154" i="15"/>
  <c r="D156" i="20"/>
  <c r="C151" i="11"/>
  <c r="C154" i="15"/>
  <c r="I155" i="20"/>
  <c r="H150" i="11"/>
  <c r="E155" i="20"/>
  <c r="D150" i="11"/>
  <c r="D153" i="15"/>
  <c r="J154" i="20"/>
  <c r="I149" i="11"/>
  <c r="F154" i="20"/>
  <c r="E149" i="11"/>
  <c r="E152" i="15"/>
  <c r="B154" i="20"/>
  <c r="DY153" i="9"/>
  <c r="B149" i="11"/>
  <c r="K149" s="1"/>
  <c r="B152" i="15"/>
  <c r="G153" i="20"/>
  <c r="F148" i="11"/>
  <c r="F151" i="15"/>
  <c r="H152" i="20"/>
  <c r="G147" i="11"/>
  <c r="G150" i="15"/>
  <c r="D152" i="20"/>
  <c r="C147" i="11"/>
  <c r="C150" i="15"/>
  <c r="I151" i="20"/>
  <c r="H146" i="11"/>
  <c r="E151" i="20"/>
  <c r="D146" i="11"/>
  <c r="D149" i="15"/>
  <c r="J150" i="20"/>
  <c r="I145" i="11"/>
  <c r="F150" i="20"/>
  <c r="E145" i="11"/>
  <c r="E148" i="15"/>
  <c r="B150" i="20"/>
  <c r="DY149" i="9"/>
  <c r="B145" i="11"/>
  <c r="K145" s="1"/>
  <c r="B148" i="15"/>
  <c r="G149" i="20"/>
  <c r="F144" i="11"/>
  <c r="F147" i="15"/>
  <c r="H148" i="20"/>
  <c r="G143" i="11"/>
  <c r="G146" i="15"/>
  <c r="D148" i="20"/>
  <c r="C143" i="11"/>
  <c r="C146" i="15"/>
  <c r="I147" i="20"/>
  <c r="H142" i="11"/>
  <c r="E147" i="20"/>
  <c r="D142" i="11"/>
  <c r="D145" i="15"/>
  <c r="J146" i="20"/>
  <c r="I141" i="11"/>
  <c r="F146" i="20"/>
  <c r="E141" i="11"/>
  <c r="E144" i="15"/>
  <c r="B146" i="20"/>
  <c r="DY145" i="9"/>
  <c r="B141" i="11"/>
  <c r="K141" s="1"/>
  <c r="B144" i="15"/>
  <c r="G145" i="20"/>
  <c r="F140" i="11"/>
  <c r="F143" i="15"/>
  <c r="H144" i="20"/>
  <c r="G139" i="11"/>
  <c r="G142" i="15"/>
  <c r="D144" i="20"/>
  <c r="C139" i="11"/>
  <c r="C142" i="15"/>
  <c r="I143" i="20"/>
  <c r="H138" i="11"/>
  <c r="E143" i="20"/>
  <c r="D138" i="11"/>
  <c r="D141" i="15"/>
  <c r="J142" i="20"/>
  <c r="I137" i="11"/>
  <c r="F142" i="20"/>
  <c r="E137" i="11"/>
  <c r="E140" i="15"/>
  <c r="B142" i="20"/>
  <c r="DY141" i="9"/>
  <c r="B137" i="11"/>
  <c r="K137" s="1"/>
  <c r="B140" i="15"/>
  <c r="G141" i="20"/>
  <c r="F136" i="11"/>
  <c r="F139" i="15"/>
  <c r="H140" i="20"/>
  <c r="G135" i="11"/>
  <c r="G138" i="15"/>
  <c r="D140" i="20"/>
  <c r="C135" i="11"/>
  <c r="C138" i="15"/>
  <c r="I139" i="20"/>
  <c r="H134" i="11"/>
  <c r="E139" i="20"/>
  <c r="D134" i="11"/>
  <c r="D137" i="15"/>
  <c r="J138" i="20"/>
  <c r="I133" i="11"/>
  <c r="D208" i="20"/>
  <c r="C203" i="11"/>
  <c r="C206" i="15"/>
  <c r="H10" i="20"/>
  <c r="G5" i="11"/>
  <c r="G8" i="15"/>
  <c r="D10" i="20"/>
  <c r="C5" i="11"/>
  <c r="C8" i="15"/>
  <c r="I208" i="20"/>
  <c r="H203" i="11"/>
  <c r="E208" i="20"/>
  <c r="D203" i="11"/>
  <c r="D206" i="15"/>
  <c r="J207" i="20"/>
  <c r="I202" i="11"/>
  <c r="F207" i="20"/>
  <c r="E202" i="11"/>
  <c r="E205" i="15"/>
  <c r="B207" i="20"/>
  <c r="DY206" i="9"/>
  <c r="B202" i="11"/>
  <c r="K202" s="1"/>
  <c r="B205" i="15"/>
  <c r="G206" i="20"/>
  <c r="F201" i="11"/>
  <c r="F204" i="15"/>
  <c r="H205" i="20"/>
  <c r="G200" i="11"/>
  <c r="G203" i="15"/>
  <c r="D205" i="20"/>
  <c r="C200" i="11"/>
  <c r="C203" i="15"/>
  <c r="I204" i="20"/>
  <c r="H199" i="11"/>
  <c r="E204" i="20"/>
  <c r="D199" i="11"/>
  <c r="D202" i="15"/>
  <c r="J203" i="20"/>
  <c r="I198" i="11"/>
  <c r="F203" i="20"/>
  <c r="E198" i="11"/>
  <c r="E201" i="15"/>
  <c r="B203" i="20"/>
  <c r="DY202" i="9"/>
  <c r="B198" i="11"/>
  <c r="K198" s="1"/>
  <c r="B201" i="15"/>
  <c r="G202" i="20"/>
  <c r="F197" i="11"/>
  <c r="F200" i="15"/>
  <c r="H201" i="20"/>
  <c r="G196" i="11"/>
  <c r="G199" i="15"/>
  <c r="D201" i="20"/>
  <c r="C196" i="11"/>
  <c r="C199" i="15"/>
  <c r="I200" i="20"/>
  <c r="H195" i="11"/>
  <c r="E200" i="20"/>
  <c r="D195" i="11"/>
  <c r="D198" i="15"/>
  <c r="J199" i="20"/>
  <c r="I194" i="11"/>
  <c r="F199" i="20"/>
  <c r="E194" i="11"/>
  <c r="E197" i="15"/>
  <c r="B199" i="20"/>
  <c r="DY198" i="9"/>
  <c r="B194" i="11"/>
  <c r="K194" s="1"/>
  <c r="B197" i="15"/>
  <c r="G198" i="20"/>
  <c r="F193" i="11"/>
  <c r="F196" i="15"/>
  <c r="H197" i="20"/>
  <c r="G192" i="11"/>
  <c r="G195" i="15"/>
  <c r="D197" i="20"/>
  <c r="C192" i="11"/>
  <c r="C195" i="15"/>
  <c r="I196" i="20"/>
  <c r="H191" i="11"/>
  <c r="E196" i="20"/>
  <c r="D191" i="11"/>
  <c r="D194" i="15"/>
  <c r="J195" i="20"/>
  <c r="I190" i="11"/>
  <c r="F195" i="20"/>
  <c r="E190" i="11"/>
  <c r="E193" i="15"/>
  <c r="B195" i="20"/>
  <c r="DY194" i="9"/>
  <c r="B190" i="11"/>
  <c r="K190" s="1"/>
  <c r="B193" i="15"/>
  <c r="G194" i="20"/>
  <c r="F189" i="11"/>
  <c r="F192" i="15"/>
  <c r="H193" i="20"/>
  <c r="G188" i="11"/>
  <c r="G191" i="15"/>
  <c r="D193" i="20"/>
  <c r="C188" i="11"/>
  <c r="C191" i="15"/>
  <c r="I192" i="20"/>
  <c r="H187" i="11"/>
  <c r="E192" i="20"/>
  <c r="D187" i="11"/>
  <c r="D190" i="15"/>
  <c r="J191" i="20"/>
  <c r="I186" i="11"/>
  <c r="F191" i="20"/>
  <c r="E186" i="11"/>
  <c r="E189" i="15"/>
  <c r="B191" i="20"/>
  <c r="DY190" i="9"/>
  <c r="B186" i="11"/>
  <c r="K186" s="1"/>
  <c r="B189" i="15"/>
  <c r="G190" i="20"/>
  <c r="F185" i="11"/>
  <c r="F188" i="15"/>
  <c r="H189" i="20"/>
  <c r="G184" i="11"/>
  <c r="G187" i="15"/>
  <c r="D189" i="20"/>
  <c r="C184" i="11"/>
  <c r="C187" i="15"/>
  <c r="I188" i="20"/>
  <c r="H183" i="11"/>
  <c r="E188" i="20"/>
  <c r="D183" i="11"/>
  <c r="D186" i="15"/>
  <c r="J187" i="20"/>
  <c r="I182" i="11"/>
  <c r="F187" i="20"/>
  <c r="E182" i="11"/>
  <c r="E185" i="15"/>
  <c r="B187" i="20"/>
  <c r="DY186" i="9"/>
  <c r="B182" i="11"/>
  <c r="K182" s="1"/>
  <c r="B185" i="15"/>
  <c r="G186" i="20"/>
  <c r="F181" i="11"/>
  <c r="F184" i="15"/>
  <c r="H185" i="20"/>
  <c r="G180" i="11"/>
  <c r="G183" i="15"/>
  <c r="D185" i="20"/>
  <c r="C180" i="11"/>
  <c r="C183" i="15"/>
  <c r="I184" i="20"/>
  <c r="H179" i="11"/>
  <c r="E184" i="20"/>
  <c r="D179" i="11"/>
  <c r="D182" i="15"/>
  <c r="J183" i="20"/>
  <c r="I178" i="11"/>
  <c r="F183" i="20"/>
  <c r="E178" i="11"/>
  <c r="E181" i="15"/>
  <c r="B183" i="20"/>
  <c r="DY182" i="9"/>
  <c r="B178" i="11"/>
  <c r="K178" s="1"/>
  <c r="B181" i="15"/>
  <c r="G182" i="20"/>
  <c r="F177" i="11"/>
  <c r="F180" i="15"/>
  <c r="H181" i="20"/>
  <c r="G176" i="11"/>
  <c r="G179" i="15"/>
  <c r="D181" i="20"/>
  <c r="C176" i="11"/>
  <c r="C179" i="15"/>
  <c r="I180" i="20"/>
  <c r="H175" i="11"/>
  <c r="E180" i="20"/>
  <c r="D175" i="11"/>
  <c r="D178" i="15"/>
  <c r="J179" i="20"/>
  <c r="I174" i="11"/>
  <c r="F179" i="20"/>
  <c r="E174" i="11"/>
  <c r="E177" i="15"/>
  <c r="B179" i="20"/>
  <c r="DY178" i="9"/>
  <c r="B174" i="11"/>
  <c r="K174" s="1"/>
  <c r="B177" i="15"/>
  <c r="G178" i="20"/>
  <c r="F173" i="11"/>
  <c r="F176" i="15"/>
  <c r="H177" i="20"/>
  <c r="G172" i="11"/>
  <c r="G175" i="15"/>
  <c r="D177" i="20"/>
  <c r="C172" i="11"/>
  <c r="C175" i="15"/>
  <c r="I176" i="20"/>
  <c r="H171" i="11"/>
  <c r="E176" i="20"/>
  <c r="D171" i="11"/>
  <c r="D174" i="15"/>
  <c r="J175" i="20"/>
  <c r="I170" i="11"/>
  <c r="F175" i="20"/>
  <c r="E170" i="11"/>
  <c r="E173" i="15"/>
  <c r="B175" i="20"/>
  <c r="DY174" i="9"/>
  <c r="B170" i="11"/>
  <c r="K170" s="1"/>
  <c r="B173" i="15"/>
  <c r="G174" i="20"/>
  <c r="F169" i="11"/>
  <c r="F172" i="15"/>
  <c r="H173" i="20"/>
  <c r="G168" i="11"/>
  <c r="G171" i="15"/>
  <c r="D173" i="20"/>
  <c r="C168" i="11"/>
  <c r="C171" i="15"/>
  <c r="I172" i="20"/>
  <c r="H167" i="11"/>
  <c r="E172" i="20"/>
  <c r="D167" i="11"/>
  <c r="D170" i="15"/>
  <c r="J171" i="20"/>
  <c r="I166" i="11"/>
  <c r="F171" i="20"/>
  <c r="E166" i="11"/>
  <c r="E169" i="15"/>
  <c r="B171" i="20"/>
  <c r="DY170" i="9"/>
  <c r="B166" i="11"/>
  <c r="K166" s="1"/>
  <c r="B169" i="15"/>
  <c r="G170" i="20"/>
  <c r="F165" i="11"/>
  <c r="F168" i="15"/>
  <c r="H169" i="20"/>
  <c r="G164" i="11"/>
  <c r="G167" i="15"/>
  <c r="D169" i="20"/>
  <c r="C164" i="11"/>
  <c r="C167" i="15"/>
  <c r="I168" i="20"/>
  <c r="H163" i="11"/>
  <c r="E168" i="20"/>
  <c r="D163" i="11"/>
  <c r="D166" i="15"/>
  <c r="J167" i="20"/>
  <c r="I162" i="11"/>
  <c r="F167" i="20"/>
  <c r="E162" i="11"/>
  <c r="E165" i="15"/>
  <c r="B167" i="20"/>
  <c r="DY166" i="9"/>
  <c r="B162" i="11"/>
  <c r="K162" s="1"/>
  <c r="B165" i="15"/>
  <c r="G166" i="20"/>
  <c r="F161" i="11"/>
  <c r="F164" i="15"/>
  <c r="H165" i="20"/>
  <c r="G160" i="11"/>
  <c r="G163" i="15"/>
  <c r="D165" i="20"/>
  <c r="C160" i="11"/>
  <c r="C163" i="15"/>
  <c r="I164" i="20"/>
  <c r="H159" i="11"/>
  <c r="E164" i="20"/>
  <c r="D159" i="11"/>
  <c r="D162" i="15"/>
  <c r="J163" i="20"/>
  <c r="I158" i="11"/>
  <c r="F163" i="20"/>
  <c r="E158" i="11"/>
  <c r="E161" i="15"/>
  <c r="B163" i="20"/>
  <c r="DY162" i="9"/>
  <c r="B158" i="11"/>
  <c r="K158" s="1"/>
  <c r="B161" i="15"/>
  <c r="G162" i="20"/>
  <c r="F157" i="11"/>
  <c r="F160" i="15"/>
  <c r="H161" i="20"/>
  <c r="G156" i="11"/>
  <c r="G159" i="15"/>
  <c r="D161" i="20"/>
  <c r="C156" i="11"/>
  <c r="C159" i="15"/>
  <c r="I160" i="20"/>
  <c r="H155" i="11"/>
  <c r="E160" i="20"/>
  <c r="D155" i="11"/>
  <c r="D158" i="15"/>
  <c r="J159" i="20"/>
  <c r="I154" i="11"/>
  <c r="F159" i="20"/>
  <c r="E154" i="11"/>
  <c r="E157" i="15"/>
  <c r="B159" i="20"/>
  <c r="DY158" i="9"/>
  <c r="B154" i="11"/>
  <c r="K154" s="1"/>
  <c r="B157" i="15"/>
  <c r="G158" i="20"/>
  <c r="F153" i="11"/>
  <c r="F156" i="15"/>
  <c r="H157" i="20"/>
  <c r="G152" i="11"/>
  <c r="G155" i="15"/>
  <c r="D157" i="20"/>
  <c r="C152" i="11"/>
  <c r="C155" i="15"/>
  <c r="I156" i="20"/>
  <c r="H151" i="11"/>
  <c r="E156" i="20"/>
  <c r="D151" i="11"/>
  <c r="D154" i="15"/>
  <c r="J155" i="20"/>
  <c r="I150" i="11"/>
  <c r="F155" i="20"/>
  <c r="E150" i="11"/>
  <c r="E153" i="15"/>
  <c r="B155" i="20"/>
  <c r="DY154" i="9"/>
  <c r="B150" i="11"/>
  <c r="K150" s="1"/>
  <c r="B153" i="15"/>
  <c r="G154" i="20"/>
  <c r="F149" i="11"/>
  <c r="F152" i="15"/>
  <c r="H153" i="20"/>
  <c r="G148" i="11"/>
  <c r="G151" i="15"/>
  <c r="D153" i="20"/>
  <c r="C148" i="11"/>
  <c r="C151" i="15"/>
  <c r="I152" i="20"/>
  <c r="H147" i="11"/>
  <c r="E152" i="20"/>
  <c r="D147" i="11"/>
  <c r="D150" i="15"/>
  <c r="J151" i="20"/>
  <c r="I146" i="11"/>
  <c r="F151" i="20"/>
  <c r="E146" i="11"/>
  <c r="E149" i="15"/>
  <c r="B151" i="20"/>
  <c r="DY150" i="9"/>
  <c r="B146" i="11"/>
  <c r="K146" s="1"/>
  <c r="B149" i="15"/>
  <c r="G150" i="20"/>
  <c r="F145" i="11"/>
  <c r="F148" i="15"/>
  <c r="H149" i="20"/>
  <c r="G144" i="11"/>
  <c r="G147" i="15"/>
  <c r="D149" i="20"/>
  <c r="C144" i="11"/>
  <c r="C147" i="15"/>
  <c r="I148" i="20"/>
  <c r="H143" i="11"/>
  <c r="E148" i="20"/>
  <c r="D143" i="11"/>
  <c r="D146" i="15"/>
  <c r="J147" i="20"/>
  <c r="I142" i="11"/>
  <c r="F147" i="20"/>
  <c r="E142" i="11"/>
  <c r="E145" i="15"/>
  <c r="B147" i="20"/>
  <c r="DY146" i="9"/>
  <c r="B142" i="11"/>
  <c r="K142" s="1"/>
  <c r="B145" i="15"/>
  <c r="G146" i="20"/>
  <c r="F141" i="11"/>
  <c r="F144" i="15"/>
  <c r="H145" i="20"/>
  <c r="G140" i="11"/>
  <c r="G143" i="15"/>
  <c r="D145" i="20"/>
  <c r="C140" i="11"/>
  <c r="C143" i="15"/>
  <c r="I144" i="20"/>
  <c r="H139" i="11"/>
  <c r="E144" i="20"/>
  <c r="D139" i="11"/>
  <c r="D142" i="15"/>
  <c r="J143" i="20"/>
  <c r="I138" i="11"/>
  <c r="F143" i="20"/>
  <c r="E138" i="11"/>
  <c r="E141" i="15"/>
  <c r="B143" i="20"/>
  <c r="DY142" i="9"/>
  <c r="B138" i="11"/>
  <c r="K138" s="1"/>
  <c r="B141" i="15"/>
  <c r="G142" i="20"/>
  <c r="F137" i="11"/>
  <c r="F140" i="15"/>
  <c r="H141" i="20"/>
  <c r="G136" i="11"/>
  <c r="G139" i="15"/>
  <c r="D141" i="20"/>
  <c r="C136" i="11"/>
  <c r="C139" i="15"/>
  <c r="I140" i="20"/>
  <c r="H135" i="11"/>
  <c r="E140" i="20"/>
  <c r="D135" i="11"/>
  <c r="D138" i="15"/>
  <c r="J139" i="20"/>
  <c r="I134" i="11"/>
  <c r="F139" i="20"/>
  <c r="E134" i="11"/>
  <c r="E137" i="15"/>
  <c r="B139" i="20"/>
  <c r="DY138" i="9"/>
  <c r="B134" i="11"/>
  <c r="K134" s="1"/>
  <c r="B137" i="15"/>
  <c r="J208" i="20"/>
  <c r="I203" i="11"/>
  <c r="F208" i="20"/>
  <c r="E203" i="11"/>
  <c r="E206" i="15"/>
  <c r="B208" i="20"/>
  <c r="DY207" i="9"/>
  <c r="B203" i="11"/>
  <c r="K203" s="1"/>
  <c r="B206" i="15"/>
  <c r="G207" i="20"/>
  <c r="F202" i="11"/>
  <c r="F205" i="15"/>
  <c r="H206" i="20"/>
  <c r="G201" i="11"/>
  <c r="G204" i="15"/>
  <c r="D206" i="20"/>
  <c r="C201" i="11"/>
  <c r="C204" i="15"/>
  <c r="I205" i="20"/>
  <c r="H200" i="11"/>
  <c r="E205" i="20"/>
  <c r="D200" i="11"/>
  <c r="D203" i="15"/>
  <c r="J204" i="20"/>
  <c r="I199" i="11"/>
  <c r="F204" i="20"/>
  <c r="E199" i="11"/>
  <c r="E202" i="15"/>
  <c r="B204" i="20"/>
  <c r="DY203" i="9"/>
  <c r="B199" i="11"/>
  <c r="K199" s="1"/>
  <c r="B202" i="15"/>
  <c r="G203" i="20"/>
  <c r="F198" i="11"/>
  <c r="F201" i="15"/>
  <c r="H202" i="20"/>
  <c r="G197" i="11"/>
  <c r="G200" i="15"/>
  <c r="D202" i="20"/>
  <c r="C197" i="11"/>
  <c r="C200" i="15"/>
  <c r="I201" i="20"/>
  <c r="H196" i="11"/>
  <c r="E201" i="20"/>
  <c r="D196" i="11"/>
  <c r="D199" i="15"/>
  <c r="J200" i="20"/>
  <c r="I195" i="11"/>
  <c r="F200" i="20"/>
  <c r="E195" i="11"/>
  <c r="E198" i="15"/>
  <c r="B200" i="20"/>
  <c r="DY199" i="9"/>
  <c r="B195" i="11"/>
  <c r="K195" s="1"/>
  <c r="B198" i="15"/>
  <c r="G199" i="20"/>
  <c r="F194" i="11"/>
  <c r="F197" i="15"/>
  <c r="H198" i="20"/>
  <c r="G193" i="11"/>
  <c r="G196" i="15"/>
  <c r="D198" i="20"/>
  <c r="C193" i="11"/>
  <c r="C196" i="15"/>
  <c r="I197" i="20"/>
  <c r="H192" i="11"/>
  <c r="E197" i="20"/>
  <c r="D192" i="11"/>
  <c r="D195" i="15"/>
  <c r="J196" i="20"/>
  <c r="I191" i="11"/>
  <c r="F196" i="20"/>
  <c r="E191" i="11"/>
  <c r="E194" i="15"/>
  <c r="B196" i="20"/>
  <c r="DY195" i="9"/>
  <c r="B191" i="11"/>
  <c r="K191" s="1"/>
  <c r="B194" i="15"/>
  <c r="G195" i="20"/>
  <c r="F190" i="11"/>
  <c r="F193" i="15"/>
  <c r="H194" i="20"/>
  <c r="G189" i="11"/>
  <c r="G192" i="15"/>
  <c r="D194" i="20"/>
  <c r="C189" i="11"/>
  <c r="C192" i="15"/>
  <c r="I193" i="20"/>
  <c r="H188" i="11"/>
  <c r="E193" i="20"/>
  <c r="D188" i="11"/>
  <c r="D191" i="15"/>
  <c r="J192" i="20"/>
  <c r="I187" i="11"/>
  <c r="F192" i="20"/>
  <c r="E187" i="11"/>
  <c r="E190" i="15"/>
  <c r="B192" i="20"/>
  <c r="DY191" i="9"/>
  <c r="B187" i="11"/>
  <c r="K187" s="1"/>
  <c r="B190" i="15"/>
  <c r="G191" i="20"/>
  <c r="F186" i="11"/>
  <c r="F189" i="15"/>
  <c r="H190" i="20"/>
  <c r="G185" i="11"/>
  <c r="G188" i="15"/>
  <c r="D190" i="20"/>
  <c r="C185" i="11"/>
  <c r="C188" i="15"/>
  <c r="I189" i="20"/>
  <c r="H184" i="11"/>
  <c r="E189" i="20"/>
  <c r="D184" i="11"/>
  <c r="D187" i="15"/>
  <c r="J188" i="20"/>
  <c r="I183" i="11"/>
  <c r="F188" i="20"/>
  <c r="E183" i="11"/>
  <c r="E186" i="15"/>
  <c r="B188" i="20"/>
  <c r="DY187" i="9"/>
  <c r="B183" i="11"/>
  <c r="K183" s="1"/>
  <c r="B186" i="15"/>
  <c r="G187" i="20"/>
  <c r="F182" i="11"/>
  <c r="F185" i="15"/>
  <c r="H186" i="20"/>
  <c r="G181" i="11"/>
  <c r="G184" i="15"/>
  <c r="D186" i="20"/>
  <c r="C181" i="11"/>
  <c r="C184" i="15"/>
  <c r="I185" i="20"/>
  <c r="H180" i="11"/>
  <c r="E185" i="20"/>
  <c r="D180" i="11"/>
  <c r="D183" i="15"/>
  <c r="J184" i="20"/>
  <c r="I179" i="11"/>
  <c r="F184" i="20"/>
  <c r="E179" i="11"/>
  <c r="E182" i="15"/>
  <c r="B184" i="20"/>
  <c r="DY183" i="9"/>
  <c r="B179" i="11"/>
  <c r="K179" s="1"/>
  <c r="B182" i="15"/>
  <c r="G183" i="20"/>
  <c r="F178" i="11"/>
  <c r="F181" i="15"/>
  <c r="H182" i="20"/>
  <c r="G177" i="11"/>
  <c r="G180" i="15"/>
  <c r="D182" i="20"/>
  <c r="C177" i="11"/>
  <c r="C180" i="15"/>
  <c r="I181" i="20"/>
  <c r="H176" i="11"/>
  <c r="E181" i="20"/>
  <c r="D176" i="11"/>
  <c r="D179" i="15"/>
  <c r="J180" i="20"/>
  <c r="I175" i="11"/>
  <c r="F180" i="20"/>
  <c r="E175" i="11"/>
  <c r="E178" i="15"/>
  <c r="B180" i="20"/>
  <c r="DY179" i="9"/>
  <c r="B175" i="11"/>
  <c r="K175" s="1"/>
  <c r="B178" i="15"/>
  <c r="G179" i="20"/>
  <c r="F174" i="11"/>
  <c r="F177" i="15"/>
  <c r="H178" i="20"/>
  <c r="G173" i="11"/>
  <c r="G176" i="15"/>
  <c r="D178" i="20"/>
  <c r="C173" i="11"/>
  <c r="C176" i="15"/>
  <c r="I177" i="20"/>
  <c r="H172" i="11"/>
  <c r="E177" i="20"/>
  <c r="D172" i="11"/>
  <c r="D175" i="15"/>
  <c r="J176" i="20"/>
  <c r="I171" i="11"/>
  <c r="F176" i="20"/>
  <c r="E171" i="11"/>
  <c r="E174" i="15"/>
  <c r="B176" i="20"/>
  <c r="DY175" i="9"/>
  <c r="B171" i="11"/>
  <c r="K171" s="1"/>
  <c r="B174" i="15"/>
  <c r="G175" i="20"/>
  <c r="F170" i="11"/>
  <c r="F173" i="15"/>
  <c r="H174" i="20"/>
  <c r="G169" i="11"/>
  <c r="G172" i="15"/>
  <c r="D174" i="20"/>
  <c r="C169" i="11"/>
  <c r="C172" i="15"/>
  <c r="I173" i="20"/>
  <c r="H168" i="11"/>
  <c r="E173" i="20"/>
  <c r="D168" i="11"/>
  <c r="D171" i="15"/>
  <c r="J172" i="20"/>
  <c r="I167" i="11"/>
  <c r="F172" i="20"/>
  <c r="E167" i="11"/>
  <c r="E170" i="15"/>
  <c r="B172" i="20"/>
  <c r="DY171" i="9"/>
  <c r="B167" i="11"/>
  <c r="K167" s="1"/>
  <c r="B170" i="15"/>
  <c r="G171" i="20"/>
  <c r="F166" i="11"/>
  <c r="F169" i="15"/>
  <c r="H170" i="20"/>
  <c r="G165" i="11"/>
  <c r="G168" i="15"/>
  <c r="D170" i="20"/>
  <c r="C165" i="11"/>
  <c r="C168" i="15"/>
  <c r="I169" i="20"/>
  <c r="H164" i="11"/>
  <c r="E169" i="20"/>
  <c r="D164" i="11"/>
  <c r="D167" i="15"/>
  <c r="J168" i="20"/>
  <c r="I163" i="11"/>
  <c r="F168" i="20"/>
  <c r="E163" i="11"/>
  <c r="E166" i="15"/>
  <c r="B168" i="20"/>
  <c r="DY167" i="9"/>
  <c r="B163" i="11"/>
  <c r="K163" s="1"/>
  <c r="B166" i="15"/>
  <c r="G167" i="20"/>
  <c r="F162" i="11"/>
  <c r="F165" i="15"/>
  <c r="H166" i="20"/>
  <c r="G161" i="11"/>
  <c r="G164" i="15"/>
  <c r="D166" i="20"/>
  <c r="C161" i="11"/>
  <c r="C164" i="15"/>
  <c r="I165" i="20"/>
  <c r="H160" i="11"/>
  <c r="E165" i="20"/>
  <c r="D160" i="11"/>
  <c r="D163" i="15"/>
  <c r="J164" i="20"/>
  <c r="I159" i="11"/>
  <c r="F164" i="20"/>
  <c r="E159" i="11"/>
  <c r="E162" i="15"/>
  <c r="B164" i="20"/>
  <c r="DY163" i="9"/>
  <c r="B159" i="11"/>
  <c r="K159" s="1"/>
  <c r="B162" i="15"/>
  <c r="G163" i="20"/>
  <c r="F158" i="11"/>
  <c r="F161" i="15"/>
  <c r="H162" i="20"/>
  <c r="G157" i="11"/>
  <c r="G160" i="15"/>
  <c r="D162" i="20"/>
  <c r="C157" i="11"/>
  <c r="C160" i="15"/>
  <c r="I161" i="20"/>
  <c r="H156" i="11"/>
  <c r="E161" i="20"/>
  <c r="D156" i="11"/>
  <c r="D159" i="15"/>
  <c r="J160" i="20"/>
  <c r="I155" i="11"/>
  <c r="F160" i="20"/>
  <c r="E155" i="11"/>
  <c r="E158" i="15"/>
  <c r="B160" i="20"/>
  <c r="DY159" i="9"/>
  <c r="B155" i="11"/>
  <c r="K155" s="1"/>
  <c r="B158" i="15"/>
  <c r="G159" i="20"/>
  <c r="F154" i="11"/>
  <c r="F157" i="15"/>
  <c r="H158" i="20"/>
  <c r="G153" i="11"/>
  <c r="G156" i="15"/>
  <c r="D158" i="20"/>
  <c r="C153" i="11"/>
  <c r="C156" i="15"/>
  <c r="I157" i="20"/>
  <c r="H152" i="11"/>
  <c r="E157" i="20"/>
  <c r="D152" i="11"/>
  <c r="D155" i="15"/>
  <c r="J156" i="20"/>
  <c r="I151" i="11"/>
  <c r="F156" i="20"/>
  <c r="E151" i="11"/>
  <c r="E154" i="15"/>
  <c r="B156" i="20"/>
  <c r="DY155" i="9"/>
  <c r="B151" i="11"/>
  <c r="K151" s="1"/>
  <c r="B154" i="15"/>
  <c r="G155" i="20"/>
  <c r="F150" i="11"/>
  <c r="F153" i="15"/>
  <c r="H154" i="20"/>
  <c r="G149" i="11"/>
  <c r="G152" i="15"/>
  <c r="D154" i="20"/>
  <c r="C149" i="11"/>
  <c r="C152" i="15"/>
  <c r="I153" i="20"/>
  <c r="H148" i="11"/>
  <c r="E153" i="20"/>
  <c r="D148" i="11"/>
  <c r="D151" i="15"/>
  <c r="J152" i="20"/>
  <c r="I147" i="11"/>
  <c r="F152" i="20"/>
  <c r="E147" i="11"/>
  <c r="E150" i="15"/>
  <c r="B152" i="20"/>
  <c r="DY151" i="9"/>
  <c r="B147" i="11"/>
  <c r="K147" s="1"/>
  <c r="B150" i="15"/>
  <c r="G151" i="20"/>
  <c r="F146" i="11"/>
  <c r="F149" i="15"/>
  <c r="H150" i="20"/>
  <c r="G145" i="11"/>
  <c r="G148" i="15"/>
  <c r="D150" i="20"/>
  <c r="C145" i="11"/>
  <c r="C148" i="15"/>
  <c r="I149" i="20"/>
  <c r="H144" i="11"/>
  <c r="E149" i="20"/>
  <c r="D144" i="11"/>
  <c r="D147" i="15"/>
  <c r="J148" i="20"/>
  <c r="I143" i="11"/>
  <c r="F148" i="20"/>
  <c r="E143" i="11"/>
  <c r="E146" i="15"/>
  <c r="B148" i="20"/>
  <c r="DY147" i="9"/>
  <c r="B143" i="11"/>
  <c r="K143" s="1"/>
  <c r="B146" i="15"/>
  <c r="G147" i="20"/>
  <c r="F142" i="11"/>
  <c r="F145" i="15"/>
  <c r="H146" i="20"/>
  <c r="G141" i="11"/>
  <c r="G144" i="15"/>
  <c r="D146" i="20"/>
  <c r="C141" i="11"/>
  <c r="C144" i="15"/>
  <c r="I145" i="20"/>
  <c r="H140" i="11"/>
  <c r="E145" i="20"/>
  <c r="D140" i="11"/>
  <c r="D143" i="15"/>
  <c r="J144" i="20"/>
  <c r="I139" i="11"/>
  <c r="F144" i="20"/>
  <c r="E139" i="11"/>
  <c r="E142" i="15"/>
  <c r="B144" i="20"/>
  <c r="DY143" i="9"/>
  <c r="B139" i="11"/>
  <c r="K139" s="1"/>
  <c r="B142" i="15"/>
  <c r="G143" i="20"/>
  <c r="F138" i="11"/>
  <c r="F141" i="15"/>
  <c r="H142" i="20"/>
  <c r="G137" i="11"/>
  <c r="G140" i="15"/>
  <c r="D142" i="20"/>
  <c r="C137" i="11"/>
  <c r="C140" i="15"/>
  <c r="I141" i="20"/>
  <c r="H136" i="11"/>
  <c r="E141" i="20"/>
  <c r="D136" i="11"/>
  <c r="D139" i="15"/>
  <c r="J140" i="20"/>
  <c r="I135" i="11"/>
  <c r="F140" i="20"/>
  <c r="E135" i="11"/>
  <c r="E138" i="15"/>
  <c r="B140" i="20"/>
  <c r="DY139" i="9"/>
  <c r="B135" i="11"/>
  <c r="K135" s="1"/>
  <c r="B138" i="15"/>
  <c r="G139" i="20"/>
  <c r="F134" i="11"/>
  <c r="F137" i="15"/>
  <c r="H138" i="20"/>
  <c r="G133" i="11"/>
  <c r="G136" i="15"/>
  <c r="J137" i="20"/>
  <c r="I132" i="11"/>
  <c r="F137" i="20"/>
  <c r="E132" i="11"/>
  <c r="E135" i="15"/>
  <c r="B137" i="20"/>
  <c r="DY136" i="9"/>
  <c r="B132" i="11"/>
  <c r="K132" s="1"/>
  <c r="B135" i="15"/>
  <c r="G136" i="20"/>
  <c r="F131" i="11"/>
  <c r="F134" i="15"/>
  <c r="H135" i="20"/>
  <c r="G130" i="11"/>
  <c r="G133" i="15"/>
  <c r="D135" i="20"/>
  <c r="C130" i="11"/>
  <c r="C133" i="15"/>
  <c r="I134" i="20"/>
  <c r="H129" i="11"/>
  <c r="E134" i="20"/>
  <c r="D129" i="11"/>
  <c r="D132" i="15"/>
  <c r="J133" i="20"/>
  <c r="I128" i="11"/>
  <c r="F133" i="20"/>
  <c r="E128" i="11"/>
  <c r="E131" i="15"/>
  <c r="B133" i="20"/>
  <c r="DY132" i="9"/>
  <c r="B128" i="11"/>
  <c r="K128" s="1"/>
  <c r="B131" i="15"/>
  <c r="G132" i="20"/>
  <c r="F127" i="11"/>
  <c r="F130" i="15"/>
  <c r="H131" i="20"/>
  <c r="G126" i="11"/>
  <c r="G129" i="15"/>
  <c r="D131" i="20"/>
  <c r="C126" i="11"/>
  <c r="C129" i="15"/>
  <c r="I130" i="20"/>
  <c r="H125" i="11"/>
  <c r="E130" i="20"/>
  <c r="D125" i="11"/>
  <c r="D128" i="15"/>
  <c r="J129" i="20"/>
  <c r="I124" i="11"/>
  <c r="F129" i="20"/>
  <c r="E124" i="11"/>
  <c r="E127" i="15"/>
  <c r="B129" i="20"/>
  <c r="DY128" i="9"/>
  <c r="B124" i="11"/>
  <c r="K124" s="1"/>
  <c r="B127" i="15"/>
  <c r="G128" i="20"/>
  <c r="F123" i="11"/>
  <c r="F126" i="15"/>
  <c r="H127" i="20"/>
  <c r="G122" i="11"/>
  <c r="G125" i="15"/>
  <c r="D127" i="20"/>
  <c r="C122" i="11"/>
  <c r="C125" i="15"/>
  <c r="I126" i="20"/>
  <c r="H121" i="11"/>
  <c r="E126" i="20"/>
  <c r="D121" i="11"/>
  <c r="D124" i="15"/>
  <c r="J125" i="20"/>
  <c r="I120" i="11"/>
  <c r="F125" i="20"/>
  <c r="E120" i="11"/>
  <c r="E123" i="15"/>
  <c r="B125" i="20"/>
  <c r="DY124" i="9"/>
  <c r="B120" i="11"/>
  <c r="K120" s="1"/>
  <c r="B123" i="15"/>
  <c r="G124" i="20"/>
  <c r="F119" i="11"/>
  <c r="F122" i="15"/>
  <c r="H123" i="20"/>
  <c r="G118" i="11"/>
  <c r="G121" i="15"/>
  <c r="D123" i="20"/>
  <c r="C118" i="11"/>
  <c r="C121" i="15"/>
  <c r="I122" i="20"/>
  <c r="H117" i="11"/>
  <c r="E122" i="20"/>
  <c r="D117" i="11"/>
  <c r="D120" i="15"/>
  <c r="J121" i="20"/>
  <c r="I116" i="11"/>
  <c r="F121" i="20"/>
  <c r="E116" i="11"/>
  <c r="E119" i="15"/>
  <c r="B121" i="20"/>
  <c r="DY120" i="9"/>
  <c r="B116" i="11"/>
  <c r="K116" s="1"/>
  <c r="B119" i="15"/>
  <c r="G120" i="20"/>
  <c r="F115" i="11"/>
  <c r="F118" i="15"/>
  <c r="H119" i="20"/>
  <c r="G114" i="11"/>
  <c r="G117" i="15"/>
  <c r="D119" i="20"/>
  <c r="C114" i="11"/>
  <c r="C117" i="15"/>
  <c r="I118" i="20"/>
  <c r="H113" i="11"/>
  <c r="E118" i="20"/>
  <c r="D113" i="11"/>
  <c r="D116" i="15"/>
  <c r="J117" i="20"/>
  <c r="I112" i="11"/>
  <c r="F117" i="20"/>
  <c r="E112" i="11"/>
  <c r="E115" i="15"/>
  <c r="B117" i="20"/>
  <c r="DY116" i="9"/>
  <c r="B112" i="11"/>
  <c r="K112" s="1"/>
  <c r="B115" i="15"/>
  <c r="G116" i="20"/>
  <c r="F111" i="11"/>
  <c r="F114" i="15"/>
  <c r="H115" i="20"/>
  <c r="G110" i="11"/>
  <c r="G113" i="15"/>
  <c r="D115" i="20"/>
  <c r="C110" i="11"/>
  <c r="C113" i="15"/>
  <c r="I114" i="20"/>
  <c r="H109" i="11"/>
  <c r="E114" i="20"/>
  <c r="D109" i="11"/>
  <c r="D112" i="15"/>
  <c r="J113" i="20"/>
  <c r="I108" i="11"/>
  <c r="F113" i="20"/>
  <c r="E108" i="11"/>
  <c r="E111" i="15"/>
  <c r="B113" i="20"/>
  <c r="DY112" i="9"/>
  <c r="B108" i="11"/>
  <c r="K108" s="1"/>
  <c r="B111" i="15"/>
  <c r="G112" i="20"/>
  <c r="F107" i="11"/>
  <c r="F110" i="15"/>
  <c r="H111" i="20"/>
  <c r="G106" i="11"/>
  <c r="G109" i="15"/>
  <c r="D111" i="20"/>
  <c r="C106" i="11"/>
  <c r="C109" i="15"/>
  <c r="I110" i="20"/>
  <c r="H105" i="11"/>
  <c r="E110" i="20"/>
  <c r="D105" i="11"/>
  <c r="D108" i="15"/>
  <c r="J109" i="20"/>
  <c r="I104" i="11"/>
  <c r="F109" i="20"/>
  <c r="E104" i="11"/>
  <c r="E107" i="15"/>
  <c r="B109" i="20"/>
  <c r="DY108" i="9"/>
  <c r="B104" i="11"/>
  <c r="K104" s="1"/>
  <c r="B107" i="15"/>
  <c r="G108" i="20"/>
  <c r="F103" i="11"/>
  <c r="F106" i="15"/>
  <c r="H107" i="20"/>
  <c r="G102" i="11"/>
  <c r="G105" i="15"/>
  <c r="D107" i="20"/>
  <c r="C102" i="11"/>
  <c r="C105" i="15"/>
  <c r="I106" i="20"/>
  <c r="H101" i="11"/>
  <c r="E106" i="20"/>
  <c r="D101" i="11"/>
  <c r="D104" i="15"/>
  <c r="J105" i="20"/>
  <c r="I100" i="11"/>
  <c r="F105" i="20"/>
  <c r="E100" i="11"/>
  <c r="E103" i="15"/>
  <c r="B105" i="20"/>
  <c r="DY104" i="9"/>
  <c r="B100" i="11"/>
  <c r="K100" s="1"/>
  <c r="B103" i="15"/>
  <c r="G104" i="20"/>
  <c r="F99" i="11"/>
  <c r="F102" i="15"/>
  <c r="H103" i="20"/>
  <c r="G98" i="11"/>
  <c r="G101" i="15"/>
  <c r="D103" i="20"/>
  <c r="C98" i="11"/>
  <c r="C101" i="15"/>
  <c r="I102" i="20"/>
  <c r="H97" i="11"/>
  <c r="E102" i="20"/>
  <c r="D97" i="11"/>
  <c r="D100" i="15"/>
  <c r="J101" i="20"/>
  <c r="I96" i="11"/>
  <c r="F101" i="20"/>
  <c r="E96" i="11"/>
  <c r="E99" i="15"/>
  <c r="B101" i="20"/>
  <c r="DY100" i="9"/>
  <c r="B96" i="11"/>
  <c r="K96" s="1"/>
  <c r="B99" i="15"/>
  <c r="G100" i="20"/>
  <c r="F95" i="11"/>
  <c r="F98" i="15"/>
  <c r="H99" i="20"/>
  <c r="G94" i="11"/>
  <c r="G97" i="15"/>
  <c r="D99" i="20"/>
  <c r="C94" i="11"/>
  <c r="C97" i="15"/>
  <c r="I98" i="20"/>
  <c r="H93" i="11"/>
  <c r="E98" i="20"/>
  <c r="D93" i="11"/>
  <c r="D96" i="15"/>
  <c r="J97" i="20"/>
  <c r="I92" i="11"/>
  <c r="F97" i="20"/>
  <c r="E92" i="11"/>
  <c r="E95" i="15"/>
  <c r="B97" i="20"/>
  <c r="DY96" i="9"/>
  <c r="B92" i="11"/>
  <c r="K92" s="1"/>
  <c r="B95" i="15"/>
  <c r="G96" i="20"/>
  <c r="F91" i="11"/>
  <c r="F94" i="15"/>
  <c r="H95" i="20"/>
  <c r="G90" i="11"/>
  <c r="G93" i="15"/>
  <c r="D95" i="20"/>
  <c r="C90" i="11"/>
  <c r="C93" i="15"/>
  <c r="I94" i="20"/>
  <c r="H89" i="11"/>
  <c r="E94" i="20"/>
  <c r="D89" i="11"/>
  <c r="D92" i="15"/>
  <c r="J93" i="20"/>
  <c r="I88" i="11"/>
  <c r="F93" i="20"/>
  <c r="E88" i="11"/>
  <c r="E91" i="15"/>
  <c r="B93" i="20"/>
  <c r="DY92" i="9"/>
  <c r="B88" i="11"/>
  <c r="K88" s="1"/>
  <c r="B91" i="15"/>
  <c r="G92" i="20"/>
  <c r="F87" i="11"/>
  <c r="F90" i="15"/>
  <c r="H91" i="20"/>
  <c r="G86" i="11"/>
  <c r="G89" i="15"/>
  <c r="D91" i="20"/>
  <c r="C86" i="11"/>
  <c r="C89" i="15"/>
  <c r="I90" i="20"/>
  <c r="H85" i="11"/>
  <c r="E90" i="20"/>
  <c r="D85" i="11"/>
  <c r="D88" i="15"/>
  <c r="J89" i="20"/>
  <c r="I84" i="11"/>
  <c r="F89" i="20"/>
  <c r="E84" i="11"/>
  <c r="E87" i="15"/>
  <c r="B89" i="20"/>
  <c r="DY88" i="9"/>
  <c r="B84" i="11"/>
  <c r="K84" s="1"/>
  <c r="B87" i="15"/>
  <c r="G88" i="20"/>
  <c r="F83" i="11"/>
  <c r="F86" i="15"/>
  <c r="H87" i="20"/>
  <c r="G82" i="11"/>
  <c r="G85" i="15"/>
  <c r="D87" i="20"/>
  <c r="C82" i="11"/>
  <c r="C85" i="15"/>
  <c r="I86" i="20"/>
  <c r="H81" i="11"/>
  <c r="E86" i="20"/>
  <c r="D81" i="11"/>
  <c r="D84" i="15"/>
  <c r="J85" i="20"/>
  <c r="I80" i="11"/>
  <c r="F85" i="20"/>
  <c r="E80" i="11"/>
  <c r="E83" i="15"/>
  <c r="B85" i="20"/>
  <c r="DY84" i="9"/>
  <c r="B80" i="11"/>
  <c r="K80" s="1"/>
  <c r="B83" i="15"/>
  <c r="G84" i="20"/>
  <c r="F79" i="11"/>
  <c r="F82" i="15"/>
  <c r="H83" i="20"/>
  <c r="G78" i="11"/>
  <c r="G81" i="15"/>
  <c r="D83" i="20"/>
  <c r="C78" i="11"/>
  <c r="C81" i="15"/>
  <c r="I82" i="20"/>
  <c r="H77" i="11"/>
  <c r="E82" i="20"/>
  <c r="D77" i="11"/>
  <c r="D80" i="15"/>
  <c r="J81" i="20"/>
  <c r="I76" i="11"/>
  <c r="F81" i="20"/>
  <c r="E76" i="11"/>
  <c r="E79" i="15"/>
  <c r="B81" i="20"/>
  <c r="DY80" i="9"/>
  <c r="B76" i="11"/>
  <c r="K76" s="1"/>
  <c r="B79" i="15"/>
  <c r="G80" i="20"/>
  <c r="F75" i="11"/>
  <c r="F78" i="15"/>
  <c r="H79" i="20"/>
  <c r="G74" i="11"/>
  <c r="G77" i="15"/>
  <c r="D79" i="20"/>
  <c r="C74" i="11"/>
  <c r="C77" i="15"/>
  <c r="I78" i="20"/>
  <c r="H73" i="11"/>
  <c r="E78" i="20"/>
  <c r="D73" i="11"/>
  <c r="D76" i="15"/>
  <c r="J77" i="20"/>
  <c r="I72" i="11"/>
  <c r="F77" i="20"/>
  <c r="E72" i="11"/>
  <c r="E75" i="15"/>
  <c r="B77" i="20"/>
  <c r="DY76" i="9"/>
  <c r="B72" i="11"/>
  <c r="K72" s="1"/>
  <c r="B75" i="15"/>
  <c r="G76" i="20"/>
  <c r="F71" i="11"/>
  <c r="F74" i="15"/>
  <c r="H75" i="20"/>
  <c r="G70" i="11"/>
  <c r="G73" i="15"/>
  <c r="D75" i="20"/>
  <c r="C70" i="11"/>
  <c r="C73" i="15"/>
  <c r="I74" i="20"/>
  <c r="H69" i="11"/>
  <c r="E74" i="20"/>
  <c r="D69" i="11"/>
  <c r="D72" i="15"/>
  <c r="J73" i="20"/>
  <c r="I68" i="11"/>
  <c r="F73" i="20"/>
  <c r="E68" i="11"/>
  <c r="E71" i="15"/>
  <c r="B73" i="20"/>
  <c r="DY72" i="9"/>
  <c r="B68" i="11"/>
  <c r="K68" s="1"/>
  <c r="B71" i="15"/>
  <c r="G72" i="20"/>
  <c r="F67" i="11"/>
  <c r="F70" i="15"/>
  <c r="H71" i="20"/>
  <c r="G66" i="11"/>
  <c r="G69" i="15"/>
  <c r="D71" i="20"/>
  <c r="C66" i="11"/>
  <c r="C69" i="15"/>
  <c r="I70" i="20"/>
  <c r="H65" i="11"/>
  <c r="E70" i="20"/>
  <c r="D65" i="11"/>
  <c r="D68" i="15"/>
  <c r="J69" i="20"/>
  <c r="I64" i="11"/>
  <c r="F69" i="20"/>
  <c r="E64" i="11"/>
  <c r="E67" i="15"/>
  <c r="B69" i="20"/>
  <c r="DY68" i="9"/>
  <c r="B64" i="11"/>
  <c r="K64" s="1"/>
  <c r="B67" i="15"/>
  <c r="G68" i="20"/>
  <c r="F63" i="11"/>
  <c r="F66" i="15"/>
  <c r="H67" i="20"/>
  <c r="G62" i="11"/>
  <c r="G65" i="15"/>
  <c r="D67" i="20"/>
  <c r="C62" i="11"/>
  <c r="C65" i="15"/>
  <c r="I66" i="20"/>
  <c r="H61" i="11"/>
  <c r="E66" i="20"/>
  <c r="D61" i="11"/>
  <c r="D64" i="15"/>
  <c r="J65" i="20"/>
  <c r="I60" i="11"/>
  <c r="F65" i="20"/>
  <c r="E60" i="11"/>
  <c r="E63" i="15"/>
  <c r="B65" i="20"/>
  <c r="DY64" i="9"/>
  <c r="B60" i="11"/>
  <c r="K60" s="1"/>
  <c r="B63" i="15"/>
  <c r="G64" i="20"/>
  <c r="F59" i="11"/>
  <c r="F62" i="15"/>
  <c r="H63" i="20"/>
  <c r="G58" i="11"/>
  <c r="G61" i="15"/>
  <c r="D63" i="20"/>
  <c r="C58" i="11"/>
  <c r="C61" i="15"/>
  <c r="I62" i="20"/>
  <c r="H57" i="11"/>
  <c r="E62" i="20"/>
  <c r="D57" i="11"/>
  <c r="D60" i="15"/>
  <c r="J61" i="20"/>
  <c r="I56" i="11"/>
  <c r="F61" i="20"/>
  <c r="E56" i="11"/>
  <c r="E59" i="15"/>
  <c r="B61" i="20"/>
  <c r="DY60" i="9"/>
  <c r="B56" i="11"/>
  <c r="K56" s="1"/>
  <c r="B59" i="15"/>
  <c r="G60" i="20"/>
  <c r="F55" i="11"/>
  <c r="F58" i="15"/>
  <c r="H59" i="20"/>
  <c r="G54" i="11"/>
  <c r="G57" i="15"/>
  <c r="D59" i="20"/>
  <c r="C54" i="11"/>
  <c r="C57" i="15"/>
  <c r="I58" i="20"/>
  <c r="H53" i="11"/>
  <c r="E58" i="20"/>
  <c r="D53" i="11"/>
  <c r="D56" i="15"/>
  <c r="J57" i="20"/>
  <c r="I52" i="11"/>
  <c r="F57" i="20"/>
  <c r="E52" i="11"/>
  <c r="E55" i="15"/>
  <c r="B57" i="20"/>
  <c r="DY56" i="9"/>
  <c r="B52" i="11"/>
  <c r="K52" s="1"/>
  <c r="B55" i="15"/>
  <c r="G56" i="20"/>
  <c r="F51" i="11"/>
  <c r="F54" i="15"/>
  <c r="H55" i="20"/>
  <c r="G50" i="11"/>
  <c r="G53" i="15"/>
  <c r="D55" i="20"/>
  <c r="C50" i="11"/>
  <c r="C53" i="15"/>
  <c r="I54" i="20"/>
  <c r="H49" i="11"/>
  <c r="E54" i="20"/>
  <c r="D49" i="11"/>
  <c r="D52" i="15"/>
  <c r="J53" i="20"/>
  <c r="I48" i="11"/>
  <c r="F53" i="20"/>
  <c r="E48" i="11"/>
  <c r="E51" i="15"/>
  <c r="FF52" i="9"/>
  <c r="B53" i="20"/>
  <c r="DY52" i="9"/>
  <c r="B48" i="11"/>
  <c r="K48" s="1"/>
  <c r="B51" i="15"/>
  <c r="G52" i="20"/>
  <c r="F47" i="11"/>
  <c r="F50" i="15"/>
  <c r="H51" i="20"/>
  <c r="G46" i="11"/>
  <c r="G49" i="15"/>
  <c r="D51" i="20"/>
  <c r="C46" i="11"/>
  <c r="C49" i="15"/>
  <c r="I50" i="20"/>
  <c r="H45" i="11"/>
  <c r="E50" i="20"/>
  <c r="D45" i="11"/>
  <c r="D48" i="15"/>
  <c r="J49" i="20"/>
  <c r="I44" i="11"/>
  <c r="F49" i="20"/>
  <c r="E44" i="11"/>
  <c r="E47" i="15"/>
  <c r="FF48" i="9"/>
  <c r="B49" i="20"/>
  <c r="DY48" i="9"/>
  <c r="B44" i="11"/>
  <c r="K44" s="1"/>
  <c r="B47" i="15"/>
  <c r="G48" i="20"/>
  <c r="F43" i="11"/>
  <c r="F46" i="15"/>
  <c r="H47" i="20"/>
  <c r="G42" i="11"/>
  <c r="G45" i="15"/>
  <c r="D47" i="20"/>
  <c r="C42" i="11"/>
  <c r="C45" i="15"/>
  <c r="I46" i="20"/>
  <c r="H41" i="11"/>
  <c r="E46" i="20"/>
  <c r="D41" i="11"/>
  <c r="D44" i="15"/>
  <c r="J45" i="20"/>
  <c r="I40" i="11"/>
  <c r="F45" i="20"/>
  <c r="E40" i="11"/>
  <c r="E43" i="15"/>
  <c r="B45" i="20"/>
  <c r="DY44" i="9"/>
  <c r="B40" i="11"/>
  <c r="K40" s="1"/>
  <c r="B43" i="15"/>
  <c r="G44" i="20"/>
  <c r="F39" i="11"/>
  <c r="F42" i="15"/>
  <c r="H43" i="20"/>
  <c r="G38" i="11"/>
  <c r="G41" i="15"/>
  <c r="D43" i="20"/>
  <c r="C38" i="11"/>
  <c r="C41" i="15"/>
  <c r="I42" i="20"/>
  <c r="H37" i="11"/>
  <c r="E42" i="20"/>
  <c r="D37" i="11"/>
  <c r="D40" i="15"/>
  <c r="J41" i="20"/>
  <c r="I36" i="11"/>
  <c r="F41" i="20"/>
  <c r="E36" i="11"/>
  <c r="E39" i="15"/>
  <c r="B41" i="20"/>
  <c r="DY40" i="9"/>
  <c r="B36" i="11"/>
  <c r="K36" s="1"/>
  <c r="B39" i="15"/>
  <c r="G40" i="20"/>
  <c r="F35" i="11"/>
  <c r="F38" i="15"/>
  <c r="H39" i="20"/>
  <c r="G34" i="11"/>
  <c r="G37" i="15"/>
  <c r="D39" i="20"/>
  <c r="C34" i="11"/>
  <c r="C37" i="15"/>
  <c r="I38" i="20"/>
  <c r="H33" i="11"/>
  <c r="E38" i="20"/>
  <c r="D33" i="11"/>
  <c r="D36" i="15"/>
  <c r="J37" i="20"/>
  <c r="I32" i="11"/>
  <c r="F37" i="20"/>
  <c r="E32" i="11"/>
  <c r="E35" i="15"/>
  <c r="B37" i="20"/>
  <c r="DY36" i="9"/>
  <c r="B32" i="11"/>
  <c r="K32" s="1"/>
  <c r="B35" i="15"/>
  <c r="G36" i="20"/>
  <c r="F31" i="11"/>
  <c r="F34" i="15"/>
  <c r="H35" i="20"/>
  <c r="G30" i="11"/>
  <c r="G33" i="15"/>
  <c r="D35" i="20"/>
  <c r="C30" i="11"/>
  <c r="C33" i="15"/>
  <c r="I34" i="20"/>
  <c r="H29" i="11"/>
  <c r="E34" i="20"/>
  <c r="D29" i="11"/>
  <c r="D32" i="15"/>
  <c r="J33" i="20"/>
  <c r="I28" i="11"/>
  <c r="F33" i="20"/>
  <c r="E28" i="11"/>
  <c r="E31" i="15"/>
  <c r="B33" i="20"/>
  <c r="DY32" i="9"/>
  <c r="B28" i="11"/>
  <c r="K28" s="1"/>
  <c r="B31" i="15"/>
  <c r="G32" i="20"/>
  <c r="F27" i="11"/>
  <c r="F30" i="15"/>
  <c r="H31" i="20"/>
  <c r="G26" i="11"/>
  <c r="G29" i="15"/>
  <c r="D31" i="20"/>
  <c r="C26" i="11"/>
  <c r="C29" i="15"/>
  <c r="I30" i="20"/>
  <c r="H25" i="11"/>
  <c r="E30" i="20"/>
  <c r="D25" i="11"/>
  <c r="D28" i="15"/>
  <c r="J29" i="20"/>
  <c r="I24" i="11"/>
  <c r="F29" i="20"/>
  <c r="E24" i="11"/>
  <c r="E27" i="15"/>
  <c r="B29" i="20"/>
  <c r="DY28" i="9"/>
  <c r="B24" i="11"/>
  <c r="K24" s="1"/>
  <c r="B27" i="15"/>
  <c r="G28" i="20"/>
  <c r="F23" i="11"/>
  <c r="F26" i="15"/>
  <c r="H27" i="20"/>
  <c r="G22" i="11"/>
  <c r="G25" i="15"/>
  <c r="D27" i="20"/>
  <c r="C22" i="11"/>
  <c r="C25" i="15"/>
  <c r="I26" i="20"/>
  <c r="H21" i="11"/>
  <c r="E26" i="20"/>
  <c r="D21" i="11"/>
  <c r="D24" i="15"/>
  <c r="J25" i="20"/>
  <c r="I20" i="11"/>
  <c r="F25" i="20"/>
  <c r="E20" i="11"/>
  <c r="E23" i="15"/>
  <c r="B25" i="20"/>
  <c r="DY24" i="9"/>
  <c r="B20" i="11"/>
  <c r="K20" s="1"/>
  <c r="B23" i="15"/>
  <c r="G24" i="20"/>
  <c r="F19" i="11"/>
  <c r="F22" i="15"/>
  <c r="H23" i="20"/>
  <c r="G18" i="11"/>
  <c r="G21" i="15"/>
  <c r="D23" i="20"/>
  <c r="C18" i="11"/>
  <c r="C21" i="15"/>
  <c r="I22" i="20"/>
  <c r="H17" i="11"/>
  <c r="E22" i="20"/>
  <c r="D17" i="11"/>
  <c r="D20" i="15"/>
  <c r="J21" i="20"/>
  <c r="I16" i="11"/>
  <c r="F21" i="20"/>
  <c r="E16" i="11"/>
  <c r="E19" i="15"/>
  <c r="B21" i="20"/>
  <c r="DY20" i="9"/>
  <c r="B16" i="11"/>
  <c r="K16" s="1"/>
  <c r="B19" i="15"/>
  <c r="G20" i="20"/>
  <c r="F15" i="11"/>
  <c r="F18" i="15"/>
  <c r="H19" i="20"/>
  <c r="G14" i="11"/>
  <c r="G17" i="15"/>
  <c r="D19" i="20"/>
  <c r="C14" i="11"/>
  <c r="C17" i="15"/>
  <c r="I18" i="20"/>
  <c r="H13" i="11"/>
  <c r="E18" i="20"/>
  <c r="D13" i="11"/>
  <c r="D16" i="15"/>
  <c r="J17" i="20"/>
  <c r="I12" i="11"/>
  <c r="F17" i="20"/>
  <c r="E12" i="11"/>
  <c r="E15" i="15"/>
  <c r="B17" i="20"/>
  <c r="DY16" i="9"/>
  <c r="B12" i="11"/>
  <c r="B15" i="15"/>
  <c r="G16" i="20"/>
  <c r="F11" i="11"/>
  <c r="F14" i="15"/>
  <c r="H15" i="20"/>
  <c r="G10" i="11"/>
  <c r="G13" i="15"/>
  <c r="D15" i="20"/>
  <c r="C10" i="11"/>
  <c r="C13" i="15"/>
  <c r="I14" i="20"/>
  <c r="H9" i="11"/>
  <c r="E14" i="20"/>
  <c r="D9" i="11"/>
  <c r="D12" i="15"/>
  <c r="J13" i="20"/>
  <c r="I8" i="11"/>
  <c r="F13" i="20"/>
  <c r="E8" i="11"/>
  <c r="E11" i="15"/>
  <c r="B13" i="20"/>
  <c r="B8" i="11"/>
  <c r="B11" i="15"/>
  <c r="G12" i="20"/>
  <c r="F7" i="11"/>
  <c r="F10" i="15"/>
  <c r="H11" i="20"/>
  <c r="G6" i="11"/>
  <c r="G9" i="15"/>
  <c r="D11" i="20"/>
  <c r="C6" i="11"/>
  <c r="C9" i="15"/>
  <c r="F138" i="20"/>
  <c r="E133" i="11"/>
  <c r="E136" i="15"/>
  <c r="B138" i="20"/>
  <c r="DY137" i="9"/>
  <c r="B133" i="11"/>
  <c r="K133" s="1"/>
  <c r="B136" i="15"/>
  <c r="G137" i="20"/>
  <c r="F132" i="11"/>
  <c r="F135" i="15"/>
  <c r="H136" i="20"/>
  <c r="G131" i="11"/>
  <c r="G134" i="15"/>
  <c r="D136" i="20"/>
  <c r="C131" i="11"/>
  <c r="C134" i="15"/>
  <c r="I135" i="20"/>
  <c r="H130" i="11"/>
  <c r="E135" i="20"/>
  <c r="D130" i="11"/>
  <c r="D133" i="15"/>
  <c r="J134" i="20"/>
  <c r="I129" i="11"/>
  <c r="F134" i="20"/>
  <c r="E129" i="11"/>
  <c r="E132" i="15"/>
  <c r="B134" i="20"/>
  <c r="DY133" i="9"/>
  <c r="B129" i="11"/>
  <c r="K129" s="1"/>
  <c r="B132" i="15"/>
  <c r="G133" i="20"/>
  <c r="F128" i="11"/>
  <c r="F131" i="15"/>
  <c r="H132" i="20"/>
  <c r="G127" i="11"/>
  <c r="G130" i="15"/>
  <c r="D132" i="20"/>
  <c r="C127" i="11"/>
  <c r="C130" i="15"/>
  <c r="I131" i="20"/>
  <c r="H126" i="11"/>
  <c r="E131" i="20"/>
  <c r="D126" i="11"/>
  <c r="D129" i="15"/>
  <c r="J130" i="20"/>
  <c r="I125" i="11"/>
  <c r="F130" i="20"/>
  <c r="E125" i="11"/>
  <c r="E128" i="15"/>
  <c r="B130" i="20"/>
  <c r="DY129" i="9"/>
  <c r="B125" i="11"/>
  <c r="K125" s="1"/>
  <c r="B128" i="15"/>
  <c r="G129" i="20"/>
  <c r="F124" i="11"/>
  <c r="F127" i="15"/>
  <c r="H128" i="20"/>
  <c r="G123" i="11"/>
  <c r="G126" i="15"/>
  <c r="D128" i="20"/>
  <c r="C123" i="11"/>
  <c r="C126" i="15"/>
  <c r="I127" i="20"/>
  <c r="H122" i="11"/>
  <c r="E127" i="20"/>
  <c r="D122" i="11"/>
  <c r="D125" i="15"/>
  <c r="J126" i="20"/>
  <c r="I121" i="11"/>
  <c r="F126" i="20"/>
  <c r="E121" i="11"/>
  <c r="E124" i="15"/>
  <c r="B126" i="20"/>
  <c r="DY125" i="9"/>
  <c r="B121" i="11"/>
  <c r="K121" s="1"/>
  <c r="B124" i="15"/>
  <c r="G125" i="20"/>
  <c r="F120" i="11"/>
  <c r="F123" i="15"/>
  <c r="H124" i="20"/>
  <c r="G119" i="11"/>
  <c r="G122" i="15"/>
  <c r="D124" i="20"/>
  <c r="C119" i="11"/>
  <c r="C122" i="15"/>
  <c r="I123" i="20"/>
  <c r="H118" i="11"/>
  <c r="E123" i="20"/>
  <c r="D118" i="11"/>
  <c r="D121" i="15"/>
  <c r="J122" i="20"/>
  <c r="I117" i="11"/>
  <c r="F122" i="20"/>
  <c r="E117" i="11"/>
  <c r="E120" i="15"/>
  <c r="B122" i="20"/>
  <c r="DY121" i="9"/>
  <c r="B117" i="11"/>
  <c r="K117" s="1"/>
  <c r="B120" i="15"/>
  <c r="G121" i="20"/>
  <c r="F116" i="11"/>
  <c r="F119" i="15"/>
  <c r="H120" i="20"/>
  <c r="G115" i="11"/>
  <c r="G118" i="15"/>
  <c r="D120" i="20"/>
  <c r="C115" i="11"/>
  <c r="C118" i="15"/>
  <c r="I119" i="20"/>
  <c r="H114" i="11"/>
  <c r="E119" i="20"/>
  <c r="D114" i="11"/>
  <c r="D117" i="15"/>
  <c r="J118" i="20"/>
  <c r="I113" i="11"/>
  <c r="F118" i="20"/>
  <c r="E113" i="11"/>
  <c r="E116" i="15"/>
  <c r="B118" i="20"/>
  <c r="DY117" i="9"/>
  <c r="B113" i="11"/>
  <c r="K113" s="1"/>
  <c r="B116" i="15"/>
  <c r="G117" i="20"/>
  <c r="F112" i="11"/>
  <c r="F115" i="15"/>
  <c r="H116" i="20"/>
  <c r="G111" i="11"/>
  <c r="G114" i="15"/>
  <c r="D116" i="20"/>
  <c r="C111" i="11"/>
  <c r="C114" i="15"/>
  <c r="I115" i="20"/>
  <c r="H110" i="11"/>
  <c r="E115" i="20"/>
  <c r="D110" i="11"/>
  <c r="D113" i="15"/>
  <c r="J114" i="20"/>
  <c r="I109" i="11"/>
  <c r="F114" i="20"/>
  <c r="E109" i="11"/>
  <c r="E112" i="15"/>
  <c r="B114" i="20"/>
  <c r="DY113" i="9"/>
  <c r="B109" i="11"/>
  <c r="K109" s="1"/>
  <c r="B112" i="15"/>
  <c r="G113" i="20"/>
  <c r="F108" i="11"/>
  <c r="F111" i="15"/>
  <c r="H112" i="20"/>
  <c r="G107" i="11"/>
  <c r="G110" i="15"/>
  <c r="D112" i="20"/>
  <c r="C107" i="11"/>
  <c r="C110" i="15"/>
  <c r="I111" i="20"/>
  <c r="H106" i="11"/>
  <c r="E111" i="20"/>
  <c r="D106" i="11"/>
  <c r="D109" i="15"/>
  <c r="J110" i="20"/>
  <c r="I105" i="11"/>
  <c r="F110" i="20"/>
  <c r="E105" i="11"/>
  <c r="E108" i="15"/>
  <c r="B110" i="20"/>
  <c r="DY109" i="9"/>
  <c r="B105" i="11"/>
  <c r="K105" s="1"/>
  <c r="B108" i="15"/>
  <c r="G109" i="20"/>
  <c r="F104" i="11"/>
  <c r="F107" i="15"/>
  <c r="H108" i="20"/>
  <c r="G103" i="11"/>
  <c r="G106" i="15"/>
  <c r="D108" i="20"/>
  <c r="C103" i="11"/>
  <c r="C106" i="15"/>
  <c r="I107" i="20"/>
  <c r="H102" i="11"/>
  <c r="E107" i="20"/>
  <c r="D102" i="11"/>
  <c r="D105" i="15"/>
  <c r="J106" i="20"/>
  <c r="I101" i="11"/>
  <c r="F106" i="20"/>
  <c r="E101" i="11"/>
  <c r="E104" i="15"/>
  <c r="B106" i="20"/>
  <c r="DY105" i="9"/>
  <c r="B101" i="11"/>
  <c r="K101" s="1"/>
  <c r="B104" i="15"/>
  <c r="G105" i="20"/>
  <c r="F100" i="11"/>
  <c r="F103" i="15"/>
  <c r="H104" i="20"/>
  <c r="G99" i="11"/>
  <c r="G102" i="15"/>
  <c r="D104" i="20"/>
  <c r="C99" i="11"/>
  <c r="C102" i="15"/>
  <c r="I103" i="20"/>
  <c r="H98" i="11"/>
  <c r="E103" i="20"/>
  <c r="D98" i="11"/>
  <c r="D101" i="15"/>
  <c r="J102" i="20"/>
  <c r="I97" i="11"/>
  <c r="F102" i="20"/>
  <c r="E97" i="11"/>
  <c r="E100" i="15"/>
  <c r="B102" i="20"/>
  <c r="DY101" i="9"/>
  <c r="B97" i="11"/>
  <c r="K97" s="1"/>
  <c r="B100" i="15"/>
  <c r="G101" i="20"/>
  <c r="F96" i="11"/>
  <c r="F99" i="15"/>
  <c r="H100" i="20"/>
  <c r="G95" i="11"/>
  <c r="G98" i="15"/>
  <c r="D100" i="20"/>
  <c r="C95" i="11"/>
  <c r="C98" i="15"/>
  <c r="I99" i="20"/>
  <c r="H94" i="11"/>
  <c r="E99" i="20"/>
  <c r="D94" i="11"/>
  <c r="D97" i="15"/>
  <c r="J98" i="20"/>
  <c r="I93" i="11"/>
  <c r="F98" i="20"/>
  <c r="E93" i="11"/>
  <c r="E96" i="15"/>
  <c r="B98" i="20"/>
  <c r="DY97" i="9"/>
  <c r="B93" i="11"/>
  <c r="K93" s="1"/>
  <c r="B96" i="15"/>
  <c r="G97" i="20"/>
  <c r="F92" i="11"/>
  <c r="F95" i="15"/>
  <c r="H96" i="20"/>
  <c r="G91" i="11"/>
  <c r="G94" i="15"/>
  <c r="D96" i="20"/>
  <c r="C91" i="11"/>
  <c r="C94" i="15"/>
  <c r="I95" i="20"/>
  <c r="H90" i="11"/>
  <c r="E95" i="20"/>
  <c r="D90" i="11"/>
  <c r="D93" i="15"/>
  <c r="J94" i="20"/>
  <c r="I89" i="11"/>
  <c r="F94" i="20"/>
  <c r="E89" i="11"/>
  <c r="E92" i="15"/>
  <c r="B94" i="20"/>
  <c r="DY93" i="9"/>
  <c r="B89" i="11"/>
  <c r="K89" s="1"/>
  <c r="B92" i="15"/>
  <c r="G93" i="20"/>
  <c r="F88" i="11"/>
  <c r="F91" i="15"/>
  <c r="H92" i="20"/>
  <c r="G87" i="11"/>
  <c r="G90" i="15"/>
  <c r="D92" i="20"/>
  <c r="C87" i="11"/>
  <c r="C90" i="15"/>
  <c r="I91" i="20"/>
  <c r="H86" i="11"/>
  <c r="E91" i="20"/>
  <c r="D86" i="11"/>
  <c r="D89" i="15"/>
  <c r="J90" i="20"/>
  <c r="I85" i="11"/>
  <c r="F90" i="20"/>
  <c r="E85" i="11"/>
  <c r="E88" i="15"/>
  <c r="B90" i="20"/>
  <c r="DY89" i="9"/>
  <c r="B85" i="11"/>
  <c r="K85" s="1"/>
  <c r="B88" i="15"/>
  <c r="G89" i="20"/>
  <c r="F84" i="11"/>
  <c r="F87" i="15"/>
  <c r="H88" i="20"/>
  <c r="G83" i="11"/>
  <c r="G86" i="15"/>
  <c r="D88" i="20"/>
  <c r="C83" i="11"/>
  <c r="C86" i="15"/>
  <c r="I87" i="20"/>
  <c r="H82" i="11"/>
  <c r="E87" i="20"/>
  <c r="D82" i="11"/>
  <c r="D85" i="15"/>
  <c r="J86" i="20"/>
  <c r="I81" i="11"/>
  <c r="F86" i="20"/>
  <c r="E81" i="11"/>
  <c r="E84" i="15"/>
  <c r="B86" i="20"/>
  <c r="DY85" i="9"/>
  <c r="B81" i="11"/>
  <c r="K81" s="1"/>
  <c r="B84" i="15"/>
  <c r="G85" i="20"/>
  <c r="F80" i="11"/>
  <c r="F83" i="15"/>
  <c r="H84" i="20"/>
  <c r="G79" i="11"/>
  <c r="G82" i="15"/>
  <c r="D84" i="20"/>
  <c r="C79" i="11"/>
  <c r="C82" i="15"/>
  <c r="I83" i="20"/>
  <c r="H78" i="11"/>
  <c r="E83" i="20"/>
  <c r="D78" i="11"/>
  <c r="D81" i="15"/>
  <c r="J82" i="20"/>
  <c r="I77" i="11"/>
  <c r="F82" i="20"/>
  <c r="E77" i="11"/>
  <c r="E80" i="15"/>
  <c r="B82" i="20"/>
  <c r="DY81" i="9"/>
  <c r="B77" i="11"/>
  <c r="K77" s="1"/>
  <c r="B80" i="15"/>
  <c r="G81" i="20"/>
  <c r="F76" i="11"/>
  <c r="F79" i="15"/>
  <c r="H80" i="20"/>
  <c r="G75" i="11"/>
  <c r="G78" i="15"/>
  <c r="D80" i="20"/>
  <c r="C75" i="11"/>
  <c r="C78" i="15"/>
  <c r="I79" i="20"/>
  <c r="H74" i="11"/>
  <c r="E79" i="20"/>
  <c r="D74" i="11"/>
  <c r="D77" i="15"/>
  <c r="J78" i="20"/>
  <c r="I73" i="11"/>
  <c r="F78" i="20"/>
  <c r="E73" i="11"/>
  <c r="E76" i="15"/>
  <c r="B78" i="20"/>
  <c r="DY77" i="9"/>
  <c r="B73" i="11"/>
  <c r="K73" s="1"/>
  <c r="B76" i="15"/>
  <c r="G77" i="20"/>
  <c r="F72" i="11"/>
  <c r="F75" i="15"/>
  <c r="H76" i="20"/>
  <c r="G71" i="11"/>
  <c r="G74" i="15"/>
  <c r="D76" i="20"/>
  <c r="C71" i="11"/>
  <c r="C74" i="15"/>
  <c r="I75" i="20"/>
  <c r="H70" i="11"/>
  <c r="E75" i="20"/>
  <c r="D70" i="11"/>
  <c r="D73" i="15"/>
  <c r="J74" i="20"/>
  <c r="I69" i="11"/>
  <c r="F74" i="20"/>
  <c r="E69" i="11"/>
  <c r="E72" i="15"/>
  <c r="B74" i="20"/>
  <c r="DY73" i="9"/>
  <c r="B69" i="11"/>
  <c r="K69" s="1"/>
  <c r="B72" i="15"/>
  <c r="G73" i="20"/>
  <c r="F68" i="11"/>
  <c r="F71" i="15"/>
  <c r="H72" i="20"/>
  <c r="G67" i="11"/>
  <c r="G70" i="15"/>
  <c r="D72" i="20"/>
  <c r="C67" i="11"/>
  <c r="C70" i="15"/>
  <c r="I71" i="20"/>
  <c r="H66" i="11"/>
  <c r="E71" i="20"/>
  <c r="D66" i="11"/>
  <c r="D69" i="15"/>
  <c r="J70" i="20"/>
  <c r="I65" i="11"/>
  <c r="F70" i="20"/>
  <c r="E65" i="11"/>
  <c r="E68" i="15"/>
  <c r="B70" i="20"/>
  <c r="DY69" i="9"/>
  <c r="B65" i="11"/>
  <c r="K65" s="1"/>
  <c r="B68" i="15"/>
  <c r="G69" i="20"/>
  <c r="F64" i="11"/>
  <c r="F67" i="15"/>
  <c r="H68" i="20"/>
  <c r="G63" i="11"/>
  <c r="G66" i="15"/>
  <c r="D68" i="20"/>
  <c r="C63" i="11"/>
  <c r="C66" i="15"/>
  <c r="I67" i="20"/>
  <c r="H62" i="11"/>
  <c r="E67" i="20"/>
  <c r="D62" i="11"/>
  <c r="D65" i="15"/>
  <c r="J66" i="20"/>
  <c r="I61" i="11"/>
  <c r="F66" i="20"/>
  <c r="E61" i="11"/>
  <c r="E64" i="15"/>
  <c r="B66" i="20"/>
  <c r="DY65" i="9"/>
  <c r="B61" i="11"/>
  <c r="K61" s="1"/>
  <c r="B64" i="15"/>
  <c r="G65" i="20"/>
  <c r="F60" i="11"/>
  <c r="F63" i="15"/>
  <c r="H64" i="20"/>
  <c r="G59" i="11"/>
  <c r="G62" i="15"/>
  <c r="D64" i="20"/>
  <c r="C59" i="11"/>
  <c r="C62" i="15"/>
  <c r="I63" i="20"/>
  <c r="H58" i="11"/>
  <c r="E63" i="20"/>
  <c r="D58" i="11"/>
  <c r="D61" i="15"/>
  <c r="J62" i="20"/>
  <c r="I57" i="11"/>
  <c r="F62" i="20"/>
  <c r="E57" i="11"/>
  <c r="E60" i="15"/>
  <c r="B62" i="20"/>
  <c r="DY61" i="9"/>
  <c r="B57" i="11"/>
  <c r="K57" s="1"/>
  <c r="B60" i="15"/>
  <c r="G61" i="20"/>
  <c r="F56" i="11"/>
  <c r="F59" i="15"/>
  <c r="H60" i="20"/>
  <c r="G55" i="11"/>
  <c r="G58" i="15"/>
  <c r="D60" i="20"/>
  <c r="C55" i="11"/>
  <c r="C58" i="15"/>
  <c r="I59" i="20"/>
  <c r="H54" i="11"/>
  <c r="E59" i="20"/>
  <c r="D54" i="11"/>
  <c r="D57" i="15"/>
  <c r="J58" i="20"/>
  <c r="I53" i="11"/>
  <c r="F58" i="20"/>
  <c r="E53" i="11"/>
  <c r="E56" i="15"/>
  <c r="B58" i="20"/>
  <c r="DY57" i="9"/>
  <c r="B53" i="11"/>
  <c r="K53" s="1"/>
  <c r="B56" i="15"/>
  <c r="G57" i="20"/>
  <c r="F52" i="11"/>
  <c r="F55" i="15"/>
  <c r="H56" i="20"/>
  <c r="G51" i="11"/>
  <c r="G54" i="15"/>
  <c r="D56" i="20"/>
  <c r="C51" i="11"/>
  <c r="C54" i="15"/>
  <c r="I55" i="20"/>
  <c r="H50" i="11"/>
  <c r="E55" i="20"/>
  <c r="D50" i="11"/>
  <c r="D53" i="15"/>
  <c r="J54" i="20"/>
  <c r="I49" i="11"/>
  <c r="F54" i="20"/>
  <c r="E49" i="11"/>
  <c r="E52" i="15"/>
  <c r="B54" i="20"/>
  <c r="DY53" i="9"/>
  <c r="B49" i="11"/>
  <c r="K49" s="1"/>
  <c r="B52" i="15"/>
  <c r="G53" i="20"/>
  <c r="F48" i="11"/>
  <c r="F51" i="15"/>
  <c r="H52" i="20"/>
  <c r="G47" i="11"/>
  <c r="G50" i="15"/>
  <c r="D52" i="20"/>
  <c r="C47" i="11"/>
  <c r="C50" i="15"/>
  <c r="I51" i="20"/>
  <c r="H46" i="11"/>
  <c r="E51" i="20"/>
  <c r="D46" i="11"/>
  <c r="D49" i="15"/>
  <c r="J50" i="20"/>
  <c r="I45" i="11"/>
  <c r="F50" i="20"/>
  <c r="E45" i="11"/>
  <c r="E48" i="15"/>
  <c r="B50" i="20"/>
  <c r="DY49" i="9"/>
  <c r="B45" i="11"/>
  <c r="K45" s="1"/>
  <c r="B48" i="15"/>
  <c r="G49" i="20"/>
  <c r="F44" i="11"/>
  <c r="F47" i="15"/>
  <c r="H48" i="20"/>
  <c r="G43" i="11"/>
  <c r="G46" i="15"/>
  <c r="D48" i="20"/>
  <c r="C43" i="11"/>
  <c r="C46" i="15"/>
  <c r="I47" i="20"/>
  <c r="H42" i="11"/>
  <c r="E47" i="20"/>
  <c r="D42" i="11"/>
  <c r="D45" i="15"/>
  <c r="J46" i="20"/>
  <c r="I41" i="11"/>
  <c r="F46" i="20"/>
  <c r="E41" i="11"/>
  <c r="E44" i="15"/>
  <c r="B46" i="20"/>
  <c r="DY45" i="9"/>
  <c r="B41" i="11"/>
  <c r="K41" s="1"/>
  <c r="B44" i="15"/>
  <c r="G45" i="20"/>
  <c r="F40" i="11"/>
  <c r="F43" i="15"/>
  <c r="H44" i="20"/>
  <c r="G39" i="11"/>
  <c r="G42" i="15"/>
  <c r="D44" i="20"/>
  <c r="C39" i="11"/>
  <c r="C42" i="15"/>
  <c r="I43" i="20"/>
  <c r="H38" i="11"/>
  <c r="E43" i="20"/>
  <c r="D38" i="11"/>
  <c r="D41" i="15"/>
  <c r="J42" i="20"/>
  <c r="I37" i="11"/>
  <c r="F42" i="20"/>
  <c r="E37" i="11"/>
  <c r="E40" i="15"/>
  <c r="B42" i="20"/>
  <c r="DY41" i="9"/>
  <c r="B37" i="11"/>
  <c r="K37" s="1"/>
  <c r="B40" i="15"/>
  <c r="G41" i="20"/>
  <c r="F36" i="11"/>
  <c r="F39" i="15"/>
  <c r="H40" i="20"/>
  <c r="G35" i="11"/>
  <c r="G38" i="15"/>
  <c r="D40" i="20"/>
  <c r="C35" i="11"/>
  <c r="C38" i="15"/>
  <c r="I39" i="20"/>
  <c r="H34" i="11"/>
  <c r="E39" i="20"/>
  <c r="D34" i="11"/>
  <c r="D37" i="15"/>
  <c r="J38" i="20"/>
  <c r="I33" i="11"/>
  <c r="F38" i="20"/>
  <c r="E33" i="11"/>
  <c r="E36" i="15"/>
  <c r="B38" i="20"/>
  <c r="DY37" i="9"/>
  <c r="B33" i="11"/>
  <c r="K33" s="1"/>
  <c r="B36" i="15"/>
  <c r="G37" i="20"/>
  <c r="F32" i="11"/>
  <c r="F35" i="15"/>
  <c r="H36" i="20"/>
  <c r="G31" i="11"/>
  <c r="G34" i="15"/>
  <c r="D36" i="20"/>
  <c r="C31" i="11"/>
  <c r="C34" i="15"/>
  <c r="I35" i="20"/>
  <c r="H30" i="11"/>
  <c r="E35" i="20"/>
  <c r="D30" i="11"/>
  <c r="D33" i="15"/>
  <c r="J34" i="20"/>
  <c r="I29" i="11"/>
  <c r="F34" i="20"/>
  <c r="E29" i="11"/>
  <c r="E32" i="15"/>
  <c r="B34" i="20"/>
  <c r="DY33" i="9"/>
  <c r="B29" i="11"/>
  <c r="K29" s="1"/>
  <c r="B32" i="15"/>
  <c r="G33" i="20"/>
  <c r="F28" i="11"/>
  <c r="F31" i="15"/>
  <c r="H32" i="20"/>
  <c r="G27" i="11"/>
  <c r="G30" i="15"/>
  <c r="D32" i="20"/>
  <c r="C27" i="11"/>
  <c r="C30" i="15"/>
  <c r="I31" i="20"/>
  <c r="H26" i="11"/>
  <c r="E31" i="20"/>
  <c r="D26" i="11"/>
  <c r="D29" i="15"/>
  <c r="J30" i="20"/>
  <c r="I25" i="11"/>
  <c r="F30" i="20"/>
  <c r="E25" i="11"/>
  <c r="E28" i="15"/>
  <c r="B30" i="20"/>
  <c r="DY29" i="9"/>
  <c r="B25" i="11"/>
  <c r="K25" s="1"/>
  <c r="B28" i="15"/>
  <c r="G29" i="20"/>
  <c r="F24" i="11"/>
  <c r="F27" i="15"/>
  <c r="H28" i="20"/>
  <c r="G23" i="11"/>
  <c r="G26" i="15"/>
  <c r="D28" i="20"/>
  <c r="C23" i="11"/>
  <c r="C26" i="15"/>
  <c r="I27" i="20"/>
  <c r="H22" i="11"/>
  <c r="E27" i="20"/>
  <c r="D22" i="11"/>
  <c r="D25" i="15"/>
  <c r="J26" i="20"/>
  <c r="I21" i="11"/>
  <c r="F26" i="20"/>
  <c r="E21" i="11"/>
  <c r="E24" i="15"/>
  <c r="B26" i="20"/>
  <c r="DY25" i="9"/>
  <c r="B21" i="11"/>
  <c r="K21" s="1"/>
  <c r="B24" i="15"/>
  <c r="G25" i="20"/>
  <c r="F20" i="11"/>
  <c r="F23" i="15"/>
  <c r="H24" i="20"/>
  <c r="G19" i="11"/>
  <c r="G22" i="15"/>
  <c r="D24" i="20"/>
  <c r="C19" i="11"/>
  <c r="C22" i="15"/>
  <c r="I23" i="20"/>
  <c r="H18" i="11"/>
  <c r="E23" i="20"/>
  <c r="D18" i="11"/>
  <c r="D21" i="15"/>
  <c r="J22" i="20"/>
  <c r="I17" i="11"/>
  <c r="F22" i="20"/>
  <c r="E17" i="11"/>
  <c r="E20" i="15"/>
  <c r="B22" i="20"/>
  <c r="DY21" i="9"/>
  <c r="B17" i="11"/>
  <c r="K17" s="1"/>
  <c r="B20" i="15"/>
  <c r="G21" i="20"/>
  <c r="F16" i="11"/>
  <c r="F19" i="15"/>
  <c r="H20" i="20"/>
  <c r="G15" i="11"/>
  <c r="G18" i="15"/>
  <c r="D20" i="20"/>
  <c r="C15" i="11"/>
  <c r="C18" i="15"/>
  <c r="I19" i="20"/>
  <c r="H14" i="11"/>
  <c r="E19" i="20"/>
  <c r="D14" i="11"/>
  <c r="D17" i="15"/>
  <c r="J18" i="20"/>
  <c r="I13" i="11"/>
  <c r="F18" i="20"/>
  <c r="E13" i="11"/>
  <c r="E16" i="15"/>
  <c r="B18" i="20"/>
  <c r="DY17" i="9"/>
  <c r="B13" i="11"/>
  <c r="B16" i="15"/>
  <c r="G17" i="20"/>
  <c r="F12" i="11"/>
  <c r="F15" i="15"/>
  <c r="H16" i="20"/>
  <c r="G11" i="11"/>
  <c r="G14" i="15"/>
  <c r="D16" i="20"/>
  <c r="C11" i="11"/>
  <c r="C14" i="15"/>
  <c r="I15" i="20"/>
  <c r="H10" i="11"/>
  <c r="E15" i="20"/>
  <c r="D10" i="11"/>
  <c r="D13" i="15"/>
  <c r="J14" i="20"/>
  <c r="I9" i="11"/>
  <c r="F14" i="20"/>
  <c r="E9" i="11"/>
  <c r="E12" i="15"/>
  <c r="B14" i="20"/>
  <c r="B9" i="11"/>
  <c r="B12" i="15"/>
  <c r="G13" i="20"/>
  <c r="F8" i="11"/>
  <c r="F11" i="15"/>
  <c r="H12" i="20"/>
  <c r="G7" i="11"/>
  <c r="G10" i="15"/>
  <c r="D12" i="20"/>
  <c r="C7" i="11"/>
  <c r="C10" i="15"/>
  <c r="I11" i="20"/>
  <c r="H6" i="11"/>
  <c r="E11" i="20"/>
  <c r="D6" i="11"/>
  <c r="D9" i="15"/>
  <c r="G138" i="20"/>
  <c r="F133" i="11"/>
  <c r="F136" i="15"/>
  <c r="H137" i="20"/>
  <c r="G132" i="11"/>
  <c r="G135" i="15"/>
  <c r="D137" i="20"/>
  <c r="C132" i="11"/>
  <c r="C135" i="15"/>
  <c r="I136" i="20"/>
  <c r="H131" i="11"/>
  <c r="E136" i="20"/>
  <c r="D131" i="11"/>
  <c r="D134" i="15"/>
  <c r="J135" i="20"/>
  <c r="I130" i="11"/>
  <c r="F135" i="20"/>
  <c r="E130" i="11"/>
  <c r="E133" i="15"/>
  <c r="B135" i="20"/>
  <c r="DY134" i="9"/>
  <c r="B130" i="11"/>
  <c r="K130" s="1"/>
  <c r="B133" i="15"/>
  <c r="G134" i="20"/>
  <c r="F129" i="11"/>
  <c r="F132" i="15"/>
  <c r="H133" i="20"/>
  <c r="G128" i="11"/>
  <c r="G131" i="15"/>
  <c r="D133" i="20"/>
  <c r="C128" i="11"/>
  <c r="C131" i="15"/>
  <c r="I132" i="20"/>
  <c r="H127" i="11"/>
  <c r="E132" i="20"/>
  <c r="D127" i="11"/>
  <c r="D130" i="15"/>
  <c r="J131" i="20"/>
  <c r="I126" i="11"/>
  <c r="F131" i="20"/>
  <c r="E126" i="11"/>
  <c r="E129" i="15"/>
  <c r="B131" i="20"/>
  <c r="DY130" i="9"/>
  <c r="B126" i="11"/>
  <c r="K126" s="1"/>
  <c r="B129" i="15"/>
  <c r="G130" i="20"/>
  <c r="F125" i="11"/>
  <c r="F128" i="15"/>
  <c r="H129" i="20"/>
  <c r="G124" i="11"/>
  <c r="G127" i="15"/>
  <c r="D129" i="20"/>
  <c r="C124" i="11"/>
  <c r="C127" i="15"/>
  <c r="I128" i="20"/>
  <c r="H123" i="11"/>
  <c r="E128" i="20"/>
  <c r="D123" i="11"/>
  <c r="D126" i="15"/>
  <c r="J127" i="20"/>
  <c r="I122" i="11"/>
  <c r="F127" i="20"/>
  <c r="E122" i="11"/>
  <c r="E125" i="15"/>
  <c r="B127" i="20"/>
  <c r="DY126" i="9"/>
  <c r="B122" i="11"/>
  <c r="K122" s="1"/>
  <c r="B125" i="15"/>
  <c r="G126" i="20"/>
  <c r="F121" i="11"/>
  <c r="F124" i="15"/>
  <c r="H125" i="20"/>
  <c r="G120" i="11"/>
  <c r="G123" i="15"/>
  <c r="D125" i="20"/>
  <c r="C120" i="11"/>
  <c r="C123" i="15"/>
  <c r="I124" i="20"/>
  <c r="H119" i="11"/>
  <c r="E124" i="20"/>
  <c r="D119" i="11"/>
  <c r="D122" i="15"/>
  <c r="J123" i="20"/>
  <c r="I118" i="11"/>
  <c r="F123" i="20"/>
  <c r="E118" i="11"/>
  <c r="E121" i="15"/>
  <c r="B123" i="20"/>
  <c r="DY122" i="9"/>
  <c r="B118" i="11"/>
  <c r="K118" s="1"/>
  <c r="B121" i="15"/>
  <c r="G122" i="20"/>
  <c r="F117" i="11"/>
  <c r="F120" i="15"/>
  <c r="H121" i="20"/>
  <c r="G116" i="11"/>
  <c r="G119" i="15"/>
  <c r="D121" i="20"/>
  <c r="C116" i="11"/>
  <c r="C119" i="15"/>
  <c r="I120" i="20"/>
  <c r="H115" i="11"/>
  <c r="E120" i="20"/>
  <c r="D115" i="11"/>
  <c r="D118" i="15"/>
  <c r="J119" i="20"/>
  <c r="I114" i="11"/>
  <c r="F119" i="20"/>
  <c r="E114" i="11"/>
  <c r="E117" i="15"/>
  <c r="B119" i="20"/>
  <c r="DY118" i="9"/>
  <c r="B114" i="11"/>
  <c r="K114" s="1"/>
  <c r="B117" i="15"/>
  <c r="G118" i="20"/>
  <c r="F113" i="11"/>
  <c r="F116" i="15"/>
  <c r="H117" i="20"/>
  <c r="G112" i="11"/>
  <c r="G115" i="15"/>
  <c r="D117" i="20"/>
  <c r="C112" i="11"/>
  <c r="C115" i="15"/>
  <c r="I116" i="20"/>
  <c r="H111" i="11"/>
  <c r="E116" i="20"/>
  <c r="D111" i="11"/>
  <c r="D114" i="15"/>
  <c r="J115" i="20"/>
  <c r="I110" i="11"/>
  <c r="F115" i="20"/>
  <c r="E110" i="11"/>
  <c r="E113" i="15"/>
  <c r="B115" i="20"/>
  <c r="DY114" i="9"/>
  <c r="B110" i="11"/>
  <c r="K110" s="1"/>
  <c r="B113" i="15"/>
  <c r="G114" i="20"/>
  <c r="F109" i="11"/>
  <c r="F112" i="15"/>
  <c r="H113" i="20"/>
  <c r="G108" i="11"/>
  <c r="G111" i="15"/>
  <c r="D113" i="20"/>
  <c r="C108" i="11"/>
  <c r="C111" i="15"/>
  <c r="I112" i="20"/>
  <c r="H107" i="11"/>
  <c r="E112" i="20"/>
  <c r="D107" i="11"/>
  <c r="D110" i="15"/>
  <c r="J111" i="20"/>
  <c r="I106" i="11"/>
  <c r="F111" i="20"/>
  <c r="E106" i="11"/>
  <c r="E109" i="15"/>
  <c r="B111" i="20"/>
  <c r="DY110" i="9"/>
  <c r="B106" i="11"/>
  <c r="K106" s="1"/>
  <c r="B109" i="15"/>
  <c r="G110" i="20"/>
  <c r="F105" i="11"/>
  <c r="F108" i="15"/>
  <c r="H109" i="20"/>
  <c r="G104" i="11"/>
  <c r="G107" i="15"/>
  <c r="D109" i="20"/>
  <c r="C104" i="11"/>
  <c r="C107" i="15"/>
  <c r="I108" i="20"/>
  <c r="H103" i="11"/>
  <c r="E108" i="20"/>
  <c r="D103" i="11"/>
  <c r="D106" i="15"/>
  <c r="J107" i="20"/>
  <c r="I102" i="11"/>
  <c r="F107" i="20"/>
  <c r="E102" i="11"/>
  <c r="E105" i="15"/>
  <c r="B107" i="20"/>
  <c r="DY106" i="9"/>
  <c r="B102" i="11"/>
  <c r="K102" s="1"/>
  <c r="B105" i="15"/>
  <c r="G106" i="20"/>
  <c r="F101" i="11"/>
  <c r="F104" i="15"/>
  <c r="H105" i="20"/>
  <c r="G100" i="11"/>
  <c r="G103" i="15"/>
  <c r="D105" i="20"/>
  <c r="C100" i="11"/>
  <c r="C103" i="15"/>
  <c r="I104" i="20"/>
  <c r="H99" i="11"/>
  <c r="E104" i="20"/>
  <c r="D99" i="11"/>
  <c r="D102" i="15"/>
  <c r="J103" i="20"/>
  <c r="I98" i="11"/>
  <c r="F103" i="20"/>
  <c r="E98" i="11"/>
  <c r="E101" i="15"/>
  <c r="B103" i="20"/>
  <c r="DY102" i="9"/>
  <c r="B98" i="11"/>
  <c r="K98" s="1"/>
  <c r="B101" i="15"/>
  <c r="G102" i="20"/>
  <c r="F97" i="11"/>
  <c r="F100" i="15"/>
  <c r="H101" i="20"/>
  <c r="G96" i="11"/>
  <c r="G99" i="15"/>
  <c r="D101" i="20"/>
  <c r="C96" i="11"/>
  <c r="C99" i="15"/>
  <c r="I100" i="20"/>
  <c r="H95" i="11"/>
  <c r="E100" i="20"/>
  <c r="D95" i="11"/>
  <c r="D98" i="15"/>
  <c r="J99" i="20"/>
  <c r="I94" i="11"/>
  <c r="F99" i="20"/>
  <c r="E94" i="11"/>
  <c r="E97" i="15"/>
  <c r="B99" i="20"/>
  <c r="DY98" i="9"/>
  <c r="B94" i="11"/>
  <c r="K94" s="1"/>
  <c r="B97" i="15"/>
  <c r="G98" i="20"/>
  <c r="F93" i="11"/>
  <c r="F96" i="15"/>
  <c r="H97" i="20"/>
  <c r="G92" i="11"/>
  <c r="G95" i="15"/>
  <c r="D97" i="20"/>
  <c r="C92" i="11"/>
  <c r="C95" i="15"/>
  <c r="I96" i="20"/>
  <c r="H91" i="11"/>
  <c r="E96" i="20"/>
  <c r="D91" i="11"/>
  <c r="D94" i="15"/>
  <c r="J95" i="20"/>
  <c r="I90" i="11"/>
  <c r="F95" i="20"/>
  <c r="E90" i="11"/>
  <c r="E93" i="15"/>
  <c r="B95" i="20"/>
  <c r="DY94" i="9"/>
  <c r="B90" i="11"/>
  <c r="K90" s="1"/>
  <c r="B93" i="15"/>
  <c r="G94" i="20"/>
  <c r="F89" i="11"/>
  <c r="F92" i="15"/>
  <c r="H93" i="20"/>
  <c r="G88" i="11"/>
  <c r="G91" i="15"/>
  <c r="D93" i="20"/>
  <c r="C88" i="11"/>
  <c r="C91" i="15"/>
  <c r="I92" i="20"/>
  <c r="H87" i="11"/>
  <c r="E92" i="20"/>
  <c r="D87" i="11"/>
  <c r="D90" i="15"/>
  <c r="J91" i="20"/>
  <c r="I86" i="11"/>
  <c r="F91" i="20"/>
  <c r="E86" i="11"/>
  <c r="E89" i="15"/>
  <c r="B91" i="20"/>
  <c r="DY90" i="9"/>
  <c r="B86" i="11"/>
  <c r="K86" s="1"/>
  <c r="B89" i="15"/>
  <c r="G90" i="20"/>
  <c r="F85" i="11"/>
  <c r="F88" i="15"/>
  <c r="H89" i="20"/>
  <c r="G84" i="11"/>
  <c r="G87" i="15"/>
  <c r="D89" i="20"/>
  <c r="C84" i="11"/>
  <c r="C87" i="15"/>
  <c r="I88" i="20"/>
  <c r="H83" i="11"/>
  <c r="E88" i="20"/>
  <c r="D83" i="11"/>
  <c r="D86" i="15"/>
  <c r="J87" i="20"/>
  <c r="I82" i="11"/>
  <c r="F87" i="20"/>
  <c r="E82" i="11"/>
  <c r="E85" i="15"/>
  <c r="B87" i="20"/>
  <c r="DY86" i="9"/>
  <c r="B82" i="11"/>
  <c r="K82" s="1"/>
  <c r="B85" i="15"/>
  <c r="G86" i="20"/>
  <c r="F81" i="11"/>
  <c r="F84" i="15"/>
  <c r="H85" i="20"/>
  <c r="G80" i="11"/>
  <c r="G83" i="15"/>
  <c r="D85" i="20"/>
  <c r="C80" i="11"/>
  <c r="C83" i="15"/>
  <c r="I84" i="20"/>
  <c r="H79" i="11"/>
  <c r="E84" i="20"/>
  <c r="D79" i="11"/>
  <c r="D82" i="15"/>
  <c r="J83" i="20"/>
  <c r="I78" i="11"/>
  <c r="F83" i="20"/>
  <c r="E78" i="11"/>
  <c r="E81" i="15"/>
  <c r="B83" i="20"/>
  <c r="DY82" i="9"/>
  <c r="B78" i="11"/>
  <c r="K78" s="1"/>
  <c r="B81" i="15"/>
  <c r="G82" i="20"/>
  <c r="F77" i="11"/>
  <c r="F80" i="15"/>
  <c r="H81" i="20"/>
  <c r="G76" i="11"/>
  <c r="G79" i="15"/>
  <c r="D81" i="20"/>
  <c r="C76" i="11"/>
  <c r="C79" i="15"/>
  <c r="I80" i="20"/>
  <c r="H75" i="11"/>
  <c r="E80" i="20"/>
  <c r="D75" i="11"/>
  <c r="D78" i="15"/>
  <c r="J79" i="20"/>
  <c r="I74" i="11"/>
  <c r="F79" i="20"/>
  <c r="E74" i="11"/>
  <c r="E77" i="15"/>
  <c r="B79" i="20"/>
  <c r="DY78" i="9"/>
  <c r="B74" i="11"/>
  <c r="K74" s="1"/>
  <c r="B77" i="15"/>
  <c r="G78" i="20"/>
  <c r="F73" i="11"/>
  <c r="F76" i="15"/>
  <c r="H77" i="20"/>
  <c r="G72" i="11"/>
  <c r="G75" i="15"/>
  <c r="D77" i="20"/>
  <c r="C72" i="11"/>
  <c r="C75" i="15"/>
  <c r="I76" i="20"/>
  <c r="H71" i="11"/>
  <c r="E76" i="20"/>
  <c r="D71" i="11"/>
  <c r="D74" i="15"/>
  <c r="J75" i="20"/>
  <c r="I70" i="11"/>
  <c r="F75" i="20"/>
  <c r="E70" i="11"/>
  <c r="E73" i="15"/>
  <c r="B75" i="20"/>
  <c r="DY74" i="9"/>
  <c r="B70" i="11"/>
  <c r="K70" s="1"/>
  <c r="B73" i="15"/>
  <c r="G74" i="20"/>
  <c r="F69" i="11"/>
  <c r="F72" i="15"/>
  <c r="H73" i="20"/>
  <c r="G68" i="11"/>
  <c r="G71" i="15"/>
  <c r="D73" i="20"/>
  <c r="C68" i="11"/>
  <c r="C71" i="15"/>
  <c r="I72" i="20"/>
  <c r="H67" i="11"/>
  <c r="E72" i="20"/>
  <c r="D67" i="11"/>
  <c r="D70" i="15"/>
  <c r="J71" i="20"/>
  <c r="I66" i="11"/>
  <c r="F71" i="20"/>
  <c r="E66" i="11"/>
  <c r="E69" i="15"/>
  <c r="B71" i="20"/>
  <c r="DY70" i="9"/>
  <c r="B66" i="11"/>
  <c r="K66" s="1"/>
  <c r="B69" i="15"/>
  <c r="G70" i="20"/>
  <c r="F65" i="11"/>
  <c r="F68" i="15"/>
  <c r="H69" i="20"/>
  <c r="G64" i="11"/>
  <c r="G67" i="15"/>
  <c r="D69" i="20"/>
  <c r="C64" i="11"/>
  <c r="C67" i="15"/>
  <c r="I68" i="20"/>
  <c r="H63" i="11"/>
  <c r="E68" i="20"/>
  <c r="D63" i="11"/>
  <c r="D66" i="15"/>
  <c r="J67" i="20"/>
  <c r="I62" i="11"/>
  <c r="F67" i="20"/>
  <c r="E62" i="11"/>
  <c r="E65" i="15"/>
  <c r="B67" i="20"/>
  <c r="DY66" i="9"/>
  <c r="B62" i="11"/>
  <c r="K62" s="1"/>
  <c r="B65" i="15"/>
  <c r="G66" i="20"/>
  <c r="F61" i="11"/>
  <c r="F64" i="15"/>
  <c r="H65" i="20"/>
  <c r="G60" i="11"/>
  <c r="G63" i="15"/>
  <c r="D65" i="20"/>
  <c r="C60" i="11"/>
  <c r="C63" i="15"/>
  <c r="I64" i="20"/>
  <c r="H59" i="11"/>
  <c r="E64" i="20"/>
  <c r="D59" i="11"/>
  <c r="D62" i="15"/>
  <c r="J63" i="20"/>
  <c r="I58" i="11"/>
  <c r="F63" i="20"/>
  <c r="E58" i="11"/>
  <c r="E61" i="15"/>
  <c r="B63" i="20"/>
  <c r="DY62" i="9"/>
  <c r="B58" i="11"/>
  <c r="K58" s="1"/>
  <c r="B61" i="15"/>
  <c r="G62" i="20"/>
  <c r="F57" i="11"/>
  <c r="F60" i="15"/>
  <c r="H61" i="20"/>
  <c r="G56" i="11"/>
  <c r="G59" i="15"/>
  <c r="D61" i="20"/>
  <c r="C56" i="11"/>
  <c r="C59" i="15"/>
  <c r="I60" i="20"/>
  <c r="H55" i="11"/>
  <c r="E60" i="20"/>
  <c r="D55" i="11"/>
  <c r="D58" i="15"/>
  <c r="J59" i="20"/>
  <c r="I54" i="11"/>
  <c r="F59" i="20"/>
  <c r="E54" i="11"/>
  <c r="E57" i="15"/>
  <c r="B59" i="20"/>
  <c r="DY58" i="9"/>
  <c r="B54" i="11"/>
  <c r="K54" s="1"/>
  <c r="B57" i="15"/>
  <c r="G58" i="20"/>
  <c r="F53" i="11"/>
  <c r="F56" i="15"/>
  <c r="H57" i="20"/>
  <c r="G52" i="11"/>
  <c r="G55" i="15"/>
  <c r="D57" i="20"/>
  <c r="C52" i="11"/>
  <c r="C55" i="15"/>
  <c r="I56" i="20"/>
  <c r="H51" i="11"/>
  <c r="E56" i="20"/>
  <c r="D51" i="11"/>
  <c r="D54" i="15"/>
  <c r="J55" i="20"/>
  <c r="I50" i="11"/>
  <c r="F55" i="20"/>
  <c r="E50" i="11"/>
  <c r="E53" i="15"/>
  <c r="B55" i="20"/>
  <c r="DY54" i="9"/>
  <c r="B50" i="11"/>
  <c r="K50" s="1"/>
  <c r="B53" i="15"/>
  <c r="G54" i="20"/>
  <c r="F49" i="11"/>
  <c r="F52" i="15"/>
  <c r="H53" i="20"/>
  <c r="G48" i="11"/>
  <c r="G51" i="15"/>
  <c r="D53" i="20"/>
  <c r="C48" i="11"/>
  <c r="C51" i="15"/>
  <c r="I52" i="20"/>
  <c r="H47" i="11"/>
  <c r="E52" i="20"/>
  <c r="D47" i="11"/>
  <c r="D50" i="15"/>
  <c r="J51" i="20"/>
  <c r="I46" i="11"/>
  <c r="F51" i="20"/>
  <c r="E46" i="11"/>
  <c r="E49" i="15"/>
  <c r="B51" i="20"/>
  <c r="DY50" i="9"/>
  <c r="B46" i="11"/>
  <c r="K46" s="1"/>
  <c r="B49" i="15"/>
  <c r="G50" i="20"/>
  <c r="F45" i="11"/>
  <c r="F48" i="15"/>
  <c r="H49" i="20"/>
  <c r="G44" i="11"/>
  <c r="G47" i="15"/>
  <c r="D49" i="20"/>
  <c r="C44" i="11"/>
  <c r="C47" i="15"/>
  <c r="I48" i="20"/>
  <c r="H43" i="11"/>
  <c r="E48" i="20"/>
  <c r="D43" i="11"/>
  <c r="D46" i="15"/>
  <c r="J47" i="20"/>
  <c r="I42" i="11"/>
  <c r="F47" i="20"/>
  <c r="E42" i="11"/>
  <c r="E45" i="15"/>
  <c r="B47" i="20"/>
  <c r="DY46" i="9"/>
  <c r="B42" i="11"/>
  <c r="K42" s="1"/>
  <c r="B45" i="15"/>
  <c r="G46" i="20"/>
  <c r="F41" i="11"/>
  <c r="F44" i="15"/>
  <c r="H45" i="20"/>
  <c r="G40" i="11"/>
  <c r="G43" i="15"/>
  <c r="D45" i="20"/>
  <c r="C40" i="11"/>
  <c r="C43" i="15"/>
  <c r="I44" i="20"/>
  <c r="H39" i="11"/>
  <c r="E44" i="20"/>
  <c r="D39" i="11"/>
  <c r="D42" i="15"/>
  <c r="J43" i="20"/>
  <c r="I38" i="11"/>
  <c r="F43" i="20"/>
  <c r="E38" i="11"/>
  <c r="E41" i="15"/>
  <c r="B43" i="20"/>
  <c r="DY42" i="9"/>
  <c r="B38" i="11"/>
  <c r="K38" s="1"/>
  <c r="B41" i="15"/>
  <c r="G42" i="20"/>
  <c r="F37" i="11"/>
  <c r="F40" i="15"/>
  <c r="H41" i="20"/>
  <c r="G36" i="11"/>
  <c r="G39" i="15"/>
  <c r="D41" i="20"/>
  <c r="C36" i="11"/>
  <c r="C39" i="15"/>
  <c r="I40" i="20"/>
  <c r="H35" i="11"/>
  <c r="E40" i="20"/>
  <c r="D35" i="11"/>
  <c r="D38" i="15"/>
  <c r="J39" i="20"/>
  <c r="I34" i="11"/>
  <c r="F39" i="20"/>
  <c r="E34" i="11"/>
  <c r="E37" i="15"/>
  <c r="B39" i="20"/>
  <c r="DY38" i="9"/>
  <c r="B34" i="11"/>
  <c r="K34" s="1"/>
  <c r="B37" i="15"/>
  <c r="G38" i="20"/>
  <c r="F33" i="11"/>
  <c r="F36" i="15"/>
  <c r="H37" i="20"/>
  <c r="G32" i="11"/>
  <c r="G35" i="15"/>
  <c r="D37" i="20"/>
  <c r="C32" i="11"/>
  <c r="C35" i="15"/>
  <c r="I36" i="20"/>
  <c r="H31" i="11"/>
  <c r="E36" i="20"/>
  <c r="D31" i="11"/>
  <c r="D34" i="15"/>
  <c r="J35" i="20"/>
  <c r="I30" i="11"/>
  <c r="F35" i="20"/>
  <c r="E30" i="11"/>
  <c r="E33" i="15"/>
  <c r="B35" i="20"/>
  <c r="DY34" i="9"/>
  <c r="B30" i="11"/>
  <c r="K30" s="1"/>
  <c r="B33" i="15"/>
  <c r="G34" i="20"/>
  <c r="F29" i="11"/>
  <c r="F32" i="15"/>
  <c r="H33" i="20"/>
  <c r="G28" i="11"/>
  <c r="G31" i="15"/>
  <c r="D33" i="20"/>
  <c r="C28" i="11"/>
  <c r="C31" i="15"/>
  <c r="I32" i="20"/>
  <c r="H27" i="11"/>
  <c r="E32" i="20"/>
  <c r="D27" i="11"/>
  <c r="D30" i="15"/>
  <c r="J31" i="20"/>
  <c r="I26" i="11"/>
  <c r="F31" i="20"/>
  <c r="E26" i="11"/>
  <c r="E29" i="15"/>
  <c r="B31" i="20"/>
  <c r="DY30" i="9"/>
  <c r="B26" i="11"/>
  <c r="K26" s="1"/>
  <c r="B29" i="15"/>
  <c r="G30" i="20"/>
  <c r="F25" i="11"/>
  <c r="F28" i="15"/>
  <c r="H29" i="20"/>
  <c r="G24" i="11"/>
  <c r="G27" i="15"/>
  <c r="D29" i="20"/>
  <c r="C24" i="11"/>
  <c r="C27" i="15"/>
  <c r="I28" i="20"/>
  <c r="H23" i="11"/>
  <c r="E28" i="20"/>
  <c r="D23" i="11"/>
  <c r="D26" i="15"/>
  <c r="J27" i="20"/>
  <c r="I22" i="11"/>
  <c r="F27" i="20"/>
  <c r="E22" i="11"/>
  <c r="E25" i="15"/>
  <c r="B27" i="20"/>
  <c r="DY26" i="9"/>
  <c r="B22" i="11"/>
  <c r="K22" s="1"/>
  <c r="B25" i="15"/>
  <c r="G26" i="20"/>
  <c r="F21" i="11"/>
  <c r="F24" i="15"/>
  <c r="H25" i="20"/>
  <c r="G20" i="11"/>
  <c r="G23" i="15"/>
  <c r="D25" i="20"/>
  <c r="C20" i="11"/>
  <c r="C23" i="15"/>
  <c r="I24" i="20"/>
  <c r="H19" i="11"/>
  <c r="E24" i="20"/>
  <c r="D19" i="11"/>
  <c r="D22" i="15"/>
  <c r="J23" i="20"/>
  <c r="I18" i="11"/>
  <c r="F23" i="20"/>
  <c r="E18" i="11"/>
  <c r="E21" i="15"/>
  <c r="B23" i="20"/>
  <c r="DY22" i="9"/>
  <c r="B18" i="11"/>
  <c r="K18" s="1"/>
  <c r="B21" i="15"/>
  <c r="G22" i="20"/>
  <c r="F17" i="11"/>
  <c r="F20" i="15"/>
  <c r="H21" i="20"/>
  <c r="G16" i="11"/>
  <c r="G19" i="15"/>
  <c r="D21" i="20"/>
  <c r="C16" i="11"/>
  <c r="C19" i="15"/>
  <c r="I20" i="20"/>
  <c r="H15" i="11"/>
  <c r="E20" i="20"/>
  <c r="D15" i="11"/>
  <c r="D18" i="15"/>
  <c r="J19" i="20"/>
  <c r="I14" i="11"/>
  <c r="F19" i="20"/>
  <c r="E14" i="11"/>
  <c r="E17" i="15"/>
  <c r="B19" i="20"/>
  <c r="DY18" i="9"/>
  <c r="B14" i="11"/>
  <c r="B17" i="15"/>
  <c r="G18" i="20"/>
  <c r="F13" i="11"/>
  <c r="F16" i="15"/>
  <c r="H17" i="20"/>
  <c r="G12" i="11"/>
  <c r="G15" i="15"/>
  <c r="D17" i="20"/>
  <c r="C12" i="11"/>
  <c r="C15" i="15"/>
  <c r="I16" i="20"/>
  <c r="H11" i="11"/>
  <c r="E16" i="20"/>
  <c r="D11" i="11"/>
  <c r="D14" i="15"/>
  <c r="J15" i="20"/>
  <c r="I10" i="11"/>
  <c r="F15" i="20"/>
  <c r="E10" i="11"/>
  <c r="E13" i="15"/>
  <c r="B15" i="20"/>
  <c r="DY14" i="9"/>
  <c r="B10" i="11"/>
  <c r="B13" i="15"/>
  <c r="G14" i="20"/>
  <c r="F9" i="11"/>
  <c r="F12" i="15"/>
  <c r="H13" i="20"/>
  <c r="G8" i="11"/>
  <c r="G11" i="15"/>
  <c r="D13" i="20"/>
  <c r="C8" i="11"/>
  <c r="C11" i="15"/>
  <c r="I12" i="20"/>
  <c r="H7" i="11"/>
  <c r="E12" i="20"/>
  <c r="D7" i="11"/>
  <c r="D10" i="15"/>
  <c r="J11" i="20"/>
  <c r="I6" i="11"/>
  <c r="F11" i="20"/>
  <c r="E6" i="11"/>
  <c r="E9" i="15"/>
  <c r="B11" i="20"/>
  <c r="DY10" i="9"/>
  <c r="B6" i="11"/>
  <c r="B9" i="15"/>
  <c r="D138" i="20"/>
  <c r="C133" i="11"/>
  <c r="C136" i="15"/>
  <c r="I137" i="20"/>
  <c r="H132" i="11"/>
  <c r="E137" i="20"/>
  <c r="D132" i="11"/>
  <c r="D135" i="15"/>
  <c r="J136" i="20"/>
  <c r="I131" i="11"/>
  <c r="F136" i="20"/>
  <c r="E131" i="11"/>
  <c r="E134" i="15"/>
  <c r="B136" i="20"/>
  <c r="DY135" i="9"/>
  <c r="B131" i="11"/>
  <c r="K131" s="1"/>
  <c r="B134" i="15"/>
  <c r="G135" i="20"/>
  <c r="F130" i="11"/>
  <c r="F133" i="15"/>
  <c r="H134" i="20"/>
  <c r="G129" i="11"/>
  <c r="G132" i="15"/>
  <c r="D134" i="20"/>
  <c r="C129" i="11"/>
  <c r="C132" i="15"/>
  <c r="I133" i="20"/>
  <c r="H128" i="11"/>
  <c r="E133" i="20"/>
  <c r="D128" i="11"/>
  <c r="D131" i="15"/>
  <c r="J132" i="20"/>
  <c r="I127" i="11"/>
  <c r="F132" i="20"/>
  <c r="E127" i="11"/>
  <c r="E130" i="15"/>
  <c r="B132" i="20"/>
  <c r="DY131" i="9"/>
  <c r="B127" i="11"/>
  <c r="K127" s="1"/>
  <c r="B130" i="15"/>
  <c r="G131" i="20"/>
  <c r="F126" i="11"/>
  <c r="F129" i="15"/>
  <c r="H130" i="20"/>
  <c r="G125" i="11"/>
  <c r="G128" i="15"/>
  <c r="D130" i="20"/>
  <c r="C125" i="11"/>
  <c r="C128" i="15"/>
  <c r="I129" i="20"/>
  <c r="H124" i="11"/>
  <c r="E129" i="20"/>
  <c r="D124" i="11"/>
  <c r="D127" i="15"/>
  <c r="J128" i="20"/>
  <c r="I123" i="11"/>
  <c r="F128" i="20"/>
  <c r="E123" i="11"/>
  <c r="E126" i="15"/>
  <c r="B128" i="20"/>
  <c r="DY127" i="9"/>
  <c r="B123" i="11"/>
  <c r="K123" s="1"/>
  <c r="B126" i="15"/>
  <c r="G127" i="20"/>
  <c r="F122" i="11"/>
  <c r="F125" i="15"/>
  <c r="H126" i="20"/>
  <c r="G121" i="11"/>
  <c r="G124" i="15"/>
  <c r="D126" i="20"/>
  <c r="C121" i="11"/>
  <c r="C124" i="15"/>
  <c r="I125" i="20"/>
  <c r="H120" i="11"/>
  <c r="E125" i="20"/>
  <c r="D120" i="11"/>
  <c r="D123" i="15"/>
  <c r="J124" i="20"/>
  <c r="I119" i="11"/>
  <c r="F124" i="20"/>
  <c r="E119" i="11"/>
  <c r="E122" i="15"/>
  <c r="B124" i="20"/>
  <c r="DY123" i="9"/>
  <c r="B119" i="11"/>
  <c r="K119" s="1"/>
  <c r="B122" i="15"/>
  <c r="G123" i="20"/>
  <c r="F118" i="11"/>
  <c r="F121" i="15"/>
  <c r="H122" i="20"/>
  <c r="G117" i="11"/>
  <c r="G120" i="15"/>
  <c r="D122" i="20"/>
  <c r="C117" i="11"/>
  <c r="C120" i="15"/>
  <c r="I121" i="20"/>
  <c r="H116" i="11"/>
  <c r="E121" i="20"/>
  <c r="D116" i="11"/>
  <c r="D119" i="15"/>
  <c r="J120" i="20"/>
  <c r="I115" i="11"/>
  <c r="F120" i="20"/>
  <c r="E115" i="11"/>
  <c r="E118" i="15"/>
  <c r="B120" i="20"/>
  <c r="DY119" i="9"/>
  <c r="B115" i="11"/>
  <c r="K115" s="1"/>
  <c r="B118" i="15"/>
  <c r="G119" i="20"/>
  <c r="F114" i="11"/>
  <c r="F117" i="15"/>
  <c r="H118" i="20"/>
  <c r="G113" i="11"/>
  <c r="G116" i="15"/>
  <c r="D118" i="20"/>
  <c r="C113" i="11"/>
  <c r="C116" i="15"/>
  <c r="I117" i="20"/>
  <c r="H112" i="11"/>
  <c r="E117" i="20"/>
  <c r="D112" i="11"/>
  <c r="D115" i="15"/>
  <c r="J116" i="20"/>
  <c r="I111" i="11"/>
  <c r="F116" i="20"/>
  <c r="E111" i="11"/>
  <c r="E114" i="15"/>
  <c r="B116" i="20"/>
  <c r="DY115" i="9"/>
  <c r="B111" i="11"/>
  <c r="K111" s="1"/>
  <c r="B114" i="15"/>
  <c r="G115" i="20"/>
  <c r="F110" i="11"/>
  <c r="F113" i="15"/>
  <c r="H114" i="20"/>
  <c r="G109" i="11"/>
  <c r="G112" i="15"/>
  <c r="D114" i="20"/>
  <c r="C109" i="11"/>
  <c r="C112" i="15"/>
  <c r="I113" i="20"/>
  <c r="H108" i="11"/>
  <c r="E113" i="20"/>
  <c r="D108" i="11"/>
  <c r="D111" i="15"/>
  <c r="J112" i="20"/>
  <c r="I107" i="11"/>
  <c r="F112" i="20"/>
  <c r="E107" i="11"/>
  <c r="E110" i="15"/>
  <c r="B112" i="20"/>
  <c r="DY111" i="9"/>
  <c r="B107" i="11"/>
  <c r="K107" s="1"/>
  <c r="B110" i="15"/>
  <c r="G111" i="20"/>
  <c r="F106" i="11"/>
  <c r="F109" i="15"/>
  <c r="H110" i="20"/>
  <c r="G105" i="11"/>
  <c r="G108" i="15"/>
  <c r="D110" i="20"/>
  <c r="C105" i="11"/>
  <c r="C108" i="15"/>
  <c r="I109" i="20"/>
  <c r="H104" i="11"/>
  <c r="E109" i="20"/>
  <c r="D104" i="11"/>
  <c r="D107" i="15"/>
  <c r="J108" i="20"/>
  <c r="I103" i="11"/>
  <c r="F108" i="20"/>
  <c r="E103" i="11"/>
  <c r="E106" i="15"/>
  <c r="B108" i="20"/>
  <c r="DY107" i="9"/>
  <c r="B103" i="11"/>
  <c r="K103" s="1"/>
  <c r="B106" i="15"/>
  <c r="G107" i="20"/>
  <c r="F102" i="11"/>
  <c r="F105" i="15"/>
  <c r="H106" i="20"/>
  <c r="G101" i="11"/>
  <c r="G104" i="15"/>
  <c r="D106" i="20"/>
  <c r="C101" i="11"/>
  <c r="C104" i="15"/>
  <c r="I105" i="20"/>
  <c r="H100" i="11"/>
  <c r="E105" i="20"/>
  <c r="D100" i="11"/>
  <c r="D103" i="15"/>
  <c r="J104" i="20"/>
  <c r="I99" i="11"/>
  <c r="F104" i="20"/>
  <c r="E99" i="11"/>
  <c r="E102" i="15"/>
  <c r="B104" i="20"/>
  <c r="DY103" i="9"/>
  <c r="B99" i="11"/>
  <c r="K99" s="1"/>
  <c r="B102" i="15"/>
  <c r="G103" i="20"/>
  <c r="F98" i="11"/>
  <c r="F101" i="15"/>
  <c r="H102" i="20"/>
  <c r="G97" i="11"/>
  <c r="G100" i="15"/>
  <c r="D102" i="20"/>
  <c r="C97" i="11"/>
  <c r="C100" i="15"/>
  <c r="I101" i="20"/>
  <c r="H96" i="11"/>
  <c r="E101" i="20"/>
  <c r="D96" i="11"/>
  <c r="D99" i="15"/>
  <c r="J100" i="20"/>
  <c r="I95" i="11"/>
  <c r="F100" i="20"/>
  <c r="E95" i="11"/>
  <c r="E98" i="15"/>
  <c r="B100" i="20"/>
  <c r="DY99" i="9"/>
  <c r="B95" i="11"/>
  <c r="K95" s="1"/>
  <c r="B98" i="15"/>
  <c r="G99" i="20"/>
  <c r="F94" i="11"/>
  <c r="F97" i="15"/>
  <c r="H98" i="20"/>
  <c r="G93" i="11"/>
  <c r="G96" i="15"/>
  <c r="D98" i="20"/>
  <c r="C93" i="11"/>
  <c r="C96" i="15"/>
  <c r="I97" i="20"/>
  <c r="H92" i="11"/>
  <c r="E97" i="20"/>
  <c r="D92" i="11"/>
  <c r="D95" i="15"/>
  <c r="J96" i="20"/>
  <c r="I91" i="11"/>
  <c r="F96" i="20"/>
  <c r="E91" i="11"/>
  <c r="E94" i="15"/>
  <c r="B96" i="20"/>
  <c r="DY95" i="9"/>
  <c r="B91" i="11"/>
  <c r="K91" s="1"/>
  <c r="B94" i="15"/>
  <c r="G95" i="20"/>
  <c r="F90" i="11"/>
  <c r="F93" i="15"/>
  <c r="H94" i="20"/>
  <c r="G89" i="11"/>
  <c r="G92" i="15"/>
  <c r="D94" i="20"/>
  <c r="C89" i="11"/>
  <c r="C92" i="15"/>
  <c r="I93" i="20"/>
  <c r="H88" i="11"/>
  <c r="E93" i="20"/>
  <c r="D88" i="11"/>
  <c r="D91" i="15"/>
  <c r="J92" i="20"/>
  <c r="I87" i="11"/>
  <c r="F92" i="20"/>
  <c r="E87" i="11"/>
  <c r="E90" i="15"/>
  <c r="B92" i="20"/>
  <c r="DY91" i="9"/>
  <c r="B87" i="11"/>
  <c r="K87" s="1"/>
  <c r="B90" i="15"/>
  <c r="G91" i="20"/>
  <c r="F86" i="11"/>
  <c r="F89" i="15"/>
  <c r="H90" i="20"/>
  <c r="G85" i="11"/>
  <c r="G88" i="15"/>
  <c r="D90" i="20"/>
  <c r="C85" i="11"/>
  <c r="C88" i="15"/>
  <c r="I89" i="20"/>
  <c r="H84" i="11"/>
  <c r="E89" i="20"/>
  <c r="D84" i="11"/>
  <c r="D87" i="15"/>
  <c r="J88" i="20"/>
  <c r="I83" i="11"/>
  <c r="F88" i="20"/>
  <c r="E83" i="11"/>
  <c r="E86" i="15"/>
  <c r="B88" i="20"/>
  <c r="DY87" i="9"/>
  <c r="B83" i="11"/>
  <c r="K83" s="1"/>
  <c r="B86" i="15"/>
  <c r="G87" i="20"/>
  <c r="F82" i="11"/>
  <c r="F85" i="15"/>
  <c r="H86" i="20"/>
  <c r="G81" i="11"/>
  <c r="G84" i="15"/>
  <c r="D86" i="20"/>
  <c r="C81" i="11"/>
  <c r="C84" i="15"/>
  <c r="I85" i="20"/>
  <c r="H80" i="11"/>
  <c r="E85" i="20"/>
  <c r="D80" i="11"/>
  <c r="D83" i="15"/>
  <c r="J84" i="20"/>
  <c r="I79" i="11"/>
  <c r="F84" i="20"/>
  <c r="E79" i="11"/>
  <c r="E82" i="15"/>
  <c r="B84" i="20"/>
  <c r="DY83" i="9"/>
  <c r="B79" i="11"/>
  <c r="K79" s="1"/>
  <c r="B82" i="15"/>
  <c r="G83" i="20"/>
  <c r="F78" i="11"/>
  <c r="F81" i="15"/>
  <c r="H82" i="20"/>
  <c r="G77" i="11"/>
  <c r="G80" i="15"/>
  <c r="D82" i="20"/>
  <c r="C77" i="11"/>
  <c r="C80" i="15"/>
  <c r="I81" i="20"/>
  <c r="H76" i="11"/>
  <c r="E81" i="20"/>
  <c r="D76" i="11"/>
  <c r="D79" i="15"/>
  <c r="J80" i="20"/>
  <c r="I75" i="11"/>
  <c r="F80" i="20"/>
  <c r="E75" i="11"/>
  <c r="E78" i="15"/>
  <c r="B80" i="20"/>
  <c r="DY79" i="9"/>
  <c r="B75" i="11"/>
  <c r="K75" s="1"/>
  <c r="B78" i="15"/>
  <c r="G79" i="20"/>
  <c r="F74" i="11"/>
  <c r="F77" i="15"/>
  <c r="H78" i="20"/>
  <c r="G73" i="11"/>
  <c r="G76" i="15"/>
  <c r="D78" i="20"/>
  <c r="C73" i="11"/>
  <c r="C76" i="15"/>
  <c r="I77" i="20"/>
  <c r="H72" i="11"/>
  <c r="E77" i="20"/>
  <c r="D72" i="11"/>
  <c r="D75" i="15"/>
  <c r="J76" i="20"/>
  <c r="I71" i="11"/>
  <c r="F76" i="20"/>
  <c r="E71" i="11"/>
  <c r="E74" i="15"/>
  <c r="B76" i="20"/>
  <c r="DY75" i="9"/>
  <c r="B71" i="11"/>
  <c r="K71" s="1"/>
  <c r="B74" i="15"/>
  <c r="G75" i="20"/>
  <c r="F70" i="11"/>
  <c r="F73" i="15"/>
  <c r="H74" i="20"/>
  <c r="G69" i="11"/>
  <c r="G72" i="15"/>
  <c r="D74" i="20"/>
  <c r="C69" i="11"/>
  <c r="C72" i="15"/>
  <c r="I73" i="20"/>
  <c r="H68" i="11"/>
  <c r="E73" i="20"/>
  <c r="D68" i="11"/>
  <c r="D71" i="15"/>
  <c r="J72" i="20"/>
  <c r="I67" i="11"/>
  <c r="F72" i="20"/>
  <c r="E67" i="11"/>
  <c r="E70" i="15"/>
  <c r="B72" i="20"/>
  <c r="DY71" i="9"/>
  <c r="B67" i="11"/>
  <c r="K67" s="1"/>
  <c r="B70" i="15"/>
  <c r="G71" i="20"/>
  <c r="F66" i="11"/>
  <c r="F69" i="15"/>
  <c r="H70" i="20"/>
  <c r="G65" i="11"/>
  <c r="G68" i="15"/>
  <c r="D70" i="20"/>
  <c r="C65" i="11"/>
  <c r="C68" i="15"/>
  <c r="I69" i="20"/>
  <c r="H64" i="11"/>
  <c r="E69" i="20"/>
  <c r="D64" i="11"/>
  <c r="D67" i="15"/>
  <c r="J68" i="20"/>
  <c r="I63" i="11"/>
  <c r="F68" i="20"/>
  <c r="E63" i="11"/>
  <c r="E66" i="15"/>
  <c r="B68" i="20"/>
  <c r="DY67" i="9"/>
  <c r="B63" i="11"/>
  <c r="K63" s="1"/>
  <c r="B66" i="15"/>
  <c r="G67" i="20"/>
  <c r="F62" i="11"/>
  <c r="F65" i="15"/>
  <c r="H66" i="20"/>
  <c r="G61" i="11"/>
  <c r="G64" i="15"/>
  <c r="D66" i="20"/>
  <c r="C61" i="11"/>
  <c r="C64" i="15"/>
  <c r="I65" i="20"/>
  <c r="H60" i="11"/>
  <c r="E65" i="20"/>
  <c r="D60" i="11"/>
  <c r="D63" i="15"/>
  <c r="J64" i="20"/>
  <c r="I59" i="11"/>
  <c r="F64" i="20"/>
  <c r="E59" i="11"/>
  <c r="E62" i="15"/>
  <c r="B64" i="20"/>
  <c r="DY63" i="9"/>
  <c r="B59" i="11"/>
  <c r="K59" s="1"/>
  <c r="B62" i="15"/>
  <c r="G63" i="20"/>
  <c r="F58" i="11"/>
  <c r="F61" i="15"/>
  <c r="H62" i="20"/>
  <c r="G57" i="11"/>
  <c r="G60" i="15"/>
  <c r="D62" i="20"/>
  <c r="C57" i="11"/>
  <c r="C60" i="15"/>
  <c r="I61" i="20"/>
  <c r="H56" i="11"/>
  <c r="E61" i="20"/>
  <c r="D56" i="11"/>
  <c r="D59" i="15"/>
  <c r="J60" i="20"/>
  <c r="I55" i="11"/>
  <c r="F60" i="20"/>
  <c r="E55" i="11"/>
  <c r="E58" i="15"/>
  <c r="B60" i="20"/>
  <c r="DY59" i="9"/>
  <c r="B55" i="11"/>
  <c r="K55" s="1"/>
  <c r="B58" i="15"/>
  <c r="G59" i="20"/>
  <c r="F54" i="11"/>
  <c r="F57" i="15"/>
  <c r="H58" i="20"/>
  <c r="G53" i="11"/>
  <c r="G56" i="15"/>
  <c r="D58" i="20"/>
  <c r="C53" i="11"/>
  <c r="C56" i="15"/>
  <c r="I57" i="20"/>
  <c r="H52" i="11"/>
  <c r="E57" i="20"/>
  <c r="D52" i="11"/>
  <c r="D55" i="15"/>
  <c r="J56" i="20"/>
  <c r="I51" i="11"/>
  <c r="F56" i="20"/>
  <c r="E51" i="11"/>
  <c r="E54" i="15"/>
  <c r="B56" i="20"/>
  <c r="DY55" i="9"/>
  <c r="B51" i="11"/>
  <c r="K51" s="1"/>
  <c r="B54" i="15"/>
  <c r="G55" i="20"/>
  <c r="F50" i="11"/>
  <c r="F53" i="15"/>
  <c r="H54" i="20"/>
  <c r="G49" i="11"/>
  <c r="G52" i="15"/>
  <c r="D54" i="20"/>
  <c r="C49" i="11"/>
  <c r="C52" i="15"/>
  <c r="I53" i="20"/>
  <c r="H48" i="11"/>
  <c r="E53" i="20"/>
  <c r="D48" i="11"/>
  <c r="D51" i="15"/>
  <c r="J52" i="20"/>
  <c r="I47" i="11"/>
  <c r="F52" i="20"/>
  <c r="E47" i="11"/>
  <c r="E50" i="15"/>
  <c r="B52" i="20"/>
  <c r="DY51" i="9"/>
  <c r="B47" i="11"/>
  <c r="K47" s="1"/>
  <c r="B50" i="15"/>
  <c r="G51" i="20"/>
  <c r="F46" i="11"/>
  <c r="F49" i="15"/>
  <c r="H50" i="20"/>
  <c r="G45" i="11"/>
  <c r="G48" i="15"/>
  <c r="D50" i="20"/>
  <c r="C45" i="11"/>
  <c r="C48" i="15"/>
  <c r="I49" i="20"/>
  <c r="H44" i="11"/>
  <c r="E49" i="20"/>
  <c r="D44" i="11"/>
  <c r="D47" i="15"/>
  <c r="J48" i="20"/>
  <c r="I43" i="11"/>
  <c r="F48" i="20"/>
  <c r="E43" i="11"/>
  <c r="E46" i="15"/>
  <c r="B48" i="20"/>
  <c r="DY47" i="9"/>
  <c r="B43" i="11"/>
  <c r="K43" s="1"/>
  <c r="B46" i="15"/>
  <c r="G47" i="20"/>
  <c r="F42" i="11"/>
  <c r="F45" i="15"/>
  <c r="H46" i="20"/>
  <c r="G41" i="11"/>
  <c r="G44" i="15"/>
  <c r="D46" i="20"/>
  <c r="C41" i="11"/>
  <c r="C44" i="15"/>
  <c r="I45" i="20"/>
  <c r="H40" i="11"/>
  <c r="E45" i="20"/>
  <c r="D40" i="11"/>
  <c r="D43" i="15"/>
  <c r="J44" i="20"/>
  <c r="I39" i="11"/>
  <c r="F44" i="20"/>
  <c r="E39" i="11"/>
  <c r="E42" i="15"/>
  <c r="B44" i="20"/>
  <c r="DY43" i="9"/>
  <c r="B39" i="11"/>
  <c r="K39" s="1"/>
  <c r="B42" i="15"/>
  <c r="G43" i="20"/>
  <c r="F38" i="11"/>
  <c r="F41" i="15"/>
  <c r="H42" i="20"/>
  <c r="G37" i="11"/>
  <c r="G40" i="15"/>
  <c r="D42" i="20"/>
  <c r="C37" i="11"/>
  <c r="C40" i="15"/>
  <c r="I41" i="20"/>
  <c r="H36" i="11"/>
  <c r="E41" i="20"/>
  <c r="D36" i="11"/>
  <c r="D39" i="15"/>
  <c r="J40" i="20"/>
  <c r="I35" i="11"/>
  <c r="F40" i="20"/>
  <c r="E35" i="11"/>
  <c r="E38" i="15"/>
  <c r="B40" i="20"/>
  <c r="DY39" i="9"/>
  <c r="B35" i="11"/>
  <c r="K35" s="1"/>
  <c r="B38" i="15"/>
  <c r="G39" i="20"/>
  <c r="F34" i="11"/>
  <c r="F37" i="15"/>
  <c r="H38" i="20"/>
  <c r="G33" i="11"/>
  <c r="G36" i="15"/>
  <c r="D38" i="20"/>
  <c r="C33" i="11"/>
  <c r="C36" i="15"/>
  <c r="I37" i="20"/>
  <c r="H32" i="11"/>
  <c r="E37" i="20"/>
  <c r="D32" i="11"/>
  <c r="D35" i="15"/>
  <c r="J36" i="20"/>
  <c r="I31" i="11"/>
  <c r="F36" i="20"/>
  <c r="E31" i="11"/>
  <c r="E34" i="15"/>
  <c r="B36" i="20"/>
  <c r="DY35" i="9"/>
  <c r="B31" i="11"/>
  <c r="K31" s="1"/>
  <c r="B34" i="15"/>
  <c r="G35" i="20"/>
  <c r="F30" i="11"/>
  <c r="F33" i="15"/>
  <c r="H34" i="20"/>
  <c r="G29" i="11"/>
  <c r="G32" i="15"/>
  <c r="D34" i="20"/>
  <c r="C29" i="11"/>
  <c r="C32" i="15"/>
  <c r="I33" i="20"/>
  <c r="H28" i="11"/>
  <c r="E33" i="20"/>
  <c r="D28" i="11"/>
  <c r="D31" i="15"/>
  <c r="J32" i="20"/>
  <c r="I27" i="11"/>
  <c r="F32" i="20"/>
  <c r="E27" i="11"/>
  <c r="E30" i="15"/>
  <c r="B32" i="20"/>
  <c r="DY31" i="9"/>
  <c r="B27" i="11"/>
  <c r="K27" s="1"/>
  <c r="B30" i="15"/>
  <c r="G31" i="20"/>
  <c r="F26" i="11"/>
  <c r="F29" i="15"/>
  <c r="H30" i="20"/>
  <c r="G25" i="11"/>
  <c r="G28" i="15"/>
  <c r="D30" i="20"/>
  <c r="C25" i="11"/>
  <c r="C28" i="15"/>
  <c r="I29" i="20"/>
  <c r="H24" i="11"/>
  <c r="E29" i="20"/>
  <c r="D24" i="11"/>
  <c r="D27" i="15"/>
  <c r="J28" i="20"/>
  <c r="I23" i="11"/>
  <c r="F28" i="20"/>
  <c r="E23" i="11"/>
  <c r="E26" i="15"/>
  <c r="B28" i="20"/>
  <c r="DY27" i="9"/>
  <c r="B23" i="11"/>
  <c r="K23" s="1"/>
  <c r="B26" i="15"/>
  <c r="G27" i="20"/>
  <c r="F22" i="11"/>
  <c r="F25" i="15"/>
  <c r="H26" i="20"/>
  <c r="G21" i="11"/>
  <c r="G24" i="15"/>
  <c r="D26" i="20"/>
  <c r="C21" i="11"/>
  <c r="C24" i="15"/>
  <c r="I25" i="20"/>
  <c r="H20" i="11"/>
  <c r="E25" i="20"/>
  <c r="D20" i="11"/>
  <c r="D23" i="15"/>
  <c r="J24" i="20"/>
  <c r="I19" i="11"/>
  <c r="F24" i="20"/>
  <c r="E19" i="11"/>
  <c r="E22" i="15"/>
  <c r="B24" i="20"/>
  <c r="DY23" i="9"/>
  <c r="B19" i="11"/>
  <c r="K19" s="1"/>
  <c r="B22" i="15"/>
  <c r="G23" i="20"/>
  <c r="F18" i="11"/>
  <c r="F21" i="15"/>
  <c r="H22" i="20"/>
  <c r="G17" i="11"/>
  <c r="G20" i="15"/>
  <c r="D22" i="20"/>
  <c r="C17" i="11"/>
  <c r="C20" i="15"/>
  <c r="I21" i="20"/>
  <c r="H16" i="11"/>
  <c r="E21" i="20"/>
  <c r="D16" i="11"/>
  <c r="D19" i="15"/>
  <c r="J20" i="20"/>
  <c r="I15" i="11"/>
  <c r="F20" i="20"/>
  <c r="E15" i="11"/>
  <c r="E18" i="15"/>
  <c r="B20" i="20"/>
  <c r="DY19" i="9"/>
  <c r="B15" i="11"/>
  <c r="K15" s="1"/>
  <c r="B18" i="15"/>
  <c r="G19" i="20"/>
  <c r="F14" i="11"/>
  <c r="F17" i="15"/>
  <c r="H18" i="20"/>
  <c r="G13" i="11"/>
  <c r="G16" i="15"/>
  <c r="D18" i="20"/>
  <c r="C13" i="11"/>
  <c r="C16" i="15"/>
  <c r="I17" i="20"/>
  <c r="H12" i="11"/>
  <c r="E17" i="20"/>
  <c r="D12" i="11"/>
  <c r="D15" i="15"/>
  <c r="J16" i="20"/>
  <c r="I11" i="11"/>
  <c r="F16" i="20"/>
  <c r="E11" i="11"/>
  <c r="E14" i="15"/>
  <c r="B16" i="20"/>
  <c r="DY15" i="9"/>
  <c r="B11" i="11"/>
  <c r="B14" i="15"/>
  <c r="G15" i="20"/>
  <c r="F10" i="11"/>
  <c r="F13" i="15"/>
  <c r="H14" i="20"/>
  <c r="G9" i="11"/>
  <c r="G12" i="15"/>
  <c r="D14" i="20"/>
  <c r="C9" i="11"/>
  <c r="C12" i="15"/>
  <c r="I13" i="20"/>
  <c r="H8" i="11"/>
  <c r="E13" i="20"/>
  <c r="D8" i="11"/>
  <c r="D11" i="15"/>
  <c r="J12" i="20"/>
  <c r="I7" i="11"/>
  <c r="F12" i="20"/>
  <c r="E7" i="11"/>
  <c r="E10" i="15"/>
  <c r="B12" i="20"/>
  <c r="B7" i="11"/>
  <c r="B10" i="15"/>
  <c r="G11" i="20"/>
  <c r="F6" i="11"/>
  <c r="F9" i="15"/>
  <c r="CN20" i="9"/>
  <c r="CR17"/>
  <c r="CR16"/>
  <c r="CN12"/>
  <c r="CT12" s="1"/>
  <c r="CR12"/>
  <c r="CN11"/>
  <c r="CR11"/>
  <c r="CR13"/>
  <c r="D5" i="11"/>
  <c r="D8" i="15"/>
  <c r="AV210" i="9"/>
  <c r="A9" i="6" s="1"/>
  <c r="BQ10" i="9"/>
  <c r="BW10" s="1"/>
  <c r="FF204"/>
  <c r="DW204"/>
  <c r="EB204"/>
  <c r="EQ204" s="1"/>
  <c r="EK204"/>
  <c r="EW204" s="1"/>
  <c r="EI204"/>
  <c r="EX204"/>
  <c r="FF201"/>
  <c r="EK201"/>
  <c r="EW201" s="1"/>
  <c r="DW201"/>
  <c r="EI201"/>
  <c r="EX201"/>
  <c r="GS201" s="1"/>
  <c r="FF198"/>
  <c r="DW198"/>
  <c r="EB198"/>
  <c r="EQ198" s="1"/>
  <c r="EI198"/>
  <c r="EX198"/>
  <c r="GS198" s="1"/>
  <c r="EK198"/>
  <c r="EW198" s="1"/>
  <c r="FF196"/>
  <c r="DW196"/>
  <c r="EK196"/>
  <c r="EW196" s="1"/>
  <c r="EI196"/>
  <c r="EX196"/>
  <c r="FF190"/>
  <c r="DW190"/>
  <c r="EB190"/>
  <c r="EQ190" s="1"/>
  <c r="EI190"/>
  <c r="EX190"/>
  <c r="EK190"/>
  <c r="EW190" s="1"/>
  <c r="FF186"/>
  <c r="DW186"/>
  <c r="EB186"/>
  <c r="EQ186" s="1"/>
  <c r="EI186"/>
  <c r="EX186"/>
  <c r="EK186"/>
  <c r="EW186" s="1"/>
  <c r="FF184"/>
  <c r="DW184"/>
  <c r="EB184"/>
  <c r="EQ184" s="1"/>
  <c r="EK184"/>
  <c r="EW184" s="1"/>
  <c r="EI184"/>
  <c r="EX184"/>
  <c r="FF180"/>
  <c r="DW180"/>
  <c r="EK180"/>
  <c r="EW180" s="1"/>
  <c r="EI180"/>
  <c r="EX180"/>
  <c r="GS180" s="1"/>
  <c r="FF176"/>
  <c r="DW176"/>
  <c r="EK176"/>
  <c r="EW176" s="1"/>
  <c r="EI176"/>
  <c r="EX176"/>
  <c r="GS176" s="1"/>
  <c r="FF174"/>
  <c r="DW174"/>
  <c r="EB174"/>
  <c r="EQ174" s="1"/>
  <c r="EI174"/>
  <c r="EX174"/>
  <c r="GS174" s="1"/>
  <c r="EK174"/>
  <c r="EW174" s="1"/>
  <c r="FF171"/>
  <c r="EI171"/>
  <c r="EX171"/>
  <c r="DW171"/>
  <c r="EK171"/>
  <c r="EW171" s="1"/>
  <c r="FF167"/>
  <c r="EI167"/>
  <c r="EX167"/>
  <c r="DW167"/>
  <c r="EK167"/>
  <c r="EW167" s="1"/>
  <c r="FF165"/>
  <c r="EK165"/>
  <c r="EW165" s="1"/>
  <c r="DW165"/>
  <c r="EB165"/>
  <c r="EQ165" s="1"/>
  <c r="EI165"/>
  <c r="EX165"/>
  <c r="GS165" s="1"/>
  <c r="FF160"/>
  <c r="DW160"/>
  <c r="EK160"/>
  <c r="EW160" s="1"/>
  <c r="EI160"/>
  <c r="EX160"/>
  <c r="GS160" s="1"/>
  <c r="FF159"/>
  <c r="EI159"/>
  <c r="EX159"/>
  <c r="GS159" s="1"/>
  <c r="DW159"/>
  <c r="EB159"/>
  <c r="EQ159" s="1"/>
  <c r="EK159"/>
  <c r="EW159" s="1"/>
  <c r="FF156"/>
  <c r="DW156"/>
  <c r="EB156"/>
  <c r="EQ156" s="1"/>
  <c r="EK156"/>
  <c r="EW156" s="1"/>
  <c r="EI156"/>
  <c r="EX156"/>
  <c r="GS156" s="1"/>
  <c r="FF154"/>
  <c r="DW154"/>
  <c r="EB154"/>
  <c r="EQ154" s="1"/>
  <c r="EI154"/>
  <c r="EX154"/>
  <c r="GS154" s="1"/>
  <c r="EK154"/>
  <c r="EW154" s="1"/>
  <c r="FF150"/>
  <c r="DW150"/>
  <c r="EB150"/>
  <c r="EQ150" s="1"/>
  <c r="EI150"/>
  <c r="EX150"/>
  <c r="EK150"/>
  <c r="EW150" s="1"/>
  <c r="FF143"/>
  <c r="DW143"/>
  <c r="EI143"/>
  <c r="EX143"/>
  <c r="GS143" s="1"/>
  <c r="EK143"/>
  <c r="EW143" s="1"/>
  <c r="FF141"/>
  <c r="DW141"/>
  <c r="EB141"/>
  <c r="EQ141" s="1"/>
  <c r="EK141"/>
  <c r="EW141" s="1"/>
  <c r="EI141"/>
  <c r="EX141"/>
  <c r="GS141" s="1"/>
  <c r="FF137"/>
  <c r="DW137"/>
  <c r="EB137"/>
  <c r="EQ137" s="1"/>
  <c r="EK137"/>
  <c r="EW137" s="1"/>
  <c r="EI137"/>
  <c r="EX137"/>
  <c r="FF135"/>
  <c r="DW135"/>
  <c r="EI135"/>
  <c r="EX135"/>
  <c r="GS135" s="1"/>
  <c r="EK135"/>
  <c r="EW135" s="1"/>
  <c r="FF133"/>
  <c r="DW133"/>
  <c r="EK133"/>
  <c r="EW133" s="1"/>
  <c r="EI133"/>
  <c r="EX133"/>
  <c r="GS133" s="1"/>
  <c r="FF131"/>
  <c r="DW131"/>
  <c r="EI131"/>
  <c r="EX131"/>
  <c r="GS131" s="1"/>
  <c r="EK131"/>
  <c r="EW131" s="1"/>
  <c r="FF127"/>
  <c r="DW127"/>
  <c r="EI127"/>
  <c r="EX127"/>
  <c r="GS127" s="1"/>
  <c r="EK127"/>
  <c r="EW127" s="1"/>
  <c r="FF124"/>
  <c r="DW124"/>
  <c r="EK124"/>
  <c r="EW124" s="1"/>
  <c r="EI124"/>
  <c r="EX124"/>
  <c r="GS124" s="1"/>
  <c r="FF121"/>
  <c r="DW121"/>
  <c r="EB121"/>
  <c r="EQ121" s="1"/>
  <c r="EK121"/>
  <c r="EW121" s="1"/>
  <c r="EI121"/>
  <c r="EX121"/>
  <c r="GS121" s="1"/>
  <c r="FF119"/>
  <c r="DW119"/>
  <c r="EB119"/>
  <c r="EQ119" s="1"/>
  <c r="EI119"/>
  <c r="EX119"/>
  <c r="EK119"/>
  <c r="EW119" s="1"/>
  <c r="FF115"/>
  <c r="DW115"/>
  <c r="EI115"/>
  <c r="EX115"/>
  <c r="GS115" s="1"/>
  <c r="EK115"/>
  <c r="EW115" s="1"/>
  <c r="FF113"/>
  <c r="DW113"/>
  <c r="EK113"/>
  <c r="EW113" s="1"/>
  <c r="EI113"/>
  <c r="EX113"/>
  <c r="GS113" s="1"/>
  <c r="DW110"/>
  <c r="EI110"/>
  <c r="EX110"/>
  <c r="EK110"/>
  <c r="EW110" s="1"/>
  <c r="DW105"/>
  <c r="EB105"/>
  <c r="EQ105" s="1"/>
  <c r="EK105"/>
  <c r="EW105" s="1"/>
  <c r="EI105"/>
  <c r="EX105"/>
  <c r="DW103"/>
  <c r="EB103"/>
  <c r="EQ103" s="1"/>
  <c r="EI103"/>
  <c r="EX103"/>
  <c r="EK103"/>
  <c r="EW103" s="1"/>
  <c r="FF99"/>
  <c r="DW99"/>
  <c r="EI99"/>
  <c r="EX99"/>
  <c r="GS99" s="1"/>
  <c r="EK99"/>
  <c r="EW99" s="1"/>
  <c r="FF97"/>
  <c r="DW97"/>
  <c r="EK97"/>
  <c r="EW97" s="1"/>
  <c r="EI97"/>
  <c r="EX97"/>
  <c r="FF93"/>
  <c r="DW93"/>
  <c r="EB93"/>
  <c r="EQ93" s="1"/>
  <c r="EK93"/>
  <c r="EW93" s="1"/>
  <c r="EI93"/>
  <c r="EX93"/>
  <c r="FF91"/>
  <c r="DW91"/>
  <c r="EB91"/>
  <c r="EQ91" s="1"/>
  <c r="EI91"/>
  <c r="EX91"/>
  <c r="GS91" s="1"/>
  <c r="EK91"/>
  <c r="EW91" s="1"/>
  <c r="FF87"/>
  <c r="DW87"/>
  <c r="EB87"/>
  <c r="EQ87" s="1"/>
  <c r="EI87"/>
  <c r="EX87"/>
  <c r="EK87"/>
  <c r="EW87" s="1"/>
  <c r="FF84"/>
  <c r="DW84"/>
  <c r="EB84"/>
  <c r="EQ84" s="1"/>
  <c r="EK84"/>
  <c r="EW84" s="1"/>
  <c r="EI84"/>
  <c r="EX84"/>
  <c r="GS84" s="1"/>
  <c r="FF80"/>
  <c r="DW80"/>
  <c r="EB80"/>
  <c r="EQ80" s="1"/>
  <c r="EK80"/>
  <c r="EW80" s="1"/>
  <c r="EI80"/>
  <c r="EX80"/>
  <c r="FF77"/>
  <c r="DW77"/>
  <c r="EB77"/>
  <c r="EQ77" s="1"/>
  <c r="EK77"/>
  <c r="EW77" s="1"/>
  <c r="EI77"/>
  <c r="EX77"/>
  <c r="GS77" s="1"/>
  <c r="FF75"/>
  <c r="DW75"/>
  <c r="EB75"/>
  <c r="EQ75" s="1"/>
  <c r="EI75"/>
  <c r="EX75"/>
  <c r="EK75"/>
  <c r="EW75" s="1"/>
  <c r="FF72"/>
  <c r="DW72"/>
  <c r="EK72"/>
  <c r="EW72" s="1"/>
  <c r="EI72"/>
  <c r="EX72"/>
  <c r="GS72" s="1"/>
  <c r="FF68"/>
  <c r="DW68"/>
  <c r="EB68"/>
  <c r="EQ68" s="1"/>
  <c r="EK68"/>
  <c r="EW68" s="1"/>
  <c r="EI68"/>
  <c r="EX68"/>
  <c r="GS68" s="1"/>
  <c r="FF66"/>
  <c r="DW66"/>
  <c r="EB66"/>
  <c r="EQ66" s="1"/>
  <c r="EI66"/>
  <c r="EX66"/>
  <c r="EK66"/>
  <c r="EW66" s="1"/>
  <c r="FF62"/>
  <c r="DW62"/>
  <c r="EB62"/>
  <c r="EQ62" s="1"/>
  <c r="EI62"/>
  <c r="EX62"/>
  <c r="GS62" s="1"/>
  <c r="EK62"/>
  <c r="EW62" s="1"/>
  <c r="DW60"/>
  <c r="EK60"/>
  <c r="EW60" s="1"/>
  <c r="EI60"/>
  <c r="EX60"/>
  <c r="DW56"/>
  <c r="EB56"/>
  <c r="EQ56" s="1"/>
  <c r="EK56"/>
  <c r="EW56" s="1"/>
  <c r="EI56"/>
  <c r="EX56"/>
  <c r="DW53"/>
  <c r="EB53"/>
  <c r="EQ53" s="1"/>
  <c r="EK53"/>
  <c r="EW53" s="1"/>
  <c r="EI53"/>
  <c r="EX53"/>
  <c r="DW50"/>
  <c r="EB50"/>
  <c r="EQ50" s="1"/>
  <c r="EI50"/>
  <c r="EX50"/>
  <c r="EK50"/>
  <c r="EW50" s="1"/>
  <c r="FF46"/>
  <c r="DW46"/>
  <c r="EB46"/>
  <c r="EQ46" s="1"/>
  <c r="EI46"/>
  <c r="EX46"/>
  <c r="GS46" s="1"/>
  <c r="EK46"/>
  <c r="EW46" s="1"/>
  <c r="FF44"/>
  <c r="DW44"/>
  <c r="EK44"/>
  <c r="EW44" s="1"/>
  <c r="EI44"/>
  <c r="EX44"/>
  <c r="DW41"/>
  <c r="EK41"/>
  <c r="EW41" s="1"/>
  <c r="EI41"/>
  <c r="EX41"/>
  <c r="DW38"/>
  <c r="EB38"/>
  <c r="EQ38" s="1"/>
  <c r="EI38"/>
  <c r="EX38"/>
  <c r="EK38"/>
  <c r="EW38" s="1"/>
  <c r="DW35"/>
  <c r="EB35"/>
  <c r="EQ35" s="1"/>
  <c r="EX35"/>
  <c r="DW31"/>
  <c r="EX31"/>
  <c r="DW25"/>
  <c r="EX25"/>
  <c r="DW23"/>
  <c r="EB23"/>
  <c r="EQ23" s="1"/>
  <c r="EX23"/>
  <c r="DW20"/>
  <c r="EB20"/>
  <c r="EQ20" s="1"/>
  <c r="EX20"/>
  <c r="DW19"/>
  <c r="EB19"/>
  <c r="EQ19" s="1"/>
  <c r="EX19"/>
  <c r="DW16"/>
  <c r="EB16"/>
  <c r="EQ16" s="1"/>
  <c r="DW15"/>
  <c r="DW14"/>
  <c r="EB14"/>
  <c r="EQ14" s="1"/>
  <c r="AT79"/>
  <c r="AZ79" s="1"/>
  <c r="AT106"/>
  <c r="AZ106" s="1"/>
  <c r="AT132"/>
  <c r="AZ132" s="1"/>
  <c r="AT39"/>
  <c r="AT72"/>
  <c r="AT104"/>
  <c r="AT172"/>
  <c r="AZ172" s="1"/>
  <c r="AT43"/>
  <c r="AZ43" s="1"/>
  <c r="AZ73"/>
  <c r="AZ121"/>
  <c r="AT179"/>
  <c r="AZ179" s="1"/>
  <c r="AT17"/>
  <c r="AZ17" s="1"/>
  <c r="AT125"/>
  <c r="AZ125" s="1"/>
  <c r="AT48"/>
  <c r="AZ48" s="1"/>
  <c r="BQ22"/>
  <c r="BW22" s="1"/>
  <c r="BQ134"/>
  <c r="BW134" s="1"/>
  <c r="BQ158"/>
  <c r="BW158" s="1"/>
  <c r="CT11"/>
  <c r="CN58"/>
  <c r="CT58" s="1"/>
  <c r="CT73"/>
  <c r="CN66"/>
  <c r="CT66" s="1"/>
  <c r="CN98"/>
  <c r="CT98" s="1"/>
  <c r="FF50"/>
  <c r="FF53"/>
  <c r="FF100"/>
  <c r="FF108"/>
  <c r="FF101"/>
  <c r="FF109"/>
  <c r="DZ28"/>
  <c r="DZ60"/>
  <c r="EB31"/>
  <c r="EQ31" s="1"/>
  <c r="DZ40"/>
  <c r="DZ72"/>
  <c r="DZ36"/>
  <c r="DZ68"/>
  <c r="EB25"/>
  <c r="EQ25" s="1"/>
  <c r="DZ41"/>
  <c r="DZ48"/>
  <c r="DZ71"/>
  <c r="DZ80"/>
  <c r="DZ100"/>
  <c r="DZ175"/>
  <c r="DZ190"/>
  <c r="DZ200"/>
  <c r="DZ75"/>
  <c r="DZ96"/>
  <c r="DZ136"/>
  <c r="DZ164"/>
  <c r="DZ203"/>
  <c r="DZ74"/>
  <c r="DZ115"/>
  <c r="DZ160"/>
  <c r="DZ199"/>
  <c r="EB97"/>
  <c r="EQ97" s="1"/>
  <c r="DZ120"/>
  <c r="DZ130"/>
  <c r="EB133"/>
  <c r="EQ133" s="1"/>
  <c r="DZ144"/>
  <c r="EB160"/>
  <c r="EQ160" s="1"/>
  <c r="DZ162"/>
  <c r="DZ172"/>
  <c r="FF207"/>
  <c r="EI207"/>
  <c r="EX207"/>
  <c r="GS207" s="1"/>
  <c r="DW207"/>
  <c r="EB207"/>
  <c r="EQ207" s="1"/>
  <c r="EK207"/>
  <c r="EW207" s="1"/>
  <c r="FF205"/>
  <c r="EK205"/>
  <c r="EW205" s="1"/>
  <c r="DW205"/>
  <c r="EB205"/>
  <c r="EQ205" s="1"/>
  <c r="EI205"/>
  <c r="EX205"/>
  <c r="FF202"/>
  <c r="DW202"/>
  <c r="EB202"/>
  <c r="EQ202" s="1"/>
  <c r="EI202"/>
  <c r="EX202"/>
  <c r="GS202" s="1"/>
  <c r="EK202"/>
  <c r="EW202" s="1"/>
  <c r="FF199"/>
  <c r="EI199"/>
  <c r="EX199"/>
  <c r="DW199"/>
  <c r="EB199"/>
  <c r="EQ199" s="1"/>
  <c r="EK199"/>
  <c r="EW199" s="1"/>
  <c r="FF195"/>
  <c r="EI195"/>
  <c r="EX195"/>
  <c r="DW195"/>
  <c r="EB195"/>
  <c r="EQ195" s="1"/>
  <c r="EK195"/>
  <c r="EW195" s="1"/>
  <c r="FF193"/>
  <c r="EK193"/>
  <c r="EW193" s="1"/>
  <c r="DW193"/>
  <c r="EB193"/>
  <c r="EQ193" s="1"/>
  <c r="EI193"/>
  <c r="EX193"/>
  <c r="FF189"/>
  <c r="EK189"/>
  <c r="EW189" s="1"/>
  <c r="DW189"/>
  <c r="EB189"/>
  <c r="EQ189" s="1"/>
  <c r="EI189"/>
  <c r="EX189"/>
  <c r="GS189" s="1"/>
  <c r="FF187"/>
  <c r="EI187"/>
  <c r="EX187"/>
  <c r="DW187"/>
  <c r="EB187"/>
  <c r="EQ187" s="1"/>
  <c r="EK187"/>
  <c r="EW187" s="1"/>
  <c r="FF183"/>
  <c r="EI183"/>
  <c r="EX183"/>
  <c r="DW183"/>
  <c r="EK183"/>
  <c r="EW183" s="1"/>
  <c r="FF181"/>
  <c r="EK181"/>
  <c r="EW181" s="1"/>
  <c r="DW181"/>
  <c r="EB181"/>
  <c r="EQ181" s="1"/>
  <c r="EI181"/>
  <c r="EX181"/>
  <c r="GS181" s="1"/>
  <c r="FF179"/>
  <c r="EI179"/>
  <c r="EX179"/>
  <c r="DW179"/>
  <c r="EB179"/>
  <c r="EQ179" s="1"/>
  <c r="EK179"/>
  <c r="EW179" s="1"/>
  <c r="FF177"/>
  <c r="EK177"/>
  <c r="EW177" s="1"/>
  <c r="DW177"/>
  <c r="EB177"/>
  <c r="EQ177" s="1"/>
  <c r="EI177"/>
  <c r="EX177"/>
  <c r="FF173"/>
  <c r="EK173"/>
  <c r="EW173" s="1"/>
  <c r="DW173"/>
  <c r="EB173"/>
  <c r="EQ173" s="1"/>
  <c r="EI173"/>
  <c r="EX173"/>
  <c r="FF170"/>
  <c r="DW170"/>
  <c r="EB170"/>
  <c r="EQ170" s="1"/>
  <c r="EI170"/>
  <c r="EX170"/>
  <c r="GS170" s="1"/>
  <c r="EK170"/>
  <c r="EW170" s="1"/>
  <c r="FF168"/>
  <c r="DW168"/>
  <c r="EB168"/>
  <c r="EQ168" s="1"/>
  <c r="EK168"/>
  <c r="EW168" s="1"/>
  <c r="EI168"/>
  <c r="EX168"/>
  <c r="GS168" s="1"/>
  <c r="FF164"/>
  <c r="DW164"/>
  <c r="EK164"/>
  <c r="EW164" s="1"/>
  <c r="EI164"/>
  <c r="EX164"/>
  <c r="FF162"/>
  <c r="DW162"/>
  <c r="EB162"/>
  <c r="EQ162" s="1"/>
  <c r="EI162"/>
  <c r="EX162"/>
  <c r="EK162"/>
  <c r="EW162" s="1"/>
  <c r="FF161"/>
  <c r="EK161"/>
  <c r="EW161" s="1"/>
  <c r="DW161"/>
  <c r="EB161"/>
  <c r="EQ161" s="1"/>
  <c r="EI161"/>
  <c r="EX161"/>
  <c r="GS161" s="1"/>
  <c r="FF157"/>
  <c r="EK157"/>
  <c r="EW157" s="1"/>
  <c r="DW157"/>
  <c r="EB157"/>
  <c r="EQ157" s="1"/>
  <c r="EI157"/>
  <c r="EX157"/>
  <c r="GS157" s="1"/>
  <c r="FF153"/>
  <c r="EK153"/>
  <c r="EW153" s="1"/>
  <c r="DW153"/>
  <c r="EB153"/>
  <c r="EQ153" s="1"/>
  <c r="EI153"/>
  <c r="EX153"/>
  <c r="FF151"/>
  <c r="DW151"/>
  <c r="EI151"/>
  <c r="EX151"/>
  <c r="GS151" s="1"/>
  <c r="EK151"/>
  <c r="EW151" s="1"/>
  <c r="FF148"/>
  <c r="DW148"/>
  <c r="EB148"/>
  <c r="EQ148" s="1"/>
  <c r="EK148"/>
  <c r="EW148" s="1"/>
  <c r="EI148"/>
  <c r="EX148"/>
  <c r="GS148" s="1"/>
  <c r="FF147"/>
  <c r="DW147"/>
  <c r="EI147"/>
  <c r="EX147"/>
  <c r="GS147" s="1"/>
  <c r="EK147"/>
  <c r="EW147" s="1"/>
  <c r="FF144"/>
  <c r="DW144"/>
  <c r="EB144"/>
  <c r="EQ144" s="1"/>
  <c r="EK144"/>
  <c r="EW144" s="1"/>
  <c r="EI144"/>
  <c r="EX144"/>
  <c r="GS144" s="1"/>
  <c r="FF140"/>
  <c r="DW140"/>
  <c r="EB140"/>
  <c r="EQ140" s="1"/>
  <c r="EK140"/>
  <c r="EW140" s="1"/>
  <c r="EI140"/>
  <c r="EX140"/>
  <c r="GS140" s="1"/>
  <c r="FF138"/>
  <c r="DW138"/>
  <c r="EB138"/>
  <c r="EQ138" s="1"/>
  <c r="EI138"/>
  <c r="EX138"/>
  <c r="EK138"/>
  <c r="EW138" s="1"/>
  <c r="FF134"/>
  <c r="DW134"/>
  <c r="EB134"/>
  <c r="EQ134" s="1"/>
  <c r="EI134"/>
  <c r="EX134"/>
  <c r="EK134"/>
  <c r="EW134" s="1"/>
  <c r="FF130"/>
  <c r="DW130"/>
  <c r="EB130"/>
  <c r="EQ130" s="1"/>
  <c r="EI130"/>
  <c r="EX130"/>
  <c r="EK130"/>
  <c r="EW130" s="1"/>
  <c r="FF128"/>
  <c r="DW128"/>
  <c r="EB128"/>
  <c r="EQ128" s="1"/>
  <c r="EK128"/>
  <c r="EW128" s="1"/>
  <c r="EI128"/>
  <c r="EX128"/>
  <c r="GS128" s="1"/>
  <c r="FF125"/>
  <c r="DW125"/>
  <c r="EB125"/>
  <c r="EQ125" s="1"/>
  <c r="EK125"/>
  <c r="EW125" s="1"/>
  <c r="EI125"/>
  <c r="EX125"/>
  <c r="FF122"/>
  <c r="DW122"/>
  <c r="EI122"/>
  <c r="EX122"/>
  <c r="GS122" s="1"/>
  <c r="EK122"/>
  <c r="EW122" s="1"/>
  <c r="FF118"/>
  <c r="DW118"/>
  <c r="EB118"/>
  <c r="EQ118" s="1"/>
  <c r="EI118"/>
  <c r="EX118"/>
  <c r="EK118"/>
  <c r="EW118" s="1"/>
  <c r="FF116"/>
  <c r="DW116"/>
  <c r="EB116"/>
  <c r="EQ116" s="1"/>
  <c r="EK116"/>
  <c r="EW116" s="1"/>
  <c r="EI116"/>
  <c r="EX116"/>
  <c r="DW112"/>
  <c r="EB112"/>
  <c r="EQ112" s="1"/>
  <c r="EK112"/>
  <c r="EW112" s="1"/>
  <c r="EI112"/>
  <c r="EX112"/>
  <c r="DW109"/>
  <c r="EB109"/>
  <c r="EQ109" s="1"/>
  <c r="EK109"/>
  <c r="EW109" s="1"/>
  <c r="EI109"/>
  <c r="EX109"/>
  <c r="GS109" s="1"/>
  <c r="DW108"/>
  <c r="EK108"/>
  <c r="EW108" s="1"/>
  <c r="EI108"/>
  <c r="EX108"/>
  <c r="GS108" s="1"/>
  <c r="DW106"/>
  <c r="EB106"/>
  <c r="EQ106" s="1"/>
  <c r="EI106"/>
  <c r="EX106"/>
  <c r="EK106"/>
  <c r="EW106" s="1"/>
  <c r="DW102"/>
  <c r="EB102"/>
  <c r="EQ102" s="1"/>
  <c r="EI102"/>
  <c r="EX102"/>
  <c r="EK102"/>
  <c r="EW102" s="1"/>
  <c r="DW100"/>
  <c r="EB100"/>
  <c r="EQ100" s="1"/>
  <c r="EK100"/>
  <c r="EW100" s="1"/>
  <c r="EI100"/>
  <c r="EX100"/>
  <c r="GS100" s="1"/>
  <c r="FF96"/>
  <c r="DW96"/>
  <c r="EK96"/>
  <c r="EW96" s="1"/>
  <c r="EI96"/>
  <c r="EX96"/>
  <c r="FF94"/>
  <c r="DW94"/>
  <c r="EI94"/>
  <c r="EX94"/>
  <c r="GS94" s="1"/>
  <c r="EK94"/>
  <c r="EW94" s="1"/>
  <c r="FF90"/>
  <c r="DW90"/>
  <c r="EB90"/>
  <c r="EQ90" s="1"/>
  <c r="EI90"/>
  <c r="EX90"/>
  <c r="EK90"/>
  <c r="EW90" s="1"/>
  <c r="FF86"/>
  <c r="DW86"/>
  <c r="EB86"/>
  <c r="EQ86" s="1"/>
  <c r="EI86"/>
  <c r="EX86"/>
  <c r="EK86"/>
  <c r="EW86" s="1"/>
  <c r="FF83"/>
  <c r="DW83"/>
  <c r="EB83"/>
  <c r="EQ83" s="1"/>
  <c r="EI83"/>
  <c r="EX83"/>
  <c r="EK83"/>
  <c r="EW83" s="1"/>
  <c r="FF81"/>
  <c r="DW81"/>
  <c r="EB81"/>
  <c r="EQ81" s="1"/>
  <c r="EK81"/>
  <c r="EW81" s="1"/>
  <c r="EI81"/>
  <c r="EX81"/>
  <c r="FF78"/>
  <c r="DW78"/>
  <c r="EB78"/>
  <c r="EQ78" s="1"/>
  <c r="EI78"/>
  <c r="EX78"/>
  <c r="EK78"/>
  <c r="EW78" s="1"/>
  <c r="FF74"/>
  <c r="DW74"/>
  <c r="EB74"/>
  <c r="EQ74" s="1"/>
  <c r="EI74"/>
  <c r="EX74"/>
  <c r="EK74"/>
  <c r="EW74" s="1"/>
  <c r="FF73"/>
  <c r="DW73"/>
  <c r="EK73"/>
  <c r="EW73" s="1"/>
  <c r="EI73"/>
  <c r="EX73"/>
  <c r="FF71"/>
  <c r="DW71"/>
  <c r="EB71"/>
  <c r="EQ71" s="1"/>
  <c r="EI71"/>
  <c r="EX71"/>
  <c r="EK71"/>
  <c r="EW71" s="1"/>
  <c r="FF69"/>
  <c r="DW69"/>
  <c r="EB69"/>
  <c r="EQ69" s="1"/>
  <c r="EK69"/>
  <c r="EW69" s="1"/>
  <c r="EI69"/>
  <c r="EX69"/>
  <c r="GS69" s="1"/>
  <c r="FF65"/>
  <c r="DW65"/>
  <c r="EB65"/>
  <c r="EQ65" s="1"/>
  <c r="EK65"/>
  <c r="EW65" s="1"/>
  <c r="EI65"/>
  <c r="EX65"/>
  <c r="FF63"/>
  <c r="DW63"/>
  <c r="EI63"/>
  <c r="EX63"/>
  <c r="GS63" s="1"/>
  <c r="EK63"/>
  <c r="EW63" s="1"/>
  <c r="DW59"/>
  <c r="EI59"/>
  <c r="EX59"/>
  <c r="EK59"/>
  <c r="EW59" s="1"/>
  <c r="DW57"/>
  <c r="EB57"/>
  <c r="EQ57" s="1"/>
  <c r="EK57"/>
  <c r="EW57" s="1"/>
  <c r="EI57"/>
  <c r="EX57"/>
  <c r="DW54"/>
  <c r="EB54"/>
  <c r="EQ54" s="1"/>
  <c r="EI54"/>
  <c r="EX54"/>
  <c r="EK54"/>
  <c r="EW54" s="1"/>
  <c r="DW52"/>
  <c r="EB52"/>
  <c r="EQ52" s="1"/>
  <c r="EK52"/>
  <c r="EW52" s="1"/>
  <c r="EI52"/>
  <c r="EX52"/>
  <c r="GS52" s="1"/>
  <c r="DW49"/>
  <c r="EB49"/>
  <c r="EQ49" s="1"/>
  <c r="EK49"/>
  <c r="EW49" s="1"/>
  <c r="EI49"/>
  <c r="EX49"/>
  <c r="FF47"/>
  <c r="DW47"/>
  <c r="EI47"/>
  <c r="EX47"/>
  <c r="GS47" s="1"/>
  <c r="EK47"/>
  <c r="EW47" s="1"/>
  <c r="DW43"/>
  <c r="EI43"/>
  <c r="EX43"/>
  <c r="EK43"/>
  <c r="EW43" s="1"/>
  <c r="DW40"/>
  <c r="EK40"/>
  <c r="EW40" s="1"/>
  <c r="EI40"/>
  <c r="EX40"/>
  <c r="DW37"/>
  <c r="EB37"/>
  <c r="EQ37" s="1"/>
  <c r="EX37"/>
  <c r="DW34"/>
  <c r="EB34"/>
  <c r="EQ34" s="1"/>
  <c r="EX34"/>
  <c r="DW32"/>
  <c r="EB32"/>
  <c r="EQ32" s="1"/>
  <c r="EX32"/>
  <c r="DW29"/>
  <c r="EB29"/>
  <c r="EQ29" s="1"/>
  <c r="EX29"/>
  <c r="DW28"/>
  <c r="EX28"/>
  <c r="DW26"/>
  <c r="EX26"/>
  <c r="DW22"/>
  <c r="EB22"/>
  <c r="EQ22" s="1"/>
  <c r="EX22"/>
  <c r="DW21"/>
  <c r="EB21"/>
  <c r="EQ21" s="1"/>
  <c r="EX21"/>
  <c r="DW18"/>
  <c r="EB18"/>
  <c r="EQ18" s="1"/>
  <c r="DW10"/>
  <c r="EB10"/>
  <c r="EQ10" s="1"/>
  <c r="AZ93"/>
  <c r="AT54"/>
  <c r="AZ54" s="1"/>
  <c r="AZ141"/>
  <c r="BQ88"/>
  <c r="BQ90"/>
  <c r="CN186"/>
  <c r="CT186" s="1"/>
  <c r="FF43"/>
  <c r="FF41"/>
  <c r="FF51"/>
  <c r="FF59"/>
  <c r="FF106"/>
  <c r="FF111"/>
  <c r="EB15"/>
  <c r="EQ15" s="1"/>
  <c r="EB63"/>
  <c r="EQ63" s="1"/>
  <c r="EB44"/>
  <c r="EQ44" s="1"/>
  <c r="EB43"/>
  <c r="EQ43" s="1"/>
  <c r="DZ26"/>
  <c r="EB40"/>
  <c r="EQ40" s="1"/>
  <c r="DZ58"/>
  <c r="DZ38"/>
  <c r="DZ86"/>
  <c r="EB99"/>
  <c r="EQ99" s="1"/>
  <c r="EB115"/>
  <c r="EQ115" s="1"/>
  <c r="EB164"/>
  <c r="EQ164" s="1"/>
  <c r="EB72"/>
  <c r="EQ72" s="1"/>
  <c r="DZ110"/>
  <c r="EB124"/>
  <c r="EQ124" s="1"/>
  <c r="DZ146"/>
  <c r="EB176"/>
  <c r="EQ176" s="1"/>
  <c r="EB94"/>
  <c r="EQ94" s="1"/>
  <c r="FG207"/>
  <c r="FH207"/>
  <c r="R203" i="11" s="1"/>
  <c r="FH206" i="9"/>
  <c r="R202" i="11" s="1"/>
  <c r="FG206" i="9"/>
  <c r="FH205"/>
  <c r="R201" i="11" s="1"/>
  <c r="FG205" i="9"/>
  <c r="FH204"/>
  <c r="R200" i="11" s="1"/>
  <c r="FG204" i="9"/>
  <c r="FH203"/>
  <c r="R199" i="11" s="1"/>
  <c r="FG203" i="9"/>
  <c r="FG202"/>
  <c r="FH202"/>
  <c r="R198" i="11" s="1"/>
  <c r="FH201" i="9"/>
  <c r="R197" i="11" s="1"/>
  <c r="FG201" i="9"/>
  <c r="FG200"/>
  <c r="FH200"/>
  <c r="R196" i="11" s="1"/>
  <c r="FH199" i="9"/>
  <c r="R195" i="11" s="1"/>
  <c r="FG199" i="9"/>
  <c r="FH198"/>
  <c r="R194" i="11" s="1"/>
  <c r="FG198" i="9"/>
  <c r="FH197"/>
  <c r="R193" i="11" s="1"/>
  <c r="FG197" i="9"/>
  <c r="FH196"/>
  <c r="R192" i="11" s="1"/>
  <c r="FG196" i="9"/>
  <c r="FH195"/>
  <c r="R191" i="11" s="1"/>
  <c r="FG195" i="9"/>
  <c r="FH194"/>
  <c r="R190" i="11" s="1"/>
  <c r="FG194" i="9"/>
  <c r="FG193"/>
  <c r="FH193"/>
  <c r="FH192"/>
  <c r="R188" i="11" s="1"/>
  <c r="FG192" i="9"/>
  <c r="FG191"/>
  <c r="FH191"/>
  <c r="R187" i="11" s="1"/>
  <c r="FH190" i="9"/>
  <c r="R186" i="11" s="1"/>
  <c r="FG190" i="9"/>
  <c r="FH189"/>
  <c r="R185" i="11" s="1"/>
  <c r="FG189" i="9"/>
  <c r="FH188"/>
  <c r="R184" i="11" s="1"/>
  <c r="FG188" i="9"/>
  <c r="FH187"/>
  <c r="R183" i="11" s="1"/>
  <c r="FG187" i="9"/>
  <c r="FG186"/>
  <c r="FH186"/>
  <c r="R182" i="11" s="1"/>
  <c r="FH185" i="9"/>
  <c r="R181" i="11" s="1"/>
  <c r="FG185" i="9"/>
  <c r="FG184"/>
  <c r="FH184"/>
  <c r="R180" i="11" s="1"/>
  <c r="FH183" i="9"/>
  <c r="R179" i="11" s="1"/>
  <c r="FG183" i="9"/>
  <c r="FH182"/>
  <c r="R178" i="11" s="1"/>
  <c r="FG182" i="9"/>
  <c r="FG181"/>
  <c r="FH181"/>
  <c r="R177" i="11" s="1"/>
  <c r="FH180" i="9"/>
  <c r="R176" i="11" s="1"/>
  <c r="FG180" i="9"/>
  <c r="FG179"/>
  <c r="FH179"/>
  <c r="R175" i="11" s="1"/>
  <c r="FH178" i="9"/>
  <c r="R174" i="11" s="1"/>
  <c r="FG178" i="9"/>
  <c r="FH177"/>
  <c r="R173" i="11" s="1"/>
  <c r="FG177" i="9"/>
  <c r="FG176"/>
  <c r="FH176"/>
  <c r="R172" i="11" s="1"/>
  <c r="FH175" i="9"/>
  <c r="R171" i="11" s="1"/>
  <c r="FG175" i="9"/>
  <c r="FH174"/>
  <c r="R170" i="11" s="1"/>
  <c r="FG174" i="9"/>
  <c r="FG173"/>
  <c r="FH173"/>
  <c r="R169" i="11" s="1"/>
  <c r="FH172" i="9"/>
  <c r="R168" i="11" s="1"/>
  <c r="FG172" i="9"/>
  <c r="FG171"/>
  <c r="FH171"/>
  <c r="R167" i="11" s="1"/>
  <c r="FH170" i="9"/>
  <c r="R166" i="11" s="1"/>
  <c r="FG170" i="9"/>
  <c r="FH169"/>
  <c r="R165" i="11" s="1"/>
  <c r="FG169" i="9"/>
  <c r="FG168"/>
  <c r="FH168"/>
  <c r="R164" i="11" s="1"/>
  <c r="FH167" i="9"/>
  <c r="R163" i="11" s="1"/>
  <c r="FG167" i="9"/>
  <c r="FH166"/>
  <c r="R162" i="11" s="1"/>
  <c r="FG166" i="9"/>
  <c r="FG165"/>
  <c r="FH165"/>
  <c r="R161" i="11" s="1"/>
  <c r="FH164" i="9"/>
  <c r="R160" i="11" s="1"/>
  <c r="FG164" i="9"/>
  <c r="FG163"/>
  <c r="FH163"/>
  <c r="R159" i="11" s="1"/>
  <c r="FH162" i="9"/>
  <c r="R158" i="11" s="1"/>
  <c r="FG162" i="9"/>
  <c r="FH161"/>
  <c r="R157" i="11" s="1"/>
  <c r="FG161" i="9"/>
  <c r="FG160"/>
  <c r="FH160"/>
  <c r="R156" i="11" s="1"/>
  <c r="FH159" i="9"/>
  <c r="R155" i="11" s="1"/>
  <c r="FG159" i="9"/>
  <c r="FG158"/>
  <c r="FH158"/>
  <c r="R154" i="11" s="1"/>
  <c r="FH157" i="9"/>
  <c r="R153" i="11" s="1"/>
  <c r="FG157" i="9"/>
  <c r="FH156"/>
  <c r="R152" i="11" s="1"/>
  <c r="FG156" i="9"/>
  <c r="FH155"/>
  <c r="R151" i="11" s="1"/>
  <c r="FG155" i="9"/>
  <c r="FH154"/>
  <c r="R150" i="11" s="1"/>
  <c r="FG154" i="9"/>
  <c r="FG153"/>
  <c r="FH153"/>
  <c r="R149" i="11" s="1"/>
  <c r="FH152" i="9"/>
  <c r="R148" i="11" s="1"/>
  <c r="FG152" i="9"/>
  <c r="FG151"/>
  <c r="FH151"/>
  <c r="R147" i="11" s="1"/>
  <c r="FH150" i="9"/>
  <c r="R146" i="11" s="1"/>
  <c r="FG150" i="9"/>
  <c r="FH149"/>
  <c r="R145" i="11" s="1"/>
  <c r="FG149" i="9"/>
  <c r="FH148"/>
  <c r="R144" i="11" s="1"/>
  <c r="FG148" i="9"/>
  <c r="FH147"/>
  <c r="R143" i="11" s="1"/>
  <c r="FG147" i="9"/>
  <c r="FH146"/>
  <c r="R142" i="11" s="1"/>
  <c r="FG146" i="9"/>
  <c r="FH145"/>
  <c r="R141" i="11" s="1"/>
  <c r="FG145" i="9"/>
  <c r="FG144"/>
  <c r="FH144"/>
  <c r="FH143"/>
  <c r="R139" i="11" s="1"/>
  <c r="FG143" i="9"/>
  <c r="FG142"/>
  <c r="FH142"/>
  <c r="R138" i="11" s="1"/>
  <c r="FH141" i="9"/>
  <c r="R137" i="11" s="1"/>
  <c r="FG141" i="9"/>
  <c r="FH140"/>
  <c r="R136" i="11" s="1"/>
  <c r="FG140" i="9"/>
  <c r="FH139"/>
  <c r="R135" i="11" s="1"/>
  <c r="FG139" i="9"/>
  <c r="FH138"/>
  <c r="R134" i="11" s="1"/>
  <c r="FG138" i="9"/>
  <c r="FG137"/>
  <c r="FH137"/>
  <c r="R133" i="11" s="1"/>
  <c r="FH136" i="9"/>
  <c r="R132" i="11" s="1"/>
  <c r="FG136" i="9"/>
  <c r="FG135"/>
  <c r="FH135"/>
  <c r="R131" i="11" s="1"/>
  <c r="FH134" i="9"/>
  <c r="R130" i="11" s="1"/>
  <c r="FG134" i="9"/>
  <c r="FH133"/>
  <c r="R129" i="11" s="1"/>
  <c r="FG133" i="9"/>
  <c r="FH132"/>
  <c r="R128" i="11" s="1"/>
  <c r="FG132" i="9"/>
  <c r="FH131"/>
  <c r="R127" i="11" s="1"/>
  <c r="FG131" i="9"/>
  <c r="FH130"/>
  <c r="R126" i="11" s="1"/>
  <c r="FG130" i="9"/>
  <c r="FH129"/>
  <c r="R125" i="11" s="1"/>
  <c r="FG129" i="9"/>
  <c r="FG128"/>
  <c r="FH128"/>
  <c r="FH127"/>
  <c r="R123" i="11" s="1"/>
  <c r="FG127" i="9"/>
  <c r="FG126"/>
  <c r="FH126"/>
  <c r="R122" i="11" s="1"/>
  <c r="FH125" i="9"/>
  <c r="R121" i="11" s="1"/>
  <c r="FG125" i="9"/>
  <c r="FH124"/>
  <c r="R120" i="11" s="1"/>
  <c r="FG124" i="9"/>
  <c r="FH123"/>
  <c r="R119" i="11" s="1"/>
  <c r="FG123" i="9"/>
  <c r="FH122"/>
  <c r="R118" i="11" s="1"/>
  <c r="FG122" i="9"/>
  <c r="FG121"/>
  <c r="FH121"/>
  <c r="R117" i="11" s="1"/>
  <c r="FH120" i="9"/>
  <c r="R116" i="11" s="1"/>
  <c r="FG120" i="9"/>
  <c r="FG119"/>
  <c r="FH119"/>
  <c r="R115" i="11" s="1"/>
  <c r="FH118" i="9"/>
  <c r="R114" i="11" s="1"/>
  <c r="FG118" i="9"/>
  <c r="FH117"/>
  <c r="R113" i="11" s="1"/>
  <c r="FG117" i="9"/>
  <c r="FH116"/>
  <c r="R112" i="11" s="1"/>
  <c r="FG116" i="9"/>
  <c r="FH115"/>
  <c r="R111" i="11" s="1"/>
  <c r="FG115" i="9"/>
  <c r="FH114"/>
  <c r="R110" i="11" s="1"/>
  <c r="FG114" i="9"/>
  <c r="FH113"/>
  <c r="R109" i="11" s="1"/>
  <c r="FG113" i="9"/>
  <c r="FG112"/>
  <c r="FH112"/>
  <c r="R108" i="11" s="1"/>
  <c r="FH111" i="9"/>
  <c r="R107" i="11" s="1"/>
  <c r="FG111" i="9"/>
  <c r="FG110"/>
  <c r="FH110"/>
  <c r="R106" i="11" s="1"/>
  <c r="FH109" i="9"/>
  <c r="R105" i="11" s="1"/>
  <c r="FG109" i="9"/>
  <c r="FH108"/>
  <c r="R104" i="11" s="1"/>
  <c r="FG108" i="9"/>
  <c r="FH107"/>
  <c r="R103" i="11" s="1"/>
  <c r="FG107" i="9"/>
  <c r="FH106"/>
  <c r="R102" i="11" s="1"/>
  <c r="FG106" i="9"/>
  <c r="FG105"/>
  <c r="FH105"/>
  <c r="R101" i="11" s="1"/>
  <c r="FH104" i="9"/>
  <c r="R100" i="11" s="1"/>
  <c r="FG104" i="9"/>
  <c r="FG103"/>
  <c r="FH103"/>
  <c r="R99" i="11" s="1"/>
  <c r="FH102" i="9"/>
  <c r="R98" i="11" s="1"/>
  <c r="FG102" i="9"/>
  <c r="FH101"/>
  <c r="R97" i="11" s="1"/>
  <c r="FG101" i="9"/>
  <c r="FH100"/>
  <c r="R96" i="11" s="1"/>
  <c r="FG100" i="9"/>
  <c r="FH99"/>
  <c r="R95" i="11" s="1"/>
  <c r="FG99" i="9"/>
  <c r="FH98"/>
  <c r="R94" i="11" s="1"/>
  <c r="FG98" i="9"/>
  <c r="FH97"/>
  <c r="R93" i="11" s="1"/>
  <c r="FG97" i="9"/>
  <c r="FG96"/>
  <c r="FH96"/>
  <c r="FH95"/>
  <c r="R91" i="11" s="1"/>
  <c r="FG95" i="9"/>
  <c r="FG94"/>
  <c r="FH94"/>
  <c r="R90" i="11" s="1"/>
  <c r="FH93" i="9"/>
  <c r="R89" i="11" s="1"/>
  <c r="FG93" i="9"/>
  <c r="FH92"/>
  <c r="R88" i="11" s="1"/>
  <c r="FG92" i="9"/>
  <c r="FH91"/>
  <c r="R87" i="11" s="1"/>
  <c r="FG91" i="9"/>
  <c r="FH90"/>
  <c r="R86" i="11" s="1"/>
  <c r="FG90" i="9"/>
  <c r="FG89"/>
  <c r="FH89"/>
  <c r="R85" i="11" s="1"/>
  <c r="FH88" i="9"/>
  <c r="R84" i="11" s="1"/>
  <c r="FG88" i="9"/>
  <c r="FG87"/>
  <c r="FH87"/>
  <c r="R83" i="11" s="1"/>
  <c r="FH86" i="9"/>
  <c r="R82" i="11" s="1"/>
  <c r="FG86" i="9"/>
  <c r="FH85"/>
  <c r="R81" i="11" s="1"/>
  <c r="FG85" i="9"/>
  <c r="FH84"/>
  <c r="R80" i="11" s="1"/>
  <c r="FG84" i="9"/>
  <c r="FH83"/>
  <c r="R79" i="11" s="1"/>
  <c r="FG83" i="9"/>
  <c r="FH82"/>
  <c r="R78" i="11" s="1"/>
  <c r="FG82" i="9"/>
  <c r="FH81"/>
  <c r="R77" i="11" s="1"/>
  <c r="FG81" i="9"/>
  <c r="FG80"/>
  <c r="FH80"/>
  <c r="FH79"/>
  <c r="R75" i="11" s="1"/>
  <c r="FG79" i="9"/>
  <c r="FG78"/>
  <c r="FH78"/>
  <c r="R74" i="11" s="1"/>
  <c r="FH77" i="9"/>
  <c r="R73" i="11" s="1"/>
  <c r="FG77" i="9"/>
  <c r="FH76"/>
  <c r="R72" i="11" s="1"/>
  <c r="FG76" i="9"/>
  <c r="FH75"/>
  <c r="R71" i="11" s="1"/>
  <c r="FG75" i="9"/>
  <c r="FH74"/>
  <c r="R70" i="11" s="1"/>
  <c r="FG74" i="9"/>
  <c r="FG73"/>
  <c r="FH73"/>
  <c r="R69" i="11" s="1"/>
  <c r="FH72" i="9"/>
  <c r="R68" i="11" s="1"/>
  <c r="FG72" i="9"/>
  <c r="FG71"/>
  <c r="FH71"/>
  <c r="R67" i="11" s="1"/>
  <c r="FH70" i="9"/>
  <c r="R66" i="11" s="1"/>
  <c r="FG70" i="9"/>
  <c r="FH69"/>
  <c r="R65" i="11" s="1"/>
  <c r="FG69" i="9"/>
  <c r="FH68"/>
  <c r="R64" i="11" s="1"/>
  <c r="FG68" i="9"/>
  <c r="FH67"/>
  <c r="R63" i="11" s="1"/>
  <c r="FG67" i="9"/>
  <c r="FH66"/>
  <c r="R62" i="11" s="1"/>
  <c r="FG66" i="9"/>
  <c r="FH65"/>
  <c r="R61" i="11" s="1"/>
  <c r="FG65" i="9"/>
  <c r="FG64"/>
  <c r="FH64"/>
  <c r="FH63"/>
  <c r="R59" i="11" s="1"/>
  <c r="FG63" i="9"/>
  <c r="FG62"/>
  <c r="FH62"/>
  <c r="R58" i="11" s="1"/>
  <c r="FH61" i="9"/>
  <c r="R57" i="11" s="1"/>
  <c r="FG61" i="9"/>
  <c r="FH60"/>
  <c r="R56" i="11" s="1"/>
  <c r="FG60" i="9"/>
  <c r="FH59"/>
  <c r="R55" i="11" s="1"/>
  <c r="FG59" i="9"/>
  <c r="FH58"/>
  <c r="R54" i="11" s="1"/>
  <c r="FG58" i="9"/>
  <c r="FG57"/>
  <c r="FH57"/>
  <c r="R53" i="11" s="1"/>
  <c r="FH56" i="9"/>
  <c r="R52" i="11" s="1"/>
  <c r="FG56" i="9"/>
  <c r="FG55"/>
  <c r="FH55"/>
  <c r="R51" i="11" s="1"/>
  <c r="FH54" i="9"/>
  <c r="R50" i="11" s="1"/>
  <c r="FG54" i="9"/>
  <c r="FH53"/>
  <c r="R49" i="11" s="1"/>
  <c r="FG53" i="9"/>
  <c r="FH52"/>
  <c r="R48" i="11" s="1"/>
  <c r="FG52" i="9"/>
  <c r="FH51"/>
  <c r="R47" i="11" s="1"/>
  <c r="FG51" i="9"/>
  <c r="FH50"/>
  <c r="R46" i="11" s="1"/>
  <c r="FG50" i="9"/>
  <c r="FH49"/>
  <c r="R45" i="11" s="1"/>
  <c r="FG49" i="9"/>
  <c r="FG48"/>
  <c r="FH48"/>
  <c r="FH47"/>
  <c r="R43" i="11" s="1"/>
  <c r="FG47" i="9"/>
  <c r="FG46"/>
  <c r="FH46"/>
  <c r="R42" i="11" s="1"/>
  <c r="FH45" i="9"/>
  <c r="R41" i="11" s="1"/>
  <c r="FG45" i="9"/>
  <c r="FH44"/>
  <c r="R40" i="11" s="1"/>
  <c r="FG44" i="9"/>
  <c r="FH43"/>
  <c r="R39" i="11" s="1"/>
  <c r="FG43" i="9"/>
  <c r="FH42"/>
  <c r="R38" i="11" s="1"/>
  <c r="FG42" i="9"/>
  <c r="FG41"/>
  <c r="FH41"/>
  <c r="R37" i="11" s="1"/>
  <c r="FH40" i="9"/>
  <c r="R36" i="11" s="1"/>
  <c r="FG40" i="9"/>
  <c r="FG39"/>
  <c r="FH39"/>
  <c r="R35" i="11" s="1"/>
  <c r="FH38" i="9"/>
  <c r="R34" i="11" s="1"/>
  <c r="FG38" i="9"/>
  <c r="FH37"/>
  <c r="R33" i="11" s="1"/>
  <c r="FG37" i="9"/>
  <c r="FH36"/>
  <c r="R32" i="11" s="1"/>
  <c r="FG36" i="9"/>
  <c r="FH35"/>
  <c r="R31" i="11" s="1"/>
  <c r="FG35" i="9"/>
  <c r="FH34"/>
  <c r="R30" i="11" s="1"/>
  <c r="FG34" i="9"/>
  <c r="FH33"/>
  <c r="R29" i="11" s="1"/>
  <c r="FG33" i="9"/>
  <c r="FG32"/>
  <c r="FH32"/>
  <c r="R28" i="11" s="1"/>
  <c r="FH31" i="9"/>
  <c r="R27" i="11" s="1"/>
  <c r="FG31" i="9"/>
  <c r="FG30"/>
  <c r="FH30"/>
  <c r="R26" i="11" s="1"/>
  <c r="FH29" i="9"/>
  <c r="R25" i="11" s="1"/>
  <c r="FG29" i="9"/>
  <c r="FH28"/>
  <c r="R24" i="11" s="1"/>
  <c r="FG28" i="9"/>
  <c r="FH27"/>
  <c r="R23" i="11" s="1"/>
  <c r="FG27" i="9"/>
  <c r="FH26"/>
  <c r="R22" i="11" s="1"/>
  <c r="FG26" i="9"/>
  <c r="FG25"/>
  <c r="FH25"/>
  <c r="R21" i="11" s="1"/>
  <c r="FH24" i="9"/>
  <c r="R20" i="11" s="1"/>
  <c r="FG24" i="9"/>
  <c r="FG23"/>
  <c r="FH23"/>
  <c r="R19" i="11" s="1"/>
  <c r="FH22" i="9"/>
  <c r="R18" i="11" s="1"/>
  <c r="FG22" i="9"/>
  <c r="FH21"/>
  <c r="R17" i="11" s="1"/>
  <c r="FG21" i="9"/>
  <c r="FH20"/>
  <c r="R16" i="11" s="1"/>
  <c r="FG20" i="9"/>
  <c r="FH19"/>
  <c r="R15" i="11" s="1"/>
  <c r="FG19" i="9"/>
  <c r="FH18"/>
  <c r="R14" i="11" s="1"/>
  <c r="FG18" i="9"/>
  <c r="FH17"/>
  <c r="R13" i="11" s="1"/>
  <c r="FG17" i="9"/>
  <c r="FH16"/>
  <c r="R12" i="11" s="1"/>
  <c r="FG16" i="9"/>
  <c r="FH15"/>
  <c r="R11" i="11" s="1"/>
  <c r="FG15" i="9"/>
  <c r="FG14"/>
  <c r="FH14"/>
  <c r="FH13"/>
  <c r="R9" i="11" s="1"/>
  <c r="FG13" i="9"/>
  <c r="FG12"/>
  <c r="FH12"/>
  <c r="R8" i="11" s="1"/>
  <c r="FH11" i="9"/>
  <c r="R7" i="11" s="1"/>
  <c r="FG11" i="9"/>
  <c r="FG10"/>
  <c r="FH10"/>
  <c r="FH9"/>
  <c r="R5" i="11" s="1"/>
  <c r="FG9" i="9"/>
  <c r="AZ168"/>
  <c r="BQ47"/>
  <c r="BQ82"/>
  <c r="BW82" s="1"/>
  <c r="FF60"/>
  <c r="FF40"/>
  <c r="FF56"/>
  <c r="FF49"/>
  <c r="FF57"/>
  <c r="FF104"/>
  <c r="FF112"/>
  <c r="FF105"/>
  <c r="DZ44"/>
  <c r="DZ76"/>
  <c r="EB47"/>
  <c r="EQ47" s="1"/>
  <c r="DZ24"/>
  <c r="DZ56"/>
  <c r="DZ88"/>
  <c r="EB59"/>
  <c r="EQ59" s="1"/>
  <c r="DZ20"/>
  <c r="DZ52"/>
  <c r="DZ25"/>
  <c r="DZ32"/>
  <c r="EB41"/>
  <c r="EQ41" s="1"/>
  <c r="DZ57"/>
  <c r="DZ116"/>
  <c r="DZ158"/>
  <c r="DZ168"/>
  <c r="DZ207"/>
  <c r="DZ64"/>
  <c r="DZ73"/>
  <c r="DZ84"/>
  <c r="DZ112"/>
  <c r="DZ171"/>
  <c r="DZ186"/>
  <c r="DZ196"/>
  <c r="DZ70"/>
  <c r="EB73"/>
  <c r="EQ73" s="1"/>
  <c r="EB96"/>
  <c r="EQ96" s="1"/>
  <c r="DZ99"/>
  <c r="DZ132"/>
  <c r="DZ167"/>
  <c r="EB180"/>
  <c r="EQ180" s="1"/>
  <c r="DZ182"/>
  <c r="DZ192"/>
  <c r="DZ104"/>
  <c r="EB113"/>
  <c r="EQ113" s="1"/>
  <c r="EB167"/>
  <c r="EQ167" s="1"/>
  <c r="DZ179"/>
  <c r="EB192"/>
  <c r="EQ192" s="1"/>
  <c r="DZ194"/>
  <c r="DZ204"/>
  <c r="EB122"/>
  <c r="EQ122" s="1"/>
  <c r="FF206"/>
  <c r="DW206"/>
  <c r="EB206"/>
  <c r="EQ206" s="1"/>
  <c r="EI206"/>
  <c r="EX206"/>
  <c r="EK206"/>
  <c r="EW206" s="1"/>
  <c r="FF203"/>
  <c r="EI203"/>
  <c r="EX203"/>
  <c r="DW203"/>
  <c r="EB203"/>
  <c r="EQ203" s="1"/>
  <c r="EK203"/>
  <c r="EW203" s="1"/>
  <c r="FF200"/>
  <c r="DW200"/>
  <c r="EB200"/>
  <c r="EQ200" s="1"/>
  <c r="EK200"/>
  <c r="EW200" s="1"/>
  <c r="EI200"/>
  <c r="EX200"/>
  <c r="GS200" s="1"/>
  <c r="FF197"/>
  <c r="EK197"/>
  <c r="EW197" s="1"/>
  <c r="DW197"/>
  <c r="EB197"/>
  <c r="EQ197" s="1"/>
  <c r="EI197"/>
  <c r="EX197"/>
  <c r="GS197" s="1"/>
  <c r="FF194"/>
  <c r="DW194"/>
  <c r="EB194"/>
  <c r="EQ194" s="1"/>
  <c r="EI194"/>
  <c r="EX194"/>
  <c r="EK194"/>
  <c r="EW194" s="1"/>
  <c r="FF192"/>
  <c r="DW192"/>
  <c r="EK192"/>
  <c r="EW192" s="1"/>
  <c r="EI192"/>
  <c r="EX192"/>
  <c r="FF191"/>
  <c r="EI191"/>
  <c r="EX191"/>
  <c r="DW191"/>
  <c r="EB191"/>
  <c r="EQ191" s="1"/>
  <c r="EK191"/>
  <c r="EW191" s="1"/>
  <c r="FF188"/>
  <c r="DW188"/>
  <c r="EB188"/>
  <c r="EQ188" s="1"/>
  <c r="EK188"/>
  <c r="EW188" s="1"/>
  <c r="EI188"/>
  <c r="EX188"/>
  <c r="FF185"/>
  <c r="EK185"/>
  <c r="EW185" s="1"/>
  <c r="DW185"/>
  <c r="EB185"/>
  <c r="EQ185" s="1"/>
  <c r="EI185"/>
  <c r="EX185"/>
  <c r="FF182"/>
  <c r="DW182"/>
  <c r="EB182"/>
  <c r="EQ182" s="1"/>
  <c r="EI182"/>
  <c r="EX182"/>
  <c r="EK182"/>
  <c r="EW182" s="1"/>
  <c r="FF178"/>
  <c r="DW178"/>
  <c r="EB178"/>
  <c r="EQ178" s="1"/>
  <c r="EI178"/>
  <c r="EX178"/>
  <c r="EK178"/>
  <c r="EW178" s="1"/>
  <c r="FF175"/>
  <c r="EI175"/>
  <c r="EX175"/>
  <c r="DW175"/>
  <c r="EB175"/>
  <c r="EQ175" s="1"/>
  <c r="EK175"/>
  <c r="EW175" s="1"/>
  <c r="FF172"/>
  <c r="DW172"/>
  <c r="EB172"/>
  <c r="EQ172" s="1"/>
  <c r="EK172"/>
  <c r="EW172" s="1"/>
  <c r="EI172"/>
  <c r="EX172"/>
  <c r="FF169"/>
  <c r="EK169"/>
  <c r="EW169" s="1"/>
  <c r="DW169"/>
  <c r="EB169"/>
  <c r="EQ169" s="1"/>
  <c r="EI169"/>
  <c r="EX169"/>
  <c r="GS169" s="1"/>
  <c r="FF166"/>
  <c r="DW166"/>
  <c r="EB166"/>
  <c r="EQ166" s="1"/>
  <c r="EI166"/>
  <c r="EX166"/>
  <c r="EK166"/>
  <c r="EW166" s="1"/>
  <c r="FF163"/>
  <c r="EI163"/>
  <c r="EX163"/>
  <c r="DW163"/>
  <c r="EB163"/>
  <c r="EQ163" s="1"/>
  <c r="EK163"/>
  <c r="EW163" s="1"/>
  <c r="FF158"/>
  <c r="DW158"/>
  <c r="EB158"/>
  <c r="EQ158" s="1"/>
  <c r="EI158"/>
  <c r="EX158"/>
  <c r="EK158"/>
  <c r="EW158" s="1"/>
  <c r="FF155"/>
  <c r="EI155"/>
  <c r="EX155"/>
  <c r="DW155"/>
  <c r="EK155"/>
  <c r="EW155" s="1"/>
  <c r="FF152"/>
  <c r="DW152"/>
  <c r="EB152"/>
  <c r="EQ152" s="1"/>
  <c r="EK152"/>
  <c r="EW152" s="1"/>
  <c r="EI152"/>
  <c r="EX152"/>
  <c r="FF149"/>
  <c r="DW149"/>
  <c r="EB149"/>
  <c r="EQ149" s="1"/>
  <c r="EK149"/>
  <c r="EW149" s="1"/>
  <c r="EI149"/>
  <c r="EX149"/>
  <c r="FF146"/>
  <c r="DW146"/>
  <c r="EB146"/>
  <c r="EQ146" s="1"/>
  <c r="EI146"/>
  <c r="EX146"/>
  <c r="EK146"/>
  <c r="EW146" s="1"/>
  <c r="FF145"/>
  <c r="DW145"/>
  <c r="EB145"/>
  <c r="EQ145" s="1"/>
  <c r="EK145"/>
  <c r="EW145" s="1"/>
  <c r="EI145"/>
  <c r="EX145"/>
  <c r="GS145" s="1"/>
  <c r="FF142"/>
  <c r="DW142"/>
  <c r="EB142"/>
  <c r="EQ142" s="1"/>
  <c r="EI142"/>
  <c r="EX142"/>
  <c r="EK142"/>
  <c r="EW142" s="1"/>
  <c r="FF139"/>
  <c r="DW139"/>
  <c r="EI139"/>
  <c r="EX139"/>
  <c r="GS139" s="1"/>
  <c r="EK139"/>
  <c r="EW139" s="1"/>
  <c r="FF136"/>
  <c r="DW136"/>
  <c r="EB136"/>
  <c r="EQ136" s="1"/>
  <c r="EK136"/>
  <c r="EW136" s="1"/>
  <c r="EI136"/>
  <c r="EX136"/>
  <c r="GS136" s="1"/>
  <c r="FF132"/>
  <c r="DW132"/>
  <c r="EB132"/>
  <c r="EQ132" s="1"/>
  <c r="EK132"/>
  <c r="EW132" s="1"/>
  <c r="EI132"/>
  <c r="EX132"/>
  <c r="FF129"/>
  <c r="DW129"/>
  <c r="EB129"/>
  <c r="EQ129" s="1"/>
  <c r="EK129"/>
  <c r="EW129" s="1"/>
  <c r="EI129"/>
  <c r="EX129"/>
  <c r="FF126"/>
  <c r="DW126"/>
  <c r="EB126"/>
  <c r="EQ126" s="1"/>
  <c r="EI126"/>
  <c r="EX126"/>
  <c r="EK126"/>
  <c r="EW126" s="1"/>
  <c r="FF123"/>
  <c r="DW123"/>
  <c r="EB123"/>
  <c r="EQ123" s="1"/>
  <c r="EI123"/>
  <c r="EX123"/>
  <c r="EK123"/>
  <c r="EW123" s="1"/>
  <c r="FF120"/>
  <c r="DW120"/>
  <c r="EB120"/>
  <c r="EQ120" s="1"/>
  <c r="EK120"/>
  <c r="EW120" s="1"/>
  <c r="EI120"/>
  <c r="EX120"/>
  <c r="FF117"/>
  <c r="DW117"/>
  <c r="EB117"/>
  <c r="EQ117" s="1"/>
  <c r="EK117"/>
  <c r="EW117" s="1"/>
  <c r="EI117"/>
  <c r="EX117"/>
  <c r="FF114"/>
  <c r="DW114"/>
  <c r="EB114"/>
  <c r="EQ114" s="1"/>
  <c r="EI114"/>
  <c r="EX114"/>
  <c r="EK114"/>
  <c r="EW114" s="1"/>
  <c r="DW111"/>
  <c r="EB111"/>
  <c r="EQ111" s="1"/>
  <c r="EI111"/>
  <c r="EX111"/>
  <c r="GS111" s="1"/>
  <c r="EK111"/>
  <c r="EW111" s="1"/>
  <c r="DW107"/>
  <c r="EB107"/>
  <c r="EQ107" s="1"/>
  <c r="EI107"/>
  <c r="EX107"/>
  <c r="EK107"/>
  <c r="EW107" s="1"/>
  <c r="DW104"/>
  <c r="EB104"/>
  <c r="EQ104" s="1"/>
  <c r="EK104"/>
  <c r="EW104" s="1"/>
  <c r="EI104"/>
  <c r="EX104"/>
  <c r="GS104" s="1"/>
  <c r="DW101"/>
  <c r="EB101"/>
  <c r="EQ101" s="1"/>
  <c r="EK101"/>
  <c r="EW101" s="1"/>
  <c r="EI101"/>
  <c r="EX101"/>
  <c r="GS101" s="1"/>
  <c r="FF98"/>
  <c r="DW98"/>
  <c r="EB98"/>
  <c r="EQ98" s="1"/>
  <c r="EI98"/>
  <c r="EX98"/>
  <c r="EK98"/>
  <c r="EW98" s="1"/>
  <c r="FF95"/>
  <c r="DW95"/>
  <c r="EB95"/>
  <c r="EQ95" s="1"/>
  <c r="EI95"/>
  <c r="EX95"/>
  <c r="EK95"/>
  <c r="EW95" s="1"/>
  <c r="FF92"/>
  <c r="DW92"/>
  <c r="EB92"/>
  <c r="EQ92" s="1"/>
  <c r="EK92"/>
  <c r="EW92" s="1"/>
  <c r="EI92"/>
  <c r="EX92"/>
  <c r="FF89"/>
  <c r="DW89"/>
  <c r="EK89"/>
  <c r="EW89" s="1"/>
  <c r="EI89"/>
  <c r="EX89"/>
  <c r="FF88"/>
  <c r="DW88"/>
  <c r="EB88"/>
  <c r="EQ88" s="1"/>
  <c r="EK88"/>
  <c r="EW88" s="1"/>
  <c r="EI88"/>
  <c r="EX88"/>
  <c r="FF85"/>
  <c r="DW85"/>
  <c r="EB85"/>
  <c r="EQ85" s="1"/>
  <c r="EK85"/>
  <c r="EW85" s="1"/>
  <c r="EI85"/>
  <c r="EX85"/>
  <c r="FF82"/>
  <c r="DW82"/>
  <c r="EB82"/>
  <c r="EQ82" s="1"/>
  <c r="EI82"/>
  <c r="EX82"/>
  <c r="EK82"/>
  <c r="EW82" s="1"/>
  <c r="FF79"/>
  <c r="DW79"/>
  <c r="EB79"/>
  <c r="EQ79" s="1"/>
  <c r="EI79"/>
  <c r="EX79"/>
  <c r="EK79"/>
  <c r="EW79" s="1"/>
  <c r="FF76"/>
  <c r="DW76"/>
  <c r="EB76"/>
  <c r="EQ76" s="1"/>
  <c r="EK76"/>
  <c r="EW76" s="1"/>
  <c r="EI76"/>
  <c r="EX76"/>
  <c r="FF70"/>
  <c r="DW70"/>
  <c r="EB70"/>
  <c r="EQ70" s="1"/>
  <c r="EI70"/>
  <c r="EX70"/>
  <c r="EK70"/>
  <c r="EW70" s="1"/>
  <c r="FF67"/>
  <c r="DW67"/>
  <c r="EB67"/>
  <c r="EQ67" s="1"/>
  <c r="EI67"/>
  <c r="EX67"/>
  <c r="EK67"/>
  <c r="EW67" s="1"/>
  <c r="FF64"/>
  <c r="DW64"/>
  <c r="EB64"/>
  <c r="EQ64" s="1"/>
  <c r="EK64"/>
  <c r="EW64" s="1"/>
  <c r="EI64"/>
  <c r="EX64"/>
  <c r="GS64" s="1"/>
  <c r="FF61"/>
  <c r="DW61"/>
  <c r="EB61"/>
  <c r="EQ61" s="1"/>
  <c r="EK61"/>
  <c r="EW61" s="1"/>
  <c r="EI61"/>
  <c r="EX61"/>
  <c r="DW58"/>
  <c r="EB58"/>
  <c r="EQ58" s="1"/>
  <c r="EI58"/>
  <c r="EX58"/>
  <c r="EK58"/>
  <c r="EW58" s="1"/>
  <c r="DW55"/>
  <c r="EB55"/>
  <c r="EQ55" s="1"/>
  <c r="EI55"/>
  <c r="EX55"/>
  <c r="EK55"/>
  <c r="EW55" s="1"/>
  <c r="DW51"/>
  <c r="EB51"/>
  <c r="EQ51" s="1"/>
  <c r="EI51"/>
  <c r="EX51"/>
  <c r="GS51" s="1"/>
  <c r="EK51"/>
  <c r="EW51" s="1"/>
  <c r="DW48"/>
  <c r="EB48"/>
  <c r="EQ48" s="1"/>
  <c r="EK48"/>
  <c r="EW48" s="1"/>
  <c r="EI48"/>
  <c r="EX48"/>
  <c r="GS48" s="1"/>
  <c r="DW45"/>
  <c r="EB45"/>
  <c r="EQ45" s="1"/>
  <c r="EK45"/>
  <c r="EW45" s="1"/>
  <c r="EI45"/>
  <c r="EX45"/>
  <c r="FF42"/>
  <c r="DW42"/>
  <c r="EB42"/>
  <c r="EQ42" s="1"/>
  <c r="EI42"/>
  <c r="EX42"/>
  <c r="EK42"/>
  <c r="EW42" s="1"/>
  <c r="FF39"/>
  <c r="DW39"/>
  <c r="EB39"/>
  <c r="EQ39" s="1"/>
  <c r="EI39"/>
  <c r="EX39"/>
  <c r="EK39"/>
  <c r="EW39" s="1"/>
  <c r="DW36"/>
  <c r="EB36"/>
  <c r="EQ36" s="1"/>
  <c r="EX36"/>
  <c r="DW33"/>
  <c r="EB33"/>
  <c r="EQ33" s="1"/>
  <c r="EX33"/>
  <c r="DW30"/>
  <c r="EB30"/>
  <c r="EQ30" s="1"/>
  <c r="EX30"/>
  <c r="DW27"/>
  <c r="EB27"/>
  <c r="EQ27" s="1"/>
  <c r="EX27"/>
  <c r="DW24"/>
  <c r="EX24"/>
  <c r="DW17"/>
  <c r="EB17"/>
  <c r="EQ17" s="1"/>
  <c r="BQ102"/>
  <c r="BW102" s="1"/>
  <c r="FF58"/>
  <c r="FF54"/>
  <c r="FF45"/>
  <c r="FF55"/>
  <c r="FF102"/>
  <c r="FF110"/>
  <c r="FF107"/>
  <c r="FF103"/>
  <c r="EB26"/>
  <c r="EQ26" s="1"/>
  <c r="EB28"/>
  <c r="EQ28" s="1"/>
  <c r="EB60"/>
  <c r="EQ60" s="1"/>
  <c r="DZ10"/>
  <c r="EB24"/>
  <c r="EQ24" s="1"/>
  <c r="DZ42"/>
  <c r="DZ22"/>
  <c r="DZ54"/>
  <c r="EB171"/>
  <c r="EQ171" s="1"/>
  <c r="EB196"/>
  <c r="EQ196" s="1"/>
  <c r="EB89"/>
  <c r="EQ89" s="1"/>
  <c r="DZ94"/>
  <c r="EB108"/>
  <c r="EQ108" s="1"/>
  <c r="EB183"/>
  <c r="EQ183" s="1"/>
  <c r="EB110"/>
  <c r="EQ110" s="1"/>
  <c r="EB201"/>
  <c r="EQ201" s="1"/>
  <c r="EB127"/>
  <c r="EQ127" s="1"/>
  <c r="EB143"/>
  <c r="EQ143" s="1"/>
  <c r="EB151"/>
  <c r="EQ151" s="1"/>
  <c r="EB135"/>
  <c r="EQ135" s="1"/>
  <c r="EB131"/>
  <c r="EQ131" s="1"/>
  <c r="EB147"/>
  <c r="EQ147" s="1"/>
  <c r="EB155"/>
  <c r="EQ155" s="1"/>
  <c r="EB139"/>
  <c r="EQ139" s="1"/>
  <c r="AZ193"/>
  <c r="AX17"/>
  <c r="AZ64"/>
  <c r="AT57"/>
  <c r="AT117"/>
  <c r="BQ54"/>
  <c r="BW54" s="1"/>
  <c r="BQ103"/>
  <c r="BW103" s="1"/>
  <c r="BQ127"/>
  <c r="BW127" s="1"/>
  <c r="BQ48"/>
  <c r="BW81"/>
  <c r="BW183"/>
  <c r="BW77"/>
  <c r="BQ181"/>
  <c r="BQ189"/>
  <c r="CT59"/>
  <c r="CT123"/>
  <c r="CN36"/>
  <c r="CT36" s="1"/>
  <c r="CT107"/>
  <c r="CN160"/>
  <c r="CT160" s="1"/>
  <c r="CN57"/>
  <c r="CT57" s="1"/>
  <c r="AT136"/>
  <c r="AT174"/>
  <c r="AZ174" s="1"/>
  <c r="AT89"/>
  <c r="AT190"/>
  <c r="AT65"/>
  <c r="AZ65" s="1"/>
  <c r="BG65" s="1"/>
  <c r="BH65" s="1"/>
  <c r="EN65" s="1"/>
  <c r="BQ26"/>
  <c r="BW26" s="1"/>
  <c r="BQ138"/>
  <c r="BW138" s="1"/>
  <c r="BQ30"/>
  <c r="BW30" s="1"/>
  <c r="BQ99"/>
  <c r="BW99" s="1"/>
  <c r="BQ107"/>
  <c r="BQ123"/>
  <c r="BQ147"/>
  <c r="BW147" s="1"/>
  <c r="BQ29"/>
  <c r="BW29" s="1"/>
  <c r="BQ35"/>
  <c r="BQ85"/>
  <c r="BQ91"/>
  <c r="BW91" s="1"/>
  <c r="CT43"/>
  <c r="CN74"/>
  <c r="CT74" s="1"/>
  <c r="CT139"/>
  <c r="CN147"/>
  <c r="CT20"/>
  <c r="CT55"/>
  <c r="CN151"/>
  <c r="CT151" s="1"/>
  <c r="CN189"/>
  <c r="CT189" s="1"/>
  <c r="CN194"/>
  <c r="CT194" s="1"/>
  <c r="CN56"/>
  <c r="CT56" s="1"/>
  <c r="CN72"/>
  <c r="CT72" s="1"/>
  <c r="CN88"/>
  <c r="CT88" s="1"/>
  <c r="CN29"/>
  <c r="CT29" s="1"/>
  <c r="CN45"/>
  <c r="CT45" s="1"/>
  <c r="CN118"/>
  <c r="CN164"/>
  <c r="CT164" s="1"/>
  <c r="CN196"/>
  <c r="CT196" s="1"/>
  <c r="CN171"/>
  <c r="CT171" s="1"/>
  <c r="AT15"/>
  <c r="AZ169"/>
  <c r="AT9"/>
  <c r="AZ9" s="1"/>
  <c r="AT68"/>
  <c r="AZ68" s="1"/>
  <c r="AT84"/>
  <c r="AZ84" s="1"/>
  <c r="AT100"/>
  <c r="AZ100" s="1"/>
  <c r="AT102"/>
  <c r="AZ102" s="1"/>
  <c r="AZ57"/>
  <c r="AZ80"/>
  <c r="AT129"/>
  <c r="AT58"/>
  <c r="AZ58" s="1"/>
  <c r="AT74"/>
  <c r="AZ74" s="1"/>
  <c r="AT122"/>
  <c r="AZ122" s="1"/>
  <c r="BQ15"/>
  <c r="BW15" s="1"/>
  <c r="BQ151"/>
  <c r="BU133"/>
  <c r="BW88"/>
  <c r="BW175"/>
  <c r="BQ43"/>
  <c r="BW43" s="1"/>
  <c r="BQ75"/>
  <c r="BQ165"/>
  <c r="BW165" s="1"/>
  <c r="BQ21"/>
  <c r="BW21" s="1"/>
  <c r="BQ157"/>
  <c r="BW157" s="1"/>
  <c r="BQ137"/>
  <c r="CT83"/>
  <c r="CT99"/>
  <c r="CN90"/>
  <c r="CT90" s="1"/>
  <c r="CT28"/>
  <c r="CN52"/>
  <c r="CT52" s="1"/>
  <c r="CN154"/>
  <c r="CT154" s="1"/>
  <c r="CN169"/>
  <c r="CT169" s="1"/>
  <c r="CN201"/>
  <c r="CT201" s="1"/>
  <c r="CN40"/>
  <c r="CT40" s="1"/>
  <c r="CN9"/>
  <c r="CT9" s="1"/>
  <c r="O18" i="4" s="1"/>
  <c r="CN53" i="9"/>
  <c r="CT53" s="1"/>
  <c r="CN101"/>
  <c r="CT101" s="1"/>
  <c r="CN138"/>
  <c r="CT138" s="1"/>
  <c r="CN85"/>
  <c r="CN109"/>
  <c r="CT109" s="1"/>
  <c r="CN158"/>
  <c r="CT158" s="1"/>
  <c r="CN155"/>
  <c r="CT155" s="1"/>
  <c r="CN167"/>
  <c r="CT167" s="1"/>
  <c r="CN199"/>
  <c r="CT199" s="1"/>
  <c r="CN163"/>
  <c r="CT163" s="1"/>
  <c r="CN195"/>
  <c r="CT195" s="1"/>
  <c r="AT142"/>
  <c r="AZ142" s="1"/>
  <c r="BQ66"/>
  <c r="BW66" s="1"/>
  <c r="AZ182"/>
  <c r="AT46"/>
  <c r="AZ46" s="1"/>
  <c r="AT195"/>
  <c r="AZ195" s="1"/>
  <c r="AT78"/>
  <c r="AZ78" s="1"/>
  <c r="AT164"/>
  <c r="AT11"/>
  <c r="AZ11" s="1"/>
  <c r="AT130"/>
  <c r="AZ130" s="1"/>
  <c r="AZ190"/>
  <c r="BQ71"/>
  <c r="AT87"/>
  <c r="AZ87" s="1"/>
  <c r="AT13"/>
  <c r="AZ13" s="1"/>
  <c r="AT97"/>
  <c r="AZ97" s="1"/>
  <c r="AT192"/>
  <c r="AZ192" s="1"/>
  <c r="AX190"/>
  <c r="BQ112"/>
  <c r="BW112" s="1"/>
  <c r="AT47"/>
  <c r="AZ47" s="1"/>
  <c r="BG47" s="1"/>
  <c r="BH47" s="1"/>
  <c r="EN47" s="1"/>
  <c r="AT99"/>
  <c r="AZ99" s="1"/>
  <c r="AT146"/>
  <c r="AZ146" s="1"/>
  <c r="AT202"/>
  <c r="AZ202" s="1"/>
  <c r="AT171"/>
  <c r="AZ171" s="1"/>
  <c r="AZ63"/>
  <c r="BQ34"/>
  <c r="BW34" s="1"/>
  <c r="BQ149"/>
  <c r="BW149" s="1"/>
  <c r="BW47"/>
  <c r="AZ55"/>
  <c r="AZ95"/>
  <c r="AZ153"/>
  <c r="AT149"/>
  <c r="AZ149" s="1"/>
  <c r="AZ111"/>
  <c r="AT119"/>
  <c r="AZ119" s="1"/>
  <c r="AZ127"/>
  <c r="AT45"/>
  <c r="AZ45" s="1"/>
  <c r="BQ116"/>
  <c r="BW116" s="1"/>
  <c r="AT19"/>
  <c r="AT161"/>
  <c r="AZ161" s="1"/>
  <c r="AT50"/>
  <c r="AZ50" s="1"/>
  <c r="AT66"/>
  <c r="AZ66" s="1"/>
  <c r="AT82"/>
  <c r="AZ82" s="1"/>
  <c r="AT98"/>
  <c r="AZ98" s="1"/>
  <c r="AT120"/>
  <c r="AZ120" s="1"/>
  <c r="BW145"/>
  <c r="BQ32"/>
  <c r="BW32" s="1"/>
  <c r="BQ24"/>
  <c r="BW24" s="1"/>
  <c r="BQ182"/>
  <c r="BW182" s="1"/>
  <c r="AT38"/>
  <c r="AZ38" s="1"/>
  <c r="AT70"/>
  <c r="AZ70" s="1"/>
  <c r="AT86"/>
  <c r="AZ86" s="1"/>
  <c r="AT118"/>
  <c r="AZ118" s="1"/>
  <c r="AT134"/>
  <c r="AZ134" s="1"/>
  <c r="AT159"/>
  <c r="AZ159" s="1"/>
  <c r="AZ89"/>
  <c r="AT69"/>
  <c r="AZ69" s="1"/>
  <c r="AT167"/>
  <c r="AZ167" s="1"/>
  <c r="BW90"/>
  <c r="BQ108"/>
  <c r="BW108" s="1"/>
  <c r="BQ144"/>
  <c r="BW144" s="1"/>
  <c r="BQ174"/>
  <c r="BW174" s="1"/>
  <c r="AT206"/>
  <c r="AZ206" s="1"/>
  <c r="BQ42"/>
  <c r="BW42" s="1"/>
  <c r="BQ74"/>
  <c r="BW74" s="1"/>
  <c r="CT147"/>
  <c r="BW13"/>
  <c r="BQ114"/>
  <c r="BW114" s="1"/>
  <c r="BQ46"/>
  <c r="BW46" s="1"/>
  <c r="BQ78"/>
  <c r="BW78" s="1"/>
  <c r="BQ185"/>
  <c r="BW185" s="1"/>
  <c r="BQ16"/>
  <c r="BW16" s="1"/>
  <c r="BW73"/>
  <c r="BQ100"/>
  <c r="BW100" s="1"/>
  <c r="BQ63"/>
  <c r="BW63" s="1"/>
  <c r="BQ31"/>
  <c r="BW31" s="1"/>
  <c r="BQ55"/>
  <c r="BW55" s="1"/>
  <c r="BQ79"/>
  <c r="BW203"/>
  <c r="BQ159"/>
  <c r="BW159" s="1"/>
  <c r="BQ191"/>
  <c r="BW191" s="1"/>
  <c r="BQ20"/>
  <c r="BW20" s="1"/>
  <c r="AT59"/>
  <c r="AZ59" s="1"/>
  <c r="AT91"/>
  <c r="AZ91" s="1"/>
  <c r="AT112"/>
  <c r="AZ112" s="1"/>
  <c r="AT128"/>
  <c r="AZ128" s="1"/>
  <c r="AZ136"/>
  <c r="AT144"/>
  <c r="AZ144" s="1"/>
  <c r="AZ204"/>
  <c r="AZ131"/>
  <c r="AT139"/>
  <c r="AZ139" s="1"/>
  <c r="AT177"/>
  <c r="AZ177" s="1"/>
  <c r="AT41"/>
  <c r="AZ41" s="1"/>
  <c r="AZ72"/>
  <c r="AZ104"/>
  <c r="AT156"/>
  <c r="AZ156" s="1"/>
  <c r="AT175"/>
  <c r="AZ175" s="1"/>
  <c r="AT77"/>
  <c r="AZ77" s="1"/>
  <c r="AT133"/>
  <c r="AZ133" s="1"/>
  <c r="AZ129"/>
  <c r="BQ19"/>
  <c r="BW19" s="1"/>
  <c r="BQ126"/>
  <c r="BW126" s="1"/>
  <c r="BQ186"/>
  <c r="BW186" s="1"/>
  <c r="BQ169"/>
  <c r="BW169" s="1"/>
  <c r="BQ150"/>
  <c r="BW150" s="1"/>
  <c r="BW167"/>
  <c r="BW192"/>
  <c r="BW35"/>
  <c r="BQ61"/>
  <c r="BW61" s="1"/>
  <c r="BQ67"/>
  <c r="BW67" s="1"/>
  <c r="BW85"/>
  <c r="BQ105"/>
  <c r="BW105" s="1"/>
  <c r="BQ129"/>
  <c r="BW129" s="1"/>
  <c r="BW181"/>
  <c r="BW189"/>
  <c r="BQ197"/>
  <c r="BW197" s="1"/>
  <c r="BQ139"/>
  <c r="BW139" s="1"/>
  <c r="BQ33"/>
  <c r="BW33" s="1"/>
  <c r="BQ57"/>
  <c r="BW57" s="1"/>
  <c r="BQ117"/>
  <c r="BW117" s="1"/>
  <c r="AZ71"/>
  <c r="AT110"/>
  <c r="AZ110" s="1"/>
  <c r="AT126"/>
  <c r="AZ126" s="1"/>
  <c r="AT143"/>
  <c r="AZ143" s="1"/>
  <c r="AT158"/>
  <c r="AZ158" s="1"/>
  <c r="AZ21"/>
  <c r="AT176"/>
  <c r="AZ176" s="1"/>
  <c r="AT10"/>
  <c r="AZ10" s="1"/>
  <c r="AT37"/>
  <c r="AZ37" s="1"/>
  <c r="AT61"/>
  <c r="AZ61" s="1"/>
  <c r="AT49"/>
  <c r="AZ49" s="1"/>
  <c r="BQ27"/>
  <c r="BW27" s="1"/>
  <c r="BQ84"/>
  <c r="BW84" s="1"/>
  <c r="BQ104"/>
  <c r="BW104" s="1"/>
  <c r="BW122"/>
  <c r="BW71"/>
  <c r="BQ70"/>
  <c r="BW70" s="1"/>
  <c r="BQ111"/>
  <c r="BW111" s="1"/>
  <c r="BQ135"/>
  <c r="BW135" s="1"/>
  <c r="BQ198"/>
  <c r="BW198" s="1"/>
  <c r="BQ40"/>
  <c r="BW40" s="1"/>
  <c r="BW48"/>
  <c r="BQ109"/>
  <c r="BW109" s="1"/>
  <c r="BQ176"/>
  <c r="BW176" s="1"/>
  <c r="BQ37"/>
  <c r="BW37" s="1"/>
  <c r="BQ69"/>
  <c r="BW69" s="1"/>
  <c r="BW75"/>
  <c r="BQ89"/>
  <c r="BW115"/>
  <c r="BQ41"/>
  <c r="BW41" s="1"/>
  <c r="BQ65"/>
  <c r="BW65" s="1"/>
  <c r="AT114"/>
  <c r="AZ114" s="1"/>
  <c r="AT166"/>
  <c r="AZ166" s="1"/>
  <c r="AZ39"/>
  <c r="AZ85"/>
  <c r="AT105"/>
  <c r="AZ105" s="1"/>
  <c r="BW107"/>
  <c r="BW123"/>
  <c r="BQ131"/>
  <c r="BW131" s="1"/>
  <c r="BQ190"/>
  <c r="BW190" s="1"/>
  <c r="BQ59"/>
  <c r="BW59" s="1"/>
  <c r="BQ93"/>
  <c r="AT62"/>
  <c r="AZ62" s="1"/>
  <c r="AT94"/>
  <c r="AZ94" s="1"/>
  <c r="CN207"/>
  <c r="CT207" s="1"/>
  <c r="AT199"/>
  <c r="AZ199" s="1"/>
  <c r="AT135"/>
  <c r="AZ135" s="1"/>
  <c r="AT123"/>
  <c r="AZ123" s="1"/>
  <c r="AT52"/>
  <c r="AZ52" s="1"/>
  <c r="AZ109"/>
  <c r="AT40"/>
  <c r="AZ40" s="1"/>
  <c r="AT88"/>
  <c r="AZ88" s="1"/>
  <c r="AZ164"/>
  <c r="AT53"/>
  <c r="AT101"/>
  <c r="AT200"/>
  <c r="AZ200" s="1"/>
  <c r="AT35"/>
  <c r="AZ35" s="1"/>
  <c r="AT51"/>
  <c r="AZ51" s="1"/>
  <c r="AT18"/>
  <c r="AZ18" s="1"/>
  <c r="AT180"/>
  <c r="AT194"/>
  <c r="AZ194" s="1"/>
  <c r="AZ53"/>
  <c r="CT117"/>
  <c r="CN13"/>
  <c r="CT13" s="1"/>
  <c r="CN42"/>
  <c r="CT42" s="1"/>
  <c r="CN106"/>
  <c r="CT106" s="1"/>
  <c r="CN122"/>
  <c r="CT122" s="1"/>
  <c r="CN38"/>
  <c r="CT38" s="1"/>
  <c r="CN70"/>
  <c r="CT70" s="1"/>
  <c r="CN102"/>
  <c r="CT102" s="1"/>
  <c r="CT118"/>
  <c r="CT134"/>
  <c r="CT129"/>
  <c r="CT145"/>
  <c r="CN133"/>
  <c r="CT133" s="1"/>
  <c r="CN176"/>
  <c r="CT176" s="1"/>
  <c r="CN141"/>
  <c r="CT141" s="1"/>
  <c r="CN18"/>
  <c r="CT18" s="1"/>
  <c r="CN50"/>
  <c r="CT50" s="1"/>
  <c r="CT85"/>
  <c r="CN46"/>
  <c r="CT46" s="1"/>
  <c r="CN78"/>
  <c r="CT78" s="1"/>
  <c r="CN184"/>
  <c r="CT184" s="1"/>
  <c r="CN104"/>
  <c r="CT104" s="1"/>
  <c r="CN162"/>
  <c r="CT162" s="1"/>
  <c r="BQ23"/>
  <c r="BW23" s="1"/>
  <c r="BW98"/>
  <c r="CN14"/>
  <c r="CT14" s="1"/>
  <c r="CN26"/>
  <c r="CT26" s="1"/>
  <c r="CN114"/>
  <c r="CT114" s="1"/>
  <c r="CT142"/>
  <c r="CN22"/>
  <c r="CT22" s="1"/>
  <c r="CN54"/>
  <c r="CT54" s="1"/>
  <c r="CN86"/>
  <c r="CT86" s="1"/>
  <c r="CT110"/>
  <c r="CT126"/>
  <c r="CN137"/>
  <c r="CT137" s="1"/>
  <c r="CN192"/>
  <c r="CT192" s="1"/>
  <c r="CN105"/>
  <c r="CT105" s="1"/>
  <c r="CW207"/>
  <c r="DA207"/>
  <c r="DB207" s="1"/>
  <c r="EP207" s="1"/>
  <c r="CY207"/>
  <c r="CX207"/>
  <c r="CW206"/>
  <c r="DA206"/>
  <c r="DB206" s="1"/>
  <c r="EP206" s="1"/>
  <c r="CY206"/>
  <c r="CX206"/>
  <c r="CW205"/>
  <c r="DA205"/>
  <c r="DB205" s="1"/>
  <c r="EP205" s="1"/>
  <c r="CY205"/>
  <c r="CX205"/>
  <c r="CW204"/>
  <c r="DA204"/>
  <c r="DB204" s="1"/>
  <c r="EP204" s="1"/>
  <c r="CY204"/>
  <c r="CX204"/>
  <c r="CW203"/>
  <c r="DA203"/>
  <c r="DB203" s="1"/>
  <c r="EP203" s="1"/>
  <c r="CY203"/>
  <c r="CX203"/>
  <c r="CW202"/>
  <c r="DA202"/>
  <c r="DB202" s="1"/>
  <c r="EP202" s="1"/>
  <c r="CY202"/>
  <c r="CX202"/>
  <c r="CW201"/>
  <c r="DA201"/>
  <c r="DB201" s="1"/>
  <c r="EP201" s="1"/>
  <c r="CY201"/>
  <c r="CX201"/>
  <c r="CW200"/>
  <c r="CY200"/>
  <c r="CX200"/>
  <c r="CW199"/>
  <c r="DA199"/>
  <c r="DB199" s="1"/>
  <c r="EP199" s="1"/>
  <c r="CY199"/>
  <c r="CX199"/>
  <c r="CW198"/>
  <c r="DA198"/>
  <c r="DB198" s="1"/>
  <c r="EP198" s="1"/>
  <c r="CY198"/>
  <c r="CX198"/>
  <c r="CW197"/>
  <c r="DA197"/>
  <c r="DB197" s="1"/>
  <c r="EP197" s="1"/>
  <c r="CY197"/>
  <c r="CX197"/>
  <c r="CW196"/>
  <c r="DA196"/>
  <c r="DB196" s="1"/>
  <c r="EP196" s="1"/>
  <c r="CY196"/>
  <c r="CX196"/>
  <c r="CW195"/>
  <c r="DA195"/>
  <c r="DB195" s="1"/>
  <c r="EP195" s="1"/>
  <c r="CY195"/>
  <c r="CX195"/>
  <c r="CW194"/>
  <c r="DA194"/>
  <c r="DB194" s="1"/>
  <c r="EP194" s="1"/>
  <c r="CY194"/>
  <c r="CX194"/>
  <c r="CW193"/>
  <c r="DA193"/>
  <c r="DB193" s="1"/>
  <c r="EP193" s="1"/>
  <c r="CY193"/>
  <c r="CX193"/>
  <c r="CW192"/>
  <c r="DA192"/>
  <c r="DB192" s="1"/>
  <c r="EP192" s="1"/>
  <c r="CY192"/>
  <c r="CX192"/>
  <c r="CW191"/>
  <c r="DA191"/>
  <c r="DB191" s="1"/>
  <c r="EP191" s="1"/>
  <c r="CY191"/>
  <c r="CX191"/>
  <c r="CW190"/>
  <c r="DA190"/>
  <c r="DB190" s="1"/>
  <c r="EP190" s="1"/>
  <c r="CY190"/>
  <c r="CX190"/>
  <c r="CW189"/>
  <c r="DA189"/>
  <c r="DB189" s="1"/>
  <c r="EP189" s="1"/>
  <c r="CY189"/>
  <c r="CX189"/>
  <c r="CW188"/>
  <c r="DA188"/>
  <c r="DB188" s="1"/>
  <c r="EP188" s="1"/>
  <c r="CY188"/>
  <c r="CX188"/>
  <c r="CW187"/>
  <c r="DA187"/>
  <c r="DB187" s="1"/>
  <c r="EP187" s="1"/>
  <c r="CY187"/>
  <c r="CX187"/>
  <c r="CW186"/>
  <c r="DA186"/>
  <c r="DB186" s="1"/>
  <c r="EP186" s="1"/>
  <c r="CY186"/>
  <c r="CX186"/>
  <c r="CW185"/>
  <c r="DA185"/>
  <c r="DB185" s="1"/>
  <c r="EP185" s="1"/>
  <c r="CY185"/>
  <c r="CX185"/>
  <c r="CW184"/>
  <c r="DA184"/>
  <c r="DB184" s="1"/>
  <c r="EP184" s="1"/>
  <c r="CY184"/>
  <c r="CX184"/>
  <c r="CW183"/>
  <c r="DA183"/>
  <c r="DB183" s="1"/>
  <c r="EP183" s="1"/>
  <c r="CY183"/>
  <c r="CX183"/>
  <c r="CW182"/>
  <c r="DA182"/>
  <c r="DB182" s="1"/>
  <c r="EP182" s="1"/>
  <c r="CY182"/>
  <c r="CX182"/>
  <c r="CW181"/>
  <c r="DA181"/>
  <c r="DB181" s="1"/>
  <c r="EP181" s="1"/>
  <c r="CY181"/>
  <c r="CX181"/>
  <c r="CW180"/>
  <c r="DA180"/>
  <c r="DB180" s="1"/>
  <c r="EP180" s="1"/>
  <c r="CY180"/>
  <c r="CX180"/>
  <c r="CW179"/>
  <c r="DA179"/>
  <c r="DB179" s="1"/>
  <c r="EP179" s="1"/>
  <c r="CY179"/>
  <c r="CX179"/>
  <c r="CW178"/>
  <c r="DA178"/>
  <c r="DB178" s="1"/>
  <c r="EP178" s="1"/>
  <c r="CY178"/>
  <c r="CX178"/>
  <c r="CW177"/>
  <c r="DA177"/>
  <c r="DB177" s="1"/>
  <c r="EP177" s="1"/>
  <c r="CY177"/>
  <c r="CX177"/>
  <c r="CW176"/>
  <c r="DA176"/>
  <c r="DB176" s="1"/>
  <c r="EP176" s="1"/>
  <c r="CY176"/>
  <c r="CX176"/>
  <c r="CW175"/>
  <c r="DA175"/>
  <c r="DB175" s="1"/>
  <c r="EP175" s="1"/>
  <c r="CY175"/>
  <c r="CX175"/>
  <c r="CW174"/>
  <c r="DA174"/>
  <c r="DB174" s="1"/>
  <c r="EP174" s="1"/>
  <c r="CY174"/>
  <c r="CX174"/>
  <c r="CW173"/>
  <c r="DA173"/>
  <c r="DB173" s="1"/>
  <c r="EP173" s="1"/>
  <c r="CY173"/>
  <c r="CX173"/>
  <c r="CW172"/>
  <c r="DA172"/>
  <c r="DB172" s="1"/>
  <c r="EP172" s="1"/>
  <c r="CY172"/>
  <c r="CX172"/>
  <c r="CW171"/>
  <c r="DA171"/>
  <c r="DB171" s="1"/>
  <c r="EP171" s="1"/>
  <c r="CY171"/>
  <c r="CX171"/>
  <c r="CW170"/>
  <c r="DA170"/>
  <c r="DB170" s="1"/>
  <c r="EP170" s="1"/>
  <c r="CY170"/>
  <c r="CX170"/>
  <c r="CW169"/>
  <c r="DA169"/>
  <c r="DB169" s="1"/>
  <c r="EP169" s="1"/>
  <c r="CY169"/>
  <c r="CX169"/>
  <c r="CW168"/>
  <c r="CY168"/>
  <c r="CX168"/>
  <c r="CW167"/>
  <c r="DA167"/>
  <c r="DB167" s="1"/>
  <c r="EP167" s="1"/>
  <c r="CY167"/>
  <c r="CX167"/>
  <c r="CW166"/>
  <c r="DA166"/>
  <c r="DB166" s="1"/>
  <c r="EP166" s="1"/>
  <c r="CY166"/>
  <c r="CX166"/>
  <c r="CW165"/>
  <c r="DA165"/>
  <c r="DB165" s="1"/>
  <c r="EP165" s="1"/>
  <c r="CY165"/>
  <c r="CX165"/>
  <c r="CW164"/>
  <c r="DA164"/>
  <c r="DB164" s="1"/>
  <c r="EP164" s="1"/>
  <c r="CY164"/>
  <c r="CX164"/>
  <c r="CW163"/>
  <c r="DA163"/>
  <c r="DB163" s="1"/>
  <c r="EP163" s="1"/>
  <c r="CY163"/>
  <c r="CX163"/>
  <c r="CW162"/>
  <c r="DA162"/>
  <c r="DB162" s="1"/>
  <c r="EP162" s="1"/>
  <c r="CY162"/>
  <c r="CX162"/>
  <c r="CW161"/>
  <c r="DA161"/>
  <c r="DB161" s="1"/>
  <c r="EP161" s="1"/>
  <c r="CY161"/>
  <c r="CX161"/>
  <c r="CW160"/>
  <c r="DA160"/>
  <c r="DB160" s="1"/>
  <c r="EP160" s="1"/>
  <c r="CY160"/>
  <c r="CX160"/>
  <c r="CW159"/>
  <c r="DA159"/>
  <c r="DB159" s="1"/>
  <c r="EP159" s="1"/>
  <c r="CY159"/>
  <c r="CX159"/>
  <c r="CW158"/>
  <c r="DA158"/>
  <c r="DB158" s="1"/>
  <c r="EP158" s="1"/>
  <c r="CY158"/>
  <c r="CX158"/>
  <c r="CW157"/>
  <c r="DA157"/>
  <c r="DB157" s="1"/>
  <c r="EP157" s="1"/>
  <c r="CY157"/>
  <c r="CX157"/>
  <c r="CW156"/>
  <c r="DA156"/>
  <c r="DB156" s="1"/>
  <c r="EP156" s="1"/>
  <c r="CY156"/>
  <c r="CX156"/>
  <c r="CW155"/>
  <c r="DA155"/>
  <c r="DB155" s="1"/>
  <c r="EP155" s="1"/>
  <c r="CY155"/>
  <c r="CX155"/>
  <c r="CW154"/>
  <c r="DA154"/>
  <c r="DB154" s="1"/>
  <c r="EP154" s="1"/>
  <c r="CY154"/>
  <c r="CX154"/>
  <c r="CW153"/>
  <c r="CY153"/>
  <c r="CX153"/>
  <c r="CW152"/>
  <c r="CY152"/>
  <c r="CX152"/>
  <c r="CW151"/>
  <c r="DA151"/>
  <c r="DB151" s="1"/>
  <c r="EP151" s="1"/>
  <c r="CY151"/>
  <c r="CX151"/>
  <c r="CW150"/>
  <c r="CY150"/>
  <c r="CX150"/>
  <c r="CW149"/>
  <c r="DA149"/>
  <c r="DB149" s="1"/>
  <c r="EP149" s="1"/>
  <c r="CY149"/>
  <c r="CX149"/>
  <c r="CW148"/>
  <c r="CY148"/>
  <c r="CX148"/>
  <c r="CW147"/>
  <c r="DA147"/>
  <c r="DB147" s="1"/>
  <c r="EP147" s="1"/>
  <c r="CY147"/>
  <c r="CX147"/>
  <c r="CW146"/>
  <c r="DA146"/>
  <c r="DB146" s="1"/>
  <c r="EP146" s="1"/>
  <c r="CY146"/>
  <c r="CX146"/>
  <c r="CW145"/>
  <c r="DA145"/>
  <c r="DB145" s="1"/>
  <c r="EP145" s="1"/>
  <c r="CY145"/>
  <c r="CX145"/>
  <c r="CW144"/>
  <c r="CY144"/>
  <c r="CX144"/>
  <c r="CW143"/>
  <c r="DA143"/>
  <c r="DB143" s="1"/>
  <c r="EP143" s="1"/>
  <c r="CY143"/>
  <c r="CX143"/>
  <c r="CW142"/>
  <c r="DA142"/>
  <c r="DB142" s="1"/>
  <c r="EP142" s="1"/>
  <c r="CY142"/>
  <c r="CX142"/>
  <c r="CW141"/>
  <c r="DA141"/>
  <c r="DB141" s="1"/>
  <c r="EP141" s="1"/>
  <c r="CY141"/>
  <c r="CX141"/>
  <c r="CX140"/>
  <c r="CW140"/>
  <c r="CY140"/>
  <c r="CX139"/>
  <c r="CW139"/>
  <c r="DA139"/>
  <c r="DB139" s="1"/>
  <c r="EP139" s="1"/>
  <c r="CY139"/>
  <c r="CX138"/>
  <c r="CW138"/>
  <c r="DA138"/>
  <c r="DB138" s="1"/>
  <c r="EP138" s="1"/>
  <c r="CY138"/>
  <c r="CX137"/>
  <c r="CW137"/>
  <c r="DA137"/>
  <c r="DB137" s="1"/>
  <c r="EP137" s="1"/>
  <c r="CY137"/>
  <c r="CX136"/>
  <c r="CW136"/>
  <c r="CY136"/>
  <c r="CX135"/>
  <c r="CW135"/>
  <c r="DA135"/>
  <c r="DB135" s="1"/>
  <c r="EP135" s="1"/>
  <c r="CY135"/>
  <c r="CX134"/>
  <c r="CW134"/>
  <c r="DA134"/>
  <c r="DB134" s="1"/>
  <c r="EP134" s="1"/>
  <c r="CY134"/>
  <c r="CX133"/>
  <c r="CW133"/>
  <c r="DA133"/>
  <c r="DB133" s="1"/>
  <c r="EP133" s="1"/>
  <c r="CY133"/>
  <c r="CX132"/>
  <c r="CW132"/>
  <c r="CY132"/>
  <c r="CX131"/>
  <c r="CW131"/>
  <c r="DA131"/>
  <c r="DB131" s="1"/>
  <c r="EP131" s="1"/>
  <c r="CY131"/>
  <c r="CX130"/>
  <c r="CW130"/>
  <c r="DA130"/>
  <c r="DB130" s="1"/>
  <c r="EP130" s="1"/>
  <c r="CY130"/>
  <c r="CX129"/>
  <c r="CW129"/>
  <c r="DA129"/>
  <c r="DB129" s="1"/>
  <c r="EP129" s="1"/>
  <c r="CY129"/>
  <c r="CX128"/>
  <c r="CW128"/>
  <c r="CY128"/>
  <c r="CX127"/>
  <c r="CW127"/>
  <c r="DA127"/>
  <c r="DB127" s="1"/>
  <c r="EP127" s="1"/>
  <c r="CY127"/>
  <c r="CX126"/>
  <c r="CW126"/>
  <c r="DA126"/>
  <c r="DB126" s="1"/>
  <c r="EP126" s="1"/>
  <c r="CY126"/>
  <c r="CX125"/>
  <c r="CW125"/>
  <c r="DA125"/>
  <c r="DB125" s="1"/>
  <c r="EP125" s="1"/>
  <c r="CY125"/>
  <c r="CX124"/>
  <c r="CW124"/>
  <c r="CY124"/>
  <c r="CX123"/>
  <c r="CW123"/>
  <c r="DA123"/>
  <c r="DB123" s="1"/>
  <c r="EP123" s="1"/>
  <c r="CY123"/>
  <c r="CX122"/>
  <c r="CW122"/>
  <c r="DA122"/>
  <c r="DB122" s="1"/>
  <c r="EP122" s="1"/>
  <c r="CY122"/>
  <c r="CX121"/>
  <c r="CW121"/>
  <c r="DA121"/>
  <c r="DB121" s="1"/>
  <c r="EP121" s="1"/>
  <c r="CY121"/>
  <c r="CX120"/>
  <c r="CW120"/>
  <c r="CY120"/>
  <c r="CX119"/>
  <c r="CW119"/>
  <c r="DA119"/>
  <c r="DB119" s="1"/>
  <c r="EP119" s="1"/>
  <c r="CY119"/>
  <c r="CX118"/>
  <c r="CW118"/>
  <c r="DA118"/>
  <c r="DB118" s="1"/>
  <c r="EP118" s="1"/>
  <c r="CY118"/>
  <c r="CX117"/>
  <c r="CW117"/>
  <c r="DA117"/>
  <c r="DB117" s="1"/>
  <c r="EP117" s="1"/>
  <c r="CY117"/>
  <c r="CX116"/>
  <c r="CW116"/>
  <c r="CY116"/>
  <c r="CX115"/>
  <c r="CW115"/>
  <c r="DA115"/>
  <c r="DB115" s="1"/>
  <c r="EP115" s="1"/>
  <c r="CY115"/>
  <c r="CX114"/>
  <c r="CW114"/>
  <c r="DA114"/>
  <c r="DB114" s="1"/>
  <c r="EP114" s="1"/>
  <c r="CY114"/>
  <c r="CX113"/>
  <c r="CW113"/>
  <c r="DA113"/>
  <c r="DB113" s="1"/>
  <c r="EP113" s="1"/>
  <c r="CY113"/>
  <c r="CX112"/>
  <c r="CW112"/>
  <c r="CY112"/>
  <c r="CX111"/>
  <c r="CW111"/>
  <c r="DA111"/>
  <c r="DB111" s="1"/>
  <c r="EP111" s="1"/>
  <c r="CY111"/>
  <c r="CX110"/>
  <c r="CW110"/>
  <c r="DA110"/>
  <c r="DB110" s="1"/>
  <c r="EP110" s="1"/>
  <c r="CY110"/>
  <c r="CX109"/>
  <c r="CW109"/>
  <c r="DA109"/>
  <c r="DB109" s="1"/>
  <c r="EP109" s="1"/>
  <c r="CY109"/>
  <c r="CX108"/>
  <c r="CW108"/>
  <c r="CY108"/>
  <c r="CX107"/>
  <c r="CW107"/>
  <c r="DA107"/>
  <c r="DB107" s="1"/>
  <c r="EP107" s="1"/>
  <c r="CY107"/>
  <c r="CX106"/>
  <c r="CW106"/>
  <c r="DA106"/>
  <c r="DB106" s="1"/>
  <c r="EP106" s="1"/>
  <c r="CY106"/>
  <c r="CX105"/>
  <c r="CW105"/>
  <c r="DA105"/>
  <c r="DB105" s="1"/>
  <c r="EP105" s="1"/>
  <c r="CY105"/>
  <c r="CX104"/>
  <c r="CW104"/>
  <c r="DA104"/>
  <c r="DB104" s="1"/>
  <c r="EP104" s="1"/>
  <c r="CY104"/>
  <c r="CX103"/>
  <c r="CW103"/>
  <c r="DA103"/>
  <c r="DB103" s="1"/>
  <c r="EP103" s="1"/>
  <c r="CY103"/>
  <c r="CX102"/>
  <c r="CW102"/>
  <c r="DA102"/>
  <c r="DB102" s="1"/>
  <c r="EP102" s="1"/>
  <c r="CY102"/>
  <c r="CX101"/>
  <c r="CW101"/>
  <c r="DA101"/>
  <c r="DB101" s="1"/>
  <c r="EP101" s="1"/>
  <c r="CY101"/>
  <c r="CX100"/>
  <c r="CW100"/>
  <c r="DA100"/>
  <c r="DB100" s="1"/>
  <c r="EP100" s="1"/>
  <c r="CY100"/>
  <c r="CX99"/>
  <c r="CW99"/>
  <c r="DA99"/>
  <c r="DB99" s="1"/>
  <c r="EP99" s="1"/>
  <c r="CY99"/>
  <c r="CX98"/>
  <c r="CW98"/>
  <c r="DA98"/>
  <c r="DB98" s="1"/>
  <c r="EP98" s="1"/>
  <c r="CY98"/>
  <c r="CX97"/>
  <c r="CW97"/>
  <c r="DA97"/>
  <c r="DB97" s="1"/>
  <c r="EP97" s="1"/>
  <c r="CY97"/>
  <c r="CX96"/>
  <c r="CW96"/>
  <c r="DA96"/>
  <c r="DB96" s="1"/>
  <c r="EP96" s="1"/>
  <c r="CY96"/>
  <c r="CX95"/>
  <c r="CW95"/>
  <c r="DA95"/>
  <c r="DB95" s="1"/>
  <c r="EP95" s="1"/>
  <c r="CY95"/>
  <c r="CX94"/>
  <c r="CW94"/>
  <c r="CY94"/>
  <c r="CX93"/>
  <c r="CW93"/>
  <c r="DA93"/>
  <c r="DB93" s="1"/>
  <c r="EP93" s="1"/>
  <c r="CY93"/>
  <c r="CX92"/>
  <c r="CW92"/>
  <c r="DA92"/>
  <c r="DB92" s="1"/>
  <c r="EP92" s="1"/>
  <c r="CY92"/>
  <c r="CX91"/>
  <c r="CW91"/>
  <c r="DA91"/>
  <c r="DB91" s="1"/>
  <c r="EP91" s="1"/>
  <c r="CY91"/>
  <c r="CX90"/>
  <c r="CW90"/>
  <c r="DA90"/>
  <c r="DB90" s="1"/>
  <c r="EP90" s="1"/>
  <c r="CY90"/>
  <c r="CX89"/>
  <c r="CW89"/>
  <c r="DA89"/>
  <c r="DB89" s="1"/>
  <c r="EP89" s="1"/>
  <c r="CY89"/>
  <c r="CX88"/>
  <c r="CW88"/>
  <c r="DA88"/>
  <c r="DB88" s="1"/>
  <c r="EP88" s="1"/>
  <c r="CY88"/>
  <c r="CX87"/>
  <c r="CW87"/>
  <c r="DA87"/>
  <c r="DB87" s="1"/>
  <c r="EP87" s="1"/>
  <c r="CY87"/>
  <c r="CX86"/>
  <c r="CW86"/>
  <c r="DA86"/>
  <c r="DB86" s="1"/>
  <c r="EP86" s="1"/>
  <c r="CY86"/>
  <c r="CX85"/>
  <c r="CW85"/>
  <c r="DA85"/>
  <c r="DB85" s="1"/>
  <c r="EP85" s="1"/>
  <c r="CY85"/>
  <c r="CX84"/>
  <c r="CW84"/>
  <c r="DA84"/>
  <c r="DB84" s="1"/>
  <c r="EP84" s="1"/>
  <c r="CY84"/>
  <c r="CX83"/>
  <c r="CW83"/>
  <c r="DA83"/>
  <c r="DB83" s="1"/>
  <c r="EP83" s="1"/>
  <c r="CY83"/>
  <c r="CX82"/>
  <c r="CW82"/>
  <c r="DA82"/>
  <c r="DB82" s="1"/>
  <c r="EP82" s="1"/>
  <c r="CY82"/>
  <c r="CX81"/>
  <c r="CW81"/>
  <c r="DA81"/>
  <c r="DB81" s="1"/>
  <c r="EP81" s="1"/>
  <c r="CY81"/>
  <c r="CX80"/>
  <c r="CW80"/>
  <c r="DA80"/>
  <c r="DB80" s="1"/>
  <c r="EP80" s="1"/>
  <c r="CY80"/>
  <c r="CX79"/>
  <c r="CW79"/>
  <c r="DA79"/>
  <c r="DB79" s="1"/>
  <c r="EP79" s="1"/>
  <c r="CY79"/>
  <c r="CX78"/>
  <c r="CW78"/>
  <c r="DA78"/>
  <c r="DB78" s="1"/>
  <c r="EP78" s="1"/>
  <c r="CY78"/>
  <c r="CX77"/>
  <c r="CW77"/>
  <c r="DA77"/>
  <c r="DB77" s="1"/>
  <c r="EP77" s="1"/>
  <c r="CY77"/>
  <c r="CX76"/>
  <c r="CW76"/>
  <c r="DA76"/>
  <c r="DB76" s="1"/>
  <c r="EP76" s="1"/>
  <c r="CY76"/>
  <c r="CX75"/>
  <c r="CW75"/>
  <c r="DA75"/>
  <c r="DB75" s="1"/>
  <c r="EP75" s="1"/>
  <c r="CY75"/>
  <c r="CX74"/>
  <c r="CW74"/>
  <c r="DA74"/>
  <c r="DB74" s="1"/>
  <c r="EP74" s="1"/>
  <c r="CY74"/>
  <c r="CX73"/>
  <c r="CW73"/>
  <c r="DA73"/>
  <c r="DB73" s="1"/>
  <c r="EP73" s="1"/>
  <c r="CY73"/>
  <c r="CX72"/>
  <c r="CW72"/>
  <c r="DA72"/>
  <c r="DB72" s="1"/>
  <c r="EP72" s="1"/>
  <c r="CY72"/>
  <c r="CX71"/>
  <c r="CW71"/>
  <c r="DA71"/>
  <c r="DB71" s="1"/>
  <c r="EP71" s="1"/>
  <c r="CY71"/>
  <c r="CX70"/>
  <c r="CW70"/>
  <c r="DA70"/>
  <c r="DB70" s="1"/>
  <c r="EP70" s="1"/>
  <c r="CY70"/>
  <c r="CX69"/>
  <c r="CW69"/>
  <c r="DA69"/>
  <c r="DB69" s="1"/>
  <c r="EP69" s="1"/>
  <c r="CY69"/>
  <c r="CX68"/>
  <c r="CW68"/>
  <c r="DA68"/>
  <c r="DB68" s="1"/>
  <c r="EP68" s="1"/>
  <c r="CY68"/>
  <c r="CX67"/>
  <c r="CW67"/>
  <c r="DA67"/>
  <c r="DB67" s="1"/>
  <c r="EP67" s="1"/>
  <c r="CY67"/>
  <c r="CX66"/>
  <c r="CW66"/>
  <c r="DA66"/>
  <c r="DB66" s="1"/>
  <c r="EP66" s="1"/>
  <c r="CY66"/>
  <c r="CX65"/>
  <c r="CW65"/>
  <c r="DA65"/>
  <c r="DB65" s="1"/>
  <c r="EP65" s="1"/>
  <c r="CY65"/>
  <c r="CX64"/>
  <c r="CW64"/>
  <c r="DA64"/>
  <c r="DB64" s="1"/>
  <c r="EP64" s="1"/>
  <c r="CY64"/>
  <c r="CX63"/>
  <c r="CW63"/>
  <c r="DA63"/>
  <c r="DB63" s="1"/>
  <c r="EP63" s="1"/>
  <c r="CY63"/>
  <c r="CY62"/>
  <c r="CX62"/>
  <c r="CW62"/>
  <c r="CY61"/>
  <c r="CX61"/>
  <c r="CW61"/>
  <c r="DA61"/>
  <c r="DB61" s="1"/>
  <c r="EP61" s="1"/>
  <c r="CY60"/>
  <c r="CX60"/>
  <c r="CW60"/>
  <c r="DA60"/>
  <c r="DB60" s="1"/>
  <c r="EP60" s="1"/>
  <c r="CY59"/>
  <c r="CX59"/>
  <c r="CW59"/>
  <c r="DA59"/>
  <c r="DB59" s="1"/>
  <c r="EP59" s="1"/>
  <c r="CY58"/>
  <c r="CX58"/>
  <c r="CW58"/>
  <c r="DA58"/>
  <c r="DB58" s="1"/>
  <c r="EP58" s="1"/>
  <c r="CY57"/>
  <c r="CX57"/>
  <c r="CW57"/>
  <c r="DA57"/>
  <c r="DB57" s="1"/>
  <c r="EP57" s="1"/>
  <c r="CY56"/>
  <c r="CX56"/>
  <c r="CW56"/>
  <c r="DA56"/>
  <c r="DB56" s="1"/>
  <c r="EP56" s="1"/>
  <c r="CY55"/>
  <c r="CX55"/>
  <c r="CW55"/>
  <c r="DA55"/>
  <c r="DB55" s="1"/>
  <c r="EP55" s="1"/>
  <c r="CW54"/>
  <c r="DA54"/>
  <c r="DB54" s="1"/>
  <c r="EP54" s="1"/>
  <c r="CY54"/>
  <c r="CX54"/>
  <c r="CW53"/>
  <c r="DA53"/>
  <c r="DB53" s="1"/>
  <c r="EP53" s="1"/>
  <c r="CY53"/>
  <c r="CX53"/>
  <c r="CW52"/>
  <c r="DA52"/>
  <c r="DB52" s="1"/>
  <c r="EP52" s="1"/>
  <c r="CY52"/>
  <c r="CX52"/>
  <c r="CW51"/>
  <c r="DA51"/>
  <c r="DB51" s="1"/>
  <c r="EP51" s="1"/>
  <c r="CY51"/>
  <c r="CX51"/>
  <c r="CX50"/>
  <c r="CW50"/>
  <c r="DA50"/>
  <c r="DB50" s="1"/>
  <c r="EP50" s="1"/>
  <c r="CY50"/>
  <c r="CX49"/>
  <c r="CW49"/>
  <c r="DA49"/>
  <c r="DB49" s="1"/>
  <c r="EP49" s="1"/>
  <c r="CY49"/>
  <c r="CX48"/>
  <c r="CW48"/>
  <c r="DA48"/>
  <c r="DB48" s="1"/>
  <c r="EP48" s="1"/>
  <c r="CY48"/>
  <c r="CX47"/>
  <c r="CW47"/>
  <c r="DA47"/>
  <c r="DB47" s="1"/>
  <c r="EP47" s="1"/>
  <c r="CY47"/>
  <c r="CY46"/>
  <c r="CX46"/>
  <c r="CW46"/>
  <c r="DA46"/>
  <c r="DB46" s="1"/>
  <c r="EP46" s="1"/>
  <c r="CY45"/>
  <c r="CX45"/>
  <c r="CW45"/>
  <c r="DA45"/>
  <c r="DB45" s="1"/>
  <c r="EP45" s="1"/>
  <c r="CY44"/>
  <c r="CX44"/>
  <c r="CW44"/>
  <c r="DA44"/>
  <c r="DB44" s="1"/>
  <c r="EP44" s="1"/>
  <c r="CY43"/>
  <c r="CX43"/>
  <c r="CW43"/>
  <c r="DA43"/>
  <c r="DB43" s="1"/>
  <c r="EP43" s="1"/>
  <c r="CY42"/>
  <c r="CX42"/>
  <c r="CW42"/>
  <c r="DA42"/>
  <c r="DB42" s="1"/>
  <c r="EP42" s="1"/>
  <c r="CY41"/>
  <c r="CX41"/>
  <c r="CW41"/>
  <c r="DA41"/>
  <c r="DB41" s="1"/>
  <c r="EP41" s="1"/>
  <c r="CY40"/>
  <c r="CX40"/>
  <c r="CW40"/>
  <c r="DA40"/>
  <c r="DB40" s="1"/>
  <c r="EP40" s="1"/>
  <c r="CY39"/>
  <c r="CX39"/>
  <c r="CW39"/>
  <c r="DA39"/>
  <c r="DB39" s="1"/>
  <c r="EP39" s="1"/>
  <c r="CW38"/>
  <c r="DA38"/>
  <c r="DB38" s="1"/>
  <c r="EP38" s="1"/>
  <c r="CY38"/>
  <c r="CX38"/>
  <c r="CX37"/>
  <c r="CX36"/>
  <c r="CX35"/>
  <c r="CX34"/>
  <c r="CX33"/>
  <c r="CX32"/>
  <c r="CX31"/>
  <c r="CX30"/>
  <c r="CX29"/>
  <c r="CX28"/>
  <c r="CX27"/>
  <c r="CX26"/>
  <c r="CX25"/>
  <c r="CX24"/>
  <c r="CX23"/>
  <c r="CX22"/>
  <c r="CX21"/>
  <c r="CX20"/>
  <c r="CX19"/>
  <c r="CX18"/>
  <c r="CX17"/>
  <c r="CX16"/>
  <c r="CX15"/>
  <c r="CX14"/>
  <c r="CX13"/>
  <c r="CX12"/>
  <c r="CX11"/>
  <c r="CX10"/>
  <c r="CX9"/>
  <c r="BQ96"/>
  <c r="BW96" s="1"/>
  <c r="CN34"/>
  <c r="CT34" s="1"/>
  <c r="CN30"/>
  <c r="CT30" s="1"/>
  <c r="CN62"/>
  <c r="CT62" s="1"/>
  <c r="DA62" s="1"/>
  <c r="DB62" s="1"/>
  <c r="EP62" s="1"/>
  <c r="CN94"/>
  <c r="CT94" s="1"/>
  <c r="DA94" s="1"/>
  <c r="DB94" s="1"/>
  <c r="EP94" s="1"/>
  <c r="CN152"/>
  <c r="CT152" s="1"/>
  <c r="DA152" s="1"/>
  <c r="DB152" s="1"/>
  <c r="EP152" s="1"/>
  <c r="CN168"/>
  <c r="CT168" s="1"/>
  <c r="DA168" s="1"/>
  <c r="DB168" s="1"/>
  <c r="EP168" s="1"/>
  <c r="CN200"/>
  <c r="CT200" s="1"/>
  <c r="DA200" s="1"/>
  <c r="DB200" s="1"/>
  <c r="EP200" s="1"/>
  <c r="CN10"/>
  <c r="CT10" s="1"/>
  <c r="CN108"/>
  <c r="CT108" s="1"/>
  <c r="DA108" s="1"/>
  <c r="DB108" s="1"/>
  <c r="EP108" s="1"/>
  <c r="CN124"/>
  <c r="CT124" s="1"/>
  <c r="DA124" s="1"/>
  <c r="DB124" s="1"/>
  <c r="EP124" s="1"/>
  <c r="CN140"/>
  <c r="CT140" s="1"/>
  <c r="DA140" s="1"/>
  <c r="DB140" s="1"/>
  <c r="EP140" s="1"/>
  <c r="CT153"/>
  <c r="DA153" s="1"/>
  <c r="DB153" s="1"/>
  <c r="EP153" s="1"/>
  <c r="CN120"/>
  <c r="CT120" s="1"/>
  <c r="DA120" s="1"/>
  <c r="DB120" s="1"/>
  <c r="EP120" s="1"/>
  <c r="CN136"/>
  <c r="CT136" s="1"/>
  <c r="DA136" s="1"/>
  <c r="DB136" s="1"/>
  <c r="EP136" s="1"/>
  <c r="CN148"/>
  <c r="CT148" s="1"/>
  <c r="DA148" s="1"/>
  <c r="DB148" s="1"/>
  <c r="EP148" s="1"/>
  <c r="CN150"/>
  <c r="CT150" s="1"/>
  <c r="DA150" s="1"/>
  <c r="DB150" s="1"/>
  <c r="EP150" s="1"/>
  <c r="CN116"/>
  <c r="CT116" s="1"/>
  <c r="DA116" s="1"/>
  <c r="DB116" s="1"/>
  <c r="EP116" s="1"/>
  <c r="CN132"/>
  <c r="CT132" s="1"/>
  <c r="DA132" s="1"/>
  <c r="DB132" s="1"/>
  <c r="EP132" s="1"/>
  <c r="CN112"/>
  <c r="CT112" s="1"/>
  <c r="DA112" s="1"/>
  <c r="DB112" s="1"/>
  <c r="EP112" s="1"/>
  <c r="CN128"/>
  <c r="CT128" s="1"/>
  <c r="DA128" s="1"/>
  <c r="DB128" s="1"/>
  <c r="EP128" s="1"/>
  <c r="CN144"/>
  <c r="CT144" s="1"/>
  <c r="DA144" s="1"/>
  <c r="DB144" s="1"/>
  <c r="EP144" s="1"/>
  <c r="BQ92"/>
  <c r="BW92" s="1"/>
  <c r="BQ136"/>
  <c r="BW136" s="1"/>
  <c r="BQ128"/>
  <c r="BW128" s="1"/>
  <c r="BW151"/>
  <c r="BQ39"/>
  <c r="BW39" s="1"/>
  <c r="BW79"/>
  <c r="BQ120"/>
  <c r="BW120" s="1"/>
  <c r="BQ146"/>
  <c r="BW146" s="1"/>
  <c r="BW113"/>
  <c r="BW121"/>
  <c r="BW97"/>
  <c r="BW137"/>
  <c r="CB207"/>
  <c r="CA207"/>
  <c r="BZ207"/>
  <c r="CB206"/>
  <c r="CA206"/>
  <c r="BZ206"/>
  <c r="CA205"/>
  <c r="BZ205"/>
  <c r="CB205"/>
  <c r="BZ204"/>
  <c r="CB204"/>
  <c r="CA204"/>
  <c r="CB203"/>
  <c r="CA203"/>
  <c r="BZ203"/>
  <c r="CD203"/>
  <c r="CE203" s="1"/>
  <c r="EO203" s="1"/>
  <c r="CB202"/>
  <c r="CA202"/>
  <c r="BZ202"/>
  <c r="CA201"/>
  <c r="BZ201"/>
  <c r="CB201"/>
  <c r="BZ200"/>
  <c r="CD200"/>
  <c r="CE200" s="1"/>
  <c r="EO200" s="1"/>
  <c r="CB200"/>
  <c r="CA200"/>
  <c r="CB199"/>
  <c r="CA199"/>
  <c r="BZ199"/>
  <c r="CD199"/>
  <c r="CE199" s="1"/>
  <c r="EO199" s="1"/>
  <c r="CB198"/>
  <c r="CA198"/>
  <c r="BZ198"/>
  <c r="CD198"/>
  <c r="CE198" s="1"/>
  <c r="EO198" s="1"/>
  <c r="CA197"/>
  <c r="BZ197"/>
  <c r="CD197"/>
  <c r="CE197" s="1"/>
  <c r="EO197" s="1"/>
  <c r="CB197"/>
  <c r="BZ196"/>
  <c r="CB196"/>
  <c r="CA196"/>
  <c r="CB195"/>
  <c r="CA195"/>
  <c r="BZ195"/>
  <c r="CB194"/>
  <c r="CA194"/>
  <c r="BZ194"/>
  <c r="CD194"/>
  <c r="CE194" s="1"/>
  <c r="EO194" s="1"/>
  <c r="CA193"/>
  <c r="BZ193"/>
  <c r="CD193"/>
  <c r="CE193" s="1"/>
  <c r="EO193" s="1"/>
  <c r="CB193"/>
  <c r="BZ192"/>
  <c r="CD192"/>
  <c r="CE192" s="1"/>
  <c r="EO192" s="1"/>
  <c r="CB192"/>
  <c r="CA192"/>
  <c r="CB191"/>
  <c r="CA191"/>
  <c r="BZ191"/>
  <c r="CD191"/>
  <c r="CE191" s="1"/>
  <c r="EO191" s="1"/>
  <c r="CB190"/>
  <c r="CA190"/>
  <c r="BZ190"/>
  <c r="CD190"/>
  <c r="CE190" s="1"/>
  <c r="EO190" s="1"/>
  <c r="CA189"/>
  <c r="BZ189"/>
  <c r="CD189"/>
  <c r="CE189" s="1"/>
  <c r="EO189" s="1"/>
  <c r="CB189"/>
  <c r="BZ188"/>
  <c r="CB188"/>
  <c r="CA188"/>
  <c r="CB187"/>
  <c r="CA187"/>
  <c r="BZ187"/>
  <c r="CB186"/>
  <c r="CA186"/>
  <c r="BZ186"/>
  <c r="CD186"/>
  <c r="CE186" s="1"/>
  <c r="EO186" s="1"/>
  <c r="CA185"/>
  <c r="BZ185"/>
  <c r="CD185"/>
  <c r="CE185" s="1"/>
  <c r="EO185" s="1"/>
  <c r="CB185"/>
  <c r="BZ184"/>
  <c r="CD184"/>
  <c r="CE184" s="1"/>
  <c r="EO184" s="1"/>
  <c r="CB184"/>
  <c r="CA184"/>
  <c r="CB183"/>
  <c r="CA183"/>
  <c r="BZ183"/>
  <c r="CD183"/>
  <c r="CE183" s="1"/>
  <c r="EO183" s="1"/>
  <c r="CB182"/>
  <c r="CA182"/>
  <c r="BZ182"/>
  <c r="CD182"/>
  <c r="CE182" s="1"/>
  <c r="EO182" s="1"/>
  <c r="CA181"/>
  <c r="BZ181"/>
  <c r="CD181"/>
  <c r="CE181" s="1"/>
  <c r="EO181" s="1"/>
  <c r="CB181"/>
  <c r="BZ180"/>
  <c r="CB180"/>
  <c r="CA180"/>
  <c r="CB179"/>
  <c r="CA179"/>
  <c r="BZ179"/>
  <c r="CB178"/>
  <c r="CA178"/>
  <c r="BZ178"/>
  <c r="CD178"/>
  <c r="CE178" s="1"/>
  <c r="EO178" s="1"/>
  <c r="CA177"/>
  <c r="BZ177"/>
  <c r="CD177"/>
  <c r="CE177" s="1"/>
  <c r="EO177" s="1"/>
  <c r="CB177"/>
  <c r="BZ176"/>
  <c r="CD176"/>
  <c r="CE176" s="1"/>
  <c r="EO176" s="1"/>
  <c r="CB176"/>
  <c r="CA176"/>
  <c r="CB175"/>
  <c r="CA175"/>
  <c r="BZ175"/>
  <c r="CD175"/>
  <c r="CE175" s="1"/>
  <c r="EO175" s="1"/>
  <c r="CB174"/>
  <c r="CA174"/>
  <c r="BZ174"/>
  <c r="CD174"/>
  <c r="CE174" s="1"/>
  <c r="EO174" s="1"/>
  <c r="CA173"/>
  <c r="BZ173"/>
  <c r="CD173"/>
  <c r="CE173" s="1"/>
  <c r="EO173" s="1"/>
  <c r="CB173"/>
  <c r="BZ172"/>
  <c r="CB172"/>
  <c r="CA172"/>
  <c r="CB171"/>
  <c r="CA171"/>
  <c r="BZ171"/>
  <c r="CB170"/>
  <c r="CA170"/>
  <c r="BZ170"/>
  <c r="CD170"/>
  <c r="CE170" s="1"/>
  <c r="EO170" s="1"/>
  <c r="CA169"/>
  <c r="BZ169"/>
  <c r="CD169"/>
  <c r="CE169" s="1"/>
  <c r="EO169" s="1"/>
  <c r="CB169"/>
  <c r="BZ168"/>
  <c r="CD168"/>
  <c r="CE168" s="1"/>
  <c r="EO168" s="1"/>
  <c r="CB168"/>
  <c r="CA168"/>
  <c r="CB167"/>
  <c r="CA167"/>
  <c r="BZ167"/>
  <c r="CD167"/>
  <c r="CE167" s="1"/>
  <c r="EO167" s="1"/>
  <c r="CB166"/>
  <c r="CA166"/>
  <c r="BZ166"/>
  <c r="CD166"/>
  <c r="CE166" s="1"/>
  <c r="EO166" s="1"/>
  <c r="CA165"/>
  <c r="BZ165"/>
  <c r="CD165"/>
  <c r="CE165" s="1"/>
  <c r="EO165" s="1"/>
  <c r="CB165"/>
  <c r="BZ164"/>
  <c r="CB164"/>
  <c r="CA164"/>
  <c r="CA163"/>
  <c r="BZ163"/>
  <c r="CB163"/>
  <c r="CB162"/>
  <c r="CA162"/>
  <c r="BZ162"/>
  <c r="CD162"/>
  <c r="CE162" s="1"/>
  <c r="EO162" s="1"/>
  <c r="CA161"/>
  <c r="BZ161"/>
  <c r="CB161"/>
  <c r="BZ160"/>
  <c r="CD160"/>
  <c r="CE160" s="1"/>
  <c r="EO160" s="1"/>
  <c r="CB160"/>
  <c r="CA160"/>
  <c r="CB159"/>
  <c r="CA159"/>
  <c r="BZ159"/>
  <c r="CD159"/>
  <c r="CE159" s="1"/>
  <c r="EO159" s="1"/>
  <c r="CB158"/>
  <c r="CA158"/>
  <c r="BZ158"/>
  <c r="CD158"/>
  <c r="CE158" s="1"/>
  <c r="EO158" s="1"/>
  <c r="CA157"/>
  <c r="BZ157"/>
  <c r="CD157"/>
  <c r="CE157" s="1"/>
  <c r="EO157" s="1"/>
  <c r="CB157"/>
  <c r="BZ156"/>
  <c r="CB156"/>
  <c r="CA156"/>
  <c r="CB155"/>
  <c r="CA155"/>
  <c r="BZ155"/>
  <c r="CB154"/>
  <c r="CA154"/>
  <c r="BZ154"/>
  <c r="CA153"/>
  <c r="BZ153"/>
  <c r="CD153"/>
  <c r="CE153" s="1"/>
  <c r="EO153" s="1"/>
  <c r="CB153"/>
  <c r="BZ152"/>
  <c r="CB152"/>
  <c r="CA152"/>
  <c r="CB151"/>
  <c r="CA151"/>
  <c r="BZ151"/>
  <c r="CD151"/>
  <c r="CE151" s="1"/>
  <c r="EO151" s="1"/>
  <c r="CB150"/>
  <c r="CA150"/>
  <c r="BZ150"/>
  <c r="CD150"/>
  <c r="CE150" s="1"/>
  <c r="EO150" s="1"/>
  <c r="CA149"/>
  <c r="BZ149"/>
  <c r="CD149"/>
  <c r="CE149" s="1"/>
  <c r="EO149" s="1"/>
  <c r="CB149"/>
  <c r="BZ148"/>
  <c r="CD148"/>
  <c r="CE148" s="1"/>
  <c r="EO148" s="1"/>
  <c r="CB148"/>
  <c r="CA148"/>
  <c r="CB147"/>
  <c r="CA147"/>
  <c r="BZ147"/>
  <c r="CD147"/>
  <c r="CE147" s="1"/>
  <c r="EO147" s="1"/>
  <c r="CB146"/>
  <c r="CA146"/>
  <c r="BZ146"/>
  <c r="CD146"/>
  <c r="CE146" s="1"/>
  <c r="EO146" s="1"/>
  <c r="CA145"/>
  <c r="BZ145"/>
  <c r="CD145"/>
  <c r="CE145" s="1"/>
  <c r="EO145" s="1"/>
  <c r="CB145"/>
  <c r="BZ144"/>
  <c r="CD144"/>
  <c r="CE144" s="1"/>
  <c r="EO144" s="1"/>
  <c r="CB144"/>
  <c r="CA144"/>
  <c r="CB143"/>
  <c r="CA143"/>
  <c r="BZ143"/>
  <c r="CB142"/>
  <c r="CA142"/>
  <c r="BZ142"/>
  <c r="CD142"/>
  <c r="CE142" s="1"/>
  <c r="EO142" s="1"/>
  <c r="CA141"/>
  <c r="BZ141"/>
  <c r="CB141"/>
  <c r="BZ140"/>
  <c r="CB140"/>
  <c r="CA140"/>
  <c r="CB139"/>
  <c r="CA139"/>
  <c r="BZ139"/>
  <c r="CD139"/>
  <c r="CE139" s="1"/>
  <c r="EO139" s="1"/>
  <c r="CB138"/>
  <c r="CA138"/>
  <c r="BZ138"/>
  <c r="CD138"/>
  <c r="CE138" s="1"/>
  <c r="EO138" s="1"/>
  <c r="CA137"/>
  <c r="BZ137"/>
  <c r="CD137"/>
  <c r="CE137" s="1"/>
  <c r="EO137" s="1"/>
  <c r="CB137"/>
  <c r="BZ136"/>
  <c r="CD136"/>
  <c r="CE136" s="1"/>
  <c r="EO136" s="1"/>
  <c r="CB136"/>
  <c r="CA136"/>
  <c r="CB135"/>
  <c r="CA135"/>
  <c r="BZ135"/>
  <c r="CD135"/>
  <c r="CE135" s="1"/>
  <c r="EO135" s="1"/>
  <c r="CB134"/>
  <c r="CA134"/>
  <c r="BZ134"/>
  <c r="CD134"/>
  <c r="CE134" s="1"/>
  <c r="EO134" s="1"/>
  <c r="CA133"/>
  <c r="BZ133"/>
  <c r="CD133"/>
  <c r="CE133" s="1"/>
  <c r="EO133" s="1"/>
  <c r="CB133"/>
  <c r="BZ132"/>
  <c r="CB132"/>
  <c r="CA132"/>
  <c r="CB131"/>
  <c r="CA131"/>
  <c r="BZ131"/>
  <c r="CD131"/>
  <c r="CE131" s="1"/>
  <c r="EO131" s="1"/>
  <c r="CB130"/>
  <c r="CA130"/>
  <c r="BZ130"/>
  <c r="CD130"/>
  <c r="CE130" s="1"/>
  <c r="EO130" s="1"/>
  <c r="CA129"/>
  <c r="BZ129"/>
  <c r="CD129"/>
  <c r="CE129" s="1"/>
  <c r="EO129" s="1"/>
  <c r="CB129"/>
  <c r="BZ128"/>
  <c r="CD128"/>
  <c r="CE128" s="1"/>
  <c r="EO128" s="1"/>
  <c r="CB128"/>
  <c r="CA128"/>
  <c r="CB127"/>
  <c r="CA127"/>
  <c r="BZ127"/>
  <c r="CD127"/>
  <c r="CE127" s="1"/>
  <c r="EO127" s="1"/>
  <c r="CB126"/>
  <c r="CA126"/>
  <c r="BZ126"/>
  <c r="CD126"/>
  <c r="CE126" s="1"/>
  <c r="EO126" s="1"/>
  <c r="CA125"/>
  <c r="BZ125"/>
  <c r="CD125"/>
  <c r="CE125" s="1"/>
  <c r="EO125" s="1"/>
  <c r="CB125"/>
  <c r="BZ124"/>
  <c r="CB124"/>
  <c r="CA124"/>
  <c r="CB123"/>
  <c r="CA123"/>
  <c r="BZ123"/>
  <c r="CD123"/>
  <c r="CE123" s="1"/>
  <c r="EO123" s="1"/>
  <c r="CB122"/>
  <c r="CA122"/>
  <c r="BZ122"/>
  <c r="CD122"/>
  <c r="CE122" s="1"/>
  <c r="EO122" s="1"/>
  <c r="CA121"/>
  <c r="BZ121"/>
  <c r="CD121"/>
  <c r="CE121" s="1"/>
  <c r="EO121" s="1"/>
  <c r="CB121"/>
  <c r="BZ120"/>
  <c r="CD120"/>
  <c r="CE120" s="1"/>
  <c r="EO120" s="1"/>
  <c r="CB120"/>
  <c r="CA120"/>
  <c r="CB119"/>
  <c r="CA119"/>
  <c r="BZ119"/>
  <c r="CB118"/>
  <c r="CA118"/>
  <c r="BZ118"/>
  <c r="CD118"/>
  <c r="CE118" s="1"/>
  <c r="EO118" s="1"/>
  <c r="CA117"/>
  <c r="BZ117"/>
  <c r="CD117"/>
  <c r="CE117" s="1"/>
  <c r="EO117" s="1"/>
  <c r="CB117"/>
  <c r="BZ116"/>
  <c r="CD116"/>
  <c r="CE116" s="1"/>
  <c r="EO116" s="1"/>
  <c r="CB116"/>
  <c r="CA116"/>
  <c r="CB115"/>
  <c r="CA115"/>
  <c r="BZ115"/>
  <c r="CD115"/>
  <c r="CE115" s="1"/>
  <c r="EO115" s="1"/>
  <c r="CB114"/>
  <c r="CA114"/>
  <c r="BZ114"/>
  <c r="CD114"/>
  <c r="CE114" s="1"/>
  <c r="EO114" s="1"/>
  <c r="CA113"/>
  <c r="BZ113"/>
  <c r="CD113"/>
  <c r="CE113" s="1"/>
  <c r="EO113" s="1"/>
  <c r="CB113"/>
  <c r="BZ112"/>
  <c r="CD112"/>
  <c r="CE112" s="1"/>
  <c r="EO112" s="1"/>
  <c r="CB112"/>
  <c r="CA112"/>
  <c r="CB111"/>
  <c r="CA111"/>
  <c r="BZ111"/>
  <c r="CD111"/>
  <c r="CE111" s="1"/>
  <c r="EO111" s="1"/>
  <c r="CB110"/>
  <c r="CA110"/>
  <c r="BZ110"/>
  <c r="CD110"/>
  <c r="CE110" s="1"/>
  <c r="EO110" s="1"/>
  <c r="CA109"/>
  <c r="BZ109"/>
  <c r="CD109"/>
  <c r="CE109" s="1"/>
  <c r="EO109" s="1"/>
  <c r="CB109"/>
  <c r="BZ108"/>
  <c r="CD108"/>
  <c r="CE108" s="1"/>
  <c r="EO108" s="1"/>
  <c r="CB108"/>
  <c r="CA108"/>
  <c r="CB107"/>
  <c r="CA107"/>
  <c r="BZ107"/>
  <c r="CD107"/>
  <c r="CE107" s="1"/>
  <c r="EO107" s="1"/>
  <c r="CB106"/>
  <c r="CA106"/>
  <c r="BZ106"/>
  <c r="CD106"/>
  <c r="CE106" s="1"/>
  <c r="EO106" s="1"/>
  <c r="CA105"/>
  <c r="BZ105"/>
  <c r="CD105"/>
  <c r="CE105" s="1"/>
  <c r="EO105" s="1"/>
  <c r="CB105"/>
  <c r="BZ104"/>
  <c r="CD104"/>
  <c r="CE104" s="1"/>
  <c r="EO104" s="1"/>
  <c r="CB104"/>
  <c r="CA104"/>
  <c r="CB103"/>
  <c r="CA103"/>
  <c r="BZ103"/>
  <c r="CD103"/>
  <c r="CE103" s="1"/>
  <c r="EO103" s="1"/>
  <c r="CB102"/>
  <c r="CA102"/>
  <c r="BZ102"/>
  <c r="CD102"/>
  <c r="CE102" s="1"/>
  <c r="EO102" s="1"/>
  <c r="CA101"/>
  <c r="BZ101"/>
  <c r="CD101"/>
  <c r="CE101" s="1"/>
  <c r="EO101" s="1"/>
  <c r="CB101"/>
  <c r="BZ100"/>
  <c r="CD100"/>
  <c r="CE100" s="1"/>
  <c r="EO100" s="1"/>
  <c r="CB100"/>
  <c r="CA100"/>
  <c r="CB99"/>
  <c r="CA99"/>
  <c r="BZ99"/>
  <c r="CD99"/>
  <c r="CE99" s="1"/>
  <c r="EO99" s="1"/>
  <c r="CB98"/>
  <c r="CA98"/>
  <c r="BZ98"/>
  <c r="CD98"/>
  <c r="CE98" s="1"/>
  <c r="EO98" s="1"/>
  <c r="CA97"/>
  <c r="BZ97"/>
  <c r="CD97"/>
  <c r="CE97" s="1"/>
  <c r="EO97" s="1"/>
  <c r="CB97"/>
  <c r="BZ96"/>
  <c r="CD96"/>
  <c r="CE96" s="1"/>
  <c r="EO96" s="1"/>
  <c r="CB96"/>
  <c r="CA96"/>
  <c r="CB95"/>
  <c r="CA95"/>
  <c r="BZ95"/>
  <c r="CB94"/>
  <c r="CA94"/>
  <c r="BZ94"/>
  <c r="CD94"/>
  <c r="CE94" s="1"/>
  <c r="EO94" s="1"/>
  <c r="CA93"/>
  <c r="BZ93"/>
  <c r="CB93"/>
  <c r="BZ92"/>
  <c r="CD92"/>
  <c r="CE92" s="1"/>
  <c r="EO92" s="1"/>
  <c r="CB92"/>
  <c r="CA92"/>
  <c r="CB91"/>
  <c r="CA91"/>
  <c r="BZ91"/>
  <c r="CD91"/>
  <c r="CE91" s="1"/>
  <c r="EO91" s="1"/>
  <c r="CB90"/>
  <c r="CA90"/>
  <c r="BZ90"/>
  <c r="CD90"/>
  <c r="CE90" s="1"/>
  <c r="EO90" s="1"/>
  <c r="CA89"/>
  <c r="BZ89"/>
  <c r="CB89"/>
  <c r="BZ88"/>
  <c r="CD88"/>
  <c r="CE88" s="1"/>
  <c r="EO88" s="1"/>
  <c r="CB88"/>
  <c r="CA88"/>
  <c r="CB87"/>
  <c r="CA87"/>
  <c r="BZ87"/>
  <c r="CB86"/>
  <c r="CA86"/>
  <c r="BZ86"/>
  <c r="CD86"/>
  <c r="CE86" s="1"/>
  <c r="EO86" s="1"/>
  <c r="CA85"/>
  <c r="BZ85"/>
  <c r="CD85"/>
  <c r="CE85" s="1"/>
  <c r="EO85" s="1"/>
  <c r="CB85"/>
  <c r="BZ84"/>
  <c r="CD84"/>
  <c r="CE84" s="1"/>
  <c r="EO84" s="1"/>
  <c r="CB84"/>
  <c r="CA84"/>
  <c r="CB83"/>
  <c r="CA83"/>
  <c r="BZ83"/>
  <c r="CD83"/>
  <c r="CE83" s="1"/>
  <c r="EO83" s="1"/>
  <c r="CB82"/>
  <c r="CA82"/>
  <c r="BZ82"/>
  <c r="CD82"/>
  <c r="CE82" s="1"/>
  <c r="EO82" s="1"/>
  <c r="CA81"/>
  <c r="BZ81"/>
  <c r="CD81"/>
  <c r="CE81" s="1"/>
  <c r="EO81" s="1"/>
  <c r="CB81"/>
  <c r="BZ80"/>
  <c r="CD80"/>
  <c r="CE80" s="1"/>
  <c r="EO80" s="1"/>
  <c r="CB80"/>
  <c r="CA80"/>
  <c r="CB79"/>
  <c r="CA79"/>
  <c r="BZ79"/>
  <c r="CD79"/>
  <c r="CE79" s="1"/>
  <c r="EO79" s="1"/>
  <c r="CB78"/>
  <c r="CA78"/>
  <c r="BZ78"/>
  <c r="CD78"/>
  <c r="CE78" s="1"/>
  <c r="EO78" s="1"/>
  <c r="CA77"/>
  <c r="BZ77"/>
  <c r="CD77"/>
  <c r="CE77" s="1"/>
  <c r="EO77" s="1"/>
  <c r="CB77"/>
  <c r="BZ76"/>
  <c r="CB76"/>
  <c r="CA76"/>
  <c r="CB75"/>
  <c r="CA75"/>
  <c r="BZ75"/>
  <c r="CD75"/>
  <c r="CE75" s="1"/>
  <c r="EO75" s="1"/>
  <c r="CB74"/>
  <c r="CA74"/>
  <c r="BZ74"/>
  <c r="CD74"/>
  <c r="CE74" s="1"/>
  <c r="EO74" s="1"/>
  <c r="CA73"/>
  <c r="BZ73"/>
  <c r="CD73"/>
  <c r="CE73" s="1"/>
  <c r="EO73" s="1"/>
  <c r="CB73"/>
  <c r="BZ72"/>
  <c r="CD72"/>
  <c r="CE72" s="1"/>
  <c r="EO72" s="1"/>
  <c r="CB72"/>
  <c r="CA72"/>
  <c r="CB71"/>
  <c r="CA71"/>
  <c r="BZ71"/>
  <c r="CD71"/>
  <c r="CE71" s="1"/>
  <c r="EO71" s="1"/>
  <c r="CB70"/>
  <c r="CA70"/>
  <c r="BZ70"/>
  <c r="CD70"/>
  <c r="CE70" s="1"/>
  <c r="EO70" s="1"/>
  <c r="CA69"/>
  <c r="BZ69"/>
  <c r="CD69"/>
  <c r="CE69" s="1"/>
  <c r="EO69" s="1"/>
  <c r="CB69"/>
  <c r="BZ68"/>
  <c r="CB68"/>
  <c r="CA68"/>
  <c r="CB67"/>
  <c r="CA67"/>
  <c r="BZ67"/>
  <c r="CD67"/>
  <c r="CE67" s="1"/>
  <c r="EO67" s="1"/>
  <c r="CB66"/>
  <c r="CA66"/>
  <c r="BZ66"/>
  <c r="CD66"/>
  <c r="CE66" s="1"/>
  <c r="EO66" s="1"/>
  <c r="CA65"/>
  <c r="BZ65"/>
  <c r="CD65"/>
  <c r="CE65" s="1"/>
  <c r="EO65" s="1"/>
  <c r="CB65"/>
  <c r="BZ64"/>
  <c r="CD64"/>
  <c r="CE64" s="1"/>
  <c r="EO64" s="1"/>
  <c r="CB64"/>
  <c r="CA64"/>
  <c r="CB63"/>
  <c r="CA63"/>
  <c r="BZ63"/>
  <c r="CD63"/>
  <c r="CE63" s="1"/>
  <c r="EO63" s="1"/>
  <c r="CB62"/>
  <c r="CA62"/>
  <c r="BZ62"/>
  <c r="CD62"/>
  <c r="CE62" s="1"/>
  <c r="EO62" s="1"/>
  <c r="CA61"/>
  <c r="BZ61"/>
  <c r="CD61"/>
  <c r="CE61" s="1"/>
  <c r="EO61" s="1"/>
  <c r="CB61"/>
  <c r="BZ60"/>
  <c r="CB60"/>
  <c r="CA60"/>
  <c r="CB59"/>
  <c r="CA59"/>
  <c r="BZ59"/>
  <c r="CD59"/>
  <c r="CE59" s="1"/>
  <c r="EO59" s="1"/>
  <c r="CB58"/>
  <c r="CA58"/>
  <c r="BZ58"/>
  <c r="CD58"/>
  <c r="CE58" s="1"/>
  <c r="EO58" s="1"/>
  <c r="CA57"/>
  <c r="BZ57"/>
  <c r="CD57"/>
  <c r="CE57" s="1"/>
  <c r="EO57" s="1"/>
  <c r="CB57"/>
  <c r="BZ56"/>
  <c r="CD56"/>
  <c r="CE56" s="1"/>
  <c r="EO56" s="1"/>
  <c r="CB56"/>
  <c r="CA56"/>
  <c r="CB55"/>
  <c r="CA55"/>
  <c r="BZ55"/>
  <c r="CD55"/>
  <c r="CE55" s="1"/>
  <c r="EO55" s="1"/>
  <c r="CB54"/>
  <c r="CA54"/>
  <c r="BZ54"/>
  <c r="CD54"/>
  <c r="CE54" s="1"/>
  <c r="EO54" s="1"/>
  <c r="CA53"/>
  <c r="BZ53"/>
  <c r="CD53"/>
  <c r="CE53" s="1"/>
  <c r="EO53" s="1"/>
  <c r="CB53"/>
  <c r="BZ52"/>
  <c r="CB52"/>
  <c r="CA52"/>
  <c r="CB51"/>
  <c r="CA51"/>
  <c r="BZ51"/>
  <c r="CD51"/>
  <c r="CE51" s="1"/>
  <c r="EO51" s="1"/>
  <c r="CB50"/>
  <c r="CA50"/>
  <c r="BZ50"/>
  <c r="CD50"/>
  <c r="CE50" s="1"/>
  <c r="EO50" s="1"/>
  <c r="CA49"/>
  <c r="BZ49"/>
  <c r="CD49"/>
  <c r="CE49" s="1"/>
  <c r="EO49" s="1"/>
  <c r="CB49"/>
  <c r="BZ48"/>
  <c r="CD48"/>
  <c r="CE48" s="1"/>
  <c r="EO48" s="1"/>
  <c r="CB48"/>
  <c r="CA48"/>
  <c r="CB47"/>
  <c r="CA47"/>
  <c r="BZ47"/>
  <c r="CD47"/>
  <c r="CE47" s="1"/>
  <c r="EO47" s="1"/>
  <c r="CB46"/>
  <c r="CA46"/>
  <c r="BZ46"/>
  <c r="CD46"/>
  <c r="CE46" s="1"/>
  <c r="EO46" s="1"/>
  <c r="CA45"/>
  <c r="BZ45"/>
  <c r="CD45"/>
  <c r="CE45" s="1"/>
  <c r="EO45" s="1"/>
  <c r="CB45"/>
  <c r="BZ44"/>
  <c r="CB44"/>
  <c r="CA44"/>
  <c r="CB43"/>
  <c r="CA43"/>
  <c r="BZ43"/>
  <c r="CD43"/>
  <c r="CE43" s="1"/>
  <c r="EO43" s="1"/>
  <c r="CB42"/>
  <c r="CA42"/>
  <c r="BZ42"/>
  <c r="CD42"/>
  <c r="CE42" s="1"/>
  <c r="EO42" s="1"/>
  <c r="CA41"/>
  <c r="BZ41"/>
  <c r="CD41"/>
  <c r="CE41" s="1"/>
  <c r="EO41" s="1"/>
  <c r="CB41"/>
  <c r="BZ40"/>
  <c r="CD40"/>
  <c r="CE40" s="1"/>
  <c r="EO40" s="1"/>
  <c r="CB40"/>
  <c r="CA40"/>
  <c r="CB39"/>
  <c r="CA39"/>
  <c r="BZ39"/>
  <c r="CD39"/>
  <c r="CE39" s="1"/>
  <c r="EO39" s="1"/>
  <c r="CB38"/>
  <c r="CA38"/>
  <c r="BZ38"/>
  <c r="CD38"/>
  <c r="CE38" s="1"/>
  <c r="EO38" s="1"/>
  <c r="CA37"/>
  <c r="CA36"/>
  <c r="CA35"/>
  <c r="CA34"/>
  <c r="CA33"/>
  <c r="CA32"/>
  <c r="CA31"/>
  <c r="CA30"/>
  <c r="CA29"/>
  <c r="CA28"/>
  <c r="CA27"/>
  <c r="CA26"/>
  <c r="CA25"/>
  <c r="CA24"/>
  <c r="CA23"/>
  <c r="CA22"/>
  <c r="CA21"/>
  <c r="CA20"/>
  <c r="CA19"/>
  <c r="CA18"/>
  <c r="CA17"/>
  <c r="CA16"/>
  <c r="CA15"/>
  <c r="CA14"/>
  <c r="CA13"/>
  <c r="CA11"/>
  <c r="BQ124"/>
  <c r="BW124" s="1"/>
  <c r="CD124" s="1"/>
  <c r="CE124" s="1"/>
  <c r="EO124" s="1"/>
  <c r="BQ132"/>
  <c r="BW132" s="1"/>
  <c r="CD132" s="1"/>
  <c r="CE132" s="1"/>
  <c r="EO132" s="1"/>
  <c r="BQ140"/>
  <c r="BW140" s="1"/>
  <c r="CD140" s="1"/>
  <c r="CE140" s="1"/>
  <c r="EO140" s="1"/>
  <c r="BQ163"/>
  <c r="BW163" s="1"/>
  <c r="CD163" s="1"/>
  <c r="CE163" s="1"/>
  <c r="EO163" s="1"/>
  <c r="BQ171"/>
  <c r="BW171" s="1"/>
  <c r="CD171" s="1"/>
  <c r="CE171" s="1"/>
  <c r="EO171" s="1"/>
  <c r="BQ179"/>
  <c r="BW179" s="1"/>
  <c r="CD179" s="1"/>
  <c r="CE179" s="1"/>
  <c r="EO179" s="1"/>
  <c r="BQ187"/>
  <c r="BW187" s="1"/>
  <c r="CD187" s="1"/>
  <c r="CE187" s="1"/>
  <c r="EO187" s="1"/>
  <c r="BQ195"/>
  <c r="BW195" s="1"/>
  <c r="CD195" s="1"/>
  <c r="CE195" s="1"/>
  <c r="EO195" s="1"/>
  <c r="BQ202"/>
  <c r="BW202" s="1"/>
  <c r="CD202" s="1"/>
  <c r="CE202" s="1"/>
  <c r="EO202" s="1"/>
  <c r="BQ18"/>
  <c r="BW18" s="1"/>
  <c r="BW93"/>
  <c r="CD93" s="1"/>
  <c r="CE93" s="1"/>
  <c r="EO93" s="1"/>
  <c r="BQ36"/>
  <c r="BW36" s="1"/>
  <c r="BQ28"/>
  <c r="BW28" s="1"/>
  <c r="BQ76"/>
  <c r="BW76" s="1"/>
  <c r="CD76" s="1"/>
  <c r="CE76" s="1"/>
  <c r="EO76" s="1"/>
  <c r="BQ44"/>
  <c r="BW44" s="1"/>
  <c r="CD44" s="1"/>
  <c r="CE44" s="1"/>
  <c r="EO44" s="1"/>
  <c r="BQ206"/>
  <c r="BW206" s="1"/>
  <c r="CD206" s="1"/>
  <c r="CE206" s="1"/>
  <c r="EO206" s="1"/>
  <c r="BQ207"/>
  <c r="BW207" s="1"/>
  <c r="CD207" s="1"/>
  <c r="CE207" s="1"/>
  <c r="EO207" s="1"/>
  <c r="BQ161"/>
  <c r="BW161" s="1"/>
  <c r="CD161" s="1"/>
  <c r="CE161" s="1"/>
  <c r="EO161" s="1"/>
  <c r="BQ68"/>
  <c r="BW68" s="1"/>
  <c r="CD68" s="1"/>
  <c r="CE68" s="1"/>
  <c r="EO68" s="1"/>
  <c r="BQ12"/>
  <c r="BW12" s="1"/>
  <c r="BQ205"/>
  <c r="BW205" s="1"/>
  <c r="CD205" s="1"/>
  <c r="CE205" s="1"/>
  <c r="EO205" s="1"/>
  <c r="BQ17"/>
  <c r="BW17" s="1"/>
  <c r="BQ204"/>
  <c r="BW204" s="1"/>
  <c r="CD204" s="1"/>
  <c r="CE204" s="1"/>
  <c r="EO204" s="1"/>
  <c r="BQ156"/>
  <c r="BW156" s="1"/>
  <c r="CD156" s="1"/>
  <c r="CE156" s="1"/>
  <c r="EO156" s="1"/>
  <c r="BW141"/>
  <c r="CD141" s="1"/>
  <c r="CE141" s="1"/>
  <c r="EO141" s="1"/>
  <c r="BQ87"/>
  <c r="BW87" s="1"/>
  <c r="CD87" s="1"/>
  <c r="CE87" s="1"/>
  <c r="EO87" s="1"/>
  <c r="BQ201"/>
  <c r="BW201" s="1"/>
  <c r="CD201" s="1"/>
  <c r="CE201" s="1"/>
  <c r="EO201" s="1"/>
  <c r="BQ60"/>
  <c r="BW60" s="1"/>
  <c r="CD60" s="1"/>
  <c r="CE60" s="1"/>
  <c r="EO60" s="1"/>
  <c r="BW89"/>
  <c r="CD89" s="1"/>
  <c r="CE89" s="1"/>
  <c r="EO89" s="1"/>
  <c r="BQ164"/>
  <c r="BW164" s="1"/>
  <c r="CD164" s="1"/>
  <c r="CE164" s="1"/>
  <c r="EO164" s="1"/>
  <c r="BQ172"/>
  <c r="BW172" s="1"/>
  <c r="CD172" s="1"/>
  <c r="CE172" s="1"/>
  <c r="EO172" s="1"/>
  <c r="BQ180"/>
  <c r="BW180" s="1"/>
  <c r="CD180" s="1"/>
  <c r="CE180" s="1"/>
  <c r="EO180" s="1"/>
  <c r="BQ188"/>
  <c r="BW188" s="1"/>
  <c r="CD188" s="1"/>
  <c r="CE188" s="1"/>
  <c r="EO188" s="1"/>
  <c r="BQ196"/>
  <c r="BW196" s="1"/>
  <c r="CD196" s="1"/>
  <c r="CE196" s="1"/>
  <c r="EO196" s="1"/>
  <c r="BQ95"/>
  <c r="BW95" s="1"/>
  <c r="CD95" s="1"/>
  <c r="CE95" s="1"/>
  <c r="EO95" s="1"/>
  <c r="BQ119"/>
  <c r="BW119" s="1"/>
  <c r="CD119" s="1"/>
  <c r="CE119" s="1"/>
  <c r="EO119" s="1"/>
  <c r="BQ143"/>
  <c r="BW143" s="1"/>
  <c r="CD143" s="1"/>
  <c r="CE143" s="1"/>
  <c r="EO143" s="1"/>
  <c r="BQ52"/>
  <c r="BW52" s="1"/>
  <c r="CD52" s="1"/>
  <c r="CE52" s="1"/>
  <c r="EO52" s="1"/>
  <c r="BQ152"/>
  <c r="BW152" s="1"/>
  <c r="CD152" s="1"/>
  <c r="CE152" s="1"/>
  <c r="EO152" s="1"/>
  <c r="BW155"/>
  <c r="CD155" s="1"/>
  <c r="CE155" s="1"/>
  <c r="EO155" s="1"/>
  <c r="BQ154"/>
  <c r="BW154" s="1"/>
  <c r="CD154" s="1"/>
  <c r="CE154" s="1"/>
  <c r="EO154" s="1"/>
  <c r="AT14"/>
  <c r="AZ14" s="1"/>
  <c r="M85"/>
  <c r="M81"/>
  <c r="AT115"/>
  <c r="AZ115" s="1"/>
  <c r="AZ15"/>
  <c r="AT26"/>
  <c r="AZ26" s="1"/>
  <c r="AT22"/>
  <c r="AZ22" s="1"/>
  <c r="AT12"/>
  <c r="AZ12" s="1"/>
  <c r="AT29"/>
  <c r="AZ29" s="1"/>
  <c r="AT27"/>
  <c r="AZ27" s="1"/>
  <c r="AT147"/>
  <c r="AZ147" s="1"/>
  <c r="AT33"/>
  <c r="AZ33" s="1"/>
  <c r="AZ19"/>
  <c r="AT30"/>
  <c r="AZ30" s="1"/>
  <c r="M204"/>
  <c r="AT34"/>
  <c r="AZ34" s="1"/>
  <c r="AT152"/>
  <c r="AZ152" s="1"/>
  <c r="BG152" s="1"/>
  <c r="BH152" s="1"/>
  <c r="EN152" s="1"/>
  <c r="AZ101"/>
  <c r="AT178"/>
  <c r="AZ178" s="1"/>
  <c r="BG178" s="1"/>
  <c r="BH178" s="1"/>
  <c r="EN178" s="1"/>
  <c r="AT189"/>
  <c r="AZ189" s="1"/>
  <c r="BG189" s="1"/>
  <c r="BH189" s="1"/>
  <c r="EN189" s="1"/>
  <c r="AT191"/>
  <c r="AZ191" s="1"/>
  <c r="BG191" s="1"/>
  <c r="BH191" s="1"/>
  <c r="EN191" s="1"/>
  <c r="AT181"/>
  <c r="AZ181" s="1"/>
  <c r="BG181" s="1"/>
  <c r="BH181" s="1"/>
  <c r="EN181" s="1"/>
  <c r="AT203"/>
  <c r="AZ203" s="1"/>
  <c r="BG203" s="1"/>
  <c r="BH203" s="1"/>
  <c r="EN203" s="1"/>
  <c r="AT154"/>
  <c r="AZ154" s="1"/>
  <c r="AT183"/>
  <c r="AZ183" s="1"/>
  <c r="BG183" s="1"/>
  <c r="BH183" s="1"/>
  <c r="EN183" s="1"/>
  <c r="AZ180"/>
  <c r="BG180" s="1"/>
  <c r="BH180" s="1"/>
  <c r="EN180" s="1"/>
  <c r="AT197"/>
  <c r="AZ197" s="1"/>
  <c r="BG197" s="1"/>
  <c r="BH197" s="1"/>
  <c r="EN197" s="1"/>
  <c r="AT165"/>
  <c r="AZ165" s="1"/>
  <c r="AT157"/>
  <c r="AZ157" s="1"/>
  <c r="AT207"/>
  <c r="AZ207" s="1"/>
  <c r="BE207"/>
  <c r="BD207"/>
  <c r="BC207"/>
  <c r="BG207"/>
  <c r="BH207" s="1"/>
  <c r="EN207" s="1"/>
  <c r="BE206"/>
  <c r="BD206"/>
  <c r="BC206"/>
  <c r="BG206"/>
  <c r="BH206" s="1"/>
  <c r="EN206" s="1"/>
  <c r="BE205"/>
  <c r="BD205"/>
  <c r="BC205"/>
  <c r="BG205"/>
  <c r="BH205" s="1"/>
  <c r="EN205" s="1"/>
  <c r="BE204"/>
  <c r="BD204"/>
  <c r="BC204"/>
  <c r="BG204"/>
  <c r="BH204" s="1"/>
  <c r="EN204" s="1"/>
  <c r="BE203"/>
  <c r="BD203"/>
  <c r="BC203"/>
  <c r="BE202"/>
  <c r="BD202"/>
  <c r="BC202"/>
  <c r="BG202"/>
  <c r="BH202" s="1"/>
  <c r="EN202" s="1"/>
  <c r="BE201"/>
  <c r="BD201"/>
  <c r="BC201"/>
  <c r="BG201"/>
  <c r="BH201" s="1"/>
  <c r="EN201" s="1"/>
  <c r="BE200"/>
  <c r="BD200"/>
  <c r="BC200"/>
  <c r="BG200"/>
  <c r="BH200" s="1"/>
  <c r="EN200" s="1"/>
  <c r="BE199"/>
  <c r="BD199"/>
  <c r="BC199"/>
  <c r="BG199"/>
  <c r="BH199" s="1"/>
  <c r="EN199" s="1"/>
  <c r="BE198"/>
  <c r="BD198"/>
  <c r="BC198"/>
  <c r="BG198"/>
  <c r="BH198" s="1"/>
  <c r="EN198" s="1"/>
  <c r="BE197"/>
  <c r="BD197"/>
  <c r="BC197"/>
  <c r="BE196"/>
  <c r="BD196"/>
  <c r="BC196"/>
  <c r="BG196"/>
  <c r="BH196" s="1"/>
  <c r="EN196" s="1"/>
  <c r="BE195"/>
  <c r="BD195"/>
  <c r="BC195"/>
  <c r="BG195"/>
  <c r="BH195" s="1"/>
  <c r="EN195" s="1"/>
  <c r="BE194"/>
  <c r="BD194"/>
  <c r="BC194"/>
  <c r="BG194"/>
  <c r="BH194" s="1"/>
  <c r="EN194" s="1"/>
  <c r="BE193"/>
  <c r="BD193"/>
  <c r="BC193"/>
  <c r="BG193"/>
  <c r="BH193" s="1"/>
  <c r="EN193" s="1"/>
  <c r="BE192"/>
  <c r="BD192"/>
  <c r="BC192"/>
  <c r="BG192"/>
  <c r="BH192" s="1"/>
  <c r="EN192" s="1"/>
  <c r="BE191"/>
  <c r="BD191"/>
  <c r="BC191"/>
  <c r="BE190"/>
  <c r="BD190"/>
  <c r="BC190"/>
  <c r="BG190"/>
  <c r="BH190" s="1"/>
  <c r="EN190" s="1"/>
  <c r="BE189"/>
  <c r="BD189"/>
  <c r="BC189"/>
  <c r="BE188"/>
  <c r="BD188"/>
  <c r="BC188"/>
  <c r="BE187"/>
  <c r="BD187"/>
  <c r="BC187"/>
  <c r="BG187"/>
  <c r="BH187" s="1"/>
  <c r="EN187" s="1"/>
  <c r="BE186"/>
  <c r="BD186"/>
  <c r="BC186"/>
  <c r="BE185"/>
  <c r="BD185"/>
  <c r="BC185"/>
  <c r="BG185"/>
  <c r="BH185" s="1"/>
  <c r="EN185" s="1"/>
  <c r="BE184"/>
  <c r="BD184"/>
  <c r="BC184"/>
  <c r="BG184"/>
  <c r="BH184" s="1"/>
  <c r="EN184" s="1"/>
  <c r="BE183"/>
  <c r="BD183"/>
  <c r="BC183"/>
  <c r="BE182"/>
  <c r="BD182"/>
  <c r="BC182"/>
  <c r="BG182"/>
  <c r="BH182" s="1"/>
  <c r="EN182" s="1"/>
  <c r="BE181"/>
  <c r="BD181"/>
  <c r="BC181"/>
  <c r="BE180"/>
  <c r="BD180"/>
  <c r="BC180"/>
  <c r="BE179"/>
  <c r="BD179"/>
  <c r="BC179"/>
  <c r="BG179"/>
  <c r="BH179" s="1"/>
  <c r="EN179" s="1"/>
  <c r="BE178"/>
  <c r="BD178"/>
  <c r="BC178"/>
  <c r="BE177"/>
  <c r="BD177"/>
  <c r="BC177"/>
  <c r="BG177"/>
  <c r="BH177" s="1"/>
  <c r="EN177" s="1"/>
  <c r="BE176"/>
  <c r="BD176"/>
  <c r="BC176"/>
  <c r="BG176"/>
  <c r="BH176" s="1"/>
  <c r="EN176" s="1"/>
  <c r="BE175"/>
  <c r="BD175"/>
  <c r="BC175"/>
  <c r="BG175"/>
  <c r="BH175" s="1"/>
  <c r="EN175" s="1"/>
  <c r="BE174"/>
  <c r="BD174"/>
  <c r="BC174"/>
  <c r="BG174"/>
  <c r="BH174" s="1"/>
  <c r="EN174" s="1"/>
  <c r="BE173"/>
  <c r="BD173"/>
  <c r="BC173"/>
  <c r="BE172"/>
  <c r="BD172"/>
  <c r="BC172"/>
  <c r="BG172"/>
  <c r="BH172" s="1"/>
  <c r="EN172" s="1"/>
  <c r="BE171"/>
  <c r="BD171"/>
  <c r="BC171"/>
  <c r="BG171"/>
  <c r="BH171" s="1"/>
  <c r="EN171" s="1"/>
  <c r="BE170"/>
  <c r="BD170"/>
  <c r="BC170"/>
  <c r="BE169"/>
  <c r="BD169"/>
  <c r="BC169"/>
  <c r="BG169"/>
  <c r="BH169" s="1"/>
  <c r="EN169" s="1"/>
  <c r="BE168"/>
  <c r="BD168"/>
  <c r="BC168"/>
  <c r="BG168"/>
  <c r="BH168" s="1"/>
  <c r="EN168" s="1"/>
  <c r="BE167"/>
  <c r="BD167"/>
  <c r="BC167"/>
  <c r="BG167"/>
  <c r="BH167" s="1"/>
  <c r="EN167" s="1"/>
  <c r="BE166"/>
  <c r="BD166"/>
  <c r="BC166"/>
  <c r="BG166"/>
  <c r="BH166" s="1"/>
  <c r="EN166" s="1"/>
  <c r="BE165"/>
  <c r="BD165"/>
  <c r="BC165"/>
  <c r="BG165"/>
  <c r="BH165" s="1"/>
  <c r="EN165" s="1"/>
  <c r="BE164"/>
  <c r="BD164"/>
  <c r="BC164"/>
  <c r="BG164"/>
  <c r="BH164" s="1"/>
  <c r="EN164" s="1"/>
  <c r="BE163"/>
  <c r="BD163"/>
  <c r="BC163"/>
  <c r="BG163"/>
  <c r="BH163" s="1"/>
  <c r="EN163" s="1"/>
  <c r="BE162"/>
  <c r="BD162"/>
  <c r="BC162"/>
  <c r="BE161"/>
  <c r="BD161"/>
  <c r="BC161"/>
  <c r="BG161"/>
  <c r="BH161" s="1"/>
  <c r="EN161" s="1"/>
  <c r="BE160"/>
  <c r="BD160"/>
  <c r="BC160"/>
  <c r="BG160"/>
  <c r="BH160" s="1"/>
  <c r="EN160" s="1"/>
  <c r="BE159"/>
  <c r="BD159"/>
  <c r="BC159"/>
  <c r="BG159"/>
  <c r="BH159" s="1"/>
  <c r="EN159" s="1"/>
  <c r="BE158"/>
  <c r="BD158"/>
  <c r="BC158"/>
  <c r="BG158"/>
  <c r="BH158" s="1"/>
  <c r="EN158" s="1"/>
  <c r="BE157"/>
  <c r="BD157"/>
  <c r="BC157"/>
  <c r="BG157"/>
  <c r="BH157" s="1"/>
  <c r="EN157" s="1"/>
  <c r="BE156"/>
  <c r="BD156"/>
  <c r="BC156"/>
  <c r="BG156"/>
  <c r="BH156" s="1"/>
  <c r="EN156" s="1"/>
  <c r="BD155"/>
  <c r="BC155"/>
  <c r="BE155"/>
  <c r="BG155"/>
  <c r="BH155" s="1"/>
  <c r="EN155" s="1"/>
  <c r="BD154"/>
  <c r="BC154"/>
  <c r="BG154"/>
  <c r="BH154" s="1"/>
  <c r="EN154" s="1"/>
  <c r="BE154"/>
  <c r="BD153"/>
  <c r="BC153"/>
  <c r="BG153"/>
  <c r="BH153" s="1"/>
  <c r="EN153" s="1"/>
  <c r="BE153"/>
  <c r="BD152"/>
  <c r="BC152"/>
  <c r="BE152"/>
  <c r="BD151"/>
  <c r="BC151"/>
  <c r="BG151"/>
  <c r="BH151" s="1"/>
  <c r="EN151" s="1"/>
  <c r="BE151"/>
  <c r="BD150"/>
  <c r="BC150"/>
  <c r="BE150"/>
  <c r="BD149"/>
  <c r="BC149"/>
  <c r="BG149"/>
  <c r="BH149" s="1"/>
  <c r="EN149" s="1"/>
  <c r="BE149"/>
  <c r="BD148"/>
  <c r="BC148"/>
  <c r="BG148"/>
  <c r="BH148" s="1"/>
  <c r="EN148" s="1"/>
  <c r="BE148"/>
  <c r="BD147"/>
  <c r="BC147"/>
  <c r="BG147"/>
  <c r="BH147" s="1"/>
  <c r="EN147" s="1"/>
  <c r="BE147"/>
  <c r="BD146"/>
  <c r="BC146"/>
  <c r="BG146"/>
  <c r="BH146" s="1"/>
  <c r="EN146" s="1"/>
  <c r="BE146"/>
  <c r="BD145"/>
  <c r="BC145"/>
  <c r="BG145"/>
  <c r="BH145" s="1"/>
  <c r="EN145" s="1"/>
  <c r="BE145"/>
  <c r="BD144"/>
  <c r="BC144"/>
  <c r="BG144"/>
  <c r="BH144" s="1"/>
  <c r="EN144" s="1"/>
  <c r="BE144"/>
  <c r="BD143"/>
  <c r="BC143"/>
  <c r="BG143"/>
  <c r="BH143" s="1"/>
  <c r="EN143" s="1"/>
  <c r="BE143"/>
  <c r="BD142"/>
  <c r="BC142"/>
  <c r="BG142"/>
  <c r="BH142" s="1"/>
  <c r="EN142" s="1"/>
  <c r="BE142"/>
  <c r="BD141"/>
  <c r="BC141"/>
  <c r="BG141"/>
  <c r="BH141" s="1"/>
  <c r="EN141" s="1"/>
  <c r="BE141"/>
  <c r="BD140"/>
  <c r="BC140"/>
  <c r="BG140"/>
  <c r="BH140" s="1"/>
  <c r="EN140" s="1"/>
  <c r="BE140"/>
  <c r="BD139"/>
  <c r="BC139"/>
  <c r="BG139"/>
  <c r="BH139" s="1"/>
  <c r="EN139" s="1"/>
  <c r="BE139"/>
  <c r="BD138"/>
  <c r="BC138"/>
  <c r="BG138"/>
  <c r="BH138" s="1"/>
  <c r="EN138" s="1"/>
  <c r="BE138"/>
  <c r="BD137"/>
  <c r="BC137"/>
  <c r="BG137"/>
  <c r="BH137" s="1"/>
  <c r="EN137" s="1"/>
  <c r="BE137"/>
  <c r="BD136"/>
  <c r="BC136"/>
  <c r="BG136"/>
  <c r="BH136" s="1"/>
  <c r="EN136" s="1"/>
  <c r="BE136"/>
  <c r="BD135"/>
  <c r="BC135"/>
  <c r="BG135"/>
  <c r="BH135" s="1"/>
  <c r="EN135" s="1"/>
  <c r="BE135"/>
  <c r="BD134"/>
  <c r="BC134"/>
  <c r="BG134"/>
  <c r="BH134" s="1"/>
  <c r="EN134" s="1"/>
  <c r="BE134"/>
  <c r="BD133"/>
  <c r="BC133"/>
  <c r="BG133"/>
  <c r="BH133" s="1"/>
  <c r="EN133" s="1"/>
  <c r="BE133"/>
  <c r="BD132"/>
  <c r="BC132"/>
  <c r="BG132"/>
  <c r="BH132" s="1"/>
  <c r="EN132" s="1"/>
  <c r="BE132"/>
  <c r="BD131"/>
  <c r="BC131"/>
  <c r="BG131"/>
  <c r="BH131" s="1"/>
  <c r="EN131" s="1"/>
  <c r="BE131"/>
  <c r="BD130"/>
  <c r="BC130"/>
  <c r="BG130"/>
  <c r="BH130" s="1"/>
  <c r="EN130" s="1"/>
  <c r="BE130"/>
  <c r="BD129"/>
  <c r="BC129"/>
  <c r="BG129"/>
  <c r="BH129" s="1"/>
  <c r="EN129" s="1"/>
  <c r="BE129"/>
  <c r="BD128"/>
  <c r="BC128"/>
  <c r="BG128"/>
  <c r="BH128" s="1"/>
  <c r="EN128" s="1"/>
  <c r="BE128"/>
  <c r="BD127"/>
  <c r="BC127"/>
  <c r="BG127"/>
  <c r="BH127" s="1"/>
  <c r="EN127" s="1"/>
  <c r="BE127"/>
  <c r="BD126"/>
  <c r="BC126"/>
  <c r="BG126"/>
  <c r="BH126" s="1"/>
  <c r="EN126" s="1"/>
  <c r="BE126"/>
  <c r="BD125"/>
  <c r="BC125"/>
  <c r="BG125"/>
  <c r="BH125" s="1"/>
  <c r="EN125" s="1"/>
  <c r="BE125"/>
  <c r="BD124"/>
  <c r="BC124"/>
  <c r="BG124"/>
  <c r="BH124" s="1"/>
  <c r="EN124" s="1"/>
  <c r="BE124"/>
  <c r="BD123"/>
  <c r="BC123"/>
  <c r="BG123"/>
  <c r="BH123" s="1"/>
  <c r="EN123" s="1"/>
  <c r="BE123"/>
  <c r="BD122"/>
  <c r="BC122"/>
  <c r="BG122"/>
  <c r="BH122" s="1"/>
  <c r="EN122" s="1"/>
  <c r="BE122"/>
  <c r="BD121"/>
  <c r="BC121"/>
  <c r="BG121"/>
  <c r="BH121" s="1"/>
  <c r="EN121" s="1"/>
  <c r="BE121"/>
  <c r="BD120"/>
  <c r="BC120"/>
  <c r="BG120"/>
  <c r="BH120" s="1"/>
  <c r="EN120" s="1"/>
  <c r="BE120"/>
  <c r="BD119"/>
  <c r="BC119"/>
  <c r="BG119"/>
  <c r="BH119" s="1"/>
  <c r="EN119" s="1"/>
  <c r="BE119"/>
  <c r="BD118"/>
  <c r="BC118"/>
  <c r="BG118"/>
  <c r="BH118" s="1"/>
  <c r="EN118" s="1"/>
  <c r="BE118"/>
  <c r="BD117"/>
  <c r="BC117"/>
  <c r="BE117"/>
  <c r="BD116"/>
  <c r="BC116"/>
  <c r="BG116"/>
  <c r="BH116" s="1"/>
  <c r="EN116" s="1"/>
  <c r="BE116"/>
  <c r="BD115"/>
  <c r="BC115"/>
  <c r="BG115"/>
  <c r="BH115" s="1"/>
  <c r="EN115" s="1"/>
  <c r="BE115"/>
  <c r="BD114"/>
  <c r="BC114"/>
  <c r="BG114"/>
  <c r="BH114" s="1"/>
  <c r="EN114" s="1"/>
  <c r="BE114"/>
  <c r="BD113"/>
  <c r="BC113"/>
  <c r="BG113"/>
  <c r="BH113" s="1"/>
  <c r="EN113" s="1"/>
  <c r="BE113"/>
  <c r="BD112"/>
  <c r="BC112"/>
  <c r="BG112"/>
  <c r="BH112" s="1"/>
  <c r="EN112" s="1"/>
  <c r="BE112"/>
  <c r="BD111"/>
  <c r="BC111"/>
  <c r="BG111"/>
  <c r="BH111" s="1"/>
  <c r="EN111" s="1"/>
  <c r="BE111"/>
  <c r="BD110"/>
  <c r="BC110"/>
  <c r="BG110"/>
  <c r="BH110" s="1"/>
  <c r="EN110" s="1"/>
  <c r="BE110"/>
  <c r="BD109"/>
  <c r="BC109"/>
  <c r="BG109"/>
  <c r="BH109" s="1"/>
  <c r="EN109" s="1"/>
  <c r="BE109"/>
  <c r="BD108"/>
  <c r="BC108"/>
  <c r="BG108"/>
  <c r="BH108" s="1"/>
  <c r="EN108" s="1"/>
  <c r="BE108"/>
  <c r="BD107"/>
  <c r="BC107"/>
  <c r="BE107"/>
  <c r="BD106"/>
  <c r="BC106"/>
  <c r="BG106"/>
  <c r="BH106" s="1"/>
  <c r="EN106" s="1"/>
  <c r="BE106"/>
  <c r="BD105"/>
  <c r="BC105"/>
  <c r="BG105"/>
  <c r="BH105" s="1"/>
  <c r="EN105" s="1"/>
  <c r="BE105"/>
  <c r="BD104"/>
  <c r="BC104"/>
  <c r="BG104"/>
  <c r="BH104" s="1"/>
  <c r="EN104" s="1"/>
  <c r="BE104"/>
  <c r="BD103"/>
  <c r="BC103"/>
  <c r="BG103"/>
  <c r="BH103" s="1"/>
  <c r="EN103" s="1"/>
  <c r="BE103"/>
  <c r="BD102"/>
  <c r="BC102"/>
  <c r="BG102"/>
  <c r="BH102" s="1"/>
  <c r="EN102" s="1"/>
  <c r="BE102"/>
  <c r="BD101"/>
  <c r="BC101"/>
  <c r="BG101"/>
  <c r="BH101" s="1"/>
  <c r="EN101" s="1"/>
  <c r="BE101"/>
  <c r="BD100"/>
  <c r="BC100"/>
  <c r="BG100"/>
  <c r="BH100" s="1"/>
  <c r="EN100" s="1"/>
  <c r="BE100"/>
  <c r="BD99"/>
  <c r="BC99"/>
  <c r="BG99"/>
  <c r="BH99" s="1"/>
  <c r="EN99" s="1"/>
  <c r="BE99"/>
  <c r="BC98"/>
  <c r="BG98"/>
  <c r="BH98" s="1"/>
  <c r="EN98" s="1"/>
  <c r="BE98"/>
  <c r="BD98"/>
  <c r="BE97"/>
  <c r="BD97"/>
  <c r="BC97"/>
  <c r="BG97"/>
  <c r="BH97" s="1"/>
  <c r="EN97" s="1"/>
  <c r="BE96"/>
  <c r="BD96"/>
  <c r="BC96"/>
  <c r="BG96"/>
  <c r="BH96" s="1"/>
  <c r="EN96" s="1"/>
  <c r="BD95"/>
  <c r="BC95"/>
  <c r="BG95"/>
  <c r="BH95" s="1"/>
  <c r="EN95" s="1"/>
  <c r="BE95"/>
  <c r="BC94"/>
  <c r="BG94"/>
  <c r="BH94" s="1"/>
  <c r="EN94" s="1"/>
  <c r="BE94"/>
  <c r="BD94"/>
  <c r="BE93"/>
  <c r="BD93"/>
  <c r="BC93"/>
  <c r="BG93"/>
  <c r="BH93" s="1"/>
  <c r="EN93" s="1"/>
  <c r="BE92"/>
  <c r="BD92"/>
  <c r="BC92"/>
  <c r="BG92"/>
  <c r="BH92" s="1"/>
  <c r="EN92" s="1"/>
  <c r="BD91"/>
  <c r="BC91"/>
  <c r="BG91"/>
  <c r="BH91" s="1"/>
  <c r="EN91" s="1"/>
  <c r="BE91"/>
  <c r="BC90"/>
  <c r="BG90"/>
  <c r="BH90" s="1"/>
  <c r="EN90" s="1"/>
  <c r="BE90"/>
  <c r="BD90"/>
  <c r="BE89"/>
  <c r="BD89"/>
  <c r="BC89"/>
  <c r="BG89"/>
  <c r="BH89" s="1"/>
  <c r="EN89" s="1"/>
  <c r="BE88"/>
  <c r="BD88"/>
  <c r="BC88"/>
  <c r="BG88"/>
  <c r="BH88" s="1"/>
  <c r="EN88" s="1"/>
  <c r="BD87"/>
  <c r="BC87"/>
  <c r="BG87"/>
  <c r="BH87" s="1"/>
  <c r="EN87" s="1"/>
  <c r="BE87"/>
  <c r="BC86"/>
  <c r="BG86"/>
  <c r="BH86" s="1"/>
  <c r="EN86" s="1"/>
  <c r="BE86"/>
  <c r="BD86"/>
  <c r="BE85"/>
  <c r="BD85"/>
  <c r="BC85"/>
  <c r="BG85"/>
  <c r="BH85" s="1"/>
  <c r="EN85" s="1"/>
  <c r="BE84"/>
  <c r="BD84"/>
  <c r="BC84"/>
  <c r="BG84"/>
  <c r="BH84" s="1"/>
  <c r="EN84" s="1"/>
  <c r="BD83"/>
  <c r="BC83"/>
  <c r="BE83"/>
  <c r="BC82"/>
  <c r="BG82"/>
  <c r="BH82" s="1"/>
  <c r="EN82" s="1"/>
  <c r="BE82"/>
  <c r="BD82"/>
  <c r="BE81"/>
  <c r="BD81"/>
  <c r="BC81"/>
  <c r="BG81"/>
  <c r="BH81" s="1"/>
  <c r="EN81" s="1"/>
  <c r="BE80"/>
  <c r="BD80"/>
  <c r="BC80"/>
  <c r="BG80"/>
  <c r="BH80" s="1"/>
  <c r="EN80" s="1"/>
  <c r="BD79"/>
  <c r="BC79"/>
  <c r="BG79"/>
  <c r="BH79" s="1"/>
  <c r="EN79" s="1"/>
  <c r="BE79"/>
  <c r="BC78"/>
  <c r="BG78"/>
  <c r="BH78" s="1"/>
  <c r="EN78" s="1"/>
  <c r="BE78"/>
  <c r="BD78"/>
  <c r="BE77"/>
  <c r="BD77"/>
  <c r="BC77"/>
  <c r="BG77"/>
  <c r="BH77" s="1"/>
  <c r="EN77" s="1"/>
  <c r="BE76"/>
  <c r="BD76"/>
  <c r="BC76"/>
  <c r="BG76"/>
  <c r="BH76" s="1"/>
  <c r="EN76" s="1"/>
  <c r="BD75"/>
  <c r="BC75"/>
  <c r="BE75"/>
  <c r="BC74"/>
  <c r="BG74"/>
  <c r="BH74" s="1"/>
  <c r="EN74" s="1"/>
  <c r="BE74"/>
  <c r="BD74"/>
  <c r="BE73"/>
  <c r="BD73"/>
  <c r="BC73"/>
  <c r="BG73"/>
  <c r="BH73" s="1"/>
  <c r="EN73" s="1"/>
  <c r="BE72"/>
  <c r="BD72"/>
  <c r="BC72"/>
  <c r="BG72"/>
  <c r="BH72" s="1"/>
  <c r="EN72" s="1"/>
  <c r="BD71"/>
  <c r="BC71"/>
  <c r="BG71"/>
  <c r="BH71" s="1"/>
  <c r="EN71" s="1"/>
  <c r="BE71"/>
  <c r="BC70"/>
  <c r="BG70"/>
  <c r="BH70" s="1"/>
  <c r="EN70" s="1"/>
  <c r="BE70"/>
  <c r="BD70"/>
  <c r="BE69"/>
  <c r="BD69"/>
  <c r="BC69"/>
  <c r="BG69"/>
  <c r="BH69" s="1"/>
  <c r="EN69" s="1"/>
  <c r="BE68"/>
  <c r="BD68"/>
  <c r="BC68"/>
  <c r="BG68"/>
  <c r="BH68" s="1"/>
  <c r="EN68" s="1"/>
  <c r="BD67"/>
  <c r="BC67"/>
  <c r="BE67"/>
  <c r="BC66"/>
  <c r="BG66"/>
  <c r="BH66" s="1"/>
  <c r="EN66" s="1"/>
  <c r="BE66"/>
  <c r="BD66"/>
  <c r="BE65"/>
  <c r="BD65"/>
  <c r="BC65"/>
  <c r="BE64"/>
  <c r="BD64"/>
  <c r="BC64"/>
  <c r="BG64"/>
  <c r="BH64" s="1"/>
  <c r="EN64" s="1"/>
  <c r="BD63"/>
  <c r="BC63"/>
  <c r="BG63"/>
  <c r="BH63" s="1"/>
  <c r="EN63" s="1"/>
  <c r="BE63"/>
  <c r="BC62"/>
  <c r="BG62"/>
  <c r="BH62" s="1"/>
  <c r="EN62" s="1"/>
  <c r="BE62"/>
  <c r="BD62"/>
  <c r="BE61"/>
  <c r="BD61"/>
  <c r="BC61"/>
  <c r="BG61"/>
  <c r="BH61" s="1"/>
  <c r="EN61" s="1"/>
  <c r="BE60"/>
  <c r="BD60"/>
  <c r="BC60"/>
  <c r="BG60"/>
  <c r="BH60" s="1"/>
  <c r="EN60" s="1"/>
  <c r="BD59"/>
  <c r="BC59"/>
  <c r="BG59"/>
  <c r="BH59" s="1"/>
  <c r="EN59" s="1"/>
  <c r="BE59"/>
  <c r="BC58"/>
  <c r="BG58"/>
  <c r="BH58" s="1"/>
  <c r="EN58" s="1"/>
  <c r="BE58"/>
  <c r="BD58"/>
  <c r="BE57"/>
  <c r="BD57"/>
  <c r="BC57"/>
  <c r="BG57"/>
  <c r="BH57" s="1"/>
  <c r="EN57" s="1"/>
  <c r="BE56"/>
  <c r="BD56"/>
  <c r="BC56"/>
  <c r="BG56"/>
  <c r="BH56" s="1"/>
  <c r="EN56" s="1"/>
  <c r="BD55"/>
  <c r="BC55"/>
  <c r="BG55"/>
  <c r="BH55" s="1"/>
  <c r="EN55" s="1"/>
  <c r="BE55"/>
  <c r="BC54"/>
  <c r="BG54"/>
  <c r="BH54" s="1"/>
  <c r="EN54" s="1"/>
  <c r="BE54"/>
  <c r="BD54"/>
  <c r="BE53"/>
  <c r="BD53"/>
  <c r="BC53"/>
  <c r="BG53"/>
  <c r="BH53" s="1"/>
  <c r="EN53" s="1"/>
  <c r="BE52"/>
  <c r="BD52"/>
  <c r="BC52"/>
  <c r="BG52"/>
  <c r="BH52" s="1"/>
  <c r="EN52" s="1"/>
  <c r="BD51"/>
  <c r="BC51"/>
  <c r="BG51"/>
  <c r="BH51" s="1"/>
  <c r="EN51" s="1"/>
  <c r="BE51"/>
  <c r="BC50"/>
  <c r="BG50"/>
  <c r="BH50" s="1"/>
  <c r="EN50" s="1"/>
  <c r="BE50"/>
  <c r="BD50"/>
  <c r="BE49"/>
  <c r="BD49"/>
  <c r="BC49"/>
  <c r="BG49"/>
  <c r="BH49" s="1"/>
  <c r="EN49" s="1"/>
  <c r="BE48"/>
  <c r="BD48"/>
  <c r="BC48"/>
  <c r="BG48"/>
  <c r="BH48" s="1"/>
  <c r="EN48" s="1"/>
  <c r="BD47"/>
  <c r="BC47"/>
  <c r="BE47"/>
  <c r="BC46"/>
  <c r="BG46"/>
  <c r="BH46" s="1"/>
  <c r="EN46" s="1"/>
  <c r="BE46"/>
  <c r="BD46"/>
  <c r="BE45"/>
  <c r="BD45"/>
  <c r="BC45"/>
  <c r="BG45"/>
  <c r="BH45" s="1"/>
  <c r="EN45" s="1"/>
  <c r="BE44"/>
  <c r="BD44"/>
  <c r="BC44"/>
  <c r="BG44"/>
  <c r="BH44" s="1"/>
  <c r="EN44" s="1"/>
  <c r="BD43"/>
  <c r="BC43"/>
  <c r="BG43"/>
  <c r="BH43" s="1"/>
  <c r="EN43" s="1"/>
  <c r="BE43"/>
  <c r="BC42"/>
  <c r="BG42"/>
  <c r="BH42" s="1"/>
  <c r="EN42" s="1"/>
  <c r="BE42"/>
  <c r="BD42"/>
  <c r="BE41"/>
  <c r="BD41"/>
  <c r="BC41"/>
  <c r="BG41"/>
  <c r="BH41" s="1"/>
  <c r="EN41" s="1"/>
  <c r="BE40"/>
  <c r="BD40"/>
  <c r="BC40"/>
  <c r="BG40"/>
  <c r="BH40" s="1"/>
  <c r="EN40" s="1"/>
  <c r="BD39"/>
  <c r="BC39"/>
  <c r="BG39"/>
  <c r="BH39" s="1"/>
  <c r="EN39" s="1"/>
  <c r="BE39"/>
  <c r="BC38"/>
  <c r="BG38"/>
  <c r="BH38" s="1"/>
  <c r="EN38" s="1"/>
  <c r="BE38"/>
  <c r="BD38"/>
  <c r="BD34"/>
  <c r="BD33"/>
  <c r="BD32"/>
  <c r="BD31"/>
  <c r="BD30"/>
  <c r="BD29"/>
  <c r="BD28"/>
  <c r="BD27"/>
  <c r="BD22"/>
  <c r="BD21"/>
  <c r="BD20"/>
  <c r="BD19"/>
  <c r="BD18"/>
  <c r="BD17"/>
  <c r="BD16"/>
  <c r="BD15"/>
  <c r="BD14"/>
  <c r="BD13"/>
  <c r="BD10"/>
  <c r="AT150"/>
  <c r="AZ150" s="1"/>
  <c r="BG150" s="1"/>
  <c r="BH150" s="1"/>
  <c r="EN150" s="1"/>
  <c r="AZ117"/>
  <c r="BG117" s="1"/>
  <c r="BH117" s="1"/>
  <c r="EN117" s="1"/>
  <c r="AT67"/>
  <c r="AZ67" s="1"/>
  <c r="BG67" s="1"/>
  <c r="BH67" s="1"/>
  <c r="EN67" s="1"/>
  <c r="AT83"/>
  <c r="AZ83" s="1"/>
  <c r="BG83" s="1"/>
  <c r="BH83" s="1"/>
  <c r="EN83" s="1"/>
  <c r="AT170"/>
  <c r="AZ170" s="1"/>
  <c r="BG170" s="1"/>
  <c r="BH170" s="1"/>
  <c r="EN170" s="1"/>
  <c r="AT186"/>
  <c r="AZ186" s="1"/>
  <c r="BG186" s="1"/>
  <c r="BH186" s="1"/>
  <c r="EN186" s="1"/>
  <c r="AT75"/>
  <c r="AZ75" s="1"/>
  <c r="BG75" s="1"/>
  <c r="BH75" s="1"/>
  <c r="EN75" s="1"/>
  <c r="AT107"/>
  <c r="AZ107" s="1"/>
  <c r="BG107" s="1"/>
  <c r="BH107" s="1"/>
  <c r="EN107" s="1"/>
  <c r="AT173"/>
  <c r="AZ173" s="1"/>
  <c r="BG173" s="1"/>
  <c r="BH173" s="1"/>
  <c r="EN173" s="1"/>
  <c r="AT162"/>
  <c r="AZ162" s="1"/>
  <c r="BG162" s="1"/>
  <c r="BH162" s="1"/>
  <c r="EN162" s="1"/>
  <c r="AT188"/>
  <c r="AZ188" s="1"/>
  <c r="BG188" s="1"/>
  <c r="BH188" s="1"/>
  <c r="EN188" s="1"/>
  <c r="AT16"/>
  <c r="AZ16" s="1"/>
  <c r="AT25"/>
  <c r="AZ25" s="1"/>
  <c r="AT28"/>
  <c r="AZ28" s="1"/>
  <c r="AT32"/>
  <c r="AZ32" s="1"/>
  <c r="AT36"/>
  <c r="AZ36" s="1"/>
  <c r="AT31"/>
  <c r="AZ31" s="1"/>
  <c r="AT24"/>
  <c r="AZ24" s="1"/>
  <c r="AT23"/>
  <c r="AZ23" s="1"/>
  <c r="AT20"/>
  <c r="AZ20" s="1"/>
  <c r="M144"/>
  <c r="M192"/>
  <c r="M188"/>
  <c r="M37"/>
  <c r="M33"/>
  <c r="M21"/>
  <c r="M17"/>
  <c r="O17" s="1"/>
  <c r="Q17" s="1"/>
  <c r="M13"/>
  <c r="O13" s="1"/>
  <c r="Q13" s="1"/>
  <c r="M9"/>
  <c r="O9" s="1"/>
  <c r="Q9" s="1"/>
  <c r="S206"/>
  <c r="R206"/>
  <c r="S202"/>
  <c r="R202"/>
  <c r="S198"/>
  <c r="R198"/>
  <c r="S194"/>
  <c r="R194"/>
  <c r="S190"/>
  <c r="R190"/>
  <c r="S186"/>
  <c r="R186"/>
  <c r="S182"/>
  <c r="R182"/>
  <c r="S178"/>
  <c r="R178"/>
  <c r="S174"/>
  <c r="R174"/>
  <c r="S170"/>
  <c r="R170"/>
  <c r="S166"/>
  <c r="R166"/>
  <c r="S162"/>
  <c r="R162"/>
  <c r="S158"/>
  <c r="R158"/>
  <c r="S154"/>
  <c r="R154"/>
  <c r="M150"/>
  <c r="S150"/>
  <c r="R150"/>
  <c r="M146"/>
  <c r="S146"/>
  <c r="R146"/>
  <c r="M143"/>
  <c r="S143"/>
  <c r="R143"/>
  <c r="S139"/>
  <c r="R139"/>
  <c r="S135"/>
  <c r="R135"/>
  <c r="S131"/>
  <c r="R131"/>
  <c r="S127"/>
  <c r="R127"/>
  <c r="S123"/>
  <c r="R123"/>
  <c r="S119"/>
  <c r="R119"/>
  <c r="S115"/>
  <c r="R115"/>
  <c r="S111"/>
  <c r="R111"/>
  <c r="S107"/>
  <c r="R107"/>
  <c r="S103"/>
  <c r="R103"/>
  <c r="S99"/>
  <c r="R99"/>
  <c r="S95"/>
  <c r="R95"/>
  <c r="S91"/>
  <c r="R91"/>
  <c r="S87"/>
  <c r="R87"/>
  <c r="S83"/>
  <c r="R83"/>
  <c r="S79"/>
  <c r="R79"/>
  <c r="S75"/>
  <c r="R75"/>
  <c r="S71"/>
  <c r="R71"/>
  <c r="S67"/>
  <c r="R67"/>
  <c r="S63"/>
  <c r="R63"/>
  <c r="S59"/>
  <c r="R59"/>
  <c r="S55"/>
  <c r="R55"/>
  <c r="S51"/>
  <c r="R51"/>
  <c r="S47"/>
  <c r="R47"/>
  <c r="S43"/>
  <c r="R43"/>
  <c r="S39"/>
  <c r="R39"/>
  <c r="S35"/>
  <c r="R35"/>
  <c r="S31"/>
  <c r="R31"/>
  <c r="S27"/>
  <c r="R27"/>
  <c r="S23"/>
  <c r="R23"/>
  <c r="S19"/>
  <c r="R19"/>
  <c r="S15"/>
  <c r="R15"/>
  <c r="S11"/>
  <c r="R11"/>
  <c r="AH13"/>
  <c r="AH25"/>
  <c r="AH12"/>
  <c r="AH20"/>
  <c r="AH36"/>
  <c r="AH15"/>
  <c r="AH27"/>
  <c r="AH26"/>
  <c r="AI207"/>
  <c r="AH207"/>
  <c r="U207"/>
  <c r="AJ207"/>
  <c r="AK207" s="1"/>
  <c r="EM207" s="1"/>
  <c r="T207"/>
  <c r="U206"/>
  <c r="AJ206"/>
  <c r="AK206" s="1"/>
  <c r="EM206" s="1"/>
  <c r="T206"/>
  <c r="AI206"/>
  <c r="AH206"/>
  <c r="AI205"/>
  <c r="AH205"/>
  <c r="U205"/>
  <c r="AJ205"/>
  <c r="AK205" s="1"/>
  <c r="EM205" s="1"/>
  <c r="T205"/>
  <c r="U204"/>
  <c r="AJ204"/>
  <c r="AK204" s="1"/>
  <c r="EM204" s="1"/>
  <c r="T204"/>
  <c r="AI204"/>
  <c r="AH204"/>
  <c r="AI203"/>
  <c r="AH203"/>
  <c r="U203"/>
  <c r="AJ203"/>
  <c r="AK203" s="1"/>
  <c r="EM203" s="1"/>
  <c r="T203"/>
  <c r="U202"/>
  <c r="AJ202"/>
  <c r="AK202" s="1"/>
  <c r="EM202" s="1"/>
  <c r="T202"/>
  <c r="AI202"/>
  <c r="AH202"/>
  <c r="AI201"/>
  <c r="AH201"/>
  <c r="U201"/>
  <c r="AJ201"/>
  <c r="AK201" s="1"/>
  <c r="EM201" s="1"/>
  <c r="T201"/>
  <c r="U200"/>
  <c r="AJ200"/>
  <c r="AK200" s="1"/>
  <c r="EM200" s="1"/>
  <c r="T200"/>
  <c r="AI200"/>
  <c r="AH200"/>
  <c r="AI199"/>
  <c r="AH199"/>
  <c r="U199"/>
  <c r="AJ199"/>
  <c r="AK199" s="1"/>
  <c r="EM199" s="1"/>
  <c r="T199"/>
  <c r="U198"/>
  <c r="AJ198"/>
  <c r="AK198" s="1"/>
  <c r="EM198" s="1"/>
  <c r="T198"/>
  <c r="AI198"/>
  <c r="AH198"/>
  <c r="AI197"/>
  <c r="AH197"/>
  <c r="U197"/>
  <c r="AJ197"/>
  <c r="AK197" s="1"/>
  <c r="EM197" s="1"/>
  <c r="T197"/>
  <c r="U196"/>
  <c r="AJ196"/>
  <c r="AK196" s="1"/>
  <c r="EM196" s="1"/>
  <c r="T196"/>
  <c r="AI196"/>
  <c r="AH196"/>
  <c r="AI195"/>
  <c r="AH195"/>
  <c r="U195"/>
  <c r="AJ195"/>
  <c r="AK195" s="1"/>
  <c r="EM195" s="1"/>
  <c r="T195"/>
  <c r="U194"/>
  <c r="AJ194"/>
  <c r="AK194" s="1"/>
  <c r="EM194" s="1"/>
  <c r="T194"/>
  <c r="AI194"/>
  <c r="AH194"/>
  <c r="AI193"/>
  <c r="AH193"/>
  <c r="U193"/>
  <c r="AJ193"/>
  <c r="AK193" s="1"/>
  <c r="EM193" s="1"/>
  <c r="T193"/>
  <c r="U192"/>
  <c r="AJ192"/>
  <c r="AK192" s="1"/>
  <c r="EM192" s="1"/>
  <c r="T192"/>
  <c r="AI192"/>
  <c r="AH192"/>
  <c r="AI191"/>
  <c r="AH191"/>
  <c r="U191"/>
  <c r="AJ191"/>
  <c r="AK191" s="1"/>
  <c r="EM191" s="1"/>
  <c r="T191"/>
  <c r="U190"/>
  <c r="AJ190"/>
  <c r="AK190" s="1"/>
  <c r="EM190" s="1"/>
  <c r="T190"/>
  <c r="AI190"/>
  <c r="AH190"/>
  <c r="AI189"/>
  <c r="AH189"/>
  <c r="U189"/>
  <c r="AJ189"/>
  <c r="AK189" s="1"/>
  <c r="EM189" s="1"/>
  <c r="T189"/>
  <c r="U188"/>
  <c r="AJ188"/>
  <c r="AK188" s="1"/>
  <c r="EM188" s="1"/>
  <c r="T188"/>
  <c r="AI188"/>
  <c r="AH188"/>
  <c r="AI187"/>
  <c r="AH187"/>
  <c r="U187"/>
  <c r="AJ187"/>
  <c r="AK187" s="1"/>
  <c r="EM187" s="1"/>
  <c r="T187"/>
  <c r="AJ186"/>
  <c r="AK186" s="1"/>
  <c r="EM186" s="1"/>
  <c r="AI186"/>
  <c r="AH186"/>
  <c r="U186"/>
  <c r="T186"/>
  <c r="AI185"/>
  <c r="AH185"/>
  <c r="AJ185"/>
  <c r="AK185" s="1"/>
  <c r="EM185" s="1"/>
  <c r="U185"/>
  <c r="T185"/>
  <c r="AJ184"/>
  <c r="AK184" s="1"/>
  <c r="EM184" s="1"/>
  <c r="AI184"/>
  <c r="AH184"/>
  <c r="U184"/>
  <c r="T184"/>
  <c r="AI183"/>
  <c r="AH183"/>
  <c r="AJ183"/>
  <c r="AK183" s="1"/>
  <c r="EM183" s="1"/>
  <c r="U183"/>
  <c r="T183"/>
  <c r="AJ182"/>
  <c r="AK182" s="1"/>
  <c r="EM182" s="1"/>
  <c r="AI182"/>
  <c r="AH182"/>
  <c r="U182"/>
  <c r="T182"/>
  <c r="AI181"/>
  <c r="AH181"/>
  <c r="AJ181"/>
  <c r="AK181" s="1"/>
  <c r="EM181" s="1"/>
  <c r="U181"/>
  <c r="T181"/>
  <c r="AJ180"/>
  <c r="AK180" s="1"/>
  <c r="EM180" s="1"/>
  <c r="AI180"/>
  <c r="AH180"/>
  <c r="U180"/>
  <c r="T180"/>
  <c r="AI179"/>
  <c r="AH179"/>
  <c r="AJ179"/>
  <c r="AK179" s="1"/>
  <c r="EM179" s="1"/>
  <c r="U179"/>
  <c r="T179"/>
  <c r="AJ178"/>
  <c r="AK178" s="1"/>
  <c r="EM178" s="1"/>
  <c r="AI178"/>
  <c r="AH178"/>
  <c r="U178"/>
  <c r="T178"/>
  <c r="AI177"/>
  <c r="AH177"/>
  <c r="AJ177"/>
  <c r="AK177" s="1"/>
  <c r="EM177" s="1"/>
  <c r="U177"/>
  <c r="T177"/>
  <c r="AJ176"/>
  <c r="AK176" s="1"/>
  <c r="EM176" s="1"/>
  <c r="AI176"/>
  <c r="AH176"/>
  <c r="U176"/>
  <c r="T176"/>
  <c r="AI175"/>
  <c r="AH175"/>
  <c r="AJ175"/>
  <c r="AK175" s="1"/>
  <c r="EM175" s="1"/>
  <c r="U175"/>
  <c r="T175"/>
  <c r="AJ174"/>
  <c r="AK174" s="1"/>
  <c r="EM174" s="1"/>
  <c r="AI174"/>
  <c r="AH174"/>
  <c r="U174"/>
  <c r="T174"/>
  <c r="AI173"/>
  <c r="AH173"/>
  <c r="AJ173"/>
  <c r="AK173" s="1"/>
  <c r="EM173" s="1"/>
  <c r="U173"/>
  <c r="T173"/>
  <c r="AJ172"/>
  <c r="AK172" s="1"/>
  <c r="EM172" s="1"/>
  <c r="AI172"/>
  <c r="AH172"/>
  <c r="U172"/>
  <c r="T172"/>
  <c r="AI171"/>
  <c r="AH171"/>
  <c r="AJ171"/>
  <c r="AK171" s="1"/>
  <c r="EM171" s="1"/>
  <c r="U171"/>
  <c r="T171"/>
  <c r="AJ170"/>
  <c r="AK170" s="1"/>
  <c r="EM170" s="1"/>
  <c r="AI170"/>
  <c r="AH170"/>
  <c r="U170"/>
  <c r="T170"/>
  <c r="AI169"/>
  <c r="AH169"/>
  <c r="AJ169"/>
  <c r="AK169" s="1"/>
  <c r="EM169" s="1"/>
  <c r="U169"/>
  <c r="T169"/>
  <c r="AJ168"/>
  <c r="AK168" s="1"/>
  <c r="EM168" s="1"/>
  <c r="AI168"/>
  <c r="AH168"/>
  <c r="U168"/>
  <c r="T168"/>
  <c r="AI167"/>
  <c r="AH167"/>
  <c r="AJ167"/>
  <c r="AK167" s="1"/>
  <c r="EM167" s="1"/>
  <c r="U167"/>
  <c r="T167"/>
  <c r="AJ166"/>
  <c r="AK166" s="1"/>
  <c r="EM166" s="1"/>
  <c r="AI166"/>
  <c r="AH166"/>
  <c r="U166"/>
  <c r="T166"/>
  <c r="AI165"/>
  <c r="AH165"/>
  <c r="AJ165"/>
  <c r="AK165" s="1"/>
  <c r="EM165" s="1"/>
  <c r="U165"/>
  <c r="T165"/>
  <c r="AJ164"/>
  <c r="AK164" s="1"/>
  <c r="EM164" s="1"/>
  <c r="AI164"/>
  <c r="AH164"/>
  <c r="U164"/>
  <c r="T164"/>
  <c r="AI163"/>
  <c r="AH163"/>
  <c r="AJ163"/>
  <c r="AK163" s="1"/>
  <c r="EM163" s="1"/>
  <c r="U163"/>
  <c r="T163"/>
  <c r="AJ162"/>
  <c r="AK162" s="1"/>
  <c r="EM162" s="1"/>
  <c r="AI162"/>
  <c r="AH162"/>
  <c r="U162"/>
  <c r="T162"/>
  <c r="AI161"/>
  <c r="AH161"/>
  <c r="AJ161"/>
  <c r="AK161" s="1"/>
  <c r="EM161" s="1"/>
  <c r="U161"/>
  <c r="T161"/>
  <c r="AJ160"/>
  <c r="AK160" s="1"/>
  <c r="EM160" s="1"/>
  <c r="AI160"/>
  <c r="AH160"/>
  <c r="U160"/>
  <c r="T160"/>
  <c r="AI159"/>
  <c r="AH159"/>
  <c r="AJ159"/>
  <c r="AK159" s="1"/>
  <c r="EM159" s="1"/>
  <c r="U159"/>
  <c r="T159"/>
  <c r="AJ158"/>
  <c r="AK158" s="1"/>
  <c r="EM158" s="1"/>
  <c r="AI158"/>
  <c r="AH158"/>
  <c r="U158"/>
  <c r="T158"/>
  <c r="AI157"/>
  <c r="AH157"/>
  <c r="AJ157"/>
  <c r="AK157" s="1"/>
  <c r="EM157" s="1"/>
  <c r="U157"/>
  <c r="T157"/>
  <c r="AJ156"/>
  <c r="AK156" s="1"/>
  <c r="EM156" s="1"/>
  <c r="AI156"/>
  <c r="AH156"/>
  <c r="U156"/>
  <c r="T156"/>
  <c r="AI155"/>
  <c r="AH155"/>
  <c r="AJ155"/>
  <c r="AK155" s="1"/>
  <c r="EM155" s="1"/>
  <c r="U155"/>
  <c r="T155"/>
  <c r="AJ154"/>
  <c r="AK154" s="1"/>
  <c r="EM154" s="1"/>
  <c r="AI154"/>
  <c r="AH154"/>
  <c r="U154"/>
  <c r="T154"/>
  <c r="AI153"/>
  <c r="AH153"/>
  <c r="AJ153"/>
  <c r="AK153" s="1"/>
  <c r="EM153" s="1"/>
  <c r="U153"/>
  <c r="T153"/>
  <c r="AJ152"/>
  <c r="AK152" s="1"/>
  <c r="EM152" s="1"/>
  <c r="AI152"/>
  <c r="AH152"/>
  <c r="U152"/>
  <c r="T152"/>
  <c r="AI151"/>
  <c r="AH151"/>
  <c r="AJ151"/>
  <c r="AK151" s="1"/>
  <c r="EM151" s="1"/>
  <c r="U151"/>
  <c r="T151"/>
  <c r="AJ150"/>
  <c r="AK150" s="1"/>
  <c r="EM150" s="1"/>
  <c r="AI150"/>
  <c r="AH150"/>
  <c r="U150"/>
  <c r="T150"/>
  <c r="AI149"/>
  <c r="AH149"/>
  <c r="AJ149"/>
  <c r="AK149" s="1"/>
  <c r="EM149" s="1"/>
  <c r="U149"/>
  <c r="T149"/>
  <c r="AJ148"/>
  <c r="AK148" s="1"/>
  <c r="EM148" s="1"/>
  <c r="AI148"/>
  <c r="AH148"/>
  <c r="U148"/>
  <c r="T148"/>
  <c r="AI147"/>
  <c r="AH147"/>
  <c r="AJ147"/>
  <c r="AK147" s="1"/>
  <c r="EM147" s="1"/>
  <c r="U147"/>
  <c r="T147"/>
  <c r="AJ146"/>
  <c r="AK146" s="1"/>
  <c r="EM146" s="1"/>
  <c r="AI146"/>
  <c r="AH146"/>
  <c r="U146"/>
  <c r="T146"/>
  <c r="AI145"/>
  <c r="AH145"/>
  <c r="AJ145"/>
  <c r="AK145" s="1"/>
  <c r="EM145" s="1"/>
  <c r="U145"/>
  <c r="T145"/>
  <c r="AJ144"/>
  <c r="AK144" s="1"/>
  <c r="EM144" s="1"/>
  <c r="AI144"/>
  <c r="AH144"/>
  <c r="U144"/>
  <c r="T144"/>
  <c r="AI143"/>
  <c r="AH143"/>
  <c r="AJ143"/>
  <c r="AK143" s="1"/>
  <c r="EM143" s="1"/>
  <c r="U143"/>
  <c r="T143"/>
  <c r="AJ142"/>
  <c r="AK142" s="1"/>
  <c r="EM142" s="1"/>
  <c r="AI142"/>
  <c r="AH142"/>
  <c r="U142"/>
  <c r="T142"/>
  <c r="AI141"/>
  <c r="AH141"/>
  <c r="AJ141"/>
  <c r="AK141" s="1"/>
  <c r="EM141" s="1"/>
  <c r="U141"/>
  <c r="T141"/>
  <c r="AJ140"/>
  <c r="AK140" s="1"/>
  <c r="EM140" s="1"/>
  <c r="AI140"/>
  <c r="AH140"/>
  <c r="U140"/>
  <c r="T140"/>
  <c r="AI139"/>
  <c r="AH139"/>
  <c r="AJ139"/>
  <c r="AK139" s="1"/>
  <c r="EM139" s="1"/>
  <c r="U139"/>
  <c r="T139"/>
  <c r="AJ138"/>
  <c r="AK138" s="1"/>
  <c r="EM138" s="1"/>
  <c r="AI138"/>
  <c r="AH138"/>
  <c r="U138"/>
  <c r="T138"/>
  <c r="AI137"/>
  <c r="AH137"/>
  <c r="AJ137"/>
  <c r="AK137" s="1"/>
  <c r="EM137" s="1"/>
  <c r="U137"/>
  <c r="T137"/>
  <c r="AJ136"/>
  <c r="AK136" s="1"/>
  <c r="EM136" s="1"/>
  <c r="AI136"/>
  <c r="AH136"/>
  <c r="U136"/>
  <c r="T136"/>
  <c r="AI135"/>
  <c r="AH135"/>
  <c r="AJ135"/>
  <c r="AK135" s="1"/>
  <c r="EM135" s="1"/>
  <c r="U135"/>
  <c r="T135"/>
  <c r="AJ134"/>
  <c r="AK134" s="1"/>
  <c r="EM134" s="1"/>
  <c r="AI134"/>
  <c r="AH134"/>
  <c r="U134"/>
  <c r="T134"/>
  <c r="AI133"/>
  <c r="AH133"/>
  <c r="AJ133"/>
  <c r="AK133" s="1"/>
  <c r="EM133" s="1"/>
  <c r="U133"/>
  <c r="T133"/>
  <c r="AJ132"/>
  <c r="AK132" s="1"/>
  <c r="EM132" s="1"/>
  <c r="AI132"/>
  <c r="AH132"/>
  <c r="U132"/>
  <c r="T132"/>
  <c r="AI131"/>
  <c r="AH131"/>
  <c r="AJ131"/>
  <c r="AK131" s="1"/>
  <c r="EM131" s="1"/>
  <c r="U131"/>
  <c r="T131"/>
  <c r="AJ130"/>
  <c r="AK130" s="1"/>
  <c r="EM130" s="1"/>
  <c r="AI130"/>
  <c r="AH130"/>
  <c r="U130"/>
  <c r="T130"/>
  <c r="AI129"/>
  <c r="AH129"/>
  <c r="AJ129"/>
  <c r="AK129" s="1"/>
  <c r="EM129" s="1"/>
  <c r="U129"/>
  <c r="T129"/>
  <c r="AJ128"/>
  <c r="AK128" s="1"/>
  <c r="EM128" s="1"/>
  <c r="AI128"/>
  <c r="AH128"/>
  <c r="U128"/>
  <c r="T128"/>
  <c r="AI127"/>
  <c r="AH127"/>
  <c r="AJ127"/>
  <c r="AK127" s="1"/>
  <c r="EM127" s="1"/>
  <c r="U127"/>
  <c r="T127"/>
  <c r="AJ126"/>
  <c r="AK126" s="1"/>
  <c r="EM126" s="1"/>
  <c r="AI126"/>
  <c r="AH126"/>
  <c r="U126"/>
  <c r="T126"/>
  <c r="AI125"/>
  <c r="AH125"/>
  <c r="AJ125"/>
  <c r="AK125" s="1"/>
  <c r="EM125" s="1"/>
  <c r="U125"/>
  <c r="T125"/>
  <c r="AJ124"/>
  <c r="AK124" s="1"/>
  <c r="EM124" s="1"/>
  <c r="AI124"/>
  <c r="AH124"/>
  <c r="U124"/>
  <c r="T124"/>
  <c r="AI123"/>
  <c r="AH123"/>
  <c r="AJ123"/>
  <c r="AK123" s="1"/>
  <c r="EM123" s="1"/>
  <c r="U123"/>
  <c r="T123"/>
  <c r="AJ122"/>
  <c r="AK122" s="1"/>
  <c r="EM122" s="1"/>
  <c r="AI122"/>
  <c r="AH122"/>
  <c r="U122"/>
  <c r="T122"/>
  <c r="AI121"/>
  <c r="AH121"/>
  <c r="AJ121"/>
  <c r="AK121" s="1"/>
  <c r="EM121" s="1"/>
  <c r="U121"/>
  <c r="T121"/>
  <c r="AJ120"/>
  <c r="AK120" s="1"/>
  <c r="EM120" s="1"/>
  <c r="AI120"/>
  <c r="AH120"/>
  <c r="U120"/>
  <c r="T120"/>
  <c r="AI119"/>
  <c r="AH119"/>
  <c r="AJ119"/>
  <c r="AK119" s="1"/>
  <c r="EM119" s="1"/>
  <c r="U119"/>
  <c r="T119"/>
  <c r="AJ118"/>
  <c r="AK118" s="1"/>
  <c r="EM118" s="1"/>
  <c r="AI118"/>
  <c r="AH118"/>
  <c r="U118"/>
  <c r="T118"/>
  <c r="AI117"/>
  <c r="AH117"/>
  <c r="AJ117"/>
  <c r="AK117" s="1"/>
  <c r="EM117" s="1"/>
  <c r="U117"/>
  <c r="T117"/>
  <c r="AJ116"/>
  <c r="AK116" s="1"/>
  <c r="EM116" s="1"/>
  <c r="AI116"/>
  <c r="AH116"/>
  <c r="U116"/>
  <c r="T116"/>
  <c r="AI115"/>
  <c r="AH115"/>
  <c r="AJ115"/>
  <c r="AK115" s="1"/>
  <c r="EM115" s="1"/>
  <c r="U115"/>
  <c r="T115"/>
  <c r="AJ114"/>
  <c r="AK114" s="1"/>
  <c r="EM114" s="1"/>
  <c r="AI114"/>
  <c r="AH114"/>
  <c r="U114"/>
  <c r="T114"/>
  <c r="AI113"/>
  <c r="AH113"/>
  <c r="AJ113"/>
  <c r="AK113" s="1"/>
  <c r="EM113" s="1"/>
  <c r="U113"/>
  <c r="T113"/>
  <c r="AJ112"/>
  <c r="AK112" s="1"/>
  <c r="EM112" s="1"/>
  <c r="AI112"/>
  <c r="AH112"/>
  <c r="U112"/>
  <c r="T112"/>
  <c r="AI111"/>
  <c r="AH111"/>
  <c r="AJ111"/>
  <c r="AK111" s="1"/>
  <c r="EM111" s="1"/>
  <c r="U111"/>
  <c r="T111"/>
  <c r="AJ110"/>
  <c r="AK110" s="1"/>
  <c r="EM110" s="1"/>
  <c r="AI110"/>
  <c r="AH110"/>
  <c r="U110"/>
  <c r="T110"/>
  <c r="AI109"/>
  <c r="AH109"/>
  <c r="AJ109"/>
  <c r="AK109" s="1"/>
  <c r="EM109" s="1"/>
  <c r="U109"/>
  <c r="T109"/>
  <c r="AJ108"/>
  <c r="AK108" s="1"/>
  <c r="EM108" s="1"/>
  <c r="AI108"/>
  <c r="AH108"/>
  <c r="U108"/>
  <c r="T108"/>
  <c r="AI107"/>
  <c r="AH107"/>
  <c r="AJ107"/>
  <c r="AK107" s="1"/>
  <c r="EM107" s="1"/>
  <c r="U107"/>
  <c r="T107"/>
  <c r="AJ106"/>
  <c r="AK106" s="1"/>
  <c r="EM106" s="1"/>
  <c r="AI106"/>
  <c r="AH106"/>
  <c r="U106"/>
  <c r="T106"/>
  <c r="AI105"/>
  <c r="AH105"/>
  <c r="AJ105"/>
  <c r="AK105" s="1"/>
  <c r="EM105" s="1"/>
  <c r="U105"/>
  <c r="T105"/>
  <c r="AJ104"/>
  <c r="AK104" s="1"/>
  <c r="EM104" s="1"/>
  <c r="AI104"/>
  <c r="AH104"/>
  <c r="U104"/>
  <c r="T104"/>
  <c r="AI103"/>
  <c r="AH103"/>
  <c r="AJ103"/>
  <c r="AK103" s="1"/>
  <c r="EM103" s="1"/>
  <c r="U103"/>
  <c r="T103"/>
  <c r="AJ102"/>
  <c r="AK102" s="1"/>
  <c r="EM102" s="1"/>
  <c r="AI102"/>
  <c r="AH102"/>
  <c r="U102"/>
  <c r="T102"/>
  <c r="AI101"/>
  <c r="AH101"/>
  <c r="AJ101"/>
  <c r="AK101" s="1"/>
  <c r="EM101" s="1"/>
  <c r="U101"/>
  <c r="T101"/>
  <c r="AJ100"/>
  <c r="AK100" s="1"/>
  <c r="EM100" s="1"/>
  <c r="AI100"/>
  <c r="AH100"/>
  <c r="U100"/>
  <c r="T100"/>
  <c r="AI99"/>
  <c r="AH99"/>
  <c r="AJ99"/>
  <c r="AK99" s="1"/>
  <c r="EM99" s="1"/>
  <c r="U99"/>
  <c r="T99"/>
  <c r="AJ98"/>
  <c r="AK98" s="1"/>
  <c r="EM98" s="1"/>
  <c r="AI98"/>
  <c r="AH98"/>
  <c r="U98"/>
  <c r="T98"/>
  <c r="AI97"/>
  <c r="AH97"/>
  <c r="AJ97"/>
  <c r="AK97" s="1"/>
  <c r="EM97" s="1"/>
  <c r="U97"/>
  <c r="T97"/>
  <c r="AJ96"/>
  <c r="AK96" s="1"/>
  <c r="EM96" s="1"/>
  <c r="AI96"/>
  <c r="AH96"/>
  <c r="U96"/>
  <c r="T96"/>
  <c r="AI95"/>
  <c r="AH95"/>
  <c r="AJ95"/>
  <c r="AK95" s="1"/>
  <c r="EM95" s="1"/>
  <c r="U95"/>
  <c r="T95"/>
  <c r="AJ94"/>
  <c r="AK94" s="1"/>
  <c r="EM94" s="1"/>
  <c r="AI94"/>
  <c r="AH94"/>
  <c r="U94"/>
  <c r="T94"/>
  <c r="AI93"/>
  <c r="AH93"/>
  <c r="AJ93"/>
  <c r="AK93" s="1"/>
  <c r="EM93" s="1"/>
  <c r="U93"/>
  <c r="T93"/>
  <c r="AJ92"/>
  <c r="AK92" s="1"/>
  <c r="EM92" s="1"/>
  <c r="AI92"/>
  <c r="AH92"/>
  <c r="U92"/>
  <c r="T92"/>
  <c r="AI91"/>
  <c r="AH91"/>
  <c r="AJ91"/>
  <c r="AK91" s="1"/>
  <c r="EM91" s="1"/>
  <c r="U91"/>
  <c r="T91"/>
  <c r="AJ90"/>
  <c r="AK90" s="1"/>
  <c r="EM90" s="1"/>
  <c r="AI90"/>
  <c r="AH90"/>
  <c r="U90"/>
  <c r="T90"/>
  <c r="AI89"/>
  <c r="AH89"/>
  <c r="AJ89"/>
  <c r="AK89" s="1"/>
  <c r="EM89" s="1"/>
  <c r="U89"/>
  <c r="T89"/>
  <c r="AJ88"/>
  <c r="AK88" s="1"/>
  <c r="EM88" s="1"/>
  <c r="AI88"/>
  <c r="AH88"/>
  <c r="U88"/>
  <c r="T88"/>
  <c r="AI87"/>
  <c r="AH87"/>
  <c r="AJ87"/>
  <c r="AK87" s="1"/>
  <c r="EM87" s="1"/>
  <c r="U87"/>
  <c r="T87"/>
  <c r="AJ86"/>
  <c r="AK86" s="1"/>
  <c r="EM86" s="1"/>
  <c r="AI86"/>
  <c r="AH86"/>
  <c r="U86"/>
  <c r="T86"/>
  <c r="AI85"/>
  <c r="AH85"/>
  <c r="AJ85"/>
  <c r="AK85" s="1"/>
  <c r="EM85" s="1"/>
  <c r="U85"/>
  <c r="T85"/>
  <c r="AJ84"/>
  <c r="AK84" s="1"/>
  <c r="EM84" s="1"/>
  <c r="AI84"/>
  <c r="AH84"/>
  <c r="U84"/>
  <c r="T84"/>
  <c r="AI83"/>
  <c r="AH83"/>
  <c r="AJ83"/>
  <c r="AK83" s="1"/>
  <c r="EM83" s="1"/>
  <c r="U83"/>
  <c r="T83"/>
  <c r="AJ82"/>
  <c r="AK82" s="1"/>
  <c r="EM82" s="1"/>
  <c r="AI82"/>
  <c r="AH82"/>
  <c r="U82"/>
  <c r="T82"/>
  <c r="AI81"/>
  <c r="AH81"/>
  <c r="AJ81"/>
  <c r="AK81" s="1"/>
  <c r="EM81" s="1"/>
  <c r="U81"/>
  <c r="T81"/>
  <c r="AJ80"/>
  <c r="AK80" s="1"/>
  <c r="EM80" s="1"/>
  <c r="AI80"/>
  <c r="AH80"/>
  <c r="U80"/>
  <c r="T80"/>
  <c r="AI79"/>
  <c r="AH79"/>
  <c r="AJ79"/>
  <c r="AK79" s="1"/>
  <c r="EM79" s="1"/>
  <c r="U79"/>
  <c r="T79"/>
  <c r="AJ78"/>
  <c r="AK78" s="1"/>
  <c r="EM78" s="1"/>
  <c r="AI78"/>
  <c r="AH78"/>
  <c r="U78"/>
  <c r="T78"/>
  <c r="AI77"/>
  <c r="AH77"/>
  <c r="AJ77"/>
  <c r="AK77" s="1"/>
  <c r="EM77" s="1"/>
  <c r="U77"/>
  <c r="T77"/>
  <c r="AJ76"/>
  <c r="AK76" s="1"/>
  <c r="EM76" s="1"/>
  <c r="AI76"/>
  <c r="AH76"/>
  <c r="U76"/>
  <c r="T76"/>
  <c r="AI75"/>
  <c r="AH75"/>
  <c r="AJ75"/>
  <c r="AK75" s="1"/>
  <c r="EM75" s="1"/>
  <c r="U75"/>
  <c r="T75"/>
  <c r="AJ74"/>
  <c r="AK74" s="1"/>
  <c r="EM74" s="1"/>
  <c r="AI74"/>
  <c r="AH74"/>
  <c r="U74"/>
  <c r="T74"/>
  <c r="AI73"/>
  <c r="AH73"/>
  <c r="AJ73"/>
  <c r="AK73" s="1"/>
  <c r="EM73" s="1"/>
  <c r="U73"/>
  <c r="T73"/>
  <c r="AJ72"/>
  <c r="AK72" s="1"/>
  <c r="EM72" s="1"/>
  <c r="AI72"/>
  <c r="AH72"/>
  <c r="U72"/>
  <c r="T72"/>
  <c r="AI71"/>
  <c r="AH71"/>
  <c r="AJ71"/>
  <c r="AK71" s="1"/>
  <c r="EM71" s="1"/>
  <c r="U71"/>
  <c r="T71"/>
  <c r="AJ70"/>
  <c r="AK70" s="1"/>
  <c r="EM70" s="1"/>
  <c r="AI70"/>
  <c r="AH70"/>
  <c r="U70"/>
  <c r="T70"/>
  <c r="AI69"/>
  <c r="AH69"/>
  <c r="AJ69"/>
  <c r="AK69" s="1"/>
  <c r="EM69" s="1"/>
  <c r="U69"/>
  <c r="T69"/>
  <c r="AJ68"/>
  <c r="AK68" s="1"/>
  <c r="EM68" s="1"/>
  <c r="AI68"/>
  <c r="AH68"/>
  <c r="U68"/>
  <c r="T68"/>
  <c r="AI67"/>
  <c r="AH67"/>
  <c r="AJ67"/>
  <c r="AK67" s="1"/>
  <c r="EM67" s="1"/>
  <c r="U67"/>
  <c r="T67"/>
  <c r="AJ66"/>
  <c r="AK66" s="1"/>
  <c r="EM66" s="1"/>
  <c r="AI66"/>
  <c r="AH66"/>
  <c r="U66"/>
  <c r="T66"/>
  <c r="AI65"/>
  <c r="AH65"/>
  <c r="AJ65"/>
  <c r="AK65" s="1"/>
  <c r="EM65" s="1"/>
  <c r="U65"/>
  <c r="T65"/>
  <c r="AJ64"/>
  <c r="AK64" s="1"/>
  <c r="EM64" s="1"/>
  <c r="AI64"/>
  <c r="AH64"/>
  <c r="U64"/>
  <c r="T64"/>
  <c r="AI63"/>
  <c r="AH63"/>
  <c r="AJ63"/>
  <c r="AK63" s="1"/>
  <c r="EM63" s="1"/>
  <c r="U63"/>
  <c r="T63"/>
  <c r="AJ62"/>
  <c r="AK62" s="1"/>
  <c r="EM62" s="1"/>
  <c r="AI62"/>
  <c r="AH62"/>
  <c r="U62"/>
  <c r="T62"/>
  <c r="AI61"/>
  <c r="AH61"/>
  <c r="AJ61"/>
  <c r="AK61" s="1"/>
  <c r="EM61" s="1"/>
  <c r="U61"/>
  <c r="T61"/>
  <c r="AJ60"/>
  <c r="AK60" s="1"/>
  <c r="EM60" s="1"/>
  <c r="AI60"/>
  <c r="AH60"/>
  <c r="U60"/>
  <c r="T60"/>
  <c r="AI59"/>
  <c r="AH59"/>
  <c r="AJ59"/>
  <c r="AK59" s="1"/>
  <c r="EM59" s="1"/>
  <c r="U59"/>
  <c r="T59"/>
  <c r="AJ58"/>
  <c r="AK58" s="1"/>
  <c r="EM58" s="1"/>
  <c r="AI58"/>
  <c r="AH58"/>
  <c r="U58"/>
  <c r="T58"/>
  <c r="AI57"/>
  <c r="AH57"/>
  <c r="AJ57"/>
  <c r="AK57" s="1"/>
  <c r="EM57" s="1"/>
  <c r="U57"/>
  <c r="T57"/>
  <c r="AJ56"/>
  <c r="AK56" s="1"/>
  <c r="EM56" s="1"/>
  <c r="AI56"/>
  <c r="AH56"/>
  <c r="U56"/>
  <c r="T56"/>
  <c r="AI55"/>
  <c r="AH55"/>
  <c r="AJ55"/>
  <c r="AK55" s="1"/>
  <c r="EM55" s="1"/>
  <c r="U55"/>
  <c r="T55"/>
  <c r="AJ54"/>
  <c r="AK54" s="1"/>
  <c r="EM54" s="1"/>
  <c r="AI54"/>
  <c r="AH54"/>
  <c r="U54"/>
  <c r="T54"/>
  <c r="AI53"/>
  <c r="AH53"/>
  <c r="AJ53"/>
  <c r="AK53" s="1"/>
  <c r="EM53" s="1"/>
  <c r="U53"/>
  <c r="T53"/>
  <c r="AJ52"/>
  <c r="AK52" s="1"/>
  <c r="EM52" s="1"/>
  <c r="AI52"/>
  <c r="AH52"/>
  <c r="U52"/>
  <c r="T52"/>
  <c r="AI51"/>
  <c r="AH51"/>
  <c r="AJ51"/>
  <c r="AK51" s="1"/>
  <c r="EM51" s="1"/>
  <c r="U51"/>
  <c r="T51"/>
  <c r="AJ50"/>
  <c r="AK50" s="1"/>
  <c r="EM50" s="1"/>
  <c r="AI50"/>
  <c r="AH50"/>
  <c r="U50"/>
  <c r="T50"/>
  <c r="AI49"/>
  <c r="AH49"/>
  <c r="AJ49"/>
  <c r="AK49" s="1"/>
  <c r="EM49" s="1"/>
  <c r="U49"/>
  <c r="T49"/>
  <c r="AJ48"/>
  <c r="AK48" s="1"/>
  <c r="EM48" s="1"/>
  <c r="AI48"/>
  <c r="AH48"/>
  <c r="U48"/>
  <c r="T48"/>
  <c r="AI47"/>
  <c r="AH47"/>
  <c r="AJ47"/>
  <c r="AK47" s="1"/>
  <c r="EM47" s="1"/>
  <c r="U47"/>
  <c r="T47"/>
  <c r="AJ46"/>
  <c r="AK46" s="1"/>
  <c r="EM46" s="1"/>
  <c r="AI46"/>
  <c r="AH46"/>
  <c r="U46"/>
  <c r="T46"/>
  <c r="AI45"/>
  <c r="AH45"/>
  <c r="AJ45"/>
  <c r="AK45" s="1"/>
  <c r="EM45" s="1"/>
  <c r="U45"/>
  <c r="T45"/>
  <c r="AJ44"/>
  <c r="AK44" s="1"/>
  <c r="EM44" s="1"/>
  <c r="AI44"/>
  <c r="AH44"/>
  <c r="U44"/>
  <c r="T44"/>
  <c r="AI43"/>
  <c r="AH43"/>
  <c r="AJ43"/>
  <c r="AK43" s="1"/>
  <c r="EM43" s="1"/>
  <c r="U43"/>
  <c r="T43"/>
  <c r="AJ42"/>
  <c r="AK42" s="1"/>
  <c r="EM42" s="1"/>
  <c r="AI42"/>
  <c r="AH42"/>
  <c r="U42"/>
  <c r="T42"/>
  <c r="AI41"/>
  <c r="AH41"/>
  <c r="AJ41"/>
  <c r="AK41" s="1"/>
  <c r="EM41" s="1"/>
  <c r="U41"/>
  <c r="T41"/>
  <c r="AJ40"/>
  <c r="AK40" s="1"/>
  <c r="EM40" s="1"/>
  <c r="AI40"/>
  <c r="AH40"/>
  <c r="U40"/>
  <c r="T40"/>
  <c r="AI39"/>
  <c r="AH39"/>
  <c r="AJ39"/>
  <c r="AK39" s="1"/>
  <c r="EM39" s="1"/>
  <c r="U39"/>
  <c r="T39"/>
  <c r="AJ38"/>
  <c r="AK38" s="1"/>
  <c r="EM38" s="1"/>
  <c r="AI38"/>
  <c r="AH38"/>
  <c r="U38"/>
  <c r="T38"/>
  <c r="AI37"/>
  <c r="AJ37"/>
  <c r="AK37" s="1"/>
  <c r="EM37" s="1"/>
  <c r="U37"/>
  <c r="AJ36"/>
  <c r="AK36" s="1"/>
  <c r="EM36" s="1"/>
  <c r="AI36"/>
  <c r="U36"/>
  <c r="AJ35"/>
  <c r="AK35" s="1"/>
  <c r="EM35" s="1"/>
  <c r="AI35"/>
  <c r="U35"/>
  <c r="AJ34"/>
  <c r="AK34" s="1"/>
  <c r="EM34" s="1"/>
  <c r="AI34"/>
  <c r="U34"/>
  <c r="AI33"/>
  <c r="AJ33"/>
  <c r="AK33" s="1"/>
  <c r="EM33" s="1"/>
  <c r="U33"/>
  <c r="AJ32"/>
  <c r="AK32" s="1"/>
  <c r="EM32" s="1"/>
  <c r="AI32"/>
  <c r="U32"/>
  <c r="AJ31"/>
  <c r="AK31" s="1"/>
  <c r="EM31" s="1"/>
  <c r="AI31"/>
  <c r="U31"/>
  <c r="AJ30"/>
  <c r="AK30" s="1"/>
  <c r="EM30" s="1"/>
  <c r="AI30"/>
  <c r="U30"/>
  <c r="AI29"/>
  <c r="AJ29"/>
  <c r="AK29" s="1"/>
  <c r="EM29" s="1"/>
  <c r="U29"/>
  <c r="AJ28"/>
  <c r="AK28" s="1"/>
  <c r="EM28" s="1"/>
  <c r="AI28"/>
  <c r="U28"/>
  <c r="AJ27"/>
  <c r="AK27" s="1"/>
  <c r="EM27" s="1"/>
  <c r="AI27"/>
  <c r="U27"/>
  <c r="AJ26"/>
  <c r="AK26" s="1"/>
  <c r="EM26" s="1"/>
  <c r="AI26"/>
  <c r="U26"/>
  <c r="AI25"/>
  <c r="AJ25"/>
  <c r="AK25" s="1"/>
  <c r="EM25" s="1"/>
  <c r="U25"/>
  <c r="AJ24"/>
  <c r="AK24" s="1"/>
  <c r="EM24" s="1"/>
  <c r="AI24"/>
  <c r="U24"/>
  <c r="AJ23"/>
  <c r="AK23" s="1"/>
  <c r="EM23" s="1"/>
  <c r="AI23"/>
  <c r="U23"/>
  <c r="AJ22"/>
  <c r="AK22" s="1"/>
  <c r="EM22" s="1"/>
  <c r="AI22"/>
  <c r="U22"/>
  <c r="AI21"/>
  <c r="AJ21"/>
  <c r="AK21" s="1"/>
  <c r="EM21" s="1"/>
  <c r="U21"/>
  <c r="AJ20"/>
  <c r="AK20" s="1"/>
  <c r="EM20" s="1"/>
  <c r="AI20"/>
  <c r="U20"/>
  <c r="AJ19"/>
  <c r="AK19" s="1"/>
  <c r="EM19" s="1"/>
  <c r="AI19"/>
  <c r="U19"/>
  <c r="AI18"/>
  <c r="U18"/>
  <c r="AI17"/>
  <c r="U17"/>
  <c r="AI16"/>
  <c r="U16"/>
  <c r="AI15"/>
  <c r="U15"/>
  <c r="AI14"/>
  <c r="U14"/>
  <c r="AI13"/>
  <c r="U13"/>
  <c r="AI12"/>
  <c r="U12"/>
  <c r="AI11"/>
  <c r="U11"/>
  <c r="AI10"/>
  <c r="AH10"/>
  <c r="U10"/>
  <c r="AI9"/>
  <c r="U9"/>
  <c r="S207"/>
  <c r="R207"/>
  <c r="S203"/>
  <c r="R203"/>
  <c r="S199"/>
  <c r="R199"/>
  <c r="S195"/>
  <c r="R195"/>
  <c r="S191"/>
  <c r="R191"/>
  <c r="S187"/>
  <c r="R187"/>
  <c r="S183"/>
  <c r="R183"/>
  <c r="S179"/>
  <c r="R179"/>
  <c r="S175"/>
  <c r="R175"/>
  <c r="S171"/>
  <c r="R171"/>
  <c r="S167"/>
  <c r="R167"/>
  <c r="S163"/>
  <c r="R163"/>
  <c r="S159"/>
  <c r="R159"/>
  <c r="S155"/>
  <c r="R155"/>
  <c r="S151"/>
  <c r="R151"/>
  <c r="S147"/>
  <c r="R147"/>
  <c r="S144"/>
  <c r="R144"/>
  <c r="S140"/>
  <c r="R140"/>
  <c r="S136"/>
  <c r="R136"/>
  <c r="S132"/>
  <c r="R132"/>
  <c r="S128"/>
  <c r="R128"/>
  <c r="S124"/>
  <c r="R124"/>
  <c r="S120"/>
  <c r="R120"/>
  <c r="S116"/>
  <c r="R116"/>
  <c r="M112"/>
  <c r="S112"/>
  <c r="R112"/>
  <c r="S108"/>
  <c r="R108"/>
  <c r="M104"/>
  <c r="S104"/>
  <c r="R104"/>
  <c r="S100"/>
  <c r="R100"/>
  <c r="S96"/>
  <c r="R96"/>
  <c r="S92"/>
  <c r="R92"/>
  <c r="M88"/>
  <c r="S88"/>
  <c r="R88"/>
  <c r="S84"/>
  <c r="R84"/>
  <c r="S80"/>
  <c r="R80"/>
  <c r="S76"/>
  <c r="R76"/>
  <c r="S72"/>
  <c r="R72"/>
  <c r="S68"/>
  <c r="R68"/>
  <c r="S64"/>
  <c r="R64"/>
  <c r="S60"/>
  <c r="R60"/>
  <c r="S56"/>
  <c r="R56"/>
  <c r="S52"/>
  <c r="R52"/>
  <c r="M48"/>
  <c r="S48"/>
  <c r="R48"/>
  <c r="S44"/>
  <c r="R44"/>
  <c r="S40"/>
  <c r="R40"/>
  <c r="S36"/>
  <c r="R36"/>
  <c r="S32"/>
  <c r="R32"/>
  <c r="S28"/>
  <c r="R28"/>
  <c r="S24"/>
  <c r="R24"/>
  <c r="S20"/>
  <c r="R20"/>
  <c r="S16"/>
  <c r="R16"/>
  <c r="S12"/>
  <c r="R12"/>
  <c r="M15"/>
  <c r="M11"/>
  <c r="AH17"/>
  <c r="AH29"/>
  <c r="AH24"/>
  <c r="AH11"/>
  <c r="AH31"/>
  <c r="AH18"/>
  <c r="AH30"/>
  <c r="S204"/>
  <c r="R204"/>
  <c r="S200"/>
  <c r="R200"/>
  <c r="S196"/>
  <c r="R196"/>
  <c r="S192"/>
  <c r="R192"/>
  <c r="S188"/>
  <c r="R188"/>
  <c r="S184"/>
  <c r="R184"/>
  <c r="S180"/>
  <c r="R180"/>
  <c r="M176"/>
  <c r="S176"/>
  <c r="R176"/>
  <c r="S172"/>
  <c r="R172"/>
  <c r="S168"/>
  <c r="R168"/>
  <c r="S164"/>
  <c r="R164"/>
  <c r="S160"/>
  <c r="R160"/>
  <c r="S156"/>
  <c r="R156"/>
  <c r="S152"/>
  <c r="R152"/>
  <c r="S148"/>
  <c r="R148"/>
  <c r="S141"/>
  <c r="R141"/>
  <c r="S137"/>
  <c r="R137"/>
  <c r="S133"/>
  <c r="R133"/>
  <c r="S129"/>
  <c r="R129"/>
  <c r="S125"/>
  <c r="R125"/>
  <c r="S121"/>
  <c r="R121"/>
  <c r="S117"/>
  <c r="R117"/>
  <c r="S113"/>
  <c r="R113"/>
  <c r="S109"/>
  <c r="R109"/>
  <c r="S105"/>
  <c r="R105"/>
  <c r="S101"/>
  <c r="R101"/>
  <c r="S97"/>
  <c r="R97"/>
  <c r="S93"/>
  <c r="R93"/>
  <c r="S89"/>
  <c r="R89"/>
  <c r="S85"/>
  <c r="R85"/>
  <c r="S81"/>
  <c r="R81"/>
  <c r="S77"/>
  <c r="R77"/>
  <c r="S73"/>
  <c r="R73"/>
  <c r="S69"/>
  <c r="R69"/>
  <c r="S65"/>
  <c r="R65"/>
  <c r="S61"/>
  <c r="R61"/>
  <c r="S57"/>
  <c r="R57"/>
  <c r="S53"/>
  <c r="R53"/>
  <c r="S49"/>
  <c r="R49"/>
  <c r="S45"/>
  <c r="R45"/>
  <c r="S41"/>
  <c r="R41"/>
  <c r="R37"/>
  <c r="S37"/>
  <c r="R33"/>
  <c r="S33"/>
  <c r="R29"/>
  <c r="S29"/>
  <c r="R25"/>
  <c r="S25"/>
  <c r="R21"/>
  <c r="S21"/>
  <c r="R17"/>
  <c r="S17"/>
  <c r="R13"/>
  <c r="S13"/>
  <c r="S9"/>
  <c r="R9"/>
  <c r="M140"/>
  <c r="M128"/>
  <c r="M124"/>
  <c r="M80"/>
  <c r="M76"/>
  <c r="M64"/>
  <c r="M60"/>
  <c r="AH9"/>
  <c r="AH33"/>
  <c r="AH16"/>
  <c r="AH28"/>
  <c r="AH19"/>
  <c r="AH35"/>
  <c r="AH34"/>
  <c r="S205"/>
  <c r="R205"/>
  <c r="S201"/>
  <c r="R201"/>
  <c r="S197"/>
  <c r="R197"/>
  <c r="S193"/>
  <c r="R193"/>
  <c r="S189"/>
  <c r="R189"/>
  <c r="S185"/>
  <c r="R185"/>
  <c r="S181"/>
  <c r="R181"/>
  <c r="S177"/>
  <c r="R177"/>
  <c r="S173"/>
  <c r="R173"/>
  <c r="S169"/>
  <c r="R169"/>
  <c r="S165"/>
  <c r="R165"/>
  <c r="S161"/>
  <c r="R161"/>
  <c r="S157"/>
  <c r="R157"/>
  <c r="S153"/>
  <c r="R153"/>
  <c r="S149"/>
  <c r="R149"/>
  <c r="S145"/>
  <c r="R145"/>
  <c r="S142"/>
  <c r="R142"/>
  <c r="S138"/>
  <c r="R138"/>
  <c r="S134"/>
  <c r="R134"/>
  <c r="S130"/>
  <c r="R130"/>
  <c r="S126"/>
  <c r="R126"/>
  <c r="S122"/>
  <c r="R122"/>
  <c r="S118"/>
  <c r="R118"/>
  <c r="S114"/>
  <c r="R114"/>
  <c r="S110"/>
  <c r="R110"/>
  <c r="S106"/>
  <c r="R106"/>
  <c r="S102"/>
  <c r="R102"/>
  <c r="S98"/>
  <c r="R98"/>
  <c r="S94"/>
  <c r="R94"/>
  <c r="S90"/>
  <c r="R90"/>
  <c r="S86"/>
  <c r="R86"/>
  <c r="S82"/>
  <c r="R82"/>
  <c r="S78"/>
  <c r="R78"/>
  <c r="S74"/>
  <c r="R74"/>
  <c r="S70"/>
  <c r="R70"/>
  <c r="S66"/>
  <c r="R66"/>
  <c r="S62"/>
  <c r="R62"/>
  <c r="S58"/>
  <c r="R58"/>
  <c r="S54"/>
  <c r="R54"/>
  <c r="S50"/>
  <c r="R50"/>
  <c r="S46"/>
  <c r="R46"/>
  <c r="S42"/>
  <c r="R42"/>
  <c r="S38"/>
  <c r="R38"/>
  <c r="S34"/>
  <c r="R34"/>
  <c r="S30"/>
  <c r="R30"/>
  <c r="S26"/>
  <c r="R26"/>
  <c r="M22"/>
  <c r="O22" s="1"/>
  <c r="S22"/>
  <c r="R22"/>
  <c r="M18"/>
  <c r="O18" s="1"/>
  <c r="Q18" s="1"/>
  <c r="S18"/>
  <c r="R18"/>
  <c r="S14"/>
  <c r="R14"/>
  <c r="S10"/>
  <c r="R10"/>
  <c r="AH21"/>
  <c r="AH37"/>
  <c r="AH32"/>
  <c r="AH23"/>
  <c r="AH14"/>
  <c r="AH22"/>
  <c r="M200"/>
  <c r="M184"/>
  <c r="M172"/>
  <c r="M160"/>
  <c r="M156"/>
  <c r="M118"/>
  <c r="M114"/>
  <c r="M111"/>
  <c r="M72"/>
  <c r="M56"/>
  <c r="M44"/>
  <c r="M32"/>
  <c r="O32" s="1"/>
  <c r="Q32" s="1"/>
  <c r="V32" s="1"/>
  <c r="W32" s="1"/>
  <c r="EL32" s="1"/>
  <c r="M28"/>
  <c r="O28" s="1"/>
  <c r="Q28" s="1"/>
  <c r="V28" s="1"/>
  <c r="W28" s="1"/>
  <c r="EL28" s="1"/>
  <c r="M182"/>
  <c r="M178"/>
  <c r="M175"/>
  <c r="O175" s="1"/>
  <c r="Q175" s="1"/>
  <c r="V175" s="1"/>
  <c r="W175" s="1"/>
  <c r="EL175" s="1"/>
  <c r="M136"/>
  <c r="M120"/>
  <c r="M108"/>
  <c r="O108" s="1"/>
  <c r="Q108" s="1"/>
  <c r="V108" s="1"/>
  <c r="W108" s="1"/>
  <c r="EL108" s="1"/>
  <c r="M96"/>
  <c r="M92"/>
  <c r="M69"/>
  <c r="M65"/>
  <c r="M54"/>
  <c r="M53"/>
  <c r="M50"/>
  <c r="O50" s="1"/>
  <c r="Q50" s="1"/>
  <c r="V50" s="1"/>
  <c r="W50" s="1"/>
  <c r="EL50" s="1"/>
  <c r="M49"/>
  <c r="M207"/>
  <c r="M168"/>
  <c r="M152"/>
  <c r="M86"/>
  <c r="M82"/>
  <c r="O82" s="1"/>
  <c r="Q82" s="1"/>
  <c r="V82" s="1"/>
  <c r="W82" s="1"/>
  <c r="EL82" s="1"/>
  <c r="M40"/>
  <c r="M24"/>
  <c r="O24" s="1"/>
  <c r="Q24" s="1"/>
  <c r="V24" s="1"/>
  <c r="W24" s="1"/>
  <c r="EL24" s="1"/>
  <c r="M206"/>
  <c r="M202"/>
  <c r="O202" s="1"/>
  <c r="Q202" s="1"/>
  <c r="V202" s="1"/>
  <c r="W202" s="1"/>
  <c r="EL202" s="1"/>
  <c r="M199"/>
  <c r="O199" s="1"/>
  <c r="Q199" s="1"/>
  <c r="V199" s="1"/>
  <c r="W199" s="1"/>
  <c r="EL199" s="1"/>
  <c r="M180"/>
  <c r="M174"/>
  <c r="M170"/>
  <c r="O170" s="1"/>
  <c r="Q170" s="1"/>
  <c r="V170" s="1"/>
  <c r="W170" s="1"/>
  <c r="EL170" s="1"/>
  <c r="M167"/>
  <c r="O167" s="1"/>
  <c r="Q167" s="1"/>
  <c r="V167" s="1"/>
  <c r="W167" s="1"/>
  <c r="EL167" s="1"/>
  <c r="M148"/>
  <c r="M142"/>
  <c r="M138"/>
  <c r="O138" s="1"/>
  <c r="Q138" s="1"/>
  <c r="V138" s="1"/>
  <c r="W138" s="1"/>
  <c r="EL138" s="1"/>
  <c r="M135"/>
  <c r="O135" s="1"/>
  <c r="Q135" s="1"/>
  <c r="V135" s="1"/>
  <c r="W135" s="1"/>
  <c r="EL135" s="1"/>
  <c r="M116"/>
  <c r="M110"/>
  <c r="M106"/>
  <c r="O106" s="1"/>
  <c r="Q106" s="1"/>
  <c r="V106" s="1"/>
  <c r="W106" s="1"/>
  <c r="EL106" s="1"/>
  <c r="M103"/>
  <c r="O103" s="1"/>
  <c r="Q103" s="1"/>
  <c r="V103" s="1"/>
  <c r="W103" s="1"/>
  <c r="EL103" s="1"/>
  <c r="M84"/>
  <c r="M78"/>
  <c r="O78" s="1"/>
  <c r="Q78" s="1"/>
  <c r="V78" s="1"/>
  <c r="W78" s="1"/>
  <c r="EL78" s="1"/>
  <c r="M77"/>
  <c r="M74"/>
  <c r="O74" s="1"/>
  <c r="Q74" s="1"/>
  <c r="V74" s="1"/>
  <c r="W74" s="1"/>
  <c r="EL74" s="1"/>
  <c r="M73"/>
  <c r="M52"/>
  <c r="M46"/>
  <c r="M45"/>
  <c r="O45" s="1"/>
  <c r="Q45" s="1"/>
  <c r="V45" s="1"/>
  <c r="W45" s="1"/>
  <c r="EL45" s="1"/>
  <c r="M42"/>
  <c r="O42" s="1"/>
  <c r="Q42" s="1"/>
  <c r="V42" s="1"/>
  <c r="W42" s="1"/>
  <c r="EL42" s="1"/>
  <c r="M41"/>
  <c r="M20"/>
  <c r="O20" s="1"/>
  <c r="Q20" s="1"/>
  <c r="V20" s="1"/>
  <c r="W20" s="1"/>
  <c r="EL20" s="1"/>
  <c r="Q22"/>
  <c r="V22" s="1"/>
  <c r="W22" s="1"/>
  <c r="EL22" s="1"/>
  <c r="M196"/>
  <c r="M190"/>
  <c r="M186"/>
  <c r="O186" s="1"/>
  <c r="Q186" s="1"/>
  <c r="V186" s="1"/>
  <c r="W186" s="1"/>
  <c r="EL186" s="1"/>
  <c r="M183"/>
  <c r="M164"/>
  <c r="M158"/>
  <c r="M154"/>
  <c r="O154" s="1"/>
  <c r="Q154" s="1"/>
  <c r="V154" s="1"/>
  <c r="W154" s="1"/>
  <c r="EL154" s="1"/>
  <c r="M151"/>
  <c r="O151" s="1"/>
  <c r="Q151" s="1"/>
  <c r="V151" s="1"/>
  <c r="W151" s="1"/>
  <c r="EL151" s="1"/>
  <c r="M132"/>
  <c r="M126"/>
  <c r="O126" s="1"/>
  <c r="Q126" s="1"/>
  <c r="V126" s="1"/>
  <c r="W126" s="1"/>
  <c r="EL126" s="1"/>
  <c r="M122"/>
  <c r="O122" s="1"/>
  <c r="Q122" s="1"/>
  <c r="V122" s="1"/>
  <c r="W122" s="1"/>
  <c r="EL122" s="1"/>
  <c r="M119"/>
  <c r="M100"/>
  <c r="M94"/>
  <c r="M90"/>
  <c r="O90" s="1"/>
  <c r="Q90" s="1"/>
  <c r="V90" s="1"/>
  <c r="W90" s="1"/>
  <c r="EL90" s="1"/>
  <c r="M89"/>
  <c r="M68"/>
  <c r="M62"/>
  <c r="M61"/>
  <c r="M58"/>
  <c r="O58" s="1"/>
  <c r="Q58" s="1"/>
  <c r="V58" s="1"/>
  <c r="W58" s="1"/>
  <c r="EL58" s="1"/>
  <c r="M57"/>
  <c r="M36"/>
  <c r="M30"/>
  <c r="O30" s="1"/>
  <c r="Q30" s="1"/>
  <c r="V30" s="1"/>
  <c r="W30" s="1"/>
  <c r="EL30" s="1"/>
  <c r="M29"/>
  <c r="O29" s="1"/>
  <c r="Q29" s="1"/>
  <c r="V29" s="1"/>
  <c r="W29" s="1"/>
  <c r="EL29" s="1"/>
  <c r="M26"/>
  <c r="O26" s="1"/>
  <c r="Q26" s="1"/>
  <c r="V26" s="1"/>
  <c r="W26" s="1"/>
  <c r="EL26" s="1"/>
  <c r="M25"/>
  <c r="O25" s="1"/>
  <c r="Q25" s="1"/>
  <c r="V25" s="1"/>
  <c r="W25" s="1"/>
  <c r="EL25" s="1"/>
  <c r="M198"/>
  <c r="O198" s="1"/>
  <c r="Q198" s="1"/>
  <c r="V198" s="1"/>
  <c r="W198" s="1"/>
  <c r="EL198" s="1"/>
  <c r="M194"/>
  <c r="O194" s="1"/>
  <c r="Q194" s="1"/>
  <c r="V194" s="1"/>
  <c r="W194" s="1"/>
  <c r="EL194" s="1"/>
  <c r="M191"/>
  <c r="M166"/>
  <c r="O166" s="1"/>
  <c r="Q166" s="1"/>
  <c r="V166" s="1"/>
  <c r="W166" s="1"/>
  <c r="EL166" s="1"/>
  <c r="M162"/>
  <c r="O162" s="1"/>
  <c r="Q162" s="1"/>
  <c r="V162" s="1"/>
  <c r="W162" s="1"/>
  <c r="EL162" s="1"/>
  <c r="M159"/>
  <c r="O159" s="1"/>
  <c r="Q159" s="1"/>
  <c r="V159" s="1"/>
  <c r="W159" s="1"/>
  <c r="EL159" s="1"/>
  <c r="M134"/>
  <c r="M130"/>
  <c r="O130" s="1"/>
  <c r="Q130" s="1"/>
  <c r="V130" s="1"/>
  <c r="W130" s="1"/>
  <c r="EL130" s="1"/>
  <c r="M127"/>
  <c r="O127" s="1"/>
  <c r="Q127" s="1"/>
  <c r="V127" s="1"/>
  <c r="W127" s="1"/>
  <c r="EL127" s="1"/>
  <c r="M102"/>
  <c r="M98"/>
  <c r="M95"/>
  <c r="M70"/>
  <c r="O70" s="1"/>
  <c r="Q70" s="1"/>
  <c r="V70" s="1"/>
  <c r="W70" s="1"/>
  <c r="EL70" s="1"/>
  <c r="M66"/>
  <c r="O66" s="1"/>
  <c r="Q66" s="1"/>
  <c r="V66" s="1"/>
  <c r="W66" s="1"/>
  <c r="EL66" s="1"/>
  <c r="M38"/>
  <c r="M34"/>
  <c r="O34" s="1"/>
  <c r="Q34" s="1"/>
  <c r="V34" s="1"/>
  <c r="W34" s="1"/>
  <c r="EL34" s="1"/>
  <c r="O33"/>
  <c r="Q33" s="1"/>
  <c r="V33" s="1"/>
  <c r="W33" s="1"/>
  <c r="EL33" s="1"/>
  <c r="M201"/>
  <c r="M193"/>
  <c r="O193" s="1"/>
  <c r="Q193" s="1"/>
  <c r="V193" s="1"/>
  <c r="W193" s="1"/>
  <c r="EL193" s="1"/>
  <c r="M185"/>
  <c r="O185" s="1"/>
  <c r="Q185" s="1"/>
  <c r="V185" s="1"/>
  <c r="W185" s="1"/>
  <c r="EL185" s="1"/>
  <c r="M177"/>
  <c r="O177" s="1"/>
  <c r="Q177" s="1"/>
  <c r="V177" s="1"/>
  <c r="W177" s="1"/>
  <c r="EL177" s="1"/>
  <c r="M169"/>
  <c r="O169" s="1"/>
  <c r="Q169" s="1"/>
  <c r="V169" s="1"/>
  <c r="W169" s="1"/>
  <c r="EL169" s="1"/>
  <c r="M161"/>
  <c r="M153"/>
  <c r="O153" s="1"/>
  <c r="Q153" s="1"/>
  <c r="V153" s="1"/>
  <c r="W153" s="1"/>
  <c r="EL153" s="1"/>
  <c r="M145"/>
  <c r="O145" s="1"/>
  <c r="Q145" s="1"/>
  <c r="V145" s="1"/>
  <c r="W145" s="1"/>
  <c r="EL145" s="1"/>
  <c r="M137"/>
  <c r="O137" s="1"/>
  <c r="Q137" s="1"/>
  <c r="V137" s="1"/>
  <c r="W137" s="1"/>
  <c r="EL137" s="1"/>
  <c r="M129"/>
  <c r="O129" s="1"/>
  <c r="Q129" s="1"/>
  <c r="V129" s="1"/>
  <c r="W129" s="1"/>
  <c r="EL129" s="1"/>
  <c r="M121"/>
  <c r="O121" s="1"/>
  <c r="Q121" s="1"/>
  <c r="V121" s="1"/>
  <c r="W121" s="1"/>
  <c r="EL121" s="1"/>
  <c r="M113"/>
  <c r="O113" s="1"/>
  <c r="Q113" s="1"/>
  <c r="V113" s="1"/>
  <c r="W113" s="1"/>
  <c r="EL113" s="1"/>
  <c r="M105"/>
  <c r="O105" s="1"/>
  <c r="Q105" s="1"/>
  <c r="V105" s="1"/>
  <c r="W105" s="1"/>
  <c r="EL105" s="1"/>
  <c r="M97"/>
  <c r="O97" s="1"/>
  <c r="Q97" s="1"/>
  <c r="V97" s="1"/>
  <c r="W97" s="1"/>
  <c r="EL97" s="1"/>
  <c r="M91"/>
  <c r="O91" s="1"/>
  <c r="Q91" s="1"/>
  <c r="V91" s="1"/>
  <c r="W91" s="1"/>
  <c r="EL91" s="1"/>
  <c r="M83"/>
  <c r="O83" s="1"/>
  <c r="Q83" s="1"/>
  <c r="V83" s="1"/>
  <c r="W83" s="1"/>
  <c r="EL83" s="1"/>
  <c r="M75"/>
  <c r="O75" s="1"/>
  <c r="Q75" s="1"/>
  <c r="V75" s="1"/>
  <c r="W75" s="1"/>
  <c r="EL75" s="1"/>
  <c r="M67"/>
  <c r="O67" s="1"/>
  <c r="Q67" s="1"/>
  <c r="V67" s="1"/>
  <c r="W67" s="1"/>
  <c r="EL67" s="1"/>
  <c r="M59"/>
  <c r="O59" s="1"/>
  <c r="Q59" s="1"/>
  <c r="V59" s="1"/>
  <c r="W59" s="1"/>
  <c r="EL59" s="1"/>
  <c r="M51"/>
  <c r="O51" s="1"/>
  <c r="Q51" s="1"/>
  <c r="V51" s="1"/>
  <c r="W51" s="1"/>
  <c r="EL51" s="1"/>
  <c r="M43"/>
  <c r="O43" s="1"/>
  <c r="Q43" s="1"/>
  <c r="V43" s="1"/>
  <c r="W43" s="1"/>
  <c r="EL43" s="1"/>
  <c r="M35"/>
  <c r="M27"/>
  <c r="O27" s="1"/>
  <c r="Q27" s="1"/>
  <c r="V27" s="1"/>
  <c r="W27" s="1"/>
  <c r="EL27" s="1"/>
  <c r="M19"/>
  <c r="O19" s="1"/>
  <c r="Q19" s="1"/>
  <c r="V19" s="1"/>
  <c r="W19" s="1"/>
  <c r="EL19" s="1"/>
  <c r="M205"/>
  <c r="O205" s="1"/>
  <c r="Q205" s="1"/>
  <c r="V205" s="1"/>
  <c r="W205" s="1"/>
  <c r="EL205" s="1"/>
  <c r="M197"/>
  <c r="O197" s="1"/>
  <c r="Q197" s="1"/>
  <c r="V197" s="1"/>
  <c r="W197" s="1"/>
  <c r="EL197" s="1"/>
  <c r="M189"/>
  <c r="O189" s="1"/>
  <c r="Q189" s="1"/>
  <c r="V189" s="1"/>
  <c r="W189" s="1"/>
  <c r="EL189" s="1"/>
  <c r="M181"/>
  <c r="O181" s="1"/>
  <c r="Q181" s="1"/>
  <c r="V181" s="1"/>
  <c r="W181" s="1"/>
  <c r="EL181" s="1"/>
  <c r="M173"/>
  <c r="O173" s="1"/>
  <c r="Q173" s="1"/>
  <c r="V173" s="1"/>
  <c r="W173" s="1"/>
  <c r="EL173" s="1"/>
  <c r="M165"/>
  <c r="O165" s="1"/>
  <c r="Q165" s="1"/>
  <c r="V165" s="1"/>
  <c r="W165" s="1"/>
  <c r="EL165" s="1"/>
  <c r="M157"/>
  <c r="O157" s="1"/>
  <c r="Q157" s="1"/>
  <c r="V157" s="1"/>
  <c r="W157" s="1"/>
  <c r="EL157" s="1"/>
  <c r="M149"/>
  <c r="O149" s="1"/>
  <c r="Q149" s="1"/>
  <c r="V149" s="1"/>
  <c r="W149" s="1"/>
  <c r="EL149" s="1"/>
  <c r="M141"/>
  <c r="O141" s="1"/>
  <c r="Q141" s="1"/>
  <c r="V141" s="1"/>
  <c r="W141" s="1"/>
  <c r="EL141" s="1"/>
  <c r="M133"/>
  <c r="O133" s="1"/>
  <c r="Q133" s="1"/>
  <c r="V133" s="1"/>
  <c r="W133" s="1"/>
  <c r="EL133" s="1"/>
  <c r="M125"/>
  <c r="O125" s="1"/>
  <c r="Q125" s="1"/>
  <c r="V125" s="1"/>
  <c r="W125" s="1"/>
  <c r="EL125" s="1"/>
  <c r="M117"/>
  <c r="O117" s="1"/>
  <c r="Q117" s="1"/>
  <c r="V117" s="1"/>
  <c r="W117" s="1"/>
  <c r="EL117" s="1"/>
  <c r="M109"/>
  <c r="O109" s="1"/>
  <c r="Q109" s="1"/>
  <c r="V109" s="1"/>
  <c r="W109" s="1"/>
  <c r="EL109" s="1"/>
  <c r="M101"/>
  <c r="O101" s="1"/>
  <c r="Q101" s="1"/>
  <c r="V101" s="1"/>
  <c r="W101" s="1"/>
  <c r="EL101" s="1"/>
  <c r="M93"/>
  <c r="O93" s="1"/>
  <c r="Q93" s="1"/>
  <c r="V93" s="1"/>
  <c r="W93" s="1"/>
  <c r="EL93" s="1"/>
  <c r="M87"/>
  <c r="O87" s="1"/>
  <c r="Q87" s="1"/>
  <c r="V87" s="1"/>
  <c r="W87" s="1"/>
  <c r="EL87" s="1"/>
  <c r="M79"/>
  <c r="O79" s="1"/>
  <c r="Q79" s="1"/>
  <c r="V79" s="1"/>
  <c r="W79" s="1"/>
  <c r="EL79" s="1"/>
  <c r="M71"/>
  <c r="O71" s="1"/>
  <c r="Q71" s="1"/>
  <c r="V71" s="1"/>
  <c r="W71" s="1"/>
  <c r="EL71" s="1"/>
  <c r="M63"/>
  <c r="O63" s="1"/>
  <c r="Q63" s="1"/>
  <c r="V63" s="1"/>
  <c r="W63" s="1"/>
  <c r="EL63" s="1"/>
  <c r="M55"/>
  <c r="O55" s="1"/>
  <c r="Q55" s="1"/>
  <c r="V55" s="1"/>
  <c r="W55" s="1"/>
  <c r="EL55" s="1"/>
  <c r="M47"/>
  <c r="O47" s="1"/>
  <c r="Q47" s="1"/>
  <c r="V47" s="1"/>
  <c r="W47" s="1"/>
  <c r="EL47" s="1"/>
  <c r="M39"/>
  <c r="M31"/>
  <c r="O31" s="1"/>
  <c r="Q31" s="1"/>
  <c r="V31" s="1"/>
  <c r="W31" s="1"/>
  <c r="EL31" s="1"/>
  <c r="M23"/>
  <c r="O23" s="1"/>
  <c r="Q23" s="1"/>
  <c r="V23" s="1"/>
  <c r="W23" s="1"/>
  <c r="EL23" s="1"/>
  <c r="M203"/>
  <c r="O203" s="1"/>
  <c r="Q203" s="1"/>
  <c r="V203" s="1"/>
  <c r="W203" s="1"/>
  <c r="EL203" s="1"/>
  <c r="M195"/>
  <c r="M187"/>
  <c r="O187" s="1"/>
  <c r="Q187" s="1"/>
  <c r="V187" s="1"/>
  <c r="W187" s="1"/>
  <c r="EL187" s="1"/>
  <c r="M179"/>
  <c r="O179" s="1"/>
  <c r="Q179" s="1"/>
  <c r="V179" s="1"/>
  <c r="W179" s="1"/>
  <c r="EL179" s="1"/>
  <c r="M171"/>
  <c r="O171" s="1"/>
  <c r="Q171" s="1"/>
  <c r="V171" s="1"/>
  <c r="W171" s="1"/>
  <c r="EL171" s="1"/>
  <c r="M163"/>
  <c r="O163" s="1"/>
  <c r="Q163" s="1"/>
  <c r="V163" s="1"/>
  <c r="W163" s="1"/>
  <c r="EL163" s="1"/>
  <c r="M155"/>
  <c r="O155" s="1"/>
  <c r="Q155" s="1"/>
  <c r="V155" s="1"/>
  <c r="W155" s="1"/>
  <c r="EL155" s="1"/>
  <c r="M147"/>
  <c r="O147" s="1"/>
  <c r="Q147" s="1"/>
  <c r="V147" s="1"/>
  <c r="W147" s="1"/>
  <c r="EL147" s="1"/>
  <c r="M139"/>
  <c r="O139" s="1"/>
  <c r="Q139" s="1"/>
  <c r="V139" s="1"/>
  <c r="W139" s="1"/>
  <c r="EL139" s="1"/>
  <c r="M131"/>
  <c r="O131" s="1"/>
  <c r="Q131" s="1"/>
  <c r="V131" s="1"/>
  <c r="W131" s="1"/>
  <c r="EL131" s="1"/>
  <c r="M123"/>
  <c r="O123" s="1"/>
  <c r="Q123" s="1"/>
  <c r="V123" s="1"/>
  <c r="W123" s="1"/>
  <c r="EL123" s="1"/>
  <c r="M115"/>
  <c r="O115" s="1"/>
  <c r="Q115" s="1"/>
  <c r="V115" s="1"/>
  <c r="W115" s="1"/>
  <c r="EL115" s="1"/>
  <c r="M107"/>
  <c r="O107" s="1"/>
  <c r="Q107" s="1"/>
  <c r="V107" s="1"/>
  <c r="W107" s="1"/>
  <c r="EL107" s="1"/>
  <c r="M99"/>
  <c r="O99" s="1"/>
  <c r="Q99" s="1"/>
  <c r="V99" s="1"/>
  <c r="W99" s="1"/>
  <c r="EL99" s="1"/>
  <c r="O21"/>
  <c r="Q21" s="1"/>
  <c r="V21" s="1"/>
  <c r="W21" s="1"/>
  <c r="EL21" s="1"/>
  <c r="O207"/>
  <c r="Q207" s="1"/>
  <c r="V207" s="1"/>
  <c r="W207" s="1"/>
  <c r="EL207" s="1"/>
  <c r="O201"/>
  <c r="Q201" s="1"/>
  <c r="V201" s="1"/>
  <c r="W201" s="1"/>
  <c r="EL201" s="1"/>
  <c r="O195"/>
  <c r="Q195" s="1"/>
  <c r="V195" s="1"/>
  <c r="W195" s="1"/>
  <c r="EL195" s="1"/>
  <c r="O191"/>
  <c r="Q191" s="1"/>
  <c r="V191" s="1"/>
  <c r="W191" s="1"/>
  <c r="EL191" s="1"/>
  <c r="O183"/>
  <c r="Q183" s="1"/>
  <c r="V183" s="1"/>
  <c r="W183" s="1"/>
  <c r="EL183" s="1"/>
  <c r="O161"/>
  <c r="Q161" s="1"/>
  <c r="V161" s="1"/>
  <c r="W161" s="1"/>
  <c r="EL161" s="1"/>
  <c r="O143"/>
  <c r="Q143" s="1"/>
  <c r="V143" s="1"/>
  <c r="W143" s="1"/>
  <c r="EL143" s="1"/>
  <c r="O119"/>
  <c r="Q119" s="1"/>
  <c r="V119" s="1"/>
  <c r="W119" s="1"/>
  <c r="EL119" s="1"/>
  <c r="O111"/>
  <c r="Q111" s="1"/>
  <c r="V111" s="1"/>
  <c r="W111" s="1"/>
  <c r="EL111" s="1"/>
  <c r="O95"/>
  <c r="Q95" s="1"/>
  <c r="V95" s="1"/>
  <c r="W95" s="1"/>
  <c r="EL95" s="1"/>
  <c r="O89"/>
  <c r="Q89" s="1"/>
  <c r="V89" s="1"/>
  <c r="W89" s="1"/>
  <c r="EL89" s="1"/>
  <c r="O85"/>
  <c r="Q85" s="1"/>
  <c r="V85" s="1"/>
  <c r="W85" s="1"/>
  <c r="EL85" s="1"/>
  <c r="O81"/>
  <c r="Q81" s="1"/>
  <c r="V81" s="1"/>
  <c r="W81" s="1"/>
  <c r="EL81" s="1"/>
  <c r="O77"/>
  <c r="Q77" s="1"/>
  <c r="V77" s="1"/>
  <c r="W77" s="1"/>
  <c r="EL77" s="1"/>
  <c r="O73"/>
  <c r="Q73" s="1"/>
  <c r="V73" s="1"/>
  <c r="W73" s="1"/>
  <c r="EL73" s="1"/>
  <c r="O69"/>
  <c r="Q69" s="1"/>
  <c r="V69" s="1"/>
  <c r="W69" s="1"/>
  <c r="EL69" s="1"/>
  <c r="O65"/>
  <c r="Q65" s="1"/>
  <c r="V65" s="1"/>
  <c r="W65" s="1"/>
  <c r="EL65" s="1"/>
  <c r="O61"/>
  <c r="Q61" s="1"/>
  <c r="V61" s="1"/>
  <c r="W61" s="1"/>
  <c r="EL61" s="1"/>
  <c r="O57"/>
  <c r="Q57" s="1"/>
  <c r="V57" s="1"/>
  <c r="W57" s="1"/>
  <c r="EL57" s="1"/>
  <c r="O53"/>
  <c r="Q53" s="1"/>
  <c r="V53" s="1"/>
  <c r="W53" s="1"/>
  <c r="EL53" s="1"/>
  <c r="O49"/>
  <c r="Q49" s="1"/>
  <c r="V49" s="1"/>
  <c r="W49" s="1"/>
  <c r="EL49" s="1"/>
  <c r="O41"/>
  <c r="Q41" s="1"/>
  <c r="V41" s="1"/>
  <c r="W41" s="1"/>
  <c r="EL41" s="1"/>
  <c r="O39"/>
  <c r="Q39" s="1"/>
  <c r="V39" s="1"/>
  <c r="W39" s="1"/>
  <c r="EL39" s="1"/>
  <c r="O37"/>
  <c r="Q37" s="1"/>
  <c r="V37" s="1"/>
  <c r="W37" s="1"/>
  <c r="EL37" s="1"/>
  <c r="O35"/>
  <c r="Q35" s="1"/>
  <c r="V35" s="1"/>
  <c r="W35" s="1"/>
  <c r="EL35" s="1"/>
  <c r="M16"/>
  <c r="O16" s="1"/>
  <c r="Q16" s="1"/>
  <c r="M12"/>
  <c r="O12" s="1"/>
  <c r="Q12" s="1"/>
  <c r="M6"/>
  <c r="O206"/>
  <c r="Q206" s="1"/>
  <c r="V206" s="1"/>
  <c r="W206" s="1"/>
  <c r="EL206" s="1"/>
  <c r="O204"/>
  <c r="Q204" s="1"/>
  <c r="V204" s="1"/>
  <c r="W204" s="1"/>
  <c r="EL204" s="1"/>
  <c r="O200"/>
  <c r="Q200" s="1"/>
  <c r="V200" s="1"/>
  <c r="W200" s="1"/>
  <c r="EL200" s="1"/>
  <c r="O196"/>
  <c r="Q196" s="1"/>
  <c r="V196" s="1"/>
  <c r="W196" s="1"/>
  <c r="EL196" s="1"/>
  <c r="O192"/>
  <c r="Q192" s="1"/>
  <c r="V192" s="1"/>
  <c r="W192" s="1"/>
  <c r="EL192" s="1"/>
  <c r="O190"/>
  <c r="Q190" s="1"/>
  <c r="V190" s="1"/>
  <c r="W190" s="1"/>
  <c r="EL190" s="1"/>
  <c r="O188"/>
  <c r="Q188" s="1"/>
  <c r="V188" s="1"/>
  <c r="W188" s="1"/>
  <c r="EL188" s="1"/>
  <c r="O184"/>
  <c r="Q184" s="1"/>
  <c r="V184" s="1"/>
  <c r="W184" s="1"/>
  <c r="EL184" s="1"/>
  <c r="O182"/>
  <c r="Q182" s="1"/>
  <c r="V182" s="1"/>
  <c r="W182" s="1"/>
  <c r="EL182" s="1"/>
  <c r="O180"/>
  <c r="Q180" s="1"/>
  <c r="V180" s="1"/>
  <c r="W180" s="1"/>
  <c r="EL180" s="1"/>
  <c r="O178"/>
  <c r="Q178" s="1"/>
  <c r="V178" s="1"/>
  <c r="W178" s="1"/>
  <c r="EL178" s="1"/>
  <c r="O176"/>
  <c r="Q176" s="1"/>
  <c r="V176" s="1"/>
  <c r="W176" s="1"/>
  <c r="EL176" s="1"/>
  <c r="O174"/>
  <c r="Q174" s="1"/>
  <c r="V174" s="1"/>
  <c r="W174" s="1"/>
  <c r="EL174" s="1"/>
  <c r="O172"/>
  <c r="Q172" s="1"/>
  <c r="V172" s="1"/>
  <c r="W172" s="1"/>
  <c r="EL172" s="1"/>
  <c r="O168"/>
  <c r="Q168" s="1"/>
  <c r="V168" s="1"/>
  <c r="W168" s="1"/>
  <c r="EL168" s="1"/>
  <c r="O164"/>
  <c r="Q164" s="1"/>
  <c r="V164" s="1"/>
  <c r="W164" s="1"/>
  <c r="EL164" s="1"/>
  <c r="O160"/>
  <c r="Q160" s="1"/>
  <c r="V160" s="1"/>
  <c r="W160" s="1"/>
  <c r="EL160" s="1"/>
  <c r="O158"/>
  <c r="Q158" s="1"/>
  <c r="V158" s="1"/>
  <c r="W158" s="1"/>
  <c r="EL158" s="1"/>
  <c r="O156"/>
  <c r="Q156" s="1"/>
  <c r="V156" s="1"/>
  <c r="W156" s="1"/>
  <c r="EL156" s="1"/>
  <c r="O152"/>
  <c r="Q152" s="1"/>
  <c r="V152" s="1"/>
  <c r="W152" s="1"/>
  <c r="EL152" s="1"/>
  <c r="O150"/>
  <c r="Q150" s="1"/>
  <c r="V150" s="1"/>
  <c r="W150" s="1"/>
  <c r="EL150" s="1"/>
  <c r="O148"/>
  <c r="Q148" s="1"/>
  <c r="V148" s="1"/>
  <c r="W148" s="1"/>
  <c r="EL148" s="1"/>
  <c r="O146"/>
  <c r="Q146" s="1"/>
  <c r="V146" s="1"/>
  <c r="W146" s="1"/>
  <c r="EL146" s="1"/>
  <c r="O144"/>
  <c r="Q144" s="1"/>
  <c r="V144" s="1"/>
  <c r="W144" s="1"/>
  <c r="EL144" s="1"/>
  <c r="O142"/>
  <c r="Q142" s="1"/>
  <c r="V142" s="1"/>
  <c r="W142" s="1"/>
  <c r="EL142" s="1"/>
  <c r="O140"/>
  <c r="Q140" s="1"/>
  <c r="V140" s="1"/>
  <c r="W140" s="1"/>
  <c r="EL140" s="1"/>
  <c r="O136"/>
  <c r="Q136" s="1"/>
  <c r="V136" s="1"/>
  <c r="W136" s="1"/>
  <c r="EL136" s="1"/>
  <c r="O134"/>
  <c r="Q134" s="1"/>
  <c r="V134" s="1"/>
  <c r="W134" s="1"/>
  <c r="EL134" s="1"/>
  <c r="O132"/>
  <c r="Q132" s="1"/>
  <c r="V132" s="1"/>
  <c r="W132" s="1"/>
  <c r="EL132" s="1"/>
  <c r="O128"/>
  <c r="Q128" s="1"/>
  <c r="V128" s="1"/>
  <c r="W128" s="1"/>
  <c r="EL128" s="1"/>
  <c r="O124"/>
  <c r="Q124" s="1"/>
  <c r="V124" s="1"/>
  <c r="W124" s="1"/>
  <c r="EL124" s="1"/>
  <c r="O120"/>
  <c r="Q120" s="1"/>
  <c r="V120" s="1"/>
  <c r="W120" s="1"/>
  <c r="EL120" s="1"/>
  <c r="O118"/>
  <c r="Q118" s="1"/>
  <c r="V118" s="1"/>
  <c r="W118" s="1"/>
  <c r="EL118" s="1"/>
  <c r="O116"/>
  <c r="Q116" s="1"/>
  <c r="V116" s="1"/>
  <c r="W116" s="1"/>
  <c r="EL116" s="1"/>
  <c r="O114"/>
  <c r="Q114" s="1"/>
  <c r="V114" s="1"/>
  <c r="W114" s="1"/>
  <c r="EL114" s="1"/>
  <c r="O112"/>
  <c r="Q112" s="1"/>
  <c r="V112" s="1"/>
  <c r="W112" s="1"/>
  <c r="EL112" s="1"/>
  <c r="O110"/>
  <c r="Q110" s="1"/>
  <c r="V110" s="1"/>
  <c r="W110" s="1"/>
  <c r="EL110" s="1"/>
  <c r="O104"/>
  <c r="Q104" s="1"/>
  <c r="V104" s="1"/>
  <c r="W104" s="1"/>
  <c r="EL104" s="1"/>
  <c r="O102"/>
  <c r="Q102" s="1"/>
  <c r="V102" s="1"/>
  <c r="W102" s="1"/>
  <c r="EL102" s="1"/>
  <c r="O100"/>
  <c r="Q100" s="1"/>
  <c r="V100" s="1"/>
  <c r="W100" s="1"/>
  <c r="EL100" s="1"/>
  <c r="O98"/>
  <c r="Q98" s="1"/>
  <c r="V98" s="1"/>
  <c r="W98" s="1"/>
  <c r="EL98" s="1"/>
  <c r="O96"/>
  <c r="Q96" s="1"/>
  <c r="V96" s="1"/>
  <c r="W96" s="1"/>
  <c r="EL96" s="1"/>
  <c r="O94"/>
  <c r="Q94" s="1"/>
  <c r="V94" s="1"/>
  <c r="W94" s="1"/>
  <c r="EL94" s="1"/>
  <c r="O92"/>
  <c r="Q92" s="1"/>
  <c r="V92" s="1"/>
  <c r="W92" s="1"/>
  <c r="EL92" s="1"/>
  <c r="O88"/>
  <c r="Q88" s="1"/>
  <c r="V88" s="1"/>
  <c r="W88" s="1"/>
  <c r="EL88" s="1"/>
  <c r="O86"/>
  <c r="Q86" s="1"/>
  <c r="V86" s="1"/>
  <c r="W86" s="1"/>
  <c r="EL86" s="1"/>
  <c r="O84"/>
  <c r="Q84" s="1"/>
  <c r="V84" s="1"/>
  <c r="W84" s="1"/>
  <c r="EL84" s="1"/>
  <c r="O80"/>
  <c r="Q80" s="1"/>
  <c r="V80" s="1"/>
  <c r="W80" s="1"/>
  <c r="EL80" s="1"/>
  <c r="O76"/>
  <c r="Q76" s="1"/>
  <c r="V76" s="1"/>
  <c r="W76" s="1"/>
  <c r="EL76" s="1"/>
  <c r="O72"/>
  <c r="Q72" s="1"/>
  <c r="V72" s="1"/>
  <c r="W72" s="1"/>
  <c r="EL72" s="1"/>
  <c r="O68"/>
  <c r="Q68" s="1"/>
  <c r="V68" s="1"/>
  <c r="W68" s="1"/>
  <c r="EL68" s="1"/>
  <c r="O64"/>
  <c r="Q64" s="1"/>
  <c r="V64" s="1"/>
  <c r="W64" s="1"/>
  <c r="EL64" s="1"/>
  <c r="O62"/>
  <c r="Q62" s="1"/>
  <c r="V62" s="1"/>
  <c r="W62" s="1"/>
  <c r="EL62" s="1"/>
  <c r="O60"/>
  <c r="Q60" s="1"/>
  <c r="V60" s="1"/>
  <c r="W60" s="1"/>
  <c r="EL60" s="1"/>
  <c r="O56"/>
  <c r="Q56" s="1"/>
  <c r="V56" s="1"/>
  <c r="W56" s="1"/>
  <c r="EL56" s="1"/>
  <c r="O54"/>
  <c r="Q54" s="1"/>
  <c r="V54" s="1"/>
  <c r="W54" s="1"/>
  <c r="EL54" s="1"/>
  <c r="O52"/>
  <c r="Q52" s="1"/>
  <c r="V52" s="1"/>
  <c r="W52" s="1"/>
  <c r="EL52" s="1"/>
  <c r="O48"/>
  <c r="Q48" s="1"/>
  <c r="V48" s="1"/>
  <c r="W48" s="1"/>
  <c r="EL48" s="1"/>
  <c r="O46"/>
  <c r="Q46" s="1"/>
  <c r="V46" s="1"/>
  <c r="W46" s="1"/>
  <c r="EL46" s="1"/>
  <c r="O44"/>
  <c r="Q44" s="1"/>
  <c r="V44" s="1"/>
  <c r="W44" s="1"/>
  <c r="EL44" s="1"/>
  <c r="O40"/>
  <c r="Q40" s="1"/>
  <c r="V40" s="1"/>
  <c r="W40" s="1"/>
  <c r="EL40" s="1"/>
  <c r="O38"/>
  <c r="Q38" s="1"/>
  <c r="V38" s="1"/>
  <c r="W38" s="1"/>
  <c r="EL38" s="1"/>
  <c r="O36"/>
  <c r="Q36" s="1"/>
  <c r="V36" s="1"/>
  <c r="W36" s="1"/>
  <c r="EL36" s="1"/>
  <c r="M14"/>
  <c r="O14" s="1"/>
  <c r="Q14" s="1"/>
  <c r="M10"/>
  <c r="O10" s="1"/>
  <c r="Q10" s="1"/>
  <c r="O15"/>
  <c r="Q15" s="1"/>
  <c r="O11"/>
  <c r="Q11" s="1"/>
  <c r="AZ5" i="8"/>
  <c r="DN5" i="9" s="1"/>
  <c r="AY5" i="8"/>
  <c r="DM5" i="9" s="1"/>
  <c r="AW220" i="8"/>
  <c r="BA1" s="1"/>
  <c r="BA5"/>
  <c r="DO5" i="9" s="1"/>
  <c r="AX5" i="8"/>
  <c r="DJ5" i="9" s="1"/>
  <c r="AW5" i="8"/>
  <c r="DI5" i="9" s="1"/>
  <c r="AV5" i="8"/>
  <c r="DG5" i="9" s="1"/>
  <c r="AU5" i="8"/>
  <c r="DF5" i="9" s="1"/>
  <c r="AT5" i="8"/>
  <c r="DE5" i="9" s="1"/>
  <c r="AT4" i="8"/>
  <c r="DE4" i="9" s="1"/>
  <c r="AS4" i="8"/>
  <c r="DD4" i="9" s="1"/>
  <c r="AK4" i="8"/>
  <c r="CF4" i="9" s="1"/>
  <c r="AR5" i="8"/>
  <c r="CP5" i="9" s="1"/>
  <c r="AQ5" i="8"/>
  <c r="CO5" i="9" s="1"/>
  <c r="AP5" i="8"/>
  <c r="CL5" i="9" s="1"/>
  <c r="AO5" i="8"/>
  <c r="CK5" i="9" s="1"/>
  <c r="AN5" i="8"/>
  <c r="CI5" i="9" s="1"/>
  <c r="AM5" i="8"/>
  <c r="CH5" i="9" s="1"/>
  <c r="AL5" i="8"/>
  <c r="CG5" i="9" s="1"/>
  <c r="AQ4" i="8"/>
  <c r="CO4" i="9" s="1"/>
  <c r="AO4" i="8"/>
  <c r="CK4" i="9" s="1"/>
  <c r="AL4" i="8"/>
  <c r="CG4" i="9" s="1"/>
  <c r="AC4" i="8"/>
  <c r="BI4" i="9" s="1"/>
  <c r="AJ5" i="8"/>
  <c r="BS5" i="9" s="1"/>
  <c r="AI5" i="8"/>
  <c r="BR5" i="9" s="1"/>
  <c r="BO5"/>
  <c r="BN5"/>
  <c r="AF5" i="8"/>
  <c r="BL5" i="9" s="1"/>
  <c r="AE5" i="8"/>
  <c r="BK5" i="9" s="1"/>
  <c r="AD5" i="8"/>
  <c r="BJ5" i="9" s="1"/>
  <c r="AI4" i="8"/>
  <c r="BR4" i="9" s="1"/>
  <c r="AG4" i="8"/>
  <c r="BN4" i="9" s="1"/>
  <c r="AD4" i="8"/>
  <c r="BJ4" i="9" s="1"/>
  <c r="AB5" i="8"/>
  <c r="AV5" i="9" s="1"/>
  <c r="AA5" i="8"/>
  <c r="AU5" i="9" s="1"/>
  <c r="AA4" i="8"/>
  <c r="AU4" i="9" s="1"/>
  <c r="T4" i="8"/>
  <c r="AD4" i="9" s="1"/>
  <c r="Y4" i="8"/>
  <c r="AQ4" i="9" s="1"/>
  <c r="S4" i="8"/>
  <c r="AB4" i="9" s="1"/>
  <c r="X5" i="8"/>
  <c r="AO5" i="9" s="1"/>
  <c r="W5" i="8"/>
  <c r="AN5" i="9" s="1"/>
  <c r="V5" i="8"/>
  <c r="AM5" i="9" s="1"/>
  <c r="V4" i="8"/>
  <c r="AM4" i="9" s="1"/>
  <c r="R5" i="8"/>
  <c r="Z5" i="9" s="1"/>
  <c r="P5" i="8"/>
  <c r="X5" i="9" s="1"/>
  <c r="K4" i="8"/>
  <c r="J4" i="9" s="1"/>
  <c r="L5" i="8"/>
  <c r="K5" i="9" s="1"/>
  <c r="B1" i="3"/>
  <c r="DG9" i="9" l="1"/>
  <c r="E20" i="4" s="1"/>
  <c r="DD9" i="9"/>
  <c r="DF9"/>
  <c r="D20" i="4" s="1"/>
  <c r="DE9" i="9"/>
  <c r="C20" i="4" s="1"/>
  <c r="DM9" i="9"/>
  <c r="DI9"/>
  <c r="DO6"/>
  <c r="DI7"/>
  <c r="DF6"/>
  <c r="DM7"/>
  <c r="DG6"/>
  <c r="DM6"/>
  <c r="DI6"/>
  <c r="DN6"/>
  <c r="DJ6"/>
  <c r="DE6"/>
  <c r="DO11"/>
  <c r="DM12"/>
  <c r="DO13"/>
  <c r="DS13" s="1"/>
  <c r="DN11"/>
  <c r="DN13"/>
  <c r="DR13" s="1"/>
  <c r="DD12"/>
  <c r="DD11"/>
  <c r="AI20" i="4" s="1"/>
  <c r="DM11" i="9"/>
  <c r="DO12"/>
  <c r="DS12" s="1"/>
  <c r="DM13"/>
  <c r="DN12"/>
  <c r="DR12" s="1"/>
  <c r="DD13"/>
  <c r="GS70"/>
  <c r="GS158"/>
  <c r="GS191"/>
  <c r="GS192"/>
  <c r="FI16"/>
  <c r="FI22"/>
  <c r="FI26"/>
  <c r="FI34"/>
  <c r="FI38"/>
  <c r="FI42"/>
  <c r="FI50"/>
  <c r="FI54"/>
  <c r="FI58"/>
  <c r="FI66"/>
  <c r="FI68"/>
  <c r="FI72"/>
  <c r="FI82"/>
  <c r="FI84"/>
  <c r="FI86"/>
  <c r="FI90"/>
  <c r="FI98"/>
  <c r="FI102"/>
  <c r="FI106"/>
  <c r="FI114"/>
  <c r="FI118"/>
  <c r="FI122"/>
  <c r="FI130"/>
  <c r="FI134"/>
  <c r="FI138"/>
  <c r="FI146"/>
  <c r="FI150"/>
  <c r="FI154"/>
  <c r="FI162"/>
  <c r="FI164"/>
  <c r="FI166"/>
  <c r="FI170"/>
  <c r="FI172"/>
  <c r="FI174"/>
  <c r="FI178"/>
  <c r="FI180"/>
  <c r="FI182"/>
  <c r="FI188"/>
  <c r="FI190"/>
  <c r="FI192"/>
  <c r="FI194"/>
  <c r="FI196"/>
  <c r="FI198"/>
  <c r="FI204"/>
  <c r="FI206"/>
  <c r="GS43"/>
  <c r="GS57"/>
  <c r="GS71"/>
  <c r="GS78"/>
  <c r="GS90"/>
  <c r="GS96"/>
  <c r="GS130"/>
  <c r="GS190"/>
  <c r="GS42"/>
  <c r="GS79"/>
  <c r="GS98"/>
  <c r="GS123"/>
  <c r="GS166"/>
  <c r="GS178"/>
  <c r="GS203"/>
  <c r="FI9"/>
  <c r="FI13"/>
  <c r="FI15"/>
  <c r="FI17"/>
  <c r="FI19"/>
  <c r="FI21"/>
  <c r="FI27"/>
  <c r="FI29"/>
  <c r="FI31"/>
  <c r="FI33"/>
  <c r="FI35"/>
  <c r="FI37"/>
  <c r="FI43"/>
  <c r="FI45"/>
  <c r="FI47"/>
  <c r="FI49"/>
  <c r="FI51"/>
  <c r="FI53"/>
  <c r="FI59"/>
  <c r="FI61"/>
  <c r="FI63"/>
  <c r="FI65"/>
  <c r="FI67"/>
  <c r="FI69"/>
  <c r="FI75"/>
  <c r="FI77"/>
  <c r="FI79"/>
  <c r="FI81"/>
  <c r="FI83"/>
  <c r="FI85"/>
  <c r="FI91"/>
  <c r="FI93"/>
  <c r="FI95"/>
  <c r="FI97"/>
  <c r="FI99"/>
  <c r="FI101"/>
  <c r="FI107"/>
  <c r="FI109"/>
  <c r="FI111"/>
  <c r="FI113"/>
  <c r="FI115"/>
  <c r="FI117"/>
  <c r="FI123"/>
  <c r="FI125"/>
  <c r="FI127"/>
  <c r="FI129"/>
  <c r="FI131"/>
  <c r="FI133"/>
  <c r="FI139"/>
  <c r="FI141"/>
  <c r="FI143"/>
  <c r="FI145"/>
  <c r="FI147"/>
  <c r="FI149"/>
  <c r="FI155"/>
  <c r="FI157"/>
  <c r="FI159"/>
  <c r="FI161"/>
  <c r="FI167"/>
  <c r="FI169"/>
  <c r="FI175"/>
  <c r="FI177"/>
  <c r="FI183"/>
  <c r="FI187"/>
  <c r="FI195"/>
  <c r="FI199"/>
  <c r="FI203"/>
  <c r="GS73"/>
  <c r="GS83"/>
  <c r="GS138"/>
  <c r="GS179"/>
  <c r="GS187"/>
  <c r="GS199"/>
  <c r="GS65"/>
  <c r="GS116"/>
  <c r="GS125"/>
  <c r="GS153"/>
  <c r="GS193"/>
  <c r="GS205"/>
  <c r="GS80"/>
  <c r="GS93"/>
  <c r="GS137"/>
  <c r="GS204"/>
  <c r="FI10"/>
  <c r="R6" i="11"/>
  <c r="FI14" i="9"/>
  <c r="R10" i="11"/>
  <c r="FI48" i="9"/>
  <c r="R44" i="11"/>
  <c r="FI64" i="9"/>
  <c r="R60" i="11"/>
  <c r="FI80" i="9"/>
  <c r="R76" i="11"/>
  <c r="FI96" i="9"/>
  <c r="R92" i="11"/>
  <c r="FI128" i="9"/>
  <c r="R124" i="11"/>
  <c r="FI144" i="9"/>
  <c r="R140" i="11"/>
  <c r="W28" i="20"/>
  <c r="AG28" s="1"/>
  <c r="R28"/>
  <c r="U28"/>
  <c r="S28"/>
  <c r="T28"/>
  <c r="AA28" s="1"/>
  <c r="V28"/>
  <c r="P28"/>
  <c r="N28"/>
  <c r="L28"/>
  <c r="K28"/>
  <c r="Q28"/>
  <c r="Y28" s="1"/>
  <c r="AE28"/>
  <c r="AF28" s="1"/>
  <c r="AC28"/>
  <c r="AW28"/>
  <c r="M28"/>
  <c r="AX28"/>
  <c r="AB28"/>
  <c r="O30" i="15"/>
  <c r="Q30"/>
  <c r="K30"/>
  <c r="M30"/>
  <c r="R30"/>
  <c r="P30"/>
  <c r="N30"/>
  <c r="L30"/>
  <c r="W44" i="20"/>
  <c r="AG44" s="1"/>
  <c r="R44"/>
  <c r="U44"/>
  <c r="AB44" s="1"/>
  <c r="S44"/>
  <c r="T44"/>
  <c r="AA44" s="1"/>
  <c r="V44"/>
  <c r="P44"/>
  <c r="N44"/>
  <c r="L44"/>
  <c r="K44"/>
  <c r="Q44"/>
  <c r="Y44" s="1"/>
  <c r="AW44"/>
  <c r="AX44"/>
  <c r="AC44"/>
  <c r="AE44"/>
  <c r="AF44" s="1"/>
  <c r="M44"/>
  <c r="O46" i="15"/>
  <c r="Q46"/>
  <c r="K46"/>
  <c r="M46"/>
  <c r="R46"/>
  <c r="P46"/>
  <c r="N46"/>
  <c r="L46"/>
  <c r="W60" i="20"/>
  <c r="AG60" s="1"/>
  <c r="R60"/>
  <c r="S60"/>
  <c r="T60"/>
  <c r="AA60" s="1"/>
  <c r="U60"/>
  <c r="AB60" s="1"/>
  <c r="V60"/>
  <c r="P60"/>
  <c r="N60"/>
  <c r="L60"/>
  <c r="K60"/>
  <c r="Q60"/>
  <c r="AX60"/>
  <c r="AE60"/>
  <c r="AF60" s="1"/>
  <c r="AC60"/>
  <c r="AW60"/>
  <c r="M60"/>
  <c r="O62" i="15"/>
  <c r="Q62"/>
  <c r="K62"/>
  <c r="M62"/>
  <c r="R62"/>
  <c r="P62"/>
  <c r="N62"/>
  <c r="L62"/>
  <c r="W76" i="20"/>
  <c r="AG76" s="1"/>
  <c r="T76"/>
  <c r="AA76" s="1"/>
  <c r="R76"/>
  <c r="S76"/>
  <c r="U76"/>
  <c r="P76"/>
  <c r="V76"/>
  <c r="K76"/>
  <c r="Q76"/>
  <c r="Y76" s="1"/>
  <c r="N76"/>
  <c r="L76"/>
  <c r="AW76"/>
  <c r="AX76"/>
  <c r="AC76"/>
  <c r="AE76"/>
  <c r="AF76" s="1"/>
  <c r="M76"/>
  <c r="AB76"/>
  <c r="L78" i="15"/>
  <c r="O78"/>
  <c r="K78"/>
  <c r="P78"/>
  <c r="Q78"/>
  <c r="R78"/>
  <c r="M78"/>
  <c r="N78"/>
  <c r="W92" i="20"/>
  <c r="AG92" s="1"/>
  <c r="U92"/>
  <c r="AB92" s="1"/>
  <c r="P92"/>
  <c r="S92"/>
  <c r="T92"/>
  <c r="V92"/>
  <c r="R92"/>
  <c r="Q92"/>
  <c r="K92"/>
  <c r="N92"/>
  <c r="L92"/>
  <c r="AC92"/>
  <c r="AA92"/>
  <c r="AW92"/>
  <c r="M92"/>
  <c r="AX92"/>
  <c r="AE92"/>
  <c r="AF92" s="1"/>
  <c r="Q94" i="15"/>
  <c r="O94"/>
  <c r="M94"/>
  <c r="K94"/>
  <c r="P94"/>
  <c r="R94"/>
  <c r="L94"/>
  <c r="N94"/>
  <c r="W108" i="20"/>
  <c r="AG108" s="1"/>
  <c r="P108"/>
  <c r="S108"/>
  <c r="T108"/>
  <c r="AA108" s="1"/>
  <c r="R108"/>
  <c r="V108"/>
  <c r="U108"/>
  <c r="Q108"/>
  <c r="N108"/>
  <c r="L108"/>
  <c r="K108"/>
  <c r="AE108"/>
  <c r="AF108" s="1"/>
  <c r="M108"/>
  <c r="AW108"/>
  <c r="AX108"/>
  <c r="AC108"/>
  <c r="AB108"/>
  <c r="L110" i="15"/>
  <c r="N110"/>
  <c r="Q110"/>
  <c r="O110"/>
  <c r="M110"/>
  <c r="K110"/>
  <c r="P110"/>
  <c r="R110"/>
  <c r="W124" i="20"/>
  <c r="AG124" s="1"/>
  <c r="T124"/>
  <c r="AA124" s="1"/>
  <c r="R124"/>
  <c r="U124"/>
  <c r="AB124" s="1"/>
  <c r="S124"/>
  <c r="V124"/>
  <c r="P124"/>
  <c r="N124"/>
  <c r="L124"/>
  <c r="K124"/>
  <c r="Q124"/>
  <c r="AX124"/>
  <c r="AE124"/>
  <c r="AF124" s="1"/>
  <c r="AC124"/>
  <c r="AW124"/>
  <c r="M124"/>
  <c r="L126" i="15"/>
  <c r="N126"/>
  <c r="Q126"/>
  <c r="O126"/>
  <c r="M126"/>
  <c r="K126"/>
  <c r="P126"/>
  <c r="R126"/>
  <c r="W23" i="20"/>
  <c r="AG23" s="1"/>
  <c r="R23"/>
  <c r="V23"/>
  <c r="T23"/>
  <c r="U23"/>
  <c r="S23"/>
  <c r="M23"/>
  <c r="N23"/>
  <c r="P23"/>
  <c r="K23"/>
  <c r="Q23"/>
  <c r="AW23"/>
  <c r="AC23"/>
  <c r="AE23"/>
  <c r="AF23" s="1"/>
  <c r="AA23"/>
  <c r="AX23"/>
  <c r="AB23"/>
  <c r="L23"/>
  <c r="R25" i="15"/>
  <c r="P25"/>
  <c r="N25"/>
  <c r="L25"/>
  <c r="O25"/>
  <c r="Q25"/>
  <c r="K25"/>
  <c r="M25"/>
  <c r="W39" i="20"/>
  <c r="AG39" s="1"/>
  <c r="R39"/>
  <c r="V39"/>
  <c r="T39"/>
  <c r="AA39" s="1"/>
  <c r="U39"/>
  <c r="S39"/>
  <c r="M39"/>
  <c r="N39"/>
  <c r="P39"/>
  <c r="Q39"/>
  <c r="K39"/>
  <c r="AE39"/>
  <c r="AF39" s="1"/>
  <c r="AB39"/>
  <c r="AX39"/>
  <c r="AC39"/>
  <c r="AW39"/>
  <c r="L39"/>
  <c r="R41" i="15"/>
  <c r="P41"/>
  <c r="N41"/>
  <c r="L41"/>
  <c r="O41"/>
  <c r="Q41"/>
  <c r="K41"/>
  <c r="M41"/>
  <c r="W55" i="20"/>
  <c r="AG55" s="1"/>
  <c r="R55"/>
  <c r="V55"/>
  <c r="T55"/>
  <c r="AA55" s="1"/>
  <c r="U55"/>
  <c r="S55"/>
  <c r="M55"/>
  <c r="N55"/>
  <c r="K55"/>
  <c r="P55"/>
  <c r="Q55"/>
  <c r="Y55" s="1"/>
  <c r="AX55"/>
  <c r="L55"/>
  <c r="AW55"/>
  <c r="AC55"/>
  <c r="AB55"/>
  <c r="AE55"/>
  <c r="AF55" s="1"/>
  <c r="R57" i="15"/>
  <c r="P57"/>
  <c r="N57"/>
  <c r="L57"/>
  <c r="O57"/>
  <c r="Q57"/>
  <c r="K57"/>
  <c r="M57"/>
  <c r="W71" i="20"/>
  <c r="AG71" s="1"/>
  <c r="R71"/>
  <c r="S71"/>
  <c r="T71"/>
  <c r="AA71" s="1"/>
  <c r="V71"/>
  <c r="U71"/>
  <c r="N71"/>
  <c r="K71"/>
  <c r="P71"/>
  <c r="Q71"/>
  <c r="Y71" s="1"/>
  <c r="M71"/>
  <c r="AC71"/>
  <c r="AW71"/>
  <c r="AB71"/>
  <c r="L71"/>
  <c r="AE71"/>
  <c r="AF71" s="1"/>
  <c r="AX71"/>
  <c r="R73" i="15"/>
  <c r="P73"/>
  <c r="N73"/>
  <c r="L73"/>
  <c r="O73"/>
  <c r="Q73"/>
  <c r="K73"/>
  <c r="M73"/>
  <c r="W87" i="20"/>
  <c r="AG87" s="1"/>
  <c r="S87"/>
  <c r="T87"/>
  <c r="R87"/>
  <c r="V87"/>
  <c r="U87"/>
  <c r="N87"/>
  <c r="K87"/>
  <c r="P87"/>
  <c r="M87"/>
  <c r="Q87"/>
  <c r="AX87"/>
  <c r="L87"/>
  <c r="AW87"/>
  <c r="AA87"/>
  <c r="AE87"/>
  <c r="AF87" s="1"/>
  <c r="AC87"/>
  <c r="AB87"/>
  <c r="P89" i="15"/>
  <c r="R89"/>
  <c r="L89"/>
  <c r="N89"/>
  <c r="Q89"/>
  <c r="O89"/>
  <c r="M89"/>
  <c r="K89"/>
  <c r="W103" i="20"/>
  <c r="AG103" s="1"/>
  <c r="U103"/>
  <c r="AB103" s="1"/>
  <c r="R103"/>
  <c r="V103"/>
  <c r="S103"/>
  <c r="T103"/>
  <c r="AA103" s="1"/>
  <c r="M103"/>
  <c r="N103"/>
  <c r="K103"/>
  <c r="P103"/>
  <c r="Q103"/>
  <c r="AE103"/>
  <c r="AF103" s="1"/>
  <c r="AX103"/>
  <c r="AC103"/>
  <c r="AW103"/>
  <c r="L103"/>
  <c r="Q105" i="15"/>
  <c r="O105"/>
  <c r="M105"/>
  <c r="K105"/>
  <c r="P105"/>
  <c r="R105"/>
  <c r="L105"/>
  <c r="N105"/>
  <c r="W119" i="20"/>
  <c r="AG119" s="1"/>
  <c r="U119"/>
  <c r="R119"/>
  <c r="S119"/>
  <c r="V119"/>
  <c r="T119"/>
  <c r="AA119" s="1"/>
  <c r="M119"/>
  <c r="N119"/>
  <c r="K119"/>
  <c r="P119"/>
  <c r="Q119"/>
  <c r="AW119"/>
  <c r="AE119"/>
  <c r="AF119" s="1"/>
  <c r="AC119"/>
  <c r="AX119"/>
  <c r="L119"/>
  <c r="AB119"/>
  <c r="Q121" i="15"/>
  <c r="O121"/>
  <c r="M121"/>
  <c r="K121"/>
  <c r="P121"/>
  <c r="R121"/>
  <c r="L121"/>
  <c r="N121"/>
  <c r="W135" i="20"/>
  <c r="AG135" s="1"/>
  <c r="U135"/>
  <c r="S135"/>
  <c r="R135"/>
  <c r="T135"/>
  <c r="V135"/>
  <c r="N135"/>
  <c r="K135"/>
  <c r="P135"/>
  <c r="Q135"/>
  <c r="Y135" s="1"/>
  <c r="M135"/>
  <c r="AC135"/>
  <c r="AA135"/>
  <c r="AW135"/>
  <c r="AB135"/>
  <c r="L135"/>
  <c r="AE135"/>
  <c r="AF135" s="1"/>
  <c r="AX135"/>
  <c r="T14"/>
  <c r="U14"/>
  <c r="L14"/>
  <c r="P14"/>
  <c r="M14"/>
  <c r="Q14"/>
  <c r="N14"/>
  <c r="W30"/>
  <c r="AG30" s="1"/>
  <c r="T30"/>
  <c r="AA30" s="1"/>
  <c r="R30"/>
  <c r="U30"/>
  <c r="AB30" s="1"/>
  <c r="V30"/>
  <c r="S30"/>
  <c r="K30"/>
  <c r="L30"/>
  <c r="P30"/>
  <c r="M30"/>
  <c r="Q30"/>
  <c r="AE30"/>
  <c r="AF30" s="1"/>
  <c r="N30"/>
  <c r="X30" s="1"/>
  <c r="AC30"/>
  <c r="AW30"/>
  <c r="AX30"/>
  <c r="N32" i="15"/>
  <c r="L32"/>
  <c r="O32"/>
  <c r="Q32"/>
  <c r="K32"/>
  <c r="M32"/>
  <c r="R32"/>
  <c r="P32"/>
  <c r="W46" i="20"/>
  <c r="AG46" s="1"/>
  <c r="T46"/>
  <c r="AA46" s="1"/>
  <c r="R46"/>
  <c r="U46"/>
  <c r="AB46" s="1"/>
  <c r="V46"/>
  <c r="S46"/>
  <c r="L46"/>
  <c r="P46"/>
  <c r="M46"/>
  <c r="Q46"/>
  <c r="K46"/>
  <c r="AW46"/>
  <c r="N46"/>
  <c r="X46" s="1"/>
  <c r="AX46"/>
  <c r="AC46"/>
  <c r="AE46"/>
  <c r="AF46" s="1"/>
  <c r="N48" i="15"/>
  <c r="L48"/>
  <c r="O48"/>
  <c r="Q48"/>
  <c r="K48"/>
  <c r="M48"/>
  <c r="R48"/>
  <c r="P48"/>
  <c r="W62" i="20"/>
  <c r="AG62" s="1"/>
  <c r="T62"/>
  <c r="U62"/>
  <c r="R62"/>
  <c r="V62"/>
  <c r="S62"/>
  <c r="L62"/>
  <c r="P62"/>
  <c r="M62"/>
  <c r="K62"/>
  <c r="Q62"/>
  <c r="Y62" s="1"/>
  <c r="AE62"/>
  <c r="AF62" s="1"/>
  <c r="AC62"/>
  <c r="AA62"/>
  <c r="AB62"/>
  <c r="AW62"/>
  <c r="AX62"/>
  <c r="N62"/>
  <c r="N64" i="15"/>
  <c r="L64"/>
  <c r="O64"/>
  <c r="Q64"/>
  <c r="K64"/>
  <c r="M64"/>
  <c r="R64"/>
  <c r="P64"/>
  <c r="W78" i="20"/>
  <c r="AG78" s="1"/>
  <c r="T78"/>
  <c r="R78"/>
  <c r="Q78"/>
  <c r="S78"/>
  <c r="V78"/>
  <c r="U78"/>
  <c r="AB78" s="1"/>
  <c r="L78"/>
  <c r="P78"/>
  <c r="M78"/>
  <c r="K78"/>
  <c r="AX78"/>
  <c r="AE78"/>
  <c r="AF78" s="1"/>
  <c r="AA78"/>
  <c r="N78"/>
  <c r="X78" s="1"/>
  <c r="AW78"/>
  <c r="AC78"/>
  <c r="L80" i="15"/>
  <c r="N80"/>
  <c r="Q80"/>
  <c r="O80"/>
  <c r="M80"/>
  <c r="K80"/>
  <c r="P80"/>
  <c r="R80"/>
  <c r="W94" i="20"/>
  <c r="AG94" s="1"/>
  <c r="T94"/>
  <c r="AA94" s="1"/>
  <c r="R94"/>
  <c r="U94"/>
  <c r="AB94" s="1"/>
  <c r="S94"/>
  <c r="Q94"/>
  <c r="V94"/>
  <c r="P94"/>
  <c r="M94"/>
  <c r="K94"/>
  <c r="L94"/>
  <c r="AW94"/>
  <c r="AX94"/>
  <c r="N94"/>
  <c r="AE94"/>
  <c r="AF94" s="1"/>
  <c r="AC94"/>
  <c r="L96" i="15"/>
  <c r="N96"/>
  <c r="Q96"/>
  <c r="O96"/>
  <c r="M96"/>
  <c r="K96"/>
  <c r="P96"/>
  <c r="R96"/>
  <c r="W110" i="20"/>
  <c r="AG110" s="1"/>
  <c r="S110"/>
  <c r="R110"/>
  <c r="Q110"/>
  <c r="T110"/>
  <c r="AA110" s="1"/>
  <c r="V110"/>
  <c r="U110"/>
  <c r="AB110" s="1"/>
  <c r="P110"/>
  <c r="L110"/>
  <c r="M110"/>
  <c r="K110"/>
  <c r="N110"/>
  <c r="AW110"/>
  <c r="AC110"/>
  <c r="AX110"/>
  <c r="AE110"/>
  <c r="AF110" s="1"/>
  <c r="P112" i="15"/>
  <c r="R112"/>
  <c r="L112"/>
  <c r="N112"/>
  <c r="Q112"/>
  <c r="O112"/>
  <c r="M112"/>
  <c r="K112"/>
  <c r="W126" i="20"/>
  <c r="AG126" s="1"/>
  <c r="T126"/>
  <c r="R126"/>
  <c r="U126"/>
  <c r="AB126" s="1"/>
  <c r="Q126"/>
  <c r="V126"/>
  <c r="S126"/>
  <c r="L126"/>
  <c r="P126"/>
  <c r="M126"/>
  <c r="K126"/>
  <c r="AE126"/>
  <c r="AF126" s="1"/>
  <c r="AC126"/>
  <c r="AA126"/>
  <c r="AW126"/>
  <c r="AX126"/>
  <c r="N126"/>
  <c r="P128" i="15"/>
  <c r="R128"/>
  <c r="L128"/>
  <c r="N128"/>
  <c r="Q128"/>
  <c r="O128"/>
  <c r="M128"/>
  <c r="K128"/>
  <c r="T13" i="20"/>
  <c r="P13"/>
  <c r="U13"/>
  <c r="Q13"/>
  <c r="R13" s="1"/>
  <c r="L13"/>
  <c r="M13"/>
  <c r="N13"/>
  <c r="W29"/>
  <c r="AG29" s="1"/>
  <c r="T29"/>
  <c r="AA29" s="1"/>
  <c r="U29"/>
  <c r="AB29" s="1"/>
  <c r="P29"/>
  <c r="V29"/>
  <c r="R29"/>
  <c r="Q29"/>
  <c r="Y29" s="1"/>
  <c r="S29"/>
  <c r="K29"/>
  <c r="L29"/>
  <c r="M29"/>
  <c r="AE29"/>
  <c r="AF29" s="1"/>
  <c r="AW29"/>
  <c r="AX29"/>
  <c r="AC29"/>
  <c r="N29"/>
  <c r="N31" i="15"/>
  <c r="L31"/>
  <c r="O31"/>
  <c r="Q31"/>
  <c r="K31"/>
  <c r="M31"/>
  <c r="R31"/>
  <c r="P31"/>
  <c r="W45" i="20"/>
  <c r="AG45" s="1"/>
  <c r="T45"/>
  <c r="AA45" s="1"/>
  <c r="U45"/>
  <c r="P45"/>
  <c r="V45"/>
  <c r="R45"/>
  <c r="Q45"/>
  <c r="Y45" s="1"/>
  <c r="S45"/>
  <c r="L45"/>
  <c r="M45"/>
  <c r="K45"/>
  <c r="AW45"/>
  <c r="AC45"/>
  <c r="N45"/>
  <c r="AX45"/>
  <c r="AE45"/>
  <c r="AF45" s="1"/>
  <c r="AB45"/>
  <c r="N47" i="15"/>
  <c r="L47"/>
  <c r="O47"/>
  <c r="Q47"/>
  <c r="K47"/>
  <c r="M47"/>
  <c r="R47"/>
  <c r="P47"/>
  <c r="N51"/>
  <c r="L51"/>
  <c r="O51"/>
  <c r="Q51"/>
  <c r="K51"/>
  <c r="M51"/>
  <c r="R51"/>
  <c r="P51"/>
  <c r="N55"/>
  <c r="L55"/>
  <c r="O55"/>
  <c r="Q55"/>
  <c r="K55"/>
  <c r="M55"/>
  <c r="R55"/>
  <c r="P55"/>
  <c r="W69" i="20"/>
  <c r="AG69" s="1"/>
  <c r="U69"/>
  <c r="V69"/>
  <c r="R69"/>
  <c r="Q69"/>
  <c r="S69"/>
  <c r="T69"/>
  <c r="P69"/>
  <c r="M69"/>
  <c r="L69"/>
  <c r="K69"/>
  <c r="AE69"/>
  <c r="AF69" s="1"/>
  <c r="AW69"/>
  <c r="AX69"/>
  <c r="AA69"/>
  <c r="N69"/>
  <c r="AC69"/>
  <c r="AB69"/>
  <c r="N71" i="15"/>
  <c r="L71"/>
  <c r="O71"/>
  <c r="Q71"/>
  <c r="K71"/>
  <c r="M71"/>
  <c r="R71"/>
  <c r="P71"/>
  <c r="W85" i="20"/>
  <c r="AG85" s="1"/>
  <c r="V85"/>
  <c r="R85"/>
  <c r="Q85"/>
  <c r="S85"/>
  <c r="T85"/>
  <c r="AA85" s="1"/>
  <c r="U85"/>
  <c r="AB85" s="1"/>
  <c r="P85"/>
  <c r="L85"/>
  <c r="M85"/>
  <c r="K85"/>
  <c r="AE85"/>
  <c r="AF85" s="1"/>
  <c r="N85"/>
  <c r="AW85"/>
  <c r="AC85"/>
  <c r="AX85"/>
  <c r="L87" i="15"/>
  <c r="N87"/>
  <c r="Q87"/>
  <c r="O87"/>
  <c r="M87"/>
  <c r="K87"/>
  <c r="P87"/>
  <c r="R87"/>
  <c r="S101" i="20"/>
  <c r="W101"/>
  <c r="AG101" s="1"/>
  <c r="V101"/>
  <c r="R101"/>
  <c r="Q101"/>
  <c r="T101"/>
  <c r="AA101" s="1"/>
  <c r="U101"/>
  <c r="AB101" s="1"/>
  <c r="P101"/>
  <c r="M101"/>
  <c r="L101"/>
  <c r="K101"/>
  <c r="AX101"/>
  <c r="N101"/>
  <c r="AC101"/>
  <c r="AE101"/>
  <c r="AF101" s="1"/>
  <c r="AW101"/>
  <c r="L103" i="15"/>
  <c r="N103"/>
  <c r="Q103"/>
  <c r="O103"/>
  <c r="M103"/>
  <c r="K103"/>
  <c r="P103"/>
  <c r="R103"/>
  <c r="S117" i="20"/>
  <c r="W117"/>
  <c r="AG117" s="1"/>
  <c r="U117"/>
  <c r="AB117" s="1"/>
  <c r="V117"/>
  <c r="R117"/>
  <c r="Q117"/>
  <c r="T117"/>
  <c r="AA117" s="1"/>
  <c r="P117"/>
  <c r="M117"/>
  <c r="L117"/>
  <c r="K117"/>
  <c r="AW117"/>
  <c r="AC117"/>
  <c r="AX117"/>
  <c r="AE117"/>
  <c r="AF117" s="1"/>
  <c r="N117"/>
  <c r="L119" i="15"/>
  <c r="N119"/>
  <c r="Q119"/>
  <c r="O119"/>
  <c r="M119"/>
  <c r="K119"/>
  <c r="P119"/>
  <c r="R119"/>
  <c r="S133" i="20"/>
  <c r="W133"/>
  <c r="AG133" s="1"/>
  <c r="V133"/>
  <c r="R133"/>
  <c r="Q133"/>
  <c r="T133"/>
  <c r="AA133" s="1"/>
  <c r="U133"/>
  <c r="AB133" s="1"/>
  <c r="P133"/>
  <c r="M133"/>
  <c r="L133"/>
  <c r="K133"/>
  <c r="AE133"/>
  <c r="AF133" s="1"/>
  <c r="AW133"/>
  <c r="AX133"/>
  <c r="N133"/>
  <c r="AC133"/>
  <c r="L135" i="15"/>
  <c r="N135"/>
  <c r="Q135"/>
  <c r="O135"/>
  <c r="M135"/>
  <c r="K135"/>
  <c r="P135"/>
  <c r="R135"/>
  <c r="W148" i="20"/>
  <c r="AG148" s="1"/>
  <c r="T148"/>
  <c r="V148"/>
  <c r="R148"/>
  <c r="U148"/>
  <c r="S148"/>
  <c r="P148"/>
  <c r="N148"/>
  <c r="K148"/>
  <c r="Q148"/>
  <c r="L148"/>
  <c r="AE148"/>
  <c r="AF148" s="1"/>
  <c r="AW148"/>
  <c r="AA148"/>
  <c r="AX148"/>
  <c r="AC148"/>
  <c r="AB148"/>
  <c r="M148"/>
  <c r="L150" i="15"/>
  <c r="N150"/>
  <c r="Q150"/>
  <c r="O150"/>
  <c r="M150"/>
  <c r="K150"/>
  <c r="P150"/>
  <c r="R150"/>
  <c r="W164" i="20"/>
  <c r="AG164" s="1"/>
  <c r="T164"/>
  <c r="AA164" s="1"/>
  <c r="V164"/>
  <c r="R164"/>
  <c r="U164"/>
  <c r="AB164" s="1"/>
  <c r="S164"/>
  <c r="P164"/>
  <c r="N164"/>
  <c r="K164"/>
  <c r="Q164"/>
  <c r="L164"/>
  <c r="AX164"/>
  <c r="AE164"/>
  <c r="AF164" s="1"/>
  <c r="AC164"/>
  <c r="M164"/>
  <c r="AW164"/>
  <c r="L166" i="15"/>
  <c r="N166"/>
  <c r="Q166"/>
  <c r="O166"/>
  <c r="M166"/>
  <c r="K166"/>
  <c r="P166"/>
  <c r="R166"/>
  <c r="W180" i="20"/>
  <c r="AG180" s="1"/>
  <c r="T180"/>
  <c r="AA180" s="1"/>
  <c r="V180"/>
  <c r="R180"/>
  <c r="U180"/>
  <c r="S180"/>
  <c r="P180"/>
  <c r="N180"/>
  <c r="K180"/>
  <c r="Q180"/>
  <c r="L180"/>
  <c r="AW180"/>
  <c r="AX180"/>
  <c r="AC180"/>
  <c r="M180"/>
  <c r="AE180"/>
  <c r="AF180" s="1"/>
  <c r="AB180"/>
  <c r="L182" i="15"/>
  <c r="N182"/>
  <c r="Q182"/>
  <c r="O182"/>
  <c r="M182"/>
  <c r="K182"/>
  <c r="P182"/>
  <c r="R182"/>
  <c r="W196" i="20"/>
  <c r="AG196" s="1"/>
  <c r="T196"/>
  <c r="AA196" s="1"/>
  <c r="V196"/>
  <c r="R196"/>
  <c r="U196"/>
  <c r="AB196" s="1"/>
  <c r="S196"/>
  <c r="P196"/>
  <c r="N196"/>
  <c r="K196"/>
  <c r="Q196"/>
  <c r="L196"/>
  <c r="AC196"/>
  <c r="M196"/>
  <c r="AW196"/>
  <c r="AX196"/>
  <c r="AE196"/>
  <c r="AF196" s="1"/>
  <c r="Q198" i="15"/>
  <c r="M198"/>
  <c r="N198"/>
  <c r="K198"/>
  <c r="P198"/>
  <c r="O198"/>
  <c r="L198"/>
  <c r="R198"/>
  <c r="U147" i="20"/>
  <c r="W147"/>
  <c r="AG147" s="1"/>
  <c r="S147"/>
  <c r="V147"/>
  <c r="T147"/>
  <c r="AA147" s="1"/>
  <c r="R147"/>
  <c r="P147"/>
  <c r="Q147"/>
  <c r="N147"/>
  <c r="K147"/>
  <c r="M147"/>
  <c r="AX147"/>
  <c r="AC147"/>
  <c r="AW147"/>
  <c r="L147"/>
  <c r="AE147"/>
  <c r="AF147" s="1"/>
  <c r="AB147"/>
  <c r="Q149" i="15"/>
  <c r="O149"/>
  <c r="M149"/>
  <c r="K149"/>
  <c r="P149"/>
  <c r="R149"/>
  <c r="L149"/>
  <c r="N149"/>
  <c r="U163" i="20"/>
  <c r="AB163" s="1"/>
  <c r="W163"/>
  <c r="AG163" s="1"/>
  <c r="S163"/>
  <c r="V163"/>
  <c r="T163"/>
  <c r="R163"/>
  <c r="P163"/>
  <c r="Q163"/>
  <c r="N163"/>
  <c r="K163"/>
  <c r="M163"/>
  <c r="AE163"/>
  <c r="AF163" s="1"/>
  <c r="AA163"/>
  <c r="AX163"/>
  <c r="L163"/>
  <c r="AW163"/>
  <c r="AC163"/>
  <c r="Q165" i="15"/>
  <c r="O165"/>
  <c r="M165"/>
  <c r="K165"/>
  <c r="P165"/>
  <c r="R165"/>
  <c r="L165"/>
  <c r="N165"/>
  <c r="U179" i="20"/>
  <c r="AB179" s="1"/>
  <c r="W179"/>
  <c r="AG179" s="1"/>
  <c r="S179"/>
  <c r="V179"/>
  <c r="T179"/>
  <c r="R179"/>
  <c r="K179"/>
  <c r="P179"/>
  <c r="Q179"/>
  <c r="Y179" s="1"/>
  <c r="N179"/>
  <c r="M179"/>
  <c r="AW179"/>
  <c r="L179"/>
  <c r="AE179"/>
  <c r="AF179" s="1"/>
  <c r="AX179"/>
  <c r="AC179"/>
  <c r="AA179"/>
  <c r="Q181" i="15"/>
  <c r="O181"/>
  <c r="M181"/>
  <c r="K181"/>
  <c r="P181"/>
  <c r="R181"/>
  <c r="L181"/>
  <c r="N181"/>
  <c r="U195" i="20"/>
  <c r="AB195" s="1"/>
  <c r="W195"/>
  <c r="AG195" s="1"/>
  <c r="S195"/>
  <c r="V195"/>
  <c r="T195"/>
  <c r="AA195" s="1"/>
  <c r="R195"/>
  <c r="P195"/>
  <c r="Q195"/>
  <c r="N195"/>
  <c r="M195"/>
  <c r="K195"/>
  <c r="AW195"/>
  <c r="AC195"/>
  <c r="AE195"/>
  <c r="AF195" s="1"/>
  <c r="AX195"/>
  <c r="L195"/>
  <c r="Q197" i="15"/>
  <c r="O197"/>
  <c r="M197"/>
  <c r="K197"/>
  <c r="P197"/>
  <c r="R197"/>
  <c r="L197"/>
  <c r="N197"/>
  <c r="W142" i="20"/>
  <c r="AG142" s="1"/>
  <c r="T142"/>
  <c r="U142"/>
  <c r="AB142" s="1"/>
  <c r="R142"/>
  <c r="Q142"/>
  <c r="Y142" s="1"/>
  <c r="S142"/>
  <c r="V142"/>
  <c r="L142"/>
  <c r="P142"/>
  <c r="M142"/>
  <c r="K142"/>
  <c r="AX142"/>
  <c r="AE142"/>
  <c r="AF142" s="1"/>
  <c r="AA142"/>
  <c r="N142"/>
  <c r="AW142"/>
  <c r="AC142"/>
  <c r="P144" i="15"/>
  <c r="R144"/>
  <c r="L144"/>
  <c r="N144"/>
  <c r="Q144"/>
  <c r="O144"/>
  <c r="M144"/>
  <c r="K144"/>
  <c r="W158" i="20"/>
  <c r="AG158" s="1"/>
  <c r="T158"/>
  <c r="AA158" s="1"/>
  <c r="R158"/>
  <c r="S158"/>
  <c r="Q158"/>
  <c r="V158"/>
  <c r="U158"/>
  <c r="AB158" s="1"/>
  <c r="P158"/>
  <c r="M158"/>
  <c r="K158"/>
  <c r="L158"/>
  <c r="AW158"/>
  <c r="AX158"/>
  <c r="N158"/>
  <c r="AE158"/>
  <c r="AF158" s="1"/>
  <c r="AC158"/>
  <c r="P160" i="15"/>
  <c r="R160"/>
  <c r="L160"/>
  <c r="N160"/>
  <c r="Q160"/>
  <c r="O160"/>
  <c r="M160"/>
  <c r="K160"/>
  <c r="W174" i="20"/>
  <c r="AG174" s="1"/>
  <c r="T174"/>
  <c r="AA174" s="1"/>
  <c r="R174"/>
  <c r="S174"/>
  <c r="Q174"/>
  <c r="V174"/>
  <c r="U174"/>
  <c r="AB174" s="1"/>
  <c r="P174"/>
  <c r="M174"/>
  <c r="K174"/>
  <c r="L174"/>
  <c r="N174"/>
  <c r="AW174"/>
  <c r="AC174"/>
  <c r="AX174"/>
  <c r="AE174"/>
  <c r="AF174" s="1"/>
  <c r="P176" i="15"/>
  <c r="R176"/>
  <c r="L176"/>
  <c r="N176"/>
  <c r="Q176"/>
  <c r="O176"/>
  <c r="M176"/>
  <c r="K176"/>
  <c r="W190" i="20"/>
  <c r="AG190" s="1"/>
  <c r="T190"/>
  <c r="R190"/>
  <c r="S190"/>
  <c r="Q190"/>
  <c r="V190"/>
  <c r="U190"/>
  <c r="K190"/>
  <c r="P190"/>
  <c r="M190"/>
  <c r="L190"/>
  <c r="AE190"/>
  <c r="AF190" s="1"/>
  <c r="AC190"/>
  <c r="AA190"/>
  <c r="AB190"/>
  <c r="AW190"/>
  <c r="AX190"/>
  <c r="N190"/>
  <c r="P192" i="15"/>
  <c r="R192"/>
  <c r="L192"/>
  <c r="N192"/>
  <c r="Q192"/>
  <c r="O192"/>
  <c r="M192"/>
  <c r="K192"/>
  <c r="K206" i="20"/>
  <c r="N206"/>
  <c r="V206"/>
  <c r="L206"/>
  <c r="T206"/>
  <c r="R206"/>
  <c r="P206"/>
  <c r="AC206"/>
  <c r="AA206"/>
  <c r="M206"/>
  <c r="AE206"/>
  <c r="AF206" s="1"/>
  <c r="Q206"/>
  <c r="S206"/>
  <c r="U206"/>
  <c r="AB206" s="1"/>
  <c r="W206"/>
  <c r="AG206" s="1"/>
  <c r="S149"/>
  <c r="W149"/>
  <c r="AG149" s="1"/>
  <c r="T149"/>
  <c r="AA149" s="1"/>
  <c r="V149"/>
  <c r="R149"/>
  <c r="Q149"/>
  <c r="U149"/>
  <c r="AB149" s="1"/>
  <c r="P149"/>
  <c r="M149"/>
  <c r="L149"/>
  <c r="K149"/>
  <c r="AE149"/>
  <c r="AF149" s="1"/>
  <c r="N149"/>
  <c r="AW149"/>
  <c r="AC149"/>
  <c r="AX149"/>
  <c r="L151" i="15"/>
  <c r="N151"/>
  <c r="Q151"/>
  <c r="O151"/>
  <c r="M151"/>
  <c r="K151"/>
  <c r="P151"/>
  <c r="R151"/>
  <c r="S165" i="20"/>
  <c r="W165"/>
  <c r="AG165" s="1"/>
  <c r="T165"/>
  <c r="AA165" s="1"/>
  <c r="V165"/>
  <c r="R165"/>
  <c r="Q165"/>
  <c r="U165"/>
  <c r="AB165" s="1"/>
  <c r="P165"/>
  <c r="M165"/>
  <c r="L165"/>
  <c r="K165"/>
  <c r="AX165"/>
  <c r="N165"/>
  <c r="AC165"/>
  <c r="AE165"/>
  <c r="AF165" s="1"/>
  <c r="AW165"/>
  <c r="L167" i="15"/>
  <c r="N167"/>
  <c r="Q167"/>
  <c r="O167"/>
  <c r="M167"/>
  <c r="K167"/>
  <c r="P167"/>
  <c r="R167"/>
  <c r="S181" i="20"/>
  <c r="W181"/>
  <c r="AG181" s="1"/>
  <c r="T181"/>
  <c r="AA181" s="1"/>
  <c r="V181"/>
  <c r="R181"/>
  <c r="Q181"/>
  <c r="U181"/>
  <c r="AB181" s="1"/>
  <c r="P181"/>
  <c r="M181"/>
  <c r="L181"/>
  <c r="K181"/>
  <c r="AW181"/>
  <c r="AC181"/>
  <c r="AX181"/>
  <c r="AE181"/>
  <c r="AF181" s="1"/>
  <c r="N181"/>
  <c r="L183" i="15"/>
  <c r="N183"/>
  <c r="Q183"/>
  <c r="O183"/>
  <c r="M183"/>
  <c r="K183"/>
  <c r="P183"/>
  <c r="R183"/>
  <c r="S197" i="20"/>
  <c r="W197"/>
  <c r="AG197" s="1"/>
  <c r="T197"/>
  <c r="V197"/>
  <c r="R197"/>
  <c r="Q197"/>
  <c r="U197"/>
  <c r="AB197" s="1"/>
  <c r="P197"/>
  <c r="M197"/>
  <c r="L197"/>
  <c r="K197"/>
  <c r="AE197"/>
  <c r="AF197" s="1"/>
  <c r="AW197"/>
  <c r="AX197"/>
  <c r="AA197"/>
  <c r="N197"/>
  <c r="AC197"/>
  <c r="Q199" i="15"/>
  <c r="N199"/>
  <c r="P199"/>
  <c r="K199"/>
  <c r="L199"/>
  <c r="M199"/>
  <c r="R199"/>
  <c r="O199"/>
  <c r="GS45" i="9"/>
  <c r="GS177"/>
  <c r="GS44"/>
  <c r="GS66"/>
  <c r="GS75"/>
  <c r="GS87"/>
  <c r="GS97"/>
  <c r="GS167"/>
  <c r="U12" i="20"/>
  <c r="T12"/>
  <c r="P12"/>
  <c r="N12"/>
  <c r="L12"/>
  <c r="Q12"/>
  <c r="M12"/>
  <c r="P16"/>
  <c r="U16"/>
  <c r="AB16" s="1"/>
  <c r="T16"/>
  <c r="Q16"/>
  <c r="L16"/>
  <c r="N16"/>
  <c r="M16"/>
  <c r="O18" i="15"/>
  <c r="Q18"/>
  <c r="K18"/>
  <c r="M18"/>
  <c r="R18"/>
  <c r="P18"/>
  <c r="N18"/>
  <c r="L18"/>
  <c r="W32" i="20"/>
  <c r="AG32" s="1"/>
  <c r="V32"/>
  <c r="P32"/>
  <c r="U32"/>
  <c r="S32"/>
  <c r="T32"/>
  <c r="R32"/>
  <c r="Q32"/>
  <c r="Y32" s="1"/>
  <c r="K32"/>
  <c r="L32"/>
  <c r="N32"/>
  <c r="M32"/>
  <c r="AW32"/>
  <c r="AA32"/>
  <c r="AX32"/>
  <c r="AB32"/>
  <c r="AE32"/>
  <c r="AF32" s="1"/>
  <c r="AC32"/>
  <c r="O34" i="15"/>
  <c r="Q34"/>
  <c r="K34"/>
  <c r="M34"/>
  <c r="R34"/>
  <c r="P34"/>
  <c r="N34"/>
  <c r="L34"/>
  <c r="W48" i="20"/>
  <c r="AG48" s="1"/>
  <c r="V48"/>
  <c r="P48"/>
  <c r="U48"/>
  <c r="AB48" s="1"/>
  <c r="S48"/>
  <c r="T48"/>
  <c r="AA48" s="1"/>
  <c r="R48"/>
  <c r="Q48"/>
  <c r="Y48" s="1"/>
  <c r="K48"/>
  <c r="L48"/>
  <c r="N48"/>
  <c r="AW48"/>
  <c r="AC48"/>
  <c r="AX48"/>
  <c r="M48"/>
  <c r="AE48"/>
  <c r="AF48" s="1"/>
  <c r="O50" i="15"/>
  <c r="Q50"/>
  <c r="K50"/>
  <c r="M50"/>
  <c r="R50"/>
  <c r="P50"/>
  <c r="N50"/>
  <c r="L50"/>
  <c r="W64" i="20"/>
  <c r="AG64" s="1"/>
  <c r="V64"/>
  <c r="S64"/>
  <c r="K64"/>
  <c r="L64"/>
  <c r="T64"/>
  <c r="AA64" s="1"/>
  <c r="AX64"/>
  <c r="Q64"/>
  <c r="R64"/>
  <c r="AE64"/>
  <c r="AF64" s="1"/>
  <c r="U64"/>
  <c r="AB64" s="1"/>
  <c r="M64"/>
  <c r="P64"/>
  <c r="N64"/>
  <c r="AW64"/>
  <c r="AC64"/>
  <c r="O66" i="15"/>
  <c r="Q66"/>
  <c r="K66"/>
  <c r="M66"/>
  <c r="R66"/>
  <c r="P66"/>
  <c r="N66"/>
  <c r="L66"/>
  <c r="U80" i="20"/>
  <c r="AB80" s="1"/>
  <c r="W80"/>
  <c r="AG80" s="1"/>
  <c r="V80"/>
  <c r="T80"/>
  <c r="AA80" s="1"/>
  <c r="K80"/>
  <c r="S80"/>
  <c r="Q80"/>
  <c r="R80"/>
  <c r="AW80"/>
  <c r="AX80"/>
  <c r="M80"/>
  <c r="P80"/>
  <c r="N80"/>
  <c r="AE80"/>
  <c r="AF80" s="1"/>
  <c r="AC80"/>
  <c r="L80"/>
  <c r="Q82" i="15"/>
  <c r="O82"/>
  <c r="M82"/>
  <c r="K82"/>
  <c r="P82"/>
  <c r="R82"/>
  <c r="L82"/>
  <c r="N82"/>
  <c r="U96" i="20"/>
  <c r="V96"/>
  <c r="K96"/>
  <c r="T96"/>
  <c r="AA96" s="1"/>
  <c r="M96"/>
  <c r="P96"/>
  <c r="W96"/>
  <c r="AG96" s="1"/>
  <c r="N96"/>
  <c r="AW96"/>
  <c r="AC96"/>
  <c r="S96"/>
  <c r="L96"/>
  <c r="AX96"/>
  <c r="Q96"/>
  <c r="R96"/>
  <c r="AE96"/>
  <c r="AF96" s="1"/>
  <c r="AB96"/>
  <c r="L98" i="15"/>
  <c r="N98"/>
  <c r="Q98"/>
  <c r="O98"/>
  <c r="M98"/>
  <c r="K98"/>
  <c r="P98"/>
  <c r="R98"/>
  <c r="W112" i="20"/>
  <c r="AG112" s="1"/>
  <c r="V112"/>
  <c r="K112"/>
  <c r="P112"/>
  <c r="N112"/>
  <c r="AE112"/>
  <c r="AF112" s="1"/>
  <c r="AC112"/>
  <c r="L112"/>
  <c r="U112"/>
  <c r="AB112" s="1"/>
  <c r="Q112"/>
  <c r="R112"/>
  <c r="AW112"/>
  <c r="T112"/>
  <c r="AA112" s="1"/>
  <c r="S112"/>
  <c r="AX112"/>
  <c r="M112"/>
  <c r="L114" i="15"/>
  <c r="N114"/>
  <c r="Q114"/>
  <c r="O114"/>
  <c r="M114"/>
  <c r="K114"/>
  <c r="P114"/>
  <c r="R114"/>
  <c r="U128" i="20"/>
  <c r="W128"/>
  <c r="AG128" s="1"/>
  <c r="V128"/>
  <c r="S128"/>
  <c r="K128"/>
  <c r="L128"/>
  <c r="AX128"/>
  <c r="Q128"/>
  <c r="R128"/>
  <c r="AE128"/>
  <c r="AF128" s="1"/>
  <c r="T128"/>
  <c r="AA128" s="1"/>
  <c r="M128"/>
  <c r="P128"/>
  <c r="N128"/>
  <c r="AW128"/>
  <c r="AC128"/>
  <c r="AB128"/>
  <c r="L130" i="15"/>
  <c r="N130"/>
  <c r="Q130"/>
  <c r="O130"/>
  <c r="M130"/>
  <c r="K130"/>
  <c r="P130"/>
  <c r="R130"/>
  <c r="W27" i="20"/>
  <c r="AG27" s="1"/>
  <c r="T27"/>
  <c r="AA27" s="1"/>
  <c r="R27"/>
  <c r="U27"/>
  <c r="AB27" s="1"/>
  <c r="S27"/>
  <c r="V27"/>
  <c r="Q27"/>
  <c r="N27"/>
  <c r="K27"/>
  <c r="P27"/>
  <c r="M27"/>
  <c r="AX27"/>
  <c r="AW27"/>
  <c r="L27"/>
  <c r="AE27"/>
  <c r="AF27" s="1"/>
  <c r="AC27"/>
  <c r="R29" i="15"/>
  <c r="P29"/>
  <c r="N29"/>
  <c r="L29"/>
  <c r="O29"/>
  <c r="Q29"/>
  <c r="K29"/>
  <c r="M29"/>
  <c r="W43" i="20"/>
  <c r="AG43" s="1"/>
  <c r="T43"/>
  <c r="AA43" s="1"/>
  <c r="R43"/>
  <c r="U43"/>
  <c r="AB43" s="1"/>
  <c r="S43"/>
  <c r="V43"/>
  <c r="Q43"/>
  <c r="N43"/>
  <c r="K43"/>
  <c r="P43"/>
  <c r="M43"/>
  <c r="AC43"/>
  <c r="AW43"/>
  <c r="AE43"/>
  <c r="AF43" s="1"/>
  <c r="AX43"/>
  <c r="L43"/>
  <c r="R45" i="15"/>
  <c r="P45"/>
  <c r="N45"/>
  <c r="L45"/>
  <c r="O45"/>
  <c r="Q45"/>
  <c r="K45"/>
  <c r="M45"/>
  <c r="W59" i="20"/>
  <c r="AG59" s="1"/>
  <c r="S59"/>
  <c r="T59"/>
  <c r="AA59" s="1"/>
  <c r="R59"/>
  <c r="U59"/>
  <c r="AB59" s="1"/>
  <c r="V59"/>
  <c r="Q59"/>
  <c r="N59"/>
  <c r="K59"/>
  <c r="P59"/>
  <c r="M59"/>
  <c r="AW59"/>
  <c r="AE59"/>
  <c r="AF59" s="1"/>
  <c r="L59"/>
  <c r="AX59"/>
  <c r="AC59"/>
  <c r="R61" i="15"/>
  <c r="P61"/>
  <c r="N61"/>
  <c r="L61"/>
  <c r="O61"/>
  <c r="Q61"/>
  <c r="K61"/>
  <c r="M61"/>
  <c r="W75" i="20"/>
  <c r="AG75" s="1"/>
  <c r="T75"/>
  <c r="AA75" s="1"/>
  <c r="R75"/>
  <c r="U75"/>
  <c r="AB75" s="1"/>
  <c r="V75"/>
  <c r="S75"/>
  <c r="Q75"/>
  <c r="N75"/>
  <c r="K75"/>
  <c r="M75"/>
  <c r="P75"/>
  <c r="L75"/>
  <c r="AW75"/>
  <c r="AC75"/>
  <c r="AE75"/>
  <c r="AF75" s="1"/>
  <c r="AX75"/>
  <c r="R77" i="15"/>
  <c r="P77"/>
  <c r="N77"/>
  <c r="L77"/>
  <c r="O77"/>
  <c r="Q77"/>
  <c r="K77"/>
  <c r="M77"/>
  <c r="W91" i="20"/>
  <c r="AG91" s="1"/>
  <c r="R91"/>
  <c r="U91"/>
  <c r="S91"/>
  <c r="V91"/>
  <c r="T91"/>
  <c r="Q91"/>
  <c r="Y91" s="1"/>
  <c r="N91"/>
  <c r="K91"/>
  <c r="M91"/>
  <c r="P91"/>
  <c r="AX91"/>
  <c r="AC91"/>
  <c r="AA91"/>
  <c r="AB91"/>
  <c r="AW91"/>
  <c r="AE91"/>
  <c r="AF91" s="1"/>
  <c r="L91"/>
  <c r="P93" i="15"/>
  <c r="R93"/>
  <c r="L93"/>
  <c r="N93"/>
  <c r="Q93"/>
  <c r="O93"/>
  <c r="M93"/>
  <c r="K93"/>
  <c r="W107" i="20"/>
  <c r="AG107" s="1"/>
  <c r="U107"/>
  <c r="AB107" s="1"/>
  <c r="S107"/>
  <c r="R107"/>
  <c r="T107"/>
  <c r="AA107" s="1"/>
  <c r="V107"/>
  <c r="Q107"/>
  <c r="M107"/>
  <c r="N107"/>
  <c r="K107"/>
  <c r="P107"/>
  <c r="AE107"/>
  <c r="AF107" s="1"/>
  <c r="AX107"/>
  <c r="L107"/>
  <c r="AW107"/>
  <c r="AC107"/>
  <c r="Q109" i="15"/>
  <c r="O109"/>
  <c r="M109"/>
  <c r="K109"/>
  <c r="P109"/>
  <c r="R109"/>
  <c r="L109"/>
  <c r="N109"/>
  <c r="W123" i="20"/>
  <c r="AG123" s="1"/>
  <c r="U123"/>
  <c r="AB123" s="1"/>
  <c r="S123"/>
  <c r="T123"/>
  <c r="AA123" s="1"/>
  <c r="R123"/>
  <c r="V123"/>
  <c r="Q123"/>
  <c r="N123"/>
  <c r="K123"/>
  <c r="P123"/>
  <c r="M123"/>
  <c r="AW123"/>
  <c r="AE123"/>
  <c r="AF123" s="1"/>
  <c r="L123"/>
  <c r="AX123"/>
  <c r="AC123"/>
  <c r="Q125" i="15"/>
  <c r="O125"/>
  <c r="M125"/>
  <c r="K125"/>
  <c r="P125"/>
  <c r="R125"/>
  <c r="L125"/>
  <c r="N125"/>
  <c r="U18" i="20"/>
  <c r="AB18" s="1"/>
  <c r="T18"/>
  <c r="Q18"/>
  <c r="L18"/>
  <c r="M18"/>
  <c r="P18"/>
  <c r="N18"/>
  <c r="N20" i="15"/>
  <c r="L20"/>
  <c r="O20"/>
  <c r="Q20"/>
  <c r="K20"/>
  <c r="M20"/>
  <c r="R20"/>
  <c r="P20"/>
  <c r="W34" i="20"/>
  <c r="AG34" s="1"/>
  <c r="V34"/>
  <c r="U34"/>
  <c r="AB34" s="1"/>
  <c r="R34"/>
  <c r="S34"/>
  <c r="T34"/>
  <c r="AA34" s="1"/>
  <c r="Q34"/>
  <c r="Y34" s="1"/>
  <c r="L34"/>
  <c r="K34"/>
  <c r="M34"/>
  <c r="P34"/>
  <c r="AW34"/>
  <c r="AX34"/>
  <c r="N34"/>
  <c r="AE34"/>
  <c r="AF34" s="1"/>
  <c r="AC34"/>
  <c r="N36" i="15"/>
  <c r="L36"/>
  <c r="O36"/>
  <c r="Q36"/>
  <c r="K36"/>
  <c r="M36"/>
  <c r="R36"/>
  <c r="P36"/>
  <c r="W50" i="20"/>
  <c r="AG50" s="1"/>
  <c r="V50"/>
  <c r="U50"/>
  <c r="AB50" s="1"/>
  <c r="R50"/>
  <c r="S50"/>
  <c r="T50"/>
  <c r="AA50" s="1"/>
  <c r="Q50"/>
  <c r="Y50" s="1"/>
  <c r="L50"/>
  <c r="M50"/>
  <c r="K50"/>
  <c r="P50"/>
  <c r="AW50"/>
  <c r="AC50"/>
  <c r="AX50"/>
  <c r="AE50"/>
  <c r="AF50" s="1"/>
  <c r="N50"/>
  <c r="N52" i="15"/>
  <c r="L52"/>
  <c r="O52"/>
  <c r="Q52"/>
  <c r="K52"/>
  <c r="M52"/>
  <c r="R52"/>
  <c r="P52"/>
  <c r="W66" i="20"/>
  <c r="AG66" s="1"/>
  <c r="V66"/>
  <c r="S66"/>
  <c r="R66"/>
  <c r="T66"/>
  <c r="AA66" s="1"/>
  <c r="U66"/>
  <c r="AB66" s="1"/>
  <c r="Q66"/>
  <c r="Y66" s="1"/>
  <c r="M66"/>
  <c r="K66"/>
  <c r="P66"/>
  <c r="L66"/>
  <c r="AW66"/>
  <c r="AX66"/>
  <c r="AC66"/>
  <c r="N66"/>
  <c r="AE66"/>
  <c r="AF66" s="1"/>
  <c r="N68" i="15"/>
  <c r="L68"/>
  <c r="O68"/>
  <c r="Q68"/>
  <c r="K68"/>
  <c r="M68"/>
  <c r="R68"/>
  <c r="P68"/>
  <c r="W82" i="20"/>
  <c r="AG82" s="1"/>
  <c r="V82"/>
  <c r="S82"/>
  <c r="U82"/>
  <c r="AB82" s="1"/>
  <c r="R82"/>
  <c r="Q82"/>
  <c r="T82"/>
  <c r="AA82" s="1"/>
  <c r="M82"/>
  <c r="K82"/>
  <c r="L82"/>
  <c r="P82"/>
  <c r="AE82"/>
  <c r="AF82" s="1"/>
  <c r="AC82"/>
  <c r="N82"/>
  <c r="AW82"/>
  <c r="AX82"/>
  <c r="L84" i="15"/>
  <c r="N84"/>
  <c r="Q84"/>
  <c r="O84"/>
  <c r="M84"/>
  <c r="K84"/>
  <c r="P84"/>
  <c r="R84"/>
  <c r="W98" i="20"/>
  <c r="AG98" s="1"/>
  <c r="T98"/>
  <c r="V98"/>
  <c r="R98"/>
  <c r="Q98"/>
  <c r="U98"/>
  <c r="AB98" s="1"/>
  <c r="S98"/>
  <c r="L98"/>
  <c r="M98"/>
  <c r="K98"/>
  <c r="P98"/>
  <c r="AX98"/>
  <c r="AC98"/>
  <c r="AA98"/>
  <c r="N98"/>
  <c r="AE98"/>
  <c r="AF98" s="1"/>
  <c r="AW98"/>
  <c r="P100" i="15"/>
  <c r="R100"/>
  <c r="L100"/>
  <c r="N100"/>
  <c r="Q100"/>
  <c r="O100"/>
  <c r="M100"/>
  <c r="K100"/>
  <c r="W114" i="20"/>
  <c r="AG114" s="1"/>
  <c r="T114"/>
  <c r="AA114" s="1"/>
  <c r="V114"/>
  <c r="U114"/>
  <c r="R114"/>
  <c r="S114"/>
  <c r="Q114"/>
  <c r="L114"/>
  <c r="M114"/>
  <c r="K114"/>
  <c r="P114"/>
  <c r="AW114"/>
  <c r="AX114"/>
  <c r="AE114"/>
  <c r="AF114" s="1"/>
  <c r="AC114"/>
  <c r="AB114"/>
  <c r="N114"/>
  <c r="P116" i="15"/>
  <c r="R116"/>
  <c r="L116"/>
  <c r="N116"/>
  <c r="Q116"/>
  <c r="O116"/>
  <c r="M116"/>
  <c r="K116"/>
  <c r="W130" i="20"/>
  <c r="AG130" s="1"/>
  <c r="T130"/>
  <c r="AA130" s="1"/>
  <c r="V130"/>
  <c r="U130"/>
  <c r="AB130" s="1"/>
  <c r="S130"/>
  <c r="R130"/>
  <c r="Q130"/>
  <c r="M130"/>
  <c r="K130"/>
  <c r="P130"/>
  <c r="L130"/>
  <c r="AW130"/>
  <c r="AX130"/>
  <c r="AC130"/>
  <c r="N130"/>
  <c r="AE130"/>
  <c r="AF130" s="1"/>
  <c r="P132" i="15"/>
  <c r="R132"/>
  <c r="L132"/>
  <c r="N132"/>
  <c r="Q132"/>
  <c r="O132"/>
  <c r="M132"/>
  <c r="K132"/>
  <c r="U17" i="20"/>
  <c r="AB17" s="1"/>
  <c r="P17"/>
  <c r="T17"/>
  <c r="Q17"/>
  <c r="L17"/>
  <c r="M17"/>
  <c r="N17"/>
  <c r="N19" i="15"/>
  <c r="L19"/>
  <c r="O19"/>
  <c r="Q19"/>
  <c r="K19"/>
  <c r="M19"/>
  <c r="R19"/>
  <c r="P19"/>
  <c r="W33" i="20"/>
  <c r="AG33" s="1"/>
  <c r="S33"/>
  <c r="P33"/>
  <c r="T33"/>
  <c r="AA33" s="1"/>
  <c r="U33"/>
  <c r="V33"/>
  <c r="R33"/>
  <c r="Q33"/>
  <c r="L33"/>
  <c r="K33"/>
  <c r="M33"/>
  <c r="AW33"/>
  <c r="AB33"/>
  <c r="AX33"/>
  <c r="AC33"/>
  <c r="N33"/>
  <c r="AE33"/>
  <c r="AF33" s="1"/>
  <c r="N35" i="15"/>
  <c r="L35"/>
  <c r="O35"/>
  <c r="Q35"/>
  <c r="K35"/>
  <c r="M35"/>
  <c r="R35"/>
  <c r="P35"/>
  <c r="AT35" s="1"/>
  <c r="P32" i="11" s="1"/>
  <c r="W49" i="20"/>
  <c r="AG49" s="1"/>
  <c r="S49"/>
  <c r="P49"/>
  <c r="T49"/>
  <c r="AA49" s="1"/>
  <c r="U49"/>
  <c r="AB49" s="1"/>
  <c r="V49"/>
  <c r="R49"/>
  <c r="Q49"/>
  <c r="L49"/>
  <c r="K49"/>
  <c r="M49"/>
  <c r="AX49"/>
  <c r="AE49"/>
  <c r="AF49" s="1"/>
  <c r="AC49"/>
  <c r="N49"/>
  <c r="AW49"/>
  <c r="W53"/>
  <c r="AG53" s="1"/>
  <c r="V53"/>
  <c r="R53"/>
  <c r="Q53"/>
  <c r="S53"/>
  <c r="T53"/>
  <c r="AA53" s="1"/>
  <c r="U53"/>
  <c r="AB53" s="1"/>
  <c r="P53"/>
  <c r="M53"/>
  <c r="L53"/>
  <c r="K53"/>
  <c r="AW53"/>
  <c r="AX53"/>
  <c r="N53"/>
  <c r="AC53"/>
  <c r="AE53"/>
  <c r="AF53" s="1"/>
  <c r="W57"/>
  <c r="AG57" s="1"/>
  <c r="S57"/>
  <c r="T57"/>
  <c r="AA57" s="1"/>
  <c r="U57"/>
  <c r="AB57" s="1"/>
  <c r="P57"/>
  <c r="V57"/>
  <c r="R57"/>
  <c r="Q57"/>
  <c r="Y57" s="1"/>
  <c r="K57"/>
  <c r="L57"/>
  <c r="M57"/>
  <c r="AE57"/>
  <c r="AF57" s="1"/>
  <c r="AC57"/>
  <c r="N57"/>
  <c r="AW57"/>
  <c r="AX57"/>
  <c r="N59" i="15"/>
  <c r="L59"/>
  <c r="O59"/>
  <c r="Q59"/>
  <c r="K59"/>
  <c r="M59"/>
  <c r="R59"/>
  <c r="P59"/>
  <c r="W73" i="20"/>
  <c r="AG73" s="1"/>
  <c r="S73"/>
  <c r="P73"/>
  <c r="V73"/>
  <c r="R73"/>
  <c r="Q73"/>
  <c r="U73"/>
  <c r="AB73" s="1"/>
  <c r="T73"/>
  <c r="AA73" s="1"/>
  <c r="K73"/>
  <c r="L73"/>
  <c r="M73"/>
  <c r="AX73"/>
  <c r="AC73"/>
  <c r="N73"/>
  <c r="AE73"/>
  <c r="AF73" s="1"/>
  <c r="AW73"/>
  <c r="N75" i="15"/>
  <c r="L75"/>
  <c r="O75"/>
  <c r="Q75"/>
  <c r="K75"/>
  <c r="M75"/>
  <c r="R75"/>
  <c r="P75"/>
  <c r="W89" i="20"/>
  <c r="AG89" s="1"/>
  <c r="S89"/>
  <c r="P89"/>
  <c r="T89"/>
  <c r="AA89" s="1"/>
  <c r="U89"/>
  <c r="AB89" s="1"/>
  <c r="V89"/>
  <c r="R89"/>
  <c r="Q89"/>
  <c r="K89"/>
  <c r="M89"/>
  <c r="L89"/>
  <c r="AW89"/>
  <c r="AX89"/>
  <c r="AE89"/>
  <c r="AF89" s="1"/>
  <c r="AC89"/>
  <c r="N89"/>
  <c r="L91" i="15"/>
  <c r="N91"/>
  <c r="Q91"/>
  <c r="O91"/>
  <c r="M91"/>
  <c r="K91"/>
  <c r="P91"/>
  <c r="R91"/>
  <c r="W105" i="20"/>
  <c r="AG105" s="1"/>
  <c r="S105"/>
  <c r="U105"/>
  <c r="AB105" s="1"/>
  <c r="P105"/>
  <c r="V105"/>
  <c r="R105"/>
  <c r="Q105"/>
  <c r="Y105" s="1"/>
  <c r="T105"/>
  <c r="AA105" s="1"/>
  <c r="M105"/>
  <c r="K105"/>
  <c r="L105"/>
  <c r="AE105"/>
  <c r="AF105" s="1"/>
  <c r="AW105"/>
  <c r="AX105"/>
  <c r="AC105"/>
  <c r="N105"/>
  <c r="L107" i="15"/>
  <c r="N107"/>
  <c r="Q107"/>
  <c r="O107"/>
  <c r="M107"/>
  <c r="K107"/>
  <c r="P107"/>
  <c r="R107"/>
  <c r="S121" i="20"/>
  <c r="W121"/>
  <c r="AG121" s="1"/>
  <c r="P121"/>
  <c r="T121"/>
  <c r="V121"/>
  <c r="R121"/>
  <c r="Q121"/>
  <c r="U121"/>
  <c r="AB121" s="1"/>
  <c r="K121"/>
  <c r="L121"/>
  <c r="M121"/>
  <c r="AE121"/>
  <c r="AF121" s="1"/>
  <c r="AC121"/>
  <c r="N121"/>
  <c r="AW121"/>
  <c r="AA121"/>
  <c r="AX121"/>
  <c r="L123" i="15"/>
  <c r="N123"/>
  <c r="Q123"/>
  <c r="O123"/>
  <c r="M123"/>
  <c r="K123"/>
  <c r="P123"/>
  <c r="R123"/>
  <c r="S137" i="20"/>
  <c r="W137"/>
  <c r="AG137" s="1"/>
  <c r="T137"/>
  <c r="AA137" s="1"/>
  <c r="P137"/>
  <c r="V137"/>
  <c r="R137"/>
  <c r="Q137"/>
  <c r="U137"/>
  <c r="AB137" s="1"/>
  <c r="K137"/>
  <c r="L137"/>
  <c r="M137"/>
  <c r="AX137"/>
  <c r="AC137"/>
  <c r="N137"/>
  <c r="AE137"/>
  <c r="AF137" s="1"/>
  <c r="AW137"/>
  <c r="L138" i="15"/>
  <c r="N138"/>
  <c r="Q138"/>
  <c r="O138"/>
  <c r="M138"/>
  <c r="K138"/>
  <c r="P138"/>
  <c r="R138"/>
  <c r="T152" i="20"/>
  <c r="AA152" s="1"/>
  <c r="P152"/>
  <c r="U152"/>
  <c r="AB152" s="1"/>
  <c r="S152"/>
  <c r="V152"/>
  <c r="R152"/>
  <c r="Q152"/>
  <c r="Y152" s="1"/>
  <c r="L152"/>
  <c r="K152"/>
  <c r="N152"/>
  <c r="AW152"/>
  <c r="AX152"/>
  <c r="AC152"/>
  <c r="AE152"/>
  <c r="AF152" s="1"/>
  <c r="W152"/>
  <c r="AG152" s="1"/>
  <c r="M152"/>
  <c r="L154" i="15"/>
  <c r="N154"/>
  <c r="Q154"/>
  <c r="O154"/>
  <c r="M154"/>
  <c r="K154"/>
  <c r="P154"/>
  <c r="R154"/>
  <c r="T168" i="20"/>
  <c r="AA168" s="1"/>
  <c r="P168"/>
  <c r="U168"/>
  <c r="AB168" s="1"/>
  <c r="S168"/>
  <c r="V168"/>
  <c r="R168"/>
  <c r="Q168"/>
  <c r="Y168" s="1"/>
  <c r="L168"/>
  <c r="K168"/>
  <c r="N168"/>
  <c r="AW168"/>
  <c r="AC168"/>
  <c r="AX168"/>
  <c r="AE168"/>
  <c r="AF168" s="1"/>
  <c r="M168"/>
  <c r="W168"/>
  <c r="AG168" s="1"/>
  <c r="L170" i="15"/>
  <c r="N170"/>
  <c r="Q170"/>
  <c r="O170"/>
  <c r="M170"/>
  <c r="K170"/>
  <c r="P170"/>
  <c r="R170"/>
  <c r="T184" i="20"/>
  <c r="AA184" s="1"/>
  <c r="P184"/>
  <c r="U184"/>
  <c r="AB184" s="1"/>
  <c r="S184"/>
  <c r="V184"/>
  <c r="R184"/>
  <c r="Q184"/>
  <c r="Y184" s="1"/>
  <c r="K184"/>
  <c r="L184"/>
  <c r="N184"/>
  <c r="AW184"/>
  <c r="AX184"/>
  <c r="M184"/>
  <c r="AE184"/>
  <c r="AF184" s="1"/>
  <c r="W184"/>
  <c r="AG184" s="1"/>
  <c r="AC184"/>
  <c r="L186" i="15"/>
  <c r="N186"/>
  <c r="Q186"/>
  <c r="O186"/>
  <c r="M186"/>
  <c r="K186"/>
  <c r="P186"/>
  <c r="R186"/>
  <c r="T200" i="20"/>
  <c r="AA200" s="1"/>
  <c r="P200"/>
  <c r="U200"/>
  <c r="AB200" s="1"/>
  <c r="S200"/>
  <c r="V200"/>
  <c r="R200"/>
  <c r="Q200"/>
  <c r="Y200" s="1"/>
  <c r="K200"/>
  <c r="L200"/>
  <c r="N200"/>
  <c r="AW200"/>
  <c r="M200"/>
  <c r="AX200"/>
  <c r="AE200"/>
  <c r="AF200" s="1"/>
  <c r="AC200"/>
  <c r="W200"/>
  <c r="AG200" s="1"/>
  <c r="K202" i="15"/>
  <c r="L202"/>
  <c r="M202"/>
  <c r="Q202"/>
  <c r="R202"/>
  <c r="N202"/>
  <c r="O202"/>
  <c r="P202"/>
  <c r="Q137"/>
  <c r="O137"/>
  <c r="M137"/>
  <c r="K137"/>
  <c r="P137"/>
  <c r="R137"/>
  <c r="L137"/>
  <c r="N137"/>
  <c r="W151" i="20"/>
  <c r="AG151" s="1"/>
  <c r="U151"/>
  <c r="T151"/>
  <c r="R151"/>
  <c r="V151"/>
  <c r="S151"/>
  <c r="N151"/>
  <c r="K151"/>
  <c r="P151"/>
  <c r="M151"/>
  <c r="Q151"/>
  <c r="AX151"/>
  <c r="L151"/>
  <c r="AW151"/>
  <c r="AA151"/>
  <c r="AE151"/>
  <c r="AF151" s="1"/>
  <c r="AC151"/>
  <c r="AB151"/>
  <c r="Q153" i="15"/>
  <c r="O153"/>
  <c r="M153"/>
  <c r="K153"/>
  <c r="P153"/>
  <c r="R153"/>
  <c r="L153"/>
  <c r="N153"/>
  <c r="W167" i="20"/>
  <c r="AG167" s="1"/>
  <c r="U167"/>
  <c r="AB167" s="1"/>
  <c r="T167"/>
  <c r="AA167" s="1"/>
  <c r="R167"/>
  <c r="V167"/>
  <c r="S167"/>
  <c r="N167"/>
  <c r="K167"/>
  <c r="P167"/>
  <c r="M167"/>
  <c r="Q167"/>
  <c r="AE167"/>
  <c r="AF167" s="1"/>
  <c r="AX167"/>
  <c r="AC167"/>
  <c r="AW167"/>
  <c r="L167"/>
  <c r="Q169" i="15"/>
  <c r="O169"/>
  <c r="M169"/>
  <c r="K169"/>
  <c r="P169"/>
  <c r="R169"/>
  <c r="L169"/>
  <c r="N169"/>
  <c r="W183" i="20"/>
  <c r="AG183" s="1"/>
  <c r="U183"/>
  <c r="AB183" s="1"/>
  <c r="T183"/>
  <c r="AA183" s="1"/>
  <c r="R183"/>
  <c r="V183"/>
  <c r="S183"/>
  <c r="N183"/>
  <c r="P183"/>
  <c r="M183"/>
  <c r="Q183"/>
  <c r="Y183" s="1"/>
  <c r="K183"/>
  <c r="AW183"/>
  <c r="AE183"/>
  <c r="AF183" s="1"/>
  <c r="AC183"/>
  <c r="AX183"/>
  <c r="L183"/>
  <c r="Q185" i="15"/>
  <c r="O185"/>
  <c r="M185"/>
  <c r="K185"/>
  <c r="P185"/>
  <c r="R185"/>
  <c r="L185"/>
  <c r="N185"/>
  <c r="W199" i="20"/>
  <c r="AG199" s="1"/>
  <c r="U199"/>
  <c r="AB199" s="1"/>
  <c r="T199"/>
  <c r="AA199" s="1"/>
  <c r="R199"/>
  <c r="V199"/>
  <c r="S199"/>
  <c r="N199"/>
  <c r="P199"/>
  <c r="M199"/>
  <c r="Q199"/>
  <c r="Y199" s="1"/>
  <c r="K199"/>
  <c r="AC199"/>
  <c r="AW199"/>
  <c r="L199"/>
  <c r="AE199"/>
  <c r="AF199" s="1"/>
  <c r="AX199"/>
  <c r="M201" i="15"/>
  <c r="Q201"/>
  <c r="P201"/>
  <c r="L201"/>
  <c r="O201"/>
  <c r="R201"/>
  <c r="K201"/>
  <c r="N201"/>
  <c r="W146" i="20"/>
  <c r="AG146" s="1"/>
  <c r="T146"/>
  <c r="AA146" s="1"/>
  <c r="V146"/>
  <c r="S146"/>
  <c r="R146"/>
  <c r="U146"/>
  <c r="AB146" s="1"/>
  <c r="Q146"/>
  <c r="M146"/>
  <c r="K146"/>
  <c r="L146"/>
  <c r="P146"/>
  <c r="AE146"/>
  <c r="AF146" s="1"/>
  <c r="AC146"/>
  <c r="N146"/>
  <c r="AW146"/>
  <c r="AX146"/>
  <c r="P148" i="15"/>
  <c r="R148"/>
  <c r="L148"/>
  <c r="N148"/>
  <c r="Q148"/>
  <c r="O148"/>
  <c r="M148"/>
  <c r="K148"/>
  <c r="W162" i="20"/>
  <c r="AG162" s="1"/>
  <c r="T162"/>
  <c r="V162"/>
  <c r="S162"/>
  <c r="R162"/>
  <c r="U162"/>
  <c r="AB162" s="1"/>
  <c r="Q162"/>
  <c r="M162"/>
  <c r="K162"/>
  <c r="L162"/>
  <c r="P162"/>
  <c r="AX162"/>
  <c r="AC162"/>
  <c r="AA162"/>
  <c r="N162"/>
  <c r="AE162"/>
  <c r="AF162" s="1"/>
  <c r="AW162"/>
  <c r="P164" i="15"/>
  <c r="R164"/>
  <c r="L164"/>
  <c r="N164"/>
  <c r="Q164"/>
  <c r="O164"/>
  <c r="M164"/>
  <c r="K164"/>
  <c r="W178" i="20"/>
  <c r="AG178" s="1"/>
  <c r="T178"/>
  <c r="AA178" s="1"/>
  <c r="V178"/>
  <c r="S178"/>
  <c r="R178"/>
  <c r="U178"/>
  <c r="AB178" s="1"/>
  <c r="Q178"/>
  <c r="M178"/>
  <c r="K178"/>
  <c r="L178"/>
  <c r="P178"/>
  <c r="AW178"/>
  <c r="AX178"/>
  <c r="AE178"/>
  <c r="AF178" s="1"/>
  <c r="AC178"/>
  <c r="N178"/>
  <c r="P180" i="15"/>
  <c r="R180"/>
  <c r="L180"/>
  <c r="N180"/>
  <c r="Q180"/>
  <c r="O180"/>
  <c r="M180"/>
  <c r="K180"/>
  <c r="W194" i="20"/>
  <c r="AG194" s="1"/>
  <c r="T194"/>
  <c r="AA194" s="1"/>
  <c r="V194"/>
  <c r="S194"/>
  <c r="R194"/>
  <c r="U194"/>
  <c r="AB194" s="1"/>
  <c r="Q194"/>
  <c r="K194"/>
  <c r="M194"/>
  <c r="L194"/>
  <c r="P194"/>
  <c r="AW194"/>
  <c r="AX194"/>
  <c r="AC194"/>
  <c r="N194"/>
  <c r="AE194"/>
  <c r="AF194" s="1"/>
  <c r="P196" i="15"/>
  <c r="R196"/>
  <c r="L196"/>
  <c r="N196"/>
  <c r="Q196"/>
  <c r="O196"/>
  <c r="M196"/>
  <c r="K196"/>
  <c r="L139"/>
  <c r="N139"/>
  <c r="Q139"/>
  <c r="O139"/>
  <c r="M139"/>
  <c r="K139"/>
  <c r="P139"/>
  <c r="R139"/>
  <c r="S153" i="20"/>
  <c r="W153"/>
  <c r="AG153" s="1"/>
  <c r="P153"/>
  <c r="U153"/>
  <c r="AB153" s="1"/>
  <c r="V153"/>
  <c r="R153"/>
  <c r="Q153"/>
  <c r="T153"/>
  <c r="AA153" s="1"/>
  <c r="K153"/>
  <c r="L153"/>
  <c r="M153"/>
  <c r="AW153"/>
  <c r="AX153"/>
  <c r="AE153"/>
  <c r="AF153" s="1"/>
  <c r="AC153"/>
  <c r="N153"/>
  <c r="L155" i="15"/>
  <c r="N155"/>
  <c r="Q155"/>
  <c r="O155"/>
  <c r="M155"/>
  <c r="K155"/>
  <c r="P155"/>
  <c r="R155"/>
  <c r="S169" i="20"/>
  <c r="W169"/>
  <c r="AG169" s="1"/>
  <c r="P169"/>
  <c r="U169"/>
  <c r="AB169" s="1"/>
  <c r="V169"/>
  <c r="R169"/>
  <c r="Q169"/>
  <c r="T169"/>
  <c r="AA169" s="1"/>
  <c r="K169"/>
  <c r="L169"/>
  <c r="M169"/>
  <c r="AE169"/>
  <c r="AF169" s="1"/>
  <c r="AW169"/>
  <c r="AX169"/>
  <c r="AC169"/>
  <c r="N169"/>
  <c r="L171" i="15"/>
  <c r="N171"/>
  <c r="Q171"/>
  <c r="O171"/>
  <c r="M171"/>
  <c r="K171"/>
  <c r="P171"/>
  <c r="R171"/>
  <c r="S185" i="20"/>
  <c r="W185"/>
  <c r="AG185" s="1"/>
  <c r="P185"/>
  <c r="U185"/>
  <c r="AB185" s="1"/>
  <c r="V185"/>
  <c r="R185"/>
  <c r="Q185"/>
  <c r="T185"/>
  <c r="K185"/>
  <c r="L185"/>
  <c r="M185"/>
  <c r="AE185"/>
  <c r="AF185" s="1"/>
  <c r="AC185"/>
  <c r="N185"/>
  <c r="AW185"/>
  <c r="AA185"/>
  <c r="AX185"/>
  <c r="L187" i="15"/>
  <c r="N187"/>
  <c r="Q187"/>
  <c r="O187"/>
  <c r="M187"/>
  <c r="K187"/>
  <c r="P187"/>
  <c r="R187"/>
  <c r="S201" i="20"/>
  <c r="W201"/>
  <c r="AG201" s="1"/>
  <c r="P201"/>
  <c r="U201"/>
  <c r="AB201" s="1"/>
  <c r="V201"/>
  <c r="R201"/>
  <c r="Q201"/>
  <c r="T201"/>
  <c r="AA201" s="1"/>
  <c r="K201"/>
  <c r="L201"/>
  <c r="M201"/>
  <c r="AX201"/>
  <c r="AC201"/>
  <c r="N201"/>
  <c r="AE201"/>
  <c r="AF201" s="1"/>
  <c r="AW201"/>
  <c r="Q203" i="15"/>
  <c r="N203"/>
  <c r="K203"/>
  <c r="P203"/>
  <c r="M203"/>
  <c r="L203"/>
  <c r="R203"/>
  <c r="O203"/>
  <c r="GS39" i="9"/>
  <c r="GS55"/>
  <c r="GS85"/>
  <c r="GS92"/>
  <c r="GS95"/>
  <c r="GS117"/>
  <c r="GS129"/>
  <c r="GS142"/>
  <c r="GS149"/>
  <c r="GS155"/>
  <c r="GS172"/>
  <c r="GS185"/>
  <c r="GS194"/>
  <c r="GS206"/>
  <c r="GS54"/>
  <c r="GS59"/>
  <c r="GS106"/>
  <c r="GS112"/>
  <c r="GS134"/>
  <c r="GS162"/>
  <c r="GS173"/>
  <c r="GS183"/>
  <c r="GS195"/>
  <c r="GS41"/>
  <c r="GS53"/>
  <c r="GS60"/>
  <c r="FI193"/>
  <c r="R189" i="11"/>
  <c r="W20" i="20"/>
  <c r="AG20" s="1"/>
  <c r="U20"/>
  <c r="AB20" s="1"/>
  <c r="S20"/>
  <c r="T20"/>
  <c r="AA20" s="1"/>
  <c r="V20"/>
  <c r="P20"/>
  <c r="R20"/>
  <c r="L20"/>
  <c r="Q20"/>
  <c r="N20"/>
  <c r="K20"/>
  <c r="AE20"/>
  <c r="AF20" s="1"/>
  <c r="AW20"/>
  <c r="M20"/>
  <c r="AX20"/>
  <c r="AC20"/>
  <c r="O22" i="15"/>
  <c r="Q22"/>
  <c r="K22"/>
  <c r="M22"/>
  <c r="R22"/>
  <c r="P22"/>
  <c r="N22"/>
  <c r="L22"/>
  <c r="W36" i="20"/>
  <c r="AG36" s="1"/>
  <c r="U36"/>
  <c r="AB36" s="1"/>
  <c r="S36"/>
  <c r="T36"/>
  <c r="AA36" s="1"/>
  <c r="V36"/>
  <c r="P36"/>
  <c r="R36"/>
  <c r="L36"/>
  <c r="K36"/>
  <c r="Q36"/>
  <c r="Y36" s="1"/>
  <c r="N36"/>
  <c r="AC36"/>
  <c r="AW36"/>
  <c r="AX36"/>
  <c r="AE36"/>
  <c r="AF36" s="1"/>
  <c r="M36"/>
  <c r="O38" i="15"/>
  <c r="Q38"/>
  <c r="K38"/>
  <c r="M38"/>
  <c r="R38"/>
  <c r="P38"/>
  <c r="N38"/>
  <c r="L38"/>
  <c r="W52" i="20"/>
  <c r="AG52" s="1"/>
  <c r="U52"/>
  <c r="AB52" s="1"/>
  <c r="S52"/>
  <c r="T52"/>
  <c r="AA52" s="1"/>
  <c r="V52"/>
  <c r="P52"/>
  <c r="R52"/>
  <c r="L52"/>
  <c r="Q52"/>
  <c r="K52"/>
  <c r="N52"/>
  <c r="AW52"/>
  <c r="M52"/>
  <c r="AX52"/>
  <c r="AC52"/>
  <c r="AE52"/>
  <c r="AF52" s="1"/>
  <c r="O54" i="15"/>
  <c r="Q54"/>
  <c r="K54"/>
  <c r="M54"/>
  <c r="R54"/>
  <c r="P54"/>
  <c r="N54"/>
  <c r="L54"/>
  <c r="S68" i="20"/>
  <c r="P68"/>
  <c r="V68"/>
  <c r="R68"/>
  <c r="T68"/>
  <c r="AA68" s="1"/>
  <c r="U68"/>
  <c r="AB68" s="1"/>
  <c r="Q68"/>
  <c r="N68"/>
  <c r="K68"/>
  <c r="L68"/>
  <c r="AC68"/>
  <c r="M68"/>
  <c r="AW68"/>
  <c r="W68"/>
  <c r="AG68" s="1"/>
  <c r="AX68"/>
  <c r="AE68"/>
  <c r="AF68" s="1"/>
  <c r="O70" i="15"/>
  <c r="Q70"/>
  <c r="K70"/>
  <c r="M70"/>
  <c r="R70"/>
  <c r="P70"/>
  <c r="N70"/>
  <c r="L70"/>
  <c r="V84" i="20"/>
  <c r="R84"/>
  <c r="S84"/>
  <c r="T84"/>
  <c r="AA84" s="1"/>
  <c r="U84"/>
  <c r="AB84" s="1"/>
  <c r="P84"/>
  <c r="N84"/>
  <c r="K84"/>
  <c r="L84"/>
  <c r="Q84"/>
  <c r="AE84"/>
  <c r="AF84" s="1"/>
  <c r="W84"/>
  <c r="AG84" s="1"/>
  <c r="AW84"/>
  <c r="AX84"/>
  <c r="AC84"/>
  <c r="M84"/>
  <c r="Q86" i="15"/>
  <c r="O86"/>
  <c r="M86"/>
  <c r="K86"/>
  <c r="P86"/>
  <c r="R86"/>
  <c r="L86"/>
  <c r="N86"/>
  <c r="W100" i="20"/>
  <c r="AG100" s="1"/>
  <c r="S100"/>
  <c r="T100"/>
  <c r="AA100" s="1"/>
  <c r="R100"/>
  <c r="V100"/>
  <c r="U100"/>
  <c r="P100"/>
  <c r="L100"/>
  <c r="K100"/>
  <c r="Q100"/>
  <c r="Y100" s="1"/>
  <c r="N100"/>
  <c r="AX100"/>
  <c r="AE100"/>
  <c r="AF100" s="1"/>
  <c r="AB100"/>
  <c r="AC100"/>
  <c r="M100"/>
  <c r="AW100"/>
  <c r="L102" i="15"/>
  <c r="N102"/>
  <c r="Q102"/>
  <c r="O102"/>
  <c r="M102"/>
  <c r="K102"/>
  <c r="P102"/>
  <c r="R102"/>
  <c r="W116" i="20"/>
  <c r="AG116" s="1"/>
  <c r="U116"/>
  <c r="AB116" s="1"/>
  <c r="V116"/>
  <c r="P116"/>
  <c r="S116"/>
  <c r="T116"/>
  <c r="AA116" s="1"/>
  <c r="R116"/>
  <c r="L116"/>
  <c r="Q116"/>
  <c r="K116"/>
  <c r="N116"/>
  <c r="AW116"/>
  <c r="AX116"/>
  <c r="AC116"/>
  <c r="M116"/>
  <c r="AE116"/>
  <c r="AF116" s="1"/>
  <c r="L118" i="15"/>
  <c r="N118"/>
  <c r="Q118"/>
  <c r="O118"/>
  <c r="M118"/>
  <c r="K118"/>
  <c r="P118"/>
  <c r="R118"/>
  <c r="W132" i="20"/>
  <c r="AG132" s="1"/>
  <c r="P132"/>
  <c r="S132"/>
  <c r="V132"/>
  <c r="T132"/>
  <c r="R132"/>
  <c r="U132"/>
  <c r="AB132" s="1"/>
  <c r="Q132"/>
  <c r="N132"/>
  <c r="K132"/>
  <c r="L132"/>
  <c r="AC132"/>
  <c r="AA132"/>
  <c r="M132"/>
  <c r="AW132"/>
  <c r="AX132"/>
  <c r="AE132"/>
  <c r="AF132" s="1"/>
  <c r="L134" i="15"/>
  <c r="N134"/>
  <c r="Q134"/>
  <c r="O134"/>
  <c r="M134"/>
  <c r="K134"/>
  <c r="P134"/>
  <c r="R134"/>
  <c r="U11" i="20"/>
  <c r="AB11" s="1"/>
  <c r="T11"/>
  <c r="Q11"/>
  <c r="N11"/>
  <c r="P11"/>
  <c r="M11"/>
  <c r="L11"/>
  <c r="T15"/>
  <c r="U15"/>
  <c r="AB15" s="1"/>
  <c r="P15"/>
  <c r="Q15"/>
  <c r="M15"/>
  <c r="N15"/>
  <c r="L15"/>
  <c r="W31"/>
  <c r="AG31" s="1"/>
  <c r="V31"/>
  <c r="T31"/>
  <c r="U31"/>
  <c r="AB31" s="1"/>
  <c r="S31"/>
  <c r="R31"/>
  <c r="P31"/>
  <c r="Q31"/>
  <c r="Y31" s="1"/>
  <c r="K31"/>
  <c r="M31"/>
  <c r="N31"/>
  <c r="AX31"/>
  <c r="AC31"/>
  <c r="AW31"/>
  <c r="AA31"/>
  <c r="L31"/>
  <c r="AE31"/>
  <c r="AF31" s="1"/>
  <c r="R33" i="15"/>
  <c r="P33"/>
  <c r="N33"/>
  <c r="L33"/>
  <c r="O33"/>
  <c r="Q33"/>
  <c r="K33"/>
  <c r="M33"/>
  <c r="W47" i="20"/>
  <c r="AG47" s="1"/>
  <c r="V47"/>
  <c r="T47"/>
  <c r="AA47" s="1"/>
  <c r="U47"/>
  <c r="AB47" s="1"/>
  <c r="S47"/>
  <c r="R47"/>
  <c r="P47"/>
  <c r="Q47"/>
  <c r="K47"/>
  <c r="M47"/>
  <c r="N47"/>
  <c r="AW47"/>
  <c r="AC47"/>
  <c r="AE47"/>
  <c r="AF47" s="1"/>
  <c r="AX47"/>
  <c r="L47"/>
  <c r="R49" i="15"/>
  <c r="P49"/>
  <c r="N49"/>
  <c r="L49"/>
  <c r="O49"/>
  <c r="Q49"/>
  <c r="K49"/>
  <c r="M49"/>
  <c r="W63" i="20"/>
  <c r="AG63" s="1"/>
  <c r="V63"/>
  <c r="S63"/>
  <c r="T63"/>
  <c r="AA63" s="1"/>
  <c r="U63"/>
  <c r="AB63" s="1"/>
  <c r="R63"/>
  <c r="P63"/>
  <c r="Q63"/>
  <c r="K63"/>
  <c r="M63"/>
  <c r="N63"/>
  <c r="AX63"/>
  <c r="AW63"/>
  <c r="AE63"/>
  <c r="AF63" s="1"/>
  <c r="AC63"/>
  <c r="L63"/>
  <c r="R65" i="15"/>
  <c r="P65"/>
  <c r="N65"/>
  <c r="L65"/>
  <c r="O65"/>
  <c r="Q65"/>
  <c r="K65"/>
  <c r="M65"/>
  <c r="W79" i="20"/>
  <c r="AG79" s="1"/>
  <c r="V79"/>
  <c r="U79"/>
  <c r="AB79" s="1"/>
  <c r="S79"/>
  <c r="R79"/>
  <c r="T79"/>
  <c r="AA79" s="1"/>
  <c r="P79"/>
  <c r="Q79"/>
  <c r="M79"/>
  <c r="K79"/>
  <c r="N79"/>
  <c r="AE79"/>
  <c r="AF79" s="1"/>
  <c r="AX79"/>
  <c r="AC79"/>
  <c r="L79"/>
  <c r="AW79"/>
  <c r="P81" i="15"/>
  <c r="R81"/>
  <c r="L81"/>
  <c r="N81"/>
  <c r="Q81"/>
  <c r="O81"/>
  <c r="M81"/>
  <c r="K81"/>
  <c r="U95" i="20"/>
  <c r="AB95" s="1"/>
  <c r="W95"/>
  <c r="AG95" s="1"/>
  <c r="V95"/>
  <c r="S95"/>
  <c r="T95"/>
  <c r="R95"/>
  <c r="P95"/>
  <c r="M95"/>
  <c r="Q95"/>
  <c r="Y95" s="1"/>
  <c r="K95"/>
  <c r="N95"/>
  <c r="AW95"/>
  <c r="AE95"/>
  <c r="AF95" s="1"/>
  <c r="AC95"/>
  <c r="L95"/>
  <c r="AX95"/>
  <c r="AA95"/>
  <c r="P97" i="15"/>
  <c r="R97"/>
  <c r="L97"/>
  <c r="N97"/>
  <c r="Q97"/>
  <c r="O97"/>
  <c r="M97"/>
  <c r="K97"/>
  <c r="U111" i="20"/>
  <c r="AB111" s="1"/>
  <c r="W111"/>
  <c r="AG111" s="1"/>
  <c r="V111"/>
  <c r="S111"/>
  <c r="T111"/>
  <c r="R111"/>
  <c r="P111"/>
  <c r="Q111"/>
  <c r="K111"/>
  <c r="M111"/>
  <c r="N111"/>
  <c r="AC111"/>
  <c r="AA111"/>
  <c r="L111"/>
  <c r="AW111"/>
  <c r="AE111"/>
  <c r="AF111" s="1"/>
  <c r="AX111"/>
  <c r="Q113" i="15"/>
  <c r="O113"/>
  <c r="M113"/>
  <c r="K113"/>
  <c r="P113"/>
  <c r="R113"/>
  <c r="L113"/>
  <c r="N113"/>
  <c r="U127" i="20"/>
  <c r="AB127" s="1"/>
  <c r="W127"/>
  <c r="AG127" s="1"/>
  <c r="V127"/>
  <c r="T127"/>
  <c r="AA127" s="1"/>
  <c r="R127"/>
  <c r="S127"/>
  <c r="P127"/>
  <c r="Q127"/>
  <c r="K127"/>
  <c r="M127"/>
  <c r="N127"/>
  <c r="AX127"/>
  <c r="AW127"/>
  <c r="AE127"/>
  <c r="AF127" s="1"/>
  <c r="AC127"/>
  <c r="L127"/>
  <c r="Q129" i="15"/>
  <c r="O129"/>
  <c r="M129"/>
  <c r="K129"/>
  <c r="P129"/>
  <c r="R129"/>
  <c r="L129"/>
  <c r="N129"/>
  <c r="W22" i="20"/>
  <c r="AG22" s="1"/>
  <c r="V22"/>
  <c r="S22"/>
  <c r="T22"/>
  <c r="AA22" s="1"/>
  <c r="R22"/>
  <c r="U22"/>
  <c r="AB22" s="1"/>
  <c r="P22"/>
  <c r="M22"/>
  <c r="Q22"/>
  <c r="L22"/>
  <c r="K22"/>
  <c r="AW22"/>
  <c r="N22"/>
  <c r="AX22"/>
  <c r="AC22"/>
  <c r="AE22"/>
  <c r="AF22" s="1"/>
  <c r="N24" i="15"/>
  <c r="L24"/>
  <c r="O24"/>
  <c r="Q24"/>
  <c r="K24"/>
  <c r="M24"/>
  <c r="R24"/>
  <c r="P24"/>
  <c r="W38" i="20"/>
  <c r="AG38" s="1"/>
  <c r="V38"/>
  <c r="S38"/>
  <c r="T38"/>
  <c r="R38"/>
  <c r="U38"/>
  <c r="P38"/>
  <c r="M38"/>
  <c r="Q38"/>
  <c r="L38"/>
  <c r="K38"/>
  <c r="AX38"/>
  <c r="AE38"/>
  <c r="AF38" s="1"/>
  <c r="N38"/>
  <c r="AC38"/>
  <c r="AA38"/>
  <c r="AW38"/>
  <c r="AB38"/>
  <c r="N40" i="15"/>
  <c r="L40"/>
  <c r="O40"/>
  <c r="Q40"/>
  <c r="K40"/>
  <c r="M40"/>
  <c r="R40"/>
  <c r="P40"/>
  <c r="W54" i="20"/>
  <c r="AG54" s="1"/>
  <c r="V54"/>
  <c r="S54"/>
  <c r="T54"/>
  <c r="AA54" s="1"/>
  <c r="R54"/>
  <c r="U54"/>
  <c r="AB54" s="1"/>
  <c r="P54"/>
  <c r="M54"/>
  <c r="Q54"/>
  <c r="K54"/>
  <c r="L54"/>
  <c r="AE54"/>
  <c r="AF54" s="1"/>
  <c r="AW54"/>
  <c r="N54"/>
  <c r="AX54"/>
  <c r="AC54"/>
  <c r="N56" i="15"/>
  <c r="L56"/>
  <c r="O56"/>
  <c r="Q56"/>
  <c r="K56"/>
  <c r="M56"/>
  <c r="R56"/>
  <c r="P56"/>
  <c r="W70" i="20"/>
  <c r="AG70" s="1"/>
  <c r="S70"/>
  <c r="V70"/>
  <c r="T70"/>
  <c r="AA70" s="1"/>
  <c r="U70"/>
  <c r="R70"/>
  <c r="Q70"/>
  <c r="P70"/>
  <c r="M70"/>
  <c r="L70"/>
  <c r="K70"/>
  <c r="AE70"/>
  <c r="AF70" s="1"/>
  <c r="AC70"/>
  <c r="AW70"/>
  <c r="N70"/>
  <c r="AX70"/>
  <c r="AB70"/>
  <c r="N72" i="15"/>
  <c r="L72"/>
  <c r="O72"/>
  <c r="Q72"/>
  <c r="K72"/>
  <c r="M72"/>
  <c r="R72"/>
  <c r="P72"/>
  <c r="W86" i="20"/>
  <c r="AG86" s="1"/>
  <c r="U86"/>
  <c r="V86"/>
  <c r="T86"/>
  <c r="AA86" s="1"/>
  <c r="R86"/>
  <c r="S86"/>
  <c r="Q86"/>
  <c r="P86"/>
  <c r="M86"/>
  <c r="L86"/>
  <c r="K86"/>
  <c r="AX86"/>
  <c r="AE86"/>
  <c r="AF86" s="1"/>
  <c r="AB86"/>
  <c r="N86"/>
  <c r="AW86"/>
  <c r="AC86"/>
  <c r="L88" i="15"/>
  <c r="N88"/>
  <c r="Q88"/>
  <c r="O88"/>
  <c r="M88"/>
  <c r="K88"/>
  <c r="P88"/>
  <c r="R88"/>
  <c r="W102" i="20"/>
  <c r="AG102" s="1"/>
  <c r="V102"/>
  <c r="U102"/>
  <c r="AB102" s="1"/>
  <c r="S102"/>
  <c r="R102"/>
  <c r="T102"/>
  <c r="AA102" s="1"/>
  <c r="Q102"/>
  <c r="Y102" s="1"/>
  <c r="P102"/>
  <c r="L102"/>
  <c r="M102"/>
  <c r="K102"/>
  <c r="AW102"/>
  <c r="N102"/>
  <c r="AX102"/>
  <c r="AE102"/>
  <c r="AF102" s="1"/>
  <c r="AC102"/>
  <c r="P104" i="15"/>
  <c r="R104"/>
  <c r="L104"/>
  <c r="N104"/>
  <c r="Q104"/>
  <c r="O104"/>
  <c r="M104"/>
  <c r="K104"/>
  <c r="W118" i="20"/>
  <c r="AG118" s="1"/>
  <c r="T118"/>
  <c r="AA118" s="1"/>
  <c r="U118"/>
  <c r="AB118" s="1"/>
  <c r="V118"/>
  <c r="S118"/>
  <c r="R118"/>
  <c r="Q118"/>
  <c r="Y118" s="1"/>
  <c r="P118"/>
  <c r="M118"/>
  <c r="K118"/>
  <c r="L118"/>
  <c r="AW118"/>
  <c r="AC118"/>
  <c r="AX118"/>
  <c r="AE118"/>
  <c r="AF118" s="1"/>
  <c r="N118"/>
  <c r="P120" i="15"/>
  <c r="R120"/>
  <c r="L120"/>
  <c r="N120"/>
  <c r="Q120"/>
  <c r="O120"/>
  <c r="M120"/>
  <c r="K120"/>
  <c r="W134" i="20"/>
  <c r="AG134" s="1"/>
  <c r="T134"/>
  <c r="AA134" s="1"/>
  <c r="S134"/>
  <c r="V134"/>
  <c r="R134"/>
  <c r="U134"/>
  <c r="AB134" s="1"/>
  <c r="Q134"/>
  <c r="P134"/>
  <c r="M134"/>
  <c r="L134"/>
  <c r="K134"/>
  <c r="AE134"/>
  <c r="AF134" s="1"/>
  <c r="AC134"/>
  <c r="AW134"/>
  <c r="N134"/>
  <c r="AX134"/>
  <c r="P136" i="15"/>
  <c r="R136"/>
  <c r="L136"/>
  <c r="N136"/>
  <c r="Q136"/>
  <c r="O136"/>
  <c r="M136"/>
  <c r="K136"/>
  <c r="W21" i="20"/>
  <c r="AG21" s="1"/>
  <c r="V21"/>
  <c r="R21"/>
  <c r="Q21"/>
  <c r="S21"/>
  <c r="T21"/>
  <c r="AA21" s="1"/>
  <c r="U21"/>
  <c r="AB21" s="1"/>
  <c r="P21"/>
  <c r="M21"/>
  <c r="K21"/>
  <c r="L21"/>
  <c r="AC21"/>
  <c r="AE21"/>
  <c r="AF21" s="1"/>
  <c r="AW21"/>
  <c r="AX21"/>
  <c r="N21"/>
  <c r="N23" i="15"/>
  <c r="L23"/>
  <c r="O23"/>
  <c r="Q23"/>
  <c r="K23"/>
  <c r="M23"/>
  <c r="R23"/>
  <c r="P23"/>
  <c r="W37" i="20"/>
  <c r="AG37" s="1"/>
  <c r="V37"/>
  <c r="R37"/>
  <c r="Q37"/>
  <c r="S37"/>
  <c r="T37"/>
  <c r="AA37" s="1"/>
  <c r="U37"/>
  <c r="AB37" s="1"/>
  <c r="P37"/>
  <c r="M37"/>
  <c r="K37"/>
  <c r="L37"/>
  <c r="AE37"/>
  <c r="AF37" s="1"/>
  <c r="N37"/>
  <c r="AW37"/>
  <c r="AC37"/>
  <c r="AX37"/>
  <c r="N39" i="15"/>
  <c r="L39"/>
  <c r="O39"/>
  <c r="Q39"/>
  <c r="K39"/>
  <c r="M39"/>
  <c r="R39"/>
  <c r="P39"/>
  <c r="AT39" s="1"/>
  <c r="P36" i="11" s="1"/>
  <c r="W61" i="20"/>
  <c r="AG61" s="1"/>
  <c r="P61"/>
  <c r="V61"/>
  <c r="R61"/>
  <c r="Q61"/>
  <c r="S61"/>
  <c r="T61"/>
  <c r="AA61" s="1"/>
  <c r="U61"/>
  <c r="AB61" s="1"/>
  <c r="L61"/>
  <c r="M61"/>
  <c r="K61"/>
  <c r="AX61"/>
  <c r="N61"/>
  <c r="AE61"/>
  <c r="AF61" s="1"/>
  <c r="AW61"/>
  <c r="AC61"/>
  <c r="N63" i="15"/>
  <c r="L63"/>
  <c r="O63"/>
  <c r="Q63"/>
  <c r="K63"/>
  <c r="M63"/>
  <c r="R63"/>
  <c r="P63"/>
  <c r="W77" i="20"/>
  <c r="AG77" s="1"/>
  <c r="U77"/>
  <c r="P77"/>
  <c r="T77"/>
  <c r="V77"/>
  <c r="R77"/>
  <c r="Q77"/>
  <c r="S77"/>
  <c r="M77"/>
  <c r="L77"/>
  <c r="K77"/>
  <c r="AW77"/>
  <c r="N77"/>
  <c r="AX77"/>
  <c r="AC77"/>
  <c r="AA77"/>
  <c r="AE77"/>
  <c r="AF77" s="1"/>
  <c r="AB77"/>
  <c r="L79" i="15"/>
  <c r="N79"/>
  <c r="Q79"/>
  <c r="O79"/>
  <c r="M79"/>
  <c r="K79"/>
  <c r="P79"/>
  <c r="R79"/>
  <c r="W93" i="20"/>
  <c r="AG93" s="1"/>
  <c r="T93"/>
  <c r="AA93" s="1"/>
  <c r="U93"/>
  <c r="AB93" s="1"/>
  <c r="P93"/>
  <c r="V93"/>
  <c r="R93"/>
  <c r="Q93"/>
  <c r="Y93" s="1"/>
  <c r="S93"/>
  <c r="L93"/>
  <c r="K93"/>
  <c r="M93"/>
  <c r="AE93"/>
  <c r="AF93" s="1"/>
  <c r="AW93"/>
  <c r="AC93"/>
  <c r="AX93"/>
  <c r="N93"/>
  <c r="L95" i="15"/>
  <c r="N95"/>
  <c r="Q95"/>
  <c r="O95"/>
  <c r="M95"/>
  <c r="K95"/>
  <c r="P95"/>
  <c r="R95"/>
  <c r="W109" i="20"/>
  <c r="AG109" s="1"/>
  <c r="S109"/>
  <c r="P109"/>
  <c r="T109"/>
  <c r="AA109" s="1"/>
  <c r="V109"/>
  <c r="R109"/>
  <c r="Q109"/>
  <c r="U109"/>
  <c r="AB109" s="1"/>
  <c r="L109"/>
  <c r="K109"/>
  <c r="M109"/>
  <c r="AC109"/>
  <c r="AE109"/>
  <c r="AF109" s="1"/>
  <c r="AW109"/>
  <c r="N109"/>
  <c r="AX109"/>
  <c r="L111" i="15"/>
  <c r="N111"/>
  <c r="Q111"/>
  <c r="O111"/>
  <c r="M111"/>
  <c r="K111"/>
  <c r="P111"/>
  <c r="R111"/>
  <c r="W125" i="20"/>
  <c r="AG125" s="1"/>
  <c r="S125"/>
  <c r="T125"/>
  <c r="AA125" s="1"/>
  <c r="P125"/>
  <c r="U125"/>
  <c r="V125"/>
  <c r="R125"/>
  <c r="Q125"/>
  <c r="L125"/>
  <c r="M125"/>
  <c r="K125"/>
  <c r="AX125"/>
  <c r="AB125"/>
  <c r="N125"/>
  <c r="AE125"/>
  <c r="AF125" s="1"/>
  <c r="AW125"/>
  <c r="AC125"/>
  <c r="L127" i="15"/>
  <c r="N127"/>
  <c r="Q127"/>
  <c r="O127"/>
  <c r="M127"/>
  <c r="K127"/>
  <c r="P127"/>
  <c r="R127"/>
  <c r="W140" i="20"/>
  <c r="AG140" s="1"/>
  <c r="T140"/>
  <c r="AA140" s="1"/>
  <c r="R140"/>
  <c r="U140"/>
  <c r="S140"/>
  <c r="P140"/>
  <c r="V140"/>
  <c r="K140"/>
  <c r="Q140"/>
  <c r="Y140" s="1"/>
  <c r="N140"/>
  <c r="L140"/>
  <c r="AW140"/>
  <c r="AX140"/>
  <c r="AC140"/>
  <c r="AE140"/>
  <c r="AF140" s="1"/>
  <c r="M140"/>
  <c r="AB140"/>
  <c r="L142" i="15"/>
  <c r="N142"/>
  <c r="Q142"/>
  <c r="O142"/>
  <c r="M142"/>
  <c r="K142"/>
  <c r="P142"/>
  <c r="R142"/>
  <c r="W156" i="20"/>
  <c r="AG156" s="1"/>
  <c r="U156"/>
  <c r="AB156" s="1"/>
  <c r="S156"/>
  <c r="P156"/>
  <c r="T156"/>
  <c r="V156"/>
  <c r="R156"/>
  <c r="Q156"/>
  <c r="K156"/>
  <c r="N156"/>
  <c r="L156"/>
  <c r="AC156"/>
  <c r="AA156"/>
  <c r="AW156"/>
  <c r="M156"/>
  <c r="AX156"/>
  <c r="AE156"/>
  <c r="AF156" s="1"/>
  <c r="L158" i="15"/>
  <c r="N158"/>
  <c r="Q158"/>
  <c r="O158"/>
  <c r="M158"/>
  <c r="K158"/>
  <c r="P158"/>
  <c r="R158"/>
  <c r="W172" i="20"/>
  <c r="AG172" s="1"/>
  <c r="U172"/>
  <c r="AB172" s="1"/>
  <c r="S172"/>
  <c r="P172"/>
  <c r="T172"/>
  <c r="AA172" s="1"/>
  <c r="V172"/>
  <c r="R172"/>
  <c r="Q172"/>
  <c r="K172"/>
  <c r="N172"/>
  <c r="L172"/>
  <c r="AE172"/>
  <c r="AF172" s="1"/>
  <c r="M172"/>
  <c r="AW172"/>
  <c r="AX172"/>
  <c r="AC172"/>
  <c r="L174" i="15"/>
  <c r="N174"/>
  <c r="Q174"/>
  <c r="O174"/>
  <c r="M174"/>
  <c r="K174"/>
  <c r="P174"/>
  <c r="R174"/>
  <c r="W188" i="20"/>
  <c r="AG188" s="1"/>
  <c r="U188"/>
  <c r="AB188" s="1"/>
  <c r="S188"/>
  <c r="P188"/>
  <c r="T188"/>
  <c r="V188"/>
  <c r="R188"/>
  <c r="K188"/>
  <c r="Q188"/>
  <c r="N188"/>
  <c r="L188"/>
  <c r="AX188"/>
  <c r="AA188"/>
  <c r="AE188"/>
  <c r="AF188" s="1"/>
  <c r="AC188"/>
  <c r="AW188"/>
  <c r="M188"/>
  <c r="L190" i="15"/>
  <c r="N190"/>
  <c r="Q190"/>
  <c r="O190"/>
  <c r="M190"/>
  <c r="K190"/>
  <c r="P190"/>
  <c r="R190"/>
  <c r="W204" i="20"/>
  <c r="AG204" s="1"/>
  <c r="U204"/>
  <c r="AB204" s="1"/>
  <c r="S204"/>
  <c r="P204"/>
  <c r="T204"/>
  <c r="AA204" s="1"/>
  <c r="V204"/>
  <c r="R204"/>
  <c r="Q204"/>
  <c r="N204"/>
  <c r="L204"/>
  <c r="K204"/>
  <c r="AW204"/>
  <c r="AX204"/>
  <c r="AC204"/>
  <c r="AE204"/>
  <c r="AF204" s="1"/>
  <c r="M204"/>
  <c r="K206" i="15"/>
  <c r="M206"/>
  <c r="R206"/>
  <c r="P206"/>
  <c r="N206"/>
  <c r="L206"/>
  <c r="O206"/>
  <c r="Q206"/>
  <c r="W139" i="20"/>
  <c r="AG139" s="1"/>
  <c r="U139"/>
  <c r="AB139" s="1"/>
  <c r="T139"/>
  <c r="AA139" s="1"/>
  <c r="R139"/>
  <c r="V139"/>
  <c r="S139"/>
  <c r="Q139"/>
  <c r="N139"/>
  <c r="K139"/>
  <c r="M139"/>
  <c r="P139"/>
  <c r="L139"/>
  <c r="AW139"/>
  <c r="AC139"/>
  <c r="AE139"/>
  <c r="AF139" s="1"/>
  <c r="AX139"/>
  <c r="Q141" i="15"/>
  <c r="O141"/>
  <c r="M141"/>
  <c r="K141"/>
  <c r="P141"/>
  <c r="R141"/>
  <c r="L141"/>
  <c r="N141"/>
  <c r="W155" i="20"/>
  <c r="AG155" s="1"/>
  <c r="U155"/>
  <c r="AB155" s="1"/>
  <c r="R155"/>
  <c r="S155"/>
  <c r="V155"/>
  <c r="T155"/>
  <c r="Q155"/>
  <c r="N155"/>
  <c r="K155"/>
  <c r="M155"/>
  <c r="P155"/>
  <c r="AX155"/>
  <c r="AC155"/>
  <c r="AA155"/>
  <c r="AW155"/>
  <c r="AE155"/>
  <c r="AF155" s="1"/>
  <c r="L155"/>
  <c r="Q157" i="15"/>
  <c r="O157"/>
  <c r="M157"/>
  <c r="K157"/>
  <c r="P157"/>
  <c r="R157"/>
  <c r="L157"/>
  <c r="N157"/>
  <c r="W171" i="20"/>
  <c r="AG171" s="1"/>
  <c r="U171"/>
  <c r="R171"/>
  <c r="S171"/>
  <c r="V171"/>
  <c r="T171"/>
  <c r="Q171"/>
  <c r="N171"/>
  <c r="K171"/>
  <c r="M171"/>
  <c r="P171"/>
  <c r="AE171"/>
  <c r="AF171" s="1"/>
  <c r="AX171"/>
  <c r="AA171"/>
  <c r="L171"/>
  <c r="AW171"/>
  <c r="AC171"/>
  <c r="AB171"/>
  <c r="Q173" i="15"/>
  <c r="O173"/>
  <c r="M173"/>
  <c r="K173"/>
  <c r="P173"/>
  <c r="R173"/>
  <c r="L173"/>
  <c r="N173"/>
  <c r="W187" i="20"/>
  <c r="AG187" s="1"/>
  <c r="U187"/>
  <c r="AB187" s="1"/>
  <c r="R187"/>
  <c r="S187"/>
  <c r="V187"/>
  <c r="T187"/>
  <c r="AA187" s="1"/>
  <c r="Q187"/>
  <c r="N187"/>
  <c r="M187"/>
  <c r="K187"/>
  <c r="P187"/>
  <c r="AW187"/>
  <c r="AE187"/>
  <c r="AF187" s="1"/>
  <c r="L187"/>
  <c r="AX187"/>
  <c r="AC187"/>
  <c r="Q189" i="15"/>
  <c r="O189"/>
  <c r="M189"/>
  <c r="K189"/>
  <c r="P189"/>
  <c r="R189"/>
  <c r="L189"/>
  <c r="N189"/>
  <c r="W203" i="20"/>
  <c r="AG203" s="1"/>
  <c r="U203"/>
  <c r="AB203" s="1"/>
  <c r="R203"/>
  <c r="S203"/>
  <c r="V203"/>
  <c r="T203"/>
  <c r="AA203" s="1"/>
  <c r="Q203"/>
  <c r="N203"/>
  <c r="M203"/>
  <c r="K203"/>
  <c r="P203"/>
  <c r="L203"/>
  <c r="AW203"/>
  <c r="AC203"/>
  <c r="AE203"/>
  <c r="AF203" s="1"/>
  <c r="AX203"/>
  <c r="M205" i="15"/>
  <c r="P205"/>
  <c r="L205"/>
  <c r="O205"/>
  <c r="K205"/>
  <c r="R205"/>
  <c r="Q205"/>
  <c r="N205"/>
  <c r="W150" i="20"/>
  <c r="AG150" s="1"/>
  <c r="T150"/>
  <c r="AA150" s="1"/>
  <c r="V150"/>
  <c r="U150"/>
  <c r="AB150" s="1"/>
  <c r="R150"/>
  <c r="S150"/>
  <c r="Q150"/>
  <c r="P150"/>
  <c r="M150"/>
  <c r="L150"/>
  <c r="K150"/>
  <c r="AX150"/>
  <c r="AE150"/>
  <c r="AF150" s="1"/>
  <c r="N150"/>
  <c r="AW150"/>
  <c r="AC150"/>
  <c r="P152" i="15"/>
  <c r="R152"/>
  <c r="L152"/>
  <c r="N152"/>
  <c r="Q152"/>
  <c r="O152"/>
  <c r="M152"/>
  <c r="K152"/>
  <c r="W166" i="20"/>
  <c r="AG166" s="1"/>
  <c r="T166"/>
  <c r="AA166" s="1"/>
  <c r="V166"/>
  <c r="U166"/>
  <c r="AB166" s="1"/>
  <c r="R166"/>
  <c r="S166"/>
  <c r="Q166"/>
  <c r="P166"/>
  <c r="M166"/>
  <c r="L166"/>
  <c r="K166"/>
  <c r="AW166"/>
  <c r="N166"/>
  <c r="AX166"/>
  <c r="AE166"/>
  <c r="AF166" s="1"/>
  <c r="AC166"/>
  <c r="P168" i="15"/>
  <c r="R168"/>
  <c r="L168"/>
  <c r="N168"/>
  <c r="Q168"/>
  <c r="O168"/>
  <c r="M168"/>
  <c r="K168"/>
  <c r="W182" i="20"/>
  <c r="AG182" s="1"/>
  <c r="T182"/>
  <c r="AA182" s="1"/>
  <c r="V182"/>
  <c r="U182"/>
  <c r="AB182" s="1"/>
  <c r="R182"/>
  <c r="S182"/>
  <c r="Q182"/>
  <c r="P182"/>
  <c r="M182"/>
  <c r="L182"/>
  <c r="K182"/>
  <c r="AW182"/>
  <c r="AC182"/>
  <c r="AX182"/>
  <c r="AE182"/>
  <c r="AF182" s="1"/>
  <c r="N182"/>
  <c r="P184" i="15"/>
  <c r="R184"/>
  <c r="L184"/>
  <c r="N184"/>
  <c r="Q184"/>
  <c r="O184"/>
  <c r="M184"/>
  <c r="K184"/>
  <c r="W198" i="20"/>
  <c r="AG198" s="1"/>
  <c r="T198"/>
  <c r="AA198" s="1"/>
  <c r="V198"/>
  <c r="U198"/>
  <c r="AB198" s="1"/>
  <c r="R198"/>
  <c r="S198"/>
  <c r="Q198"/>
  <c r="P198"/>
  <c r="M198"/>
  <c r="L198"/>
  <c r="K198"/>
  <c r="AE198"/>
  <c r="AF198" s="1"/>
  <c r="AC198"/>
  <c r="AW198"/>
  <c r="N198"/>
  <c r="AX198"/>
  <c r="R200" i="15"/>
  <c r="O200"/>
  <c r="N200"/>
  <c r="P200"/>
  <c r="K200"/>
  <c r="L200"/>
  <c r="Q200"/>
  <c r="M200"/>
  <c r="W141" i="20"/>
  <c r="AG141" s="1"/>
  <c r="S141"/>
  <c r="U141"/>
  <c r="AB141" s="1"/>
  <c r="P141"/>
  <c r="V141"/>
  <c r="R141"/>
  <c r="Q141"/>
  <c r="Y141" s="1"/>
  <c r="T141"/>
  <c r="M141"/>
  <c r="L141"/>
  <c r="K141"/>
  <c r="AW141"/>
  <c r="N141"/>
  <c r="AX141"/>
  <c r="AC141"/>
  <c r="AA141"/>
  <c r="AE141"/>
  <c r="AF141" s="1"/>
  <c r="L143" i="15"/>
  <c r="N143"/>
  <c r="Q143"/>
  <c r="O143"/>
  <c r="M143"/>
  <c r="K143"/>
  <c r="P143"/>
  <c r="R143"/>
  <c r="W157" i="20"/>
  <c r="AG157" s="1"/>
  <c r="S157"/>
  <c r="U157"/>
  <c r="AB157" s="1"/>
  <c r="P157"/>
  <c r="T157"/>
  <c r="V157"/>
  <c r="R157"/>
  <c r="Q157"/>
  <c r="M157"/>
  <c r="L157"/>
  <c r="K157"/>
  <c r="AE157"/>
  <c r="AF157" s="1"/>
  <c r="AA157"/>
  <c r="AW157"/>
  <c r="AC157"/>
  <c r="AX157"/>
  <c r="N157"/>
  <c r="L159" i="15"/>
  <c r="N159"/>
  <c r="Q159"/>
  <c r="O159"/>
  <c r="M159"/>
  <c r="K159"/>
  <c r="P159"/>
  <c r="R159"/>
  <c r="W173" i="20"/>
  <c r="AG173" s="1"/>
  <c r="S173"/>
  <c r="U173"/>
  <c r="AB173" s="1"/>
  <c r="P173"/>
  <c r="T173"/>
  <c r="AA173" s="1"/>
  <c r="V173"/>
  <c r="R173"/>
  <c r="Q173"/>
  <c r="M173"/>
  <c r="L173"/>
  <c r="K173"/>
  <c r="AC173"/>
  <c r="AE173"/>
  <c r="AF173" s="1"/>
  <c r="AW173"/>
  <c r="N173"/>
  <c r="AX173"/>
  <c r="L175" i="15"/>
  <c r="N175"/>
  <c r="Q175"/>
  <c r="O175"/>
  <c r="M175"/>
  <c r="K175"/>
  <c r="P175"/>
  <c r="R175"/>
  <c r="W189" i="20"/>
  <c r="AG189" s="1"/>
  <c r="S189"/>
  <c r="U189"/>
  <c r="AB189" s="1"/>
  <c r="P189"/>
  <c r="T189"/>
  <c r="V189"/>
  <c r="R189"/>
  <c r="Q189"/>
  <c r="M189"/>
  <c r="K189"/>
  <c r="L189"/>
  <c r="AX189"/>
  <c r="AA189"/>
  <c r="N189"/>
  <c r="AE189"/>
  <c r="AF189" s="1"/>
  <c r="AW189"/>
  <c r="AC189"/>
  <c r="L191" i="15"/>
  <c r="N191"/>
  <c r="Q191"/>
  <c r="O191"/>
  <c r="M191"/>
  <c r="K191"/>
  <c r="P191"/>
  <c r="R191"/>
  <c r="W205" i="20"/>
  <c r="AG205" s="1"/>
  <c r="S205"/>
  <c r="U205"/>
  <c r="AB205" s="1"/>
  <c r="P205"/>
  <c r="T205"/>
  <c r="AA205" s="1"/>
  <c r="V205"/>
  <c r="R205"/>
  <c r="Q205"/>
  <c r="M205"/>
  <c r="L205"/>
  <c r="AW205"/>
  <c r="N205"/>
  <c r="AX205"/>
  <c r="AC205"/>
  <c r="AE205"/>
  <c r="AF205" s="1"/>
  <c r="K205"/>
  <c r="ET47" i="9"/>
  <c r="ET65"/>
  <c r="GS61"/>
  <c r="GS76"/>
  <c r="GS88"/>
  <c r="GS120"/>
  <c r="GS132"/>
  <c r="GS152"/>
  <c r="GS188"/>
  <c r="GS40"/>
  <c r="GS49"/>
  <c r="GS81"/>
  <c r="GS50"/>
  <c r="GS105"/>
  <c r="GS119"/>
  <c r="GS150"/>
  <c r="GS171"/>
  <c r="GS196"/>
  <c r="W24" i="20"/>
  <c r="AG24" s="1"/>
  <c r="S24"/>
  <c r="T24"/>
  <c r="AA24" s="1"/>
  <c r="R24"/>
  <c r="V24"/>
  <c r="P24"/>
  <c r="U24"/>
  <c r="AB24" s="1"/>
  <c r="K24"/>
  <c r="N24"/>
  <c r="Q24"/>
  <c r="L24"/>
  <c r="AW24"/>
  <c r="AX24"/>
  <c r="M24"/>
  <c r="AE24"/>
  <c r="AF24" s="1"/>
  <c r="AC24"/>
  <c r="O26" i="15"/>
  <c r="Q26"/>
  <c r="K26"/>
  <c r="M26"/>
  <c r="R26"/>
  <c r="P26"/>
  <c r="N26"/>
  <c r="L26"/>
  <c r="W40" i="20"/>
  <c r="AG40" s="1"/>
  <c r="S40"/>
  <c r="T40"/>
  <c r="AA40" s="1"/>
  <c r="R40"/>
  <c r="V40"/>
  <c r="P40"/>
  <c r="U40"/>
  <c r="AB40" s="1"/>
  <c r="K40"/>
  <c r="N40"/>
  <c r="Q40"/>
  <c r="L40"/>
  <c r="AX40"/>
  <c r="AE40"/>
  <c r="AF40" s="1"/>
  <c r="M40"/>
  <c r="AW40"/>
  <c r="AC40"/>
  <c r="O42" i="15"/>
  <c r="Q42"/>
  <c r="K42"/>
  <c r="M42"/>
  <c r="R42"/>
  <c r="P42"/>
  <c r="N42"/>
  <c r="L42"/>
  <c r="R56" i="20"/>
  <c r="V56"/>
  <c r="P56"/>
  <c r="U56"/>
  <c r="AB56" s="1"/>
  <c r="N56"/>
  <c r="Q56"/>
  <c r="L56"/>
  <c r="K56"/>
  <c r="AW56"/>
  <c r="AX56"/>
  <c r="M56"/>
  <c r="AE56"/>
  <c r="AF56" s="1"/>
  <c r="S56"/>
  <c r="W56"/>
  <c r="AG56" s="1"/>
  <c r="T56"/>
  <c r="AA56" s="1"/>
  <c r="AC56"/>
  <c r="O58" i="15"/>
  <c r="Q58"/>
  <c r="K58"/>
  <c r="M58"/>
  <c r="R58"/>
  <c r="P58"/>
  <c r="N58"/>
  <c r="L58"/>
  <c r="W72" i="20"/>
  <c r="AG72" s="1"/>
  <c r="P72"/>
  <c r="V72"/>
  <c r="U72"/>
  <c r="AB72" s="1"/>
  <c r="R72"/>
  <c r="N72"/>
  <c r="Q72"/>
  <c r="L72"/>
  <c r="K72"/>
  <c r="AW72"/>
  <c r="M72"/>
  <c r="AX72"/>
  <c r="AE72"/>
  <c r="AF72" s="1"/>
  <c r="T72"/>
  <c r="AA72" s="1"/>
  <c r="AC72"/>
  <c r="S72"/>
  <c r="O74" i="15"/>
  <c r="Q74"/>
  <c r="K74"/>
  <c r="M74"/>
  <c r="R74"/>
  <c r="P74"/>
  <c r="N74"/>
  <c r="L74"/>
  <c r="P88" i="20"/>
  <c r="U88"/>
  <c r="AB88" s="1"/>
  <c r="V88"/>
  <c r="R88"/>
  <c r="Q88"/>
  <c r="L88"/>
  <c r="K88"/>
  <c r="N88"/>
  <c r="AW88"/>
  <c r="W88"/>
  <c r="AG88" s="1"/>
  <c r="AX88"/>
  <c r="T88"/>
  <c r="AA88" s="1"/>
  <c r="AC88"/>
  <c r="AE88"/>
  <c r="AF88" s="1"/>
  <c r="S88"/>
  <c r="M88"/>
  <c r="Q90" i="15"/>
  <c r="O90"/>
  <c r="M90"/>
  <c r="K90"/>
  <c r="P90"/>
  <c r="R90"/>
  <c r="L90"/>
  <c r="N90"/>
  <c r="U104" i="20"/>
  <c r="AB104" s="1"/>
  <c r="R104"/>
  <c r="V104"/>
  <c r="T104"/>
  <c r="AA104" s="1"/>
  <c r="P104"/>
  <c r="N104"/>
  <c r="K104"/>
  <c r="Q104"/>
  <c r="L104"/>
  <c r="AW104"/>
  <c r="AC104"/>
  <c r="AX104"/>
  <c r="AE104"/>
  <c r="AF104" s="1"/>
  <c r="M104"/>
  <c r="S104"/>
  <c r="W104"/>
  <c r="AG104" s="1"/>
  <c r="L106" i="15"/>
  <c r="N106"/>
  <c r="Q106"/>
  <c r="O106"/>
  <c r="M106"/>
  <c r="K106"/>
  <c r="P106"/>
  <c r="R106"/>
  <c r="R120" i="20"/>
  <c r="T120"/>
  <c r="AA120" s="1"/>
  <c r="V120"/>
  <c r="P120"/>
  <c r="U120"/>
  <c r="AB120" s="1"/>
  <c r="N120"/>
  <c r="Q120"/>
  <c r="L120"/>
  <c r="K120"/>
  <c r="AW120"/>
  <c r="AX120"/>
  <c r="M120"/>
  <c r="AE120"/>
  <c r="AF120" s="1"/>
  <c r="W120"/>
  <c r="AG120" s="1"/>
  <c r="S120"/>
  <c r="AC120"/>
  <c r="L122" i="15"/>
  <c r="N122"/>
  <c r="Q122"/>
  <c r="O122"/>
  <c r="M122"/>
  <c r="K122"/>
  <c r="P122"/>
  <c r="R122"/>
  <c r="T136" i="20"/>
  <c r="AA136" s="1"/>
  <c r="P136"/>
  <c r="V136"/>
  <c r="U136"/>
  <c r="AB136" s="1"/>
  <c r="R136"/>
  <c r="N136"/>
  <c r="Q136"/>
  <c r="L136"/>
  <c r="K136"/>
  <c r="AW136"/>
  <c r="M136"/>
  <c r="AX136"/>
  <c r="W136"/>
  <c r="AG136" s="1"/>
  <c r="AE136"/>
  <c r="AF136" s="1"/>
  <c r="AC136"/>
  <c r="S136"/>
  <c r="U19"/>
  <c r="T19"/>
  <c r="P19"/>
  <c r="M19"/>
  <c r="Q19"/>
  <c r="Y19" s="1"/>
  <c r="N19"/>
  <c r="L19"/>
  <c r="R21" i="15"/>
  <c r="P21"/>
  <c r="N21"/>
  <c r="L21"/>
  <c r="O21"/>
  <c r="Q21"/>
  <c r="K21"/>
  <c r="M21"/>
  <c r="W35" i="20"/>
  <c r="AG35" s="1"/>
  <c r="U35"/>
  <c r="AB35" s="1"/>
  <c r="S35"/>
  <c r="V35"/>
  <c r="T35"/>
  <c r="R35"/>
  <c r="P35"/>
  <c r="M35"/>
  <c r="K35"/>
  <c r="Q35"/>
  <c r="Y35" s="1"/>
  <c r="N35"/>
  <c r="AW35"/>
  <c r="AA35"/>
  <c r="AE35"/>
  <c r="AF35" s="1"/>
  <c r="L35"/>
  <c r="AX35"/>
  <c r="AC35"/>
  <c r="R37" i="15"/>
  <c r="P37"/>
  <c r="N37"/>
  <c r="L37"/>
  <c r="O37"/>
  <c r="Q37"/>
  <c r="K37"/>
  <c r="M37"/>
  <c r="W51" i="20"/>
  <c r="AG51" s="1"/>
  <c r="U51"/>
  <c r="AB51" s="1"/>
  <c r="S51"/>
  <c r="V51"/>
  <c r="T51"/>
  <c r="AA51" s="1"/>
  <c r="R51"/>
  <c r="P51"/>
  <c r="M51"/>
  <c r="Q51"/>
  <c r="N51"/>
  <c r="K51"/>
  <c r="AE51"/>
  <c r="AF51" s="1"/>
  <c r="AC51"/>
  <c r="AX51"/>
  <c r="L51"/>
  <c r="AW51"/>
  <c r="R53" i="15"/>
  <c r="P53"/>
  <c r="N53"/>
  <c r="L53"/>
  <c r="O53"/>
  <c r="Q53"/>
  <c r="K53"/>
  <c r="M53"/>
  <c r="W67" i="20"/>
  <c r="AG67" s="1"/>
  <c r="U67"/>
  <c r="V67"/>
  <c r="S67"/>
  <c r="T67"/>
  <c r="AA67" s="1"/>
  <c r="R67"/>
  <c r="M67"/>
  <c r="P67"/>
  <c r="Q67"/>
  <c r="N67"/>
  <c r="K67"/>
  <c r="AW67"/>
  <c r="AC67"/>
  <c r="AB67"/>
  <c r="AE67"/>
  <c r="AF67" s="1"/>
  <c r="AX67"/>
  <c r="L67"/>
  <c r="R69" i="15"/>
  <c r="P69"/>
  <c r="N69"/>
  <c r="L69"/>
  <c r="O69"/>
  <c r="Q69"/>
  <c r="K69"/>
  <c r="M69"/>
  <c r="W83" i="20"/>
  <c r="AG83" s="1"/>
  <c r="U83"/>
  <c r="AB83" s="1"/>
  <c r="V83"/>
  <c r="S83"/>
  <c r="T83"/>
  <c r="AA83" s="1"/>
  <c r="R83"/>
  <c r="P83"/>
  <c r="Q83"/>
  <c r="N83"/>
  <c r="K83"/>
  <c r="M83"/>
  <c r="AX83"/>
  <c r="AC83"/>
  <c r="AW83"/>
  <c r="L83"/>
  <c r="AE83"/>
  <c r="AF83" s="1"/>
  <c r="P85" i="15"/>
  <c r="R85"/>
  <c r="L85"/>
  <c r="N85"/>
  <c r="Q85"/>
  <c r="O85"/>
  <c r="M85"/>
  <c r="K85"/>
  <c r="W99" i="20"/>
  <c r="AG99" s="1"/>
  <c r="T99"/>
  <c r="AA99" s="1"/>
  <c r="V99"/>
  <c r="U99"/>
  <c r="AB99" s="1"/>
  <c r="S99"/>
  <c r="R99"/>
  <c r="P99"/>
  <c r="Q99"/>
  <c r="M99"/>
  <c r="N99"/>
  <c r="K99"/>
  <c r="AE99"/>
  <c r="AF99" s="1"/>
  <c r="AX99"/>
  <c r="L99"/>
  <c r="AW99"/>
  <c r="AC99"/>
  <c r="Q101" i="15"/>
  <c r="O101"/>
  <c r="M101"/>
  <c r="K101"/>
  <c r="P101"/>
  <c r="R101"/>
  <c r="L101"/>
  <c r="N101"/>
  <c r="U115" i="20"/>
  <c r="AB115" s="1"/>
  <c r="W115"/>
  <c r="AG115" s="1"/>
  <c r="V115"/>
  <c r="S115"/>
  <c r="T115"/>
  <c r="R115"/>
  <c r="P115"/>
  <c r="M115"/>
  <c r="Q115"/>
  <c r="Y115" s="1"/>
  <c r="N115"/>
  <c r="K115"/>
  <c r="AW115"/>
  <c r="L115"/>
  <c r="AE115"/>
  <c r="AF115" s="1"/>
  <c r="AX115"/>
  <c r="AC115"/>
  <c r="AA115"/>
  <c r="Q117" i="15"/>
  <c r="O117"/>
  <c r="M117"/>
  <c r="K117"/>
  <c r="P117"/>
  <c r="R117"/>
  <c r="L117"/>
  <c r="N117"/>
  <c r="U131" i="20"/>
  <c r="AB131" s="1"/>
  <c r="W131"/>
  <c r="AG131" s="1"/>
  <c r="V131"/>
  <c r="S131"/>
  <c r="T131"/>
  <c r="AA131" s="1"/>
  <c r="R131"/>
  <c r="M131"/>
  <c r="P131"/>
  <c r="Q131"/>
  <c r="N131"/>
  <c r="K131"/>
  <c r="AW131"/>
  <c r="AC131"/>
  <c r="AE131"/>
  <c r="AF131" s="1"/>
  <c r="AX131"/>
  <c r="L131"/>
  <c r="Q133" i="15"/>
  <c r="O133"/>
  <c r="M133"/>
  <c r="K133"/>
  <c r="P133"/>
  <c r="R133"/>
  <c r="L133"/>
  <c r="N133"/>
  <c r="W26" i="20"/>
  <c r="AG26" s="1"/>
  <c r="S26"/>
  <c r="T26"/>
  <c r="AA26" s="1"/>
  <c r="V26"/>
  <c r="U26"/>
  <c r="AB26" s="1"/>
  <c r="R26"/>
  <c r="P26"/>
  <c r="Q26"/>
  <c r="L26"/>
  <c r="M26"/>
  <c r="K26"/>
  <c r="AW26"/>
  <c r="AX26"/>
  <c r="N26"/>
  <c r="AE26"/>
  <c r="AF26" s="1"/>
  <c r="AC26"/>
  <c r="N28" i="15"/>
  <c r="L28"/>
  <c r="O28"/>
  <c r="Q28"/>
  <c r="K28"/>
  <c r="M28"/>
  <c r="R28"/>
  <c r="P28"/>
  <c r="W42" i="20"/>
  <c r="AG42" s="1"/>
  <c r="S42"/>
  <c r="T42"/>
  <c r="AA42" s="1"/>
  <c r="V42"/>
  <c r="U42"/>
  <c r="AB42" s="1"/>
  <c r="R42"/>
  <c r="P42"/>
  <c r="K42"/>
  <c r="Q42"/>
  <c r="L42"/>
  <c r="M42"/>
  <c r="AX42"/>
  <c r="AE42"/>
  <c r="AF42" s="1"/>
  <c r="N42"/>
  <c r="AW42"/>
  <c r="AC42"/>
  <c r="N44" i="15"/>
  <c r="L44"/>
  <c r="O44"/>
  <c r="Q44"/>
  <c r="K44"/>
  <c r="M44"/>
  <c r="R44"/>
  <c r="P44"/>
  <c r="W58" i="20"/>
  <c r="AG58" s="1"/>
  <c r="S58"/>
  <c r="T58"/>
  <c r="U58"/>
  <c r="AB58" s="1"/>
  <c r="V58"/>
  <c r="R58"/>
  <c r="P58"/>
  <c r="Q58"/>
  <c r="Y58" s="1"/>
  <c r="L58"/>
  <c r="M58"/>
  <c r="K58"/>
  <c r="AE58"/>
  <c r="AF58" s="1"/>
  <c r="N58"/>
  <c r="AW58"/>
  <c r="AA58"/>
  <c r="AX58"/>
  <c r="AC58"/>
  <c r="N60" i="15"/>
  <c r="L60"/>
  <c r="O60"/>
  <c r="Q60"/>
  <c r="K60"/>
  <c r="M60"/>
  <c r="R60"/>
  <c r="P60"/>
  <c r="W74" i="20"/>
  <c r="AG74" s="1"/>
  <c r="U74"/>
  <c r="AB74" s="1"/>
  <c r="Q74"/>
  <c r="T74"/>
  <c r="AA74" s="1"/>
  <c r="V74"/>
  <c r="S74"/>
  <c r="R74"/>
  <c r="P74"/>
  <c r="L74"/>
  <c r="M74"/>
  <c r="K74"/>
  <c r="AX74"/>
  <c r="AE74"/>
  <c r="AF74" s="1"/>
  <c r="AC74"/>
  <c r="AW74"/>
  <c r="N74"/>
  <c r="N76" i="15"/>
  <c r="L76"/>
  <c r="O76"/>
  <c r="Q76"/>
  <c r="K76"/>
  <c r="M76"/>
  <c r="R76"/>
  <c r="P76"/>
  <c r="W90" i="20"/>
  <c r="AG90" s="1"/>
  <c r="Q90"/>
  <c r="T90"/>
  <c r="AA90" s="1"/>
  <c r="V90"/>
  <c r="U90"/>
  <c r="S90"/>
  <c r="R90"/>
  <c r="L90"/>
  <c r="P90"/>
  <c r="M90"/>
  <c r="K90"/>
  <c r="AW90"/>
  <c r="AX90"/>
  <c r="AC90"/>
  <c r="AE90"/>
  <c r="AF90" s="1"/>
  <c r="N90"/>
  <c r="AB90"/>
  <c r="L92" i="15"/>
  <c r="N92"/>
  <c r="Q92"/>
  <c r="O92"/>
  <c r="M92"/>
  <c r="K92"/>
  <c r="P92"/>
  <c r="R92"/>
  <c r="T106" i="20"/>
  <c r="W106"/>
  <c r="AG106" s="1"/>
  <c r="U106"/>
  <c r="AB106" s="1"/>
  <c r="Q106"/>
  <c r="S106"/>
  <c r="V106"/>
  <c r="R106"/>
  <c r="P106"/>
  <c r="L106"/>
  <c r="M106"/>
  <c r="K106"/>
  <c r="AC106"/>
  <c r="AA106"/>
  <c r="AW106"/>
  <c r="N106"/>
  <c r="AX106"/>
  <c r="AE106"/>
  <c r="AF106" s="1"/>
  <c r="P108" i="15"/>
  <c r="R108"/>
  <c r="L108"/>
  <c r="N108"/>
  <c r="Q108"/>
  <c r="O108"/>
  <c r="M108"/>
  <c r="K108"/>
  <c r="T122" i="20"/>
  <c r="AA122" s="1"/>
  <c r="W122"/>
  <c r="AG122" s="1"/>
  <c r="S122"/>
  <c r="Q122"/>
  <c r="V122"/>
  <c r="U122"/>
  <c r="AB122" s="1"/>
  <c r="R122"/>
  <c r="P122"/>
  <c r="L122"/>
  <c r="M122"/>
  <c r="K122"/>
  <c r="AE122"/>
  <c r="AF122" s="1"/>
  <c r="N122"/>
  <c r="AW122"/>
  <c r="AX122"/>
  <c r="AC122"/>
  <c r="P124" i="15"/>
  <c r="R124"/>
  <c r="L124"/>
  <c r="N124"/>
  <c r="Q124"/>
  <c r="O124"/>
  <c r="M124"/>
  <c r="K124"/>
  <c r="T138" i="20"/>
  <c r="W138"/>
  <c r="AG138" s="1"/>
  <c r="Q138"/>
  <c r="U138"/>
  <c r="AB138" s="1"/>
  <c r="V138"/>
  <c r="S138"/>
  <c r="R138"/>
  <c r="P138"/>
  <c r="L138"/>
  <c r="M138"/>
  <c r="K138"/>
  <c r="AX138"/>
  <c r="AA138"/>
  <c r="AE138"/>
  <c r="AF138" s="1"/>
  <c r="AC138"/>
  <c r="AW138"/>
  <c r="N138"/>
  <c r="W25"/>
  <c r="AG25" s="1"/>
  <c r="S25"/>
  <c r="P25"/>
  <c r="T25"/>
  <c r="AA25" s="1"/>
  <c r="U25"/>
  <c r="AB25" s="1"/>
  <c r="V25"/>
  <c r="R25"/>
  <c r="Q25"/>
  <c r="K25"/>
  <c r="L25"/>
  <c r="M25"/>
  <c r="AX25"/>
  <c r="AC25"/>
  <c r="AE25"/>
  <c r="AF25" s="1"/>
  <c r="AW25"/>
  <c r="N25"/>
  <c r="N27" i="15"/>
  <c r="L27"/>
  <c r="O27"/>
  <c r="Q27"/>
  <c r="K27"/>
  <c r="M27"/>
  <c r="R27"/>
  <c r="P27"/>
  <c r="W41" i="20"/>
  <c r="AG41" s="1"/>
  <c r="S41"/>
  <c r="P41"/>
  <c r="T41"/>
  <c r="U41"/>
  <c r="AB41" s="1"/>
  <c r="V41"/>
  <c r="R41"/>
  <c r="Q41"/>
  <c r="L41"/>
  <c r="K41"/>
  <c r="M41"/>
  <c r="N41"/>
  <c r="AE41"/>
  <c r="AF41" s="1"/>
  <c r="AC41"/>
  <c r="AW41"/>
  <c r="AA41"/>
  <c r="AX41"/>
  <c r="N43" i="15"/>
  <c r="L43"/>
  <c r="O43"/>
  <c r="Q43"/>
  <c r="K43"/>
  <c r="M43"/>
  <c r="R43"/>
  <c r="P43"/>
  <c r="W65" i="20"/>
  <c r="AG65" s="1"/>
  <c r="U65"/>
  <c r="AB65" s="1"/>
  <c r="S65"/>
  <c r="T65"/>
  <c r="AA65" s="1"/>
  <c r="P65"/>
  <c r="V65"/>
  <c r="R65"/>
  <c r="Q65"/>
  <c r="L65"/>
  <c r="K65"/>
  <c r="M65"/>
  <c r="AW65"/>
  <c r="AX65"/>
  <c r="AC65"/>
  <c r="N65"/>
  <c r="AE65"/>
  <c r="AF65" s="1"/>
  <c r="N67" i="15"/>
  <c r="L67"/>
  <c r="O67"/>
  <c r="Q67"/>
  <c r="K67"/>
  <c r="M67"/>
  <c r="R67"/>
  <c r="P67"/>
  <c r="W81" i="20"/>
  <c r="AG81" s="1"/>
  <c r="T81"/>
  <c r="U81"/>
  <c r="S81"/>
  <c r="P81"/>
  <c r="V81"/>
  <c r="R81"/>
  <c r="Q81"/>
  <c r="L81"/>
  <c r="K81"/>
  <c r="M81"/>
  <c r="AE81"/>
  <c r="AF81" s="1"/>
  <c r="AC81"/>
  <c r="AA81"/>
  <c r="AW81"/>
  <c r="AB81"/>
  <c r="N81"/>
  <c r="AX81"/>
  <c r="L83" i="15"/>
  <c r="N83"/>
  <c r="Q83"/>
  <c r="O83"/>
  <c r="M83"/>
  <c r="K83"/>
  <c r="P83"/>
  <c r="R83"/>
  <c r="W97" i="20"/>
  <c r="AG97" s="1"/>
  <c r="S97"/>
  <c r="T97"/>
  <c r="U97"/>
  <c r="AB97" s="1"/>
  <c r="P97"/>
  <c r="V97"/>
  <c r="R97"/>
  <c r="Q97"/>
  <c r="Y97" s="1"/>
  <c r="L97"/>
  <c r="M97"/>
  <c r="K97"/>
  <c r="N97"/>
  <c r="AE97"/>
  <c r="AF97" s="1"/>
  <c r="AW97"/>
  <c r="AA97"/>
  <c r="AX97"/>
  <c r="AC97"/>
  <c r="L99" i="15"/>
  <c r="N99"/>
  <c r="Q99"/>
  <c r="O99"/>
  <c r="M99"/>
  <c r="K99"/>
  <c r="P99"/>
  <c r="R99"/>
  <c r="W113" i="20"/>
  <c r="AG113" s="1"/>
  <c r="S113"/>
  <c r="T113"/>
  <c r="AA113" s="1"/>
  <c r="U113"/>
  <c r="AB113" s="1"/>
  <c r="P113"/>
  <c r="V113"/>
  <c r="R113"/>
  <c r="Q113"/>
  <c r="Y113" s="1"/>
  <c r="L113"/>
  <c r="K113"/>
  <c r="M113"/>
  <c r="AX113"/>
  <c r="AE113"/>
  <c r="AF113" s="1"/>
  <c r="AC113"/>
  <c r="AW113"/>
  <c r="N113"/>
  <c r="L115" i="15"/>
  <c r="N115"/>
  <c r="Q115"/>
  <c r="O115"/>
  <c r="M115"/>
  <c r="K115"/>
  <c r="P115"/>
  <c r="AT115" s="1"/>
  <c r="P112" i="11" s="1"/>
  <c r="R115" i="15"/>
  <c r="W129" i="20"/>
  <c r="AG129" s="1"/>
  <c r="S129"/>
  <c r="U129"/>
  <c r="AB129" s="1"/>
  <c r="P129"/>
  <c r="T129"/>
  <c r="AA129" s="1"/>
  <c r="V129"/>
  <c r="R129"/>
  <c r="Q129"/>
  <c r="L129"/>
  <c r="K129"/>
  <c r="M129"/>
  <c r="AW129"/>
  <c r="AX129"/>
  <c r="AC129"/>
  <c r="N129"/>
  <c r="AE129"/>
  <c r="AF129" s="1"/>
  <c r="L131" i="15"/>
  <c r="N131"/>
  <c r="Q131"/>
  <c r="O131"/>
  <c r="M131"/>
  <c r="K131"/>
  <c r="P131"/>
  <c r="R131"/>
  <c r="U144" i="20"/>
  <c r="AB144" s="1"/>
  <c r="V144"/>
  <c r="K144"/>
  <c r="L144"/>
  <c r="Q144"/>
  <c r="Y144" s="1"/>
  <c r="R144"/>
  <c r="AW144"/>
  <c r="T144"/>
  <c r="AA144" s="1"/>
  <c r="AX144"/>
  <c r="M144"/>
  <c r="W144"/>
  <c r="AG144" s="1"/>
  <c r="P144"/>
  <c r="N144"/>
  <c r="AE144"/>
  <c r="AF144" s="1"/>
  <c r="AC144"/>
  <c r="S144"/>
  <c r="L146" i="15"/>
  <c r="N146"/>
  <c r="Q146"/>
  <c r="O146"/>
  <c r="M146"/>
  <c r="K146"/>
  <c r="P146"/>
  <c r="R146"/>
  <c r="W160" i="20"/>
  <c r="AG160" s="1"/>
  <c r="S160"/>
  <c r="V160"/>
  <c r="R160"/>
  <c r="T160"/>
  <c r="AA160" s="1"/>
  <c r="P160"/>
  <c r="U160"/>
  <c r="AB160" s="1"/>
  <c r="K160"/>
  <c r="N160"/>
  <c r="L160"/>
  <c r="Q160"/>
  <c r="M160"/>
  <c r="AW160"/>
  <c r="AC160"/>
  <c r="AX160"/>
  <c r="AE160"/>
  <c r="AF160" s="1"/>
  <c r="L162" i="15"/>
  <c r="N162"/>
  <c r="Q162"/>
  <c r="O162"/>
  <c r="M162"/>
  <c r="K162"/>
  <c r="P162"/>
  <c r="R162"/>
  <c r="W176" i="20"/>
  <c r="AG176" s="1"/>
  <c r="S176"/>
  <c r="V176"/>
  <c r="R176"/>
  <c r="T176"/>
  <c r="AA176" s="1"/>
  <c r="P176"/>
  <c r="U176"/>
  <c r="AB176" s="1"/>
  <c r="K176"/>
  <c r="N176"/>
  <c r="L176"/>
  <c r="Q176"/>
  <c r="Y176" s="1"/>
  <c r="AE176"/>
  <c r="AF176" s="1"/>
  <c r="AC176"/>
  <c r="AW176"/>
  <c r="AX176"/>
  <c r="M176"/>
  <c r="L178" i="15"/>
  <c r="N178"/>
  <c r="Q178"/>
  <c r="O178"/>
  <c r="M178"/>
  <c r="K178"/>
  <c r="P178"/>
  <c r="R178"/>
  <c r="W192" i="20"/>
  <c r="AG192" s="1"/>
  <c r="S192"/>
  <c r="V192"/>
  <c r="R192"/>
  <c r="T192"/>
  <c r="AA192" s="1"/>
  <c r="P192"/>
  <c r="U192"/>
  <c r="AB192" s="1"/>
  <c r="N192"/>
  <c r="L192"/>
  <c r="K192"/>
  <c r="Q192"/>
  <c r="AX192"/>
  <c r="AE192"/>
  <c r="AF192" s="1"/>
  <c r="M192"/>
  <c r="AW192"/>
  <c r="AC192"/>
  <c r="L194" i="15"/>
  <c r="N194"/>
  <c r="Q194"/>
  <c r="O194"/>
  <c r="M194"/>
  <c r="K194"/>
  <c r="P194"/>
  <c r="R194"/>
  <c r="M208" i="20"/>
  <c r="N208"/>
  <c r="V208"/>
  <c r="R208"/>
  <c r="S208"/>
  <c r="AC208"/>
  <c r="K208"/>
  <c r="L208"/>
  <c r="W208"/>
  <c r="AG208" s="1"/>
  <c r="P208"/>
  <c r="Q208"/>
  <c r="AE208"/>
  <c r="AF208" s="1"/>
  <c r="T208"/>
  <c r="AA208" s="1"/>
  <c r="U208"/>
  <c r="AB208" s="1"/>
  <c r="AW208"/>
  <c r="AX208"/>
  <c r="U143"/>
  <c r="AB143" s="1"/>
  <c r="W143"/>
  <c r="AG143" s="1"/>
  <c r="V143"/>
  <c r="S143"/>
  <c r="R143"/>
  <c r="T143"/>
  <c r="AA143" s="1"/>
  <c r="P143"/>
  <c r="Q143"/>
  <c r="M143"/>
  <c r="K143"/>
  <c r="N143"/>
  <c r="AE143"/>
  <c r="AF143" s="1"/>
  <c r="AX143"/>
  <c r="AC143"/>
  <c r="L143"/>
  <c r="AW143"/>
  <c r="Q145" i="15"/>
  <c r="O145"/>
  <c r="M145"/>
  <c r="K145"/>
  <c r="P145"/>
  <c r="R145"/>
  <c r="L145"/>
  <c r="N145"/>
  <c r="U159" i="20"/>
  <c r="AB159" s="1"/>
  <c r="W159"/>
  <c r="AG159" s="1"/>
  <c r="V159"/>
  <c r="S159"/>
  <c r="T159"/>
  <c r="R159"/>
  <c r="P159"/>
  <c r="M159"/>
  <c r="Q159"/>
  <c r="Y159" s="1"/>
  <c r="K159"/>
  <c r="N159"/>
  <c r="AW159"/>
  <c r="AE159"/>
  <c r="AF159" s="1"/>
  <c r="AC159"/>
  <c r="L159"/>
  <c r="AX159"/>
  <c r="AA159"/>
  <c r="Q161" i="15"/>
  <c r="O161"/>
  <c r="M161"/>
  <c r="K161"/>
  <c r="P161"/>
  <c r="R161"/>
  <c r="L161"/>
  <c r="N161"/>
  <c r="U175" i="20"/>
  <c r="AB175" s="1"/>
  <c r="W175"/>
  <c r="AG175" s="1"/>
  <c r="V175"/>
  <c r="S175"/>
  <c r="T175"/>
  <c r="R175"/>
  <c r="P175"/>
  <c r="M175"/>
  <c r="Q175"/>
  <c r="K175"/>
  <c r="N175"/>
  <c r="AC175"/>
  <c r="AA175"/>
  <c r="L175"/>
  <c r="AW175"/>
  <c r="AE175"/>
  <c r="AF175" s="1"/>
  <c r="AX175"/>
  <c r="Q177" i="15"/>
  <c r="O177"/>
  <c r="M177"/>
  <c r="K177"/>
  <c r="P177"/>
  <c r="R177"/>
  <c r="L177"/>
  <c r="N177"/>
  <c r="U191" i="20"/>
  <c r="AB191" s="1"/>
  <c r="W191"/>
  <c r="AG191" s="1"/>
  <c r="V191"/>
  <c r="S191"/>
  <c r="T191"/>
  <c r="AA191" s="1"/>
  <c r="R191"/>
  <c r="P191"/>
  <c r="M191"/>
  <c r="Q191"/>
  <c r="Y191" s="1"/>
  <c r="K191"/>
  <c r="N191"/>
  <c r="AX191"/>
  <c r="AW191"/>
  <c r="AE191"/>
  <c r="AF191" s="1"/>
  <c r="AC191"/>
  <c r="L191"/>
  <c r="Q193" i="15"/>
  <c r="O193"/>
  <c r="M193"/>
  <c r="K193"/>
  <c r="P193"/>
  <c r="R193"/>
  <c r="L193"/>
  <c r="N193"/>
  <c r="L207" i="20"/>
  <c r="P207"/>
  <c r="T207"/>
  <c r="AA207" s="1"/>
  <c r="AC207"/>
  <c r="K207"/>
  <c r="S207"/>
  <c r="W207"/>
  <c r="AG207" s="1"/>
  <c r="N207"/>
  <c r="R207"/>
  <c r="V207"/>
  <c r="M207"/>
  <c r="Q207"/>
  <c r="U207"/>
  <c r="AB207" s="1"/>
  <c r="AE207"/>
  <c r="AF207" s="1"/>
  <c r="AW207"/>
  <c r="AX207"/>
  <c r="P140" i="15"/>
  <c r="R140"/>
  <c r="L140"/>
  <c r="N140"/>
  <c r="Q140"/>
  <c r="O140"/>
  <c r="M140"/>
  <c r="K140"/>
  <c r="T154" i="20"/>
  <c r="AA154" s="1"/>
  <c r="W154"/>
  <c r="AG154" s="1"/>
  <c r="U154"/>
  <c r="AB154" s="1"/>
  <c r="Q154"/>
  <c r="V154"/>
  <c r="S154"/>
  <c r="R154"/>
  <c r="L154"/>
  <c r="P154"/>
  <c r="M154"/>
  <c r="K154"/>
  <c r="AW154"/>
  <c r="AX154"/>
  <c r="AC154"/>
  <c r="AE154"/>
  <c r="AF154" s="1"/>
  <c r="N154"/>
  <c r="P156" i="15"/>
  <c r="R156"/>
  <c r="L156"/>
  <c r="N156"/>
  <c r="Q156"/>
  <c r="O156"/>
  <c r="M156"/>
  <c r="K156"/>
  <c r="T170" i="20"/>
  <c r="W170"/>
  <c r="AG170" s="1"/>
  <c r="U170"/>
  <c r="AB170" s="1"/>
  <c r="Q170"/>
  <c r="V170"/>
  <c r="S170"/>
  <c r="R170"/>
  <c r="L170"/>
  <c r="P170"/>
  <c r="M170"/>
  <c r="K170"/>
  <c r="AC170"/>
  <c r="AA170"/>
  <c r="AW170"/>
  <c r="N170"/>
  <c r="AX170"/>
  <c r="AE170"/>
  <c r="AF170" s="1"/>
  <c r="P172" i="15"/>
  <c r="R172"/>
  <c r="L172"/>
  <c r="N172"/>
  <c r="Q172"/>
  <c r="O172"/>
  <c r="M172"/>
  <c r="K172"/>
  <c r="T186" i="20"/>
  <c r="AA186" s="1"/>
  <c r="W186"/>
  <c r="AG186" s="1"/>
  <c r="U186"/>
  <c r="AB186" s="1"/>
  <c r="Q186"/>
  <c r="V186"/>
  <c r="S186"/>
  <c r="R186"/>
  <c r="L186"/>
  <c r="P186"/>
  <c r="M186"/>
  <c r="K186"/>
  <c r="AE186"/>
  <c r="AF186" s="1"/>
  <c r="N186"/>
  <c r="AW186"/>
  <c r="AX186"/>
  <c r="AC186"/>
  <c r="P188" i="15"/>
  <c r="R188"/>
  <c r="L188"/>
  <c r="N188"/>
  <c r="Q188"/>
  <c r="O188"/>
  <c r="M188"/>
  <c r="K188"/>
  <c r="T202" i="20"/>
  <c r="W202"/>
  <c r="AG202" s="1"/>
  <c r="U202"/>
  <c r="Q202"/>
  <c r="V202"/>
  <c r="S202"/>
  <c r="R202"/>
  <c r="L202"/>
  <c r="P202"/>
  <c r="K202"/>
  <c r="M202"/>
  <c r="AX202"/>
  <c r="AA202"/>
  <c r="AE202"/>
  <c r="AF202" s="1"/>
  <c r="AB202"/>
  <c r="AC202"/>
  <c r="AW202"/>
  <c r="N202"/>
  <c r="R204" i="15"/>
  <c r="O204"/>
  <c r="N204"/>
  <c r="K204"/>
  <c r="P204"/>
  <c r="Q204"/>
  <c r="M204"/>
  <c r="L204"/>
  <c r="W145" i="20"/>
  <c r="AG145" s="1"/>
  <c r="S145"/>
  <c r="T145"/>
  <c r="AA145" s="1"/>
  <c r="P145"/>
  <c r="U145"/>
  <c r="AB145" s="1"/>
  <c r="V145"/>
  <c r="R145"/>
  <c r="Q145"/>
  <c r="L145"/>
  <c r="K145"/>
  <c r="M145"/>
  <c r="AE145"/>
  <c r="AF145" s="1"/>
  <c r="AC145"/>
  <c r="AW145"/>
  <c r="N145"/>
  <c r="AX145"/>
  <c r="L147" i="15"/>
  <c r="N147"/>
  <c r="Q147"/>
  <c r="O147"/>
  <c r="M147"/>
  <c r="K147"/>
  <c r="P147"/>
  <c r="R147"/>
  <c r="W161" i="20"/>
  <c r="AG161" s="1"/>
  <c r="S161"/>
  <c r="T161"/>
  <c r="P161"/>
  <c r="U161"/>
  <c r="AB161" s="1"/>
  <c r="V161"/>
  <c r="R161"/>
  <c r="Q161"/>
  <c r="L161"/>
  <c r="K161"/>
  <c r="M161"/>
  <c r="N161"/>
  <c r="AE161"/>
  <c r="AF161" s="1"/>
  <c r="AW161"/>
  <c r="AA161"/>
  <c r="AX161"/>
  <c r="AC161"/>
  <c r="L163" i="15"/>
  <c r="N163"/>
  <c r="Q163"/>
  <c r="O163"/>
  <c r="M163"/>
  <c r="K163"/>
  <c r="P163"/>
  <c r="AT163" s="1"/>
  <c r="P160" i="11" s="1"/>
  <c r="R163" i="15"/>
  <c r="W177" i="20"/>
  <c r="AG177" s="1"/>
  <c r="S177"/>
  <c r="T177"/>
  <c r="AA177" s="1"/>
  <c r="P177"/>
  <c r="U177"/>
  <c r="V177"/>
  <c r="R177"/>
  <c r="Q177"/>
  <c r="L177"/>
  <c r="K177"/>
  <c r="M177"/>
  <c r="AX177"/>
  <c r="AB177"/>
  <c r="AE177"/>
  <c r="AF177" s="1"/>
  <c r="AC177"/>
  <c r="AW177"/>
  <c r="N177"/>
  <c r="L179" i="15"/>
  <c r="N179"/>
  <c r="Q179"/>
  <c r="O179"/>
  <c r="M179"/>
  <c r="K179"/>
  <c r="P179"/>
  <c r="R179"/>
  <c r="W193" i="20"/>
  <c r="AG193" s="1"/>
  <c r="S193"/>
  <c r="T193"/>
  <c r="P193"/>
  <c r="U193"/>
  <c r="AB193" s="1"/>
  <c r="V193"/>
  <c r="R193"/>
  <c r="Q193"/>
  <c r="L193"/>
  <c r="M193"/>
  <c r="K193"/>
  <c r="AW193"/>
  <c r="AX193"/>
  <c r="AC193"/>
  <c r="AA193"/>
  <c r="N193"/>
  <c r="AE193"/>
  <c r="AF193" s="1"/>
  <c r="L195" i="15"/>
  <c r="N195"/>
  <c r="Q195"/>
  <c r="O195"/>
  <c r="M195"/>
  <c r="K195"/>
  <c r="P195"/>
  <c r="R195"/>
  <c r="U10" i="20"/>
  <c r="T10"/>
  <c r="P10"/>
  <c r="Q10"/>
  <c r="L10"/>
  <c r="M10"/>
  <c r="N10"/>
  <c r="GS58" i="9"/>
  <c r="GS67"/>
  <c r="GS82"/>
  <c r="GS89"/>
  <c r="GS107"/>
  <c r="GS114"/>
  <c r="GS126"/>
  <c r="GS146"/>
  <c r="GS163"/>
  <c r="GS175"/>
  <c r="GS182"/>
  <c r="GS74"/>
  <c r="GS86"/>
  <c r="GS102"/>
  <c r="GS118"/>
  <c r="GS164"/>
  <c r="GS56"/>
  <c r="GS103"/>
  <c r="GS110"/>
  <c r="GS184"/>
  <c r="GS186"/>
  <c r="DD3"/>
  <c r="DD209" s="1"/>
  <c r="B16" i="6" s="1"/>
  <c r="DK7" i="9"/>
  <c r="DK3"/>
  <c r="DR6"/>
  <c r="DP3"/>
  <c r="GZ16"/>
  <c r="HA16" s="1"/>
  <c r="GZ20"/>
  <c r="HA20" s="1"/>
  <c r="GZ24"/>
  <c r="HA24" s="1"/>
  <c r="GZ28"/>
  <c r="HA28" s="1"/>
  <c r="GZ32"/>
  <c r="HA32" s="1"/>
  <c r="GZ36"/>
  <c r="HA36" s="1"/>
  <c r="GZ15"/>
  <c r="HA15" s="1"/>
  <c r="GZ19"/>
  <c r="HA19" s="1"/>
  <c r="GZ23"/>
  <c r="HA23" s="1"/>
  <c r="GZ27"/>
  <c r="HA27" s="1"/>
  <c r="GZ31"/>
  <c r="HA31" s="1"/>
  <c r="GZ35"/>
  <c r="HA35" s="1"/>
  <c r="GZ10"/>
  <c r="HA10" s="1"/>
  <c r="GZ14"/>
  <c r="HA14" s="1"/>
  <c r="GZ18"/>
  <c r="HA18" s="1"/>
  <c r="GZ22"/>
  <c r="HA22" s="1"/>
  <c r="GZ26"/>
  <c r="HA26" s="1"/>
  <c r="GZ30"/>
  <c r="HA30" s="1"/>
  <c r="GZ34"/>
  <c r="HA34" s="1"/>
  <c r="GZ17"/>
  <c r="HA17" s="1"/>
  <c r="GZ21"/>
  <c r="HA21" s="1"/>
  <c r="GZ25"/>
  <c r="HA25" s="1"/>
  <c r="GZ29"/>
  <c r="HA29" s="1"/>
  <c r="GZ33"/>
  <c r="HA33" s="1"/>
  <c r="GZ37"/>
  <c r="HA37" s="1"/>
  <c r="K11" i="11"/>
  <c r="AX213" i="9"/>
  <c r="H9" i="6" s="1"/>
  <c r="AV215" i="9"/>
  <c r="AY213"/>
  <c r="I9" i="6" s="1"/>
  <c r="AV211" i="9"/>
  <c r="AV214" s="1"/>
  <c r="AW213"/>
  <c r="G9" i="6" s="1"/>
  <c r="K6" i="11"/>
  <c r="ER71" i="9"/>
  <c r="EV71"/>
  <c r="ES71"/>
  <c r="EU71"/>
  <c r="ET101"/>
  <c r="ER101"/>
  <c r="EU101"/>
  <c r="ES101"/>
  <c r="ET99"/>
  <c r="EV99"/>
  <c r="EU99"/>
  <c r="ES99"/>
  <c r="ER99"/>
  <c r="EU165"/>
  <c r="ER165"/>
  <c r="EV165"/>
  <c r="ET165"/>
  <c r="ET131"/>
  <c r="EU131"/>
  <c r="ER131"/>
  <c r="ES131"/>
  <c r="EV131"/>
  <c r="ER60"/>
  <c r="EV60"/>
  <c r="ES60"/>
  <c r="EU60"/>
  <c r="ER104"/>
  <c r="EV104"/>
  <c r="ET104"/>
  <c r="ES104"/>
  <c r="EU104"/>
  <c r="EU140"/>
  <c r="EV140"/>
  <c r="ET140"/>
  <c r="ER140"/>
  <c r="ES46"/>
  <c r="EV46"/>
  <c r="ER46"/>
  <c r="EU46"/>
  <c r="ER68"/>
  <c r="EV68"/>
  <c r="ES68"/>
  <c r="EU68"/>
  <c r="ET94"/>
  <c r="ER94"/>
  <c r="ES94"/>
  <c r="EU94"/>
  <c r="ET114"/>
  <c r="ER114"/>
  <c r="EV114"/>
  <c r="ES114"/>
  <c r="ET124"/>
  <c r="ER124"/>
  <c r="EV124"/>
  <c r="ES124"/>
  <c r="ET136"/>
  <c r="ER136"/>
  <c r="ES136"/>
  <c r="EV136"/>
  <c r="EU146"/>
  <c r="ET146"/>
  <c r="EV146"/>
  <c r="ER146"/>
  <c r="EU156"/>
  <c r="EV156"/>
  <c r="ET156"/>
  <c r="ER156"/>
  <c r="EU168"/>
  <c r="EV168"/>
  <c r="ET168"/>
  <c r="ER168"/>
  <c r="EU178"/>
  <c r="ET178"/>
  <c r="EV178"/>
  <c r="ER178"/>
  <c r="EU188"/>
  <c r="EV188"/>
  <c r="ET188"/>
  <c r="ER188"/>
  <c r="EU200"/>
  <c r="EV200"/>
  <c r="ET200"/>
  <c r="ER200"/>
  <c r="ES39"/>
  <c r="EV39"/>
  <c r="ER39"/>
  <c r="EU39"/>
  <c r="ER57"/>
  <c r="EU57"/>
  <c r="EV57"/>
  <c r="ES57"/>
  <c r="ER85"/>
  <c r="EU85"/>
  <c r="EV85"/>
  <c r="ES85"/>
  <c r="EU143"/>
  <c r="ET143"/>
  <c r="ER143"/>
  <c r="EV143"/>
  <c r="EU191"/>
  <c r="ET191"/>
  <c r="ER191"/>
  <c r="EV191"/>
  <c r="ET123"/>
  <c r="EU123"/>
  <c r="ER123"/>
  <c r="ES123"/>
  <c r="EV123"/>
  <c r="EU155"/>
  <c r="ET155"/>
  <c r="ER155"/>
  <c r="EV155"/>
  <c r="EU187"/>
  <c r="ET187"/>
  <c r="ER187"/>
  <c r="EV187"/>
  <c r="ER63"/>
  <c r="EV63"/>
  <c r="ES63"/>
  <c r="EU63"/>
  <c r="ET93"/>
  <c r="ER93"/>
  <c r="EU93"/>
  <c r="ES93"/>
  <c r="ET125"/>
  <c r="EU125"/>
  <c r="EV125"/>
  <c r="ES125"/>
  <c r="ER125"/>
  <c r="EU157"/>
  <c r="ER157"/>
  <c r="EV157"/>
  <c r="ET157"/>
  <c r="EU189"/>
  <c r="ER189"/>
  <c r="EV189"/>
  <c r="ET189"/>
  <c r="ER59"/>
  <c r="EV59"/>
  <c r="ES59"/>
  <c r="EU59"/>
  <c r="ET91"/>
  <c r="EV91"/>
  <c r="ER91"/>
  <c r="EU91"/>
  <c r="ES91"/>
  <c r="ET121"/>
  <c r="EU121"/>
  <c r="ES121"/>
  <c r="EV121"/>
  <c r="ER121"/>
  <c r="EU153"/>
  <c r="ER153"/>
  <c r="EV153"/>
  <c r="ET153"/>
  <c r="EU185"/>
  <c r="ER185"/>
  <c r="EV185"/>
  <c r="ET185"/>
  <c r="ET130"/>
  <c r="ER130"/>
  <c r="EV130"/>
  <c r="ES130"/>
  <c r="EU166"/>
  <c r="ET166"/>
  <c r="EV166"/>
  <c r="ER166"/>
  <c r="ET126"/>
  <c r="ER126"/>
  <c r="EV126"/>
  <c r="ES126"/>
  <c r="ER78"/>
  <c r="ES78"/>
  <c r="EU78"/>
  <c r="EV78"/>
  <c r="ET108"/>
  <c r="ER108"/>
  <c r="EV108"/>
  <c r="ES108"/>
  <c r="ES141"/>
  <c r="ES145"/>
  <c r="ES149"/>
  <c r="ES153"/>
  <c r="ES157"/>
  <c r="ES161"/>
  <c r="ES165"/>
  <c r="ES169"/>
  <c r="ES173"/>
  <c r="ES177"/>
  <c r="ES181"/>
  <c r="ES185"/>
  <c r="ES188"/>
  <c r="ES192"/>
  <c r="ES196"/>
  <c r="ES200"/>
  <c r="ES204"/>
  <c r="ET40"/>
  <c r="ET41"/>
  <c r="ET44"/>
  <c r="ET45"/>
  <c r="ET48"/>
  <c r="ET49"/>
  <c r="ET52"/>
  <c r="ET53"/>
  <c r="ET56"/>
  <c r="ET57"/>
  <c r="ET60"/>
  <c r="ET61"/>
  <c r="ET64"/>
  <c r="ET71"/>
  <c r="ET78"/>
  <c r="ET82"/>
  <c r="EU118"/>
  <c r="EU120"/>
  <c r="EU122"/>
  <c r="EU124"/>
  <c r="EU126"/>
  <c r="EU128"/>
  <c r="EU130"/>
  <c r="EU132"/>
  <c r="EU134"/>
  <c r="EU136"/>
  <c r="FI12"/>
  <c r="FI18"/>
  <c r="FI20"/>
  <c r="FI24"/>
  <c r="FI28"/>
  <c r="FI30"/>
  <c r="FI32"/>
  <c r="FI36"/>
  <c r="FI40"/>
  <c r="FI44"/>
  <c r="FI46"/>
  <c r="FI52"/>
  <c r="FI56"/>
  <c r="FI60"/>
  <c r="FI62"/>
  <c r="FI70"/>
  <c r="FI74"/>
  <c r="FI76"/>
  <c r="FI78"/>
  <c r="FI88"/>
  <c r="FI92"/>
  <c r="FI94"/>
  <c r="FI100"/>
  <c r="FI104"/>
  <c r="FI108"/>
  <c r="FI110"/>
  <c r="FI112"/>
  <c r="FI116"/>
  <c r="FI120"/>
  <c r="FI124"/>
  <c r="FI126"/>
  <c r="FI132"/>
  <c r="FI136"/>
  <c r="FI140"/>
  <c r="FI142"/>
  <c r="FI148"/>
  <c r="FI152"/>
  <c r="FI156"/>
  <c r="FI158"/>
  <c r="FI160"/>
  <c r="FI168"/>
  <c r="FI176"/>
  <c r="FI184"/>
  <c r="FI186"/>
  <c r="FI200"/>
  <c r="FI202"/>
  <c r="ER72"/>
  <c r="EV72"/>
  <c r="ES72"/>
  <c r="EU72"/>
  <c r="ER96"/>
  <c r="EV96"/>
  <c r="ET96"/>
  <c r="ES96"/>
  <c r="EU96"/>
  <c r="ET128"/>
  <c r="ER128"/>
  <c r="ES128"/>
  <c r="EV128"/>
  <c r="ER56"/>
  <c r="EV56"/>
  <c r="ES56"/>
  <c r="EU56"/>
  <c r="ER84"/>
  <c r="EV84"/>
  <c r="ES84"/>
  <c r="EU84"/>
  <c r="ET102"/>
  <c r="ER102"/>
  <c r="ES102"/>
  <c r="EU102"/>
  <c r="ES44"/>
  <c r="EV44"/>
  <c r="ER44"/>
  <c r="EU44"/>
  <c r="ER54"/>
  <c r="ES54"/>
  <c r="EU54"/>
  <c r="EV54"/>
  <c r="ER64"/>
  <c r="EV64"/>
  <c r="ES64"/>
  <c r="EU64"/>
  <c r="ER80"/>
  <c r="EV80"/>
  <c r="ES80"/>
  <c r="EU80"/>
  <c r="ER92"/>
  <c r="EV92"/>
  <c r="ET92"/>
  <c r="EU92"/>
  <c r="ES92"/>
  <c r="ER100"/>
  <c r="EV100"/>
  <c r="ET100"/>
  <c r="EU100"/>
  <c r="ES100"/>
  <c r="ET112"/>
  <c r="ER112"/>
  <c r="ES112"/>
  <c r="EV112"/>
  <c r="ET120"/>
  <c r="ER120"/>
  <c r="ES120"/>
  <c r="EV120"/>
  <c r="ET134"/>
  <c r="ER134"/>
  <c r="EV134"/>
  <c r="ES134"/>
  <c r="EU144"/>
  <c r="EV144"/>
  <c r="ET144"/>
  <c r="ER144"/>
  <c r="EU152"/>
  <c r="EV152"/>
  <c r="ET152"/>
  <c r="ER152"/>
  <c r="EU164"/>
  <c r="EV164"/>
  <c r="ET164"/>
  <c r="ER164"/>
  <c r="EU176"/>
  <c r="EV176"/>
  <c r="ET176"/>
  <c r="ER176"/>
  <c r="EU184"/>
  <c r="EV184"/>
  <c r="ET184"/>
  <c r="ER184"/>
  <c r="EU196"/>
  <c r="EV196"/>
  <c r="ET196"/>
  <c r="ER196"/>
  <c r="ER53"/>
  <c r="EU53"/>
  <c r="EV53"/>
  <c r="ES53"/>
  <c r="ER69"/>
  <c r="EU69"/>
  <c r="EV69"/>
  <c r="ES69"/>
  <c r="ER81"/>
  <c r="EU81"/>
  <c r="EV81"/>
  <c r="ES81"/>
  <c r="EU183"/>
  <c r="ET183"/>
  <c r="ER183"/>
  <c r="EV183"/>
  <c r="EU207"/>
  <c r="ET207"/>
  <c r="ER207"/>
  <c r="EV207"/>
  <c r="ET115"/>
  <c r="EU115"/>
  <c r="ER115"/>
  <c r="ES115"/>
  <c r="EV115"/>
  <c r="EU147"/>
  <c r="ET147"/>
  <c r="ER147"/>
  <c r="EV147"/>
  <c r="EU179"/>
  <c r="ET179"/>
  <c r="ER179"/>
  <c r="EV179"/>
  <c r="ER55"/>
  <c r="EV55"/>
  <c r="ES55"/>
  <c r="EU55"/>
  <c r="ER87"/>
  <c r="EV87"/>
  <c r="ES87"/>
  <c r="EU87"/>
  <c r="ET117"/>
  <c r="EU117"/>
  <c r="EV117"/>
  <c r="ES117"/>
  <c r="ER117"/>
  <c r="EU149"/>
  <c r="ER149"/>
  <c r="EV149"/>
  <c r="ET149"/>
  <c r="EU181"/>
  <c r="ER181"/>
  <c r="EV181"/>
  <c r="ET181"/>
  <c r="ER51"/>
  <c r="EV51"/>
  <c r="ES51"/>
  <c r="EU51"/>
  <c r="ER83"/>
  <c r="EV83"/>
  <c r="ES83"/>
  <c r="EU83"/>
  <c r="ET113"/>
  <c r="EU113"/>
  <c r="ES113"/>
  <c r="EV113"/>
  <c r="ER113"/>
  <c r="EU145"/>
  <c r="ER145"/>
  <c r="EV145"/>
  <c r="ET145"/>
  <c r="EU177"/>
  <c r="ER177"/>
  <c r="EV177"/>
  <c r="ET177"/>
  <c r="ER70"/>
  <c r="ES70"/>
  <c r="EU70"/>
  <c r="EV70"/>
  <c r="ET127"/>
  <c r="EU127"/>
  <c r="ER127"/>
  <c r="EV127"/>
  <c r="ES127"/>
  <c r="EU162"/>
  <c r="ET162"/>
  <c r="EV162"/>
  <c r="ER162"/>
  <c r="EU198"/>
  <c r="ET198"/>
  <c r="EV198"/>
  <c r="ER198"/>
  <c r="ER90"/>
  <c r="ET90"/>
  <c r="EU90"/>
  <c r="ES90"/>
  <c r="ET122"/>
  <c r="ER122"/>
  <c r="EV122"/>
  <c r="ES122"/>
  <c r="EU154"/>
  <c r="ET154"/>
  <c r="EV154"/>
  <c r="ER154"/>
  <c r="EU186"/>
  <c r="ET186"/>
  <c r="EV186"/>
  <c r="ER186"/>
  <c r="ER106"/>
  <c r="ET106"/>
  <c r="EU106"/>
  <c r="ES106"/>
  <c r="EU138"/>
  <c r="ET138"/>
  <c r="EV138"/>
  <c r="ER138"/>
  <c r="EU170"/>
  <c r="ET170"/>
  <c r="EV170"/>
  <c r="ER170"/>
  <c r="EU202"/>
  <c r="ET202"/>
  <c r="EV202"/>
  <c r="ER202"/>
  <c r="ER82"/>
  <c r="ES82"/>
  <c r="EU82"/>
  <c r="EV82"/>
  <c r="EU175"/>
  <c r="ET175"/>
  <c r="ER175"/>
  <c r="EV175"/>
  <c r="ES138"/>
  <c r="ES142"/>
  <c r="ES146"/>
  <c r="ES150"/>
  <c r="ES154"/>
  <c r="ES158"/>
  <c r="ES162"/>
  <c r="ES166"/>
  <c r="ES170"/>
  <c r="ES174"/>
  <c r="ES178"/>
  <c r="ES182"/>
  <c r="ES186"/>
  <c r="ES189"/>
  <c r="ES193"/>
  <c r="ES197"/>
  <c r="ES201"/>
  <c r="ES205"/>
  <c r="ET68"/>
  <c r="ET69"/>
  <c r="ET72"/>
  <c r="ET73"/>
  <c r="ET79"/>
  <c r="ET86"/>
  <c r="EV90"/>
  <c r="EV94"/>
  <c r="EV98"/>
  <c r="ES48"/>
  <c r="EV48"/>
  <c r="ER48"/>
  <c r="EU48"/>
  <c r="ES40"/>
  <c r="EV40"/>
  <c r="ER40"/>
  <c r="EU40"/>
  <c r="ER52"/>
  <c r="EV52"/>
  <c r="ES52"/>
  <c r="EU52"/>
  <c r="ER62"/>
  <c r="ES62"/>
  <c r="EU62"/>
  <c r="EV62"/>
  <c r="ER76"/>
  <c r="EV76"/>
  <c r="ES76"/>
  <c r="EU76"/>
  <c r="ER88"/>
  <c r="EV88"/>
  <c r="ES88"/>
  <c r="EU88"/>
  <c r="ER98"/>
  <c r="ET98"/>
  <c r="EU98"/>
  <c r="ES98"/>
  <c r="ET110"/>
  <c r="ER110"/>
  <c r="EV110"/>
  <c r="ES110"/>
  <c r="ET118"/>
  <c r="ER118"/>
  <c r="EV118"/>
  <c r="ES118"/>
  <c r="ET132"/>
  <c r="ER132"/>
  <c r="EV132"/>
  <c r="ES132"/>
  <c r="EU142"/>
  <c r="ET142"/>
  <c r="EV142"/>
  <c r="ER142"/>
  <c r="EU150"/>
  <c r="ET150"/>
  <c r="EV150"/>
  <c r="ER150"/>
  <c r="EU160"/>
  <c r="EV160"/>
  <c r="ET160"/>
  <c r="ER160"/>
  <c r="EU174"/>
  <c r="ET174"/>
  <c r="EV174"/>
  <c r="ER174"/>
  <c r="EU182"/>
  <c r="ET182"/>
  <c r="EV182"/>
  <c r="ER182"/>
  <c r="EU192"/>
  <c r="EV192"/>
  <c r="ET192"/>
  <c r="ER192"/>
  <c r="EU206"/>
  <c r="ET206"/>
  <c r="EV206"/>
  <c r="ER206"/>
  <c r="ES49"/>
  <c r="EV49"/>
  <c r="ER49"/>
  <c r="EU49"/>
  <c r="ER65"/>
  <c r="EU65"/>
  <c r="EV65"/>
  <c r="ES65"/>
  <c r="ER77"/>
  <c r="EU77"/>
  <c r="EV77"/>
  <c r="ES77"/>
  <c r="ET95"/>
  <c r="EV95"/>
  <c r="ES95"/>
  <c r="ER95"/>
  <c r="EU95"/>
  <c r="ET119"/>
  <c r="EU119"/>
  <c r="ER119"/>
  <c r="EV119"/>
  <c r="ES119"/>
  <c r="EU201"/>
  <c r="ER201"/>
  <c r="EV201"/>
  <c r="ET201"/>
  <c r="ET107"/>
  <c r="EU107"/>
  <c r="ER107"/>
  <c r="ES107"/>
  <c r="EV107"/>
  <c r="EU139"/>
  <c r="ET139"/>
  <c r="ER139"/>
  <c r="EV139"/>
  <c r="EU171"/>
  <c r="ET171"/>
  <c r="ER171"/>
  <c r="EV171"/>
  <c r="EU203"/>
  <c r="ET203"/>
  <c r="ER203"/>
  <c r="EV203"/>
  <c r="ES47"/>
  <c r="EV47"/>
  <c r="ER47"/>
  <c r="EU47"/>
  <c r="ER79"/>
  <c r="EV79"/>
  <c r="ES79"/>
  <c r="EU79"/>
  <c r="ET109"/>
  <c r="EU109"/>
  <c r="EV109"/>
  <c r="ES109"/>
  <c r="ER109"/>
  <c r="EU141"/>
  <c r="ER141"/>
  <c r="EV141"/>
  <c r="ET141"/>
  <c r="EU173"/>
  <c r="ER173"/>
  <c r="EV173"/>
  <c r="ET173"/>
  <c r="EU205"/>
  <c r="ER205"/>
  <c r="EV205"/>
  <c r="ET205"/>
  <c r="ES43"/>
  <c r="EV43"/>
  <c r="ER43"/>
  <c r="EU43"/>
  <c r="ER75"/>
  <c r="EV75"/>
  <c r="ES75"/>
  <c r="EU75"/>
  <c r="ET105"/>
  <c r="ER105"/>
  <c r="EU105"/>
  <c r="ES105"/>
  <c r="ET137"/>
  <c r="EU137"/>
  <c r="ES137"/>
  <c r="EV137"/>
  <c r="ER137"/>
  <c r="EU169"/>
  <c r="ER169"/>
  <c r="EV169"/>
  <c r="ET169"/>
  <c r="ER66"/>
  <c r="ES66"/>
  <c r="EU66"/>
  <c r="EV66"/>
  <c r="EU159"/>
  <c r="ET159"/>
  <c r="ER159"/>
  <c r="EV159"/>
  <c r="EU194"/>
  <c r="ET194"/>
  <c r="EV194"/>
  <c r="ER194"/>
  <c r="ER58"/>
  <c r="ES58"/>
  <c r="EU58"/>
  <c r="EV58"/>
  <c r="EU151"/>
  <c r="ET151"/>
  <c r="ER151"/>
  <c r="EV151"/>
  <c r="ES45"/>
  <c r="EV45"/>
  <c r="ER45"/>
  <c r="EU45"/>
  <c r="ER74"/>
  <c r="ES74"/>
  <c r="EU74"/>
  <c r="EV74"/>
  <c r="ET103"/>
  <c r="EV103"/>
  <c r="ES103"/>
  <c r="EU103"/>
  <c r="ER103"/>
  <c r="ET135"/>
  <c r="EU135"/>
  <c r="ER135"/>
  <c r="EV135"/>
  <c r="ES135"/>
  <c r="EU167"/>
  <c r="ET167"/>
  <c r="ER167"/>
  <c r="EV167"/>
  <c r="EU199"/>
  <c r="ET199"/>
  <c r="ER199"/>
  <c r="EV199"/>
  <c r="ES139"/>
  <c r="ES143"/>
  <c r="ES147"/>
  <c r="ES151"/>
  <c r="ES155"/>
  <c r="ES159"/>
  <c r="ES163"/>
  <c r="ES167"/>
  <c r="ES171"/>
  <c r="ES175"/>
  <c r="ES179"/>
  <c r="ES183"/>
  <c r="ES190"/>
  <c r="ES194"/>
  <c r="ES198"/>
  <c r="ES202"/>
  <c r="ES206"/>
  <c r="ET75"/>
  <c r="ET67"/>
  <c r="ET38"/>
  <c r="ET42"/>
  <c r="ET46"/>
  <c r="ET50"/>
  <c r="ET54"/>
  <c r="ET58"/>
  <c r="ET62"/>
  <c r="ET66"/>
  <c r="ET76"/>
  <c r="ET77"/>
  <c r="ET80"/>
  <c r="ET81"/>
  <c r="ET87"/>
  <c r="EV101"/>
  <c r="EV102"/>
  <c r="EV105"/>
  <c r="EV106"/>
  <c r="FI11"/>
  <c r="FI23"/>
  <c r="FI25"/>
  <c r="FI39"/>
  <c r="FI41"/>
  <c r="FI55"/>
  <c r="FI57"/>
  <c r="FI71"/>
  <c r="FI73"/>
  <c r="FI87"/>
  <c r="FI89"/>
  <c r="FI103"/>
  <c r="FI105"/>
  <c r="FI119"/>
  <c r="FI121"/>
  <c r="FI135"/>
  <c r="FI137"/>
  <c r="FI151"/>
  <c r="FI153"/>
  <c r="FI163"/>
  <c r="FI165"/>
  <c r="FI171"/>
  <c r="FI173"/>
  <c r="FI179"/>
  <c r="FI181"/>
  <c r="FI185"/>
  <c r="FI189"/>
  <c r="FI191"/>
  <c r="FI197"/>
  <c r="FI201"/>
  <c r="FI205"/>
  <c r="FI207"/>
  <c r="ES38"/>
  <c r="EV38"/>
  <c r="ER38"/>
  <c r="EU38"/>
  <c r="ER86"/>
  <c r="ES86"/>
  <c r="EU86"/>
  <c r="EV86"/>
  <c r="ET116"/>
  <c r="ER116"/>
  <c r="EV116"/>
  <c r="ES116"/>
  <c r="EU148"/>
  <c r="EV148"/>
  <c r="ET148"/>
  <c r="ER148"/>
  <c r="EU158"/>
  <c r="ET158"/>
  <c r="EV158"/>
  <c r="ER158"/>
  <c r="EU172"/>
  <c r="EV172"/>
  <c r="ET172"/>
  <c r="ER172"/>
  <c r="EU180"/>
  <c r="EV180"/>
  <c r="ET180"/>
  <c r="ER180"/>
  <c r="EU190"/>
  <c r="ET190"/>
  <c r="EV190"/>
  <c r="ER190"/>
  <c r="EU204"/>
  <c r="EV204"/>
  <c r="ET204"/>
  <c r="ER204"/>
  <c r="ES41"/>
  <c r="EV41"/>
  <c r="ER41"/>
  <c r="EU41"/>
  <c r="ER61"/>
  <c r="EU61"/>
  <c r="EV61"/>
  <c r="ES61"/>
  <c r="ER73"/>
  <c r="EU73"/>
  <c r="EV73"/>
  <c r="ES73"/>
  <c r="ER89"/>
  <c r="EU89"/>
  <c r="ET89"/>
  <c r="ES89"/>
  <c r="ET111"/>
  <c r="EU111"/>
  <c r="ER111"/>
  <c r="EV111"/>
  <c r="ES111"/>
  <c r="EU161"/>
  <c r="ER161"/>
  <c r="EV161"/>
  <c r="ET161"/>
  <c r="EU195"/>
  <c r="ET195"/>
  <c r="ER195"/>
  <c r="EV195"/>
  <c r="EU163"/>
  <c r="ET163"/>
  <c r="ER163"/>
  <c r="EV163"/>
  <c r="ET133"/>
  <c r="EU133"/>
  <c r="EV133"/>
  <c r="ES133"/>
  <c r="ER133"/>
  <c r="EU197"/>
  <c r="ER197"/>
  <c r="EV197"/>
  <c r="ET197"/>
  <c r="ER67"/>
  <c r="EV67"/>
  <c r="ES67"/>
  <c r="EU67"/>
  <c r="ET97"/>
  <c r="ER97"/>
  <c r="EU97"/>
  <c r="ES97"/>
  <c r="ET129"/>
  <c r="EU129"/>
  <c r="ES129"/>
  <c r="EV129"/>
  <c r="ER129"/>
  <c r="EU193"/>
  <c r="ER193"/>
  <c r="EV193"/>
  <c r="ET193"/>
  <c r="ES42"/>
  <c r="EV42"/>
  <c r="ER42"/>
  <c r="EU42"/>
  <c r="ES50"/>
  <c r="EV50"/>
  <c r="ER50"/>
  <c r="EU50"/>
  <c r="ES140"/>
  <c r="ES144"/>
  <c r="ES148"/>
  <c r="ES152"/>
  <c r="ES156"/>
  <c r="ES160"/>
  <c r="ES164"/>
  <c r="ES168"/>
  <c r="ES172"/>
  <c r="ES176"/>
  <c r="ES180"/>
  <c r="ES184"/>
  <c r="ES187"/>
  <c r="ES191"/>
  <c r="ES195"/>
  <c r="ES199"/>
  <c r="ES203"/>
  <c r="ES207"/>
  <c r="ET83"/>
  <c r="ET39"/>
  <c r="ET43"/>
  <c r="ET51"/>
  <c r="ET55"/>
  <c r="ET59"/>
  <c r="ET63"/>
  <c r="ET70"/>
  <c r="ET74"/>
  <c r="ET84"/>
  <c r="ET85"/>
  <c r="ET88"/>
  <c r="EV89"/>
  <c r="EV93"/>
  <c r="EV97"/>
  <c r="EU108"/>
  <c r="EU110"/>
  <c r="EU112"/>
  <c r="EU114"/>
  <c r="EU116"/>
  <c r="T13"/>
  <c r="T9"/>
  <c r="T17"/>
  <c r="T14"/>
  <c r="T26"/>
  <c r="T34"/>
  <c r="T11"/>
  <c r="T33"/>
  <c r="T16"/>
  <c r="T32"/>
  <c r="T10"/>
  <c r="T15"/>
  <c r="T23"/>
  <c r="T31"/>
  <c r="T25"/>
  <c r="T24"/>
  <c r="T18"/>
  <c r="T30"/>
  <c r="T22"/>
  <c r="T21"/>
  <c r="T29"/>
  <c r="T37"/>
  <c r="T12"/>
  <c r="T20"/>
  <c r="T28"/>
  <c r="T36"/>
  <c r="T19"/>
  <c r="T27"/>
  <c r="T35"/>
  <c r="A10" i="8"/>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9"/>
  <c r="J8"/>
  <c r="D8"/>
  <c r="C8" i="9" s="1"/>
  <c r="D9" i="20" s="1"/>
  <c r="AB67" i="7"/>
  <c r="AB66"/>
  <c r="AB64"/>
  <c r="AB65"/>
  <c r="AB55"/>
  <c r="AB56"/>
  <c r="AB57"/>
  <c r="AB58"/>
  <c r="AB59"/>
  <c r="AB60"/>
  <c r="AB61"/>
  <c r="AB62"/>
  <c r="AB63"/>
  <c r="AB54"/>
  <c r="AB45"/>
  <c r="AB46"/>
  <c r="AB47"/>
  <c r="AB48"/>
  <c r="AB49"/>
  <c r="AB50"/>
  <c r="AB51"/>
  <c r="AB52"/>
  <c r="AB53"/>
  <c r="AB44"/>
  <c r="AB40"/>
  <c r="AB41"/>
  <c r="AB42"/>
  <c r="AB43"/>
  <c r="AB39"/>
  <c r="G21"/>
  <c r="G20"/>
  <c r="G4"/>
  <c r="H4"/>
  <c r="DK9" i="9" l="1"/>
  <c r="I20" i="4" s="1"/>
  <c r="G20"/>
  <c r="Y92" i="20"/>
  <c r="Y108"/>
  <c r="K20" i="4"/>
  <c r="K21" s="1"/>
  <c r="DR11" i="9"/>
  <c r="M20" i="4"/>
  <c r="M21" s="1"/>
  <c r="DP9" i="9"/>
  <c r="DW9"/>
  <c r="DS11"/>
  <c r="L20" i="4"/>
  <c r="L21" s="1"/>
  <c r="DH9" i="9"/>
  <c r="DU9"/>
  <c r="R11" i="20"/>
  <c r="Y137"/>
  <c r="Y171"/>
  <c r="Y30"/>
  <c r="DP13" i="9"/>
  <c r="DT13" s="1"/>
  <c r="DQ13"/>
  <c r="DP12"/>
  <c r="DT12" s="1"/>
  <c r="DQ12"/>
  <c r="DP11"/>
  <c r="DQ11"/>
  <c r="Y189" i="20"/>
  <c r="DV8" i="9"/>
  <c r="Y128" i="20"/>
  <c r="Y10"/>
  <c r="AD88"/>
  <c r="AD207"/>
  <c r="X132"/>
  <c r="AA18"/>
  <c r="X133"/>
  <c r="Y143"/>
  <c r="Y139"/>
  <c r="Y125"/>
  <c r="X20"/>
  <c r="Y151"/>
  <c r="X66"/>
  <c r="Y195"/>
  <c r="AB10"/>
  <c r="Y177"/>
  <c r="V18"/>
  <c r="K10" i="11"/>
  <c r="Y106" i="20"/>
  <c r="Y74"/>
  <c r="V19"/>
  <c r="Y120"/>
  <c r="AD54"/>
  <c r="Y163"/>
  <c r="Y196"/>
  <c r="Y148"/>
  <c r="Y52"/>
  <c r="Y107"/>
  <c r="AB12"/>
  <c r="Y174"/>
  <c r="Y69"/>
  <c r="Y81"/>
  <c r="Y182"/>
  <c r="AD105"/>
  <c r="V17"/>
  <c r="X130"/>
  <c r="Y82"/>
  <c r="X158"/>
  <c r="V10"/>
  <c r="Y136"/>
  <c r="Y173"/>
  <c r="AD37"/>
  <c r="Y38"/>
  <c r="Y111"/>
  <c r="Y63"/>
  <c r="AA15"/>
  <c r="Y20"/>
  <c r="Y178"/>
  <c r="Y49"/>
  <c r="R17"/>
  <c r="Y114"/>
  <c r="Y98"/>
  <c r="X50"/>
  <c r="Y96"/>
  <c r="Y12"/>
  <c r="Y23"/>
  <c r="X204"/>
  <c r="X34"/>
  <c r="R12"/>
  <c r="V13"/>
  <c r="AD28"/>
  <c r="AD192"/>
  <c r="Y90"/>
  <c r="Y72"/>
  <c r="Y86"/>
  <c r="Y127"/>
  <c r="R15"/>
  <c r="X36"/>
  <c r="X184"/>
  <c r="Y89"/>
  <c r="Y18"/>
  <c r="AA16"/>
  <c r="Y15"/>
  <c r="AA11"/>
  <c r="AD53"/>
  <c r="AA10"/>
  <c r="Y202"/>
  <c r="AT83" i="15"/>
  <c r="P80" i="11" s="1"/>
  <c r="AD81" i="20"/>
  <c r="Y56"/>
  <c r="Y205"/>
  <c r="Y157"/>
  <c r="Y21"/>
  <c r="AD38"/>
  <c r="Y116"/>
  <c r="X82"/>
  <c r="AD112"/>
  <c r="V16"/>
  <c r="Y16"/>
  <c r="AT167" i="15"/>
  <c r="P164" i="11" s="1"/>
  <c r="AD165" i="20"/>
  <c r="AD149"/>
  <c r="X69"/>
  <c r="AT55" i="15"/>
  <c r="P52" i="11" s="1"/>
  <c r="AT51" i="15"/>
  <c r="P48" i="11" s="1"/>
  <c r="AT47" i="15"/>
  <c r="P44" i="11" s="1"/>
  <c r="Y126" i="20"/>
  <c r="X94"/>
  <c r="Y39"/>
  <c r="AT195" i="15"/>
  <c r="P192" i="11" s="1"/>
  <c r="Y170" i="20"/>
  <c r="Y83"/>
  <c r="Y67"/>
  <c r="AD198"/>
  <c r="AD182"/>
  <c r="Y150"/>
  <c r="Y188"/>
  <c r="AD156"/>
  <c r="Y156"/>
  <c r="Y54"/>
  <c r="Y27"/>
  <c r="Y64"/>
  <c r="AD32"/>
  <c r="AA12"/>
  <c r="X148"/>
  <c r="X45"/>
  <c r="AB13"/>
  <c r="R14"/>
  <c r="AD44"/>
  <c r="Y25"/>
  <c r="Y26"/>
  <c r="Y40"/>
  <c r="X86"/>
  <c r="Y22"/>
  <c r="Y68"/>
  <c r="Y146"/>
  <c r="AT75" i="15"/>
  <c r="P72" i="11" s="1"/>
  <c r="X114" i="20"/>
  <c r="X98"/>
  <c r="AD117"/>
  <c r="Y117"/>
  <c r="AA14"/>
  <c r="Y203"/>
  <c r="Y84"/>
  <c r="AD169"/>
  <c r="Y73"/>
  <c r="AA17"/>
  <c r="Y164"/>
  <c r="Y46"/>
  <c r="AB14"/>
  <c r="Y103"/>
  <c r="AD92"/>
  <c r="T179" i="15"/>
  <c r="T147"/>
  <c r="T204"/>
  <c r="O186" i="20"/>
  <c r="Z186" s="1"/>
  <c r="X186"/>
  <c r="T172" i="15"/>
  <c r="AT172"/>
  <c r="P169" i="11" s="1"/>
  <c r="X154" i="20"/>
  <c r="O154"/>
  <c r="Z154" s="1"/>
  <c r="T140" i="15"/>
  <c r="AT140"/>
  <c r="P137" i="11" s="1"/>
  <c r="AT177" i="15"/>
  <c r="P174" i="11" s="1"/>
  <c r="T177" i="15"/>
  <c r="AD175" i="20"/>
  <c r="X175"/>
  <c r="O175"/>
  <c r="Z175" s="1"/>
  <c r="AT145" i="15"/>
  <c r="P142" i="11" s="1"/>
  <c r="T145" i="15"/>
  <c r="T194"/>
  <c r="AT194"/>
  <c r="P191" i="11" s="1"/>
  <c r="O176" i="20"/>
  <c r="Z176" s="1"/>
  <c r="X176"/>
  <c r="T162" i="15"/>
  <c r="AT162"/>
  <c r="P159" i="11" s="1"/>
  <c r="T131" i="15"/>
  <c r="T99"/>
  <c r="X25" i="20"/>
  <c r="O25"/>
  <c r="Z25" s="1"/>
  <c r="O138"/>
  <c r="Z138" s="1"/>
  <c r="X138"/>
  <c r="T108" i="15"/>
  <c r="AT108"/>
  <c r="P105" i="11" s="1"/>
  <c r="AT92" i="15"/>
  <c r="P89" i="11" s="1"/>
  <c r="T92" i="15"/>
  <c r="O90" i="20"/>
  <c r="Z90" s="1"/>
  <c r="X90"/>
  <c r="X74"/>
  <c r="O74"/>
  <c r="Z74" s="1"/>
  <c r="T133" i="15"/>
  <c r="AT133"/>
  <c r="P130" i="11" s="1"/>
  <c r="AD131" i="20"/>
  <c r="O131"/>
  <c r="Z131" s="1"/>
  <c r="X131"/>
  <c r="T101" i="15"/>
  <c r="AT101"/>
  <c r="P98" i="11" s="1"/>
  <c r="AD83" i="20"/>
  <c r="X83"/>
  <c r="O83"/>
  <c r="Z83" s="1"/>
  <c r="AD67"/>
  <c r="O67"/>
  <c r="Z67" s="1"/>
  <c r="X67"/>
  <c r="AD51"/>
  <c r="O51"/>
  <c r="Z51" s="1"/>
  <c r="X51"/>
  <c r="T122" i="15"/>
  <c r="AT122"/>
  <c r="P119" i="11" s="1"/>
  <c r="O173" i="20"/>
  <c r="Z173" s="1"/>
  <c r="AD173"/>
  <c r="X141"/>
  <c r="O141"/>
  <c r="Z141" s="1"/>
  <c r="O182"/>
  <c r="Z182" s="1"/>
  <c r="X182"/>
  <c r="AD150"/>
  <c r="O150"/>
  <c r="Z150" s="1"/>
  <c r="T206" i="15"/>
  <c r="AT206"/>
  <c r="P203" i="11" s="1"/>
  <c r="O77" i="20"/>
  <c r="Z77" s="1"/>
  <c r="X77"/>
  <c r="T39" i="15"/>
  <c r="T72"/>
  <c r="AT72"/>
  <c r="P69" i="11" s="1"/>
  <c r="T40" i="15"/>
  <c r="AT40"/>
  <c r="P37" i="11" s="1"/>
  <c r="AD95" i="20"/>
  <c r="O95"/>
  <c r="Z95" s="1"/>
  <c r="X95"/>
  <c r="AD79"/>
  <c r="O79"/>
  <c r="Z79" s="1"/>
  <c r="X79"/>
  <c r="AT49" i="15"/>
  <c r="P46" i="11" s="1"/>
  <c r="T49" i="15"/>
  <c r="T134"/>
  <c r="AT134"/>
  <c r="P131" i="11" s="1"/>
  <c r="T102" i="15"/>
  <c r="AT102"/>
  <c r="P99" i="11" s="1"/>
  <c r="AT86" i="15"/>
  <c r="P83" i="11" s="1"/>
  <c r="T86" i="15"/>
  <c r="O84" i="20"/>
  <c r="Z84" s="1"/>
  <c r="AD84"/>
  <c r="O36"/>
  <c r="Z36" s="1"/>
  <c r="AD36"/>
  <c r="O194"/>
  <c r="Z194" s="1"/>
  <c r="AD194"/>
  <c r="AD183"/>
  <c r="X183"/>
  <c r="O183"/>
  <c r="Z183" s="1"/>
  <c r="AD151"/>
  <c r="X151"/>
  <c r="O151"/>
  <c r="Z151" s="1"/>
  <c r="T202" i="15"/>
  <c r="AT202"/>
  <c r="P199" i="11" s="1"/>
  <c r="O184" i="20"/>
  <c r="Z184" s="1"/>
  <c r="AD184"/>
  <c r="O152"/>
  <c r="Z152" s="1"/>
  <c r="X152"/>
  <c r="X89"/>
  <c r="O89"/>
  <c r="Z89" s="1"/>
  <c r="T75" i="15"/>
  <c r="O49" i="20"/>
  <c r="Z49" s="1"/>
  <c r="X49"/>
  <c r="T35" i="15"/>
  <c r="AT52"/>
  <c r="P49" i="11" s="1"/>
  <c r="T52" i="15"/>
  <c r="AT20"/>
  <c r="P17" i="11" s="1"/>
  <c r="T20" i="15"/>
  <c r="T77"/>
  <c r="AT77"/>
  <c r="P74" i="11" s="1"/>
  <c r="T45" i="15"/>
  <c r="AT45"/>
  <c r="P42" i="11" s="1"/>
  <c r="T66" i="15"/>
  <c r="AT66"/>
  <c r="P63" i="11" s="1"/>
  <c r="X64" i="20"/>
  <c r="O64"/>
  <c r="Z64" s="1"/>
  <c r="T34" i="15"/>
  <c r="AT34"/>
  <c r="P31" i="11" s="1"/>
  <c r="T199" i="15"/>
  <c r="T183"/>
  <c r="T151"/>
  <c r="O190" i="20"/>
  <c r="Z190" s="1"/>
  <c r="AD190"/>
  <c r="AD133"/>
  <c r="O133"/>
  <c r="Z133" s="1"/>
  <c r="X101"/>
  <c r="O101"/>
  <c r="Z101" s="1"/>
  <c r="AD69"/>
  <c r="O69"/>
  <c r="Z69" s="1"/>
  <c r="T55" i="15"/>
  <c r="T51"/>
  <c r="T47"/>
  <c r="T128"/>
  <c r="AT128"/>
  <c r="P125" i="11" s="1"/>
  <c r="O110" i="20"/>
  <c r="Z110" s="1"/>
  <c r="AD110"/>
  <c r="O94"/>
  <c r="Z94" s="1"/>
  <c r="AD94"/>
  <c r="T80" i="15"/>
  <c r="AT80"/>
  <c r="P77" i="11" s="1"/>
  <c r="O78" i="20"/>
  <c r="Z78" s="1"/>
  <c r="AD78"/>
  <c r="AD46"/>
  <c r="O46"/>
  <c r="Z46" s="1"/>
  <c r="AT73" i="15"/>
  <c r="P70" i="11" s="1"/>
  <c r="T73" i="15"/>
  <c r="AT41"/>
  <c r="P38" i="11" s="1"/>
  <c r="T41" i="15"/>
  <c r="X124" i="20"/>
  <c r="O124"/>
  <c r="Z124" s="1"/>
  <c r="O108"/>
  <c r="Z108" s="1"/>
  <c r="X108"/>
  <c r="AT62" i="15"/>
  <c r="P59" i="11" s="1"/>
  <c r="T62" i="15"/>
  <c r="X60" i="20"/>
  <c r="O60"/>
  <c r="Z60" s="1"/>
  <c r="AT30" i="15"/>
  <c r="P27" i="11" s="1"/>
  <c r="T30" i="15"/>
  <c r="O28" i="20"/>
  <c r="Z28" s="1"/>
  <c r="X28"/>
  <c r="R10"/>
  <c r="Y145"/>
  <c r="AD202"/>
  <c r="Y186"/>
  <c r="Y154"/>
  <c r="Y207"/>
  <c r="Y175"/>
  <c r="Y192"/>
  <c r="AD176"/>
  <c r="AD160"/>
  <c r="AD129"/>
  <c r="Y129"/>
  <c r="X113"/>
  <c r="AD97"/>
  <c r="AD65"/>
  <c r="Y65"/>
  <c r="AT43" i="15"/>
  <c r="P40" i="11" s="1"/>
  <c r="AD138" i="20"/>
  <c r="Y122"/>
  <c r="AD74"/>
  <c r="AD26"/>
  <c r="Y51"/>
  <c r="AA19"/>
  <c r="Y104"/>
  <c r="AD24"/>
  <c r="Y24"/>
  <c r="AT159" i="15"/>
  <c r="P156" i="11" s="1"/>
  <c r="X166" i="20"/>
  <c r="Y187"/>
  <c r="Y155"/>
  <c r="AT127" i="15"/>
  <c r="P124" i="11" s="1"/>
  <c r="Y109" i="20"/>
  <c r="AT95" i="15"/>
  <c r="P92" i="11" s="1"/>
  <c r="Y77" i="20"/>
  <c r="Y61"/>
  <c r="Y134"/>
  <c r="Y70"/>
  <c r="Y79"/>
  <c r="Y47"/>
  <c r="V15"/>
  <c r="V11"/>
  <c r="Y132"/>
  <c r="X84"/>
  <c r="X52"/>
  <c r="AD201"/>
  <c r="Y201"/>
  <c r="Y169"/>
  <c r="AT155" i="15"/>
  <c r="P152" i="11" s="1"/>
  <c r="Y194" i="20"/>
  <c r="X162"/>
  <c r="Y162"/>
  <c r="AD137"/>
  <c r="AT123" i="15"/>
  <c r="P120" i="11" s="1"/>
  <c r="AT91" i="15"/>
  <c r="P88" i="11" s="1"/>
  <c r="AD73" i="20"/>
  <c r="AD49"/>
  <c r="R18"/>
  <c r="Y123"/>
  <c r="Y59"/>
  <c r="AD128"/>
  <c r="AD96"/>
  <c r="Y80"/>
  <c r="AD64"/>
  <c r="R16"/>
  <c r="V12"/>
  <c r="Y197"/>
  <c r="Y165"/>
  <c r="Y190"/>
  <c r="Y158"/>
  <c r="X142"/>
  <c r="Y147"/>
  <c r="X180"/>
  <c r="X164"/>
  <c r="AT135" i="15"/>
  <c r="P132" i="11" s="1"/>
  <c r="Y133" i="20"/>
  <c r="AT103" i="15"/>
  <c r="P100" i="11" s="1"/>
  <c r="AD101" i="20"/>
  <c r="Y101"/>
  <c r="AD85"/>
  <c r="AA13"/>
  <c r="Y13"/>
  <c r="X126"/>
  <c r="X110"/>
  <c r="Y110"/>
  <c r="Y94"/>
  <c r="Y78"/>
  <c r="X62"/>
  <c r="V14"/>
  <c r="AD177"/>
  <c r="O177"/>
  <c r="Z177" s="1"/>
  <c r="O145"/>
  <c r="Z145" s="1"/>
  <c r="X145"/>
  <c r="X129"/>
  <c r="O129"/>
  <c r="Z129" s="1"/>
  <c r="O97"/>
  <c r="Z97" s="1"/>
  <c r="X97"/>
  <c r="O65"/>
  <c r="Z65" s="1"/>
  <c r="X65"/>
  <c r="T43" i="15"/>
  <c r="O41" i="20"/>
  <c r="Z41" s="1"/>
  <c r="X41"/>
  <c r="AT76" i="15"/>
  <c r="P73" i="11" s="1"/>
  <c r="T76" i="15"/>
  <c r="AT44"/>
  <c r="P41" i="11" s="1"/>
  <c r="T44" i="15"/>
  <c r="AD115" i="20"/>
  <c r="O115"/>
  <c r="Z115" s="1"/>
  <c r="X115"/>
  <c r="T53" i="15"/>
  <c r="AT53"/>
  <c r="P50" i="11" s="1"/>
  <c r="T21" i="15"/>
  <c r="AT21"/>
  <c r="P18" i="11" s="1"/>
  <c r="AD104" i="20"/>
  <c r="O104"/>
  <c r="Z104" s="1"/>
  <c r="T58" i="15"/>
  <c r="AT58"/>
  <c r="P55" i="11" s="1"/>
  <c r="AD56" i="20"/>
  <c r="O56"/>
  <c r="Z56" s="1"/>
  <c r="T26" i="15"/>
  <c r="AT26"/>
  <c r="P23" i="11" s="1"/>
  <c r="X24" i="20"/>
  <c r="O24"/>
  <c r="Z24" s="1"/>
  <c r="O205"/>
  <c r="Z205" s="1"/>
  <c r="X205"/>
  <c r="AT175" i="15"/>
  <c r="P172" i="11" s="1"/>
  <c r="T175" i="15"/>
  <c r="T143"/>
  <c r="T168"/>
  <c r="AT168"/>
  <c r="P165" i="11" s="1"/>
  <c r="AD187" i="20"/>
  <c r="O187"/>
  <c r="Z187" s="1"/>
  <c r="X187"/>
  <c r="T173" i="15"/>
  <c r="AT173"/>
  <c r="P170" i="11" s="1"/>
  <c r="T141" i="15"/>
  <c r="AT141"/>
  <c r="P138" i="11" s="1"/>
  <c r="O204" i="20"/>
  <c r="Z204" s="1"/>
  <c r="AD204"/>
  <c r="O188"/>
  <c r="Z188" s="1"/>
  <c r="X188"/>
  <c r="T174" i="15"/>
  <c r="AT174"/>
  <c r="P171" i="11" s="1"/>
  <c r="X156" i="20"/>
  <c r="O156"/>
  <c r="Z156" s="1"/>
  <c r="T142" i="15"/>
  <c r="AT142"/>
  <c r="P139" i="11" s="1"/>
  <c r="O125" i="20"/>
  <c r="Z125" s="1"/>
  <c r="X125"/>
  <c r="T111" i="15"/>
  <c r="AD93" i="20"/>
  <c r="O93"/>
  <c r="Z93" s="1"/>
  <c r="T79" i="15"/>
  <c r="X61" i="20"/>
  <c r="O61"/>
  <c r="Z61" s="1"/>
  <c r="X21"/>
  <c r="O21"/>
  <c r="Z21" s="1"/>
  <c r="AT120" i="15"/>
  <c r="P117" i="11" s="1"/>
  <c r="T120" i="15"/>
  <c r="X118" i="20"/>
  <c r="O118"/>
  <c r="Z118" s="1"/>
  <c r="O54"/>
  <c r="Z54" s="1"/>
  <c r="X54"/>
  <c r="O22"/>
  <c r="Z22" s="1"/>
  <c r="AD22"/>
  <c r="AT113" i="15"/>
  <c r="P110" i="11" s="1"/>
  <c r="T113" i="15"/>
  <c r="AD111" i="20"/>
  <c r="X111"/>
  <c r="O111"/>
  <c r="Z111" s="1"/>
  <c r="AT81" i="15"/>
  <c r="P78" i="11" s="1"/>
  <c r="T81" i="15"/>
  <c r="AD47" i="20"/>
  <c r="X47"/>
  <c r="O47"/>
  <c r="Z47" s="1"/>
  <c r="AD31"/>
  <c r="O31"/>
  <c r="Z31" s="1"/>
  <c r="X31"/>
  <c r="O15"/>
  <c r="X15"/>
  <c r="AC15" s="1"/>
  <c r="O100"/>
  <c r="Z100" s="1"/>
  <c r="AD100"/>
  <c r="AT70" i="15"/>
  <c r="P67" i="11" s="1"/>
  <c r="T70" i="15"/>
  <c r="O68" i="20"/>
  <c r="Z68" s="1"/>
  <c r="AD68"/>
  <c r="AT38" i="15"/>
  <c r="P35" i="11" s="1"/>
  <c r="T38" i="15"/>
  <c r="X201" i="20"/>
  <c r="O201"/>
  <c r="Z201" s="1"/>
  <c r="T171" i="15"/>
  <c r="X169" i="20"/>
  <c r="O169"/>
  <c r="Z169" s="1"/>
  <c r="T139" i="15"/>
  <c r="AT180"/>
  <c r="P177" i="11" s="1"/>
  <c r="T180" i="15"/>
  <c r="O162" i="20"/>
  <c r="Z162" s="1"/>
  <c r="AD162"/>
  <c r="T148" i="15"/>
  <c r="AT148"/>
  <c r="P145" i="11" s="1"/>
  <c r="AD199" i="20"/>
  <c r="X199"/>
  <c r="O199"/>
  <c r="Z199" s="1"/>
  <c r="AT185" i="15"/>
  <c r="P182" i="11" s="1"/>
  <c r="T185" i="15"/>
  <c r="AT153"/>
  <c r="P150" i="11" s="1"/>
  <c r="T153" i="15"/>
  <c r="T170"/>
  <c r="AT170"/>
  <c r="P167" i="11" s="1"/>
  <c r="T138" i="15"/>
  <c r="AT138"/>
  <c r="P135" i="11" s="1"/>
  <c r="X137" i="20"/>
  <c r="O137"/>
  <c r="Z137" s="1"/>
  <c r="T107" i="15"/>
  <c r="X73" i="20"/>
  <c r="O73"/>
  <c r="Z73" s="1"/>
  <c r="T132" i="15"/>
  <c r="AT132"/>
  <c r="P129" i="11" s="1"/>
  <c r="O130" i="20"/>
  <c r="Z130" s="1"/>
  <c r="AD130"/>
  <c r="O114"/>
  <c r="Z114" s="1"/>
  <c r="AD114"/>
  <c r="T100" i="15"/>
  <c r="AT100"/>
  <c r="P97" i="11" s="1"/>
  <c r="O98" i="20"/>
  <c r="Z98" s="1"/>
  <c r="AD98"/>
  <c r="AT84" i="15"/>
  <c r="P81" i="11" s="1"/>
  <c r="T84" i="15"/>
  <c r="O82" i="20"/>
  <c r="Z82" s="1"/>
  <c r="AD82"/>
  <c r="O66"/>
  <c r="Z66" s="1"/>
  <c r="AD66"/>
  <c r="AD50"/>
  <c r="O50"/>
  <c r="Z50" s="1"/>
  <c r="AD123"/>
  <c r="O123"/>
  <c r="Z123" s="1"/>
  <c r="X123"/>
  <c r="T109" i="15"/>
  <c r="AT109"/>
  <c r="P106" i="11" s="1"/>
  <c r="AD59" i="20"/>
  <c r="O59"/>
  <c r="Z59" s="1"/>
  <c r="X59"/>
  <c r="AD43"/>
  <c r="O43"/>
  <c r="Z43" s="1"/>
  <c r="X43"/>
  <c r="AD27"/>
  <c r="O27"/>
  <c r="Z27" s="1"/>
  <c r="X27"/>
  <c r="X128"/>
  <c r="O128"/>
  <c r="Z128" s="1"/>
  <c r="T114" i="15"/>
  <c r="AT114"/>
  <c r="P111" i="11" s="1"/>
  <c r="O48" i="20"/>
  <c r="Z48" s="1"/>
  <c r="X48"/>
  <c r="O181"/>
  <c r="Z181" s="1"/>
  <c r="X181"/>
  <c r="X149"/>
  <c r="O149"/>
  <c r="Z149" s="1"/>
  <c r="O206"/>
  <c r="Z206" s="1"/>
  <c r="AD206"/>
  <c r="X206"/>
  <c r="AT192" i="15"/>
  <c r="P189" i="11" s="1"/>
  <c r="T192" i="15"/>
  <c r="T160"/>
  <c r="AT160"/>
  <c r="P157" i="11" s="1"/>
  <c r="O158" i="20"/>
  <c r="Z158" s="1"/>
  <c r="AD158"/>
  <c r="O142"/>
  <c r="Z142" s="1"/>
  <c r="AD142"/>
  <c r="T197" i="15"/>
  <c r="AT197"/>
  <c r="P194" i="11" s="1"/>
  <c r="AD195" i="20"/>
  <c r="O195"/>
  <c r="Z195" s="1"/>
  <c r="X195"/>
  <c r="T165" i="15"/>
  <c r="AT165"/>
  <c r="P162" i="11" s="1"/>
  <c r="AD147" i="20"/>
  <c r="X147"/>
  <c r="O147"/>
  <c r="Z147" s="1"/>
  <c r="AT198" i="15"/>
  <c r="P195" i="11" s="1"/>
  <c r="T198" i="15"/>
  <c r="O196" i="20"/>
  <c r="Z196" s="1"/>
  <c r="AD196"/>
  <c r="T182" i="15"/>
  <c r="AT182"/>
  <c r="P179" i="11" s="1"/>
  <c r="O164" i="20"/>
  <c r="Z164" s="1"/>
  <c r="AD164"/>
  <c r="T150" i="15"/>
  <c r="AT150"/>
  <c r="P147" i="11" s="1"/>
  <c r="T119" i="15"/>
  <c r="T87"/>
  <c r="X85" i="20"/>
  <c r="O85"/>
  <c r="Z85" s="1"/>
  <c r="T64" i="15"/>
  <c r="AT64"/>
  <c r="P61" i="11" s="1"/>
  <c r="T32" i="15"/>
  <c r="AT32"/>
  <c r="P29" i="11" s="1"/>
  <c r="O14" i="20"/>
  <c r="X14"/>
  <c r="AC14" s="1"/>
  <c r="AT105" i="15"/>
  <c r="P102" i="11" s="1"/>
  <c r="T105" i="15"/>
  <c r="AD103" i="20"/>
  <c r="X103"/>
  <c r="O103"/>
  <c r="Z103" s="1"/>
  <c r="AD39"/>
  <c r="X39"/>
  <c r="O39"/>
  <c r="Z39" s="1"/>
  <c r="T110" i="15"/>
  <c r="AT110"/>
  <c r="P107" i="11" s="1"/>
  <c r="AT94" i="15"/>
  <c r="P91" i="11" s="1"/>
  <c r="T94" i="15"/>
  <c r="AT179"/>
  <c r="P176" i="11" s="1"/>
  <c r="AT147" i="15"/>
  <c r="P144" i="11" s="1"/>
  <c r="AD145" i="20"/>
  <c r="AT204" i="15"/>
  <c r="P201" i="11" s="1"/>
  <c r="AD186" i="20"/>
  <c r="AD154"/>
  <c r="Y208"/>
  <c r="Y160"/>
  <c r="AT131" i="15"/>
  <c r="P128" i="11" s="1"/>
  <c r="AT99" i="15"/>
  <c r="P96" i="11" s="1"/>
  <c r="Y138" i="20"/>
  <c r="AD122"/>
  <c r="AD90"/>
  <c r="AD58"/>
  <c r="AD42"/>
  <c r="Y42"/>
  <c r="Y99"/>
  <c r="R19"/>
  <c r="AD136"/>
  <c r="X104"/>
  <c r="Y88"/>
  <c r="AD72"/>
  <c r="X56"/>
  <c r="X40"/>
  <c r="AD205"/>
  <c r="X173"/>
  <c r="X157"/>
  <c r="AT200" i="15"/>
  <c r="P197" i="11" s="1"/>
  <c r="X150" i="20"/>
  <c r="AD188"/>
  <c r="X109"/>
  <c r="X93"/>
  <c r="AT63" i="15"/>
  <c r="P60" i="11" s="1"/>
  <c r="Y37" i="20"/>
  <c r="AD21"/>
  <c r="AD134"/>
  <c r="AD118"/>
  <c r="AD70"/>
  <c r="X22"/>
  <c r="Y11"/>
  <c r="X116"/>
  <c r="X100"/>
  <c r="X68"/>
  <c r="AD185"/>
  <c r="X153"/>
  <c r="X178"/>
  <c r="X146"/>
  <c r="AD200"/>
  <c r="X168"/>
  <c r="AD152"/>
  <c r="AD121"/>
  <c r="AD89"/>
  <c r="AT59" i="15"/>
  <c r="P56" i="11" s="1"/>
  <c r="AD57" i="20"/>
  <c r="Y53"/>
  <c r="AD33"/>
  <c r="Y33"/>
  <c r="Y17"/>
  <c r="Y112"/>
  <c r="AD48"/>
  <c r="AT183" i="15"/>
  <c r="P180" i="11" s="1"/>
  <c r="AT151" i="15"/>
  <c r="P148" i="11" s="1"/>
  <c r="Y206" i="20"/>
  <c r="X190"/>
  <c r="X174"/>
  <c r="X196"/>
  <c r="Y180"/>
  <c r="Y85"/>
  <c r="AT71" i="15"/>
  <c r="P68" i="11" s="1"/>
  <c r="AT31" i="15"/>
  <c r="P28" i="11" s="1"/>
  <c r="AD29" i="20"/>
  <c r="AD124"/>
  <c r="Y124"/>
  <c r="AD60"/>
  <c r="Y60"/>
  <c r="T195" i="15"/>
  <c r="T163"/>
  <c r="X202" i="20"/>
  <c r="O202"/>
  <c r="Z202" s="1"/>
  <c r="AT188" i="15"/>
  <c r="P185" i="11" s="1"/>
  <c r="T188" i="15"/>
  <c r="O170" i="20"/>
  <c r="Z170" s="1"/>
  <c r="X170"/>
  <c r="T156" i="15"/>
  <c r="AT156"/>
  <c r="P153" i="11" s="1"/>
  <c r="AT193" i="15"/>
  <c r="P190" i="11" s="1"/>
  <c r="T193" i="15"/>
  <c r="AD191" i="20"/>
  <c r="X191"/>
  <c r="O191"/>
  <c r="Z191" s="1"/>
  <c r="AT161" i="15"/>
  <c r="P158" i="11" s="1"/>
  <c r="T161" i="15"/>
  <c r="X208" i="20"/>
  <c r="O208"/>
  <c r="Z208" s="1"/>
  <c r="AD208"/>
  <c r="X192"/>
  <c r="O192"/>
  <c r="Z192" s="1"/>
  <c r="T178" i="15"/>
  <c r="AT178"/>
  <c r="P175" i="11" s="1"/>
  <c r="X160" i="20"/>
  <c r="O160"/>
  <c r="Z160" s="1"/>
  <c r="T146" i="15"/>
  <c r="AT146"/>
  <c r="P143" i="11" s="1"/>
  <c r="X144" i="20"/>
  <c r="O144"/>
  <c r="Z144" s="1"/>
  <c r="T115" i="15"/>
  <c r="T83"/>
  <c r="AT124"/>
  <c r="P121" i="11" s="1"/>
  <c r="T124" i="15"/>
  <c r="O42" i="20"/>
  <c r="Z42" s="1"/>
  <c r="X42"/>
  <c r="T117" i="15"/>
  <c r="AT117"/>
  <c r="P114" i="11" s="1"/>
  <c r="AD99" i="20"/>
  <c r="O99"/>
  <c r="Z99" s="1"/>
  <c r="X99"/>
  <c r="T85" i="15"/>
  <c r="AT85"/>
  <c r="P82" i="11" s="1"/>
  <c r="AD35" i="20"/>
  <c r="X35"/>
  <c r="O35"/>
  <c r="Z35" s="1"/>
  <c r="O120"/>
  <c r="Z120" s="1"/>
  <c r="AD120"/>
  <c r="T106" i="15"/>
  <c r="AT106"/>
  <c r="P103" i="11" s="1"/>
  <c r="T90" i="15"/>
  <c r="AT90"/>
  <c r="P87" i="11" s="1"/>
  <c r="O88" i="20"/>
  <c r="Z88" s="1"/>
  <c r="X88"/>
  <c r="O157"/>
  <c r="Z157" s="1"/>
  <c r="AD157"/>
  <c r="T200" i="15"/>
  <c r="X198" i="20"/>
  <c r="O198"/>
  <c r="Z198" s="1"/>
  <c r="AD166"/>
  <c r="O166"/>
  <c r="Z166" s="1"/>
  <c r="T205" i="15"/>
  <c r="AT205"/>
  <c r="P202" i="11" s="1"/>
  <c r="AD171" i="20"/>
  <c r="O171"/>
  <c r="Z171" s="1"/>
  <c r="X171"/>
  <c r="T63" i="15"/>
  <c r="T23"/>
  <c r="AT23"/>
  <c r="P20" i="11" s="1"/>
  <c r="O134" i="20"/>
  <c r="Z134" s="1"/>
  <c r="X134"/>
  <c r="O102"/>
  <c r="Z102" s="1"/>
  <c r="AD102"/>
  <c r="O86"/>
  <c r="Z86" s="1"/>
  <c r="AD86"/>
  <c r="O70"/>
  <c r="Z70" s="1"/>
  <c r="X70"/>
  <c r="T56" i="15"/>
  <c r="AT56"/>
  <c r="P53" i="11" s="1"/>
  <c r="T24" i="15"/>
  <c r="AT24"/>
  <c r="P21" i="11" s="1"/>
  <c r="AT65" i="15"/>
  <c r="P62" i="11" s="1"/>
  <c r="T65" i="15"/>
  <c r="AT33"/>
  <c r="P30" i="11" s="1"/>
  <c r="T33" i="15"/>
  <c r="O11" i="20"/>
  <c r="X11"/>
  <c r="AC11" s="1"/>
  <c r="O132"/>
  <c r="Z132" s="1"/>
  <c r="AD132"/>
  <c r="T118" i="15"/>
  <c r="AT118"/>
  <c r="P115" i="11" s="1"/>
  <c r="O116" i="20"/>
  <c r="Z116" s="1"/>
  <c r="AD116"/>
  <c r="O52"/>
  <c r="Z52" s="1"/>
  <c r="AD52"/>
  <c r="AD20"/>
  <c r="O20"/>
  <c r="Z20" s="1"/>
  <c r="T203" i="15"/>
  <c r="AT201"/>
  <c r="P198" i="11" s="1"/>
  <c r="T201" i="15"/>
  <c r="O200" i="20"/>
  <c r="Z200" s="1"/>
  <c r="X200"/>
  <c r="AD168"/>
  <c r="O168"/>
  <c r="Z168" s="1"/>
  <c r="O105"/>
  <c r="Z105" s="1"/>
  <c r="X105"/>
  <c r="T59" i="15"/>
  <c r="X53" i="20"/>
  <c r="O53"/>
  <c r="Z53" s="1"/>
  <c r="O33"/>
  <c r="Z33" s="1"/>
  <c r="X33"/>
  <c r="T19" i="15"/>
  <c r="AT19"/>
  <c r="P16" i="11" s="1"/>
  <c r="O17" i="20"/>
  <c r="X17"/>
  <c r="AC17" s="1"/>
  <c r="AT68" i="15"/>
  <c r="P65" i="11" s="1"/>
  <c r="T68" i="15"/>
  <c r="AT36"/>
  <c r="P33" i="11" s="1"/>
  <c r="T36" i="15"/>
  <c r="AD107" i="20"/>
  <c r="O107"/>
  <c r="Z107" s="1"/>
  <c r="X107"/>
  <c r="T61" i="15"/>
  <c r="AT61"/>
  <c r="P58" i="11" s="1"/>
  <c r="T29" i="15"/>
  <c r="AT29"/>
  <c r="P26" i="11" s="1"/>
  <c r="X112" i="20"/>
  <c r="O112"/>
  <c r="Z112" s="1"/>
  <c r="T50" i="15"/>
  <c r="AT50"/>
  <c r="P47" i="11" s="1"/>
  <c r="X32" i="20"/>
  <c r="O32"/>
  <c r="Z32" s="1"/>
  <c r="T18" i="15"/>
  <c r="AT18"/>
  <c r="P15" i="11" s="1"/>
  <c r="O16" i="20"/>
  <c r="O12"/>
  <c r="X12"/>
  <c r="AC12" s="1"/>
  <c r="T167" i="15"/>
  <c r="AD179" i="20"/>
  <c r="O179"/>
  <c r="Z179" s="1"/>
  <c r="X179"/>
  <c r="O180"/>
  <c r="Z180" s="1"/>
  <c r="AD180"/>
  <c r="O117"/>
  <c r="Z117" s="1"/>
  <c r="X117"/>
  <c r="T71" i="15"/>
  <c r="T31"/>
  <c r="O29" i="20"/>
  <c r="Z29" s="1"/>
  <c r="X29"/>
  <c r="O13"/>
  <c r="X13"/>
  <c r="AC13" s="1"/>
  <c r="AT112" i="15"/>
  <c r="P109" i="11" s="1"/>
  <c r="T112" i="15"/>
  <c r="T96"/>
  <c r="AT96"/>
  <c r="P93" i="11" s="1"/>
  <c r="O62" i="20"/>
  <c r="Z62" s="1"/>
  <c r="AD62"/>
  <c r="O30"/>
  <c r="Z30" s="1"/>
  <c r="AD30"/>
  <c r="AD119"/>
  <c r="X119"/>
  <c r="O119"/>
  <c r="Z119" s="1"/>
  <c r="AD87"/>
  <c r="X87"/>
  <c r="O87"/>
  <c r="Z87" s="1"/>
  <c r="AT57" i="15"/>
  <c r="P54" i="11" s="1"/>
  <c r="T57" i="15"/>
  <c r="AD55" i="20"/>
  <c r="X55"/>
  <c r="O55"/>
  <c r="Z55" s="1"/>
  <c r="AT25" i="15"/>
  <c r="P22" i="11" s="1"/>
  <c r="T25" i="15"/>
  <c r="AT78"/>
  <c r="P75" i="11" s="1"/>
  <c r="T78" i="15"/>
  <c r="AT46"/>
  <c r="P43" i="11" s="1"/>
  <c r="T46" i="15"/>
  <c r="X44" i="20"/>
  <c r="O44"/>
  <c r="Z44" s="1"/>
  <c r="AD193"/>
  <c r="Y193"/>
  <c r="X177"/>
  <c r="AD161"/>
  <c r="Y161"/>
  <c r="AD170"/>
  <c r="AD144"/>
  <c r="AT67" i="15"/>
  <c r="P64" i="11" s="1"/>
  <c r="AD41" i="20"/>
  <c r="Y41"/>
  <c r="AT27" i="15"/>
  <c r="P24" i="11" s="1"/>
  <c r="AD25" i="20"/>
  <c r="AD106"/>
  <c r="Y131"/>
  <c r="AB19"/>
  <c r="X120"/>
  <c r="AD189"/>
  <c r="AT143" i="15"/>
  <c r="P140" i="11" s="1"/>
  <c r="AD141" i="20"/>
  <c r="Y198"/>
  <c r="Y166"/>
  <c r="Y204"/>
  <c r="AD172"/>
  <c r="Y172"/>
  <c r="X140"/>
  <c r="AD125"/>
  <c r="AT111" i="15"/>
  <c r="P108" i="11" s="1"/>
  <c r="AT79" i="15"/>
  <c r="P76" i="11" s="1"/>
  <c r="AD77" i="20"/>
  <c r="AD61"/>
  <c r="X102"/>
  <c r="Y185"/>
  <c r="AT171" i="15"/>
  <c r="P168" i="11" s="1"/>
  <c r="Y153" i="20"/>
  <c r="AT139" i="15"/>
  <c r="P136" i="11" s="1"/>
  <c r="X194" i="20"/>
  <c r="Y167"/>
  <c r="Y121"/>
  <c r="AT107" i="15"/>
  <c r="P104" i="11" s="1"/>
  <c r="Y130" i="20"/>
  <c r="Y75"/>
  <c r="Y43"/>
  <c r="AD80"/>
  <c r="X197"/>
  <c r="AD181"/>
  <c r="Y181"/>
  <c r="Y149"/>
  <c r="AT119" i="15"/>
  <c r="P116" i="11" s="1"/>
  <c r="AT87" i="15"/>
  <c r="P84" i="11" s="1"/>
  <c r="Y14" i="20"/>
  <c r="Y119"/>
  <c r="Y87"/>
  <c r="AD108"/>
  <c r="X76"/>
  <c r="O10"/>
  <c r="X10"/>
  <c r="AC10" s="1"/>
  <c r="O193"/>
  <c r="Z193" s="1"/>
  <c r="X193"/>
  <c r="O161"/>
  <c r="Z161" s="1"/>
  <c r="X161"/>
  <c r="X207"/>
  <c r="O207"/>
  <c r="Z207" s="1"/>
  <c r="AD159"/>
  <c r="O159"/>
  <c r="Z159" s="1"/>
  <c r="X159"/>
  <c r="AD143"/>
  <c r="O143"/>
  <c r="Z143" s="1"/>
  <c r="X143"/>
  <c r="O113"/>
  <c r="Z113" s="1"/>
  <c r="AD113"/>
  <c r="O81"/>
  <c r="Z81" s="1"/>
  <c r="X81"/>
  <c r="T67" i="15"/>
  <c r="T27"/>
  <c r="X122" i="20"/>
  <c r="O122"/>
  <c r="Z122" s="1"/>
  <c r="O106"/>
  <c r="Z106" s="1"/>
  <c r="X106"/>
  <c r="AT60" i="15"/>
  <c r="P57" i="11" s="1"/>
  <c r="T60" i="15"/>
  <c r="O58" i="20"/>
  <c r="Z58" s="1"/>
  <c r="X58"/>
  <c r="AT28" i="15"/>
  <c r="P25" i="11" s="1"/>
  <c r="T28" i="15"/>
  <c r="O26" i="20"/>
  <c r="Z26" s="1"/>
  <c r="X26"/>
  <c r="T69" i="15"/>
  <c r="AT69"/>
  <c r="P66" i="11" s="1"/>
  <c r="T37" i="15"/>
  <c r="AT37"/>
  <c r="P34" i="11" s="1"/>
  <c r="O19" i="20"/>
  <c r="X19"/>
  <c r="AC19" s="1"/>
  <c r="O136"/>
  <c r="Z136" s="1"/>
  <c r="X136"/>
  <c r="T74" i="15"/>
  <c r="AT74"/>
  <c r="P71" i="11" s="1"/>
  <c r="O72" i="20"/>
  <c r="Z72" s="1"/>
  <c r="X72"/>
  <c r="T42" i="15"/>
  <c r="AT42"/>
  <c r="P39" i="11" s="1"/>
  <c r="O40" i="20"/>
  <c r="Z40" s="1"/>
  <c r="AD40"/>
  <c r="AT191" i="15"/>
  <c r="P188" i="11" s="1"/>
  <c r="T191" i="15"/>
  <c r="O189" i="20"/>
  <c r="Z189" s="1"/>
  <c r="X189"/>
  <c r="T159" i="15"/>
  <c r="AT184"/>
  <c r="P181" i="11" s="1"/>
  <c r="T184" i="15"/>
  <c r="T152"/>
  <c r="AT152"/>
  <c r="P149" i="11" s="1"/>
  <c r="AD203" i="20"/>
  <c r="O203"/>
  <c r="Z203" s="1"/>
  <c r="X203"/>
  <c r="T189" i="15"/>
  <c r="AT189"/>
  <c r="P186" i="11" s="1"/>
  <c r="T157" i="15"/>
  <c r="AT157"/>
  <c r="P154" i="11" s="1"/>
  <c r="AD155" i="20"/>
  <c r="X155"/>
  <c r="O155"/>
  <c r="Z155" s="1"/>
  <c r="AD139"/>
  <c r="O139"/>
  <c r="Z139" s="1"/>
  <c r="X139"/>
  <c r="T190" i="15"/>
  <c r="AT190"/>
  <c r="P187" i="11" s="1"/>
  <c r="X172" i="20"/>
  <c r="O172"/>
  <c r="Z172" s="1"/>
  <c r="T158" i="15"/>
  <c r="AT158"/>
  <c r="P155" i="11" s="1"/>
  <c r="O140" i="20"/>
  <c r="Z140" s="1"/>
  <c r="AD140"/>
  <c r="T127" i="15"/>
  <c r="O109" i="20"/>
  <c r="Z109" s="1"/>
  <c r="AD109"/>
  <c r="T95" i="15"/>
  <c r="O37" i="20"/>
  <c r="Z37" s="1"/>
  <c r="X37"/>
  <c r="T136" i="15"/>
  <c r="AT136"/>
  <c r="P133" i="11" s="1"/>
  <c r="AT104" i="15"/>
  <c r="P101" i="11" s="1"/>
  <c r="T104" i="15"/>
  <c r="T88"/>
  <c r="AT88"/>
  <c r="P85" i="11" s="1"/>
  <c r="O38" i="20"/>
  <c r="Z38" s="1"/>
  <c r="X38"/>
  <c r="AT129" i="15"/>
  <c r="P126" i="11" s="1"/>
  <c r="T129" i="15"/>
  <c r="AD127" i="20"/>
  <c r="O127"/>
  <c r="Z127" s="1"/>
  <c r="X127"/>
  <c r="AT97" i="15"/>
  <c r="P94" i="11" s="1"/>
  <c r="T97" i="15"/>
  <c r="AD63" i="20"/>
  <c r="X63"/>
  <c r="O63"/>
  <c r="Z63" s="1"/>
  <c r="AT54" i="15"/>
  <c r="P51" i="11" s="1"/>
  <c r="T54" i="15"/>
  <c r="AT22"/>
  <c r="P19" i="11" s="1"/>
  <c r="T22" i="15"/>
  <c r="AT187"/>
  <c r="P184" i="11" s="1"/>
  <c r="T187" i="15"/>
  <c r="X185" i="20"/>
  <c r="O185"/>
  <c r="Z185" s="1"/>
  <c r="T155" i="15"/>
  <c r="O153" i="20"/>
  <c r="Z153" s="1"/>
  <c r="AD153"/>
  <c r="AT196" i="15"/>
  <c r="P193" i="11" s="1"/>
  <c r="T196" i="15"/>
  <c r="O178" i="20"/>
  <c r="Z178" s="1"/>
  <c r="AD178"/>
  <c r="T164" i="15"/>
  <c r="AT164"/>
  <c r="P161" i="11" s="1"/>
  <c r="O146" i="20"/>
  <c r="Z146" s="1"/>
  <c r="AD146"/>
  <c r="AT169" i="15"/>
  <c r="P166" i="11" s="1"/>
  <c r="T169" i="15"/>
  <c r="AD167" i="20"/>
  <c r="X167"/>
  <c r="O167"/>
  <c r="Z167" s="1"/>
  <c r="AT137" i="15"/>
  <c r="P134" i="11" s="1"/>
  <c r="T137" i="15"/>
  <c r="T186"/>
  <c r="AT186"/>
  <c r="P183" i="11" s="1"/>
  <c r="T154" i="15"/>
  <c r="AT154"/>
  <c r="P151" i="11" s="1"/>
  <c r="T123" i="15"/>
  <c r="X121" i="20"/>
  <c r="O121"/>
  <c r="Z121" s="1"/>
  <c r="T91" i="15"/>
  <c r="X57" i="20"/>
  <c r="O57"/>
  <c r="Z57" s="1"/>
  <c r="T116" i="15"/>
  <c r="AT116"/>
  <c r="P113" i="11" s="1"/>
  <c r="O34" i="20"/>
  <c r="Z34" s="1"/>
  <c r="AD34"/>
  <c r="O18"/>
  <c r="X18"/>
  <c r="AC18" s="1"/>
  <c r="T125" i="15"/>
  <c r="AT125"/>
  <c r="P122" i="11" s="1"/>
  <c r="T93" i="15"/>
  <c r="AT93"/>
  <c r="P90" i="11" s="1"/>
  <c r="AD91" i="20"/>
  <c r="X91"/>
  <c r="O91"/>
  <c r="Z91" s="1"/>
  <c r="AD75"/>
  <c r="O75"/>
  <c r="Z75" s="1"/>
  <c r="X75"/>
  <c r="T130" i="15"/>
  <c r="AT130"/>
  <c r="P127" i="11" s="1"/>
  <c r="T98" i="15"/>
  <c r="AT98"/>
  <c r="P95" i="11" s="1"/>
  <c r="O96" i="20"/>
  <c r="Z96" s="1"/>
  <c r="X96"/>
  <c r="T82" i="15"/>
  <c r="AT82"/>
  <c r="P79" i="11" s="1"/>
  <c r="O80" i="20"/>
  <c r="Z80" s="1"/>
  <c r="X80"/>
  <c r="O197"/>
  <c r="Z197" s="1"/>
  <c r="AD197"/>
  <c r="O165"/>
  <c r="Z165" s="1"/>
  <c r="X165"/>
  <c r="T176" i="15"/>
  <c r="AT176"/>
  <c r="P173" i="11" s="1"/>
  <c r="O174" i="20"/>
  <c r="Z174" s="1"/>
  <c r="AD174"/>
  <c r="T144" i="15"/>
  <c r="AT144"/>
  <c r="P141" i="11" s="1"/>
  <c r="T181" i="15"/>
  <c r="AT181"/>
  <c r="P178" i="11" s="1"/>
  <c r="AD163" i="20"/>
  <c r="O163"/>
  <c r="Z163" s="1"/>
  <c r="X163"/>
  <c r="T149" i="15"/>
  <c r="AT149"/>
  <c r="P146" i="11" s="1"/>
  <c r="T166" i="15"/>
  <c r="AT166"/>
  <c r="P163" i="11" s="1"/>
  <c r="O148" i="20"/>
  <c r="Z148" s="1"/>
  <c r="AD148"/>
  <c r="T135" i="15"/>
  <c r="T103"/>
  <c r="O45" i="20"/>
  <c r="Z45" s="1"/>
  <c r="AD45"/>
  <c r="O126"/>
  <c r="Z126" s="1"/>
  <c r="AD126"/>
  <c r="T48" i="15"/>
  <c r="AT48"/>
  <c r="P45" i="11" s="1"/>
  <c r="AD135" i="20"/>
  <c r="X135"/>
  <c r="O135"/>
  <c r="Z135" s="1"/>
  <c r="AT121" i="15"/>
  <c r="P118" i="11" s="1"/>
  <c r="T121" i="15"/>
  <c r="AT89"/>
  <c r="P86" i="11" s="1"/>
  <c r="T89" i="15"/>
  <c r="AD71" i="20"/>
  <c r="X71"/>
  <c r="O71"/>
  <c r="Z71" s="1"/>
  <c r="AD23"/>
  <c r="X23"/>
  <c r="O23"/>
  <c r="Z23" s="1"/>
  <c r="T126" i="15"/>
  <c r="AT126"/>
  <c r="P123" i="11" s="1"/>
  <c r="X92" i="20"/>
  <c r="O92"/>
  <c r="Z92" s="1"/>
  <c r="AD76"/>
  <c r="O76"/>
  <c r="Z76" s="1"/>
  <c r="AT203" i="15"/>
  <c r="P200" i="11" s="1"/>
  <c r="AT199" i="15"/>
  <c r="P196" i="11" s="1"/>
  <c r="DU8" i="9"/>
  <c r="DH8"/>
  <c r="DY8" s="1"/>
  <c r="DP8"/>
  <c r="DK6"/>
  <c r="AJ3" i="15"/>
  <c r="DI209" i="9"/>
  <c r="B17" i="6" s="1"/>
  <c r="GM5" i="9"/>
  <c r="DZ12"/>
  <c r="DS6"/>
  <c r="DX12" s="1"/>
  <c r="DK8"/>
  <c r="AJ4" i="15"/>
  <c r="DN209" i="9"/>
  <c r="B18" i="6" s="1"/>
  <c r="GN5" i="9"/>
  <c r="DZ11"/>
  <c r="DZ13"/>
  <c r="DP6"/>
  <c r="BS210"/>
  <c r="A12" i="6" s="1"/>
  <c r="CK210" i="9"/>
  <c r="A14" i="6" s="1"/>
  <c r="DD210" i="9"/>
  <c r="A16" i="6" s="1"/>
  <c r="CP210" i="9"/>
  <c r="BI210"/>
  <c r="AQ210"/>
  <c r="A8" i="6" s="1"/>
  <c r="CF210" i="9"/>
  <c r="BN210"/>
  <c r="A11" i="6" s="1"/>
  <c r="AL210" i="9"/>
  <c r="K13" i="11"/>
  <c r="K14"/>
  <c r="K12"/>
  <c r="F25" i="18"/>
  <c r="J5"/>
  <c r="D5"/>
  <c r="DL9" i="9" l="1"/>
  <c r="DT9" s="1"/>
  <c r="GZ9" s="1"/>
  <c r="F20" i="4"/>
  <c r="DQ9" i="9"/>
  <c r="DZ9"/>
  <c r="DT11"/>
  <c r="N20" i="4"/>
  <c r="N21" s="1"/>
  <c r="DX11" i="9"/>
  <c r="DX13"/>
  <c r="DI210"/>
  <c r="A17" i="6" s="1"/>
  <c r="Z19" i="20"/>
  <c r="S19"/>
  <c r="Z15"/>
  <c r="S15"/>
  <c r="Z13"/>
  <c r="S13"/>
  <c r="Z16"/>
  <c r="S16"/>
  <c r="Z10"/>
  <c r="S10"/>
  <c r="Z17"/>
  <c r="S17"/>
  <c r="Z11"/>
  <c r="S11"/>
  <c r="Z14"/>
  <c r="S14"/>
  <c r="Z18"/>
  <c r="S18"/>
  <c r="Z12"/>
  <c r="S12"/>
  <c r="DN210" i="9"/>
  <c r="A18" i="6" s="1"/>
  <c r="DZ8" i="9"/>
  <c r="DL8"/>
  <c r="DT8" s="1"/>
  <c r="DQ8"/>
  <c r="T206" i="12"/>
  <c r="O21" i="4" l="1"/>
  <c r="K5" i="11"/>
  <c r="O20" i="4"/>
  <c r="EA8" i="9"/>
  <c r="AD11" i="20"/>
  <c r="AW11" s="1"/>
  <c r="W11"/>
  <c r="AD10"/>
  <c r="AW10" s="1"/>
  <c r="W10"/>
  <c r="W18"/>
  <c r="AX18" s="1"/>
  <c r="AD18"/>
  <c r="AW18" s="1"/>
  <c r="AE18" s="1"/>
  <c r="AD13"/>
  <c r="AW13" s="1"/>
  <c r="W13"/>
  <c r="AX13" s="1"/>
  <c r="AD19"/>
  <c r="AW19" s="1"/>
  <c r="W19"/>
  <c r="W14"/>
  <c r="AD14"/>
  <c r="AW14" s="1"/>
  <c r="AE14" s="1"/>
  <c r="W17"/>
  <c r="AX17" s="1"/>
  <c r="AD17"/>
  <c r="AW17" s="1"/>
  <c r="W12"/>
  <c r="AX12" s="1"/>
  <c r="AD12"/>
  <c r="AW12" s="1"/>
  <c r="AE12" s="1"/>
  <c r="X16"/>
  <c r="AC16" s="1"/>
  <c r="W16"/>
  <c r="AD16"/>
  <c r="AD15"/>
  <c r="AW15" s="1"/>
  <c r="W15"/>
  <c r="GZ12" i="9"/>
  <c r="GZ11"/>
  <c r="HA11" s="1"/>
  <c r="GZ13"/>
  <c r="HA13" s="1"/>
  <c r="AP8" i="15"/>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7"/>
  <c r="AN7"/>
  <c r="AL7"/>
  <c r="FC8" i="9"/>
  <c r="FD8"/>
  <c r="EY6"/>
  <c r="FC6"/>
  <c r="FD6"/>
  <c r="X6"/>
  <c r="AA6" s="1"/>
  <c r="HA12" l="1"/>
  <c r="AF14" i="20"/>
  <c r="AX16"/>
  <c r="AX15"/>
  <c r="AE15" s="1"/>
  <c r="AF15" s="1"/>
  <c r="AE17"/>
  <c r="AX19"/>
  <c r="AE19" s="1"/>
  <c r="AF19" s="1"/>
  <c r="AG18"/>
  <c r="AF18"/>
  <c r="AX11"/>
  <c r="AE11" s="1"/>
  <c r="AF11" s="1"/>
  <c r="AG14"/>
  <c r="AX14"/>
  <c r="AW16"/>
  <c r="AE16" s="1"/>
  <c r="AG12"/>
  <c r="AF12"/>
  <c r="AX10"/>
  <c r="AE10" s="1"/>
  <c r="AF10" s="1"/>
  <c r="AE13"/>
  <c r="K7" i="11"/>
  <c r="K9"/>
  <c r="K8"/>
  <c r="FB6" i="9"/>
  <c r="FE6"/>
  <c r="FE8"/>
  <c r="BE2" i="8"/>
  <c r="EY210" i="9" s="1"/>
  <c r="A20" i="6" s="1"/>
  <c r="EY3" i="9"/>
  <c r="BB2" i="8"/>
  <c r="B4" i="9"/>
  <c r="C4"/>
  <c r="D4"/>
  <c r="A4"/>
  <c r="AG11" i="20" l="1"/>
  <c r="AG19"/>
  <c r="AG13"/>
  <c r="AF13"/>
  <c r="AG15"/>
  <c r="AG17"/>
  <c r="AF17"/>
  <c r="AG10"/>
  <c r="AG16"/>
  <c r="AF16"/>
  <c r="Y139" i="19"/>
  <c r="Y110"/>
  <c r="Y81"/>
  <c r="K23" i="18"/>
  <c r="I139" i="19"/>
  <c r="I110"/>
  <c r="I81"/>
  <c r="Y52"/>
  <c r="I52"/>
  <c r="Y23"/>
  <c r="K23" i="4"/>
  <c r="I23" i="19"/>
  <c r="R5" i="15"/>
  <c r="GS4" i="9"/>
  <c r="FF38"/>
  <c r="GS38" s="1"/>
  <c r="FF35"/>
  <c r="GS35" s="1"/>
  <c r="FF23"/>
  <c r="GS23" s="1"/>
  <c r="FF37"/>
  <c r="GS37" s="1"/>
  <c r="FF30"/>
  <c r="GS30" s="1"/>
  <c r="FF19"/>
  <c r="GS19" s="1"/>
  <c r="FF31"/>
  <c r="GS31" s="1"/>
  <c r="FF20"/>
  <c r="GS20" s="1"/>
  <c r="FF34"/>
  <c r="GS34" s="1"/>
  <c r="FF29"/>
  <c r="GS29" s="1"/>
  <c r="FF26"/>
  <c r="GS26" s="1"/>
  <c r="FF27"/>
  <c r="GS27" s="1"/>
  <c r="FF28"/>
  <c r="GS28" s="1"/>
  <c r="FF21"/>
  <c r="GS21" s="1"/>
  <c r="FF33"/>
  <c r="GS33" s="1"/>
  <c r="FF24"/>
  <c r="GS24" s="1"/>
  <c r="FF32"/>
  <c r="GS32" s="1"/>
  <c r="FF22"/>
  <c r="GS22" s="1"/>
  <c r="FF36"/>
  <c r="GS36" s="1"/>
  <c r="FF25"/>
  <c r="GS25" s="1"/>
  <c r="EY209"/>
  <c r="AO2" i="15"/>
  <c r="A8" i="8"/>
  <c r="H2" i="12"/>
  <c r="J2" i="11"/>
  <c r="N30" i="6"/>
  <c r="I30"/>
  <c r="H2"/>
  <c r="M2"/>
  <c r="G2" i="15"/>
  <c r="B20" i="6" l="1"/>
  <c r="R4" i="12"/>
  <c r="B8" i="8" l="1"/>
  <c r="B8" i="9" s="1"/>
  <c r="AK7"/>
  <c r="T208" i="15"/>
  <c r="GX212" i="9"/>
  <c r="IQ208"/>
  <c r="IR208"/>
  <c r="IR209"/>
  <c r="IR210"/>
  <c r="IR211"/>
  <c r="IR212"/>
  <c r="IR213"/>
  <c r="IR214"/>
  <c r="IR215"/>
  <c r="IR216"/>
  <c r="IR217"/>
  <c r="IR218"/>
  <c r="IR219"/>
  <c r="IK208"/>
  <c r="IL208"/>
  <c r="IM208"/>
  <c r="IN208"/>
  <c r="IO208"/>
  <c r="IP208"/>
  <c r="IK209"/>
  <c r="IL209"/>
  <c r="IM209"/>
  <c r="IN209"/>
  <c r="IO209"/>
  <c r="IP209"/>
  <c r="IK210"/>
  <c r="IL210"/>
  <c r="IM210"/>
  <c r="IN210"/>
  <c r="IO210"/>
  <c r="IP210"/>
  <c r="IK211"/>
  <c r="IL211"/>
  <c r="IM211"/>
  <c r="IN211"/>
  <c r="IO211"/>
  <c r="IP211"/>
  <c r="IK212"/>
  <c r="IL212"/>
  <c r="IM212"/>
  <c r="IN212"/>
  <c r="IO212"/>
  <c r="IP212"/>
  <c r="IK213"/>
  <c r="IL213"/>
  <c r="IM213"/>
  <c r="IN213"/>
  <c r="IO213"/>
  <c r="IP213"/>
  <c r="IK214"/>
  <c r="IL214"/>
  <c r="IM214"/>
  <c r="IN214"/>
  <c r="IO214"/>
  <c r="IP214"/>
  <c r="IK215"/>
  <c r="IL215"/>
  <c r="IM215"/>
  <c r="IN215"/>
  <c r="IO215"/>
  <c r="IP215"/>
  <c r="IK216"/>
  <c r="IL216"/>
  <c r="IM216"/>
  <c r="IN216"/>
  <c r="IO216"/>
  <c r="IP216"/>
  <c r="IK217"/>
  <c r="IL217"/>
  <c r="IM217"/>
  <c r="IN217"/>
  <c r="IO217"/>
  <c r="IP217"/>
  <c r="IK218"/>
  <c r="IL218"/>
  <c r="IM218"/>
  <c r="IN218"/>
  <c r="IO218"/>
  <c r="IP218"/>
  <c r="IK219"/>
  <c r="IL219"/>
  <c r="IM219"/>
  <c r="IN219"/>
  <c r="IO219"/>
  <c r="IP219"/>
  <c r="IE208"/>
  <c r="IF208"/>
  <c r="IG208"/>
  <c r="IH208"/>
  <c r="II208"/>
  <c r="IJ208"/>
  <c r="IE209"/>
  <c r="IF209"/>
  <c r="IG209"/>
  <c r="IH209"/>
  <c r="II209"/>
  <c r="IJ209"/>
  <c r="IE210"/>
  <c r="IF210"/>
  <c r="IG210"/>
  <c r="IH210"/>
  <c r="II210"/>
  <c r="IJ210"/>
  <c r="IE211"/>
  <c r="IF211"/>
  <c r="IG211"/>
  <c r="IH211"/>
  <c r="II211"/>
  <c r="IJ211"/>
  <c r="IE212"/>
  <c r="IF212"/>
  <c r="IG212"/>
  <c r="IH212"/>
  <c r="II212"/>
  <c r="IJ212"/>
  <c r="IE213"/>
  <c r="IF213"/>
  <c r="IG213"/>
  <c r="IH213"/>
  <c r="II213"/>
  <c r="IJ213"/>
  <c r="IE214"/>
  <c r="IF214"/>
  <c r="IG214"/>
  <c r="IH214"/>
  <c r="II214"/>
  <c r="IJ214"/>
  <c r="IE215"/>
  <c r="IF215"/>
  <c r="IG215"/>
  <c r="IH215"/>
  <c r="II215"/>
  <c r="IJ215"/>
  <c r="IE216"/>
  <c r="IF216"/>
  <c r="IG216"/>
  <c r="IH216"/>
  <c r="II216"/>
  <c r="IJ216"/>
  <c r="IE217"/>
  <c r="IF217"/>
  <c r="IG217"/>
  <c r="IH217"/>
  <c r="II217"/>
  <c r="IJ217"/>
  <c r="IE218"/>
  <c r="IF218"/>
  <c r="IG218"/>
  <c r="IH218"/>
  <c r="II218"/>
  <c r="IJ218"/>
  <c r="IE219"/>
  <c r="IF219"/>
  <c r="IG219"/>
  <c r="IH219"/>
  <c r="II219"/>
  <c r="IJ219"/>
  <c r="HY9"/>
  <c r="HZ9"/>
  <c r="HY10"/>
  <c r="HZ10"/>
  <c r="HY11"/>
  <c r="HZ11"/>
  <c r="HY12"/>
  <c r="HZ12"/>
  <c r="HY13"/>
  <c r="HZ13"/>
  <c r="HY14"/>
  <c r="HZ14"/>
  <c r="HY15"/>
  <c r="HZ15"/>
  <c r="HY16"/>
  <c r="HZ16"/>
  <c r="HY17"/>
  <c r="HZ17"/>
  <c r="HY18"/>
  <c r="HZ18"/>
  <c r="HY19"/>
  <c r="HZ19"/>
  <c r="HY20"/>
  <c r="HZ20"/>
  <c r="HY21"/>
  <c r="HZ21"/>
  <c r="HY22"/>
  <c r="HZ22"/>
  <c r="HY23"/>
  <c r="HZ23"/>
  <c r="HY24"/>
  <c r="HZ24"/>
  <c r="HY25"/>
  <c r="HZ25"/>
  <c r="HY26"/>
  <c r="HZ26"/>
  <c r="HY27"/>
  <c r="HZ27"/>
  <c r="HY28"/>
  <c r="HZ28"/>
  <c r="HY29"/>
  <c r="HZ29"/>
  <c r="HY30"/>
  <c r="HZ30"/>
  <c r="HY31"/>
  <c r="HZ31"/>
  <c r="HY32"/>
  <c r="HZ32"/>
  <c r="HY33"/>
  <c r="HZ33"/>
  <c r="HY34"/>
  <c r="HZ34"/>
  <c r="HY35"/>
  <c r="HZ35"/>
  <c r="HY36"/>
  <c r="HZ36"/>
  <c r="HY37"/>
  <c r="HZ37"/>
  <c r="HY38"/>
  <c r="HZ38"/>
  <c r="HY39"/>
  <c r="HZ39"/>
  <c r="HY40"/>
  <c r="HZ40"/>
  <c r="HY41"/>
  <c r="HZ41"/>
  <c r="HY42"/>
  <c r="HZ42"/>
  <c r="HY43"/>
  <c r="HZ43"/>
  <c r="HY44"/>
  <c r="HZ44"/>
  <c r="HY45"/>
  <c r="HZ45"/>
  <c r="HY46"/>
  <c r="HZ46"/>
  <c r="HY47"/>
  <c r="HZ47"/>
  <c r="HY48"/>
  <c r="HZ48"/>
  <c r="HY49"/>
  <c r="HZ49"/>
  <c r="HY50"/>
  <c r="HZ50"/>
  <c r="HY51"/>
  <c r="HZ51"/>
  <c r="HY52"/>
  <c r="HZ52"/>
  <c r="HY53"/>
  <c r="HZ53"/>
  <c r="HY54"/>
  <c r="HZ54"/>
  <c r="HY55"/>
  <c r="HZ55"/>
  <c r="HY56"/>
  <c r="HZ56"/>
  <c r="HY57"/>
  <c r="HZ57"/>
  <c r="HY58"/>
  <c r="HZ58"/>
  <c r="HY59"/>
  <c r="HZ59"/>
  <c r="HY60"/>
  <c r="HZ60"/>
  <c r="HY61"/>
  <c r="HZ61"/>
  <c r="HY62"/>
  <c r="HZ62"/>
  <c r="HY63"/>
  <c r="HZ63"/>
  <c r="HY64"/>
  <c r="HZ64"/>
  <c r="HY65"/>
  <c r="HZ65"/>
  <c r="HY66"/>
  <c r="HZ66"/>
  <c r="HY67"/>
  <c r="HZ67"/>
  <c r="HY68"/>
  <c r="HZ68"/>
  <c r="HY69"/>
  <c r="HZ69"/>
  <c r="HY70"/>
  <c r="HZ70"/>
  <c r="HY71"/>
  <c r="HZ71"/>
  <c r="HY72"/>
  <c r="HZ72"/>
  <c r="HY73"/>
  <c r="HZ73"/>
  <c r="HY74"/>
  <c r="HZ74"/>
  <c r="HY75"/>
  <c r="HZ75"/>
  <c r="HY76"/>
  <c r="HZ76"/>
  <c r="HY77"/>
  <c r="HZ77"/>
  <c r="HY78"/>
  <c r="HZ78"/>
  <c r="HY79"/>
  <c r="HZ79"/>
  <c r="HY80"/>
  <c r="HZ80"/>
  <c r="HY81"/>
  <c r="HZ81"/>
  <c r="HY82"/>
  <c r="HZ82"/>
  <c r="HY83"/>
  <c r="HZ83"/>
  <c r="HY84"/>
  <c r="HZ84"/>
  <c r="HY85"/>
  <c r="HZ85"/>
  <c r="HY86"/>
  <c r="HZ86"/>
  <c r="HY87"/>
  <c r="HZ87"/>
  <c r="HY88"/>
  <c r="HZ88"/>
  <c r="HY89"/>
  <c r="HZ89"/>
  <c r="HY90"/>
  <c r="HZ90"/>
  <c r="HY91"/>
  <c r="HZ91"/>
  <c r="HY92"/>
  <c r="HZ92"/>
  <c r="HY93"/>
  <c r="HZ93"/>
  <c r="HY94"/>
  <c r="HZ94"/>
  <c r="HY95"/>
  <c r="HZ95"/>
  <c r="HY96"/>
  <c r="HZ96"/>
  <c r="HY97"/>
  <c r="HZ97"/>
  <c r="HY98"/>
  <c r="HZ98"/>
  <c r="HY99"/>
  <c r="HZ99"/>
  <c r="HY100"/>
  <c r="HZ100"/>
  <c r="HY101"/>
  <c r="HZ101"/>
  <c r="HY102"/>
  <c r="HZ102"/>
  <c r="HY103"/>
  <c r="HZ103"/>
  <c r="HY104"/>
  <c r="HZ104"/>
  <c r="HY105"/>
  <c r="HZ105"/>
  <c r="HY106"/>
  <c r="HZ106"/>
  <c r="HY107"/>
  <c r="HZ107"/>
  <c r="HY108"/>
  <c r="HZ108"/>
  <c r="HY109"/>
  <c r="HZ109"/>
  <c r="HY110"/>
  <c r="HZ110"/>
  <c r="HY111"/>
  <c r="HZ111"/>
  <c r="HY112"/>
  <c r="HZ112"/>
  <c r="HY113"/>
  <c r="HZ113"/>
  <c r="HY114"/>
  <c r="HZ114"/>
  <c r="HY115"/>
  <c r="HZ115"/>
  <c r="HY116"/>
  <c r="HZ116"/>
  <c r="HY117"/>
  <c r="HZ117"/>
  <c r="HY118"/>
  <c r="HZ118"/>
  <c r="HY119"/>
  <c r="HZ119"/>
  <c r="HY120"/>
  <c r="HZ120"/>
  <c r="HY121"/>
  <c r="HZ121"/>
  <c r="HY122"/>
  <c r="HZ122"/>
  <c r="HY123"/>
  <c r="HZ123"/>
  <c r="HY124"/>
  <c r="HZ124"/>
  <c r="HY125"/>
  <c r="HZ125"/>
  <c r="HY126"/>
  <c r="HZ126"/>
  <c r="HY127"/>
  <c r="HZ127"/>
  <c r="HY128"/>
  <c r="HZ128"/>
  <c r="HY129"/>
  <c r="HZ129"/>
  <c r="HY130"/>
  <c r="HZ130"/>
  <c r="HY131"/>
  <c r="HZ131"/>
  <c r="HY132"/>
  <c r="HZ132"/>
  <c r="HY133"/>
  <c r="HZ133"/>
  <c r="HY134"/>
  <c r="HZ134"/>
  <c r="HY135"/>
  <c r="HZ135"/>
  <c r="HY136"/>
  <c r="HZ136"/>
  <c r="HY137"/>
  <c r="HZ137"/>
  <c r="HY138"/>
  <c r="HZ138"/>
  <c r="HY139"/>
  <c r="HZ139"/>
  <c r="HY140"/>
  <c r="HZ140"/>
  <c r="HY141"/>
  <c r="HZ141"/>
  <c r="HY142"/>
  <c r="HZ142"/>
  <c r="HY143"/>
  <c r="HZ143"/>
  <c r="HY144"/>
  <c r="HZ144"/>
  <c r="HY145"/>
  <c r="HZ145"/>
  <c r="HY146"/>
  <c r="HZ146"/>
  <c r="HY147"/>
  <c r="HZ147"/>
  <c r="HY148"/>
  <c r="HZ148"/>
  <c r="HY149"/>
  <c r="HZ149"/>
  <c r="HY150"/>
  <c r="HZ150"/>
  <c r="HY151"/>
  <c r="HZ151"/>
  <c r="HY152"/>
  <c r="HZ152"/>
  <c r="HY153"/>
  <c r="HZ153"/>
  <c r="HY154"/>
  <c r="HZ154"/>
  <c r="HY155"/>
  <c r="HZ155"/>
  <c r="HY156"/>
  <c r="HZ156"/>
  <c r="HY157"/>
  <c r="HZ157"/>
  <c r="HY158"/>
  <c r="HZ158"/>
  <c r="HY159"/>
  <c r="HZ159"/>
  <c r="HY160"/>
  <c r="HZ160"/>
  <c r="HY161"/>
  <c r="HZ161"/>
  <c r="HY162"/>
  <c r="HZ162"/>
  <c r="HY163"/>
  <c r="HZ163"/>
  <c r="HY164"/>
  <c r="HZ164"/>
  <c r="HY165"/>
  <c r="HZ165"/>
  <c r="HY166"/>
  <c r="HZ166"/>
  <c r="HY167"/>
  <c r="HZ167"/>
  <c r="HY168"/>
  <c r="HZ168"/>
  <c r="HY169"/>
  <c r="HZ169"/>
  <c r="HY170"/>
  <c r="HZ170"/>
  <c r="HY171"/>
  <c r="HZ171"/>
  <c r="HY172"/>
  <c r="HZ172"/>
  <c r="HY173"/>
  <c r="HZ173"/>
  <c r="HY174"/>
  <c r="HZ174"/>
  <c r="HY175"/>
  <c r="HZ175"/>
  <c r="HY176"/>
  <c r="HZ176"/>
  <c r="HY177"/>
  <c r="HZ177"/>
  <c r="HY178"/>
  <c r="HZ178"/>
  <c r="HY179"/>
  <c r="HZ179"/>
  <c r="HY180"/>
  <c r="HZ180"/>
  <c r="HY181"/>
  <c r="HZ181"/>
  <c r="HY182"/>
  <c r="HZ182"/>
  <c r="HY183"/>
  <c r="HZ183"/>
  <c r="HY184"/>
  <c r="HZ184"/>
  <c r="HY185"/>
  <c r="HZ185"/>
  <c r="HY186"/>
  <c r="HZ186"/>
  <c r="HY187"/>
  <c r="HZ187"/>
  <c r="HY188"/>
  <c r="HZ188"/>
  <c r="HY189"/>
  <c r="HZ189"/>
  <c r="HY190"/>
  <c r="HZ190"/>
  <c r="HY191"/>
  <c r="HZ191"/>
  <c r="HY192"/>
  <c r="HZ192"/>
  <c r="HY193"/>
  <c r="HZ193"/>
  <c r="HY194"/>
  <c r="HZ194"/>
  <c r="HY195"/>
  <c r="HZ195"/>
  <c r="HY196"/>
  <c r="HZ196"/>
  <c r="HY197"/>
  <c r="HZ197"/>
  <c r="HY198"/>
  <c r="HZ198"/>
  <c r="HY199"/>
  <c r="HZ199"/>
  <c r="HY200"/>
  <c r="HZ200"/>
  <c r="HY201"/>
  <c r="HZ201"/>
  <c r="HY202"/>
  <c r="HZ202"/>
  <c r="HY203"/>
  <c r="HZ203"/>
  <c r="HY204"/>
  <c r="HZ204"/>
  <c r="HY205"/>
  <c r="HZ205"/>
  <c r="HY206"/>
  <c r="HZ206"/>
  <c r="HY207"/>
  <c r="HZ207"/>
  <c r="HY208"/>
  <c r="HZ208"/>
  <c r="HY209"/>
  <c r="HZ209"/>
  <c r="HY210"/>
  <c r="HZ210"/>
  <c r="HY211"/>
  <c r="HZ211"/>
  <c r="HY212"/>
  <c r="HZ212"/>
  <c r="HY213"/>
  <c r="HZ213"/>
  <c r="HY214"/>
  <c r="HZ214"/>
  <c r="HY215"/>
  <c r="HZ215"/>
  <c r="HY216"/>
  <c r="HZ216"/>
  <c r="HY217"/>
  <c r="HZ217"/>
  <c r="HY218"/>
  <c r="HZ218"/>
  <c r="HY219"/>
  <c r="HZ219"/>
  <c r="HZ8"/>
  <c r="HY8"/>
  <c r="IA8"/>
  <c r="IA9"/>
  <c r="IB9"/>
  <c r="IC9"/>
  <c r="ID9"/>
  <c r="IA10"/>
  <c r="IB10"/>
  <c r="IC10"/>
  <c r="ID10"/>
  <c r="IA11"/>
  <c r="IB11"/>
  <c r="IC11"/>
  <c r="ID11"/>
  <c r="IA12"/>
  <c r="IB12"/>
  <c r="IC12"/>
  <c r="ID12"/>
  <c r="IA13"/>
  <c r="IB13"/>
  <c r="IC13"/>
  <c r="ID13"/>
  <c r="IA14"/>
  <c r="IB14"/>
  <c r="IC14"/>
  <c r="ID14"/>
  <c r="IA15"/>
  <c r="IB15"/>
  <c r="IC15"/>
  <c r="ID15"/>
  <c r="IA16"/>
  <c r="IB16"/>
  <c r="IC16"/>
  <c r="ID16"/>
  <c r="IA17"/>
  <c r="IB17"/>
  <c r="IC17"/>
  <c r="ID17"/>
  <c r="IA18"/>
  <c r="IB18"/>
  <c r="IC18"/>
  <c r="ID18"/>
  <c r="IA19"/>
  <c r="IB19"/>
  <c r="IC19"/>
  <c r="ID19"/>
  <c r="IA20"/>
  <c r="IB20"/>
  <c r="IC20"/>
  <c r="ID20"/>
  <c r="IA21"/>
  <c r="IB21"/>
  <c r="IC21"/>
  <c r="ID21"/>
  <c r="IA22"/>
  <c r="IB22"/>
  <c r="IC22"/>
  <c r="ID22"/>
  <c r="IA23"/>
  <c r="IB23"/>
  <c r="IC23"/>
  <c r="ID23"/>
  <c r="IA24"/>
  <c r="IB24"/>
  <c r="IC24"/>
  <c r="ID24"/>
  <c r="IA25"/>
  <c r="IB25"/>
  <c r="IC25"/>
  <c r="ID25"/>
  <c r="IA26"/>
  <c r="IB26"/>
  <c r="IC26"/>
  <c r="ID26"/>
  <c r="IA27"/>
  <c r="IB27"/>
  <c r="IC27"/>
  <c r="ID27"/>
  <c r="IA28"/>
  <c r="IB28"/>
  <c r="IC28"/>
  <c r="ID28"/>
  <c r="IA29"/>
  <c r="IB29"/>
  <c r="IC29"/>
  <c r="ID29"/>
  <c r="IA30"/>
  <c r="IB30"/>
  <c r="IC30"/>
  <c r="ID30"/>
  <c r="IA31"/>
  <c r="IB31"/>
  <c r="IC31"/>
  <c r="ID31"/>
  <c r="IA32"/>
  <c r="IB32"/>
  <c r="IC32"/>
  <c r="ID32"/>
  <c r="IA33"/>
  <c r="IB33"/>
  <c r="IC33"/>
  <c r="ID33"/>
  <c r="IA34"/>
  <c r="IB34"/>
  <c r="IC34"/>
  <c r="ID34"/>
  <c r="IA35"/>
  <c r="IB35"/>
  <c r="IC35"/>
  <c r="ID35"/>
  <c r="IA36"/>
  <c r="IB36"/>
  <c r="IC36"/>
  <c r="ID36"/>
  <c r="IA37"/>
  <c r="IB37"/>
  <c r="IC37"/>
  <c r="ID37"/>
  <c r="IA38"/>
  <c r="IB38"/>
  <c r="IC38"/>
  <c r="ID38"/>
  <c r="IA39"/>
  <c r="IB39"/>
  <c r="IC39"/>
  <c r="ID39"/>
  <c r="IA40"/>
  <c r="IB40"/>
  <c r="IC40"/>
  <c r="ID40"/>
  <c r="IA41"/>
  <c r="IB41"/>
  <c r="IC41"/>
  <c r="ID41"/>
  <c r="IA42"/>
  <c r="IB42"/>
  <c r="IC42"/>
  <c r="ID42"/>
  <c r="IA43"/>
  <c r="IB43"/>
  <c r="IC43"/>
  <c r="ID43"/>
  <c r="IA44"/>
  <c r="IB44"/>
  <c r="IC44"/>
  <c r="ID44"/>
  <c r="IA45"/>
  <c r="IB45"/>
  <c r="IC45"/>
  <c r="ID45"/>
  <c r="IA46"/>
  <c r="IB46"/>
  <c r="IC46"/>
  <c r="ID46"/>
  <c r="IA47"/>
  <c r="IB47"/>
  <c r="IC47"/>
  <c r="ID47"/>
  <c r="IA48"/>
  <c r="IB48"/>
  <c r="IC48"/>
  <c r="ID48"/>
  <c r="IA49"/>
  <c r="IB49"/>
  <c r="IC49"/>
  <c r="ID49"/>
  <c r="IA50"/>
  <c r="IB50"/>
  <c r="IC50"/>
  <c r="ID50"/>
  <c r="IA51"/>
  <c r="IB51"/>
  <c r="IC51"/>
  <c r="ID51"/>
  <c r="IA52"/>
  <c r="IB52"/>
  <c r="IC52"/>
  <c r="ID52"/>
  <c r="IA53"/>
  <c r="IB53"/>
  <c r="IC53"/>
  <c r="ID53"/>
  <c r="IA54"/>
  <c r="IB54"/>
  <c r="IC54"/>
  <c r="ID54"/>
  <c r="IA55"/>
  <c r="IB55"/>
  <c r="IC55"/>
  <c r="ID55"/>
  <c r="IA56"/>
  <c r="IB56"/>
  <c r="IC56"/>
  <c r="ID56"/>
  <c r="IA57"/>
  <c r="IB57"/>
  <c r="IC57"/>
  <c r="ID57"/>
  <c r="IA58"/>
  <c r="IB58"/>
  <c r="IC58"/>
  <c r="ID58"/>
  <c r="IA59"/>
  <c r="IB59"/>
  <c r="IC59"/>
  <c r="ID59"/>
  <c r="IA60"/>
  <c r="IB60"/>
  <c r="IC60"/>
  <c r="ID60"/>
  <c r="IA61"/>
  <c r="IB61"/>
  <c r="IC61"/>
  <c r="ID61"/>
  <c r="IA62"/>
  <c r="IB62"/>
  <c r="IC62"/>
  <c r="ID62"/>
  <c r="IA63"/>
  <c r="IB63"/>
  <c r="IC63"/>
  <c r="ID63"/>
  <c r="IA64"/>
  <c r="IB64"/>
  <c r="IC64"/>
  <c r="ID64"/>
  <c r="IA65"/>
  <c r="IB65"/>
  <c r="IC65"/>
  <c r="ID65"/>
  <c r="IA66"/>
  <c r="IB66"/>
  <c r="IC66"/>
  <c r="ID66"/>
  <c r="IA67"/>
  <c r="IB67"/>
  <c r="IC67"/>
  <c r="ID67"/>
  <c r="IA68"/>
  <c r="IB68"/>
  <c r="IC68"/>
  <c r="ID68"/>
  <c r="IA69"/>
  <c r="IB69"/>
  <c r="IC69"/>
  <c r="ID69"/>
  <c r="IA70"/>
  <c r="IB70"/>
  <c r="IC70"/>
  <c r="ID70"/>
  <c r="IA71"/>
  <c r="IB71"/>
  <c r="IC71"/>
  <c r="ID71"/>
  <c r="IA72"/>
  <c r="IB72"/>
  <c r="IC72"/>
  <c r="ID72"/>
  <c r="IA73"/>
  <c r="IB73"/>
  <c r="IC73"/>
  <c r="ID73"/>
  <c r="IA74"/>
  <c r="IB74"/>
  <c r="IC74"/>
  <c r="ID74"/>
  <c r="IA75"/>
  <c r="IB75"/>
  <c r="IC75"/>
  <c r="ID75"/>
  <c r="IA76"/>
  <c r="IB76"/>
  <c r="IC76"/>
  <c r="ID76"/>
  <c r="IA77"/>
  <c r="IB77"/>
  <c r="IC77"/>
  <c r="ID77"/>
  <c r="IA78"/>
  <c r="IB78"/>
  <c r="IC78"/>
  <c r="ID78"/>
  <c r="IA79"/>
  <c r="IB79"/>
  <c r="IC79"/>
  <c r="ID79"/>
  <c r="IA80"/>
  <c r="IB80"/>
  <c r="IC80"/>
  <c r="ID80"/>
  <c r="IA81"/>
  <c r="IB81"/>
  <c r="IC81"/>
  <c r="ID81"/>
  <c r="IA82"/>
  <c r="IB82"/>
  <c r="IC82"/>
  <c r="ID82"/>
  <c r="IA83"/>
  <c r="IB83"/>
  <c r="IC83"/>
  <c r="ID83"/>
  <c r="IA84"/>
  <c r="IB84"/>
  <c r="IC84"/>
  <c r="ID84"/>
  <c r="IA85"/>
  <c r="IB85"/>
  <c r="IC85"/>
  <c r="ID85"/>
  <c r="IA86"/>
  <c r="IB86"/>
  <c r="IC86"/>
  <c r="ID86"/>
  <c r="IA87"/>
  <c r="IB87"/>
  <c r="IC87"/>
  <c r="ID87"/>
  <c r="IA88"/>
  <c r="IB88"/>
  <c r="IC88"/>
  <c r="ID88"/>
  <c r="IA89"/>
  <c r="IB89"/>
  <c r="IC89"/>
  <c r="ID89"/>
  <c r="IA90"/>
  <c r="IB90"/>
  <c r="IC90"/>
  <c r="ID90"/>
  <c r="IA91"/>
  <c r="IB91"/>
  <c r="IC91"/>
  <c r="ID91"/>
  <c r="IA92"/>
  <c r="IB92"/>
  <c r="IC92"/>
  <c r="ID92"/>
  <c r="IA93"/>
  <c r="IB93"/>
  <c r="IC93"/>
  <c r="ID93"/>
  <c r="IA94"/>
  <c r="IB94"/>
  <c r="IC94"/>
  <c r="ID94"/>
  <c r="IA95"/>
  <c r="IB95"/>
  <c r="IC95"/>
  <c r="ID95"/>
  <c r="IA96"/>
  <c r="IB96"/>
  <c r="IC96"/>
  <c r="ID96"/>
  <c r="IA97"/>
  <c r="IB97"/>
  <c r="IC97"/>
  <c r="ID97"/>
  <c r="IA98"/>
  <c r="IB98"/>
  <c r="IC98"/>
  <c r="ID98"/>
  <c r="IA99"/>
  <c r="IB99"/>
  <c r="IC99"/>
  <c r="ID99"/>
  <c r="IA100"/>
  <c r="IB100"/>
  <c r="IC100"/>
  <c r="ID100"/>
  <c r="IA101"/>
  <c r="IB101"/>
  <c r="IC101"/>
  <c r="ID101"/>
  <c r="IA102"/>
  <c r="IB102"/>
  <c r="IC102"/>
  <c r="ID102"/>
  <c r="IA103"/>
  <c r="IB103"/>
  <c r="IC103"/>
  <c r="ID103"/>
  <c r="IA104"/>
  <c r="IB104"/>
  <c r="IC104"/>
  <c r="ID104"/>
  <c r="IA105"/>
  <c r="IB105"/>
  <c r="IC105"/>
  <c r="ID105"/>
  <c r="IA106"/>
  <c r="IB106"/>
  <c r="IC106"/>
  <c r="ID106"/>
  <c r="IA107"/>
  <c r="IB107"/>
  <c r="IC107"/>
  <c r="ID107"/>
  <c r="IA108"/>
  <c r="IB108"/>
  <c r="IC108"/>
  <c r="ID108"/>
  <c r="IA109"/>
  <c r="IB109"/>
  <c r="IC109"/>
  <c r="ID109"/>
  <c r="IA110"/>
  <c r="IB110"/>
  <c r="IC110"/>
  <c r="ID110"/>
  <c r="IA111"/>
  <c r="IB111"/>
  <c r="IC111"/>
  <c r="ID111"/>
  <c r="IA112"/>
  <c r="IB112"/>
  <c r="IC112"/>
  <c r="ID112"/>
  <c r="IA113"/>
  <c r="IB113"/>
  <c r="IC113"/>
  <c r="ID113"/>
  <c r="IA114"/>
  <c r="IB114"/>
  <c r="IC114"/>
  <c r="ID114"/>
  <c r="IA115"/>
  <c r="IB115"/>
  <c r="IC115"/>
  <c r="ID115"/>
  <c r="IA116"/>
  <c r="IB116"/>
  <c r="IC116"/>
  <c r="ID116"/>
  <c r="IA117"/>
  <c r="IB117"/>
  <c r="IC117"/>
  <c r="ID117"/>
  <c r="IA118"/>
  <c r="IB118"/>
  <c r="IC118"/>
  <c r="ID118"/>
  <c r="IA119"/>
  <c r="IB119"/>
  <c r="IC119"/>
  <c r="ID119"/>
  <c r="IA120"/>
  <c r="IB120"/>
  <c r="IC120"/>
  <c r="ID120"/>
  <c r="IA121"/>
  <c r="IB121"/>
  <c r="IC121"/>
  <c r="ID121"/>
  <c r="IA122"/>
  <c r="IB122"/>
  <c r="IC122"/>
  <c r="ID122"/>
  <c r="IA123"/>
  <c r="IB123"/>
  <c r="IC123"/>
  <c r="ID123"/>
  <c r="IA124"/>
  <c r="IB124"/>
  <c r="IC124"/>
  <c r="ID124"/>
  <c r="IA125"/>
  <c r="IB125"/>
  <c r="IC125"/>
  <c r="ID125"/>
  <c r="IA126"/>
  <c r="IB126"/>
  <c r="IC126"/>
  <c r="ID126"/>
  <c r="IA127"/>
  <c r="IB127"/>
  <c r="IC127"/>
  <c r="ID127"/>
  <c r="IA128"/>
  <c r="IB128"/>
  <c r="IC128"/>
  <c r="ID128"/>
  <c r="IA129"/>
  <c r="IB129"/>
  <c r="IC129"/>
  <c r="ID129"/>
  <c r="IA130"/>
  <c r="IB130"/>
  <c r="IC130"/>
  <c r="ID130"/>
  <c r="IA131"/>
  <c r="IB131"/>
  <c r="IC131"/>
  <c r="ID131"/>
  <c r="IA132"/>
  <c r="IB132"/>
  <c r="IC132"/>
  <c r="ID132"/>
  <c r="IA133"/>
  <c r="IB133"/>
  <c r="IC133"/>
  <c r="ID133"/>
  <c r="IA134"/>
  <c r="IB134"/>
  <c r="IC134"/>
  <c r="ID134"/>
  <c r="IA135"/>
  <c r="IB135"/>
  <c r="IC135"/>
  <c r="ID135"/>
  <c r="IA136"/>
  <c r="IB136"/>
  <c r="IC136"/>
  <c r="ID136"/>
  <c r="IA137"/>
  <c r="IB137"/>
  <c r="IC137"/>
  <c r="ID137"/>
  <c r="IA138"/>
  <c r="IB138"/>
  <c r="IC138"/>
  <c r="ID138"/>
  <c r="IA139"/>
  <c r="IB139"/>
  <c r="IC139"/>
  <c r="ID139"/>
  <c r="IA140"/>
  <c r="IB140"/>
  <c r="IC140"/>
  <c r="ID140"/>
  <c r="IA141"/>
  <c r="IB141"/>
  <c r="IC141"/>
  <c r="ID141"/>
  <c r="IA142"/>
  <c r="IB142"/>
  <c r="IC142"/>
  <c r="ID142"/>
  <c r="IA143"/>
  <c r="IB143"/>
  <c r="IC143"/>
  <c r="ID143"/>
  <c r="IA144"/>
  <c r="IB144"/>
  <c r="IC144"/>
  <c r="ID144"/>
  <c r="IA145"/>
  <c r="IB145"/>
  <c r="IC145"/>
  <c r="ID145"/>
  <c r="IA146"/>
  <c r="IB146"/>
  <c r="IC146"/>
  <c r="ID146"/>
  <c r="IA147"/>
  <c r="IB147"/>
  <c r="IC147"/>
  <c r="ID147"/>
  <c r="IA148"/>
  <c r="IB148"/>
  <c r="IC148"/>
  <c r="ID148"/>
  <c r="IA149"/>
  <c r="IB149"/>
  <c r="IC149"/>
  <c r="ID149"/>
  <c r="IA150"/>
  <c r="IB150"/>
  <c r="IC150"/>
  <c r="ID150"/>
  <c r="IA151"/>
  <c r="IB151"/>
  <c r="IC151"/>
  <c r="ID151"/>
  <c r="IA152"/>
  <c r="IB152"/>
  <c r="IC152"/>
  <c r="ID152"/>
  <c r="IA153"/>
  <c r="IB153"/>
  <c r="IC153"/>
  <c r="ID153"/>
  <c r="IA154"/>
  <c r="IB154"/>
  <c r="IC154"/>
  <c r="ID154"/>
  <c r="IA155"/>
  <c r="IB155"/>
  <c r="IC155"/>
  <c r="ID155"/>
  <c r="IA156"/>
  <c r="IB156"/>
  <c r="IC156"/>
  <c r="ID156"/>
  <c r="IA157"/>
  <c r="IB157"/>
  <c r="IC157"/>
  <c r="ID157"/>
  <c r="IA158"/>
  <c r="IB158"/>
  <c r="IC158"/>
  <c r="ID158"/>
  <c r="IA159"/>
  <c r="IB159"/>
  <c r="IC159"/>
  <c r="ID159"/>
  <c r="IA160"/>
  <c r="IB160"/>
  <c r="IC160"/>
  <c r="ID160"/>
  <c r="IA161"/>
  <c r="IB161"/>
  <c r="IC161"/>
  <c r="ID161"/>
  <c r="IA162"/>
  <c r="IB162"/>
  <c r="IC162"/>
  <c r="ID162"/>
  <c r="IA163"/>
  <c r="IB163"/>
  <c r="IC163"/>
  <c r="ID163"/>
  <c r="IA164"/>
  <c r="IB164"/>
  <c r="IC164"/>
  <c r="ID164"/>
  <c r="IA165"/>
  <c r="IB165"/>
  <c r="IC165"/>
  <c r="ID165"/>
  <c r="IA166"/>
  <c r="IB166"/>
  <c r="IC166"/>
  <c r="ID166"/>
  <c r="IA167"/>
  <c r="IB167"/>
  <c r="IC167"/>
  <c r="ID167"/>
  <c r="IA168"/>
  <c r="IB168"/>
  <c r="IC168"/>
  <c r="ID168"/>
  <c r="IA169"/>
  <c r="IB169"/>
  <c r="IC169"/>
  <c r="ID169"/>
  <c r="IA170"/>
  <c r="IB170"/>
  <c r="IC170"/>
  <c r="ID170"/>
  <c r="IA171"/>
  <c r="IB171"/>
  <c r="IC171"/>
  <c r="ID171"/>
  <c r="IA172"/>
  <c r="IB172"/>
  <c r="IC172"/>
  <c r="ID172"/>
  <c r="IA173"/>
  <c r="IB173"/>
  <c r="IC173"/>
  <c r="ID173"/>
  <c r="IA174"/>
  <c r="IB174"/>
  <c r="IC174"/>
  <c r="ID174"/>
  <c r="IA175"/>
  <c r="IB175"/>
  <c r="IC175"/>
  <c r="ID175"/>
  <c r="IA176"/>
  <c r="IB176"/>
  <c r="IC176"/>
  <c r="ID176"/>
  <c r="IA177"/>
  <c r="IB177"/>
  <c r="IC177"/>
  <c r="ID177"/>
  <c r="IA178"/>
  <c r="IB178"/>
  <c r="IC178"/>
  <c r="ID178"/>
  <c r="IA179"/>
  <c r="IB179"/>
  <c r="IC179"/>
  <c r="ID179"/>
  <c r="IA180"/>
  <c r="IB180"/>
  <c r="IC180"/>
  <c r="ID180"/>
  <c r="IA181"/>
  <c r="IB181"/>
  <c r="IC181"/>
  <c r="ID181"/>
  <c r="IA182"/>
  <c r="IB182"/>
  <c r="IC182"/>
  <c r="ID182"/>
  <c r="IA183"/>
  <c r="IB183"/>
  <c r="IC183"/>
  <c r="ID183"/>
  <c r="IA184"/>
  <c r="IB184"/>
  <c r="IC184"/>
  <c r="ID184"/>
  <c r="IA185"/>
  <c r="IB185"/>
  <c r="IC185"/>
  <c r="ID185"/>
  <c r="IA186"/>
  <c r="IB186"/>
  <c r="IC186"/>
  <c r="ID186"/>
  <c r="IA187"/>
  <c r="IB187"/>
  <c r="IC187"/>
  <c r="ID187"/>
  <c r="IA188"/>
  <c r="IB188"/>
  <c r="IC188"/>
  <c r="ID188"/>
  <c r="IA189"/>
  <c r="IB189"/>
  <c r="IC189"/>
  <c r="ID189"/>
  <c r="IA190"/>
  <c r="IB190"/>
  <c r="IC190"/>
  <c r="ID190"/>
  <c r="IA191"/>
  <c r="IB191"/>
  <c r="IC191"/>
  <c r="ID191"/>
  <c r="IA192"/>
  <c r="IB192"/>
  <c r="IC192"/>
  <c r="ID192"/>
  <c r="IA193"/>
  <c r="IB193"/>
  <c r="IC193"/>
  <c r="ID193"/>
  <c r="IA194"/>
  <c r="IB194"/>
  <c r="IC194"/>
  <c r="ID194"/>
  <c r="IA195"/>
  <c r="IB195"/>
  <c r="IC195"/>
  <c r="ID195"/>
  <c r="IA196"/>
  <c r="IB196"/>
  <c r="IC196"/>
  <c r="ID196"/>
  <c r="IA197"/>
  <c r="IB197"/>
  <c r="IC197"/>
  <c r="ID197"/>
  <c r="IA198"/>
  <c r="IB198"/>
  <c r="IC198"/>
  <c r="ID198"/>
  <c r="IA199"/>
  <c r="IB199"/>
  <c r="IC199"/>
  <c r="ID199"/>
  <c r="IA200"/>
  <c r="IB200"/>
  <c r="IC200"/>
  <c r="ID200"/>
  <c r="IA201"/>
  <c r="IB201"/>
  <c r="IC201"/>
  <c r="ID201"/>
  <c r="IA202"/>
  <c r="IB202"/>
  <c r="IC202"/>
  <c r="ID202"/>
  <c r="IA203"/>
  <c r="IB203"/>
  <c r="IC203"/>
  <c r="ID203"/>
  <c r="IA204"/>
  <c r="IB204"/>
  <c r="IC204"/>
  <c r="ID204"/>
  <c r="IA205"/>
  <c r="IB205"/>
  <c r="IC205"/>
  <c r="ID205"/>
  <c r="IA206"/>
  <c r="IB206"/>
  <c r="IC206"/>
  <c r="ID206"/>
  <c r="IA207"/>
  <c r="IB207"/>
  <c r="IC207"/>
  <c r="ID207"/>
  <c r="IA208"/>
  <c r="IB208"/>
  <c r="IC208"/>
  <c r="ID208"/>
  <c r="IA209"/>
  <c r="IB209"/>
  <c r="IC209"/>
  <c r="ID209"/>
  <c r="IA210"/>
  <c r="IB210"/>
  <c r="IC210"/>
  <c r="ID210"/>
  <c r="IA211"/>
  <c r="IB211"/>
  <c r="IC211"/>
  <c r="ID211"/>
  <c r="IA212"/>
  <c r="IB212"/>
  <c r="IC212"/>
  <c r="ID212"/>
  <c r="IA213"/>
  <c r="IB213"/>
  <c r="IC213"/>
  <c r="ID213"/>
  <c r="IA214"/>
  <c r="IB214"/>
  <c r="IC214"/>
  <c r="ID214"/>
  <c r="IA215"/>
  <c r="IB215"/>
  <c r="IC215"/>
  <c r="ID215"/>
  <c r="IA216"/>
  <c r="IB216"/>
  <c r="IC216"/>
  <c r="ID216"/>
  <c r="IA217"/>
  <c r="IB217"/>
  <c r="IC217"/>
  <c r="ID217"/>
  <c r="IA218"/>
  <c r="IB218"/>
  <c r="IC218"/>
  <c r="ID218"/>
  <c r="IA219"/>
  <c r="IB219"/>
  <c r="IC219"/>
  <c r="ID219"/>
  <c r="ID8"/>
  <c r="IC8"/>
  <c r="IB8"/>
  <c r="AK13" i="15"/>
  <c r="IJ14" i="9" s="1"/>
  <c r="AK8" i="15"/>
  <c r="IJ9" i="9" s="1"/>
  <c r="AL8" i="15"/>
  <c r="IP9" i="9" s="1"/>
  <c r="AK9" i="15"/>
  <c r="IJ10" i="9" s="1"/>
  <c r="AL9" i="15"/>
  <c r="IP10" i="9" s="1"/>
  <c r="AK10" i="15"/>
  <c r="IJ11" i="9" s="1"/>
  <c r="AL10" i="15"/>
  <c r="IP11" i="9" s="1"/>
  <c r="AK11" i="15"/>
  <c r="IJ12" i="9" s="1"/>
  <c r="AL11" i="15"/>
  <c r="IP12" i="9" s="1"/>
  <c r="AK12" i="15"/>
  <c r="IJ13" i="9" s="1"/>
  <c r="AL12" i="15"/>
  <c r="IP13" i="9" s="1"/>
  <c r="AL13" i="15"/>
  <c r="IP14" i="9" s="1"/>
  <c r="AK14" i="15"/>
  <c r="IJ15" i="9" s="1"/>
  <c r="AL14" i="15"/>
  <c r="IP15" i="9" s="1"/>
  <c r="AK15" i="15"/>
  <c r="IJ16" i="9" s="1"/>
  <c r="AL15" i="15"/>
  <c r="IP16" i="9" s="1"/>
  <c r="AK16" i="15"/>
  <c r="IJ17" i="9" s="1"/>
  <c r="AL16" i="15"/>
  <c r="IP17" i="9" s="1"/>
  <c r="AK17" i="15"/>
  <c r="IJ18" i="9" s="1"/>
  <c r="AL17" i="15"/>
  <c r="IP18" i="9" s="1"/>
  <c r="AK18" i="15"/>
  <c r="IJ19" i="9" s="1"/>
  <c r="AL18" i="15"/>
  <c r="IP19" i="9" s="1"/>
  <c r="AK19" i="15"/>
  <c r="IJ20" i="9" s="1"/>
  <c r="AL19" i="15"/>
  <c r="IP20" i="9" s="1"/>
  <c r="AK20" i="15"/>
  <c r="IJ21" i="9" s="1"/>
  <c r="AL20" i="15"/>
  <c r="IP21" i="9" s="1"/>
  <c r="AK21" i="15"/>
  <c r="IJ22" i="9" s="1"/>
  <c r="AL21" i="15"/>
  <c r="IP22" i="9" s="1"/>
  <c r="AK22" i="15"/>
  <c r="IJ23" i="9" s="1"/>
  <c r="AL22" i="15"/>
  <c r="IP23" i="9" s="1"/>
  <c r="AK23" i="15"/>
  <c r="IJ24" i="9" s="1"/>
  <c r="AL23" i="15"/>
  <c r="IP24" i="9" s="1"/>
  <c r="AK24" i="15"/>
  <c r="IJ25" i="9" s="1"/>
  <c r="AL24" i="15"/>
  <c r="IP25" i="9" s="1"/>
  <c r="AK25" i="15"/>
  <c r="IJ26" i="9" s="1"/>
  <c r="AL25" i="15"/>
  <c r="IP26" i="9" s="1"/>
  <c r="AK26" i="15"/>
  <c r="IJ27" i="9" s="1"/>
  <c r="AL26" i="15"/>
  <c r="IP27" i="9" s="1"/>
  <c r="AK27" i="15"/>
  <c r="IJ28" i="9" s="1"/>
  <c r="AL27" i="15"/>
  <c r="IP28" i="9" s="1"/>
  <c r="AK28" i="15"/>
  <c r="IJ29" i="9" s="1"/>
  <c r="AL28" i="15"/>
  <c r="IP29" i="9" s="1"/>
  <c r="AK29" i="15"/>
  <c r="IJ30" i="9" s="1"/>
  <c r="AL29" i="15"/>
  <c r="IP30" i="9" s="1"/>
  <c r="AK30" i="15"/>
  <c r="IJ31" i="9" s="1"/>
  <c r="AL30" i="15"/>
  <c r="IP31" i="9" s="1"/>
  <c r="AK31" i="15"/>
  <c r="IJ32" i="9" s="1"/>
  <c r="AL31" i="15"/>
  <c r="IP32" i="9" s="1"/>
  <c r="AK32" i="15"/>
  <c r="IJ33" i="9" s="1"/>
  <c r="AL32" i="15"/>
  <c r="IP33" i="9" s="1"/>
  <c r="AK33" i="15"/>
  <c r="IJ34" i="9" s="1"/>
  <c r="AL33" i="15"/>
  <c r="IP34" i="9" s="1"/>
  <c r="AK34" i="15"/>
  <c r="IJ35" i="9" s="1"/>
  <c r="AL34" i="15"/>
  <c r="IP35" i="9" s="1"/>
  <c r="AK35" i="15"/>
  <c r="IJ36" i="9" s="1"/>
  <c r="AL35" i="15"/>
  <c r="IP36" i="9" s="1"/>
  <c r="AK36" i="15"/>
  <c r="IJ37" i="9" s="1"/>
  <c r="AL36" i="15"/>
  <c r="IP37" i="9" s="1"/>
  <c r="AK37" i="15"/>
  <c r="IJ38" i="9" s="1"/>
  <c r="AL37" i="15"/>
  <c r="IP38" i="9" s="1"/>
  <c r="AK38" i="15"/>
  <c r="IJ39" i="9" s="1"/>
  <c r="AL38" i="15"/>
  <c r="IP39" i="9" s="1"/>
  <c r="AK39" i="15"/>
  <c r="IJ40" i="9" s="1"/>
  <c r="AL39" i="15"/>
  <c r="IP40" i="9" s="1"/>
  <c r="AK40" i="15"/>
  <c r="IJ41" i="9" s="1"/>
  <c r="AL40" i="15"/>
  <c r="IP41" i="9" s="1"/>
  <c r="AK41" i="15"/>
  <c r="IJ42" i="9" s="1"/>
  <c r="AL41" i="15"/>
  <c r="IP42" i="9" s="1"/>
  <c r="AK42" i="15"/>
  <c r="IJ43" i="9" s="1"/>
  <c r="AL42" i="15"/>
  <c r="IP43" i="9" s="1"/>
  <c r="AK43" i="15"/>
  <c r="IJ44" i="9" s="1"/>
  <c r="AL43" i="15"/>
  <c r="IP44" i="9" s="1"/>
  <c r="AK44" i="15"/>
  <c r="IJ45" i="9" s="1"/>
  <c r="AL44" i="15"/>
  <c r="IP45" i="9" s="1"/>
  <c r="AK45" i="15"/>
  <c r="IJ46" i="9" s="1"/>
  <c r="AL45" i="15"/>
  <c r="IP46" i="9" s="1"/>
  <c r="AK46" i="15"/>
  <c r="IJ47" i="9" s="1"/>
  <c r="AL46" i="15"/>
  <c r="IP47" i="9" s="1"/>
  <c r="AK47" i="15"/>
  <c r="IJ48" i="9" s="1"/>
  <c r="AL47" i="15"/>
  <c r="IP48" i="9" s="1"/>
  <c r="AK48" i="15"/>
  <c r="IJ49" i="9" s="1"/>
  <c r="AL48" i="15"/>
  <c r="IP49" i="9" s="1"/>
  <c r="AK49" i="15"/>
  <c r="IJ50" i="9" s="1"/>
  <c r="AL49" i="15"/>
  <c r="IP50" i="9" s="1"/>
  <c r="AK50" i="15"/>
  <c r="IJ51" i="9" s="1"/>
  <c r="AL50" i="15"/>
  <c r="IP51" i="9" s="1"/>
  <c r="AK51" i="15"/>
  <c r="IJ52" i="9" s="1"/>
  <c r="AL51" i="15"/>
  <c r="IP52" i="9" s="1"/>
  <c r="AK52" i="15"/>
  <c r="IJ53" i="9" s="1"/>
  <c r="AL52" i="15"/>
  <c r="IP53" i="9" s="1"/>
  <c r="AK53" i="15"/>
  <c r="IJ54" i="9" s="1"/>
  <c r="AL53" i="15"/>
  <c r="IP54" i="9" s="1"/>
  <c r="AK54" i="15"/>
  <c r="IJ55" i="9" s="1"/>
  <c r="AL54" i="15"/>
  <c r="IP55" i="9" s="1"/>
  <c r="AK55" i="15"/>
  <c r="IJ56" i="9" s="1"/>
  <c r="AL55" i="15"/>
  <c r="IP56" i="9" s="1"/>
  <c r="AK56" i="15"/>
  <c r="IJ57" i="9" s="1"/>
  <c r="AL56" i="15"/>
  <c r="IP57" i="9" s="1"/>
  <c r="AK57" i="15"/>
  <c r="IJ58" i="9" s="1"/>
  <c r="AL57" i="15"/>
  <c r="IP58" i="9" s="1"/>
  <c r="AK58" i="15"/>
  <c r="IJ59" i="9" s="1"/>
  <c r="AL58" i="15"/>
  <c r="IP59" i="9" s="1"/>
  <c r="AK59" i="15"/>
  <c r="IJ60" i="9" s="1"/>
  <c r="AL59" i="15"/>
  <c r="IP60" i="9" s="1"/>
  <c r="AK60" i="15"/>
  <c r="IJ61" i="9" s="1"/>
  <c r="AL60" i="15"/>
  <c r="IP61" i="9" s="1"/>
  <c r="AK61" i="15"/>
  <c r="IJ62" i="9" s="1"/>
  <c r="AL61" i="15"/>
  <c r="IP62" i="9" s="1"/>
  <c r="AK62" i="15"/>
  <c r="IJ63" i="9" s="1"/>
  <c r="AL62" i="15"/>
  <c r="IP63" i="9" s="1"/>
  <c r="AK63" i="15"/>
  <c r="IJ64" i="9" s="1"/>
  <c r="AL63" i="15"/>
  <c r="IP64" i="9" s="1"/>
  <c r="AK64" i="15"/>
  <c r="IJ65" i="9" s="1"/>
  <c r="AL64" i="15"/>
  <c r="IP65" i="9" s="1"/>
  <c r="AK65" i="15"/>
  <c r="IJ66" i="9" s="1"/>
  <c r="AL65" i="15"/>
  <c r="IP66" i="9" s="1"/>
  <c r="AK66" i="15"/>
  <c r="IJ67" i="9" s="1"/>
  <c r="AL66" i="15"/>
  <c r="IP67" i="9" s="1"/>
  <c r="AK67" i="15"/>
  <c r="IJ68" i="9" s="1"/>
  <c r="AL67" i="15"/>
  <c r="IP68" i="9" s="1"/>
  <c r="AK68" i="15"/>
  <c r="IJ69" i="9" s="1"/>
  <c r="AL68" i="15"/>
  <c r="IP69" i="9" s="1"/>
  <c r="AK69" i="15"/>
  <c r="IJ70" i="9" s="1"/>
  <c r="AL69" i="15"/>
  <c r="IP70" i="9" s="1"/>
  <c r="AK70" i="15"/>
  <c r="IJ71" i="9" s="1"/>
  <c r="AL70" i="15"/>
  <c r="IP71" i="9" s="1"/>
  <c r="AK71" i="15"/>
  <c r="IJ72" i="9" s="1"/>
  <c r="AL71" i="15"/>
  <c r="IP72" i="9" s="1"/>
  <c r="AK72" i="15"/>
  <c r="IJ73" i="9" s="1"/>
  <c r="AL72" i="15"/>
  <c r="IP73" i="9" s="1"/>
  <c r="AK73" i="15"/>
  <c r="IJ74" i="9" s="1"/>
  <c r="AL73" i="15"/>
  <c r="IP74" i="9" s="1"/>
  <c r="AK74" i="15"/>
  <c r="IJ75" i="9" s="1"/>
  <c r="AL74" i="15"/>
  <c r="IP75" i="9" s="1"/>
  <c r="AK75" i="15"/>
  <c r="IJ76" i="9" s="1"/>
  <c r="AL75" i="15"/>
  <c r="IP76" i="9" s="1"/>
  <c r="AK76" i="15"/>
  <c r="IJ77" i="9" s="1"/>
  <c r="AL76" i="15"/>
  <c r="IP77" i="9" s="1"/>
  <c r="AK77" i="15"/>
  <c r="IJ78" i="9" s="1"/>
  <c r="AL77" i="15"/>
  <c r="IP78" i="9" s="1"/>
  <c r="AK78" i="15"/>
  <c r="IJ79" i="9" s="1"/>
  <c r="AL78" i="15"/>
  <c r="IP79" i="9" s="1"/>
  <c r="AK79" i="15"/>
  <c r="IJ80" i="9" s="1"/>
  <c r="AL79" i="15"/>
  <c r="IP80" i="9" s="1"/>
  <c r="AK80" i="15"/>
  <c r="IJ81" i="9" s="1"/>
  <c r="AL80" i="15"/>
  <c r="IP81" i="9" s="1"/>
  <c r="AK81" i="15"/>
  <c r="IJ82" i="9" s="1"/>
  <c r="AL81" i="15"/>
  <c r="IP82" i="9" s="1"/>
  <c r="AK82" i="15"/>
  <c r="IJ83" i="9" s="1"/>
  <c r="AL82" i="15"/>
  <c r="IP83" i="9" s="1"/>
  <c r="AK83" i="15"/>
  <c r="IJ84" i="9" s="1"/>
  <c r="AL83" i="15"/>
  <c r="IP84" i="9" s="1"/>
  <c r="AK84" i="15"/>
  <c r="IJ85" i="9" s="1"/>
  <c r="AL84" i="15"/>
  <c r="IP85" i="9" s="1"/>
  <c r="AK85" i="15"/>
  <c r="IJ86" i="9" s="1"/>
  <c r="AL85" i="15"/>
  <c r="IP86" i="9" s="1"/>
  <c r="AK86" i="15"/>
  <c r="IJ87" i="9" s="1"/>
  <c r="AL86" i="15"/>
  <c r="IP87" i="9" s="1"/>
  <c r="AK87" i="15"/>
  <c r="IJ88" i="9" s="1"/>
  <c r="AL87" i="15"/>
  <c r="IP88" i="9" s="1"/>
  <c r="AK88" i="15"/>
  <c r="IJ89" i="9" s="1"/>
  <c r="AL88" i="15"/>
  <c r="IP89" i="9" s="1"/>
  <c r="AK89" i="15"/>
  <c r="IJ90" i="9" s="1"/>
  <c r="AL89" i="15"/>
  <c r="IP90" i="9" s="1"/>
  <c r="AK90" i="15"/>
  <c r="IJ91" i="9" s="1"/>
  <c r="AL90" i="15"/>
  <c r="IP91" i="9" s="1"/>
  <c r="AK91" i="15"/>
  <c r="IJ92" i="9" s="1"/>
  <c r="AL91" i="15"/>
  <c r="IP92" i="9" s="1"/>
  <c r="AK92" i="15"/>
  <c r="IJ93" i="9" s="1"/>
  <c r="AL92" i="15"/>
  <c r="IP93" i="9" s="1"/>
  <c r="AK93" i="15"/>
  <c r="IJ94" i="9" s="1"/>
  <c r="AL93" i="15"/>
  <c r="IP94" i="9" s="1"/>
  <c r="AK94" i="15"/>
  <c r="IJ95" i="9" s="1"/>
  <c r="AL94" i="15"/>
  <c r="IP95" i="9" s="1"/>
  <c r="AK95" i="15"/>
  <c r="IJ96" i="9" s="1"/>
  <c r="AL95" i="15"/>
  <c r="IP96" i="9" s="1"/>
  <c r="AK96" i="15"/>
  <c r="IJ97" i="9" s="1"/>
  <c r="AL96" i="15"/>
  <c r="IP97" i="9" s="1"/>
  <c r="AK97" i="15"/>
  <c r="IJ98" i="9" s="1"/>
  <c r="AL97" i="15"/>
  <c r="IP98" i="9" s="1"/>
  <c r="AK98" i="15"/>
  <c r="IJ99" i="9" s="1"/>
  <c r="AL98" i="15"/>
  <c r="IP99" i="9" s="1"/>
  <c r="AK99" i="15"/>
  <c r="IJ100" i="9" s="1"/>
  <c r="AL99" i="15"/>
  <c r="IP100" i="9" s="1"/>
  <c r="AK100" i="15"/>
  <c r="IJ101" i="9" s="1"/>
  <c r="AL100" i="15"/>
  <c r="IP101" i="9" s="1"/>
  <c r="AK101" i="15"/>
  <c r="IJ102" i="9" s="1"/>
  <c r="AL101" i="15"/>
  <c r="IP102" i="9" s="1"/>
  <c r="AK102" i="15"/>
  <c r="IJ103" i="9" s="1"/>
  <c r="AL102" i="15"/>
  <c r="IP103" i="9" s="1"/>
  <c r="AK103" i="15"/>
  <c r="IJ104" i="9" s="1"/>
  <c r="AL103" i="15"/>
  <c r="IP104" i="9" s="1"/>
  <c r="AK104" i="15"/>
  <c r="IJ105" i="9" s="1"/>
  <c r="AL104" i="15"/>
  <c r="IP105" i="9" s="1"/>
  <c r="AK105" i="15"/>
  <c r="IJ106" i="9" s="1"/>
  <c r="AL105" i="15"/>
  <c r="IP106" i="9" s="1"/>
  <c r="AK106" i="15"/>
  <c r="IJ107" i="9" s="1"/>
  <c r="AL106" i="15"/>
  <c r="IP107" i="9" s="1"/>
  <c r="AK107" i="15"/>
  <c r="IJ108" i="9" s="1"/>
  <c r="AL107" i="15"/>
  <c r="IP108" i="9" s="1"/>
  <c r="AK108" i="15"/>
  <c r="IJ109" i="9" s="1"/>
  <c r="AL108" i="15"/>
  <c r="IP109" i="9" s="1"/>
  <c r="AK109" i="15"/>
  <c r="IJ110" i="9" s="1"/>
  <c r="AL109" i="15"/>
  <c r="IP110" i="9" s="1"/>
  <c r="AK110" i="15"/>
  <c r="IJ111" i="9" s="1"/>
  <c r="AL110" i="15"/>
  <c r="IP111" i="9" s="1"/>
  <c r="AK111" i="15"/>
  <c r="IJ112" i="9" s="1"/>
  <c r="AL111" i="15"/>
  <c r="IP112" i="9" s="1"/>
  <c r="AK112" i="15"/>
  <c r="IJ113" i="9" s="1"/>
  <c r="AL112" i="15"/>
  <c r="IP113" i="9" s="1"/>
  <c r="AK113" i="15"/>
  <c r="IJ114" i="9" s="1"/>
  <c r="AL113" i="15"/>
  <c r="IP114" i="9" s="1"/>
  <c r="AK114" i="15"/>
  <c r="IJ115" i="9" s="1"/>
  <c r="AL114" i="15"/>
  <c r="IP115" i="9" s="1"/>
  <c r="AK115" i="15"/>
  <c r="IJ116" i="9" s="1"/>
  <c r="AL115" i="15"/>
  <c r="IP116" i="9" s="1"/>
  <c r="AK116" i="15"/>
  <c r="IJ117" i="9" s="1"/>
  <c r="AL116" i="15"/>
  <c r="IP117" i="9" s="1"/>
  <c r="AK117" i="15"/>
  <c r="IJ118" i="9" s="1"/>
  <c r="AL117" i="15"/>
  <c r="IP118" i="9" s="1"/>
  <c r="AK118" i="15"/>
  <c r="IJ119" i="9" s="1"/>
  <c r="AL118" i="15"/>
  <c r="IP119" i="9" s="1"/>
  <c r="AK119" i="15"/>
  <c r="IJ120" i="9" s="1"/>
  <c r="AL119" i="15"/>
  <c r="IP120" i="9" s="1"/>
  <c r="AK120" i="15"/>
  <c r="IJ121" i="9" s="1"/>
  <c r="AL120" i="15"/>
  <c r="IP121" i="9" s="1"/>
  <c r="AK121" i="15"/>
  <c r="IJ122" i="9" s="1"/>
  <c r="AL121" i="15"/>
  <c r="IP122" i="9" s="1"/>
  <c r="AK122" i="15"/>
  <c r="IJ123" i="9" s="1"/>
  <c r="AL122" i="15"/>
  <c r="IP123" i="9" s="1"/>
  <c r="AK123" i="15"/>
  <c r="IJ124" i="9" s="1"/>
  <c r="AL123" i="15"/>
  <c r="IP124" i="9" s="1"/>
  <c r="AK124" i="15"/>
  <c r="IJ125" i="9" s="1"/>
  <c r="AL124" i="15"/>
  <c r="IP125" i="9" s="1"/>
  <c r="AK125" i="15"/>
  <c r="IJ126" i="9" s="1"/>
  <c r="AL125" i="15"/>
  <c r="IP126" i="9" s="1"/>
  <c r="AK126" i="15"/>
  <c r="IJ127" i="9" s="1"/>
  <c r="AL126" i="15"/>
  <c r="IP127" i="9" s="1"/>
  <c r="AK127" i="15"/>
  <c r="IJ128" i="9" s="1"/>
  <c r="AL127" i="15"/>
  <c r="IP128" i="9" s="1"/>
  <c r="AK128" i="15"/>
  <c r="IJ129" i="9" s="1"/>
  <c r="AL128" i="15"/>
  <c r="IP129" i="9" s="1"/>
  <c r="AK129" i="15"/>
  <c r="IJ130" i="9" s="1"/>
  <c r="AL129" i="15"/>
  <c r="IP130" i="9" s="1"/>
  <c r="AK130" i="15"/>
  <c r="IJ131" i="9" s="1"/>
  <c r="AL130" i="15"/>
  <c r="IP131" i="9" s="1"/>
  <c r="AK131" i="15"/>
  <c r="IJ132" i="9" s="1"/>
  <c r="AL131" i="15"/>
  <c r="IP132" i="9" s="1"/>
  <c r="AK132" i="15"/>
  <c r="IJ133" i="9" s="1"/>
  <c r="AL132" i="15"/>
  <c r="IP133" i="9" s="1"/>
  <c r="AK133" i="15"/>
  <c r="IJ134" i="9" s="1"/>
  <c r="AL133" i="15"/>
  <c r="IP134" i="9" s="1"/>
  <c r="AK134" i="15"/>
  <c r="IJ135" i="9" s="1"/>
  <c r="AL134" i="15"/>
  <c r="IP135" i="9" s="1"/>
  <c r="AK135" i="15"/>
  <c r="IJ136" i="9" s="1"/>
  <c r="AL135" i="15"/>
  <c r="IP136" i="9" s="1"/>
  <c r="AK136" i="15"/>
  <c r="IJ137" i="9" s="1"/>
  <c r="AL136" i="15"/>
  <c r="IP137" i="9" s="1"/>
  <c r="AK137" i="15"/>
  <c r="IJ138" i="9" s="1"/>
  <c r="AL137" i="15"/>
  <c r="IP138" i="9" s="1"/>
  <c r="AK138" i="15"/>
  <c r="IJ139" i="9" s="1"/>
  <c r="AL138" i="15"/>
  <c r="IP139" i="9" s="1"/>
  <c r="AK139" i="15"/>
  <c r="IJ140" i="9" s="1"/>
  <c r="AL139" i="15"/>
  <c r="IP140" i="9" s="1"/>
  <c r="AK140" i="15"/>
  <c r="IJ141" i="9" s="1"/>
  <c r="AL140" i="15"/>
  <c r="IP141" i="9" s="1"/>
  <c r="AK141" i="15"/>
  <c r="IJ142" i="9" s="1"/>
  <c r="AL141" i="15"/>
  <c r="IP142" i="9" s="1"/>
  <c r="AK142" i="15"/>
  <c r="IJ143" i="9" s="1"/>
  <c r="AL142" i="15"/>
  <c r="IP143" i="9" s="1"/>
  <c r="AK143" i="15"/>
  <c r="IJ144" i="9" s="1"/>
  <c r="AL143" i="15"/>
  <c r="IP144" i="9" s="1"/>
  <c r="AK144" i="15"/>
  <c r="IJ145" i="9" s="1"/>
  <c r="AL144" i="15"/>
  <c r="IP145" i="9" s="1"/>
  <c r="AK145" i="15"/>
  <c r="IJ146" i="9" s="1"/>
  <c r="AL145" i="15"/>
  <c r="IP146" i="9" s="1"/>
  <c r="AK146" i="15"/>
  <c r="IJ147" i="9" s="1"/>
  <c r="AL146" i="15"/>
  <c r="IP147" i="9" s="1"/>
  <c r="AK147" i="15"/>
  <c r="IJ148" i="9" s="1"/>
  <c r="AL147" i="15"/>
  <c r="IP148" i="9" s="1"/>
  <c r="AK148" i="15"/>
  <c r="IJ149" i="9" s="1"/>
  <c r="AL148" i="15"/>
  <c r="IP149" i="9" s="1"/>
  <c r="AK149" i="15"/>
  <c r="IJ150" i="9" s="1"/>
  <c r="AL149" i="15"/>
  <c r="IP150" i="9" s="1"/>
  <c r="AK150" i="15"/>
  <c r="IJ151" i="9" s="1"/>
  <c r="AL150" i="15"/>
  <c r="IP151" i="9" s="1"/>
  <c r="AK151" i="15"/>
  <c r="IJ152" i="9" s="1"/>
  <c r="AL151" i="15"/>
  <c r="IP152" i="9" s="1"/>
  <c r="AK152" i="15"/>
  <c r="IJ153" i="9" s="1"/>
  <c r="AL152" i="15"/>
  <c r="IP153" i="9" s="1"/>
  <c r="AK153" i="15"/>
  <c r="IJ154" i="9" s="1"/>
  <c r="AL153" i="15"/>
  <c r="IP154" i="9" s="1"/>
  <c r="AK154" i="15"/>
  <c r="IJ155" i="9" s="1"/>
  <c r="AL154" i="15"/>
  <c r="IP155" i="9" s="1"/>
  <c r="AK155" i="15"/>
  <c r="IJ156" i="9" s="1"/>
  <c r="AL155" i="15"/>
  <c r="IP156" i="9" s="1"/>
  <c r="AK156" i="15"/>
  <c r="IJ157" i="9" s="1"/>
  <c r="AL156" i="15"/>
  <c r="IP157" i="9" s="1"/>
  <c r="AK157" i="15"/>
  <c r="IJ158" i="9" s="1"/>
  <c r="AL157" i="15"/>
  <c r="IP158" i="9" s="1"/>
  <c r="AK158" i="15"/>
  <c r="IJ159" i="9" s="1"/>
  <c r="AL158" i="15"/>
  <c r="IP159" i="9" s="1"/>
  <c r="AK159" i="15"/>
  <c r="IJ160" i="9" s="1"/>
  <c r="AL159" i="15"/>
  <c r="IP160" i="9" s="1"/>
  <c r="AK160" i="15"/>
  <c r="IJ161" i="9" s="1"/>
  <c r="AL160" i="15"/>
  <c r="IP161" i="9" s="1"/>
  <c r="AK161" i="15"/>
  <c r="IJ162" i="9" s="1"/>
  <c r="AL161" i="15"/>
  <c r="IP162" i="9" s="1"/>
  <c r="AK162" i="15"/>
  <c r="IJ163" i="9" s="1"/>
  <c r="AL162" i="15"/>
  <c r="IP163" i="9" s="1"/>
  <c r="AK163" i="15"/>
  <c r="IJ164" i="9" s="1"/>
  <c r="AL163" i="15"/>
  <c r="IP164" i="9" s="1"/>
  <c r="AK164" i="15"/>
  <c r="IJ165" i="9" s="1"/>
  <c r="AL164" i="15"/>
  <c r="IP165" i="9" s="1"/>
  <c r="AK165" i="15"/>
  <c r="IJ166" i="9" s="1"/>
  <c r="AL165" i="15"/>
  <c r="IP166" i="9" s="1"/>
  <c r="AK166" i="15"/>
  <c r="IJ167" i="9" s="1"/>
  <c r="AL166" i="15"/>
  <c r="IP167" i="9" s="1"/>
  <c r="AK167" i="15"/>
  <c r="IJ168" i="9" s="1"/>
  <c r="AL167" i="15"/>
  <c r="IP168" i="9" s="1"/>
  <c r="AK168" i="15"/>
  <c r="IJ169" i="9" s="1"/>
  <c r="AL168" i="15"/>
  <c r="IP169" i="9" s="1"/>
  <c r="AK169" i="15"/>
  <c r="IJ170" i="9" s="1"/>
  <c r="AL169" i="15"/>
  <c r="IP170" i="9" s="1"/>
  <c r="AK170" i="15"/>
  <c r="IJ171" i="9" s="1"/>
  <c r="AL170" i="15"/>
  <c r="IP171" i="9" s="1"/>
  <c r="AK171" i="15"/>
  <c r="IJ172" i="9" s="1"/>
  <c r="AL171" i="15"/>
  <c r="IP172" i="9" s="1"/>
  <c r="AK172" i="15"/>
  <c r="IJ173" i="9" s="1"/>
  <c r="AL172" i="15"/>
  <c r="IP173" i="9" s="1"/>
  <c r="AK173" i="15"/>
  <c r="IJ174" i="9" s="1"/>
  <c r="AL173" i="15"/>
  <c r="IP174" i="9" s="1"/>
  <c r="AK174" i="15"/>
  <c r="IJ175" i="9" s="1"/>
  <c r="AL174" i="15"/>
  <c r="IP175" i="9" s="1"/>
  <c r="AK175" i="15"/>
  <c r="IJ176" i="9" s="1"/>
  <c r="AL175" i="15"/>
  <c r="IP176" i="9" s="1"/>
  <c r="AK176" i="15"/>
  <c r="IJ177" i="9" s="1"/>
  <c r="AL176" i="15"/>
  <c r="IP177" i="9" s="1"/>
  <c r="AK177" i="15"/>
  <c r="IJ178" i="9" s="1"/>
  <c r="AL177" i="15"/>
  <c r="IP178" i="9" s="1"/>
  <c r="AK178" i="15"/>
  <c r="IJ179" i="9" s="1"/>
  <c r="AL178" i="15"/>
  <c r="IP179" i="9" s="1"/>
  <c r="AK179" i="15"/>
  <c r="IJ180" i="9" s="1"/>
  <c r="AL179" i="15"/>
  <c r="IP180" i="9" s="1"/>
  <c r="AK180" i="15"/>
  <c r="IJ181" i="9" s="1"/>
  <c r="AL180" i="15"/>
  <c r="IP181" i="9" s="1"/>
  <c r="AK181" i="15"/>
  <c r="IJ182" i="9" s="1"/>
  <c r="AL181" i="15"/>
  <c r="IP182" i="9" s="1"/>
  <c r="AK182" i="15"/>
  <c r="IJ183" i="9" s="1"/>
  <c r="AL182" i="15"/>
  <c r="IP183" i="9" s="1"/>
  <c r="AK183" i="15"/>
  <c r="IJ184" i="9" s="1"/>
  <c r="AL183" i="15"/>
  <c r="IP184" i="9" s="1"/>
  <c r="AK184" i="15"/>
  <c r="IJ185" i="9" s="1"/>
  <c r="AL184" i="15"/>
  <c r="IP185" i="9" s="1"/>
  <c r="AK185" i="15"/>
  <c r="IJ186" i="9" s="1"/>
  <c r="AL185" i="15"/>
  <c r="IP186" i="9" s="1"/>
  <c r="AK186" i="15"/>
  <c r="IJ187" i="9" s="1"/>
  <c r="AL186" i="15"/>
  <c r="IP187" i="9" s="1"/>
  <c r="AK187" i="15"/>
  <c r="IJ188" i="9" s="1"/>
  <c r="AL187" i="15"/>
  <c r="IP188" i="9" s="1"/>
  <c r="AK188" i="15"/>
  <c r="IJ189" i="9" s="1"/>
  <c r="AL188" i="15"/>
  <c r="IP189" i="9" s="1"/>
  <c r="AK189" i="15"/>
  <c r="IJ190" i="9" s="1"/>
  <c r="AL189" i="15"/>
  <c r="IP190" i="9" s="1"/>
  <c r="AK190" i="15"/>
  <c r="IJ191" i="9" s="1"/>
  <c r="AL190" i="15"/>
  <c r="IP191" i="9" s="1"/>
  <c r="AK191" i="15"/>
  <c r="IJ192" i="9" s="1"/>
  <c r="AL191" i="15"/>
  <c r="IP192" i="9" s="1"/>
  <c r="AK192" i="15"/>
  <c r="IJ193" i="9" s="1"/>
  <c r="AL192" i="15"/>
  <c r="IP193" i="9" s="1"/>
  <c r="AK193" i="15"/>
  <c r="IJ194" i="9" s="1"/>
  <c r="AL193" i="15"/>
  <c r="IP194" i="9" s="1"/>
  <c r="AK194" i="15"/>
  <c r="IJ195" i="9" s="1"/>
  <c r="AL194" i="15"/>
  <c r="IP195" i="9" s="1"/>
  <c r="AK195" i="15"/>
  <c r="IJ196" i="9" s="1"/>
  <c r="AL195" i="15"/>
  <c r="IP196" i="9" s="1"/>
  <c r="AK196" i="15"/>
  <c r="IJ197" i="9" s="1"/>
  <c r="AL196" i="15"/>
  <c r="IP197" i="9" s="1"/>
  <c r="AK197" i="15"/>
  <c r="IJ198" i="9" s="1"/>
  <c r="AL197" i="15"/>
  <c r="IP198" i="9" s="1"/>
  <c r="AK198" i="15"/>
  <c r="IJ199" i="9" s="1"/>
  <c r="AL198" i="15"/>
  <c r="IP199" i="9" s="1"/>
  <c r="AK199" i="15"/>
  <c r="IJ200" i="9" s="1"/>
  <c r="AL199" i="15"/>
  <c r="IP200" i="9" s="1"/>
  <c r="AK200" i="15"/>
  <c r="IJ201" i="9" s="1"/>
  <c r="AL200" i="15"/>
  <c r="IP201" i="9" s="1"/>
  <c r="AK201" i="15"/>
  <c r="IJ202" i="9" s="1"/>
  <c r="AL201" i="15"/>
  <c r="IP202" i="9" s="1"/>
  <c r="AK202" i="15"/>
  <c r="IJ203" i="9" s="1"/>
  <c r="AL202" i="15"/>
  <c r="IP203" i="9" s="1"/>
  <c r="AK203" i="15"/>
  <c r="IJ204" i="9" s="1"/>
  <c r="AL203" i="15"/>
  <c r="IP204" i="9" s="1"/>
  <c r="AK204" i="15"/>
  <c r="IJ205" i="9" s="1"/>
  <c r="AL204" i="15"/>
  <c r="IP205" i="9" s="1"/>
  <c r="AK205" i="15"/>
  <c r="IJ206" i="9" s="1"/>
  <c r="AL205" i="15"/>
  <c r="IP206" i="9" s="1"/>
  <c r="AK206" i="15"/>
  <c r="IJ207" i="9" s="1"/>
  <c r="AL206" i="15"/>
  <c r="IP207" i="9" s="1"/>
  <c r="IP8"/>
  <c r="AI7" i="15"/>
  <c r="IO8" i="9" s="1"/>
  <c r="AH7" i="15"/>
  <c r="II8" i="9" s="1"/>
  <c r="AK7" i="15"/>
  <c r="IJ8" i="9" s="1"/>
  <c r="AI8" i="15"/>
  <c r="IO9" i="9" s="1"/>
  <c r="AH9" i="15"/>
  <c r="II10" i="9" s="1"/>
  <c r="AI9" i="15"/>
  <c r="IO10" i="9" s="1"/>
  <c r="AH10" i="15"/>
  <c r="II11" i="9" s="1"/>
  <c r="AI10" i="15"/>
  <c r="IO11" i="9" s="1"/>
  <c r="AH11" i="15"/>
  <c r="II12" i="9" s="1"/>
  <c r="AI11" i="15"/>
  <c r="IO12" i="9" s="1"/>
  <c r="AH12" i="15"/>
  <c r="II13" i="9" s="1"/>
  <c r="AI12" i="15"/>
  <c r="IO13" i="9" s="1"/>
  <c r="AH13" i="15"/>
  <c r="II14" i="9" s="1"/>
  <c r="AI13" i="15"/>
  <c r="IO14" i="9" s="1"/>
  <c r="AI14" i="15"/>
  <c r="IO15" i="9" s="1"/>
  <c r="AH15" i="15"/>
  <c r="II16" i="9" s="1"/>
  <c r="AI15" i="15"/>
  <c r="IO16" i="9" s="1"/>
  <c r="AH16" i="15"/>
  <c r="II17" i="9" s="1"/>
  <c r="AI16" i="15"/>
  <c r="IO17" i="9" s="1"/>
  <c r="AH17" i="15"/>
  <c r="II18" i="9" s="1"/>
  <c r="AI17" i="15"/>
  <c r="IO18" i="9" s="1"/>
  <c r="AH18" i="15"/>
  <c r="II19" i="9" s="1"/>
  <c r="AI18" i="15"/>
  <c r="IO19" i="9" s="1"/>
  <c r="AH19" i="15"/>
  <c r="II20" i="9" s="1"/>
  <c r="AI19" i="15"/>
  <c r="IO20" i="9" s="1"/>
  <c r="AH20" i="15"/>
  <c r="II21" i="9" s="1"/>
  <c r="AI20" i="15"/>
  <c r="IO21" i="9" s="1"/>
  <c r="AH21" i="15"/>
  <c r="II22" i="9" s="1"/>
  <c r="AI21" i="15"/>
  <c r="IO22" i="9" s="1"/>
  <c r="AH22" i="15"/>
  <c r="II23" i="9" s="1"/>
  <c r="AI22" i="15"/>
  <c r="IO23" i="9" s="1"/>
  <c r="AH23" i="15"/>
  <c r="II24" i="9" s="1"/>
  <c r="AI23" i="15"/>
  <c r="IO24" i="9" s="1"/>
  <c r="AH24" i="15"/>
  <c r="II25" i="9" s="1"/>
  <c r="AI24" i="15"/>
  <c r="IO25" i="9" s="1"/>
  <c r="AH25" i="15"/>
  <c r="II26" i="9" s="1"/>
  <c r="AI25" i="15"/>
  <c r="IO26" i="9" s="1"/>
  <c r="AH26" i="15"/>
  <c r="II27" i="9" s="1"/>
  <c r="AI26" i="15"/>
  <c r="IO27" i="9" s="1"/>
  <c r="AH27" i="15"/>
  <c r="II28" i="9" s="1"/>
  <c r="AI27" i="15"/>
  <c r="IO28" i="9" s="1"/>
  <c r="AH28" i="15"/>
  <c r="II29" i="9" s="1"/>
  <c r="AI28" i="15"/>
  <c r="IO29" i="9" s="1"/>
  <c r="AH29" i="15"/>
  <c r="II30" i="9" s="1"/>
  <c r="AI29" i="15"/>
  <c r="IO30" i="9" s="1"/>
  <c r="AH30" i="15"/>
  <c r="II31" i="9" s="1"/>
  <c r="AI30" i="15"/>
  <c r="IO31" i="9" s="1"/>
  <c r="AH31" i="15"/>
  <c r="II32" i="9" s="1"/>
  <c r="AI31" i="15"/>
  <c r="IO32" i="9" s="1"/>
  <c r="AH32" i="15"/>
  <c r="II33" i="9" s="1"/>
  <c r="AI32" i="15"/>
  <c r="IO33" i="9" s="1"/>
  <c r="AH33" i="15"/>
  <c r="II34" i="9" s="1"/>
  <c r="AI33" i="15"/>
  <c r="IO34" i="9" s="1"/>
  <c r="AH34" i="15"/>
  <c r="II35" i="9" s="1"/>
  <c r="AI34" i="15"/>
  <c r="IO35" i="9" s="1"/>
  <c r="AH35" i="15"/>
  <c r="II36" i="9" s="1"/>
  <c r="AI35" i="15"/>
  <c r="IO36" i="9" s="1"/>
  <c r="AH36" i="15"/>
  <c r="II37" i="9" s="1"/>
  <c r="AI36" i="15"/>
  <c r="IO37" i="9" s="1"/>
  <c r="AH37" i="15"/>
  <c r="II38" i="9" s="1"/>
  <c r="AI37" i="15"/>
  <c r="IO38" i="9" s="1"/>
  <c r="AH38" i="15"/>
  <c r="II39" i="9" s="1"/>
  <c r="AI38" i="15"/>
  <c r="IO39" i="9" s="1"/>
  <c r="AH39" i="15"/>
  <c r="II40" i="9" s="1"/>
  <c r="AI39" i="15"/>
  <c r="IO40" i="9" s="1"/>
  <c r="AH40" i="15"/>
  <c r="II41" i="9" s="1"/>
  <c r="AI40" i="15"/>
  <c r="IO41" i="9" s="1"/>
  <c r="AH41" i="15"/>
  <c r="II42" i="9" s="1"/>
  <c r="AI41" i="15"/>
  <c r="IO42" i="9" s="1"/>
  <c r="AH42" i="15"/>
  <c r="II43" i="9" s="1"/>
  <c r="AI42" i="15"/>
  <c r="IO43" i="9" s="1"/>
  <c r="AH43" i="15"/>
  <c r="II44" i="9" s="1"/>
  <c r="AI43" i="15"/>
  <c r="IO44" i="9" s="1"/>
  <c r="AH44" i="15"/>
  <c r="II45" i="9" s="1"/>
  <c r="AI44" i="15"/>
  <c r="IO45" i="9" s="1"/>
  <c r="AH45" i="15"/>
  <c r="II46" i="9" s="1"/>
  <c r="AI45" i="15"/>
  <c r="IO46" i="9" s="1"/>
  <c r="AH46" i="15"/>
  <c r="II47" i="9" s="1"/>
  <c r="AI46" i="15"/>
  <c r="IO47" i="9" s="1"/>
  <c r="AH47" i="15"/>
  <c r="II48" i="9" s="1"/>
  <c r="AI47" i="15"/>
  <c r="IO48" i="9" s="1"/>
  <c r="AH48" i="15"/>
  <c r="II49" i="9" s="1"/>
  <c r="AI48" i="15"/>
  <c r="IO49" i="9" s="1"/>
  <c r="AH49" i="15"/>
  <c r="II50" i="9" s="1"/>
  <c r="AI49" i="15"/>
  <c r="IO50" i="9" s="1"/>
  <c r="AH50" i="15"/>
  <c r="II51" i="9" s="1"/>
  <c r="AI50" i="15"/>
  <c r="IO51" i="9" s="1"/>
  <c r="AH51" i="15"/>
  <c r="II52" i="9" s="1"/>
  <c r="AI51" i="15"/>
  <c r="IO52" i="9" s="1"/>
  <c r="AH52" i="15"/>
  <c r="II53" i="9" s="1"/>
  <c r="AI52" i="15"/>
  <c r="IO53" i="9" s="1"/>
  <c r="AH53" i="15"/>
  <c r="II54" i="9" s="1"/>
  <c r="AI53" i="15"/>
  <c r="IO54" i="9" s="1"/>
  <c r="AH54" i="15"/>
  <c r="II55" i="9" s="1"/>
  <c r="AI54" i="15"/>
  <c r="IO55" i="9" s="1"/>
  <c r="AH55" i="15"/>
  <c r="II56" i="9" s="1"/>
  <c r="AI55" i="15"/>
  <c r="IO56" i="9" s="1"/>
  <c r="AH56" i="15"/>
  <c r="II57" i="9" s="1"/>
  <c r="AI56" i="15"/>
  <c r="IO57" i="9" s="1"/>
  <c r="AH57" i="15"/>
  <c r="II58" i="9" s="1"/>
  <c r="AI57" i="15"/>
  <c r="IO58" i="9" s="1"/>
  <c r="AH58" i="15"/>
  <c r="II59" i="9" s="1"/>
  <c r="AI58" i="15"/>
  <c r="IO59" i="9" s="1"/>
  <c r="AH59" i="15"/>
  <c r="II60" i="9" s="1"/>
  <c r="AI59" i="15"/>
  <c r="IO60" i="9" s="1"/>
  <c r="AH60" i="15"/>
  <c r="II61" i="9" s="1"/>
  <c r="AI60" i="15"/>
  <c r="IO61" i="9" s="1"/>
  <c r="AH61" i="15"/>
  <c r="II62" i="9" s="1"/>
  <c r="AI61" i="15"/>
  <c r="IO62" i="9" s="1"/>
  <c r="AH62" i="15"/>
  <c r="II63" i="9" s="1"/>
  <c r="AI62" i="15"/>
  <c r="IO63" i="9" s="1"/>
  <c r="AH63" i="15"/>
  <c r="II64" i="9" s="1"/>
  <c r="AI63" i="15"/>
  <c r="IO64" i="9" s="1"/>
  <c r="AH64" i="15"/>
  <c r="II65" i="9" s="1"/>
  <c r="AI64" i="15"/>
  <c r="IO65" i="9" s="1"/>
  <c r="AH65" i="15"/>
  <c r="II66" i="9" s="1"/>
  <c r="AI65" i="15"/>
  <c r="IO66" i="9" s="1"/>
  <c r="AH66" i="15"/>
  <c r="II67" i="9" s="1"/>
  <c r="AI66" i="15"/>
  <c r="IO67" i="9" s="1"/>
  <c r="AH67" i="15"/>
  <c r="II68" i="9" s="1"/>
  <c r="AI67" i="15"/>
  <c r="IO68" i="9" s="1"/>
  <c r="AH68" i="15"/>
  <c r="II69" i="9" s="1"/>
  <c r="AI68" i="15"/>
  <c r="IO69" i="9" s="1"/>
  <c r="AH69" i="15"/>
  <c r="II70" i="9" s="1"/>
  <c r="AI69" i="15"/>
  <c r="IO70" i="9" s="1"/>
  <c r="AH70" i="15"/>
  <c r="II71" i="9" s="1"/>
  <c r="AI70" i="15"/>
  <c r="IO71" i="9" s="1"/>
  <c r="AH71" i="15"/>
  <c r="II72" i="9" s="1"/>
  <c r="AI71" i="15"/>
  <c r="IO72" i="9" s="1"/>
  <c r="AH72" i="15"/>
  <c r="II73" i="9" s="1"/>
  <c r="AI72" i="15"/>
  <c r="IO73" i="9" s="1"/>
  <c r="AH73" i="15"/>
  <c r="II74" i="9" s="1"/>
  <c r="AI73" i="15"/>
  <c r="IO74" i="9" s="1"/>
  <c r="AH74" i="15"/>
  <c r="II75" i="9" s="1"/>
  <c r="AI74" i="15"/>
  <c r="IO75" i="9" s="1"/>
  <c r="AH75" i="15"/>
  <c r="II76" i="9" s="1"/>
  <c r="AI75" i="15"/>
  <c r="IO76" i="9" s="1"/>
  <c r="AH76" i="15"/>
  <c r="II77" i="9" s="1"/>
  <c r="AI76" i="15"/>
  <c r="IO77" i="9" s="1"/>
  <c r="AH77" i="15"/>
  <c r="II78" i="9" s="1"/>
  <c r="AI77" i="15"/>
  <c r="IO78" i="9" s="1"/>
  <c r="AH78" i="15"/>
  <c r="II79" i="9" s="1"/>
  <c r="AI78" i="15"/>
  <c r="IO79" i="9" s="1"/>
  <c r="AH79" i="15"/>
  <c r="II80" i="9" s="1"/>
  <c r="AI79" i="15"/>
  <c r="IO80" i="9" s="1"/>
  <c r="AH80" i="15"/>
  <c r="II81" i="9" s="1"/>
  <c r="AI80" i="15"/>
  <c r="IO81" i="9" s="1"/>
  <c r="AH81" i="15"/>
  <c r="II82" i="9" s="1"/>
  <c r="AI81" i="15"/>
  <c r="IO82" i="9" s="1"/>
  <c r="AH82" i="15"/>
  <c r="II83" i="9" s="1"/>
  <c r="AI82" i="15"/>
  <c r="IO83" i="9" s="1"/>
  <c r="AH83" i="15"/>
  <c r="II84" i="9" s="1"/>
  <c r="AI83" i="15"/>
  <c r="IO84" i="9" s="1"/>
  <c r="AH84" i="15"/>
  <c r="II85" i="9" s="1"/>
  <c r="AI84" i="15"/>
  <c r="IO85" i="9" s="1"/>
  <c r="AH85" i="15"/>
  <c r="II86" i="9" s="1"/>
  <c r="AI85" i="15"/>
  <c r="IO86" i="9" s="1"/>
  <c r="AH86" i="15"/>
  <c r="II87" i="9" s="1"/>
  <c r="AI86" i="15"/>
  <c r="IO87" i="9" s="1"/>
  <c r="AH87" i="15"/>
  <c r="II88" i="9" s="1"/>
  <c r="AI87" i="15"/>
  <c r="IO88" i="9" s="1"/>
  <c r="AH88" i="15"/>
  <c r="II89" i="9" s="1"/>
  <c r="AI88" i="15"/>
  <c r="IO89" i="9" s="1"/>
  <c r="AH89" i="15"/>
  <c r="II90" i="9" s="1"/>
  <c r="AI89" i="15"/>
  <c r="IO90" i="9" s="1"/>
  <c r="AH90" i="15"/>
  <c r="II91" i="9" s="1"/>
  <c r="AI90" i="15"/>
  <c r="IO91" i="9" s="1"/>
  <c r="AH91" i="15"/>
  <c r="II92" i="9" s="1"/>
  <c r="AI91" i="15"/>
  <c r="IO92" i="9" s="1"/>
  <c r="AH92" i="15"/>
  <c r="II93" i="9" s="1"/>
  <c r="AI92" i="15"/>
  <c r="IO93" i="9" s="1"/>
  <c r="AH93" i="15"/>
  <c r="II94" i="9" s="1"/>
  <c r="AI93" i="15"/>
  <c r="IO94" i="9" s="1"/>
  <c r="AH94" i="15"/>
  <c r="II95" i="9" s="1"/>
  <c r="AI94" i="15"/>
  <c r="IO95" i="9" s="1"/>
  <c r="AH95" i="15"/>
  <c r="II96" i="9" s="1"/>
  <c r="AI95" i="15"/>
  <c r="IO96" i="9" s="1"/>
  <c r="AH96" i="15"/>
  <c r="II97" i="9" s="1"/>
  <c r="AI96" i="15"/>
  <c r="IO97" i="9" s="1"/>
  <c r="AH97" i="15"/>
  <c r="II98" i="9" s="1"/>
  <c r="AI97" i="15"/>
  <c r="IO98" i="9" s="1"/>
  <c r="AH98" i="15"/>
  <c r="II99" i="9" s="1"/>
  <c r="AI98" i="15"/>
  <c r="IO99" i="9" s="1"/>
  <c r="AH99" i="15"/>
  <c r="II100" i="9" s="1"/>
  <c r="AI99" i="15"/>
  <c r="IO100" i="9" s="1"/>
  <c r="AH100" i="15"/>
  <c r="II101" i="9" s="1"/>
  <c r="AI100" i="15"/>
  <c r="IO101" i="9" s="1"/>
  <c r="AH101" i="15"/>
  <c r="II102" i="9" s="1"/>
  <c r="AI101" i="15"/>
  <c r="IO102" i="9" s="1"/>
  <c r="AH102" i="15"/>
  <c r="II103" i="9" s="1"/>
  <c r="AI102" i="15"/>
  <c r="IO103" i="9" s="1"/>
  <c r="AH103" i="15"/>
  <c r="II104" i="9" s="1"/>
  <c r="AI103" i="15"/>
  <c r="IO104" i="9" s="1"/>
  <c r="AH104" i="15"/>
  <c r="II105" i="9" s="1"/>
  <c r="AI104" i="15"/>
  <c r="IO105" i="9" s="1"/>
  <c r="AH105" i="15"/>
  <c r="II106" i="9" s="1"/>
  <c r="AI105" i="15"/>
  <c r="IO106" i="9" s="1"/>
  <c r="AH106" i="15"/>
  <c r="II107" i="9" s="1"/>
  <c r="AI106" i="15"/>
  <c r="IO107" i="9" s="1"/>
  <c r="AH107" i="15"/>
  <c r="II108" i="9" s="1"/>
  <c r="AI107" i="15"/>
  <c r="IO108" i="9" s="1"/>
  <c r="AH108" i="15"/>
  <c r="II109" i="9" s="1"/>
  <c r="AI108" i="15"/>
  <c r="IO109" i="9" s="1"/>
  <c r="AH109" i="15"/>
  <c r="II110" i="9" s="1"/>
  <c r="AI109" i="15"/>
  <c r="IO110" i="9" s="1"/>
  <c r="AH110" i="15"/>
  <c r="II111" i="9" s="1"/>
  <c r="AI110" i="15"/>
  <c r="IO111" i="9" s="1"/>
  <c r="AH111" i="15"/>
  <c r="II112" i="9" s="1"/>
  <c r="AI111" i="15"/>
  <c r="IO112" i="9" s="1"/>
  <c r="AH112" i="15"/>
  <c r="II113" i="9" s="1"/>
  <c r="AI112" i="15"/>
  <c r="IO113" i="9" s="1"/>
  <c r="AH113" i="15"/>
  <c r="II114" i="9" s="1"/>
  <c r="AI113" i="15"/>
  <c r="IO114" i="9" s="1"/>
  <c r="AH114" i="15"/>
  <c r="II115" i="9" s="1"/>
  <c r="AI114" i="15"/>
  <c r="IO115" i="9" s="1"/>
  <c r="AH115" i="15"/>
  <c r="II116" i="9" s="1"/>
  <c r="AI115" i="15"/>
  <c r="IO116" i="9" s="1"/>
  <c r="AH116" i="15"/>
  <c r="II117" i="9" s="1"/>
  <c r="AI116" i="15"/>
  <c r="IO117" i="9" s="1"/>
  <c r="AH117" i="15"/>
  <c r="II118" i="9" s="1"/>
  <c r="AI117" i="15"/>
  <c r="IO118" i="9" s="1"/>
  <c r="AH118" i="15"/>
  <c r="II119" i="9" s="1"/>
  <c r="AI118" i="15"/>
  <c r="IO119" i="9" s="1"/>
  <c r="AH119" i="15"/>
  <c r="II120" i="9" s="1"/>
  <c r="AI119" i="15"/>
  <c r="IO120" i="9" s="1"/>
  <c r="AH120" i="15"/>
  <c r="II121" i="9" s="1"/>
  <c r="AI120" i="15"/>
  <c r="IO121" i="9" s="1"/>
  <c r="AH121" i="15"/>
  <c r="II122" i="9" s="1"/>
  <c r="AI121" i="15"/>
  <c r="IO122" i="9" s="1"/>
  <c r="AH122" i="15"/>
  <c r="II123" i="9" s="1"/>
  <c r="AI122" i="15"/>
  <c r="IO123" i="9" s="1"/>
  <c r="AH123" i="15"/>
  <c r="II124" i="9" s="1"/>
  <c r="AI123" i="15"/>
  <c r="IO124" i="9" s="1"/>
  <c r="AH124" i="15"/>
  <c r="II125" i="9" s="1"/>
  <c r="AI124" i="15"/>
  <c r="IO125" i="9" s="1"/>
  <c r="AH125" i="15"/>
  <c r="II126" i="9" s="1"/>
  <c r="AI125" i="15"/>
  <c r="IO126" i="9" s="1"/>
  <c r="AH126" i="15"/>
  <c r="II127" i="9" s="1"/>
  <c r="AI126" i="15"/>
  <c r="IO127" i="9" s="1"/>
  <c r="AH127" i="15"/>
  <c r="II128" i="9" s="1"/>
  <c r="AI127" i="15"/>
  <c r="IO128" i="9" s="1"/>
  <c r="AH128" i="15"/>
  <c r="II129" i="9" s="1"/>
  <c r="AI128" i="15"/>
  <c r="IO129" i="9" s="1"/>
  <c r="AH129" i="15"/>
  <c r="II130" i="9" s="1"/>
  <c r="AI129" i="15"/>
  <c r="IO130" i="9" s="1"/>
  <c r="AH130" i="15"/>
  <c r="II131" i="9" s="1"/>
  <c r="AI130" i="15"/>
  <c r="IO131" i="9" s="1"/>
  <c r="AH131" i="15"/>
  <c r="II132" i="9" s="1"/>
  <c r="AI131" i="15"/>
  <c r="IO132" i="9" s="1"/>
  <c r="AH132" i="15"/>
  <c r="II133" i="9" s="1"/>
  <c r="AI132" i="15"/>
  <c r="IO133" i="9" s="1"/>
  <c r="AH133" i="15"/>
  <c r="II134" i="9" s="1"/>
  <c r="AI133" i="15"/>
  <c r="IO134" i="9" s="1"/>
  <c r="AH134" i="15"/>
  <c r="II135" i="9" s="1"/>
  <c r="AI134" i="15"/>
  <c r="IO135" i="9" s="1"/>
  <c r="AH135" i="15"/>
  <c r="II136" i="9" s="1"/>
  <c r="AI135" i="15"/>
  <c r="IO136" i="9" s="1"/>
  <c r="AH136" i="15"/>
  <c r="II137" i="9" s="1"/>
  <c r="AI136" i="15"/>
  <c r="IO137" i="9" s="1"/>
  <c r="AH137" i="15"/>
  <c r="II138" i="9" s="1"/>
  <c r="AI137" i="15"/>
  <c r="IO138" i="9" s="1"/>
  <c r="AH138" i="15"/>
  <c r="II139" i="9" s="1"/>
  <c r="AI138" i="15"/>
  <c r="IO139" i="9" s="1"/>
  <c r="AH139" i="15"/>
  <c r="II140" i="9" s="1"/>
  <c r="AI139" i="15"/>
  <c r="IO140" i="9" s="1"/>
  <c r="AH140" i="15"/>
  <c r="II141" i="9" s="1"/>
  <c r="AI140" i="15"/>
  <c r="IO141" i="9" s="1"/>
  <c r="AH141" i="15"/>
  <c r="II142" i="9" s="1"/>
  <c r="AI141" i="15"/>
  <c r="IO142" i="9" s="1"/>
  <c r="AH142" i="15"/>
  <c r="II143" i="9" s="1"/>
  <c r="AI142" i="15"/>
  <c r="IO143" i="9" s="1"/>
  <c r="AH143" i="15"/>
  <c r="II144" i="9" s="1"/>
  <c r="AI143" i="15"/>
  <c r="IO144" i="9" s="1"/>
  <c r="AH144" i="15"/>
  <c r="II145" i="9" s="1"/>
  <c r="AI144" i="15"/>
  <c r="IO145" i="9" s="1"/>
  <c r="AH145" i="15"/>
  <c r="II146" i="9" s="1"/>
  <c r="AI145" i="15"/>
  <c r="IO146" i="9" s="1"/>
  <c r="AH146" i="15"/>
  <c r="II147" i="9" s="1"/>
  <c r="AI146" i="15"/>
  <c r="IO147" i="9" s="1"/>
  <c r="AH147" i="15"/>
  <c r="II148" i="9" s="1"/>
  <c r="AI147" i="15"/>
  <c r="IO148" i="9" s="1"/>
  <c r="AH148" i="15"/>
  <c r="II149" i="9" s="1"/>
  <c r="AI148" i="15"/>
  <c r="IO149" i="9" s="1"/>
  <c r="AH149" i="15"/>
  <c r="II150" i="9" s="1"/>
  <c r="AI149" i="15"/>
  <c r="IO150" i="9" s="1"/>
  <c r="AH150" i="15"/>
  <c r="II151" i="9" s="1"/>
  <c r="AI150" i="15"/>
  <c r="IO151" i="9" s="1"/>
  <c r="AH151" i="15"/>
  <c r="II152" i="9" s="1"/>
  <c r="AI151" i="15"/>
  <c r="IO152" i="9" s="1"/>
  <c r="AH152" i="15"/>
  <c r="II153" i="9" s="1"/>
  <c r="AI152" i="15"/>
  <c r="IO153" i="9" s="1"/>
  <c r="AH153" i="15"/>
  <c r="II154" i="9" s="1"/>
  <c r="AI153" i="15"/>
  <c r="IO154" i="9" s="1"/>
  <c r="AH154" i="15"/>
  <c r="II155" i="9" s="1"/>
  <c r="AI154" i="15"/>
  <c r="IO155" i="9" s="1"/>
  <c r="AH155" i="15"/>
  <c r="II156" i="9" s="1"/>
  <c r="AI155" i="15"/>
  <c r="IO156" i="9" s="1"/>
  <c r="AH156" i="15"/>
  <c r="II157" i="9" s="1"/>
  <c r="AI156" i="15"/>
  <c r="IO157" i="9" s="1"/>
  <c r="AH157" i="15"/>
  <c r="II158" i="9" s="1"/>
  <c r="AI157" i="15"/>
  <c r="IO158" i="9" s="1"/>
  <c r="AH158" i="15"/>
  <c r="II159" i="9" s="1"/>
  <c r="AI158" i="15"/>
  <c r="IO159" i="9" s="1"/>
  <c r="AH159" i="15"/>
  <c r="II160" i="9" s="1"/>
  <c r="AI159" i="15"/>
  <c r="IO160" i="9" s="1"/>
  <c r="AH160" i="15"/>
  <c r="II161" i="9" s="1"/>
  <c r="AI160" i="15"/>
  <c r="IO161" i="9" s="1"/>
  <c r="AH161" i="15"/>
  <c r="II162" i="9" s="1"/>
  <c r="AI161" i="15"/>
  <c r="IO162" i="9" s="1"/>
  <c r="AH162" i="15"/>
  <c r="II163" i="9" s="1"/>
  <c r="AI162" i="15"/>
  <c r="IO163" i="9" s="1"/>
  <c r="AH163" i="15"/>
  <c r="II164" i="9" s="1"/>
  <c r="AI163" i="15"/>
  <c r="IO164" i="9" s="1"/>
  <c r="AH164" i="15"/>
  <c r="II165" i="9" s="1"/>
  <c r="AI164" i="15"/>
  <c r="IO165" i="9" s="1"/>
  <c r="AH165" i="15"/>
  <c r="II166" i="9" s="1"/>
  <c r="AI165" i="15"/>
  <c r="IO166" i="9" s="1"/>
  <c r="AH166" i="15"/>
  <c r="II167" i="9" s="1"/>
  <c r="AI166" i="15"/>
  <c r="IO167" i="9" s="1"/>
  <c r="AH167" i="15"/>
  <c r="II168" i="9" s="1"/>
  <c r="AI167" i="15"/>
  <c r="IO168" i="9" s="1"/>
  <c r="AH168" i="15"/>
  <c r="II169" i="9" s="1"/>
  <c r="AI168" i="15"/>
  <c r="IO169" i="9" s="1"/>
  <c r="AH169" i="15"/>
  <c r="II170" i="9" s="1"/>
  <c r="AI169" i="15"/>
  <c r="IO170" i="9" s="1"/>
  <c r="AH170" i="15"/>
  <c r="II171" i="9" s="1"/>
  <c r="AI170" i="15"/>
  <c r="IO171" i="9" s="1"/>
  <c r="AH171" i="15"/>
  <c r="II172" i="9" s="1"/>
  <c r="AI171" i="15"/>
  <c r="IO172" i="9" s="1"/>
  <c r="AH172" i="15"/>
  <c r="II173" i="9" s="1"/>
  <c r="AI172" i="15"/>
  <c r="IO173" i="9" s="1"/>
  <c r="AH173" i="15"/>
  <c r="II174" i="9" s="1"/>
  <c r="AI173" i="15"/>
  <c r="IO174" i="9" s="1"/>
  <c r="AH174" i="15"/>
  <c r="II175" i="9" s="1"/>
  <c r="AI174" i="15"/>
  <c r="IO175" i="9" s="1"/>
  <c r="AH175" i="15"/>
  <c r="II176" i="9" s="1"/>
  <c r="AI175" i="15"/>
  <c r="IO176" i="9" s="1"/>
  <c r="AH176" i="15"/>
  <c r="II177" i="9" s="1"/>
  <c r="AI176" i="15"/>
  <c r="IO177" i="9" s="1"/>
  <c r="AH177" i="15"/>
  <c r="II178" i="9" s="1"/>
  <c r="AI177" i="15"/>
  <c r="IO178" i="9" s="1"/>
  <c r="AH178" i="15"/>
  <c r="II179" i="9" s="1"/>
  <c r="AI178" i="15"/>
  <c r="IO179" i="9" s="1"/>
  <c r="AH179" i="15"/>
  <c r="II180" i="9" s="1"/>
  <c r="AI179" i="15"/>
  <c r="IO180" i="9" s="1"/>
  <c r="AH180" i="15"/>
  <c r="II181" i="9" s="1"/>
  <c r="AI180" i="15"/>
  <c r="IO181" i="9" s="1"/>
  <c r="AH181" i="15"/>
  <c r="II182" i="9" s="1"/>
  <c r="AI181" i="15"/>
  <c r="IO182" i="9" s="1"/>
  <c r="AH182" i="15"/>
  <c r="II183" i="9" s="1"/>
  <c r="AI182" i="15"/>
  <c r="IO183" i="9" s="1"/>
  <c r="AH183" i="15"/>
  <c r="II184" i="9" s="1"/>
  <c r="AI183" i="15"/>
  <c r="IO184" i="9" s="1"/>
  <c r="AH184" i="15"/>
  <c r="II185" i="9" s="1"/>
  <c r="AI184" i="15"/>
  <c r="IO185" i="9" s="1"/>
  <c r="AH185" i="15"/>
  <c r="II186" i="9" s="1"/>
  <c r="AI185" i="15"/>
  <c r="IO186" i="9" s="1"/>
  <c r="AH186" i="15"/>
  <c r="II187" i="9" s="1"/>
  <c r="AI186" i="15"/>
  <c r="IO187" i="9" s="1"/>
  <c r="AH187" i="15"/>
  <c r="II188" i="9" s="1"/>
  <c r="AI187" i="15"/>
  <c r="IO188" i="9" s="1"/>
  <c r="AH188" i="15"/>
  <c r="II189" i="9" s="1"/>
  <c r="AI188" i="15"/>
  <c r="IO189" i="9" s="1"/>
  <c r="AH189" i="15"/>
  <c r="II190" i="9" s="1"/>
  <c r="AI189" i="15"/>
  <c r="IO190" i="9" s="1"/>
  <c r="AH190" i="15"/>
  <c r="II191" i="9" s="1"/>
  <c r="AI190" i="15"/>
  <c r="IO191" i="9" s="1"/>
  <c r="AH191" i="15"/>
  <c r="II192" i="9" s="1"/>
  <c r="AI191" i="15"/>
  <c r="IO192" i="9" s="1"/>
  <c r="AH192" i="15"/>
  <c r="II193" i="9" s="1"/>
  <c r="AI192" i="15"/>
  <c r="IO193" i="9" s="1"/>
  <c r="AH193" i="15"/>
  <c r="II194" i="9" s="1"/>
  <c r="AI193" i="15"/>
  <c r="IO194" i="9" s="1"/>
  <c r="AH194" i="15"/>
  <c r="II195" i="9" s="1"/>
  <c r="AI194" i="15"/>
  <c r="IO195" i="9" s="1"/>
  <c r="AH195" i="15"/>
  <c r="II196" i="9" s="1"/>
  <c r="AI195" i="15"/>
  <c r="IO196" i="9" s="1"/>
  <c r="AH196" i="15"/>
  <c r="II197" i="9" s="1"/>
  <c r="AI196" i="15"/>
  <c r="IO197" i="9" s="1"/>
  <c r="AH197" i="15"/>
  <c r="II198" i="9" s="1"/>
  <c r="AI197" i="15"/>
  <c r="IO198" i="9" s="1"/>
  <c r="AH198" i="15"/>
  <c r="II199" i="9" s="1"/>
  <c r="AI198" i="15"/>
  <c r="IO199" i="9" s="1"/>
  <c r="AH199" i="15"/>
  <c r="II200" i="9" s="1"/>
  <c r="AI199" i="15"/>
  <c r="IO200" i="9" s="1"/>
  <c r="AH200" i="15"/>
  <c r="II201" i="9" s="1"/>
  <c r="AI200" i="15"/>
  <c r="IO201" i="9" s="1"/>
  <c r="AH201" i="15"/>
  <c r="II202" i="9" s="1"/>
  <c r="AI201" i="15"/>
  <c r="IO202" i="9" s="1"/>
  <c r="AH202" i="15"/>
  <c r="II203" i="9" s="1"/>
  <c r="AI202" i="15"/>
  <c r="IO203" i="9" s="1"/>
  <c r="AH203" i="15"/>
  <c r="II204" i="9" s="1"/>
  <c r="AI203" i="15"/>
  <c r="IO204" i="9" s="1"/>
  <c r="AH204" i="15"/>
  <c r="II205" i="9" s="1"/>
  <c r="AI204" i="15"/>
  <c r="IO205" i="9" s="1"/>
  <c r="AH205" i="15"/>
  <c r="II206" i="9" s="1"/>
  <c r="AI205" i="15"/>
  <c r="IO206" i="9" s="1"/>
  <c r="AH206" i="15"/>
  <c r="II207" i="9" s="1"/>
  <c r="AI206" i="15"/>
  <c r="IO207" i="9" s="1"/>
  <c r="AE8" i="15"/>
  <c r="IH9" i="9" s="1"/>
  <c r="AF8" i="15"/>
  <c r="IN9" i="9" s="1"/>
  <c r="AE9" i="15"/>
  <c r="IH10" i="9" s="1"/>
  <c r="AF9" i="15"/>
  <c r="IN10" i="9" s="1"/>
  <c r="AE10" i="15"/>
  <c r="IH11" i="9" s="1"/>
  <c r="AF10" i="15"/>
  <c r="IN11" i="9" s="1"/>
  <c r="AE11" i="15"/>
  <c r="IH12" i="9" s="1"/>
  <c r="AF11" i="15"/>
  <c r="IN12" i="9" s="1"/>
  <c r="AE12" i="15"/>
  <c r="IH13" i="9" s="1"/>
  <c r="AF12" i="15"/>
  <c r="IN13" i="9" s="1"/>
  <c r="AE13" i="15"/>
  <c r="IH14" i="9" s="1"/>
  <c r="AF13" i="15"/>
  <c r="IN14" i="9" s="1"/>
  <c r="AE14" i="15"/>
  <c r="IH15" i="9" s="1"/>
  <c r="AF14" i="15"/>
  <c r="IN15" i="9" s="1"/>
  <c r="AE15" i="15"/>
  <c r="IH16" i="9" s="1"/>
  <c r="AF15" i="15"/>
  <c r="IN16" i="9" s="1"/>
  <c r="AE16" i="15"/>
  <c r="IH17" i="9" s="1"/>
  <c r="AF16" i="15"/>
  <c r="IN17" i="9" s="1"/>
  <c r="AE17" i="15"/>
  <c r="IH18" i="9" s="1"/>
  <c r="AF17" i="15"/>
  <c r="IN18" i="9" s="1"/>
  <c r="AE18" i="15"/>
  <c r="IH19" i="9" s="1"/>
  <c r="AF18" i="15"/>
  <c r="IN19" i="9" s="1"/>
  <c r="AE19" i="15"/>
  <c r="IH20" i="9" s="1"/>
  <c r="AF19" i="15"/>
  <c r="IN20" i="9" s="1"/>
  <c r="AE20" i="15"/>
  <c r="IH21" i="9" s="1"/>
  <c r="AF20" i="15"/>
  <c r="IN21" i="9" s="1"/>
  <c r="AE21" i="15"/>
  <c r="IH22" i="9" s="1"/>
  <c r="AF21" i="15"/>
  <c r="IN22" i="9" s="1"/>
  <c r="AE22" i="15"/>
  <c r="IH23" i="9" s="1"/>
  <c r="AF22" i="15"/>
  <c r="IN23" i="9" s="1"/>
  <c r="AE23" i="15"/>
  <c r="IH24" i="9" s="1"/>
  <c r="AF23" i="15"/>
  <c r="IN24" i="9" s="1"/>
  <c r="AE24" i="15"/>
  <c r="IH25" i="9" s="1"/>
  <c r="AF24" i="15"/>
  <c r="IN25" i="9" s="1"/>
  <c r="AE25" i="15"/>
  <c r="IH26" i="9" s="1"/>
  <c r="AF25" i="15"/>
  <c r="IN26" i="9" s="1"/>
  <c r="AE26" i="15"/>
  <c r="IH27" i="9" s="1"/>
  <c r="AF26" i="15"/>
  <c r="IN27" i="9" s="1"/>
  <c r="AE27" i="15"/>
  <c r="IH28" i="9" s="1"/>
  <c r="AF27" i="15"/>
  <c r="IN28" i="9" s="1"/>
  <c r="AE28" i="15"/>
  <c r="IH29" i="9" s="1"/>
  <c r="AF28" i="15"/>
  <c r="IN29" i="9" s="1"/>
  <c r="AE29" i="15"/>
  <c r="IH30" i="9" s="1"/>
  <c r="AF29" i="15"/>
  <c r="IN30" i="9" s="1"/>
  <c r="AE30" i="15"/>
  <c r="IH31" i="9" s="1"/>
  <c r="AF30" i="15"/>
  <c r="IN31" i="9" s="1"/>
  <c r="AE31" i="15"/>
  <c r="IH32" i="9" s="1"/>
  <c r="AF31" i="15"/>
  <c r="IN32" i="9" s="1"/>
  <c r="AE32" i="15"/>
  <c r="IH33" i="9" s="1"/>
  <c r="AF32" i="15"/>
  <c r="IN33" i="9" s="1"/>
  <c r="AE33" i="15"/>
  <c r="IH34" i="9" s="1"/>
  <c r="AF33" i="15"/>
  <c r="IN34" i="9" s="1"/>
  <c r="AE34" i="15"/>
  <c r="IH35" i="9" s="1"/>
  <c r="AF34" i="15"/>
  <c r="IN35" i="9" s="1"/>
  <c r="AE35" i="15"/>
  <c r="IH36" i="9" s="1"/>
  <c r="AF35" i="15"/>
  <c r="IN36" i="9" s="1"/>
  <c r="AE36" i="15"/>
  <c r="IH37" i="9" s="1"/>
  <c r="AF36" i="15"/>
  <c r="IN37" i="9" s="1"/>
  <c r="AE37" i="15"/>
  <c r="IH38" i="9" s="1"/>
  <c r="AF37" i="15"/>
  <c r="IN38" i="9" s="1"/>
  <c r="AE38" i="15"/>
  <c r="IH39" i="9" s="1"/>
  <c r="AF38" i="15"/>
  <c r="IN39" i="9" s="1"/>
  <c r="AE39" i="15"/>
  <c r="IH40" i="9" s="1"/>
  <c r="AF39" i="15"/>
  <c r="IN40" i="9" s="1"/>
  <c r="AE40" i="15"/>
  <c r="IH41" i="9" s="1"/>
  <c r="AF40" i="15"/>
  <c r="IN41" i="9" s="1"/>
  <c r="AE41" i="15"/>
  <c r="IH42" i="9" s="1"/>
  <c r="AF41" i="15"/>
  <c r="IN42" i="9" s="1"/>
  <c r="AE42" i="15"/>
  <c r="IH43" i="9" s="1"/>
  <c r="AF42" i="15"/>
  <c r="IN43" i="9" s="1"/>
  <c r="AE43" i="15"/>
  <c r="IH44" i="9" s="1"/>
  <c r="AF43" i="15"/>
  <c r="IN44" i="9" s="1"/>
  <c r="AE44" i="15"/>
  <c r="IH45" i="9" s="1"/>
  <c r="AF44" i="15"/>
  <c r="IN45" i="9" s="1"/>
  <c r="AE45" i="15"/>
  <c r="IH46" i="9" s="1"/>
  <c r="AF45" i="15"/>
  <c r="IN46" i="9" s="1"/>
  <c r="AE46" i="15"/>
  <c r="IH47" i="9" s="1"/>
  <c r="AF46" i="15"/>
  <c r="IN47" i="9" s="1"/>
  <c r="AE47" i="15"/>
  <c r="IH48" i="9" s="1"/>
  <c r="AF47" i="15"/>
  <c r="IN48" i="9" s="1"/>
  <c r="AE48" i="15"/>
  <c r="IH49" i="9" s="1"/>
  <c r="AF48" i="15"/>
  <c r="IN49" i="9" s="1"/>
  <c r="AE49" i="15"/>
  <c r="IH50" i="9" s="1"/>
  <c r="AF49" i="15"/>
  <c r="IN50" i="9" s="1"/>
  <c r="AE50" i="15"/>
  <c r="IH51" i="9" s="1"/>
  <c r="AF50" i="15"/>
  <c r="IN51" i="9" s="1"/>
  <c r="AE51" i="15"/>
  <c r="IH52" i="9" s="1"/>
  <c r="AF51" i="15"/>
  <c r="IN52" i="9" s="1"/>
  <c r="AE52" i="15"/>
  <c r="IH53" i="9" s="1"/>
  <c r="AF52" i="15"/>
  <c r="IN53" i="9" s="1"/>
  <c r="AE53" i="15"/>
  <c r="IH54" i="9" s="1"/>
  <c r="AF53" i="15"/>
  <c r="IN54" i="9" s="1"/>
  <c r="AE54" i="15"/>
  <c r="IH55" i="9" s="1"/>
  <c r="AF54" i="15"/>
  <c r="IN55" i="9" s="1"/>
  <c r="AE55" i="15"/>
  <c r="IH56" i="9" s="1"/>
  <c r="AF55" i="15"/>
  <c r="IN56" i="9" s="1"/>
  <c r="AE56" i="15"/>
  <c r="IH57" i="9" s="1"/>
  <c r="AF56" i="15"/>
  <c r="IN57" i="9" s="1"/>
  <c r="AE57" i="15"/>
  <c r="IH58" i="9" s="1"/>
  <c r="AF57" i="15"/>
  <c r="IN58" i="9" s="1"/>
  <c r="AE58" i="15"/>
  <c r="IH59" i="9" s="1"/>
  <c r="AF58" i="15"/>
  <c r="IN59" i="9" s="1"/>
  <c r="AE59" i="15"/>
  <c r="IH60" i="9" s="1"/>
  <c r="AF59" i="15"/>
  <c r="IN60" i="9" s="1"/>
  <c r="AE60" i="15"/>
  <c r="IH61" i="9" s="1"/>
  <c r="AF60" i="15"/>
  <c r="IN61" i="9" s="1"/>
  <c r="AE61" i="15"/>
  <c r="IH62" i="9" s="1"/>
  <c r="AF61" i="15"/>
  <c r="IN62" i="9" s="1"/>
  <c r="AE62" i="15"/>
  <c r="IH63" i="9" s="1"/>
  <c r="AF62" i="15"/>
  <c r="IN63" i="9" s="1"/>
  <c r="AE63" i="15"/>
  <c r="IH64" i="9" s="1"/>
  <c r="AF63" i="15"/>
  <c r="IN64" i="9" s="1"/>
  <c r="AE64" i="15"/>
  <c r="IH65" i="9" s="1"/>
  <c r="AF64" i="15"/>
  <c r="IN65" i="9" s="1"/>
  <c r="AE65" i="15"/>
  <c r="IH66" i="9" s="1"/>
  <c r="AF65" i="15"/>
  <c r="IN66" i="9" s="1"/>
  <c r="AE66" i="15"/>
  <c r="IH67" i="9" s="1"/>
  <c r="AF66" i="15"/>
  <c r="IN67" i="9" s="1"/>
  <c r="AE67" i="15"/>
  <c r="IH68" i="9" s="1"/>
  <c r="AF67" i="15"/>
  <c r="IN68" i="9" s="1"/>
  <c r="AE68" i="15"/>
  <c r="IH69" i="9" s="1"/>
  <c r="AF68" i="15"/>
  <c r="IN69" i="9" s="1"/>
  <c r="AE69" i="15"/>
  <c r="IH70" i="9" s="1"/>
  <c r="AF69" i="15"/>
  <c r="IN70" i="9" s="1"/>
  <c r="AE70" i="15"/>
  <c r="IH71" i="9" s="1"/>
  <c r="AF70" i="15"/>
  <c r="IN71" i="9" s="1"/>
  <c r="AE71" i="15"/>
  <c r="IH72" i="9" s="1"/>
  <c r="AF71" i="15"/>
  <c r="IN72" i="9" s="1"/>
  <c r="AE72" i="15"/>
  <c r="IH73" i="9" s="1"/>
  <c r="AF72" i="15"/>
  <c r="IN73" i="9" s="1"/>
  <c r="AE73" i="15"/>
  <c r="IH74" i="9" s="1"/>
  <c r="AF73" i="15"/>
  <c r="IN74" i="9" s="1"/>
  <c r="AE74" i="15"/>
  <c r="IH75" i="9" s="1"/>
  <c r="AF74" i="15"/>
  <c r="IN75" i="9" s="1"/>
  <c r="AE75" i="15"/>
  <c r="IH76" i="9" s="1"/>
  <c r="AF75" i="15"/>
  <c r="IN76" i="9" s="1"/>
  <c r="AE76" i="15"/>
  <c r="IH77" i="9" s="1"/>
  <c r="AF76" i="15"/>
  <c r="IN77" i="9" s="1"/>
  <c r="AE77" i="15"/>
  <c r="IH78" i="9" s="1"/>
  <c r="AF77" i="15"/>
  <c r="IN78" i="9" s="1"/>
  <c r="AE78" i="15"/>
  <c r="IH79" i="9" s="1"/>
  <c r="AF78" i="15"/>
  <c r="IN79" i="9" s="1"/>
  <c r="AE79" i="15"/>
  <c r="IH80" i="9" s="1"/>
  <c r="AF79" i="15"/>
  <c r="IN80" i="9" s="1"/>
  <c r="AE80" i="15"/>
  <c r="IH81" i="9" s="1"/>
  <c r="AF80" i="15"/>
  <c r="IN81" i="9" s="1"/>
  <c r="AE81" i="15"/>
  <c r="IH82" i="9" s="1"/>
  <c r="AF81" i="15"/>
  <c r="IN82" i="9" s="1"/>
  <c r="AE82" i="15"/>
  <c r="IH83" i="9" s="1"/>
  <c r="AF82" i="15"/>
  <c r="IN83" i="9" s="1"/>
  <c r="AE83" i="15"/>
  <c r="IH84" i="9" s="1"/>
  <c r="AF83" i="15"/>
  <c r="IN84" i="9" s="1"/>
  <c r="AE84" i="15"/>
  <c r="IH85" i="9" s="1"/>
  <c r="AF84" i="15"/>
  <c r="IN85" i="9" s="1"/>
  <c r="AE85" i="15"/>
  <c r="IH86" i="9" s="1"/>
  <c r="AF85" i="15"/>
  <c r="IN86" i="9" s="1"/>
  <c r="AE86" i="15"/>
  <c r="IH87" i="9" s="1"/>
  <c r="AF86" i="15"/>
  <c r="IN87" i="9" s="1"/>
  <c r="AE87" i="15"/>
  <c r="IH88" i="9" s="1"/>
  <c r="AF87" i="15"/>
  <c r="IN88" i="9" s="1"/>
  <c r="AE88" i="15"/>
  <c r="IH89" i="9" s="1"/>
  <c r="AF88" i="15"/>
  <c r="IN89" i="9" s="1"/>
  <c r="AE89" i="15"/>
  <c r="IH90" i="9" s="1"/>
  <c r="AF89" i="15"/>
  <c r="IN90" i="9" s="1"/>
  <c r="AE90" i="15"/>
  <c r="IH91" i="9" s="1"/>
  <c r="AF90" i="15"/>
  <c r="IN91" i="9" s="1"/>
  <c r="AE91" i="15"/>
  <c r="IH92" i="9" s="1"/>
  <c r="AF91" i="15"/>
  <c r="IN92" i="9" s="1"/>
  <c r="AE92" i="15"/>
  <c r="IH93" i="9" s="1"/>
  <c r="AF92" i="15"/>
  <c r="IN93" i="9" s="1"/>
  <c r="AE93" i="15"/>
  <c r="IH94" i="9" s="1"/>
  <c r="AF93" i="15"/>
  <c r="IN94" i="9" s="1"/>
  <c r="AE94" i="15"/>
  <c r="IH95" i="9" s="1"/>
  <c r="AF94" i="15"/>
  <c r="IN95" i="9" s="1"/>
  <c r="AE95" i="15"/>
  <c r="IH96" i="9" s="1"/>
  <c r="AF95" i="15"/>
  <c r="IN96" i="9" s="1"/>
  <c r="AE96" i="15"/>
  <c r="IH97" i="9" s="1"/>
  <c r="AF96" i="15"/>
  <c r="IN97" i="9" s="1"/>
  <c r="AE97" i="15"/>
  <c r="IH98" i="9" s="1"/>
  <c r="AF97" i="15"/>
  <c r="IN98" i="9" s="1"/>
  <c r="AE98" i="15"/>
  <c r="IH99" i="9" s="1"/>
  <c r="AF98" i="15"/>
  <c r="IN99" i="9" s="1"/>
  <c r="AE99" i="15"/>
  <c r="IH100" i="9" s="1"/>
  <c r="AF99" i="15"/>
  <c r="IN100" i="9" s="1"/>
  <c r="AE100" i="15"/>
  <c r="IH101" i="9" s="1"/>
  <c r="AF100" i="15"/>
  <c r="IN101" i="9" s="1"/>
  <c r="AE101" i="15"/>
  <c r="IH102" i="9" s="1"/>
  <c r="AF101" i="15"/>
  <c r="IN102" i="9" s="1"/>
  <c r="AE102" i="15"/>
  <c r="IH103" i="9" s="1"/>
  <c r="AF102" i="15"/>
  <c r="IN103" i="9" s="1"/>
  <c r="AE103" i="15"/>
  <c r="IH104" i="9" s="1"/>
  <c r="AF103" i="15"/>
  <c r="IN104" i="9" s="1"/>
  <c r="AE104" i="15"/>
  <c r="IH105" i="9" s="1"/>
  <c r="AF104" i="15"/>
  <c r="IN105" i="9" s="1"/>
  <c r="AE105" i="15"/>
  <c r="IH106" i="9" s="1"/>
  <c r="AF105" i="15"/>
  <c r="IN106" i="9" s="1"/>
  <c r="AE106" i="15"/>
  <c r="IH107" i="9" s="1"/>
  <c r="AF106" i="15"/>
  <c r="IN107" i="9" s="1"/>
  <c r="AE107" i="15"/>
  <c r="IH108" i="9" s="1"/>
  <c r="AF107" i="15"/>
  <c r="IN108" i="9" s="1"/>
  <c r="AE108" i="15"/>
  <c r="IH109" i="9" s="1"/>
  <c r="AF108" i="15"/>
  <c r="IN109" i="9" s="1"/>
  <c r="AE109" i="15"/>
  <c r="IH110" i="9" s="1"/>
  <c r="AF109" i="15"/>
  <c r="IN110" i="9" s="1"/>
  <c r="AE110" i="15"/>
  <c r="IH111" i="9" s="1"/>
  <c r="AF110" i="15"/>
  <c r="IN111" i="9" s="1"/>
  <c r="AE111" i="15"/>
  <c r="IH112" i="9" s="1"/>
  <c r="AF111" i="15"/>
  <c r="IN112" i="9" s="1"/>
  <c r="AE112" i="15"/>
  <c r="IH113" i="9" s="1"/>
  <c r="AF112" i="15"/>
  <c r="IN113" i="9" s="1"/>
  <c r="AE113" i="15"/>
  <c r="IH114" i="9" s="1"/>
  <c r="AF113" i="15"/>
  <c r="IN114" i="9" s="1"/>
  <c r="AE114" i="15"/>
  <c r="IH115" i="9" s="1"/>
  <c r="AF114" i="15"/>
  <c r="IN115" i="9" s="1"/>
  <c r="AE115" i="15"/>
  <c r="IH116" i="9" s="1"/>
  <c r="AF115" i="15"/>
  <c r="IN116" i="9" s="1"/>
  <c r="AE116" i="15"/>
  <c r="IH117" i="9" s="1"/>
  <c r="AF116" i="15"/>
  <c r="IN117" i="9" s="1"/>
  <c r="AE117" i="15"/>
  <c r="IH118" i="9" s="1"/>
  <c r="AF117" i="15"/>
  <c r="IN118" i="9" s="1"/>
  <c r="AE118" i="15"/>
  <c r="IH119" i="9" s="1"/>
  <c r="AF118" i="15"/>
  <c r="IN119" i="9" s="1"/>
  <c r="AE119" i="15"/>
  <c r="IH120" i="9" s="1"/>
  <c r="AF119" i="15"/>
  <c r="IN120" i="9" s="1"/>
  <c r="AE120" i="15"/>
  <c r="IH121" i="9" s="1"/>
  <c r="AF120" i="15"/>
  <c r="IN121" i="9" s="1"/>
  <c r="AE121" i="15"/>
  <c r="IH122" i="9" s="1"/>
  <c r="AF121" i="15"/>
  <c r="IN122" i="9" s="1"/>
  <c r="AE122" i="15"/>
  <c r="IH123" i="9" s="1"/>
  <c r="AF122" i="15"/>
  <c r="IN123" i="9" s="1"/>
  <c r="AE123" i="15"/>
  <c r="IH124" i="9" s="1"/>
  <c r="AF123" i="15"/>
  <c r="IN124" i="9" s="1"/>
  <c r="AE124" i="15"/>
  <c r="IH125" i="9" s="1"/>
  <c r="AF124" i="15"/>
  <c r="IN125" i="9" s="1"/>
  <c r="AE125" i="15"/>
  <c r="IH126" i="9" s="1"/>
  <c r="AF125" i="15"/>
  <c r="IN126" i="9" s="1"/>
  <c r="AE126" i="15"/>
  <c r="IH127" i="9" s="1"/>
  <c r="AF126" i="15"/>
  <c r="IN127" i="9" s="1"/>
  <c r="AE127" i="15"/>
  <c r="IH128" i="9" s="1"/>
  <c r="AF127" i="15"/>
  <c r="IN128" i="9" s="1"/>
  <c r="AE128" i="15"/>
  <c r="IH129" i="9" s="1"/>
  <c r="AF128" i="15"/>
  <c r="IN129" i="9" s="1"/>
  <c r="AE129" i="15"/>
  <c r="IH130" i="9" s="1"/>
  <c r="AF129" i="15"/>
  <c r="IN130" i="9" s="1"/>
  <c r="AE130" i="15"/>
  <c r="IH131" i="9" s="1"/>
  <c r="AF130" i="15"/>
  <c r="IN131" i="9" s="1"/>
  <c r="AE131" i="15"/>
  <c r="IH132" i="9" s="1"/>
  <c r="AF131" i="15"/>
  <c r="IN132" i="9" s="1"/>
  <c r="AE132" i="15"/>
  <c r="IH133" i="9" s="1"/>
  <c r="AF132" i="15"/>
  <c r="IN133" i="9" s="1"/>
  <c r="AE133" i="15"/>
  <c r="IH134" i="9" s="1"/>
  <c r="AF133" i="15"/>
  <c r="IN134" i="9" s="1"/>
  <c r="AE134" i="15"/>
  <c r="IH135" i="9" s="1"/>
  <c r="AF134" i="15"/>
  <c r="IN135" i="9" s="1"/>
  <c r="AE135" i="15"/>
  <c r="IH136" i="9" s="1"/>
  <c r="AF135" i="15"/>
  <c r="IN136" i="9" s="1"/>
  <c r="AE136" i="15"/>
  <c r="IH137" i="9" s="1"/>
  <c r="AF136" i="15"/>
  <c r="IN137" i="9" s="1"/>
  <c r="AE137" i="15"/>
  <c r="IH138" i="9" s="1"/>
  <c r="AF137" i="15"/>
  <c r="IN138" i="9" s="1"/>
  <c r="AE138" i="15"/>
  <c r="IH139" i="9" s="1"/>
  <c r="AF138" i="15"/>
  <c r="IN139" i="9" s="1"/>
  <c r="AE139" i="15"/>
  <c r="IH140" i="9" s="1"/>
  <c r="AF139" i="15"/>
  <c r="IN140" i="9" s="1"/>
  <c r="AE140" i="15"/>
  <c r="IH141" i="9" s="1"/>
  <c r="AF140" i="15"/>
  <c r="IN141" i="9" s="1"/>
  <c r="AE141" i="15"/>
  <c r="IH142" i="9" s="1"/>
  <c r="AF141" i="15"/>
  <c r="IN142" i="9" s="1"/>
  <c r="AE142" i="15"/>
  <c r="IH143" i="9" s="1"/>
  <c r="AF142" i="15"/>
  <c r="IN143" i="9" s="1"/>
  <c r="AE143" i="15"/>
  <c r="IH144" i="9" s="1"/>
  <c r="AF143" i="15"/>
  <c r="IN144" i="9" s="1"/>
  <c r="AE144" i="15"/>
  <c r="IH145" i="9" s="1"/>
  <c r="AF144" i="15"/>
  <c r="IN145" i="9" s="1"/>
  <c r="AE145" i="15"/>
  <c r="IH146" i="9" s="1"/>
  <c r="AF145" i="15"/>
  <c r="IN146" i="9" s="1"/>
  <c r="AE146" i="15"/>
  <c r="IH147" i="9" s="1"/>
  <c r="AF146" i="15"/>
  <c r="IN147" i="9" s="1"/>
  <c r="AE147" i="15"/>
  <c r="IH148" i="9" s="1"/>
  <c r="AF147" i="15"/>
  <c r="IN148" i="9" s="1"/>
  <c r="AE148" i="15"/>
  <c r="IH149" i="9" s="1"/>
  <c r="AF148" i="15"/>
  <c r="IN149" i="9" s="1"/>
  <c r="AE149" i="15"/>
  <c r="IH150" i="9" s="1"/>
  <c r="AF149" i="15"/>
  <c r="IN150" i="9" s="1"/>
  <c r="AE150" i="15"/>
  <c r="IH151" i="9" s="1"/>
  <c r="AF150" i="15"/>
  <c r="IN151" i="9" s="1"/>
  <c r="AE151" i="15"/>
  <c r="IH152" i="9" s="1"/>
  <c r="AF151" i="15"/>
  <c r="IN152" i="9" s="1"/>
  <c r="AE152" i="15"/>
  <c r="IH153" i="9" s="1"/>
  <c r="AF152" i="15"/>
  <c r="IN153" i="9" s="1"/>
  <c r="AE153" i="15"/>
  <c r="IH154" i="9" s="1"/>
  <c r="AF153" i="15"/>
  <c r="IN154" i="9" s="1"/>
  <c r="AE154" i="15"/>
  <c r="IH155" i="9" s="1"/>
  <c r="AF154" i="15"/>
  <c r="IN155" i="9" s="1"/>
  <c r="AE155" i="15"/>
  <c r="IH156" i="9" s="1"/>
  <c r="AF155" i="15"/>
  <c r="IN156" i="9" s="1"/>
  <c r="AE156" i="15"/>
  <c r="IH157" i="9" s="1"/>
  <c r="AF156" i="15"/>
  <c r="IN157" i="9" s="1"/>
  <c r="AE157" i="15"/>
  <c r="IH158" i="9" s="1"/>
  <c r="AF157" i="15"/>
  <c r="IN158" i="9" s="1"/>
  <c r="AE158" i="15"/>
  <c r="IH159" i="9" s="1"/>
  <c r="AF158" i="15"/>
  <c r="IN159" i="9" s="1"/>
  <c r="AE159" i="15"/>
  <c r="IH160" i="9" s="1"/>
  <c r="AF159" i="15"/>
  <c r="IN160" i="9" s="1"/>
  <c r="AE160" i="15"/>
  <c r="IH161" i="9" s="1"/>
  <c r="AF160" i="15"/>
  <c r="IN161" i="9" s="1"/>
  <c r="AE161" i="15"/>
  <c r="IH162" i="9" s="1"/>
  <c r="AF161" i="15"/>
  <c r="IN162" i="9" s="1"/>
  <c r="AE162" i="15"/>
  <c r="IH163" i="9" s="1"/>
  <c r="AF162" i="15"/>
  <c r="IN163" i="9" s="1"/>
  <c r="AE163" i="15"/>
  <c r="IH164" i="9" s="1"/>
  <c r="AF163" i="15"/>
  <c r="IN164" i="9" s="1"/>
  <c r="AE164" i="15"/>
  <c r="IH165" i="9" s="1"/>
  <c r="AF164" i="15"/>
  <c r="IN165" i="9" s="1"/>
  <c r="AE165" i="15"/>
  <c r="IH166" i="9" s="1"/>
  <c r="AF165" i="15"/>
  <c r="IN166" i="9" s="1"/>
  <c r="AE166" i="15"/>
  <c r="IH167" i="9" s="1"/>
  <c r="AF166" i="15"/>
  <c r="IN167" i="9" s="1"/>
  <c r="AE167" i="15"/>
  <c r="IH168" i="9" s="1"/>
  <c r="AF167" i="15"/>
  <c r="IN168" i="9" s="1"/>
  <c r="AE168" i="15"/>
  <c r="IH169" i="9" s="1"/>
  <c r="AF168" i="15"/>
  <c r="IN169" i="9" s="1"/>
  <c r="AE169" i="15"/>
  <c r="IH170" i="9" s="1"/>
  <c r="AF169" i="15"/>
  <c r="IN170" i="9" s="1"/>
  <c r="AE170" i="15"/>
  <c r="IH171" i="9" s="1"/>
  <c r="AF170" i="15"/>
  <c r="IN171" i="9" s="1"/>
  <c r="AE171" i="15"/>
  <c r="IH172" i="9" s="1"/>
  <c r="AF171" i="15"/>
  <c r="IN172" i="9" s="1"/>
  <c r="AE172" i="15"/>
  <c r="IH173" i="9" s="1"/>
  <c r="AF172" i="15"/>
  <c r="IN173" i="9" s="1"/>
  <c r="AE173" i="15"/>
  <c r="IH174" i="9" s="1"/>
  <c r="AF173" i="15"/>
  <c r="IN174" i="9" s="1"/>
  <c r="AE174" i="15"/>
  <c r="IH175" i="9" s="1"/>
  <c r="AF174" i="15"/>
  <c r="IN175" i="9" s="1"/>
  <c r="AE175" i="15"/>
  <c r="IH176" i="9" s="1"/>
  <c r="AF175" i="15"/>
  <c r="IN176" i="9" s="1"/>
  <c r="AE176" i="15"/>
  <c r="IH177" i="9" s="1"/>
  <c r="AF176" i="15"/>
  <c r="IN177" i="9" s="1"/>
  <c r="AE177" i="15"/>
  <c r="IH178" i="9" s="1"/>
  <c r="AF177" i="15"/>
  <c r="IN178" i="9" s="1"/>
  <c r="AE178" i="15"/>
  <c r="IH179" i="9" s="1"/>
  <c r="AF178" i="15"/>
  <c r="IN179" i="9" s="1"/>
  <c r="AE179" i="15"/>
  <c r="IH180" i="9" s="1"/>
  <c r="AF179" i="15"/>
  <c r="IN180" i="9" s="1"/>
  <c r="AE180" i="15"/>
  <c r="IH181" i="9" s="1"/>
  <c r="AF180" i="15"/>
  <c r="IN181" i="9" s="1"/>
  <c r="AE181" i="15"/>
  <c r="IH182" i="9" s="1"/>
  <c r="AF181" i="15"/>
  <c r="IN182" i="9" s="1"/>
  <c r="AE182" i="15"/>
  <c r="IH183" i="9" s="1"/>
  <c r="AF182" i="15"/>
  <c r="IN183" i="9" s="1"/>
  <c r="AE183" i="15"/>
  <c r="IH184" i="9" s="1"/>
  <c r="AF183" i="15"/>
  <c r="IN184" i="9" s="1"/>
  <c r="AE184" i="15"/>
  <c r="IH185" i="9" s="1"/>
  <c r="AF184" i="15"/>
  <c r="IN185" i="9" s="1"/>
  <c r="AE185" i="15"/>
  <c r="IH186" i="9" s="1"/>
  <c r="AF185" i="15"/>
  <c r="IN186" i="9" s="1"/>
  <c r="AE186" i="15"/>
  <c r="IH187" i="9" s="1"/>
  <c r="AF186" i="15"/>
  <c r="IN187" i="9" s="1"/>
  <c r="AE187" i="15"/>
  <c r="IH188" i="9" s="1"/>
  <c r="AF187" i="15"/>
  <c r="IN188" i="9" s="1"/>
  <c r="AE188" i="15"/>
  <c r="IH189" i="9" s="1"/>
  <c r="AF188" i="15"/>
  <c r="IN189" i="9" s="1"/>
  <c r="AE189" i="15"/>
  <c r="IH190" i="9" s="1"/>
  <c r="AF189" i="15"/>
  <c r="IN190" i="9" s="1"/>
  <c r="AE190" i="15"/>
  <c r="IH191" i="9" s="1"/>
  <c r="AF190" i="15"/>
  <c r="IN191" i="9" s="1"/>
  <c r="AE191" i="15"/>
  <c r="IH192" i="9" s="1"/>
  <c r="AF191" i="15"/>
  <c r="IN192" i="9" s="1"/>
  <c r="AE192" i="15"/>
  <c r="IH193" i="9" s="1"/>
  <c r="AF192" i="15"/>
  <c r="IN193" i="9" s="1"/>
  <c r="AE193" i="15"/>
  <c r="IH194" i="9" s="1"/>
  <c r="AF193" i="15"/>
  <c r="IN194" i="9" s="1"/>
  <c r="AE194" i="15"/>
  <c r="IH195" i="9" s="1"/>
  <c r="AF194" i="15"/>
  <c r="IN195" i="9" s="1"/>
  <c r="AE195" i="15"/>
  <c r="IH196" i="9" s="1"/>
  <c r="AF195" i="15"/>
  <c r="IN196" i="9" s="1"/>
  <c r="AE196" i="15"/>
  <c r="IH197" i="9" s="1"/>
  <c r="AF196" i="15"/>
  <c r="IN197" i="9" s="1"/>
  <c r="AE197" i="15"/>
  <c r="IH198" i="9" s="1"/>
  <c r="AF197" i="15"/>
  <c r="IN198" i="9" s="1"/>
  <c r="AE198" i="15"/>
  <c r="IH199" i="9" s="1"/>
  <c r="AF198" i="15"/>
  <c r="IN199" i="9" s="1"/>
  <c r="AE199" i="15"/>
  <c r="IH200" i="9" s="1"/>
  <c r="AF199" i="15"/>
  <c r="IN200" i="9" s="1"/>
  <c r="AE200" i="15"/>
  <c r="IH201" i="9" s="1"/>
  <c r="AF200" i="15"/>
  <c r="IN201" i="9" s="1"/>
  <c r="AE201" i="15"/>
  <c r="IH202" i="9" s="1"/>
  <c r="AF201" i="15"/>
  <c r="IN202" i="9" s="1"/>
  <c r="AE202" i="15"/>
  <c r="IH203" i="9" s="1"/>
  <c r="AF202" i="15"/>
  <c r="IN203" i="9" s="1"/>
  <c r="AE203" i="15"/>
  <c r="IH204" i="9" s="1"/>
  <c r="AF203" i="15"/>
  <c r="IN204" i="9" s="1"/>
  <c r="AE204" i="15"/>
  <c r="IH205" i="9" s="1"/>
  <c r="AF204" i="15"/>
  <c r="IN205" i="9" s="1"/>
  <c r="AE205" i="15"/>
  <c r="IH206" i="9" s="1"/>
  <c r="AF205" i="15"/>
  <c r="IN206" i="9" s="1"/>
  <c r="AE206" i="15"/>
  <c r="IH207" i="9" s="1"/>
  <c r="AF206" i="15"/>
  <c r="IN207" i="9" s="1"/>
  <c r="AB206" i="15"/>
  <c r="IG207" i="9" s="1"/>
  <c r="AC206" i="15"/>
  <c r="IM207" i="9" s="1"/>
  <c r="AB8" i="15"/>
  <c r="IG9" i="9" s="1"/>
  <c r="AC8" i="15"/>
  <c r="IM9" i="9" s="1"/>
  <c r="AB9" i="15"/>
  <c r="IG10" i="9" s="1"/>
  <c r="AC9" i="15"/>
  <c r="IM10" i="9" s="1"/>
  <c r="AB10" i="15"/>
  <c r="IG11" i="9" s="1"/>
  <c r="AC10" i="15"/>
  <c r="IM11" i="9" s="1"/>
  <c r="AB11" i="15"/>
  <c r="IG12" i="9" s="1"/>
  <c r="AC11" i="15"/>
  <c r="IM12" i="9" s="1"/>
  <c r="AB12" i="15"/>
  <c r="IG13" i="9" s="1"/>
  <c r="AC12" i="15"/>
  <c r="IM13" i="9" s="1"/>
  <c r="AC13" i="15"/>
  <c r="IM14" i="9" s="1"/>
  <c r="AC14" i="15"/>
  <c r="IM15" i="9" s="1"/>
  <c r="AC15" i="15"/>
  <c r="IM16" i="9" s="1"/>
  <c r="AB16" i="15"/>
  <c r="IG17" i="9" s="1"/>
  <c r="AC16" i="15"/>
  <c r="IM17" i="9" s="1"/>
  <c r="AB17" i="15"/>
  <c r="IG18" i="9" s="1"/>
  <c r="AC17" i="15"/>
  <c r="IM18" i="9" s="1"/>
  <c r="AB18" i="15"/>
  <c r="IG19" i="9" s="1"/>
  <c r="AC18" i="15"/>
  <c r="IM19" i="9" s="1"/>
  <c r="AB19" i="15"/>
  <c r="IG20" i="9" s="1"/>
  <c r="AC19" i="15"/>
  <c r="IM20" i="9" s="1"/>
  <c r="AB20" i="15"/>
  <c r="IG21" i="9" s="1"/>
  <c r="AC20" i="15"/>
  <c r="IM21" i="9" s="1"/>
  <c r="AB21" i="15"/>
  <c r="IG22" i="9" s="1"/>
  <c r="AC21" i="15"/>
  <c r="IM22" i="9" s="1"/>
  <c r="AB22" i="15"/>
  <c r="IG23" i="9" s="1"/>
  <c r="AC22" i="15"/>
  <c r="IM23" i="9" s="1"/>
  <c r="AB23" i="15"/>
  <c r="IG24" i="9" s="1"/>
  <c r="AC23" i="15"/>
  <c r="IM24" i="9" s="1"/>
  <c r="AB24" i="15"/>
  <c r="IG25" i="9" s="1"/>
  <c r="AC24" i="15"/>
  <c r="IM25" i="9" s="1"/>
  <c r="AB25" i="15"/>
  <c r="IG26" i="9" s="1"/>
  <c r="AC25" i="15"/>
  <c r="IM26" i="9" s="1"/>
  <c r="AB26" i="15"/>
  <c r="IG27" i="9" s="1"/>
  <c r="AC26" i="15"/>
  <c r="IM27" i="9" s="1"/>
  <c r="AB27" i="15"/>
  <c r="IG28" i="9" s="1"/>
  <c r="AC27" i="15"/>
  <c r="IM28" i="9" s="1"/>
  <c r="AB28" i="15"/>
  <c r="IG29" i="9" s="1"/>
  <c r="AC28" i="15"/>
  <c r="IM29" i="9" s="1"/>
  <c r="AB29" i="15"/>
  <c r="IG30" i="9" s="1"/>
  <c r="AC29" i="15"/>
  <c r="IM30" i="9" s="1"/>
  <c r="AB30" i="15"/>
  <c r="IG31" i="9" s="1"/>
  <c r="AC30" i="15"/>
  <c r="IM31" i="9" s="1"/>
  <c r="AB31" i="15"/>
  <c r="IG32" i="9" s="1"/>
  <c r="AC31" i="15"/>
  <c r="IM32" i="9" s="1"/>
  <c r="AB32" i="15"/>
  <c r="IG33" i="9" s="1"/>
  <c r="AC32" i="15"/>
  <c r="IM33" i="9" s="1"/>
  <c r="AB33" i="15"/>
  <c r="IG34" i="9" s="1"/>
  <c r="AC33" i="15"/>
  <c r="IM34" i="9" s="1"/>
  <c r="AB34" i="15"/>
  <c r="IG35" i="9" s="1"/>
  <c r="AC34" i="15"/>
  <c r="IM35" i="9" s="1"/>
  <c r="AB35" i="15"/>
  <c r="IG36" i="9" s="1"/>
  <c r="AC35" i="15"/>
  <c r="IM36" i="9" s="1"/>
  <c r="AB36" i="15"/>
  <c r="IG37" i="9" s="1"/>
  <c r="AC36" i="15"/>
  <c r="IM37" i="9" s="1"/>
  <c r="AB37" i="15"/>
  <c r="IG38" i="9" s="1"/>
  <c r="AC37" i="15"/>
  <c r="IM38" i="9" s="1"/>
  <c r="AB38" i="15"/>
  <c r="IG39" i="9" s="1"/>
  <c r="AC38" i="15"/>
  <c r="IM39" i="9" s="1"/>
  <c r="AB39" i="15"/>
  <c r="IG40" i="9" s="1"/>
  <c r="AC39" i="15"/>
  <c r="IM40" i="9" s="1"/>
  <c r="AB40" i="15"/>
  <c r="IG41" i="9" s="1"/>
  <c r="AC40" i="15"/>
  <c r="IM41" i="9" s="1"/>
  <c r="AB41" i="15"/>
  <c r="IG42" i="9" s="1"/>
  <c r="AC41" i="15"/>
  <c r="IM42" i="9" s="1"/>
  <c r="AB42" i="15"/>
  <c r="IG43" i="9" s="1"/>
  <c r="AC42" i="15"/>
  <c r="IM43" i="9" s="1"/>
  <c r="AB43" i="15"/>
  <c r="IG44" i="9" s="1"/>
  <c r="AC43" i="15"/>
  <c r="IM44" i="9" s="1"/>
  <c r="AB44" i="15"/>
  <c r="IG45" i="9" s="1"/>
  <c r="AC44" i="15"/>
  <c r="IM45" i="9" s="1"/>
  <c r="AB45" i="15"/>
  <c r="IG46" i="9" s="1"/>
  <c r="AC45" i="15"/>
  <c r="IM46" i="9" s="1"/>
  <c r="AB46" i="15"/>
  <c r="IG47" i="9" s="1"/>
  <c r="AC46" i="15"/>
  <c r="IM47" i="9" s="1"/>
  <c r="AB47" i="15"/>
  <c r="IG48" i="9" s="1"/>
  <c r="AC47" i="15"/>
  <c r="IM48" i="9" s="1"/>
  <c r="AB48" i="15"/>
  <c r="IG49" i="9" s="1"/>
  <c r="AC48" i="15"/>
  <c r="IM49" i="9" s="1"/>
  <c r="AB49" i="15"/>
  <c r="IG50" i="9" s="1"/>
  <c r="AC49" i="15"/>
  <c r="IM50" i="9" s="1"/>
  <c r="AB50" i="15"/>
  <c r="IG51" i="9" s="1"/>
  <c r="AC50" i="15"/>
  <c r="IM51" i="9" s="1"/>
  <c r="AB51" i="15"/>
  <c r="IG52" i="9" s="1"/>
  <c r="AC51" i="15"/>
  <c r="IM52" i="9" s="1"/>
  <c r="AB52" i="15"/>
  <c r="IG53" i="9" s="1"/>
  <c r="AC52" i="15"/>
  <c r="IM53" i="9" s="1"/>
  <c r="AB53" i="15"/>
  <c r="IG54" i="9" s="1"/>
  <c r="AC53" i="15"/>
  <c r="IM54" i="9" s="1"/>
  <c r="AB54" i="15"/>
  <c r="IG55" i="9" s="1"/>
  <c r="AC54" i="15"/>
  <c r="IM55" i="9" s="1"/>
  <c r="AB55" i="15"/>
  <c r="IG56" i="9" s="1"/>
  <c r="AC55" i="15"/>
  <c r="IM56" i="9" s="1"/>
  <c r="AB56" i="15"/>
  <c r="IG57" i="9" s="1"/>
  <c r="AC56" i="15"/>
  <c r="IM57" i="9" s="1"/>
  <c r="AB57" i="15"/>
  <c r="IG58" i="9" s="1"/>
  <c r="AC57" i="15"/>
  <c r="IM58" i="9" s="1"/>
  <c r="AB58" i="15"/>
  <c r="IG59" i="9" s="1"/>
  <c r="AC58" i="15"/>
  <c r="IM59" i="9" s="1"/>
  <c r="AB59" i="15"/>
  <c r="IG60" i="9" s="1"/>
  <c r="AC59" i="15"/>
  <c r="IM60" i="9" s="1"/>
  <c r="AB60" i="15"/>
  <c r="IG61" i="9" s="1"/>
  <c r="AC60" i="15"/>
  <c r="IM61" i="9" s="1"/>
  <c r="AB61" i="15"/>
  <c r="IG62" i="9" s="1"/>
  <c r="AC61" i="15"/>
  <c r="IM62" i="9" s="1"/>
  <c r="AB62" i="15"/>
  <c r="IG63" i="9" s="1"/>
  <c r="AC62" i="15"/>
  <c r="IM63" i="9" s="1"/>
  <c r="AB63" i="15"/>
  <c r="IG64" i="9" s="1"/>
  <c r="AC63" i="15"/>
  <c r="IM64" i="9" s="1"/>
  <c r="AB64" i="15"/>
  <c r="IG65" i="9" s="1"/>
  <c r="AC64" i="15"/>
  <c r="IM65" i="9" s="1"/>
  <c r="AB65" i="15"/>
  <c r="IG66" i="9" s="1"/>
  <c r="AC65" i="15"/>
  <c r="IM66" i="9" s="1"/>
  <c r="AB66" i="15"/>
  <c r="IG67" i="9" s="1"/>
  <c r="AC66" i="15"/>
  <c r="IM67" i="9" s="1"/>
  <c r="AB67" i="15"/>
  <c r="IG68" i="9" s="1"/>
  <c r="AC67" i="15"/>
  <c r="IM68" i="9" s="1"/>
  <c r="AB68" i="15"/>
  <c r="IG69" i="9" s="1"/>
  <c r="AC68" i="15"/>
  <c r="IM69" i="9" s="1"/>
  <c r="AB69" i="15"/>
  <c r="IG70" i="9" s="1"/>
  <c r="AC69" i="15"/>
  <c r="IM70" i="9" s="1"/>
  <c r="AB70" i="15"/>
  <c r="IG71" i="9" s="1"/>
  <c r="AC70" i="15"/>
  <c r="IM71" i="9" s="1"/>
  <c r="AB71" i="15"/>
  <c r="IG72" i="9" s="1"/>
  <c r="AC71" i="15"/>
  <c r="IM72" i="9" s="1"/>
  <c r="AB72" i="15"/>
  <c r="IG73" i="9" s="1"/>
  <c r="AC72" i="15"/>
  <c r="IM73" i="9" s="1"/>
  <c r="AB73" i="15"/>
  <c r="IG74" i="9" s="1"/>
  <c r="AC73" i="15"/>
  <c r="IM74" i="9" s="1"/>
  <c r="AB74" i="15"/>
  <c r="IG75" i="9" s="1"/>
  <c r="AC74" i="15"/>
  <c r="IM75" i="9" s="1"/>
  <c r="AB75" i="15"/>
  <c r="IG76" i="9" s="1"/>
  <c r="AC75" i="15"/>
  <c r="IM76" i="9" s="1"/>
  <c r="AB76" i="15"/>
  <c r="IG77" i="9" s="1"/>
  <c r="AC76" i="15"/>
  <c r="IM77" i="9" s="1"/>
  <c r="AB77" i="15"/>
  <c r="IG78" i="9" s="1"/>
  <c r="AC77" i="15"/>
  <c r="IM78" i="9" s="1"/>
  <c r="AB78" i="15"/>
  <c r="IG79" i="9" s="1"/>
  <c r="AC78" i="15"/>
  <c r="IM79" i="9" s="1"/>
  <c r="AB79" i="15"/>
  <c r="IG80" i="9" s="1"/>
  <c r="AC79" i="15"/>
  <c r="IM80" i="9" s="1"/>
  <c r="AB80" i="15"/>
  <c r="IG81" i="9" s="1"/>
  <c r="AC80" i="15"/>
  <c r="IM81" i="9" s="1"/>
  <c r="AB81" i="15"/>
  <c r="IG82" i="9" s="1"/>
  <c r="AC81" i="15"/>
  <c r="IM82" i="9" s="1"/>
  <c r="AB82" i="15"/>
  <c r="IG83" i="9" s="1"/>
  <c r="AC82" i="15"/>
  <c r="IM83" i="9" s="1"/>
  <c r="AB83" i="15"/>
  <c r="IG84" i="9" s="1"/>
  <c r="AC83" i="15"/>
  <c r="IM84" i="9" s="1"/>
  <c r="AB84" i="15"/>
  <c r="IG85" i="9" s="1"/>
  <c r="AC84" i="15"/>
  <c r="IM85" i="9" s="1"/>
  <c r="AB85" i="15"/>
  <c r="IG86" i="9" s="1"/>
  <c r="AC85" i="15"/>
  <c r="IM86" i="9" s="1"/>
  <c r="AB86" i="15"/>
  <c r="IG87" i="9" s="1"/>
  <c r="AC86" i="15"/>
  <c r="IM87" i="9" s="1"/>
  <c r="AB87" i="15"/>
  <c r="IG88" i="9" s="1"/>
  <c r="AC87" i="15"/>
  <c r="IM88" i="9" s="1"/>
  <c r="AB88" i="15"/>
  <c r="IG89" i="9" s="1"/>
  <c r="AC88" i="15"/>
  <c r="IM89" i="9" s="1"/>
  <c r="AB89" i="15"/>
  <c r="IG90" i="9" s="1"/>
  <c r="AC89" i="15"/>
  <c r="IM90" i="9" s="1"/>
  <c r="AB90" i="15"/>
  <c r="IG91" i="9" s="1"/>
  <c r="AC90" i="15"/>
  <c r="IM91" i="9" s="1"/>
  <c r="AB91" i="15"/>
  <c r="IG92" i="9" s="1"/>
  <c r="AC91" i="15"/>
  <c r="IM92" i="9" s="1"/>
  <c r="AB92" i="15"/>
  <c r="IG93" i="9" s="1"/>
  <c r="AC92" i="15"/>
  <c r="IM93" i="9" s="1"/>
  <c r="AB93" i="15"/>
  <c r="IG94" i="9" s="1"/>
  <c r="AC93" i="15"/>
  <c r="IM94" i="9" s="1"/>
  <c r="AB94" i="15"/>
  <c r="IG95" i="9" s="1"/>
  <c r="AC94" i="15"/>
  <c r="IM95" i="9" s="1"/>
  <c r="AB95" i="15"/>
  <c r="IG96" i="9" s="1"/>
  <c r="AC95" i="15"/>
  <c r="IM96" i="9" s="1"/>
  <c r="AB96" i="15"/>
  <c r="IG97" i="9" s="1"/>
  <c r="AC96" i="15"/>
  <c r="IM97" i="9" s="1"/>
  <c r="AB97" i="15"/>
  <c r="IG98" i="9" s="1"/>
  <c r="AC97" i="15"/>
  <c r="IM98" i="9" s="1"/>
  <c r="AB98" i="15"/>
  <c r="IG99" i="9" s="1"/>
  <c r="AC98" i="15"/>
  <c r="IM99" i="9" s="1"/>
  <c r="AB99" i="15"/>
  <c r="IG100" i="9" s="1"/>
  <c r="AC99" i="15"/>
  <c r="IM100" i="9" s="1"/>
  <c r="AB100" i="15"/>
  <c r="IG101" i="9" s="1"/>
  <c r="AC100" i="15"/>
  <c r="IM101" i="9" s="1"/>
  <c r="AB101" i="15"/>
  <c r="IG102" i="9" s="1"/>
  <c r="AC101" i="15"/>
  <c r="IM102" i="9" s="1"/>
  <c r="AB102" i="15"/>
  <c r="IG103" i="9" s="1"/>
  <c r="AC102" i="15"/>
  <c r="IM103" i="9" s="1"/>
  <c r="AB103" i="15"/>
  <c r="IG104" i="9" s="1"/>
  <c r="AC103" i="15"/>
  <c r="IM104" i="9" s="1"/>
  <c r="AB104" i="15"/>
  <c r="IG105" i="9" s="1"/>
  <c r="AC104" i="15"/>
  <c r="IM105" i="9" s="1"/>
  <c r="AB105" i="15"/>
  <c r="IG106" i="9" s="1"/>
  <c r="AC105" i="15"/>
  <c r="IM106" i="9" s="1"/>
  <c r="AB106" i="15"/>
  <c r="IG107" i="9" s="1"/>
  <c r="AC106" i="15"/>
  <c r="IM107" i="9" s="1"/>
  <c r="AB107" i="15"/>
  <c r="IG108" i="9" s="1"/>
  <c r="AC107" i="15"/>
  <c r="IM108" i="9" s="1"/>
  <c r="AB108" i="15"/>
  <c r="IG109" i="9" s="1"/>
  <c r="AC108" i="15"/>
  <c r="IM109" i="9" s="1"/>
  <c r="AB109" i="15"/>
  <c r="IG110" i="9" s="1"/>
  <c r="AC109" i="15"/>
  <c r="IM110" i="9" s="1"/>
  <c r="AB110" i="15"/>
  <c r="IG111" i="9" s="1"/>
  <c r="AC110" i="15"/>
  <c r="IM111" i="9" s="1"/>
  <c r="AB111" i="15"/>
  <c r="IG112" i="9" s="1"/>
  <c r="AC111" i="15"/>
  <c r="IM112" i="9" s="1"/>
  <c r="AB112" i="15"/>
  <c r="IG113" i="9" s="1"/>
  <c r="AC112" i="15"/>
  <c r="IM113" i="9" s="1"/>
  <c r="AB113" i="15"/>
  <c r="IG114" i="9" s="1"/>
  <c r="AC113" i="15"/>
  <c r="IM114" i="9" s="1"/>
  <c r="AB114" i="15"/>
  <c r="IG115" i="9" s="1"/>
  <c r="AC114" i="15"/>
  <c r="IM115" i="9" s="1"/>
  <c r="AB115" i="15"/>
  <c r="IG116" i="9" s="1"/>
  <c r="AC115" i="15"/>
  <c r="IM116" i="9" s="1"/>
  <c r="AB116" i="15"/>
  <c r="IG117" i="9" s="1"/>
  <c r="AC116" i="15"/>
  <c r="IM117" i="9" s="1"/>
  <c r="AB117" i="15"/>
  <c r="IG118" i="9" s="1"/>
  <c r="AC117" i="15"/>
  <c r="IM118" i="9" s="1"/>
  <c r="AB118" i="15"/>
  <c r="IG119" i="9" s="1"/>
  <c r="AC118" i="15"/>
  <c r="IM119" i="9" s="1"/>
  <c r="AB119" i="15"/>
  <c r="IG120" i="9" s="1"/>
  <c r="AC119" i="15"/>
  <c r="IM120" i="9" s="1"/>
  <c r="AB120" i="15"/>
  <c r="IG121" i="9" s="1"/>
  <c r="AC120" i="15"/>
  <c r="IM121" i="9" s="1"/>
  <c r="AB121" i="15"/>
  <c r="IG122" i="9" s="1"/>
  <c r="AC121" i="15"/>
  <c r="IM122" i="9" s="1"/>
  <c r="AB122" i="15"/>
  <c r="IG123" i="9" s="1"/>
  <c r="AC122" i="15"/>
  <c r="IM123" i="9" s="1"/>
  <c r="AB123" i="15"/>
  <c r="IG124" i="9" s="1"/>
  <c r="AC123" i="15"/>
  <c r="IM124" i="9" s="1"/>
  <c r="AB124" i="15"/>
  <c r="IG125" i="9" s="1"/>
  <c r="AC124" i="15"/>
  <c r="IM125" i="9" s="1"/>
  <c r="AB125" i="15"/>
  <c r="IG126" i="9" s="1"/>
  <c r="AC125" i="15"/>
  <c r="IM126" i="9" s="1"/>
  <c r="AB126" i="15"/>
  <c r="IG127" i="9" s="1"/>
  <c r="AC126" i="15"/>
  <c r="IM127" i="9" s="1"/>
  <c r="AB127" i="15"/>
  <c r="IG128" i="9" s="1"/>
  <c r="AC127" i="15"/>
  <c r="IM128" i="9" s="1"/>
  <c r="AB128" i="15"/>
  <c r="IG129" i="9" s="1"/>
  <c r="AC128" i="15"/>
  <c r="IM129" i="9" s="1"/>
  <c r="AB129" i="15"/>
  <c r="IG130" i="9" s="1"/>
  <c r="AC129" i="15"/>
  <c r="IM130" i="9" s="1"/>
  <c r="AB130" i="15"/>
  <c r="IG131" i="9" s="1"/>
  <c r="AC130" i="15"/>
  <c r="IM131" i="9" s="1"/>
  <c r="AB131" i="15"/>
  <c r="IG132" i="9" s="1"/>
  <c r="AC131" i="15"/>
  <c r="IM132" i="9" s="1"/>
  <c r="AB132" i="15"/>
  <c r="IG133" i="9" s="1"/>
  <c r="AC132" i="15"/>
  <c r="IM133" i="9" s="1"/>
  <c r="AB133" i="15"/>
  <c r="IG134" i="9" s="1"/>
  <c r="AC133" i="15"/>
  <c r="IM134" i="9" s="1"/>
  <c r="AB134" i="15"/>
  <c r="IG135" i="9" s="1"/>
  <c r="AC134" i="15"/>
  <c r="IM135" i="9" s="1"/>
  <c r="AB135" i="15"/>
  <c r="IG136" i="9" s="1"/>
  <c r="AC135" i="15"/>
  <c r="IM136" i="9" s="1"/>
  <c r="AB136" i="15"/>
  <c r="IG137" i="9" s="1"/>
  <c r="AC136" i="15"/>
  <c r="IM137" i="9" s="1"/>
  <c r="AB137" i="15"/>
  <c r="IG138" i="9" s="1"/>
  <c r="AC137" i="15"/>
  <c r="IM138" i="9" s="1"/>
  <c r="AB138" i="15"/>
  <c r="IG139" i="9" s="1"/>
  <c r="AC138" i="15"/>
  <c r="IM139" i="9" s="1"/>
  <c r="AB139" i="15"/>
  <c r="IG140" i="9" s="1"/>
  <c r="AC139" i="15"/>
  <c r="IM140" i="9" s="1"/>
  <c r="AB140" i="15"/>
  <c r="IG141" i="9" s="1"/>
  <c r="AC140" i="15"/>
  <c r="IM141" i="9" s="1"/>
  <c r="AB141" i="15"/>
  <c r="IG142" i="9" s="1"/>
  <c r="AC141" i="15"/>
  <c r="IM142" i="9" s="1"/>
  <c r="AB142" i="15"/>
  <c r="IG143" i="9" s="1"/>
  <c r="AC142" i="15"/>
  <c r="IM143" i="9" s="1"/>
  <c r="AB143" i="15"/>
  <c r="IG144" i="9" s="1"/>
  <c r="AC143" i="15"/>
  <c r="IM144" i="9" s="1"/>
  <c r="AB144" i="15"/>
  <c r="IG145" i="9" s="1"/>
  <c r="AC144" i="15"/>
  <c r="IM145" i="9" s="1"/>
  <c r="AB145" i="15"/>
  <c r="IG146" i="9" s="1"/>
  <c r="AC145" i="15"/>
  <c r="IM146" i="9" s="1"/>
  <c r="AB146" i="15"/>
  <c r="IG147" i="9" s="1"/>
  <c r="AC146" i="15"/>
  <c r="IM147" i="9" s="1"/>
  <c r="AB147" i="15"/>
  <c r="IG148" i="9" s="1"/>
  <c r="AC147" i="15"/>
  <c r="IM148" i="9" s="1"/>
  <c r="AB148" i="15"/>
  <c r="IG149" i="9" s="1"/>
  <c r="AC148" i="15"/>
  <c r="IM149" i="9" s="1"/>
  <c r="AB149" i="15"/>
  <c r="IG150" i="9" s="1"/>
  <c r="AC149" i="15"/>
  <c r="IM150" i="9" s="1"/>
  <c r="AB150" i="15"/>
  <c r="IG151" i="9" s="1"/>
  <c r="AC150" i="15"/>
  <c r="IM151" i="9" s="1"/>
  <c r="AB151" i="15"/>
  <c r="IG152" i="9" s="1"/>
  <c r="AC151" i="15"/>
  <c r="IM152" i="9" s="1"/>
  <c r="AB152" i="15"/>
  <c r="IG153" i="9" s="1"/>
  <c r="AC152" i="15"/>
  <c r="IM153" i="9" s="1"/>
  <c r="AB153" i="15"/>
  <c r="IG154" i="9" s="1"/>
  <c r="AC153" i="15"/>
  <c r="IM154" i="9" s="1"/>
  <c r="AB154" i="15"/>
  <c r="IG155" i="9" s="1"/>
  <c r="AC154" i="15"/>
  <c r="IM155" i="9" s="1"/>
  <c r="AB155" i="15"/>
  <c r="IG156" i="9" s="1"/>
  <c r="AC155" i="15"/>
  <c r="IM156" i="9" s="1"/>
  <c r="AB156" i="15"/>
  <c r="IG157" i="9" s="1"/>
  <c r="AC156" i="15"/>
  <c r="IM157" i="9" s="1"/>
  <c r="AB157" i="15"/>
  <c r="IG158" i="9" s="1"/>
  <c r="AC157" i="15"/>
  <c r="IM158" i="9" s="1"/>
  <c r="AB158" i="15"/>
  <c r="IG159" i="9" s="1"/>
  <c r="AC158" i="15"/>
  <c r="IM159" i="9" s="1"/>
  <c r="AB159" i="15"/>
  <c r="IG160" i="9" s="1"/>
  <c r="AC159" i="15"/>
  <c r="IM160" i="9" s="1"/>
  <c r="AB160" i="15"/>
  <c r="IG161" i="9" s="1"/>
  <c r="AC160" i="15"/>
  <c r="IM161" i="9" s="1"/>
  <c r="AB161" i="15"/>
  <c r="IG162" i="9" s="1"/>
  <c r="AC161" i="15"/>
  <c r="IM162" i="9" s="1"/>
  <c r="AB162" i="15"/>
  <c r="IG163" i="9" s="1"/>
  <c r="AC162" i="15"/>
  <c r="IM163" i="9" s="1"/>
  <c r="AB163" i="15"/>
  <c r="IG164" i="9" s="1"/>
  <c r="AC163" i="15"/>
  <c r="IM164" i="9" s="1"/>
  <c r="AB164" i="15"/>
  <c r="IG165" i="9" s="1"/>
  <c r="AC164" i="15"/>
  <c r="IM165" i="9" s="1"/>
  <c r="AB165" i="15"/>
  <c r="IG166" i="9" s="1"/>
  <c r="AC165" i="15"/>
  <c r="IM166" i="9" s="1"/>
  <c r="AB166" i="15"/>
  <c r="IG167" i="9" s="1"/>
  <c r="AC166" i="15"/>
  <c r="IM167" i="9" s="1"/>
  <c r="AB167" i="15"/>
  <c r="IG168" i="9" s="1"/>
  <c r="AC167" i="15"/>
  <c r="IM168" i="9" s="1"/>
  <c r="AB168" i="15"/>
  <c r="IG169" i="9" s="1"/>
  <c r="AC168" i="15"/>
  <c r="IM169" i="9" s="1"/>
  <c r="AB169" i="15"/>
  <c r="IG170" i="9" s="1"/>
  <c r="AC169" i="15"/>
  <c r="IM170" i="9" s="1"/>
  <c r="AB170" i="15"/>
  <c r="IG171" i="9" s="1"/>
  <c r="AC170" i="15"/>
  <c r="IM171" i="9" s="1"/>
  <c r="AB171" i="15"/>
  <c r="IG172" i="9" s="1"/>
  <c r="AC171" i="15"/>
  <c r="IM172" i="9" s="1"/>
  <c r="AB172" i="15"/>
  <c r="IG173" i="9" s="1"/>
  <c r="AC172" i="15"/>
  <c r="IM173" i="9" s="1"/>
  <c r="AB173" i="15"/>
  <c r="IG174" i="9" s="1"/>
  <c r="AC173" i="15"/>
  <c r="IM174" i="9" s="1"/>
  <c r="AB174" i="15"/>
  <c r="IG175" i="9" s="1"/>
  <c r="AC174" i="15"/>
  <c r="IM175" i="9" s="1"/>
  <c r="AB175" i="15"/>
  <c r="IG176" i="9" s="1"/>
  <c r="AC175" i="15"/>
  <c r="IM176" i="9" s="1"/>
  <c r="AB176" i="15"/>
  <c r="IG177" i="9" s="1"/>
  <c r="AC176" i="15"/>
  <c r="IM177" i="9" s="1"/>
  <c r="AB177" i="15"/>
  <c r="IG178" i="9" s="1"/>
  <c r="AC177" i="15"/>
  <c r="IM178" i="9" s="1"/>
  <c r="AB178" i="15"/>
  <c r="IG179" i="9" s="1"/>
  <c r="AC178" i="15"/>
  <c r="IM179" i="9" s="1"/>
  <c r="AB179" i="15"/>
  <c r="IG180" i="9" s="1"/>
  <c r="AC179" i="15"/>
  <c r="IM180" i="9" s="1"/>
  <c r="AB180" i="15"/>
  <c r="IG181" i="9" s="1"/>
  <c r="AC180" i="15"/>
  <c r="IM181" i="9" s="1"/>
  <c r="AB181" i="15"/>
  <c r="IG182" i="9" s="1"/>
  <c r="AC181" i="15"/>
  <c r="IM182" i="9" s="1"/>
  <c r="AB182" i="15"/>
  <c r="IG183" i="9" s="1"/>
  <c r="AC182" i="15"/>
  <c r="IM183" i="9" s="1"/>
  <c r="AB183" i="15"/>
  <c r="IG184" i="9" s="1"/>
  <c r="AC183" i="15"/>
  <c r="IM184" i="9" s="1"/>
  <c r="AB184" i="15"/>
  <c r="IG185" i="9" s="1"/>
  <c r="AC184" i="15"/>
  <c r="IM185" i="9" s="1"/>
  <c r="AB185" i="15"/>
  <c r="IG186" i="9" s="1"/>
  <c r="AC185" i="15"/>
  <c r="IM186" i="9" s="1"/>
  <c r="AB186" i="15"/>
  <c r="IG187" i="9" s="1"/>
  <c r="AC186" i="15"/>
  <c r="IM187" i="9" s="1"/>
  <c r="AB187" i="15"/>
  <c r="IG188" i="9" s="1"/>
  <c r="AC187" i="15"/>
  <c r="IM188" i="9" s="1"/>
  <c r="AB188" i="15"/>
  <c r="IG189" i="9" s="1"/>
  <c r="AC188" i="15"/>
  <c r="IM189" i="9" s="1"/>
  <c r="AB189" i="15"/>
  <c r="IG190" i="9" s="1"/>
  <c r="AC189" i="15"/>
  <c r="IM190" i="9" s="1"/>
  <c r="AB190" i="15"/>
  <c r="IG191" i="9" s="1"/>
  <c r="AC190" i="15"/>
  <c r="IM191" i="9" s="1"/>
  <c r="AB191" i="15"/>
  <c r="IG192" i="9" s="1"/>
  <c r="AC191" i="15"/>
  <c r="IM192" i="9" s="1"/>
  <c r="AB192" i="15"/>
  <c r="IG193" i="9" s="1"/>
  <c r="AC192" i="15"/>
  <c r="IM193" i="9" s="1"/>
  <c r="AB193" i="15"/>
  <c r="IG194" i="9" s="1"/>
  <c r="AC193" i="15"/>
  <c r="IM194" i="9" s="1"/>
  <c r="AB194" i="15"/>
  <c r="IG195" i="9" s="1"/>
  <c r="AC194" i="15"/>
  <c r="IM195" i="9" s="1"/>
  <c r="AB195" i="15"/>
  <c r="IG196" i="9" s="1"/>
  <c r="AC195" i="15"/>
  <c r="IM196" i="9" s="1"/>
  <c r="AB196" i="15"/>
  <c r="IG197" i="9" s="1"/>
  <c r="AC196" i="15"/>
  <c r="IM197" i="9" s="1"/>
  <c r="AB197" i="15"/>
  <c r="IG198" i="9" s="1"/>
  <c r="AC197" i="15"/>
  <c r="IM198" i="9" s="1"/>
  <c r="AB198" i="15"/>
  <c r="IG199" i="9" s="1"/>
  <c r="AC198" i="15"/>
  <c r="IM199" i="9" s="1"/>
  <c r="AB199" i="15"/>
  <c r="IG200" i="9" s="1"/>
  <c r="AC199" i="15"/>
  <c r="IM200" i="9" s="1"/>
  <c r="AB200" i="15"/>
  <c r="IG201" i="9" s="1"/>
  <c r="AC200" i="15"/>
  <c r="IM201" i="9" s="1"/>
  <c r="AB201" i="15"/>
  <c r="IG202" i="9" s="1"/>
  <c r="AC201" i="15"/>
  <c r="IM202" i="9" s="1"/>
  <c r="AB202" i="15"/>
  <c r="IG203" i="9" s="1"/>
  <c r="AC202" i="15"/>
  <c r="IM203" i="9" s="1"/>
  <c r="AB203" i="15"/>
  <c r="IG204" i="9" s="1"/>
  <c r="AC203" i="15"/>
  <c r="IM204" i="9" s="1"/>
  <c r="AB204" i="15"/>
  <c r="IG205" i="9" s="1"/>
  <c r="AC204" i="15"/>
  <c r="IM205" i="9" s="1"/>
  <c r="AB205" i="15"/>
  <c r="IG206" i="9" s="1"/>
  <c r="AC205" i="15"/>
  <c r="IM206" i="9" s="1"/>
  <c r="Y8" i="15"/>
  <c r="IF9" i="9" s="1"/>
  <c r="Z8" i="15"/>
  <c r="IL9" i="9" s="1"/>
  <c r="Y9" i="15"/>
  <c r="IF10" i="9" s="1"/>
  <c r="Z9" i="15"/>
  <c r="IL10" i="9" s="1"/>
  <c r="Y10" i="15"/>
  <c r="IF11" i="9" s="1"/>
  <c r="Z10" i="15"/>
  <c r="IL11" i="9" s="1"/>
  <c r="Y11" i="15"/>
  <c r="IF12" i="9" s="1"/>
  <c r="Z11" i="15"/>
  <c r="IL12" i="9" s="1"/>
  <c r="Y12" i="15"/>
  <c r="IF13" i="9" s="1"/>
  <c r="Z12" i="15"/>
  <c r="IL13" i="9" s="1"/>
  <c r="Y13" i="15"/>
  <c r="IF14" i="9" s="1"/>
  <c r="Z13" i="15"/>
  <c r="IL14" i="9" s="1"/>
  <c r="Y14" i="15"/>
  <c r="IF15" i="9" s="1"/>
  <c r="Z14" i="15"/>
  <c r="IL15" i="9" s="1"/>
  <c r="Y15" i="15"/>
  <c r="IF16" i="9" s="1"/>
  <c r="Z15" i="15"/>
  <c r="IL16" i="9" s="1"/>
  <c r="Y16" i="15"/>
  <c r="IF17" i="9" s="1"/>
  <c r="Z16" i="15"/>
  <c r="IL17" i="9" s="1"/>
  <c r="Y17" i="15"/>
  <c r="IF18" i="9" s="1"/>
  <c r="Z17" i="15"/>
  <c r="IL18" i="9" s="1"/>
  <c r="Y18" i="15"/>
  <c r="IF19" i="9" s="1"/>
  <c r="Z18" i="15"/>
  <c r="IL19" i="9" s="1"/>
  <c r="Y19" i="15"/>
  <c r="IF20" i="9" s="1"/>
  <c r="Z19" i="15"/>
  <c r="IL20" i="9" s="1"/>
  <c r="Y20" i="15"/>
  <c r="IF21" i="9" s="1"/>
  <c r="Z20" i="15"/>
  <c r="IL21" i="9" s="1"/>
  <c r="Y21" i="15"/>
  <c r="IF22" i="9" s="1"/>
  <c r="Z21" i="15"/>
  <c r="IL22" i="9" s="1"/>
  <c r="Y22" i="15"/>
  <c r="IF23" i="9" s="1"/>
  <c r="Z22" i="15"/>
  <c r="IL23" i="9" s="1"/>
  <c r="Y23" i="15"/>
  <c r="IF24" i="9" s="1"/>
  <c r="Z23" i="15"/>
  <c r="IL24" i="9" s="1"/>
  <c r="Y24" i="15"/>
  <c r="IF25" i="9" s="1"/>
  <c r="Z24" i="15"/>
  <c r="IL25" i="9" s="1"/>
  <c r="Y25" i="15"/>
  <c r="IF26" i="9" s="1"/>
  <c r="Z25" i="15"/>
  <c r="IL26" i="9" s="1"/>
  <c r="Y26" i="15"/>
  <c r="IF27" i="9" s="1"/>
  <c r="Z26" i="15"/>
  <c r="IL27" i="9" s="1"/>
  <c r="Y27" i="15"/>
  <c r="IF28" i="9" s="1"/>
  <c r="Z27" i="15"/>
  <c r="IL28" i="9" s="1"/>
  <c r="Y28" i="15"/>
  <c r="IF29" i="9" s="1"/>
  <c r="Z28" i="15"/>
  <c r="IL29" i="9" s="1"/>
  <c r="Y29" i="15"/>
  <c r="IF30" i="9" s="1"/>
  <c r="Z29" i="15"/>
  <c r="IL30" i="9" s="1"/>
  <c r="Y30" i="15"/>
  <c r="IF31" i="9" s="1"/>
  <c r="Z30" i="15"/>
  <c r="IL31" i="9" s="1"/>
  <c r="Y31" i="15"/>
  <c r="IF32" i="9" s="1"/>
  <c r="Z31" i="15"/>
  <c r="IL32" i="9" s="1"/>
  <c r="Y32" i="15"/>
  <c r="IF33" i="9" s="1"/>
  <c r="Z32" i="15"/>
  <c r="IL33" i="9" s="1"/>
  <c r="Y33" i="15"/>
  <c r="IF34" i="9" s="1"/>
  <c r="Z33" i="15"/>
  <c r="IL34" i="9" s="1"/>
  <c r="Y34" i="15"/>
  <c r="IF35" i="9" s="1"/>
  <c r="Z34" i="15"/>
  <c r="IL35" i="9" s="1"/>
  <c r="Y35" i="15"/>
  <c r="IF36" i="9" s="1"/>
  <c r="Z35" i="15"/>
  <c r="IL36" i="9" s="1"/>
  <c r="Y36" i="15"/>
  <c r="IF37" i="9" s="1"/>
  <c r="Z36" i="15"/>
  <c r="IL37" i="9" s="1"/>
  <c r="Y37" i="15"/>
  <c r="IF38" i="9" s="1"/>
  <c r="Z37" i="15"/>
  <c r="IL38" i="9" s="1"/>
  <c r="Y38" i="15"/>
  <c r="IF39" i="9" s="1"/>
  <c r="Z38" i="15"/>
  <c r="IL39" i="9" s="1"/>
  <c r="Y39" i="15"/>
  <c r="IF40" i="9" s="1"/>
  <c r="Z39" i="15"/>
  <c r="IL40" i="9" s="1"/>
  <c r="Y40" i="15"/>
  <c r="IF41" i="9" s="1"/>
  <c r="Z40" i="15"/>
  <c r="IL41" i="9" s="1"/>
  <c r="Y41" i="15"/>
  <c r="IF42" i="9" s="1"/>
  <c r="Z41" i="15"/>
  <c r="IL42" i="9" s="1"/>
  <c r="Y42" i="15"/>
  <c r="IF43" i="9" s="1"/>
  <c r="Z42" i="15"/>
  <c r="IL43" i="9" s="1"/>
  <c r="Y43" i="15"/>
  <c r="IF44" i="9" s="1"/>
  <c r="Z43" i="15"/>
  <c r="IL44" i="9" s="1"/>
  <c r="Y44" i="15"/>
  <c r="IF45" i="9" s="1"/>
  <c r="Z44" i="15"/>
  <c r="IL45" i="9" s="1"/>
  <c r="Y45" i="15"/>
  <c r="IF46" i="9" s="1"/>
  <c r="Z45" i="15"/>
  <c r="IL46" i="9" s="1"/>
  <c r="Y46" i="15"/>
  <c r="IF47" i="9" s="1"/>
  <c r="Z46" i="15"/>
  <c r="IL47" i="9" s="1"/>
  <c r="Y47" i="15"/>
  <c r="IF48" i="9" s="1"/>
  <c r="Z47" i="15"/>
  <c r="IL48" i="9" s="1"/>
  <c r="Y48" i="15"/>
  <c r="IF49" i="9" s="1"/>
  <c r="Z48" i="15"/>
  <c r="IL49" i="9" s="1"/>
  <c r="Y49" i="15"/>
  <c r="IF50" i="9" s="1"/>
  <c r="Z49" i="15"/>
  <c r="IL50" i="9" s="1"/>
  <c r="Y50" i="15"/>
  <c r="IF51" i="9" s="1"/>
  <c r="Z50" i="15"/>
  <c r="IL51" i="9" s="1"/>
  <c r="Y51" i="15"/>
  <c r="IF52" i="9" s="1"/>
  <c r="Z51" i="15"/>
  <c r="IL52" i="9" s="1"/>
  <c r="Y52" i="15"/>
  <c r="IF53" i="9" s="1"/>
  <c r="Z52" i="15"/>
  <c r="IL53" i="9" s="1"/>
  <c r="Y53" i="15"/>
  <c r="IF54" i="9" s="1"/>
  <c r="Z53" i="15"/>
  <c r="IL54" i="9" s="1"/>
  <c r="Y54" i="15"/>
  <c r="IF55" i="9" s="1"/>
  <c r="Z54" i="15"/>
  <c r="IL55" i="9" s="1"/>
  <c r="Y55" i="15"/>
  <c r="IF56" i="9" s="1"/>
  <c r="Z55" i="15"/>
  <c r="IL56" i="9" s="1"/>
  <c r="Y56" i="15"/>
  <c r="IF57" i="9" s="1"/>
  <c r="Z56" i="15"/>
  <c r="IL57" i="9" s="1"/>
  <c r="Y57" i="15"/>
  <c r="IF58" i="9" s="1"/>
  <c r="Z57" i="15"/>
  <c r="IL58" i="9" s="1"/>
  <c r="Y58" i="15"/>
  <c r="IF59" i="9" s="1"/>
  <c r="Z58" i="15"/>
  <c r="IL59" i="9" s="1"/>
  <c r="Y59" i="15"/>
  <c r="IF60" i="9" s="1"/>
  <c r="Z59" i="15"/>
  <c r="IL60" i="9" s="1"/>
  <c r="Y60" i="15"/>
  <c r="IF61" i="9" s="1"/>
  <c r="Z60" i="15"/>
  <c r="IL61" i="9" s="1"/>
  <c r="Y61" i="15"/>
  <c r="IF62" i="9" s="1"/>
  <c r="Z61" i="15"/>
  <c r="IL62" i="9" s="1"/>
  <c r="Y62" i="15"/>
  <c r="IF63" i="9" s="1"/>
  <c r="Z62" i="15"/>
  <c r="IL63" i="9" s="1"/>
  <c r="Y63" i="15"/>
  <c r="IF64" i="9" s="1"/>
  <c r="Z63" i="15"/>
  <c r="IL64" i="9" s="1"/>
  <c r="Y64" i="15"/>
  <c r="IF65" i="9" s="1"/>
  <c r="Z64" i="15"/>
  <c r="IL65" i="9" s="1"/>
  <c r="Y65" i="15"/>
  <c r="IF66" i="9" s="1"/>
  <c r="Z65" i="15"/>
  <c r="IL66" i="9" s="1"/>
  <c r="Y66" i="15"/>
  <c r="IF67" i="9" s="1"/>
  <c r="Z66" i="15"/>
  <c r="IL67" i="9" s="1"/>
  <c r="Y67" i="15"/>
  <c r="IF68" i="9" s="1"/>
  <c r="Z67" i="15"/>
  <c r="IL68" i="9" s="1"/>
  <c r="Y68" i="15"/>
  <c r="IF69" i="9" s="1"/>
  <c r="Z68" i="15"/>
  <c r="IL69" i="9" s="1"/>
  <c r="Y69" i="15"/>
  <c r="IF70" i="9" s="1"/>
  <c r="Z69" i="15"/>
  <c r="IL70" i="9" s="1"/>
  <c r="Y70" i="15"/>
  <c r="IF71" i="9" s="1"/>
  <c r="Z70" i="15"/>
  <c r="IL71" i="9" s="1"/>
  <c r="Y71" i="15"/>
  <c r="IF72" i="9" s="1"/>
  <c r="Z71" i="15"/>
  <c r="IL72" i="9" s="1"/>
  <c r="Y72" i="15"/>
  <c r="IF73" i="9" s="1"/>
  <c r="Z72" i="15"/>
  <c r="IL73" i="9" s="1"/>
  <c r="Y73" i="15"/>
  <c r="IF74" i="9" s="1"/>
  <c r="Z73" i="15"/>
  <c r="IL74" i="9" s="1"/>
  <c r="Y74" i="15"/>
  <c r="IF75" i="9" s="1"/>
  <c r="Z74" i="15"/>
  <c r="IL75" i="9" s="1"/>
  <c r="Y75" i="15"/>
  <c r="IF76" i="9" s="1"/>
  <c r="Z75" i="15"/>
  <c r="IL76" i="9" s="1"/>
  <c r="Y76" i="15"/>
  <c r="IF77" i="9" s="1"/>
  <c r="Z76" i="15"/>
  <c r="IL77" i="9" s="1"/>
  <c r="Y77" i="15"/>
  <c r="IF78" i="9" s="1"/>
  <c r="Z77" i="15"/>
  <c r="IL78" i="9" s="1"/>
  <c r="Y78" i="15"/>
  <c r="IF79" i="9" s="1"/>
  <c r="Z78" i="15"/>
  <c r="IL79" i="9" s="1"/>
  <c r="Y79" i="15"/>
  <c r="IF80" i="9" s="1"/>
  <c r="Z79" i="15"/>
  <c r="IL80" i="9" s="1"/>
  <c r="Y80" i="15"/>
  <c r="IF81" i="9" s="1"/>
  <c r="Z80" i="15"/>
  <c r="IL81" i="9" s="1"/>
  <c r="Y81" i="15"/>
  <c r="IF82" i="9" s="1"/>
  <c r="Z81" i="15"/>
  <c r="IL82" i="9" s="1"/>
  <c r="Y82" i="15"/>
  <c r="IF83" i="9" s="1"/>
  <c r="Z82" i="15"/>
  <c r="IL83" i="9" s="1"/>
  <c r="Y83" i="15"/>
  <c r="IF84" i="9" s="1"/>
  <c r="Z83" i="15"/>
  <c r="IL84" i="9" s="1"/>
  <c r="Y84" i="15"/>
  <c r="IF85" i="9" s="1"/>
  <c r="Z84" i="15"/>
  <c r="IL85" i="9" s="1"/>
  <c r="Y85" i="15"/>
  <c r="IF86" i="9" s="1"/>
  <c r="Z85" i="15"/>
  <c r="IL86" i="9" s="1"/>
  <c r="Y86" i="15"/>
  <c r="IF87" i="9" s="1"/>
  <c r="Z86" i="15"/>
  <c r="IL87" i="9" s="1"/>
  <c r="Y87" i="15"/>
  <c r="IF88" i="9" s="1"/>
  <c r="Z87" i="15"/>
  <c r="IL88" i="9" s="1"/>
  <c r="Y88" i="15"/>
  <c r="IF89" i="9" s="1"/>
  <c r="Z88" i="15"/>
  <c r="IL89" i="9" s="1"/>
  <c r="Y89" i="15"/>
  <c r="IF90" i="9" s="1"/>
  <c r="Z89" i="15"/>
  <c r="IL90" i="9" s="1"/>
  <c r="Y90" i="15"/>
  <c r="IF91" i="9" s="1"/>
  <c r="Z90" i="15"/>
  <c r="IL91" i="9" s="1"/>
  <c r="Y91" i="15"/>
  <c r="IF92" i="9" s="1"/>
  <c r="Z91" i="15"/>
  <c r="IL92" i="9" s="1"/>
  <c r="Y92" i="15"/>
  <c r="IF93" i="9" s="1"/>
  <c r="Z92" i="15"/>
  <c r="IL93" i="9" s="1"/>
  <c r="Y93" i="15"/>
  <c r="IF94" i="9" s="1"/>
  <c r="Z93" i="15"/>
  <c r="IL94" i="9" s="1"/>
  <c r="Y94" i="15"/>
  <c r="IF95" i="9" s="1"/>
  <c r="Z94" i="15"/>
  <c r="IL95" i="9" s="1"/>
  <c r="Y95" i="15"/>
  <c r="IF96" i="9" s="1"/>
  <c r="Z95" i="15"/>
  <c r="IL96" i="9" s="1"/>
  <c r="Y96" i="15"/>
  <c r="IF97" i="9" s="1"/>
  <c r="Z96" i="15"/>
  <c r="IL97" i="9" s="1"/>
  <c r="Y97" i="15"/>
  <c r="IF98" i="9" s="1"/>
  <c r="Z97" i="15"/>
  <c r="IL98" i="9" s="1"/>
  <c r="Y98" i="15"/>
  <c r="IF99" i="9" s="1"/>
  <c r="Z98" i="15"/>
  <c r="IL99" i="9" s="1"/>
  <c r="Y99" i="15"/>
  <c r="IF100" i="9" s="1"/>
  <c r="Z99" i="15"/>
  <c r="IL100" i="9" s="1"/>
  <c r="Y100" i="15"/>
  <c r="IF101" i="9" s="1"/>
  <c r="Z100" i="15"/>
  <c r="IL101" i="9" s="1"/>
  <c r="Y101" i="15"/>
  <c r="IF102" i="9" s="1"/>
  <c r="Z101" i="15"/>
  <c r="IL102" i="9" s="1"/>
  <c r="Y102" i="15"/>
  <c r="IF103" i="9" s="1"/>
  <c r="Z102" i="15"/>
  <c r="IL103" i="9" s="1"/>
  <c r="Y103" i="15"/>
  <c r="IF104" i="9" s="1"/>
  <c r="Z103" i="15"/>
  <c r="IL104" i="9" s="1"/>
  <c r="Y104" i="15"/>
  <c r="IF105" i="9" s="1"/>
  <c r="Z104" i="15"/>
  <c r="IL105" i="9" s="1"/>
  <c r="Y105" i="15"/>
  <c r="IF106" i="9" s="1"/>
  <c r="Z105" i="15"/>
  <c r="IL106" i="9" s="1"/>
  <c r="Y106" i="15"/>
  <c r="IF107" i="9" s="1"/>
  <c r="Z106" i="15"/>
  <c r="IL107" i="9" s="1"/>
  <c r="Y107" i="15"/>
  <c r="IF108" i="9" s="1"/>
  <c r="Z107" i="15"/>
  <c r="IL108" i="9" s="1"/>
  <c r="Y108" i="15"/>
  <c r="IF109" i="9" s="1"/>
  <c r="Z108" i="15"/>
  <c r="IL109" i="9" s="1"/>
  <c r="Y109" i="15"/>
  <c r="IF110" i="9" s="1"/>
  <c r="Z109" i="15"/>
  <c r="IL110" i="9" s="1"/>
  <c r="Y110" i="15"/>
  <c r="IF111" i="9" s="1"/>
  <c r="Z110" i="15"/>
  <c r="IL111" i="9" s="1"/>
  <c r="Y111" i="15"/>
  <c r="IF112" i="9" s="1"/>
  <c r="Z111" i="15"/>
  <c r="IL112" i="9" s="1"/>
  <c r="Y112" i="15"/>
  <c r="IF113" i="9" s="1"/>
  <c r="Z112" i="15"/>
  <c r="IL113" i="9" s="1"/>
  <c r="Y113" i="15"/>
  <c r="IF114" i="9" s="1"/>
  <c r="Z113" i="15"/>
  <c r="IL114" i="9" s="1"/>
  <c r="Y114" i="15"/>
  <c r="IF115" i="9" s="1"/>
  <c r="Z114" i="15"/>
  <c r="IL115" i="9" s="1"/>
  <c r="Y115" i="15"/>
  <c r="IF116" i="9" s="1"/>
  <c r="Z115" i="15"/>
  <c r="IL116" i="9" s="1"/>
  <c r="Y116" i="15"/>
  <c r="IF117" i="9" s="1"/>
  <c r="Z116" i="15"/>
  <c r="IL117" i="9" s="1"/>
  <c r="Y117" i="15"/>
  <c r="IF118" i="9" s="1"/>
  <c r="Z117" i="15"/>
  <c r="IL118" i="9" s="1"/>
  <c r="Y118" i="15"/>
  <c r="IF119" i="9" s="1"/>
  <c r="Z118" i="15"/>
  <c r="IL119" i="9" s="1"/>
  <c r="Y119" i="15"/>
  <c r="IF120" i="9" s="1"/>
  <c r="Z119" i="15"/>
  <c r="IL120" i="9" s="1"/>
  <c r="Y120" i="15"/>
  <c r="IF121" i="9" s="1"/>
  <c r="Z120" i="15"/>
  <c r="IL121" i="9" s="1"/>
  <c r="Y121" i="15"/>
  <c r="IF122" i="9" s="1"/>
  <c r="Z121" i="15"/>
  <c r="IL122" i="9" s="1"/>
  <c r="Y122" i="15"/>
  <c r="IF123" i="9" s="1"/>
  <c r="Z122" i="15"/>
  <c r="IL123" i="9" s="1"/>
  <c r="Y123" i="15"/>
  <c r="IF124" i="9" s="1"/>
  <c r="Z123" i="15"/>
  <c r="IL124" i="9" s="1"/>
  <c r="Y124" i="15"/>
  <c r="IF125" i="9" s="1"/>
  <c r="Z124" i="15"/>
  <c r="IL125" i="9" s="1"/>
  <c r="Y125" i="15"/>
  <c r="IF126" i="9" s="1"/>
  <c r="Z125" i="15"/>
  <c r="IL126" i="9" s="1"/>
  <c r="Y126" i="15"/>
  <c r="IF127" i="9" s="1"/>
  <c r="Z126" i="15"/>
  <c r="IL127" i="9" s="1"/>
  <c r="Y127" i="15"/>
  <c r="IF128" i="9" s="1"/>
  <c r="Z127" i="15"/>
  <c r="IL128" i="9" s="1"/>
  <c r="Y128" i="15"/>
  <c r="IF129" i="9" s="1"/>
  <c r="Z128" i="15"/>
  <c r="IL129" i="9" s="1"/>
  <c r="Y129" i="15"/>
  <c r="IF130" i="9" s="1"/>
  <c r="Z129" i="15"/>
  <c r="IL130" i="9" s="1"/>
  <c r="Y130" i="15"/>
  <c r="IF131" i="9" s="1"/>
  <c r="Z130" i="15"/>
  <c r="IL131" i="9" s="1"/>
  <c r="Y131" i="15"/>
  <c r="IF132" i="9" s="1"/>
  <c r="Z131" i="15"/>
  <c r="IL132" i="9" s="1"/>
  <c r="Y132" i="15"/>
  <c r="IF133" i="9" s="1"/>
  <c r="Z132" i="15"/>
  <c r="IL133" i="9" s="1"/>
  <c r="Y133" i="15"/>
  <c r="IF134" i="9" s="1"/>
  <c r="Z133" i="15"/>
  <c r="IL134" i="9" s="1"/>
  <c r="Y134" i="15"/>
  <c r="IF135" i="9" s="1"/>
  <c r="Z134" i="15"/>
  <c r="IL135" i="9" s="1"/>
  <c r="Y135" i="15"/>
  <c r="IF136" i="9" s="1"/>
  <c r="Z135" i="15"/>
  <c r="IL136" i="9" s="1"/>
  <c r="Y136" i="15"/>
  <c r="IF137" i="9" s="1"/>
  <c r="Z136" i="15"/>
  <c r="IL137" i="9" s="1"/>
  <c r="Y137" i="15"/>
  <c r="IF138" i="9" s="1"/>
  <c r="Z137" i="15"/>
  <c r="IL138" i="9" s="1"/>
  <c r="Y138" i="15"/>
  <c r="IF139" i="9" s="1"/>
  <c r="Z138" i="15"/>
  <c r="IL139" i="9" s="1"/>
  <c r="Y139" i="15"/>
  <c r="IF140" i="9" s="1"/>
  <c r="Z139" i="15"/>
  <c r="IL140" i="9" s="1"/>
  <c r="Y140" i="15"/>
  <c r="IF141" i="9" s="1"/>
  <c r="Z140" i="15"/>
  <c r="IL141" i="9" s="1"/>
  <c r="Y141" i="15"/>
  <c r="IF142" i="9" s="1"/>
  <c r="Z141" i="15"/>
  <c r="IL142" i="9" s="1"/>
  <c r="Y142" i="15"/>
  <c r="IF143" i="9" s="1"/>
  <c r="Z142" i="15"/>
  <c r="IL143" i="9" s="1"/>
  <c r="Y143" i="15"/>
  <c r="IF144" i="9" s="1"/>
  <c r="Z143" i="15"/>
  <c r="IL144" i="9" s="1"/>
  <c r="Y144" i="15"/>
  <c r="IF145" i="9" s="1"/>
  <c r="Z144" i="15"/>
  <c r="IL145" i="9" s="1"/>
  <c r="Y145" i="15"/>
  <c r="IF146" i="9" s="1"/>
  <c r="Z145" i="15"/>
  <c r="IL146" i="9" s="1"/>
  <c r="Y146" i="15"/>
  <c r="IF147" i="9" s="1"/>
  <c r="Z146" i="15"/>
  <c r="IL147" i="9" s="1"/>
  <c r="Y147" i="15"/>
  <c r="IF148" i="9" s="1"/>
  <c r="Z147" i="15"/>
  <c r="IL148" i="9" s="1"/>
  <c r="Y148" i="15"/>
  <c r="IF149" i="9" s="1"/>
  <c r="Z148" i="15"/>
  <c r="IL149" i="9" s="1"/>
  <c r="Y149" i="15"/>
  <c r="IF150" i="9" s="1"/>
  <c r="Z149" i="15"/>
  <c r="IL150" i="9" s="1"/>
  <c r="Y150" i="15"/>
  <c r="IF151" i="9" s="1"/>
  <c r="Z150" i="15"/>
  <c r="IL151" i="9" s="1"/>
  <c r="Y151" i="15"/>
  <c r="IF152" i="9" s="1"/>
  <c r="Z151" i="15"/>
  <c r="IL152" i="9" s="1"/>
  <c r="Y152" i="15"/>
  <c r="IF153" i="9" s="1"/>
  <c r="Z152" i="15"/>
  <c r="IL153" i="9" s="1"/>
  <c r="Y153" i="15"/>
  <c r="IF154" i="9" s="1"/>
  <c r="Z153" i="15"/>
  <c r="IL154" i="9" s="1"/>
  <c r="Y154" i="15"/>
  <c r="IF155" i="9" s="1"/>
  <c r="Z154" i="15"/>
  <c r="IL155" i="9" s="1"/>
  <c r="Y155" i="15"/>
  <c r="IF156" i="9" s="1"/>
  <c r="Z155" i="15"/>
  <c r="IL156" i="9" s="1"/>
  <c r="Y156" i="15"/>
  <c r="IF157" i="9" s="1"/>
  <c r="Z156" i="15"/>
  <c r="IL157" i="9" s="1"/>
  <c r="Y157" i="15"/>
  <c r="IF158" i="9" s="1"/>
  <c r="Z157" i="15"/>
  <c r="IL158" i="9" s="1"/>
  <c r="Y158" i="15"/>
  <c r="IF159" i="9" s="1"/>
  <c r="Z158" i="15"/>
  <c r="IL159" i="9" s="1"/>
  <c r="Y159" i="15"/>
  <c r="IF160" i="9" s="1"/>
  <c r="Z159" i="15"/>
  <c r="IL160" i="9" s="1"/>
  <c r="Y160" i="15"/>
  <c r="IF161" i="9" s="1"/>
  <c r="Z160" i="15"/>
  <c r="IL161" i="9" s="1"/>
  <c r="Y161" i="15"/>
  <c r="IF162" i="9" s="1"/>
  <c r="Z161" i="15"/>
  <c r="IL162" i="9" s="1"/>
  <c r="Y162" i="15"/>
  <c r="IF163" i="9" s="1"/>
  <c r="Z162" i="15"/>
  <c r="IL163" i="9" s="1"/>
  <c r="Y163" i="15"/>
  <c r="IF164" i="9" s="1"/>
  <c r="Z163" i="15"/>
  <c r="IL164" i="9" s="1"/>
  <c r="Y164" i="15"/>
  <c r="IF165" i="9" s="1"/>
  <c r="Z164" i="15"/>
  <c r="IL165" i="9" s="1"/>
  <c r="Y165" i="15"/>
  <c r="IF166" i="9" s="1"/>
  <c r="Z165" i="15"/>
  <c r="IL166" i="9" s="1"/>
  <c r="Y166" i="15"/>
  <c r="IF167" i="9" s="1"/>
  <c r="Z166" i="15"/>
  <c r="IL167" i="9" s="1"/>
  <c r="Y167" i="15"/>
  <c r="IF168" i="9" s="1"/>
  <c r="Z167" i="15"/>
  <c r="IL168" i="9" s="1"/>
  <c r="Y168" i="15"/>
  <c r="IF169" i="9" s="1"/>
  <c r="Z168" i="15"/>
  <c r="IL169" i="9" s="1"/>
  <c r="Y169" i="15"/>
  <c r="IF170" i="9" s="1"/>
  <c r="Z169" i="15"/>
  <c r="IL170" i="9" s="1"/>
  <c r="Y170" i="15"/>
  <c r="IF171" i="9" s="1"/>
  <c r="Z170" i="15"/>
  <c r="IL171" i="9" s="1"/>
  <c r="Y171" i="15"/>
  <c r="IF172" i="9" s="1"/>
  <c r="Z171" i="15"/>
  <c r="IL172" i="9" s="1"/>
  <c r="Y172" i="15"/>
  <c r="IF173" i="9" s="1"/>
  <c r="Z172" i="15"/>
  <c r="IL173" i="9" s="1"/>
  <c r="Y173" i="15"/>
  <c r="IF174" i="9" s="1"/>
  <c r="Z173" i="15"/>
  <c r="IL174" i="9" s="1"/>
  <c r="Y174" i="15"/>
  <c r="IF175" i="9" s="1"/>
  <c r="Z174" i="15"/>
  <c r="IL175" i="9" s="1"/>
  <c r="Y175" i="15"/>
  <c r="IF176" i="9" s="1"/>
  <c r="Z175" i="15"/>
  <c r="IL176" i="9" s="1"/>
  <c r="Y176" i="15"/>
  <c r="IF177" i="9" s="1"/>
  <c r="Z176" i="15"/>
  <c r="IL177" i="9" s="1"/>
  <c r="Y177" i="15"/>
  <c r="IF178" i="9" s="1"/>
  <c r="Z177" i="15"/>
  <c r="IL178" i="9" s="1"/>
  <c r="Y178" i="15"/>
  <c r="IF179" i="9" s="1"/>
  <c r="Z178" i="15"/>
  <c r="IL179" i="9" s="1"/>
  <c r="Y179" i="15"/>
  <c r="IF180" i="9" s="1"/>
  <c r="Z179" i="15"/>
  <c r="IL180" i="9" s="1"/>
  <c r="Y180" i="15"/>
  <c r="IF181" i="9" s="1"/>
  <c r="Z180" i="15"/>
  <c r="IL181" i="9" s="1"/>
  <c r="Y181" i="15"/>
  <c r="IF182" i="9" s="1"/>
  <c r="Z181" i="15"/>
  <c r="IL182" i="9" s="1"/>
  <c r="Y182" i="15"/>
  <c r="IF183" i="9" s="1"/>
  <c r="Z182" i="15"/>
  <c r="IL183" i="9" s="1"/>
  <c r="Y183" i="15"/>
  <c r="IF184" i="9" s="1"/>
  <c r="Z183" i="15"/>
  <c r="IL184" i="9" s="1"/>
  <c r="Y184" i="15"/>
  <c r="IF185" i="9" s="1"/>
  <c r="Z184" i="15"/>
  <c r="IL185" i="9" s="1"/>
  <c r="Y185" i="15"/>
  <c r="IF186" i="9" s="1"/>
  <c r="Z185" i="15"/>
  <c r="IL186" i="9" s="1"/>
  <c r="Y186" i="15"/>
  <c r="IF187" i="9" s="1"/>
  <c r="Z186" i="15"/>
  <c r="IL187" i="9" s="1"/>
  <c r="Y187" i="15"/>
  <c r="IF188" i="9" s="1"/>
  <c r="Z187" i="15"/>
  <c r="IL188" i="9" s="1"/>
  <c r="Y188" i="15"/>
  <c r="IF189" i="9" s="1"/>
  <c r="Z188" i="15"/>
  <c r="IL189" i="9" s="1"/>
  <c r="Y189" i="15"/>
  <c r="IF190" i="9" s="1"/>
  <c r="Z189" i="15"/>
  <c r="IL190" i="9" s="1"/>
  <c r="Y190" i="15"/>
  <c r="IF191" i="9" s="1"/>
  <c r="Z190" i="15"/>
  <c r="IL191" i="9" s="1"/>
  <c r="Y191" i="15"/>
  <c r="IF192" i="9" s="1"/>
  <c r="Z191" i="15"/>
  <c r="IL192" i="9" s="1"/>
  <c r="Y192" i="15"/>
  <c r="IF193" i="9" s="1"/>
  <c r="Z192" i="15"/>
  <c r="IL193" i="9" s="1"/>
  <c r="Y193" i="15"/>
  <c r="IF194" i="9" s="1"/>
  <c r="Z193" i="15"/>
  <c r="IL194" i="9" s="1"/>
  <c r="Y194" i="15"/>
  <c r="IF195" i="9" s="1"/>
  <c r="Z194" i="15"/>
  <c r="IL195" i="9" s="1"/>
  <c r="Y195" i="15"/>
  <c r="IF196" i="9" s="1"/>
  <c r="Z195" i="15"/>
  <c r="IL196" i="9" s="1"/>
  <c r="Y196" i="15"/>
  <c r="IF197" i="9" s="1"/>
  <c r="Z196" i="15"/>
  <c r="IL197" i="9" s="1"/>
  <c r="Y197" i="15"/>
  <c r="IF198" i="9" s="1"/>
  <c r="Z197" i="15"/>
  <c r="IL198" i="9" s="1"/>
  <c r="Y198" i="15"/>
  <c r="IF199" i="9" s="1"/>
  <c r="Z198" i="15"/>
  <c r="IL199" i="9" s="1"/>
  <c r="Y199" i="15"/>
  <c r="IF200" i="9" s="1"/>
  <c r="Z199" i="15"/>
  <c r="IL200" i="9" s="1"/>
  <c r="Y200" i="15"/>
  <c r="IF201" i="9" s="1"/>
  <c r="Z200" i="15"/>
  <c r="IL201" i="9" s="1"/>
  <c r="Y201" i="15"/>
  <c r="IF202" i="9" s="1"/>
  <c r="Z201" i="15"/>
  <c r="IL202" i="9" s="1"/>
  <c r="Y202" i="15"/>
  <c r="IF203" i="9" s="1"/>
  <c r="Z202" i="15"/>
  <c r="IL203" i="9" s="1"/>
  <c r="Y203" i="15"/>
  <c r="IF204" i="9" s="1"/>
  <c r="Z203" i="15"/>
  <c r="IL204" i="9" s="1"/>
  <c r="Y204" i="15"/>
  <c r="IF205" i="9" s="1"/>
  <c r="Z204" i="15"/>
  <c r="IL205" i="9" s="1"/>
  <c r="Y205" i="15"/>
  <c r="IF206" i="9" s="1"/>
  <c r="Z205" i="15"/>
  <c r="IL206" i="9" s="1"/>
  <c r="Y206" i="15"/>
  <c r="IF207" i="9" s="1"/>
  <c r="Z206" i="15"/>
  <c r="IL207" i="9" s="1"/>
  <c r="V8" i="15"/>
  <c r="W8"/>
  <c r="IK9" i="9" s="1"/>
  <c r="V9" i="15"/>
  <c r="W9"/>
  <c r="IK10" i="9" s="1"/>
  <c r="V10" i="15"/>
  <c r="W10"/>
  <c r="IK11" i="9" s="1"/>
  <c r="V11" i="15"/>
  <c r="W11"/>
  <c r="IK12" i="9" s="1"/>
  <c r="V12" i="15"/>
  <c r="W12"/>
  <c r="IK13" i="9" s="1"/>
  <c r="V13" i="15"/>
  <c r="W13"/>
  <c r="IK14" i="9" s="1"/>
  <c r="V14" i="15"/>
  <c r="W14"/>
  <c r="IK15" i="9" s="1"/>
  <c r="V15" i="15"/>
  <c r="W15"/>
  <c r="IK16" i="9" s="1"/>
  <c r="V16" i="15"/>
  <c r="W16"/>
  <c r="IK17" i="9" s="1"/>
  <c r="V17" i="15"/>
  <c r="W17"/>
  <c r="IK18" i="9" s="1"/>
  <c r="V18" i="15"/>
  <c r="W18"/>
  <c r="IK19" i="9" s="1"/>
  <c r="V19" i="15"/>
  <c r="W19"/>
  <c r="IK20" i="9" s="1"/>
  <c r="V20" i="15"/>
  <c r="W20"/>
  <c r="IK21" i="9" s="1"/>
  <c r="V21" i="15"/>
  <c r="W21"/>
  <c r="IK22" i="9" s="1"/>
  <c r="V22" i="15"/>
  <c r="W22"/>
  <c r="IK23" i="9" s="1"/>
  <c r="V23" i="15"/>
  <c r="W23"/>
  <c r="IK24" i="9" s="1"/>
  <c r="V24" i="15"/>
  <c r="W24"/>
  <c r="IK25" i="9" s="1"/>
  <c r="V25" i="15"/>
  <c r="W25"/>
  <c r="IK26" i="9" s="1"/>
  <c r="V26" i="15"/>
  <c r="W26"/>
  <c r="IK27" i="9" s="1"/>
  <c r="V27" i="15"/>
  <c r="W27"/>
  <c r="IK28" i="9" s="1"/>
  <c r="V28" i="15"/>
  <c r="W28"/>
  <c r="IK29" i="9" s="1"/>
  <c r="V29" i="15"/>
  <c r="W29"/>
  <c r="IK30" i="9" s="1"/>
  <c r="V30" i="15"/>
  <c r="W30"/>
  <c r="IK31" i="9" s="1"/>
  <c r="V31" i="15"/>
  <c r="W31"/>
  <c r="IK32" i="9" s="1"/>
  <c r="V32" i="15"/>
  <c r="W32"/>
  <c r="IK33" i="9" s="1"/>
  <c r="V33" i="15"/>
  <c r="W33"/>
  <c r="IK34" i="9" s="1"/>
  <c r="V34" i="15"/>
  <c r="W34"/>
  <c r="IK35" i="9" s="1"/>
  <c r="V35" i="15"/>
  <c r="W35"/>
  <c r="IK36" i="9" s="1"/>
  <c r="V36" i="15"/>
  <c r="W36"/>
  <c r="IK37" i="9" s="1"/>
  <c r="V37" i="15"/>
  <c r="W37"/>
  <c r="IK38" i="9" s="1"/>
  <c r="V38" i="15"/>
  <c r="W38"/>
  <c r="IK39" i="9" s="1"/>
  <c r="V39" i="15"/>
  <c r="W39"/>
  <c r="IK40" i="9" s="1"/>
  <c r="V40" i="15"/>
  <c r="W40"/>
  <c r="IK41" i="9" s="1"/>
  <c r="V41" i="15"/>
  <c r="W41"/>
  <c r="IK42" i="9" s="1"/>
  <c r="V42" i="15"/>
  <c r="W42"/>
  <c r="IK43" i="9" s="1"/>
  <c r="V43" i="15"/>
  <c r="W43"/>
  <c r="IK44" i="9" s="1"/>
  <c r="V44" i="15"/>
  <c r="W44"/>
  <c r="IK45" i="9" s="1"/>
  <c r="V45" i="15"/>
  <c r="W45"/>
  <c r="IK46" i="9" s="1"/>
  <c r="V46" i="15"/>
  <c r="W46"/>
  <c r="IK47" i="9" s="1"/>
  <c r="V47" i="15"/>
  <c r="W47"/>
  <c r="IK48" i="9" s="1"/>
  <c r="V48" i="15"/>
  <c r="W48"/>
  <c r="IK49" i="9" s="1"/>
  <c r="V49" i="15"/>
  <c r="W49"/>
  <c r="IK50" i="9" s="1"/>
  <c r="V50" i="15"/>
  <c r="W50"/>
  <c r="IK51" i="9" s="1"/>
  <c r="V51" i="15"/>
  <c r="W51"/>
  <c r="IK52" i="9" s="1"/>
  <c r="V52" i="15"/>
  <c r="W52"/>
  <c r="IK53" i="9" s="1"/>
  <c r="V53" i="15"/>
  <c r="W53"/>
  <c r="IK54" i="9" s="1"/>
  <c r="V54" i="15"/>
  <c r="W54"/>
  <c r="IK55" i="9" s="1"/>
  <c r="V55" i="15"/>
  <c r="W55"/>
  <c r="IK56" i="9" s="1"/>
  <c r="V56" i="15"/>
  <c r="W56"/>
  <c r="IK57" i="9" s="1"/>
  <c r="V57" i="15"/>
  <c r="W57"/>
  <c r="IK58" i="9" s="1"/>
  <c r="V58" i="15"/>
  <c r="W58"/>
  <c r="IK59" i="9" s="1"/>
  <c r="V59" i="15"/>
  <c r="W59"/>
  <c r="IK60" i="9" s="1"/>
  <c r="V60" i="15"/>
  <c r="W60"/>
  <c r="IK61" i="9" s="1"/>
  <c r="V61" i="15"/>
  <c r="W61"/>
  <c r="IK62" i="9" s="1"/>
  <c r="V62" i="15"/>
  <c r="W62"/>
  <c r="IK63" i="9" s="1"/>
  <c r="V63" i="15"/>
  <c r="W63"/>
  <c r="IK64" i="9" s="1"/>
  <c r="V64" i="15"/>
  <c r="W64"/>
  <c r="IK65" i="9" s="1"/>
  <c r="V65" i="15"/>
  <c r="W65"/>
  <c r="IK66" i="9" s="1"/>
  <c r="V66" i="15"/>
  <c r="W66"/>
  <c r="IK67" i="9" s="1"/>
  <c r="V67" i="15"/>
  <c r="W67"/>
  <c r="IK68" i="9" s="1"/>
  <c r="V68" i="15"/>
  <c r="W68"/>
  <c r="IK69" i="9" s="1"/>
  <c r="V69" i="15"/>
  <c r="W69"/>
  <c r="IK70" i="9" s="1"/>
  <c r="V70" i="15"/>
  <c r="W70"/>
  <c r="IK71" i="9" s="1"/>
  <c r="V71" i="15"/>
  <c r="W71"/>
  <c r="IK72" i="9" s="1"/>
  <c r="V72" i="15"/>
  <c r="W72"/>
  <c r="IK73" i="9" s="1"/>
  <c r="V73" i="15"/>
  <c r="W73"/>
  <c r="IK74" i="9" s="1"/>
  <c r="V74" i="15"/>
  <c r="W74"/>
  <c r="IK75" i="9" s="1"/>
  <c r="V75" i="15"/>
  <c r="W75"/>
  <c r="IK76" i="9" s="1"/>
  <c r="V76" i="15"/>
  <c r="W76"/>
  <c r="IK77" i="9" s="1"/>
  <c r="V77" i="15"/>
  <c r="W77"/>
  <c r="IK78" i="9" s="1"/>
  <c r="V78" i="15"/>
  <c r="W78"/>
  <c r="IK79" i="9" s="1"/>
  <c r="V79" i="15"/>
  <c r="W79"/>
  <c r="IK80" i="9" s="1"/>
  <c r="V80" i="15"/>
  <c r="W80"/>
  <c r="IK81" i="9" s="1"/>
  <c r="V81" i="15"/>
  <c r="W81"/>
  <c r="IK82" i="9" s="1"/>
  <c r="V82" i="15"/>
  <c r="W82"/>
  <c r="IK83" i="9" s="1"/>
  <c r="V83" i="15"/>
  <c r="W83"/>
  <c r="IK84" i="9" s="1"/>
  <c r="V84" i="15"/>
  <c r="W84"/>
  <c r="IK85" i="9" s="1"/>
  <c r="V85" i="15"/>
  <c r="W85"/>
  <c r="IK86" i="9" s="1"/>
  <c r="V86" i="15"/>
  <c r="W86"/>
  <c r="IK87" i="9" s="1"/>
  <c r="V87" i="15"/>
  <c r="W87"/>
  <c r="IK88" i="9" s="1"/>
  <c r="V88" i="15"/>
  <c r="W88"/>
  <c r="IK89" i="9" s="1"/>
  <c r="V89" i="15"/>
  <c r="W89"/>
  <c r="IK90" i="9" s="1"/>
  <c r="V90" i="15"/>
  <c r="W90"/>
  <c r="IK91" i="9" s="1"/>
  <c r="V91" i="15"/>
  <c r="W91"/>
  <c r="IK92" i="9" s="1"/>
  <c r="V92" i="15"/>
  <c r="W92"/>
  <c r="IK93" i="9" s="1"/>
  <c r="V93" i="15"/>
  <c r="W93"/>
  <c r="IK94" i="9" s="1"/>
  <c r="V94" i="15"/>
  <c r="W94"/>
  <c r="IK95" i="9" s="1"/>
  <c r="V95" i="15"/>
  <c r="W95"/>
  <c r="IK96" i="9" s="1"/>
  <c r="V96" i="15"/>
  <c r="W96"/>
  <c r="IK97" i="9" s="1"/>
  <c r="V97" i="15"/>
  <c r="W97"/>
  <c r="IK98" i="9" s="1"/>
  <c r="V98" i="15"/>
  <c r="W98"/>
  <c r="IK99" i="9" s="1"/>
  <c r="V99" i="15"/>
  <c r="W99"/>
  <c r="IK100" i="9" s="1"/>
  <c r="V100" i="15"/>
  <c r="W100"/>
  <c r="IK101" i="9" s="1"/>
  <c r="V101" i="15"/>
  <c r="W101"/>
  <c r="IK102" i="9" s="1"/>
  <c r="V102" i="15"/>
  <c r="W102"/>
  <c r="IK103" i="9" s="1"/>
  <c r="V103" i="15"/>
  <c r="W103"/>
  <c r="IK104" i="9" s="1"/>
  <c r="V104" i="15"/>
  <c r="W104"/>
  <c r="IK105" i="9" s="1"/>
  <c r="V105" i="15"/>
  <c r="W105"/>
  <c r="IK106" i="9" s="1"/>
  <c r="V106" i="15"/>
  <c r="W106"/>
  <c r="IK107" i="9" s="1"/>
  <c r="V107" i="15"/>
  <c r="W107"/>
  <c r="IK108" i="9" s="1"/>
  <c r="V108" i="15"/>
  <c r="W108"/>
  <c r="IK109" i="9" s="1"/>
  <c r="V109" i="15"/>
  <c r="W109"/>
  <c r="IK110" i="9" s="1"/>
  <c r="V110" i="15"/>
  <c r="W110"/>
  <c r="IK111" i="9" s="1"/>
  <c r="V111" i="15"/>
  <c r="W111"/>
  <c r="IK112" i="9" s="1"/>
  <c r="V112" i="15"/>
  <c r="W112"/>
  <c r="IK113" i="9" s="1"/>
  <c r="V113" i="15"/>
  <c r="W113"/>
  <c r="IK114" i="9" s="1"/>
  <c r="V114" i="15"/>
  <c r="W114"/>
  <c r="IK115" i="9" s="1"/>
  <c r="V115" i="15"/>
  <c r="W115"/>
  <c r="IK116" i="9" s="1"/>
  <c r="V116" i="15"/>
  <c r="W116"/>
  <c r="IK117" i="9" s="1"/>
  <c r="V117" i="15"/>
  <c r="W117"/>
  <c r="IK118" i="9" s="1"/>
  <c r="V118" i="15"/>
  <c r="W118"/>
  <c r="IK119" i="9" s="1"/>
  <c r="V119" i="15"/>
  <c r="W119"/>
  <c r="IK120" i="9" s="1"/>
  <c r="V120" i="15"/>
  <c r="W120"/>
  <c r="IK121" i="9" s="1"/>
  <c r="V121" i="15"/>
  <c r="W121"/>
  <c r="IK122" i="9" s="1"/>
  <c r="V122" i="15"/>
  <c r="W122"/>
  <c r="IK123" i="9" s="1"/>
  <c r="V123" i="15"/>
  <c r="W123"/>
  <c r="IK124" i="9" s="1"/>
  <c r="V124" i="15"/>
  <c r="W124"/>
  <c r="IK125" i="9" s="1"/>
  <c r="V125" i="15"/>
  <c r="W125"/>
  <c r="IK126" i="9" s="1"/>
  <c r="V126" i="15"/>
  <c r="W126"/>
  <c r="IK127" i="9" s="1"/>
  <c r="V127" i="15"/>
  <c r="W127"/>
  <c r="IK128" i="9" s="1"/>
  <c r="V128" i="15"/>
  <c r="W128"/>
  <c r="IK129" i="9" s="1"/>
  <c r="V129" i="15"/>
  <c r="W129"/>
  <c r="IK130" i="9" s="1"/>
  <c r="V130" i="15"/>
  <c r="W130"/>
  <c r="IK131" i="9" s="1"/>
  <c r="V131" i="15"/>
  <c r="W131"/>
  <c r="IK132" i="9" s="1"/>
  <c r="V132" i="15"/>
  <c r="W132"/>
  <c r="IK133" i="9" s="1"/>
  <c r="V133" i="15"/>
  <c r="W133"/>
  <c r="IK134" i="9" s="1"/>
  <c r="V134" i="15"/>
  <c r="W134"/>
  <c r="IK135" i="9" s="1"/>
  <c r="V135" i="15"/>
  <c r="W135"/>
  <c r="IK136" i="9" s="1"/>
  <c r="V136" i="15"/>
  <c r="W136"/>
  <c r="IK137" i="9" s="1"/>
  <c r="V137" i="15"/>
  <c r="W137"/>
  <c r="IK138" i="9" s="1"/>
  <c r="V138" i="15"/>
  <c r="W138"/>
  <c r="IK139" i="9" s="1"/>
  <c r="V139" i="15"/>
  <c r="W139"/>
  <c r="IK140" i="9" s="1"/>
  <c r="V140" i="15"/>
  <c r="W140"/>
  <c r="IK141" i="9" s="1"/>
  <c r="V141" i="15"/>
  <c r="W141"/>
  <c r="IK142" i="9" s="1"/>
  <c r="V142" i="15"/>
  <c r="W142"/>
  <c r="IK143" i="9" s="1"/>
  <c r="V143" i="15"/>
  <c r="W143"/>
  <c r="IK144" i="9" s="1"/>
  <c r="V144" i="15"/>
  <c r="W144"/>
  <c r="IK145" i="9" s="1"/>
  <c r="V145" i="15"/>
  <c r="W145"/>
  <c r="IK146" i="9" s="1"/>
  <c r="V146" i="15"/>
  <c r="W146"/>
  <c r="IK147" i="9" s="1"/>
  <c r="V147" i="15"/>
  <c r="W147"/>
  <c r="IK148" i="9" s="1"/>
  <c r="V148" i="15"/>
  <c r="W148"/>
  <c r="IK149" i="9" s="1"/>
  <c r="V149" i="15"/>
  <c r="W149"/>
  <c r="IK150" i="9" s="1"/>
  <c r="V150" i="15"/>
  <c r="W150"/>
  <c r="IK151" i="9" s="1"/>
  <c r="V151" i="15"/>
  <c r="W151"/>
  <c r="IK152" i="9" s="1"/>
  <c r="V152" i="15"/>
  <c r="W152"/>
  <c r="IK153" i="9" s="1"/>
  <c r="V153" i="15"/>
  <c r="W153"/>
  <c r="IK154" i="9" s="1"/>
  <c r="V154" i="15"/>
  <c r="W154"/>
  <c r="IK155" i="9" s="1"/>
  <c r="V155" i="15"/>
  <c r="W155"/>
  <c r="IK156" i="9" s="1"/>
  <c r="V156" i="15"/>
  <c r="W156"/>
  <c r="IK157" i="9" s="1"/>
  <c r="V157" i="15"/>
  <c r="W157"/>
  <c r="IK158" i="9" s="1"/>
  <c r="V158" i="15"/>
  <c r="W158"/>
  <c r="IK159" i="9" s="1"/>
  <c r="V159" i="15"/>
  <c r="W159"/>
  <c r="IK160" i="9" s="1"/>
  <c r="V160" i="15"/>
  <c r="W160"/>
  <c r="IK161" i="9" s="1"/>
  <c r="V161" i="15"/>
  <c r="W161"/>
  <c r="IK162" i="9" s="1"/>
  <c r="V162" i="15"/>
  <c r="W162"/>
  <c r="IK163" i="9" s="1"/>
  <c r="V163" i="15"/>
  <c r="W163"/>
  <c r="IK164" i="9" s="1"/>
  <c r="V164" i="15"/>
  <c r="W164"/>
  <c r="IK165" i="9" s="1"/>
  <c r="V165" i="15"/>
  <c r="W165"/>
  <c r="IK166" i="9" s="1"/>
  <c r="V166" i="15"/>
  <c r="W166"/>
  <c r="IK167" i="9" s="1"/>
  <c r="V167" i="15"/>
  <c r="W167"/>
  <c r="IK168" i="9" s="1"/>
  <c r="V168" i="15"/>
  <c r="W168"/>
  <c r="IK169" i="9" s="1"/>
  <c r="V169" i="15"/>
  <c r="W169"/>
  <c r="IK170" i="9" s="1"/>
  <c r="V170" i="15"/>
  <c r="W170"/>
  <c r="IK171" i="9" s="1"/>
  <c r="V171" i="15"/>
  <c r="W171"/>
  <c r="IK172" i="9" s="1"/>
  <c r="V172" i="15"/>
  <c r="W172"/>
  <c r="IK173" i="9" s="1"/>
  <c r="V173" i="15"/>
  <c r="W173"/>
  <c r="IK174" i="9" s="1"/>
  <c r="V174" i="15"/>
  <c r="W174"/>
  <c r="IK175" i="9" s="1"/>
  <c r="V175" i="15"/>
  <c r="W175"/>
  <c r="IK176" i="9" s="1"/>
  <c r="V176" i="15"/>
  <c r="W176"/>
  <c r="IK177" i="9" s="1"/>
  <c r="V177" i="15"/>
  <c r="W177"/>
  <c r="IK178" i="9" s="1"/>
  <c r="V178" i="15"/>
  <c r="W178"/>
  <c r="IK179" i="9" s="1"/>
  <c r="V179" i="15"/>
  <c r="W179"/>
  <c r="IK180" i="9" s="1"/>
  <c r="V180" i="15"/>
  <c r="W180"/>
  <c r="IK181" i="9" s="1"/>
  <c r="V181" i="15"/>
  <c r="W181"/>
  <c r="IK182" i="9" s="1"/>
  <c r="V182" i="15"/>
  <c r="W182"/>
  <c r="IK183" i="9" s="1"/>
  <c r="V183" i="15"/>
  <c r="W183"/>
  <c r="IK184" i="9" s="1"/>
  <c r="V184" i="15"/>
  <c r="W184"/>
  <c r="IK185" i="9" s="1"/>
  <c r="V185" i="15"/>
  <c r="W185"/>
  <c r="IK186" i="9" s="1"/>
  <c r="V186" i="15"/>
  <c r="W186"/>
  <c r="IK187" i="9" s="1"/>
  <c r="V187" i="15"/>
  <c r="W187"/>
  <c r="IK188" i="9" s="1"/>
  <c r="V188" i="15"/>
  <c r="W188"/>
  <c r="IK189" i="9" s="1"/>
  <c r="V189" i="15"/>
  <c r="W189"/>
  <c r="IK190" i="9" s="1"/>
  <c r="V190" i="15"/>
  <c r="W190"/>
  <c r="IK191" i="9" s="1"/>
  <c r="V191" i="15"/>
  <c r="W191"/>
  <c r="IK192" i="9" s="1"/>
  <c r="V192" i="15"/>
  <c r="W192"/>
  <c r="IK193" i="9" s="1"/>
  <c r="V193" i="15"/>
  <c r="W193"/>
  <c r="IK194" i="9" s="1"/>
  <c r="V194" i="15"/>
  <c r="W194"/>
  <c r="IK195" i="9" s="1"/>
  <c r="V195" i="15"/>
  <c r="W195"/>
  <c r="IK196" i="9" s="1"/>
  <c r="V196" i="15"/>
  <c r="W196"/>
  <c r="IK197" i="9" s="1"/>
  <c r="V197" i="15"/>
  <c r="W197"/>
  <c r="IK198" i="9" s="1"/>
  <c r="V198" i="15"/>
  <c r="W198"/>
  <c r="IK199" i="9" s="1"/>
  <c r="V199" i="15"/>
  <c r="W199"/>
  <c r="IK200" i="9" s="1"/>
  <c r="V200" i="15"/>
  <c r="W200"/>
  <c r="IK201" i="9" s="1"/>
  <c r="V201" i="15"/>
  <c r="W201"/>
  <c r="IK202" i="9" s="1"/>
  <c r="V202" i="15"/>
  <c r="W202"/>
  <c r="IK203" i="9" s="1"/>
  <c r="V203" i="15"/>
  <c r="W203"/>
  <c r="IK204" i="9" s="1"/>
  <c r="V204" i="15"/>
  <c r="W204"/>
  <c r="IK205" i="9" s="1"/>
  <c r="V205" i="15"/>
  <c r="W205"/>
  <c r="IK206" i="9" s="1"/>
  <c r="V206" i="15"/>
  <c r="W206"/>
  <c r="IK207" i="9" s="1"/>
  <c r="AC7" i="15"/>
  <c r="IM8" i="9" s="1"/>
  <c r="Z7" i="15"/>
  <c r="IL8" i="9" s="1"/>
  <c r="W7" i="15"/>
  <c r="IK8" i="9" s="1"/>
  <c r="AE7" i="15"/>
  <c r="IH8" i="9" s="1"/>
  <c r="AB7" i="15"/>
  <c r="IG8" i="9" s="1"/>
  <c r="Y7" i="15"/>
  <c r="IF8" i="9" s="1"/>
  <c r="V7" i="15"/>
  <c r="IE8" i="9" s="1"/>
  <c r="AN206" i="15"/>
  <c r="AN205"/>
  <c r="AN204"/>
  <c r="AN203"/>
  <c r="AN202"/>
  <c r="AN201"/>
  <c r="AN200"/>
  <c r="AN199"/>
  <c r="AN198"/>
  <c r="AN197"/>
  <c r="AN196"/>
  <c r="AN195"/>
  <c r="AN194"/>
  <c r="AN193"/>
  <c r="AN192"/>
  <c r="AN191"/>
  <c r="AN190"/>
  <c r="AN189"/>
  <c r="AN188"/>
  <c r="AN187"/>
  <c r="AN186"/>
  <c r="AN185"/>
  <c r="AN184"/>
  <c r="AN183"/>
  <c r="AN182"/>
  <c r="AN181"/>
  <c r="AN180"/>
  <c r="AN179"/>
  <c r="AN178"/>
  <c r="AN177"/>
  <c r="AN176"/>
  <c r="AN175"/>
  <c r="AN174"/>
  <c r="AN173"/>
  <c r="AN172"/>
  <c r="AN171"/>
  <c r="AN170"/>
  <c r="AN169"/>
  <c r="AN168"/>
  <c r="AN167"/>
  <c r="AN166"/>
  <c r="AN165"/>
  <c r="AN164"/>
  <c r="AN163"/>
  <c r="AN162"/>
  <c r="AN161"/>
  <c r="AN160"/>
  <c r="AN159"/>
  <c r="AN158"/>
  <c r="AN157"/>
  <c r="AN156"/>
  <c r="AN155"/>
  <c r="AN154"/>
  <c r="AN153"/>
  <c r="AN152"/>
  <c r="AN151"/>
  <c r="AN150"/>
  <c r="AN149"/>
  <c r="AN148"/>
  <c r="AN147"/>
  <c r="AN146"/>
  <c r="AN145"/>
  <c r="AN144"/>
  <c r="AN143"/>
  <c r="AN142"/>
  <c r="AN141"/>
  <c r="AN140"/>
  <c r="AN139"/>
  <c r="AN138"/>
  <c r="AN137"/>
  <c r="AN136"/>
  <c r="AN135"/>
  <c r="AN134"/>
  <c r="AN133"/>
  <c r="AN132"/>
  <c r="AN131"/>
  <c r="AN130"/>
  <c r="AN129"/>
  <c r="AN128"/>
  <c r="AN127"/>
  <c r="AN126"/>
  <c r="AN125"/>
  <c r="AN124"/>
  <c r="AN123"/>
  <c r="AN122"/>
  <c r="AN121"/>
  <c r="AN120"/>
  <c r="AN119"/>
  <c r="AN118"/>
  <c r="AN117"/>
  <c r="AN116"/>
  <c r="AN115"/>
  <c r="AN114"/>
  <c r="AN113"/>
  <c r="AN112"/>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F7"/>
  <c r="IN8" i="9" s="1"/>
  <c r="A7" i="15"/>
  <c r="M207" i="11"/>
  <c r="BP209" i="20" l="1"/>
  <c r="BP210"/>
  <c r="BO209"/>
  <c r="BO210"/>
  <c r="BN209"/>
  <c r="BN210"/>
  <c r="CB8" i="9"/>
  <c r="CX8"/>
  <c r="BM209" i="20"/>
  <c r="BM210"/>
  <c r="B9"/>
  <c r="J24" i="18"/>
  <c r="L20"/>
  <c r="E20"/>
  <c r="AH18"/>
  <c r="A18" s="1"/>
  <c r="O7"/>
  <c r="K18"/>
  <c r="D18"/>
  <c r="L17"/>
  <c r="G17"/>
  <c r="C17"/>
  <c r="K16"/>
  <c r="F16"/>
  <c r="O15"/>
  <c r="F15"/>
  <c r="O14"/>
  <c r="F14"/>
  <c r="I14"/>
  <c r="O24"/>
  <c r="M20"/>
  <c r="G20"/>
  <c r="AH20"/>
  <c r="A20" s="1"/>
  <c r="L18"/>
  <c r="G18"/>
  <c r="N17"/>
  <c r="H17"/>
  <c r="D17"/>
  <c r="L16"/>
  <c r="G16"/>
  <c r="C16"/>
  <c r="G15"/>
  <c r="C15"/>
  <c r="G14"/>
  <c r="I15"/>
  <c r="G23"/>
  <c r="H20"/>
  <c r="C20"/>
  <c r="AH16"/>
  <c r="A16" s="1"/>
  <c r="N18"/>
  <c r="H18"/>
  <c r="O17"/>
  <c r="I17"/>
  <c r="E17"/>
  <c r="N16"/>
  <c r="H16"/>
  <c r="D16"/>
  <c r="K15"/>
  <c r="D15"/>
  <c r="K14"/>
  <c r="D14"/>
  <c r="AN10" i="19"/>
  <c r="L7" s="1"/>
  <c r="Q23" i="18"/>
  <c r="K20"/>
  <c r="D20"/>
  <c r="AH17"/>
  <c r="A17" s="1"/>
  <c r="C14"/>
  <c r="I18"/>
  <c r="C18"/>
  <c r="K17"/>
  <c r="F17"/>
  <c r="O16"/>
  <c r="I16"/>
  <c r="E16"/>
  <c r="N15"/>
  <c r="E15"/>
  <c r="N14"/>
  <c r="E14"/>
  <c r="AN11" i="19"/>
  <c r="I20" i="18"/>
  <c r="N20"/>
  <c r="F20"/>
  <c r="O20"/>
  <c r="P20" s="1"/>
  <c r="A16" i="4"/>
  <c r="J16" s="1"/>
  <c r="A17"/>
  <c r="J17" s="1"/>
  <c r="N14" i="6"/>
  <c r="N9"/>
  <c r="N13"/>
  <c r="N17"/>
  <c r="N12"/>
  <c r="N16"/>
  <c r="N20"/>
  <c r="N8"/>
  <c r="N11"/>
  <c r="N15"/>
  <c r="N19"/>
  <c r="N10"/>
  <c r="N18"/>
  <c r="HB218" i="9"/>
  <c r="E18" i="18"/>
  <c r="A18" i="4"/>
  <c r="J18" s="1"/>
  <c r="F18" i="18"/>
  <c r="O18"/>
  <c r="BP28" i="20"/>
  <c r="BM44"/>
  <c r="BO44"/>
  <c r="BO60"/>
  <c r="BN92"/>
  <c r="BP108"/>
  <c r="BO124"/>
  <c r="BN39"/>
  <c r="BO55"/>
  <c r="BO87"/>
  <c r="BN103"/>
  <c r="BO119"/>
  <c r="BP14"/>
  <c r="BM30"/>
  <c r="BM46"/>
  <c r="BO62"/>
  <c r="BP78"/>
  <c r="BM78"/>
  <c r="BO94"/>
  <c r="BM110"/>
  <c r="BM45"/>
  <c r="BO69"/>
  <c r="BN85"/>
  <c r="BO101"/>
  <c r="BO133"/>
  <c r="BP164"/>
  <c r="BN180"/>
  <c r="BO180"/>
  <c r="BP196"/>
  <c r="BM147"/>
  <c r="BP163"/>
  <c r="BO142"/>
  <c r="BN158"/>
  <c r="BP174"/>
  <c r="BN190"/>
  <c r="BN149"/>
  <c r="BP149"/>
  <c r="BN181"/>
  <c r="BP181"/>
  <c r="BP12"/>
  <c r="BO12"/>
  <c r="BN16"/>
  <c r="BO32"/>
  <c r="BO48"/>
  <c r="BN64"/>
  <c r="BO80"/>
  <c r="BO96"/>
  <c r="BM112"/>
  <c r="BM128"/>
  <c r="BP27"/>
  <c r="BN59"/>
  <c r="BO75"/>
  <c r="BO107"/>
  <c r="BN123"/>
  <c r="BO18"/>
  <c r="BN34"/>
  <c r="BP50"/>
  <c r="BO66"/>
  <c r="BM66"/>
  <c r="BO98"/>
  <c r="BP114"/>
  <c r="BO130"/>
  <c r="BM130"/>
  <c r="BM17"/>
  <c r="BP17"/>
  <c r="BM49"/>
  <c r="BP73"/>
  <c r="BN73"/>
  <c r="BM89"/>
  <c r="BN105"/>
  <c r="BP137"/>
  <c r="BN137"/>
  <c r="BM152"/>
  <c r="BN168"/>
  <c r="BP168"/>
  <c r="BM184"/>
  <c r="BO200"/>
  <c r="BN200"/>
  <c r="BN151"/>
  <c r="BO167"/>
  <c r="BP199"/>
  <c r="BO146"/>
  <c r="BO178"/>
  <c r="BM194"/>
  <c r="BO194"/>
  <c r="BP169"/>
  <c r="BN169"/>
  <c r="BP201"/>
  <c r="BN201"/>
  <c r="BM20"/>
  <c r="BO36"/>
  <c r="BN36"/>
  <c r="BN52"/>
  <c r="BO52"/>
  <c r="BO68"/>
  <c r="BM100"/>
  <c r="BN116"/>
  <c r="BO116"/>
  <c r="BM132"/>
  <c r="BO11"/>
  <c r="BO15"/>
  <c r="BM15"/>
  <c r="BO31"/>
  <c r="BM47"/>
  <c r="BN47"/>
  <c r="BO63"/>
  <c r="BM79"/>
  <c r="BN79"/>
  <c r="BO95"/>
  <c r="BM111"/>
  <c r="BO127"/>
  <c r="BO22"/>
  <c r="BP54"/>
  <c r="BN70"/>
  <c r="BO86"/>
  <c r="BP118"/>
  <c r="BN134"/>
  <c r="BO77"/>
  <c r="BM77"/>
  <c r="BP93"/>
  <c r="BM109"/>
  <c r="BN156"/>
  <c r="BO156"/>
  <c r="BN204"/>
  <c r="BO139"/>
  <c r="BO171"/>
  <c r="BP187"/>
  <c r="BM203"/>
  <c r="BN150"/>
  <c r="BO166"/>
  <c r="BM182"/>
  <c r="BP182"/>
  <c r="BN198"/>
  <c r="BO141"/>
  <c r="BM141"/>
  <c r="BO173"/>
  <c r="BM173"/>
  <c r="BM205"/>
  <c r="BN205"/>
  <c r="BP24"/>
  <c r="BN24"/>
  <c r="BN56"/>
  <c r="BO56"/>
  <c r="BP72"/>
  <c r="BM88"/>
  <c r="BO88"/>
  <c r="BP104"/>
  <c r="BP136"/>
  <c r="BO19"/>
  <c r="BN35"/>
  <c r="BO51"/>
  <c r="BM51"/>
  <c r="BN51"/>
  <c r="BP67"/>
  <c r="BO83"/>
  <c r="BN83"/>
  <c r="BO115"/>
  <c r="BM115"/>
  <c r="BN115"/>
  <c r="BP131"/>
  <c r="BM26"/>
  <c r="BM42"/>
  <c r="BM58"/>
  <c r="BP74"/>
  <c r="BN90"/>
  <c r="BP138"/>
  <c r="BP25"/>
  <c r="BN25"/>
  <c r="BN41"/>
  <c r="BP41"/>
  <c r="BP65"/>
  <c r="BO65"/>
  <c r="BM81"/>
  <c r="BO97"/>
  <c r="BN113"/>
  <c r="BP129"/>
  <c r="BO129"/>
  <c r="BO144"/>
  <c r="BO160"/>
  <c r="BN160"/>
  <c r="BM192"/>
  <c r="BO208"/>
  <c r="BP159"/>
  <c r="BM175"/>
  <c r="BN191"/>
  <c r="BM207"/>
  <c r="BN154"/>
  <c r="BM170"/>
  <c r="BP170"/>
  <c r="BN186"/>
  <c r="BO202"/>
  <c r="BM202"/>
  <c r="BP145"/>
  <c r="BO145"/>
  <c r="BP177"/>
  <c r="BO177"/>
  <c r="BO193"/>
  <c r="BM10"/>
  <c r="BO28"/>
  <c r="BN28"/>
  <c r="BM60"/>
  <c r="BM92"/>
  <c r="BN108"/>
  <c r="BO108"/>
  <c r="BM124"/>
  <c r="BP23"/>
  <c r="BP39"/>
  <c r="BM71"/>
  <c r="BN71"/>
  <c r="BP71"/>
  <c r="BM103"/>
  <c r="BP103"/>
  <c r="BM135"/>
  <c r="BN135"/>
  <c r="BP135"/>
  <c r="BN14"/>
  <c r="BN30"/>
  <c r="BO78"/>
  <c r="BN94"/>
  <c r="BP110"/>
  <c r="BN126"/>
  <c r="BP13"/>
  <c r="BO29"/>
  <c r="BO45"/>
  <c r="BP45"/>
  <c r="BN69"/>
  <c r="BP69"/>
  <c r="BM85"/>
  <c r="BP101"/>
  <c r="BM117"/>
  <c r="BN133"/>
  <c r="BP133"/>
  <c r="BN148"/>
  <c r="BO164"/>
  <c r="BM164"/>
  <c r="BM180"/>
  <c r="BO196"/>
  <c r="BM196"/>
  <c r="BO163"/>
  <c r="BN163"/>
  <c r="BN179"/>
  <c r="BP179"/>
  <c r="BN195"/>
  <c r="BN142"/>
  <c r="BM158"/>
  <c r="BO174"/>
  <c r="BP190"/>
  <c r="BM149"/>
  <c r="BO165"/>
  <c r="BM181"/>
  <c r="BO197"/>
  <c r="BM32"/>
  <c r="BM48"/>
  <c r="BM64"/>
  <c r="BN80"/>
  <c r="BN96"/>
  <c r="BP112"/>
  <c r="BP128"/>
  <c r="BO27"/>
  <c r="BM43"/>
  <c r="BN43"/>
  <c r="BM75"/>
  <c r="BP91"/>
  <c r="BN107"/>
  <c r="BM107"/>
  <c r="BN18"/>
  <c r="BM34"/>
  <c r="BP34"/>
  <c r="BO50"/>
  <c r="BM50"/>
  <c r="BN66"/>
  <c r="BP82"/>
  <c r="BM82"/>
  <c r="BN98"/>
  <c r="BO114"/>
  <c r="BM114"/>
  <c r="BN130"/>
  <c r="BN33"/>
  <c r="BP49"/>
  <c r="BO49"/>
  <c r="BM53"/>
  <c r="BM57"/>
  <c r="BO57"/>
  <c r="BO89"/>
  <c r="BM121"/>
  <c r="BO121"/>
  <c r="BO168"/>
  <c r="BP184"/>
  <c r="BM151"/>
  <c r="BP151"/>
  <c r="BN183"/>
  <c r="BO199"/>
  <c r="BM199"/>
  <c r="BN146"/>
  <c r="BP162"/>
  <c r="BM162"/>
  <c r="BN178"/>
  <c r="BM153"/>
  <c r="BO153"/>
  <c r="BM185"/>
  <c r="BO185"/>
  <c r="BM36"/>
  <c r="BM68"/>
  <c r="BN84"/>
  <c r="BP84"/>
  <c r="BP47"/>
  <c r="BP79"/>
  <c r="BM95"/>
  <c r="BN111"/>
  <c r="BP111"/>
  <c r="BN22"/>
  <c r="BM38"/>
  <c r="BP38"/>
  <c r="BO54"/>
  <c r="BM54"/>
  <c r="BM86"/>
  <c r="BP102"/>
  <c r="BO118"/>
  <c r="BM118"/>
  <c r="BO21"/>
  <c r="BM21"/>
  <c r="BN37"/>
  <c r="BP37"/>
  <c r="BN61"/>
  <c r="BP77"/>
  <c r="BN93"/>
  <c r="BO109"/>
  <c r="BN125"/>
  <c r="BM156"/>
  <c r="BP172"/>
  <c r="BP188"/>
  <c r="BN188"/>
  <c r="BM204"/>
  <c r="BM139"/>
  <c r="BP155"/>
  <c r="BN171"/>
  <c r="BM171"/>
  <c r="BO187"/>
  <c r="BP203"/>
  <c r="BP150"/>
  <c r="BM166"/>
  <c r="BO182"/>
  <c r="BP141"/>
  <c r="BN157"/>
  <c r="BP173"/>
  <c r="BP189"/>
  <c r="BO189"/>
  <c r="BP205"/>
  <c r="BO24"/>
  <c r="BM24"/>
  <c r="BO72"/>
  <c r="BO104"/>
  <c r="BM120"/>
  <c r="BO136"/>
  <c r="BP19"/>
  <c r="BN19"/>
  <c r="BO67"/>
  <c r="BM83"/>
  <c r="BP99"/>
  <c r="BO131"/>
  <c r="BP42"/>
  <c r="BM74"/>
  <c r="BO74"/>
  <c r="BM106"/>
  <c r="BP106"/>
  <c r="BN122"/>
  <c r="BM138"/>
  <c r="BO138"/>
  <c r="BN65"/>
  <c r="BN97"/>
  <c r="BM113"/>
  <c r="BN129"/>
  <c r="BN144"/>
  <c r="BM160"/>
  <c r="BP176"/>
  <c r="BP192"/>
  <c r="BM208"/>
  <c r="BM143"/>
  <c r="BN143"/>
  <c r="BO159"/>
  <c r="BN175"/>
  <c r="BP191"/>
  <c r="BN207"/>
  <c r="BO170"/>
  <c r="BN145"/>
  <c r="BM161"/>
  <c r="BN177"/>
  <c r="BP10"/>
  <c r="BN60"/>
  <c r="BN76"/>
  <c r="BP76"/>
  <c r="BP92"/>
  <c r="BN124"/>
  <c r="BO23"/>
  <c r="BO39"/>
  <c r="BM55"/>
  <c r="BN55"/>
  <c r="BO71"/>
  <c r="BN87"/>
  <c r="BO103"/>
  <c r="BM119"/>
  <c r="BN119"/>
  <c r="BO135"/>
  <c r="BO14"/>
  <c r="BP30"/>
  <c r="BN46"/>
  <c r="BP46"/>
  <c r="BN62"/>
  <c r="BM62"/>
  <c r="BN78"/>
  <c r="BM94"/>
  <c r="BO110"/>
  <c r="BP126"/>
  <c r="BM126"/>
  <c r="BM13"/>
  <c r="BO13"/>
  <c r="BP29"/>
  <c r="BN29"/>
  <c r="BM69"/>
  <c r="BN101"/>
  <c r="BO117"/>
  <c r="BM133"/>
  <c r="BP148"/>
  <c r="BP147"/>
  <c r="BM163"/>
  <c r="BO179"/>
  <c r="BP195"/>
  <c r="BP158"/>
  <c r="BN174"/>
  <c r="BO190"/>
  <c r="BN165"/>
  <c r="BP165"/>
  <c r="BN197"/>
  <c r="BP197"/>
  <c r="BN12"/>
  <c r="BM16"/>
  <c r="BO16"/>
  <c r="BP64"/>
  <c r="BM80"/>
  <c r="BM96"/>
  <c r="BO112"/>
  <c r="BO128"/>
  <c r="BP43"/>
  <c r="BP59"/>
  <c r="BN75"/>
  <c r="BO91"/>
  <c r="BP123"/>
  <c r="BP18"/>
  <c r="BO34"/>
  <c r="BO82"/>
  <c r="BO17"/>
  <c r="K17" s="1"/>
  <c r="BM33"/>
  <c r="BO53"/>
  <c r="BP57"/>
  <c r="BP89"/>
  <c r="BN89"/>
  <c r="BM105"/>
  <c r="BP121"/>
  <c r="BN152"/>
  <c r="BP152"/>
  <c r="BM168"/>
  <c r="BO184"/>
  <c r="BN184"/>
  <c r="BM200"/>
  <c r="BO151"/>
  <c r="BN167"/>
  <c r="BP183"/>
  <c r="BO162"/>
  <c r="BN194"/>
  <c r="BP153"/>
  <c r="BN153"/>
  <c r="BP185"/>
  <c r="BN185"/>
  <c r="BN20"/>
  <c r="BP20"/>
  <c r="BM52"/>
  <c r="BO84"/>
  <c r="BP100"/>
  <c r="BM116"/>
  <c r="BN132"/>
  <c r="BP132"/>
  <c r="BM11"/>
  <c r="BP15"/>
  <c r="BN15"/>
  <c r="BM31"/>
  <c r="BN31"/>
  <c r="BO47"/>
  <c r="BM63"/>
  <c r="BN63"/>
  <c r="BO79"/>
  <c r="BN95"/>
  <c r="BO111"/>
  <c r="BM127"/>
  <c r="BN127"/>
  <c r="BO38"/>
  <c r="BP70"/>
  <c r="BN86"/>
  <c r="BO102"/>
  <c r="BN118"/>
  <c r="BP134"/>
  <c r="BM61"/>
  <c r="BP109"/>
  <c r="BM125"/>
  <c r="BN140"/>
  <c r="BP140"/>
  <c r="BN172"/>
  <c r="BO172"/>
  <c r="BO188"/>
  <c r="BP204"/>
  <c r="BN139"/>
  <c r="BO155"/>
  <c r="BM187"/>
  <c r="BO150"/>
  <c r="BN166"/>
  <c r="BN182"/>
  <c r="BM198"/>
  <c r="BP198"/>
  <c r="BO157"/>
  <c r="BM157"/>
  <c r="BN189"/>
  <c r="BP40"/>
  <c r="BN40"/>
  <c r="BM56"/>
  <c r="BM72"/>
  <c r="BN104"/>
  <c r="BP120"/>
  <c r="BM136"/>
  <c r="BM19"/>
  <c r="BM35"/>
  <c r="BP35"/>
  <c r="BM67"/>
  <c r="BN67"/>
  <c r="BO99"/>
  <c r="BN99"/>
  <c r="BM131"/>
  <c r="BN131"/>
  <c r="BN26"/>
  <c r="BP26"/>
  <c r="BO42"/>
  <c r="BN42"/>
  <c r="BN58"/>
  <c r="BP58"/>
  <c r="BN74"/>
  <c r="BM90"/>
  <c r="BP90"/>
  <c r="BO106"/>
  <c r="BP122"/>
  <c r="BN138"/>
  <c r="BO25"/>
  <c r="BM25"/>
  <c r="BM41"/>
  <c r="BP81"/>
  <c r="BO81"/>
  <c r="BM97"/>
  <c r="BP113"/>
  <c r="BO113"/>
  <c r="BM144"/>
  <c r="BO176"/>
  <c r="BN176"/>
  <c r="BO192"/>
  <c r="BN208"/>
  <c r="BP143"/>
  <c r="BM159"/>
  <c r="BP175"/>
  <c r="BO191"/>
  <c r="BP207"/>
  <c r="BM154"/>
  <c r="BP154"/>
  <c r="BN170"/>
  <c r="BM186"/>
  <c r="BP186"/>
  <c r="BN202"/>
  <c r="BP161"/>
  <c r="BO161"/>
  <c r="BN193"/>
  <c r="BP193"/>
  <c r="BN10"/>
  <c r="BM28"/>
  <c r="BN44"/>
  <c r="BP44"/>
  <c r="BP60"/>
  <c r="BO76"/>
  <c r="BM76"/>
  <c r="BO92"/>
  <c r="BM108"/>
  <c r="BP124"/>
  <c r="BM23"/>
  <c r="BN23"/>
  <c r="BM39"/>
  <c r="BP55"/>
  <c r="BM87"/>
  <c r="BP87"/>
  <c r="BP119"/>
  <c r="BM14"/>
  <c r="BO30"/>
  <c r="BO46"/>
  <c r="BP62"/>
  <c r="BP94"/>
  <c r="BN110"/>
  <c r="BO126"/>
  <c r="BN13"/>
  <c r="BM29"/>
  <c r="BN45"/>
  <c r="BO85"/>
  <c r="BP85"/>
  <c r="BM101"/>
  <c r="BN117"/>
  <c r="BP117"/>
  <c r="BO148"/>
  <c r="BM148"/>
  <c r="BN164"/>
  <c r="BP180"/>
  <c r="BN196"/>
  <c r="BO147"/>
  <c r="BN147"/>
  <c r="BM179"/>
  <c r="BO195"/>
  <c r="BM195"/>
  <c r="BP142"/>
  <c r="BM142"/>
  <c r="BO158"/>
  <c r="BM174"/>
  <c r="BM190"/>
  <c r="BO149"/>
  <c r="BM165"/>
  <c r="BO181"/>
  <c r="BM197"/>
  <c r="BM12"/>
  <c r="BP16"/>
  <c r="BN32"/>
  <c r="BP32"/>
  <c r="BP48"/>
  <c r="BN48"/>
  <c r="BO64"/>
  <c r="BP80"/>
  <c r="BP96"/>
  <c r="BN112"/>
  <c r="BN128"/>
  <c r="BM27"/>
  <c r="BN27"/>
  <c r="BO43"/>
  <c r="BO59"/>
  <c r="BM59"/>
  <c r="BP75"/>
  <c r="BN91"/>
  <c r="BM91"/>
  <c r="BP107"/>
  <c r="BO123"/>
  <c r="BM123"/>
  <c r="BM18"/>
  <c r="BN50"/>
  <c r="BP66"/>
  <c r="BN82"/>
  <c r="BP98"/>
  <c r="BM98"/>
  <c r="BN114"/>
  <c r="BP130"/>
  <c r="BN17"/>
  <c r="BP33"/>
  <c r="BO33"/>
  <c r="BN49"/>
  <c r="BN53"/>
  <c r="BP53"/>
  <c r="BN57"/>
  <c r="BM73"/>
  <c r="BO73"/>
  <c r="BP105"/>
  <c r="BO105"/>
  <c r="BN121"/>
  <c r="BM137"/>
  <c r="BO137"/>
  <c r="BO152"/>
  <c r="BP200"/>
  <c r="BM167"/>
  <c r="BP167"/>
  <c r="BO183"/>
  <c r="BM183"/>
  <c r="BN199"/>
  <c r="BP146"/>
  <c r="BM146"/>
  <c r="BN162"/>
  <c r="BP178"/>
  <c r="BM178"/>
  <c r="BP194"/>
  <c r="BM169"/>
  <c r="BO169"/>
  <c r="BM201"/>
  <c r="BO201"/>
  <c r="BO20"/>
  <c r="BP36"/>
  <c r="BP52"/>
  <c r="BN68"/>
  <c r="BP68"/>
  <c r="BM84"/>
  <c r="BN100"/>
  <c r="BO100"/>
  <c r="BP116"/>
  <c r="BO132"/>
  <c r="BP11"/>
  <c r="BN11"/>
  <c r="BP31"/>
  <c r="BP63"/>
  <c r="BP95"/>
  <c r="BP127"/>
  <c r="BM22"/>
  <c r="BP22"/>
  <c r="BN38"/>
  <c r="BN54"/>
  <c r="BO70"/>
  <c r="BM70"/>
  <c r="BP86"/>
  <c r="BN102"/>
  <c r="BM102"/>
  <c r="BO134"/>
  <c r="BM134"/>
  <c r="BN21"/>
  <c r="BP21"/>
  <c r="BO37"/>
  <c r="BM37"/>
  <c r="BO61"/>
  <c r="BP61"/>
  <c r="BN77"/>
  <c r="BO93"/>
  <c r="BM93"/>
  <c r="BN109"/>
  <c r="BO125"/>
  <c r="BP125"/>
  <c r="BO140"/>
  <c r="BM140"/>
  <c r="BP156"/>
  <c r="BM172"/>
  <c r="BM188"/>
  <c r="BO204"/>
  <c r="BP139"/>
  <c r="BN155"/>
  <c r="BM155"/>
  <c r="BP171"/>
  <c r="BN187"/>
  <c r="BN203"/>
  <c r="BO203"/>
  <c r="BM150"/>
  <c r="BP166"/>
  <c r="BO198"/>
  <c r="BN141"/>
  <c r="BP157"/>
  <c r="BN173"/>
  <c r="BM189"/>
  <c r="BO205"/>
  <c r="BO40"/>
  <c r="BM40"/>
  <c r="BP56"/>
  <c r="BN72"/>
  <c r="BN88"/>
  <c r="BP88"/>
  <c r="BM104"/>
  <c r="BN120"/>
  <c r="BO120"/>
  <c r="BN136"/>
  <c r="BO35"/>
  <c r="BP51"/>
  <c r="BP83"/>
  <c r="BM99"/>
  <c r="BP115"/>
  <c r="BO26"/>
  <c r="BO58"/>
  <c r="BO90"/>
  <c r="BN106"/>
  <c r="BM122"/>
  <c r="BO122"/>
  <c r="BO41"/>
  <c r="BM65"/>
  <c r="BN81"/>
  <c r="BP97"/>
  <c r="BM129"/>
  <c r="BP144"/>
  <c r="BP160"/>
  <c r="BM176"/>
  <c r="BN192"/>
  <c r="BP208"/>
  <c r="BO143"/>
  <c r="BN159"/>
  <c r="BO175"/>
  <c r="BM191"/>
  <c r="BO207"/>
  <c r="BO154"/>
  <c r="BO186"/>
  <c r="BP202"/>
  <c r="BM145"/>
  <c r="BN161"/>
  <c r="BM177"/>
  <c r="BM193"/>
  <c r="BO10"/>
  <c r="K10" s="1"/>
  <c r="A20" i="4"/>
  <c r="J20" s="1"/>
  <c r="Q20"/>
  <c r="IE16" i="9"/>
  <c r="IE9"/>
  <c r="IS8"/>
  <c r="IS219"/>
  <c r="IS217"/>
  <c r="IS215"/>
  <c r="IS213"/>
  <c r="IS211"/>
  <c r="IS209"/>
  <c r="IS207"/>
  <c r="IS205"/>
  <c r="IS203"/>
  <c r="IS201"/>
  <c r="IS199"/>
  <c r="IS197"/>
  <c r="IS195"/>
  <c r="IS193"/>
  <c r="IS191"/>
  <c r="IS189"/>
  <c r="IS187"/>
  <c r="IS185"/>
  <c r="IS183"/>
  <c r="IS181"/>
  <c r="IS179"/>
  <c r="IS177"/>
  <c r="IS175"/>
  <c r="IS173"/>
  <c r="IS171"/>
  <c r="IS169"/>
  <c r="IS167"/>
  <c r="IS165"/>
  <c r="IS163"/>
  <c r="IS161"/>
  <c r="IS159"/>
  <c r="IS157"/>
  <c r="IS155"/>
  <c r="IS153"/>
  <c r="IS151"/>
  <c r="IS149"/>
  <c r="IS147"/>
  <c r="IS145"/>
  <c r="IS143"/>
  <c r="IS141"/>
  <c r="IS139"/>
  <c r="IS137"/>
  <c r="IS135"/>
  <c r="IS133"/>
  <c r="IS131"/>
  <c r="IS129"/>
  <c r="IS127"/>
  <c r="IS125"/>
  <c r="IS123"/>
  <c r="IS121"/>
  <c r="IS119"/>
  <c r="IS117"/>
  <c r="IS115"/>
  <c r="IS113"/>
  <c r="IS111"/>
  <c r="IS109"/>
  <c r="IS107"/>
  <c r="IS105"/>
  <c r="IS103"/>
  <c r="IS101"/>
  <c r="IS99"/>
  <c r="IS97"/>
  <c r="IS95"/>
  <c r="IS93"/>
  <c r="IS91"/>
  <c r="IS89"/>
  <c r="IS87"/>
  <c r="IS85"/>
  <c r="IS83"/>
  <c r="IS81"/>
  <c r="IS79"/>
  <c r="IS77"/>
  <c r="IS75"/>
  <c r="IS73"/>
  <c r="IS69"/>
  <c r="IS65"/>
  <c r="IS218"/>
  <c r="IS216"/>
  <c r="IS214"/>
  <c r="IS212"/>
  <c r="IS210"/>
  <c r="IS208"/>
  <c r="JA208" s="1"/>
  <c r="IS206"/>
  <c r="IS204"/>
  <c r="IS202"/>
  <c r="IS200"/>
  <c r="IS198"/>
  <c r="IS196"/>
  <c r="IS194"/>
  <c r="IS192"/>
  <c r="IS190"/>
  <c r="IS188"/>
  <c r="IS186"/>
  <c r="IS184"/>
  <c r="IS182"/>
  <c r="IS180"/>
  <c r="IS178"/>
  <c r="IS176"/>
  <c r="IS174"/>
  <c r="IS172"/>
  <c r="IS170"/>
  <c r="IS168"/>
  <c r="IS166"/>
  <c r="IS164"/>
  <c r="IS162"/>
  <c r="IS160"/>
  <c r="IS158"/>
  <c r="IS156"/>
  <c r="IS154"/>
  <c r="IS152"/>
  <c r="IS150"/>
  <c r="IS148"/>
  <c r="IS146"/>
  <c r="IS144"/>
  <c r="IS142"/>
  <c r="IS140"/>
  <c r="IS138"/>
  <c r="IS136"/>
  <c r="IS134"/>
  <c r="IS132"/>
  <c r="IS130"/>
  <c r="IS128"/>
  <c r="IS126"/>
  <c r="IS124"/>
  <c r="IS122"/>
  <c r="IS120"/>
  <c r="IS118"/>
  <c r="IS116"/>
  <c r="IS114"/>
  <c r="IS112"/>
  <c r="IS110"/>
  <c r="IS108"/>
  <c r="IS106"/>
  <c r="IS104"/>
  <c r="IS102"/>
  <c r="IS100"/>
  <c r="IS98"/>
  <c r="IS96"/>
  <c r="IS94"/>
  <c r="IS92"/>
  <c r="IS90"/>
  <c r="IS88"/>
  <c r="IS86"/>
  <c r="IS84"/>
  <c r="IS82"/>
  <c r="IS80"/>
  <c r="IS78"/>
  <c r="IS76"/>
  <c r="IS74"/>
  <c r="IS70"/>
  <c r="IS66"/>
  <c r="IS62"/>
  <c r="IZ208"/>
  <c r="JB208" s="1"/>
  <c r="IW208"/>
  <c r="IS72"/>
  <c r="IS68"/>
  <c r="IS64"/>
  <c r="IS60"/>
  <c r="IS58"/>
  <c r="IS56"/>
  <c r="IS54"/>
  <c r="IS52"/>
  <c r="IS50"/>
  <c r="IS48"/>
  <c r="IS46"/>
  <c r="IS44"/>
  <c r="IS42"/>
  <c r="IS40"/>
  <c r="IS38"/>
  <c r="IS36"/>
  <c r="IS34"/>
  <c r="IS32"/>
  <c r="IS30"/>
  <c r="IS28"/>
  <c r="IS26"/>
  <c r="IS24"/>
  <c r="IS22"/>
  <c r="IS20"/>
  <c r="IS18"/>
  <c r="IS16"/>
  <c r="IS14"/>
  <c r="IS12"/>
  <c r="IS10"/>
  <c r="IS71"/>
  <c r="IS67"/>
  <c r="IS63"/>
  <c r="IS61"/>
  <c r="IS59"/>
  <c r="IS57"/>
  <c r="IS55"/>
  <c r="IS53"/>
  <c r="IS51"/>
  <c r="IS49"/>
  <c r="IS47"/>
  <c r="IS45"/>
  <c r="IS43"/>
  <c r="IS41"/>
  <c r="IS39"/>
  <c r="IS37"/>
  <c r="IS35"/>
  <c r="IS33"/>
  <c r="IS31"/>
  <c r="IS29"/>
  <c r="IS27"/>
  <c r="IS25"/>
  <c r="IS23"/>
  <c r="IS21"/>
  <c r="IS19"/>
  <c r="IS17"/>
  <c r="IS15"/>
  <c r="IS13"/>
  <c r="IS11"/>
  <c r="IS9"/>
  <c r="IE177"/>
  <c r="IE173"/>
  <c r="IE169"/>
  <c r="IE165"/>
  <c r="IE159"/>
  <c r="IE155"/>
  <c r="IE151"/>
  <c r="IE147"/>
  <c r="IE143"/>
  <c r="IE139"/>
  <c r="IE135"/>
  <c r="IE131"/>
  <c r="IE127"/>
  <c r="IE123"/>
  <c r="IE119"/>
  <c r="IE115"/>
  <c r="IE111"/>
  <c r="IE107"/>
  <c r="IE103"/>
  <c r="IE99"/>
  <c r="IE95"/>
  <c r="IE91"/>
  <c r="IE87"/>
  <c r="IE83"/>
  <c r="IE79"/>
  <c r="IE75"/>
  <c r="IE73"/>
  <c r="IE71"/>
  <c r="IE69"/>
  <c r="IE67"/>
  <c r="IE65"/>
  <c r="IE63"/>
  <c r="IE61"/>
  <c r="IE59"/>
  <c r="IE57"/>
  <c r="IE55"/>
  <c r="IE53"/>
  <c r="IE49"/>
  <c r="IE47"/>
  <c r="IE45"/>
  <c r="IE43"/>
  <c r="IE41"/>
  <c r="IE39"/>
  <c r="IE37"/>
  <c r="IE35"/>
  <c r="IE33"/>
  <c r="IE31"/>
  <c r="IE29"/>
  <c r="IE27"/>
  <c r="IE25"/>
  <c r="IE23"/>
  <c r="IE21"/>
  <c r="IE19"/>
  <c r="IE17"/>
  <c r="IE15"/>
  <c r="IE13"/>
  <c r="IE11"/>
  <c r="IE207"/>
  <c r="IE205"/>
  <c r="IE203"/>
  <c r="IE201"/>
  <c r="IE199"/>
  <c r="IE197"/>
  <c r="IE195"/>
  <c r="IE193"/>
  <c r="IE191"/>
  <c r="IE189"/>
  <c r="IE187"/>
  <c r="IE185"/>
  <c r="IE183"/>
  <c r="IE181"/>
  <c r="IE179"/>
  <c r="IE175"/>
  <c r="IE171"/>
  <c r="IE167"/>
  <c r="IE163"/>
  <c r="IE161"/>
  <c r="IE157"/>
  <c r="IE153"/>
  <c r="IE149"/>
  <c r="IE145"/>
  <c r="IE141"/>
  <c r="IE137"/>
  <c r="IE133"/>
  <c r="IE129"/>
  <c r="IE125"/>
  <c r="IE121"/>
  <c r="IE117"/>
  <c r="IE113"/>
  <c r="IE109"/>
  <c r="IE105"/>
  <c r="IE101"/>
  <c r="IE97"/>
  <c r="IE93"/>
  <c r="IE89"/>
  <c r="IE85"/>
  <c r="IE81"/>
  <c r="IE77"/>
  <c r="IE51"/>
  <c r="IE178"/>
  <c r="IE172"/>
  <c r="IE168"/>
  <c r="IE164"/>
  <c r="IE160"/>
  <c r="IE154"/>
  <c r="IE152"/>
  <c r="IE148"/>
  <c r="IE144"/>
  <c r="IE140"/>
  <c r="IE136"/>
  <c r="IE132"/>
  <c r="IE128"/>
  <c r="IE124"/>
  <c r="IE120"/>
  <c r="IE116"/>
  <c r="IE112"/>
  <c r="IE108"/>
  <c r="IE104"/>
  <c r="IE98"/>
  <c r="IE94"/>
  <c r="IE92"/>
  <c r="IE88"/>
  <c r="IE84"/>
  <c r="IE80"/>
  <c r="IE76"/>
  <c r="IE74"/>
  <c r="IE72"/>
  <c r="IE70"/>
  <c r="IE68"/>
  <c r="IE66"/>
  <c r="IE64"/>
  <c r="IE62"/>
  <c r="IE60"/>
  <c r="IE58"/>
  <c r="IE56"/>
  <c r="IE54"/>
  <c r="IE52"/>
  <c r="IE48"/>
  <c r="IE46"/>
  <c r="IE44"/>
  <c r="IE42"/>
  <c r="IE40"/>
  <c r="IE38"/>
  <c r="IE36"/>
  <c r="IE34"/>
  <c r="IE32"/>
  <c r="IE30"/>
  <c r="IE28"/>
  <c r="IE26"/>
  <c r="IE24"/>
  <c r="IE22"/>
  <c r="IE20"/>
  <c r="IE18"/>
  <c r="IE14"/>
  <c r="IE12"/>
  <c r="IE10"/>
  <c r="IE206"/>
  <c r="IE204"/>
  <c r="IE202"/>
  <c r="IE200"/>
  <c r="IE198"/>
  <c r="IE196"/>
  <c r="IE194"/>
  <c r="IE192"/>
  <c r="IE190"/>
  <c r="IE188"/>
  <c r="IE186"/>
  <c r="IE184"/>
  <c r="IE182"/>
  <c r="IE180"/>
  <c r="IE176"/>
  <c r="IE174"/>
  <c r="IE170"/>
  <c r="IE166"/>
  <c r="IE162"/>
  <c r="IE158"/>
  <c r="IE156"/>
  <c r="IE150"/>
  <c r="IE146"/>
  <c r="IE142"/>
  <c r="IE138"/>
  <c r="IE134"/>
  <c r="IE130"/>
  <c r="IE126"/>
  <c r="IE122"/>
  <c r="IE118"/>
  <c r="IE114"/>
  <c r="IE110"/>
  <c r="IE106"/>
  <c r="IE102"/>
  <c r="IE100"/>
  <c r="IE96"/>
  <c r="IE90"/>
  <c r="IE86"/>
  <c r="IE82"/>
  <c r="IE78"/>
  <c r="IE50"/>
  <c r="J21" i="4" l="1"/>
  <c r="E21" i="18"/>
  <c r="C21"/>
  <c r="K15" i="20"/>
  <c r="J20" i="18"/>
  <c r="K13" i="20"/>
  <c r="K16"/>
  <c r="K19"/>
  <c r="K12"/>
  <c r="K18"/>
  <c r="K14"/>
  <c r="K11"/>
  <c r="O21" i="18"/>
  <c r="K21"/>
  <c r="M21"/>
  <c r="N21"/>
  <c r="L21"/>
  <c r="Q16" i="4"/>
  <c r="D21" i="18"/>
  <c r="J16"/>
  <c r="J15"/>
  <c r="K18" i="19"/>
  <c r="F18"/>
  <c r="O17"/>
  <c r="I17"/>
  <c r="E17"/>
  <c r="N16"/>
  <c r="H16"/>
  <c r="D16"/>
  <c r="K15"/>
  <c r="E15"/>
  <c r="N14"/>
  <c r="F14"/>
  <c r="L18"/>
  <c r="G18"/>
  <c r="C18"/>
  <c r="K17"/>
  <c r="F17"/>
  <c r="O16"/>
  <c r="I16"/>
  <c r="E16"/>
  <c r="N15"/>
  <c r="F15"/>
  <c r="O14"/>
  <c r="G14"/>
  <c r="C14"/>
  <c r="N18"/>
  <c r="H18"/>
  <c r="D18"/>
  <c r="L17"/>
  <c r="G17"/>
  <c r="C17"/>
  <c r="K16"/>
  <c r="F16"/>
  <c r="O15"/>
  <c r="G15"/>
  <c r="C15"/>
  <c r="I14"/>
  <c r="D14"/>
  <c r="I18"/>
  <c r="E18"/>
  <c r="N17"/>
  <c r="H17"/>
  <c r="D17"/>
  <c r="L16"/>
  <c r="G16"/>
  <c r="C16"/>
  <c r="I15"/>
  <c r="D15"/>
  <c r="K14"/>
  <c r="E14"/>
  <c r="AB7"/>
  <c r="C4"/>
  <c r="L20"/>
  <c r="AU16"/>
  <c r="B17" s="1"/>
  <c r="B27"/>
  <c r="C24"/>
  <c r="N23"/>
  <c r="M20"/>
  <c r="AU17"/>
  <c r="B18" s="1"/>
  <c r="F27"/>
  <c r="L23"/>
  <c r="L6"/>
  <c r="K27"/>
  <c r="C23"/>
  <c r="E23"/>
  <c r="H20"/>
  <c r="AU15"/>
  <c r="B16" s="1"/>
  <c r="G20"/>
  <c r="AU20"/>
  <c r="B20" s="1"/>
  <c r="C20"/>
  <c r="K20"/>
  <c r="D20"/>
  <c r="E20"/>
  <c r="I20"/>
  <c r="F20"/>
  <c r="N20"/>
  <c r="O20"/>
  <c r="T9" i="20"/>
  <c r="P9"/>
  <c r="U9"/>
  <c r="BN9"/>
  <c r="N9"/>
  <c r="BM9"/>
  <c r="Q9"/>
  <c r="Y9" s="1"/>
  <c r="L9"/>
  <c r="BP9"/>
  <c r="BO9"/>
  <c r="K9" s="1"/>
  <c r="AB9"/>
  <c r="M9"/>
  <c r="Q15" i="4"/>
  <c r="J17" i="18"/>
  <c r="J14"/>
  <c r="F21"/>
  <c r="J18"/>
  <c r="AH6" i="4"/>
  <c r="AF6"/>
  <c r="AG6"/>
  <c r="AG9" s="1"/>
  <c r="H21" i="18"/>
  <c r="G21"/>
  <c r="I21"/>
  <c r="IV208" i="9"/>
  <c r="IY208"/>
  <c r="IU208"/>
  <c r="IT208"/>
  <c r="IX208"/>
  <c r="J15" i="19" l="1"/>
  <c r="J14"/>
  <c r="J20"/>
  <c r="V9" i="20"/>
  <c r="R9"/>
  <c r="AA9"/>
  <c r="J18" i="19"/>
  <c r="J16"/>
  <c r="J17"/>
  <c r="P214" i="20"/>
  <c r="O220"/>
  <c r="O216"/>
  <c r="U221"/>
  <c r="O219"/>
  <c r="O221"/>
  <c r="U218"/>
  <c r="O218"/>
  <c r="U216"/>
  <c r="U219"/>
  <c r="U220"/>
  <c r="U217"/>
  <c r="O217"/>
  <c r="O214"/>
  <c r="AD214"/>
  <c r="U214"/>
  <c r="W214"/>
  <c r="Q214"/>
  <c r="V214"/>
  <c r="R214"/>
  <c r="AG7" i="4"/>
  <c r="O9" i="20"/>
  <c r="X9"/>
  <c r="AC9" s="1"/>
  <c r="AF9" i="4"/>
  <c r="AF7"/>
  <c r="L36" i="19"/>
  <c r="AB18"/>
  <c r="W18"/>
  <c r="S18"/>
  <c r="AA17"/>
  <c r="V17"/>
  <c r="AE16"/>
  <c r="Y16"/>
  <c r="U16"/>
  <c r="AD15"/>
  <c r="V15"/>
  <c r="AE14"/>
  <c r="W14"/>
  <c r="S14"/>
  <c r="AD18"/>
  <c r="X18"/>
  <c r="T18"/>
  <c r="AB17"/>
  <c r="W17"/>
  <c r="S17"/>
  <c r="AA16"/>
  <c r="V16"/>
  <c r="AE15"/>
  <c r="W15"/>
  <c r="S15"/>
  <c r="Y14"/>
  <c r="T14"/>
  <c r="AE18"/>
  <c r="Y18"/>
  <c r="U18"/>
  <c r="AD17"/>
  <c r="X17"/>
  <c r="T17"/>
  <c r="AB16"/>
  <c r="W16"/>
  <c r="S16"/>
  <c r="Y15"/>
  <c r="T15"/>
  <c r="AA14"/>
  <c r="U14"/>
  <c r="AA18"/>
  <c r="V18"/>
  <c r="AE17"/>
  <c r="Y17"/>
  <c r="U17"/>
  <c r="AD16"/>
  <c r="X16"/>
  <c r="T16"/>
  <c r="AA15"/>
  <c r="U15"/>
  <c r="AD14"/>
  <c r="V14"/>
  <c r="AV16"/>
  <c r="R17" s="1"/>
  <c r="R27"/>
  <c r="AC24"/>
  <c r="AD23"/>
  <c r="AE20"/>
  <c r="AA20"/>
  <c r="V20"/>
  <c r="S7"/>
  <c r="AV17"/>
  <c r="R18" s="1"/>
  <c r="V27"/>
  <c r="AB20"/>
  <c r="W20"/>
  <c r="S20"/>
  <c r="S6"/>
  <c r="AV20"/>
  <c r="R20" s="1"/>
  <c r="AA27"/>
  <c r="S24"/>
  <c r="U23"/>
  <c r="AC20"/>
  <c r="X20"/>
  <c r="T20"/>
  <c r="AB6"/>
  <c r="AV15"/>
  <c r="R16" s="1"/>
  <c r="Y24"/>
  <c r="S23"/>
  <c r="AB23"/>
  <c r="AD20"/>
  <c r="Y20"/>
  <c r="U20"/>
  <c r="S4"/>
  <c r="S8"/>
  <c r="AB8"/>
  <c r="AY5" s="1"/>
  <c r="AH9" i="4"/>
  <c r="AH7"/>
  <c r="FG2" i="9"/>
  <c r="ED5"/>
  <c r="EC5"/>
  <c r="F4"/>
  <c r="G4"/>
  <c r="E4"/>
  <c r="EC4"/>
  <c r="AY3" i="8"/>
  <c r="AW3"/>
  <c r="AS3"/>
  <c r="AQ3"/>
  <c r="AO3"/>
  <c r="AK3"/>
  <c r="AI3"/>
  <c r="AG3"/>
  <c r="AC3"/>
  <c r="AA3"/>
  <c r="Y3"/>
  <c r="U3"/>
  <c r="Z16" i="19" l="1"/>
  <c r="AG8" i="4"/>
  <c r="P9" s="1"/>
  <c r="Z17" i="19"/>
  <c r="Z15"/>
  <c r="Z14"/>
  <c r="AE214" i="20"/>
  <c r="Z18" i="19"/>
  <c r="Z20"/>
  <c r="AX6"/>
  <c r="AZ6"/>
  <c r="AY6"/>
  <c r="N47"/>
  <c r="H47"/>
  <c r="D47"/>
  <c r="L46"/>
  <c r="G46"/>
  <c r="C46"/>
  <c r="K45"/>
  <c r="F45"/>
  <c r="O44"/>
  <c r="G44"/>
  <c r="C44"/>
  <c r="I43"/>
  <c r="D43"/>
  <c r="O47"/>
  <c r="I47"/>
  <c r="E47"/>
  <c r="N46"/>
  <c r="H46"/>
  <c r="D46"/>
  <c r="L45"/>
  <c r="G45"/>
  <c r="C45"/>
  <c r="I44"/>
  <c r="D44"/>
  <c r="K43"/>
  <c r="E43"/>
  <c r="K47"/>
  <c r="F47"/>
  <c r="O46"/>
  <c r="I46"/>
  <c r="E46"/>
  <c r="N45"/>
  <c r="H45"/>
  <c r="D45"/>
  <c r="K44"/>
  <c r="E44"/>
  <c r="N43"/>
  <c r="F43"/>
  <c r="L47"/>
  <c r="G47"/>
  <c r="C47"/>
  <c r="K46"/>
  <c r="F46"/>
  <c r="O45"/>
  <c r="I45"/>
  <c r="E45"/>
  <c r="N44"/>
  <c r="F44"/>
  <c r="O43"/>
  <c r="G43"/>
  <c r="C43"/>
  <c r="AB36"/>
  <c r="B56"/>
  <c r="N52"/>
  <c r="C52"/>
  <c r="N49"/>
  <c r="I49"/>
  <c r="E49"/>
  <c r="L37"/>
  <c r="AS34" s="1"/>
  <c r="C36"/>
  <c r="C35"/>
  <c r="F56"/>
  <c r="I53"/>
  <c r="E52"/>
  <c r="AU49"/>
  <c r="B49" s="1"/>
  <c r="O49"/>
  <c r="P49" s="1"/>
  <c r="K49"/>
  <c r="F49"/>
  <c r="AU45"/>
  <c r="B46" s="1"/>
  <c r="C33"/>
  <c r="K56"/>
  <c r="L49"/>
  <c r="G49"/>
  <c r="C49"/>
  <c r="C37"/>
  <c r="L35"/>
  <c r="M53"/>
  <c r="C53"/>
  <c r="L52"/>
  <c r="M49"/>
  <c r="H49"/>
  <c r="D49"/>
  <c r="AU46"/>
  <c r="B47" s="1"/>
  <c r="AU44"/>
  <c r="B45" s="1"/>
  <c r="AE21"/>
  <c r="AG10" i="4"/>
  <c r="Z9" i="20"/>
  <c r="S9"/>
  <c r="S214"/>
  <c r="R139" i="19"/>
  <c r="R110"/>
  <c r="R81"/>
  <c r="A23" i="18"/>
  <c r="B139" i="19"/>
  <c r="B110"/>
  <c r="B81"/>
  <c r="R52"/>
  <c r="B52"/>
  <c r="A23" i="4"/>
  <c r="R23" i="19"/>
  <c r="B23"/>
  <c r="AM2" i="15"/>
  <c r="J49" i="19" l="1"/>
  <c r="J46"/>
  <c r="J43"/>
  <c r="O50"/>
  <c r="J45"/>
  <c r="J47"/>
  <c r="J44"/>
  <c r="AX9"/>
  <c r="AX7"/>
  <c r="W9" i="20"/>
  <c r="AD9"/>
  <c r="AZ9" i="19"/>
  <c r="AZ7"/>
  <c r="AR35"/>
  <c r="AT35"/>
  <c r="AS35"/>
  <c r="AY9"/>
  <c r="AY7"/>
  <c r="AD46"/>
  <c r="X46"/>
  <c r="T46"/>
  <c r="AB45"/>
  <c r="W45"/>
  <c r="S45"/>
  <c r="Y44"/>
  <c r="T44"/>
  <c r="AA43"/>
  <c r="U43"/>
  <c r="AE46"/>
  <c r="Y46"/>
  <c r="U46"/>
  <c r="AD45"/>
  <c r="X45"/>
  <c r="T45"/>
  <c r="AA44"/>
  <c r="U44"/>
  <c r="AD43"/>
  <c r="V43"/>
  <c r="AA46"/>
  <c r="V46"/>
  <c r="AE45"/>
  <c r="Y45"/>
  <c r="U45"/>
  <c r="AD44"/>
  <c r="V44"/>
  <c r="AE43"/>
  <c r="W43"/>
  <c r="S43"/>
  <c r="AB46"/>
  <c r="W46"/>
  <c r="S46"/>
  <c r="AA45"/>
  <c r="V45"/>
  <c r="AE44"/>
  <c r="W44"/>
  <c r="S44"/>
  <c r="Y43"/>
  <c r="T43"/>
  <c r="L65"/>
  <c r="V56"/>
  <c r="Y53"/>
  <c r="AB52"/>
  <c r="Y49"/>
  <c r="U49"/>
  <c r="AV44"/>
  <c r="R45" s="1"/>
  <c r="AB37"/>
  <c r="AY34" s="1"/>
  <c r="S35"/>
  <c r="AA56"/>
  <c r="AD52"/>
  <c r="V49"/>
  <c r="AC53"/>
  <c r="S53"/>
  <c r="S52"/>
  <c r="W49"/>
  <c r="S49"/>
  <c r="AV45"/>
  <c r="R46" s="1"/>
  <c r="S37"/>
  <c r="AB35"/>
  <c r="S33"/>
  <c r="R56"/>
  <c r="U52"/>
  <c r="X49"/>
  <c r="T49"/>
  <c r="S36"/>
  <c r="W47"/>
  <c r="AB47"/>
  <c r="X47"/>
  <c r="T47"/>
  <c r="AV46"/>
  <c r="R47" s="1"/>
  <c r="AA47"/>
  <c r="U47"/>
  <c r="S47"/>
  <c r="AD47"/>
  <c r="Y47"/>
  <c r="V47"/>
  <c r="AE47"/>
  <c r="AC49"/>
  <c r="AB49"/>
  <c r="AV49"/>
  <c r="R49" s="1"/>
  <c r="AA49"/>
  <c r="AD49"/>
  <c r="AE49"/>
  <c r="CL3" i="9"/>
  <c r="BO3"/>
  <c r="Z45" i="19" l="1"/>
  <c r="Z43"/>
  <c r="Z49"/>
  <c r="Z44"/>
  <c r="Z46"/>
  <c r="AR38"/>
  <c r="AR36"/>
  <c r="AW9" i="20"/>
  <c r="AE9" s="1"/>
  <c r="AT19"/>
  <c r="X8" s="1"/>
  <c r="AZ35" i="19"/>
  <c r="AX35"/>
  <c r="AY35"/>
  <c r="AT38"/>
  <c r="AT36"/>
  <c r="N75"/>
  <c r="H75"/>
  <c r="D75"/>
  <c r="L74"/>
  <c r="G74"/>
  <c r="C74"/>
  <c r="I73"/>
  <c r="D73"/>
  <c r="K72"/>
  <c r="E72"/>
  <c r="K85"/>
  <c r="I82"/>
  <c r="E81"/>
  <c r="L66"/>
  <c r="AS63" s="1"/>
  <c r="L64"/>
  <c r="O75"/>
  <c r="I75"/>
  <c r="E75"/>
  <c r="N74"/>
  <c r="H74"/>
  <c r="D74"/>
  <c r="K73"/>
  <c r="E73"/>
  <c r="N72"/>
  <c r="F72"/>
  <c r="M82"/>
  <c r="L81"/>
  <c r="AU73"/>
  <c r="C65"/>
  <c r="K75"/>
  <c r="F75"/>
  <c r="O74"/>
  <c r="I74"/>
  <c r="E74"/>
  <c r="N73"/>
  <c r="F73"/>
  <c r="O72"/>
  <c r="G72"/>
  <c r="C72"/>
  <c r="B85"/>
  <c r="N81"/>
  <c r="AU74"/>
  <c r="AB65"/>
  <c r="C62"/>
  <c r="L75"/>
  <c r="G75"/>
  <c r="C75"/>
  <c r="K74"/>
  <c r="F74"/>
  <c r="O73"/>
  <c r="G73"/>
  <c r="C73"/>
  <c r="I72"/>
  <c r="D72"/>
  <c r="F85"/>
  <c r="C82"/>
  <c r="C81"/>
  <c r="C66"/>
  <c r="C64"/>
  <c r="D78"/>
  <c r="C78"/>
  <c r="E78"/>
  <c r="H78"/>
  <c r="G78"/>
  <c r="I78"/>
  <c r="F78"/>
  <c r="K76"/>
  <c r="C76"/>
  <c r="E76"/>
  <c r="AU75"/>
  <c r="H76"/>
  <c r="L76"/>
  <c r="G76"/>
  <c r="D76"/>
  <c r="I76"/>
  <c r="F76"/>
  <c r="N76"/>
  <c r="O76"/>
  <c r="AU78"/>
  <c r="K78"/>
  <c r="M78"/>
  <c r="L78"/>
  <c r="N78"/>
  <c r="O78"/>
  <c r="AS36"/>
  <c r="AS38"/>
  <c r="AE50"/>
  <c r="AY8"/>
  <c r="AB9" s="1"/>
  <c r="AX9" i="20"/>
  <c r="AT20"/>
  <c r="Z47" i="19"/>
  <c r="AY10"/>
  <c r="AG3" i="15"/>
  <c r="AD3"/>
  <c r="A15" i="6"/>
  <c r="AS39" i="19" l="1"/>
  <c r="J74"/>
  <c r="J73"/>
  <c r="J72"/>
  <c r="J75"/>
  <c r="J76"/>
  <c r="AZ36"/>
  <c r="AZ38"/>
  <c r="AS37"/>
  <c r="L38" s="1"/>
  <c r="AX38"/>
  <c r="AX36"/>
  <c r="AY38"/>
  <c r="AY36"/>
  <c r="AG9" i="20"/>
  <c r="AF9"/>
  <c r="U212"/>
  <c r="U215" s="1"/>
  <c r="I217"/>
  <c r="I219"/>
  <c r="I212"/>
  <c r="I220"/>
  <c r="I218"/>
  <c r="I216"/>
  <c r="O212"/>
  <c r="O215" s="1"/>
  <c r="I221"/>
  <c r="J78" i="19"/>
  <c r="AD75"/>
  <c r="X75"/>
  <c r="T75"/>
  <c r="AB74"/>
  <c r="W74"/>
  <c r="S74"/>
  <c r="Y73"/>
  <c r="T73"/>
  <c r="AA72"/>
  <c r="U72"/>
  <c r="AE75"/>
  <c r="Y75"/>
  <c r="U75"/>
  <c r="AD74"/>
  <c r="X74"/>
  <c r="T74"/>
  <c r="AA73"/>
  <c r="U73"/>
  <c r="AD72"/>
  <c r="V72"/>
  <c r="AA75"/>
  <c r="V75"/>
  <c r="AE74"/>
  <c r="Y74"/>
  <c r="U74"/>
  <c r="AD73"/>
  <c r="V73"/>
  <c r="AE72"/>
  <c r="W72"/>
  <c r="S72"/>
  <c r="AB75"/>
  <c r="W75"/>
  <c r="S75"/>
  <c r="AA74"/>
  <c r="V74"/>
  <c r="AE73"/>
  <c r="W73"/>
  <c r="S73"/>
  <c r="Y72"/>
  <c r="T72"/>
  <c r="AB76"/>
  <c r="T76"/>
  <c r="AA76"/>
  <c r="S76"/>
  <c r="U76"/>
  <c r="W76"/>
  <c r="X76"/>
  <c r="AD76"/>
  <c r="Y76"/>
  <c r="V76"/>
  <c r="AE76"/>
  <c r="A203" i="12"/>
  <c r="A204"/>
  <c r="A172"/>
  <c r="A173"/>
  <c r="A174"/>
  <c r="A175"/>
  <c r="A176"/>
  <c r="A177"/>
  <c r="A178"/>
  <c r="A179"/>
  <c r="A180"/>
  <c r="A181"/>
  <c r="A182"/>
  <c r="A183"/>
  <c r="A184"/>
  <c r="A185"/>
  <c r="A186"/>
  <c r="A187"/>
  <c r="A188"/>
  <c r="A189"/>
  <c r="A190"/>
  <c r="A191"/>
  <c r="A192"/>
  <c r="A193"/>
  <c r="A194"/>
  <c r="A195"/>
  <c r="A196"/>
  <c r="A197"/>
  <c r="A198"/>
  <c r="A199"/>
  <c r="A200"/>
  <c r="A201"/>
  <c r="A202"/>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5"/>
  <c r="A4" i="11"/>
  <c r="BB3" i="8"/>
  <c r="DS210" i="9" s="1"/>
  <c r="A19" i="6" s="1"/>
  <c r="AB26" i="7"/>
  <c r="AB27"/>
  <c r="AB28"/>
  <c r="AB29"/>
  <c r="AB30"/>
  <c r="AB31"/>
  <c r="AB32"/>
  <c r="AB33"/>
  <c r="AB34"/>
  <c r="AB35"/>
  <c r="AB36"/>
  <c r="AB37"/>
  <c r="AB38"/>
  <c r="AB25"/>
  <c r="AB5"/>
  <c r="AB6"/>
  <c r="AB7"/>
  <c r="AB8"/>
  <c r="AB9"/>
  <c r="AB10"/>
  <c r="AB11"/>
  <c r="AB12"/>
  <c r="AB13"/>
  <c r="AB14"/>
  <c r="AB15"/>
  <c r="AB16"/>
  <c r="AB17"/>
  <c r="AB18"/>
  <c r="AB19"/>
  <c r="AB20"/>
  <c r="AB21"/>
  <c r="AB22"/>
  <c r="AB23"/>
  <c r="AB24"/>
  <c r="AB4"/>
  <c r="Z73" i="19" l="1"/>
  <c r="Z75"/>
  <c r="Z72"/>
  <c r="Z76"/>
  <c r="Z74"/>
  <c r="J214" i="20"/>
  <c r="L214"/>
  <c r="I214"/>
  <c r="K214"/>
  <c r="AY37" i="19"/>
  <c r="AB38" s="1"/>
  <c r="AY39"/>
  <c r="DS209" i="9"/>
  <c r="B19" i="6" s="1"/>
  <c r="AJ2" i="15"/>
  <c r="DD2" i="9"/>
  <c r="CL209"/>
  <c r="BO209"/>
  <c r="I4"/>
  <c r="H4"/>
  <c r="FT9"/>
  <c r="FX9"/>
  <c r="GG9"/>
  <c r="GM9"/>
  <c r="FT10"/>
  <c r="FX10"/>
  <c r="GH10"/>
  <c r="GO10"/>
  <c r="FT11"/>
  <c r="FZ11"/>
  <c r="GH11"/>
  <c r="GL11"/>
  <c r="FQ12"/>
  <c r="GA12"/>
  <c r="GG12"/>
  <c r="GO12"/>
  <c r="FT13"/>
  <c r="FX13"/>
  <c r="GF13"/>
  <c r="GO13"/>
  <c r="FR14"/>
  <c r="FY14"/>
  <c r="GG14"/>
  <c r="GO14"/>
  <c r="FR15"/>
  <c r="GA15"/>
  <c r="GH15"/>
  <c r="GM15"/>
  <c r="FS16"/>
  <c r="FY16"/>
  <c r="GG16"/>
  <c r="GL16"/>
  <c r="FR17"/>
  <c r="GA17"/>
  <c r="GH17"/>
  <c r="GO17"/>
  <c r="FS18"/>
  <c r="FY18"/>
  <c r="GH18"/>
  <c r="GO18"/>
  <c r="FR19"/>
  <c r="FY19"/>
  <c r="GH19"/>
  <c r="GO19"/>
  <c r="FR20"/>
  <c r="FZ20"/>
  <c r="GH20"/>
  <c r="GN20"/>
  <c r="FT21"/>
  <c r="FY21"/>
  <c r="GH21"/>
  <c r="GL21"/>
  <c r="FS22"/>
  <c r="GA22"/>
  <c r="GH22"/>
  <c r="GM22"/>
  <c r="FT23"/>
  <c r="GA23"/>
  <c r="GF23"/>
  <c r="GL24"/>
  <c r="FS25"/>
  <c r="GO25"/>
  <c r="FQ26"/>
  <c r="GA26"/>
  <c r="GN26"/>
  <c r="FT27"/>
  <c r="GF27"/>
  <c r="GN27"/>
  <c r="GH28"/>
  <c r="GM28"/>
  <c r="FR29"/>
  <c r="FZ29"/>
  <c r="GG29"/>
  <c r="GL29"/>
  <c r="FT30"/>
  <c r="GA30"/>
  <c r="GG30"/>
  <c r="GN30"/>
  <c r="FT31"/>
  <c r="FZ31"/>
  <c r="GG31"/>
  <c r="GN31"/>
  <c r="FT32"/>
  <c r="GO32"/>
  <c r="FT33"/>
  <c r="GA33"/>
  <c r="GH33"/>
  <c r="GM33"/>
  <c r="GG33"/>
  <c r="FR34"/>
  <c r="FX34"/>
  <c r="GN34"/>
  <c r="GF35"/>
  <c r="GO35"/>
  <c r="GA36"/>
  <c r="GH36"/>
  <c r="GA37"/>
  <c r="GG37"/>
  <c r="GM37"/>
  <c r="FS38"/>
  <c r="FX38"/>
  <c r="GO38"/>
  <c r="FQ39"/>
  <c r="FY39"/>
  <c r="GF39"/>
  <c r="GL39"/>
  <c r="FR40"/>
  <c r="FZ40"/>
  <c r="GH40"/>
  <c r="FQ41"/>
  <c r="FZ41"/>
  <c r="GE41"/>
  <c r="GM41"/>
  <c r="GE42"/>
  <c r="GM42"/>
  <c r="FR43"/>
  <c r="FX43"/>
  <c r="GN43"/>
  <c r="FS44"/>
  <c r="FZ44"/>
  <c r="GH44"/>
  <c r="FQ45"/>
  <c r="FX45"/>
  <c r="GE45"/>
  <c r="GL45"/>
  <c r="FQ46"/>
  <c r="GE46"/>
  <c r="GO46"/>
  <c r="FS47"/>
  <c r="GA47"/>
  <c r="GM47"/>
  <c r="FT48"/>
  <c r="FY48"/>
  <c r="GN48"/>
  <c r="FX49"/>
  <c r="GH49"/>
  <c r="FR50"/>
  <c r="FX50"/>
  <c r="GF50"/>
  <c r="GL50"/>
  <c r="FQ51"/>
  <c r="FZ51"/>
  <c r="GE51"/>
  <c r="GN51"/>
  <c r="FR52"/>
  <c r="FZ52"/>
  <c r="GE52"/>
  <c r="FQ53"/>
  <c r="FY53"/>
  <c r="GG53"/>
  <c r="GO53"/>
  <c r="FQ54"/>
  <c r="FZ54"/>
  <c r="GG54"/>
  <c r="GN54"/>
  <c r="FZ55"/>
  <c r="GG55"/>
  <c r="GE55"/>
  <c r="FT56"/>
  <c r="FX56"/>
  <c r="GN56"/>
  <c r="FT57"/>
  <c r="FY57"/>
  <c r="GG57"/>
  <c r="FR58"/>
  <c r="FX58"/>
  <c r="GG58"/>
  <c r="FS59"/>
  <c r="GA59"/>
  <c r="GE59"/>
  <c r="GM59"/>
  <c r="FS60"/>
  <c r="FX60"/>
  <c r="GF60"/>
  <c r="GM60"/>
  <c r="FR61"/>
  <c r="FZ61"/>
  <c r="GG61"/>
  <c r="GN61"/>
  <c r="FR62"/>
  <c r="FX62"/>
  <c r="GF62"/>
  <c r="GL62"/>
  <c r="FQ63"/>
  <c r="GA63"/>
  <c r="GE63"/>
  <c r="GO63"/>
  <c r="FS64"/>
  <c r="FZ64"/>
  <c r="GF64"/>
  <c r="GO64"/>
  <c r="GA65"/>
  <c r="GF65"/>
  <c r="FQ66"/>
  <c r="GA66"/>
  <c r="GH66"/>
  <c r="GO66"/>
  <c r="FT67"/>
  <c r="FX67"/>
  <c r="GH67"/>
  <c r="GN67"/>
  <c r="FQ68"/>
  <c r="FZ68"/>
  <c r="GG68"/>
  <c r="GM68"/>
  <c r="FT69"/>
  <c r="FZ69"/>
  <c r="GE69"/>
  <c r="GL69"/>
  <c r="FT70"/>
  <c r="FY70"/>
  <c r="GH70"/>
  <c r="GN70"/>
  <c r="FS71"/>
  <c r="FY71"/>
  <c r="GH71"/>
  <c r="GM71"/>
  <c r="FT72"/>
  <c r="GA72"/>
  <c r="GH72"/>
  <c r="GN72"/>
  <c r="FT73"/>
  <c r="FY73"/>
  <c r="GG73"/>
  <c r="GN73"/>
  <c r="FT74"/>
  <c r="FY74"/>
  <c r="GH74"/>
  <c r="GN74"/>
  <c r="FR75"/>
  <c r="FY75"/>
  <c r="GH75"/>
  <c r="GL75"/>
  <c r="FQ76"/>
  <c r="FY76"/>
  <c r="GH76"/>
  <c r="GO76"/>
  <c r="FR77"/>
  <c r="FZ77"/>
  <c r="GF77"/>
  <c r="GL77"/>
  <c r="FT78"/>
  <c r="GA78"/>
  <c r="GH78"/>
  <c r="GN78"/>
  <c r="FS79"/>
  <c r="FY79"/>
  <c r="GG79"/>
  <c r="GO79"/>
  <c r="FR80"/>
  <c r="FX80"/>
  <c r="GH80"/>
  <c r="GL80"/>
  <c r="FQ81"/>
  <c r="FY81"/>
  <c r="GG81"/>
  <c r="GM81"/>
  <c r="FR82"/>
  <c r="FX82"/>
  <c r="GH82"/>
  <c r="GL82"/>
  <c r="FR83"/>
  <c r="GA83"/>
  <c r="GG83"/>
  <c r="GL83"/>
  <c r="FT84"/>
  <c r="FX84"/>
  <c r="GF84"/>
  <c r="GN84"/>
  <c r="FS85"/>
  <c r="FY85"/>
  <c r="GE85"/>
  <c r="GM85"/>
  <c r="GF85"/>
  <c r="FR86"/>
  <c r="FX86"/>
  <c r="GO86"/>
  <c r="FR87"/>
  <c r="GA87"/>
  <c r="GG87"/>
  <c r="GE87"/>
  <c r="FY88"/>
  <c r="GF88"/>
  <c r="FS89"/>
  <c r="GF89"/>
  <c r="GM89"/>
  <c r="FY90"/>
  <c r="GH90"/>
  <c r="GM90"/>
  <c r="FR91"/>
  <c r="GA91"/>
  <c r="GG91"/>
  <c r="FT92"/>
  <c r="FX92"/>
  <c r="GF92"/>
  <c r="GN92"/>
  <c r="FY93"/>
  <c r="GE93"/>
  <c r="GM93"/>
  <c r="FR94"/>
  <c r="FY94"/>
  <c r="GE94"/>
  <c r="GL94"/>
  <c r="FT95"/>
  <c r="GA95"/>
  <c r="GG95"/>
  <c r="GM95"/>
  <c r="FQ96"/>
  <c r="FZ96"/>
  <c r="GO96"/>
  <c r="FT97"/>
  <c r="FX97"/>
  <c r="GG97"/>
  <c r="GM97"/>
  <c r="FS98"/>
  <c r="FY98"/>
  <c r="GE98"/>
  <c r="GM98"/>
  <c r="FR99"/>
  <c r="FX99"/>
  <c r="GG99"/>
  <c r="GL99"/>
  <c r="FY100"/>
  <c r="GE100"/>
  <c r="GM100"/>
  <c r="FQ101"/>
  <c r="FX101"/>
  <c r="GF101"/>
  <c r="GM101"/>
  <c r="FR102"/>
  <c r="GA102"/>
  <c r="GN102"/>
  <c r="FT103"/>
  <c r="GG103"/>
  <c r="GL103"/>
  <c r="GA104"/>
  <c r="GH104"/>
  <c r="GM104"/>
  <c r="FR105"/>
  <c r="FX105"/>
  <c r="GH105"/>
  <c r="GN105"/>
  <c r="FT106"/>
  <c r="FZ106"/>
  <c r="GG106"/>
  <c r="GO106"/>
  <c r="FT107"/>
  <c r="FY107"/>
  <c r="GH107"/>
  <c r="GL107"/>
  <c r="FS108"/>
  <c r="GA108"/>
  <c r="GF108"/>
  <c r="GM108"/>
  <c r="FS109"/>
  <c r="FX109"/>
  <c r="GF109"/>
  <c r="GO109"/>
  <c r="FR110"/>
  <c r="FZ110"/>
  <c r="GG110"/>
  <c r="GL110"/>
  <c r="FR111"/>
  <c r="GA111"/>
  <c r="GE111"/>
  <c r="GL111"/>
  <c r="FS112"/>
  <c r="GA112"/>
  <c r="GF112"/>
  <c r="GM112"/>
  <c r="FQ113"/>
  <c r="FX113"/>
  <c r="GF113"/>
  <c r="GN113"/>
  <c r="FR114"/>
  <c r="FZ114"/>
  <c r="GG114"/>
  <c r="GL114"/>
  <c r="FR115"/>
  <c r="GA115"/>
  <c r="GH115"/>
  <c r="GL115"/>
  <c r="FQ116"/>
  <c r="GA116"/>
  <c r="GF116"/>
  <c r="GO116"/>
  <c r="GG116"/>
  <c r="FT117"/>
  <c r="FZ117"/>
  <c r="GF117"/>
  <c r="GM117"/>
  <c r="FR118"/>
  <c r="FZ118"/>
  <c r="GE118"/>
  <c r="GL118"/>
  <c r="FR119"/>
  <c r="GA119"/>
  <c r="GE119"/>
  <c r="GL119"/>
  <c r="FQ120"/>
  <c r="GA120"/>
  <c r="GF120"/>
  <c r="GO120"/>
  <c r="FT121"/>
  <c r="FZ121"/>
  <c r="GF121"/>
  <c r="GN121"/>
  <c r="FR122"/>
  <c r="GA122"/>
  <c r="GE122"/>
  <c r="GL122"/>
  <c r="FT123"/>
  <c r="GA123"/>
  <c r="GE123"/>
  <c r="GN123"/>
  <c r="FR124"/>
  <c r="FZ124"/>
  <c r="GF124"/>
  <c r="GL124"/>
  <c r="FQ125"/>
  <c r="FZ125"/>
  <c r="GH125"/>
  <c r="GM125"/>
  <c r="FR126"/>
  <c r="FY126"/>
  <c r="GF126"/>
  <c r="GL126"/>
  <c r="FS127"/>
  <c r="GA127"/>
  <c r="GG127"/>
  <c r="GM127"/>
  <c r="FR128"/>
  <c r="FY128"/>
  <c r="GE128"/>
  <c r="GN128"/>
  <c r="FT129"/>
  <c r="FX129"/>
  <c r="GF129"/>
  <c r="GN129"/>
  <c r="FQ130"/>
  <c r="FY130"/>
  <c r="GG130"/>
  <c r="GG131"/>
  <c r="GL131"/>
  <c r="FS132"/>
  <c r="GA132"/>
  <c r="GF132"/>
  <c r="GM132"/>
  <c r="FQ133"/>
  <c r="FX133"/>
  <c r="GF133"/>
  <c r="FS134"/>
  <c r="FY134"/>
  <c r="GE134"/>
  <c r="GL134"/>
  <c r="FR135"/>
  <c r="FX135"/>
  <c r="GH135"/>
  <c r="GL135"/>
  <c r="FR136"/>
  <c r="GA136"/>
  <c r="GM136"/>
  <c r="FT137"/>
  <c r="GM137"/>
  <c r="FQ138"/>
  <c r="FY138"/>
  <c r="GO138"/>
  <c r="FR139"/>
  <c r="GA139"/>
  <c r="GL139"/>
  <c r="FS140"/>
  <c r="GG140"/>
  <c r="GM140"/>
  <c r="GF141"/>
  <c r="FR142"/>
  <c r="GA142"/>
  <c r="GG142"/>
  <c r="GL142"/>
  <c r="FZ143"/>
  <c r="GH143"/>
  <c r="GL143"/>
  <c r="FS144"/>
  <c r="GE144"/>
  <c r="GO144"/>
  <c r="FQ145"/>
  <c r="FX145"/>
  <c r="GF145"/>
  <c r="GM145"/>
  <c r="FQ146"/>
  <c r="FZ146"/>
  <c r="GG146"/>
  <c r="FY147"/>
  <c r="GH147"/>
  <c r="FS148"/>
  <c r="GA148"/>
  <c r="GE148"/>
  <c r="FS149"/>
  <c r="FX149"/>
  <c r="GF149"/>
  <c r="FR150"/>
  <c r="GG150"/>
  <c r="GL150"/>
  <c r="GE150"/>
  <c r="FR151"/>
  <c r="FY151"/>
  <c r="FS152"/>
  <c r="GA152"/>
  <c r="FT153"/>
  <c r="FZ153"/>
  <c r="GF153"/>
  <c r="GE154"/>
  <c r="GM154"/>
  <c r="FQ155"/>
  <c r="FZ155"/>
  <c r="GH155"/>
  <c r="GO155"/>
  <c r="FZ156"/>
  <c r="GL156"/>
  <c r="FT157"/>
  <c r="FZ157"/>
  <c r="GE157"/>
  <c r="GM157"/>
  <c r="FQ158"/>
  <c r="FX158"/>
  <c r="GG158"/>
  <c r="GN158"/>
  <c r="GE158"/>
  <c r="FQ159"/>
  <c r="GA159"/>
  <c r="GE159"/>
  <c r="GO159"/>
  <c r="FR160"/>
  <c r="FY160"/>
  <c r="GH160"/>
  <c r="GO160"/>
  <c r="FQ161"/>
  <c r="FZ161"/>
  <c r="GH161"/>
  <c r="GN161"/>
  <c r="FR162"/>
  <c r="FY162"/>
  <c r="GF162"/>
  <c r="GN162"/>
  <c r="FT163"/>
  <c r="FY163"/>
  <c r="GH163"/>
  <c r="GO163"/>
  <c r="FQ164"/>
  <c r="FZ164"/>
  <c r="GE164"/>
  <c r="GL164"/>
  <c r="FS165"/>
  <c r="GA165"/>
  <c r="GE165"/>
  <c r="GN165"/>
  <c r="FR166"/>
  <c r="FY166"/>
  <c r="GF166"/>
  <c r="FT167"/>
  <c r="GA167"/>
  <c r="GH167"/>
  <c r="FR168"/>
  <c r="FZ168"/>
  <c r="GH168"/>
  <c r="FT169"/>
  <c r="FZ169"/>
  <c r="GH169"/>
  <c r="GN169"/>
  <c r="FS170"/>
  <c r="GG170"/>
  <c r="GL170"/>
  <c r="FR171"/>
  <c r="GA171"/>
  <c r="GH171"/>
  <c r="GL171"/>
  <c r="FT172"/>
  <c r="FX172"/>
  <c r="GF172"/>
  <c r="GN172"/>
  <c r="FS173"/>
  <c r="FY173"/>
  <c r="GG173"/>
  <c r="GM173"/>
  <c r="FR174"/>
  <c r="FZ174"/>
  <c r="GH174"/>
  <c r="GL174"/>
  <c r="FS175"/>
  <c r="GA175"/>
  <c r="GH175"/>
  <c r="GM175"/>
  <c r="FT176"/>
  <c r="FX176"/>
  <c r="GF176"/>
  <c r="GN176"/>
  <c r="FR177"/>
  <c r="FY177"/>
  <c r="GG177"/>
  <c r="GL177"/>
  <c r="FR178"/>
  <c r="FY178"/>
  <c r="GH178"/>
  <c r="GL178"/>
  <c r="FS179"/>
  <c r="GA179"/>
  <c r="GG179"/>
  <c r="GM179"/>
  <c r="FT180"/>
  <c r="FX180"/>
  <c r="GF180"/>
  <c r="FQ181"/>
  <c r="FY181"/>
  <c r="GG181"/>
  <c r="FR182"/>
  <c r="FZ182"/>
  <c r="GH182"/>
  <c r="GL182"/>
  <c r="FS183"/>
  <c r="GA183"/>
  <c r="GG183"/>
  <c r="GM183"/>
  <c r="FT184"/>
  <c r="FX184"/>
  <c r="GF184"/>
  <c r="GN184"/>
  <c r="FR185"/>
  <c r="FY185"/>
  <c r="GE185"/>
  <c r="GL185"/>
  <c r="FR186"/>
  <c r="GH186"/>
  <c r="GL186"/>
  <c r="FS187"/>
  <c r="GA187"/>
  <c r="GF187"/>
  <c r="GM187"/>
  <c r="FT188"/>
  <c r="FX188"/>
  <c r="GF188"/>
  <c r="GN188"/>
  <c r="FS189"/>
  <c r="FY189"/>
  <c r="GL189"/>
  <c r="FR190"/>
  <c r="GA190"/>
  <c r="GH190"/>
  <c r="GL190"/>
  <c r="FS191"/>
  <c r="GA191"/>
  <c r="GH191"/>
  <c r="GM191"/>
  <c r="FT192"/>
  <c r="FX192"/>
  <c r="GF192"/>
  <c r="GN192"/>
  <c r="FS193"/>
  <c r="FY193"/>
  <c r="GG193"/>
  <c r="GO193"/>
  <c r="FR194"/>
  <c r="GA194"/>
  <c r="GH194"/>
  <c r="GL194"/>
  <c r="FS195"/>
  <c r="GA195"/>
  <c r="GF195"/>
  <c r="GM195"/>
  <c r="FT196"/>
  <c r="FX196"/>
  <c r="GF196"/>
  <c r="GN196"/>
  <c r="FQ197"/>
  <c r="FY197"/>
  <c r="GG197"/>
  <c r="GO197"/>
  <c r="FR198"/>
  <c r="FZ198"/>
  <c r="GH198"/>
  <c r="GL198"/>
  <c r="GE198"/>
  <c r="FS199"/>
  <c r="GA199"/>
  <c r="GE199"/>
  <c r="GM199"/>
  <c r="FT200"/>
  <c r="FX200"/>
  <c r="GF200"/>
  <c r="GN200"/>
  <c r="FQ201"/>
  <c r="FY201"/>
  <c r="GG201"/>
  <c r="GO201"/>
  <c r="FR202"/>
  <c r="FX202"/>
  <c r="GH202"/>
  <c r="GL202"/>
  <c r="FS203"/>
  <c r="GA203"/>
  <c r="GH203"/>
  <c r="GM203"/>
  <c r="GF203"/>
  <c r="GO203"/>
  <c r="FT204"/>
  <c r="FX204"/>
  <c r="GF204"/>
  <c r="GN204"/>
  <c r="FT205"/>
  <c r="FY205"/>
  <c r="GG205"/>
  <c r="GM205"/>
  <c r="FR206"/>
  <c r="FX206"/>
  <c r="GH206"/>
  <c r="GL206"/>
  <c r="FS207"/>
  <c r="GA207"/>
  <c r="GH207"/>
  <c r="GM207"/>
  <c r="M214" i="20" l="1"/>
  <c r="I215" s="1"/>
  <c r="GL10" i="9"/>
  <c r="GN191"/>
  <c r="GH173"/>
  <c r="GF191"/>
  <c r="GG178"/>
  <c r="GG111"/>
  <c r="GF68"/>
  <c r="GG194"/>
  <c r="GE183"/>
  <c r="GM118"/>
  <c r="GF93"/>
  <c r="GG77"/>
  <c r="GE17"/>
  <c r="GE195"/>
  <c r="GE190"/>
  <c r="GE170"/>
  <c r="GG164"/>
  <c r="GH121"/>
  <c r="GH83"/>
  <c r="GN35"/>
  <c r="GH127"/>
  <c r="GF143"/>
  <c r="GH63"/>
  <c r="GG50"/>
  <c r="GE40"/>
  <c r="GG36"/>
  <c r="GF160"/>
  <c r="GE141"/>
  <c r="GH140"/>
  <c r="GG123"/>
  <c r="GE112"/>
  <c r="GG100"/>
  <c r="GE54"/>
  <c r="GG49"/>
  <c r="GF10"/>
  <c r="GO39"/>
  <c r="GL195"/>
  <c r="GH101"/>
  <c r="FY11"/>
  <c r="GA11"/>
  <c r="FS9"/>
  <c r="FR22"/>
  <c r="FR95"/>
  <c r="FT22"/>
  <c r="FZ181"/>
  <c r="GM165"/>
  <c r="GN46"/>
  <c r="GL31"/>
  <c r="GO15"/>
  <c r="FZ14"/>
  <c r="GO207"/>
  <c r="FR148"/>
  <c r="FR138"/>
  <c r="FX182"/>
  <c r="FZ74"/>
  <c r="GL73"/>
  <c r="FY82"/>
  <c r="GA192"/>
  <c r="FT119"/>
  <c r="FY106"/>
  <c r="FZ204"/>
  <c r="FQ98"/>
  <c r="FT62"/>
  <c r="FS15"/>
  <c r="FQ9"/>
  <c r="GO171"/>
  <c r="GE95"/>
  <c r="FZ75"/>
  <c r="GN179"/>
  <c r="GO41"/>
  <c r="FX205"/>
  <c r="FR193"/>
  <c r="FS169"/>
  <c r="FT159"/>
  <c r="GN117"/>
  <c r="GL79"/>
  <c r="GO73"/>
  <c r="GO67"/>
  <c r="FY62"/>
  <c r="FS61"/>
  <c r="FT50"/>
  <c r="GO21"/>
  <c r="GA169"/>
  <c r="GO142"/>
  <c r="FZ50"/>
  <c r="FR46"/>
  <c r="FX28"/>
  <c r="FZ27"/>
  <c r="FZ24"/>
  <c r="FQ24"/>
  <c r="FR205"/>
  <c r="GM201"/>
  <c r="GO200"/>
  <c r="FY120"/>
  <c r="FX114"/>
  <c r="GO81"/>
  <c r="FX75"/>
  <c r="FQ74"/>
  <c r="FY25"/>
  <c r="FR10"/>
  <c r="GO45"/>
  <c r="GM39"/>
  <c r="FZ28"/>
  <c r="FZ22"/>
  <c r="FY167"/>
  <c r="GM50"/>
  <c r="GA206"/>
  <c r="FS196"/>
  <c r="FQ183"/>
  <c r="GA182"/>
  <c r="FZ171"/>
  <c r="GO169"/>
  <c r="FZ145"/>
  <c r="FZ92"/>
  <c r="FZ53"/>
  <c r="FY41"/>
  <c r="FT39"/>
  <c r="GA25"/>
  <c r="GH24"/>
  <c r="FS17"/>
  <c r="FZ201"/>
  <c r="FS197"/>
  <c r="FZ196"/>
  <c r="FZ183"/>
  <c r="FQ149"/>
  <c r="GG148"/>
  <c r="GA145"/>
  <c r="FS138"/>
  <c r="FZ136"/>
  <c r="FQ135"/>
  <c r="FZ133"/>
  <c r="FQ132"/>
  <c r="FR130"/>
  <c r="GM129"/>
  <c r="FZ128"/>
  <c r="GN126"/>
  <c r="GO125"/>
  <c r="FS117"/>
  <c r="FT111"/>
  <c r="GO99"/>
  <c r="FZ95"/>
  <c r="FT89"/>
  <c r="GA75"/>
  <c r="GE73"/>
  <c r="GO60"/>
  <c r="FQ50"/>
  <c r="FZ38"/>
  <c r="FR27"/>
  <c r="FR21"/>
  <c r="FT17"/>
  <c r="FT16"/>
  <c r="FZ15"/>
  <c r="GA14"/>
  <c r="FS13"/>
  <c r="FZ10"/>
  <c r="GA130"/>
  <c r="GH73"/>
  <c r="FS50"/>
  <c r="GL5"/>
  <c r="GF207"/>
  <c r="GO202"/>
  <c r="GA178"/>
  <c r="GN177"/>
  <c r="GO176"/>
  <c r="FQ165"/>
  <c r="GN163"/>
  <c r="GO150"/>
  <c r="FX142"/>
  <c r="FS125"/>
  <c r="FZ122"/>
  <c r="GG120"/>
  <c r="GF111"/>
  <c r="FR109"/>
  <c r="FX106"/>
  <c r="GE97"/>
  <c r="FX96"/>
  <c r="GH89"/>
  <c r="GH77"/>
  <c r="FZ76"/>
  <c r="FZ73"/>
  <c r="FT61"/>
  <c r="FY58"/>
  <c r="GM51"/>
  <c r="GA40"/>
  <c r="GL37"/>
  <c r="FT15"/>
  <c r="B15" i="6"/>
  <c r="Q5" i="15"/>
  <c r="Q4" i="12"/>
  <c r="FS180" i="9"/>
  <c r="FQ169"/>
  <c r="FQ67"/>
  <c r="FQ61"/>
  <c r="FT60"/>
  <c r="P4" i="12"/>
  <c r="P5" i="15"/>
  <c r="FZ172" i="9"/>
  <c r="FR169"/>
  <c r="GO165"/>
  <c r="GF158"/>
  <c r="FY155"/>
  <c r="GH112"/>
  <c r="GA106"/>
  <c r="FZ99"/>
  <c r="GH87"/>
  <c r="GF67"/>
  <c r="GN64"/>
  <c r="FY51"/>
  <c r="FX47"/>
  <c r="GA45"/>
  <c r="GL41"/>
  <c r="FS34"/>
  <c r="GO29"/>
  <c r="GA20"/>
  <c r="FZ19"/>
  <c r="GA18"/>
  <c r="GM17"/>
  <c r="GF22"/>
  <c r="GG22"/>
  <c r="FQ207"/>
  <c r="GA204"/>
  <c r="FZ202"/>
  <c r="GN189"/>
  <c r="GA188"/>
  <c r="FZ185"/>
  <c r="GO184"/>
  <c r="GH183"/>
  <c r="FY182"/>
  <c r="GA176"/>
  <c r="FT175"/>
  <c r="FZ173"/>
  <c r="GA172"/>
  <c r="GM169"/>
  <c r="FZ167"/>
  <c r="FZ166"/>
  <c r="GA163"/>
  <c r="GM162"/>
  <c r="FZ152"/>
  <c r="GE135"/>
  <c r="GF130"/>
  <c r="GA126"/>
  <c r="FX119"/>
  <c r="GO117"/>
  <c r="FX115"/>
  <c r="GA114"/>
  <c r="FZ112"/>
  <c r="GO107"/>
  <c r="GF87"/>
  <c r="FT79"/>
  <c r="FX72"/>
  <c r="GL67"/>
  <c r="FR67"/>
  <c r="FX66"/>
  <c r="GL64"/>
  <c r="FZ62"/>
  <c r="FQ62"/>
  <c r="GO61"/>
  <c r="FT46"/>
  <c r="GG40"/>
  <c r="GO37"/>
  <c r="GN28"/>
  <c r="GH144"/>
  <c r="FQ142"/>
  <c r="GG135"/>
  <c r="GG119"/>
  <c r="FY115"/>
  <c r="FY108"/>
  <c r="FQ102"/>
  <c r="FQ94"/>
  <c r="GF79"/>
  <c r="FQ71"/>
  <c r="FS70"/>
  <c r="GM67"/>
  <c r="FS67"/>
  <c r="FY66"/>
  <c r="GA62"/>
  <c r="FQ59"/>
  <c r="FR48"/>
  <c r="GG46"/>
  <c r="FQ40"/>
  <c r="FQ36"/>
  <c r="FQ206"/>
  <c r="FY204"/>
  <c r="GE178"/>
  <c r="FY172"/>
  <c r="FX167"/>
  <c r="FR132"/>
  <c r="FS130"/>
  <c r="FZ129"/>
  <c r="GG128"/>
  <c r="GO115"/>
  <c r="GO113"/>
  <c r="FZ108"/>
  <c r="GO104"/>
  <c r="GH95"/>
  <c r="FS94"/>
  <c r="GH93"/>
  <c r="GH91"/>
  <c r="FS83"/>
  <c r="GH79"/>
  <c r="GO77"/>
  <c r="GN75"/>
  <c r="FR73"/>
  <c r="GA70"/>
  <c r="FQ69"/>
  <c r="FZ66"/>
  <c r="GO62"/>
  <c r="GH58"/>
  <c r="GA57"/>
  <c r="GO50"/>
  <c r="GG41"/>
  <c r="GE36"/>
  <c r="GL34"/>
  <c r="GL32"/>
  <c r="GN29"/>
  <c r="FY150"/>
  <c r="FX150"/>
  <c r="GL162"/>
  <c r="FS157"/>
  <c r="GN149"/>
  <c r="GL149"/>
  <c r="FT149"/>
  <c r="FR149"/>
  <c r="FR143"/>
  <c r="FQ143"/>
  <c r="GG207"/>
  <c r="FZ205"/>
  <c r="GF201"/>
  <c r="FT199"/>
  <c r="GE197"/>
  <c r="GH193"/>
  <c r="FZ187"/>
  <c r="GL183"/>
  <c r="FT183"/>
  <c r="GO179"/>
  <c r="FX177"/>
  <c r="GO175"/>
  <c r="FR201"/>
  <c r="GF197"/>
  <c r="FS184"/>
  <c r="GN183"/>
  <c r="GA180"/>
  <c r="FY176"/>
  <c r="FX174"/>
  <c r="GL173"/>
  <c r="FQ170"/>
  <c r="GL165"/>
  <c r="FY154"/>
  <c r="FZ154"/>
  <c r="GA151"/>
  <c r="FX151"/>
  <c r="FZ151"/>
  <c r="FY146"/>
  <c r="FX146"/>
  <c r="GA146"/>
  <c r="FT145"/>
  <c r="FS145"/>
  <c r="GE207"/>
  <c r="FZ206"/>
  <c r="GE204"/>
  <c r="FS201"/>
  <c r="FX198"/>
  <c r="GM197"/>
  <c r="GN195"/>
  <c r="FZ192"/>
  <c r="FX181"/>
  <c r="FT179"/>
  <c r="FQ178"/>
  <c r="FZ176"/>
  <c r="FR175"/>
  <c r="FQ173"/>
  <c r="GM172"/>
  <c r="GA161"/>
  <c r="GO34"/>
  <c r="FS20"/>
  <c r="FZ18"/>
  <c r="GL17"/>
  <c r="GA16"/>
  <c r="FY15"/>
  <c r="GN142"/>
  <c r="FR140"/>
  <c r="GO136"/>
  <c r="GE130"/>
  <c r="GO129"/>
  <c r="FQ129"/>
  <c r="FQ124"/>
  <c r="GN119"/>
  <c r="FQ119"/>
  <c r="FY114"/>
  <c r="FY110"/>
  <c r="FZ109"/>
  <c r="GN107"/>
  <c r="FY104"/>
  <c r="FZ101"/>
  <c r="GH99"/>
  <c r="FY92"/>
  <c r="FY86"/>
  <c r="FY84"/>
  <c r="FQ83"/>
  <c r="GO82"/>
  <c r="GF80"/>
  <c r="FQ77"/>
  <c r="GE75"/>
  <c r="FT71"/>
  <c r="GM70"/>
  <c r="FX68"/>
  <c r="GM64"/>
  <c r="FZ58"/>
  <c r="FT52"/>
  <c r="FX51"/>
  <c r="FZ48"/>
  <c r="GH45"/>
  <c r="GF44"/>
  <c r="GL35"/>
  <c r="FT34"/>
  <c r="GN32"/>
  <c r="FZ30"/>
  <c r="GA29"/>
  <c r="FS27"/>
  <c r="GO24"/>
  <c r="GL128"/>
  <c r="FS126"/>
  <c r="FQ123"/>
  <c r="FT113"/>
  <c r="FY111"/>
  <c r="FZ102"/>
  <c r="GA98"/>
  <c r="FZ84"/>
  <c r="GH81"/>
  <c r="FY77"/>
  <c r="FY68"/>
  <c r="GE64"/>
  <c r="FZ59"/>
  <c r="GM48"/>
  <c r="FX40"/>
  <c r="FT142"/>
  <c r="GL140"/>
  <c r="FZ139"/>
  <c r="FX138"/>
  <c r="FR137"/>
  <c r="GL129"/>
  <c r="GM128"/>
  <c r="GL127"/>
  <c r="FT126"/>
  <c r="GF123"/>
  <c r="GH116"/>
  <c r="FT115"/>
  <c r="FY112"/>
  <c r="FQ108"/>
  <c r="GL102"/>
  <c r="FQ99"/>
  <c r="GO98"/>
  <c r="GG93"/>
  <c r="GE91"/>
  <c r="GG89"/>
  <c r="FT87"/>
  <c r="FT83"/>
  <c r="FS82"/>
  <c r="FX76"/>
  <c r="GO74"/>
  <c r="GA68"/>
  <c r="GH64"/>
  <c r="GH60"/>
  <c r="GA51"/>
  <c r="GO48"/>
  <c r="FY40"/>
  <c r="GA39"/>
  <c r="FX36"/>
  <c r="FS35"/>
  <c r="GM34"/>
  <c r="FR32"/>
  <c r="FX30"/>
  <c r="GM29"/>
  <c r="GL28"/>
  <c r="FY26"/>
  <c r="GM25"/>
  <c r="GF24"/>
  <c r="FZ16"/>
  <c r="GM14"/>
  <c r="GN9"/>
  <c r="GG189"/>
  <c r="GH189"/>
  <c r="GN180"/>
  <c r="GO180"/>
  <c r="GM180"/>
  <c r="GG185"/>
  <c r="GH185"/>
  <c r="GO181"/>
  <c r="GM181"/>
  <c r="FS205"/>
  <c r="GG203"/>
  <c r="GA202"/>
  <c r="FZ200"/>
  <c r="FR197"/>
  <c r="GO196"/>
  <c r="GM193"/>
  <c r="FT191"/>
  <c r="GG190"/>
  <c r="FX189"/>
  <c r="GO185"/>
  <c r="GM185"/>
  <c r="FR181"/>
  <c r="FT181"/>
  <c r="FS181"/>
  <c r="FR207"/>
  <c r="GN207"/>
  <c r="FT207"/>
  <c r="FQ204"/>
  <c r="GE202"/>
  <c r="GE201"/>
  <c r="GA200"/>
  <c r="GE193"/>
  <c r="FZ189"/>
  <c r="FQ188"/>
  <c r="GO187"/>
  <c r="GE187"/>
  <c r="GG187"/>
  <c r="GA186"/>
  <c r="FY186"/>
  <c r="FT185"/>
  <c r="FQ185"/>
  <c r="FQ205"/>
  <c r="GG202"/>
  <c r="FZ197"/>
  <c r="GF193"/>
  <c r="GF189"/>
  <c r="FS188"/>
  <c r="FT187"/>
  <c r="GM94"/>
  <c r="FX98"/>
  <c r="FZ98"/>
  <c r="GF96"/>
  <c r="GE96"/>
  <c r="GL90"/>
  <c r="GO90"/>
  <c r="FR90"/>
  <c r="FS90"/>
  <c r="FZ184"/>
  <c r="GF183"/>
  <c r="FR183"/>
  <c r="GO182"/>
  <c r="GH181"/>
  <c r="FZ178"/>
  <c r="GH177"/>
  <c r="GM176"/>
  <c r="FS176"/>
  <c r="FY174"/>
  <c r="FX173"/>
  <c r="GE171"/>
  <c r="GN170"/>
  <c r="GF168"/>
  <c r="GO164"/>
  <c r="FS158"/>
  <c r="FX154"/>
  <c r="FR152"/>
  <c r="GF150"/>
  <c r="FS150"/>
  <c r="GE149"/>
  <c r="GH148"/>
  <c r="FQ148"/>
  <c r="FX147"/>
  <c r="FR145"/>
  <c r="FR144"/>
  <c r="GG143"/>
  <c r="FX143"/>
  <c r="GE140"/>
  <c r="GO139"/>
  <c r="GA138"/>
  <c r="GF135"/>
  <c r="GM134"/>
  <c r="GE133"/>
  <c r="GL132"/>
  <c r="GO128"/>
  <c r="GA128"/>
  <c r="FY127"/>
  <c r="FT125"/>
  <c r="GL121"/>
  <c r="FX118"/>
  <c r="FY116"/>
  <c r="GH111"/>
  <c r="GA110"/>
  <c r="GM109"/>
  <c r="FX107"/>
  <c r="FZ104"/>
  <c r="FS97"/>
  <c r="FQ97"/>
  <c r="FS93"/>
  <c r="FT93"/>
  <c r="FT91"/>
  <c r="FQ91"/>
  <c r="FX90"/>
  <c r="GA90"/>
  <c r="FQ177"/>
  <c r="FQ172"/>
  <c r="GO170"/>
  <c r="GE167"/>
  <c r="FQ166"/>
  <c r="FX162"/>
  <c r="FT158"/>
  <c r="GE155"/>
  <c r="FQ153"/>
  <c r="FT150"/>
  <c r="GA147"/>
  <c r="FY143"/>
  <c r="GM142"/>
  <c r="GF140"/>
  <c r="FX139"/>
  <c r="FQ137"/>
  <c r="GO132"/>
  <c r="FZ127"/>
  <c r="FZ126"/>
  <c r="GG124"/>
  <c r="FR121"/>
  <c r="FY118"/>
  <c r="GE117"/>
  <c r="FZ116"/>
  <c r="GH113"/>
  <c r="GE110"/>
  <c r="GM106"/>
  <c r="FQ106"/>
  <c r="FT105"/>
  <c r="GM91"/>
  <c r="GO91"/>
  <c r="FY89"/>
  <c r="FZ89"/>
  <c r="FT177"/>
  <c r="FS171"/>
  <c r="FY164"/>
  <c r="FR161"/>
  <c r="GA158"/>
  <c r="GG155"/>
  <c r="GF148"/>
  <c r="GG147"/>
  <c r="GA143"/>
  <c r="FQ140"/>
  <c r="FY139"/>
  <c r="FX134"/>
  <c r="FX128"/>
  <c r="GE127"/>
  <c r="GN125"/>
  <c r="FR125"/>
  <c r="FQ122"/>
  <c r="GN115"/>
  <c r="GN114"/>
  <c r="FQ111"/>
  <c r="FX110"/>
  <c r="GO92"/>
  <c r="FT85"/>
  <c r="GN83"/>
  <c r="FZ81"/>
  <c r="GG80"/>
  <c r="FZ79"/>
  <c r="GE78"/>
  <c r="GM75"/>
  <c r="GF69"/>
  <c r="GO68"/>
  <c r="FZ67"/>
  <c r="GL61"/>
  <c r="FR60"/>
  <c r="GH59"/>
  <c r="GE58"/>
  <c r="GE57"/>
  <c r="GA53"/>
  <c r="GH50"/>
  <c r="FS48"/>
  <c r="FY47"/>
  <c r="GM46"/>
  <c r="FY44"/>
  <c r="GL38"/>
  <c r="FT35"/>
  <c r="GM32"/>
  <c r="GO31"/>
  <c r="GH30"/>
  <c r="FZ25"/>
  <c r="GG23"/>
  <c r="FS21"/>
  <c r="GO20"/>
  <c r="GG15"/>
  <c r="GL13"/>
  <c r="GO11"/>
  <c r="FQ11"/>
  <c r="FZ9"/>
  <c r="GE83"/>
  <c r="GA79"/>
  <c r="FQ79"/>
  <c r="FY63"/>
  <c r="GM61"/>
  <c r="GF58"/>
  <c r="FZ56"/>
  <c r="FX53"/>
  <c r="GE50"/>
  <c r="FZ47"/>
  <c r="FY45"/>
  <c r="FX39"/>
  <c r="FQ35"/>
  <c r="FX33"/>
  <c r="FR16"/>
  <c r="GH12"/>
  <c r="FS86"/>
  <c r="GO85"/>
  <c r="GF83"/>
  <c r="GM82"/>
  <c r="GL81"/>
  <c r="GE80"/>
  <c r="FR79"/>
  <c r="FS74"/>
  <c r="GN71"/>
  <c r="GE66"/>
  <c r="FZ65"/>
  <c r="FZ63"/>
  <c r="GO56"/>
  <c r="GN50"/>
  <c r="FQ48"/>
  <c r="FZ45"/>
  <c r="GN39"/>
  <c r="FZ39"/>
  <c r="FZ36"/>
  <c r="FZ33"/>
  <c r="FS32"/>
  <c r="GH31"/>
  <c r="GH26"/>
  <c r="GM24"/>
  <c r="FS24"/>
  <c r="GF21"/>
  <c r="GF19"/>
  <c r="GL168"/>
  <c r="GO168"/>
  <c r="GN166"/>
  <c r="GL166"/>
  <c r="GH156"/>
  <c r="GE156"/>
  <c r="GN153"/>
  <c r="GO153"/>
  <c r="GM153"/>
  <c r="GM148"/>
  <c r="GO148"/>
  <c r="GL147"/>
  <c r="GO147"/>
  <c r="FX137"/>
  <c r="FZ137"/>
  <c r="GO206"/>
  <c r="GL207"/>
  <c r="GH205"/>
  <c r="GN203"/>
  <c r="FR203"/>
  <c r="GH201"/>
  <c r="FT201"/>
  <c r="GE200"/>
  <c r="FQ200"/>
  <c r="GG199"/>
  <c r="GG198"/>
  <c r="GH197"/>
  <c r="FT197"/>
  <c r="GA196"/>
  <c r="GO195"/>
  <c r="GG195"/>
  <c r="FT193"/>
  <c r="GO192"/>
  <c r="GO191"/>
  <c r="FR191"/>
  <c r="FY190"/>
  <c r="FR189"/>
  <c r="GH187"/>
  <c r="GN185"/>
  <c r="GF185"/>
  <c r="FS185"/>
  <c r="GA184"/>
  <c r="GO183"/>
  <c r="GN181"/>
  <c r="GE181"/>
  <c r="GE180"/>
  <c r="GF179"/>
  <c r="FQ179"/>
  <c r="FX178"/>
  <c r="FZ177"/>
  <c r="GE176"/>
  <c r="GF175"/>
  <c r="GE174"/>
  <c r="GN173"/>
  <c r="GO172"/>
  <c r="FX171"/>
  <c r="GO162"/>
  <c r="GO161"/>
  <c r="FZ160"/>
  <c r="FR158"/>
  <c r="FR157"/>
  <c r="GN167"/>
  <c r="GO167"/>
  <c r="FT166"/>
  <c r="FS166"/>
  <c r="FT165"/>
  <c r="FR165"/>
  <c r="FT161"/>
  <c r="FS161"/>
  <c r="GN157"/>
  <c r="GO157"/>
  <c r="GM152"/>
  <c r="GO152"/>
  <c r="FR147"/>
  <c r="FQ147"/>
  <c r="GO146"/>
  <c r="GM146"/>
  <c r="FX141"/>
  <c r="GA141"/>
  <c r="FZ141"/>
  <c r="GG138"/>
  <c r="GE138"/>
  <c r="FZ131"/>
  <c r="FY131"/>
  <c r="GA131"/>
  <c r="GO205"/>
  <c r="FZ203"/>
  <c r="FY202"/>
  <c r="GL201"/>
  <c r="FS200"/>
  <c r="GO199"/>
  <c r="GO198"/>
  <c r="GL197"/>
  <c r="FQ196"/>
  <c r="GH195"/>
  <c r="FZ195"/>
  <c r="FY194"/>
  <c r="GL193"/>
  <c r="FZ193"/>
  <c r="FQ193"/>
  <c r="FZ190"/>
  <c r="FT189"/>
  <c r="FQ184"/>
  <c r="FQ182"/>
  <c r="GF181"/>
  <c r="FQ180"/>
  <c r="GL179"/>
  <c r="FR179"/>
  <c r="GF177"/>
  <c r="GN175"/>
  <c r="GG174"/>
  <c r="GO173"/>
  <c r="GN171"/>
  <c r="FY171"/>
  <c r="FX166"/>
  <c r="FY170"/>
  <c r="FZ170"/>
  <c r="FT162"/>
  <c r="FS162"/>
  <c r="GL158"/>
  <c r="GM158"/>
  <c r="FT154"/>
  <c r="FS154"/>
  <c r="GH151"/>
  <c r="GG151"/>
  <c r="GF151"/>
  <c r="GF136"/>
  <c r="GH136"/>
  <c r="GG136"/>
  <c r="GG132"/>
  <c r="GH132"/>
  <c r="GE132"/>
  <c r="GO130"/>
  <c r="GL130"/>
  <c r="GM130"/>
  <c r="FZ163"/>
  <c r="FX163"/>
  <c r="GG160"/>
  <c r="GE160"/>
  <c r="GH159"/>
  <c r="GG159"/>
  <c r="GN150"/>
  <c r="GM150"/>
  <c r="GN145"/>
  <c r="GO145"/>
  <c r="GA144"/>
  <c r="FZ144"/>
  <c r="GN137"/>
  <c r="GO137"/>
  <c r="GL137"/>
  <c r="FR134"/>
  <c r="FT134"/>
  <c r="FQ134"/>
  <c r="GN201"/>
  <c r="GN197"/>
  <c r="GN193"/>
  <c r="FX190"/>
  <c r="FQ189"/>
  <c r="GG186"/>
  <c r="GE179"/>
  <c r="FS172"/>
  <c r="GA166"/>
  <c r="FQ162"/>
  <c r="GM161"/>
  <c r="GL160"/>
  <c r="FY159"/>
  <c r="GO158"/>
  <c r="GL157"/>
  <c r="GL152"/>
  <c r="GF138"/>
  <c r="FX131"/>
  <c r="FQ52"/>
  <c r="FS52"/>
  <c r="FT128"/>
  <c r="FR127"/>
  <c r="FY122"/>
  <c r="GO121"/>
  <c r="FQ121"/>
  <c r="GF119"/>
  <c r="GF115"/>
  <c r="GM114"/>
  <c r="GL109"/>
  <c r="GH108"/>
  <c r="FS105"/>
  <c r="GO101"/>
  <c r="GG101"/>
  <c r="GF99"/>
  <c r="FZ97"/>
  <c r="GA96"/>
  <c r="FQ95"/>
  <c r="GN91"/>
  <c r="GE90"/>
  <c r="FS87"/>
  <c r="GM83"/>
  <c r="GE82"/>
  <c r="GE81"/>
  <c r="FS78"/>
  <c r="FT75"/>
  <c r="GF63"/>
  <c r="GG62"/>
  <c r="GF59"/>
  <c r="FQ58"/>
  <c r="GL56"/>
  <c r="FZ49"/>
  <c r="FY49"/>
  <c r="GF48"/>
  <c r="GE48"/>
  <c r="GG48"/>
  <c r="GE72"/>
  <c r="GO71"/>
  <c r="FZ71"/>
  <c r="GO70"/>
  <c r="FZ70"/>
  <c r="GG69"/>
  <c r="FR69"/>
  <c r="GN68"/>
  <c r="FT64"/>
  <c r="GG63"/>
  <c r="GN62"/>
  <c r="GE60"/>
  <c r="FQ60"/>
  <c r="GG59"/>
  <c r="FY59"/>
  <c r="FT58"/>
  <c r="GM56"/>
  <c r="FX54"/>
  <c r="FS53"/>
  <c r="GF56"/>
  <c r="GE56"/>
  <c r="GA55"/>
  <c r="FY55"/>
  <c r="GG52"/>
  <c r="GF52"/>
  <c r="GF155"/>
  <c r="GA154"/>
  <c r="FQ150"/>
  <c r="GO149"/>
  <c r="FZ149"/>
  <c r="GE147"/>
  <c r="GE146"/>
  <c r="FS146"/>
  <c r="FQ144"/>
  <c r="GL138"/>
  <c r="FZ138"/>
  <c r="FS137"/>
  <c r="GN134"/>
  <c r="GA133"/>
  <c r="GO131"/>
  <c r="FX130"/>
  <c r="FR129"/>
  <c r="GH128"/>
  <c r="GO127"/>
  <c r="GM126"/>
  <c r="FX126"/>
  <c r="GA125"/>
  <c r="GE124"/>
  <c r="GH123"/>
  <c r="GN122"/>
  <c r="FS122"/>
  <c r="GM121"/>
  <c r="GH119"/>
  <c r="FZ119"/>
  <c r="GA118"/>
  <c r="GH117"/>
  <c r="GE116"/>
  <c r="FZ115"/>
  <c r="FQ114"/>
  <c r="GL113"/>
  <c r="FR113"/>
  <c r="GO112"/>
  <c r="FZ111"/>
  <c r="GN109"/>
  <c r="GE109"/>
  <c r="GE108"/>
  <c r="GG107"/>
  <c r="GL105"/>
  <c r="FQ105"/>
  <c r="GL101"/>
  <c r="GE101"/>
  <c r="GH97"/>
  <c r="FR97"/>
  <c r="GG96"/>
  <c r="FY96"/>
  <c r="FS95"/>
  <c r="GO93"/>
  <c r="FZ93"/>
  <c r="GA92"/>
  <c r="FQ92"/>
  <c r="GL91"/>
  <c r="FS91"/>
  <c r="GL89"/>
  <c r="GE89"/>
  <c r="GE88"/>
  <c r="FZ87"/>
  <c r="FQ87"/>
  <c r="FZ86"/>
  <c r="GL85"/>
  <c r="FQ85"/>
  <c r="GO83"/>
  <c r="FR81"/>
  <c r="FY80"/>
  <c r="FQ78"/>
  <c r="GA76"/>
  <c r="GA74"/>
  <c r="GG72"/>
  <c r="GF71"/>
  <c r="FQ70"/>
  <c r="GH69"/>
  <c r="GH54"/>
  <c r="GF54"/>
  <c r="GA149"/>
  <c r="GE143"/>
  <c r="GM138"/>
  <c r="GO134"/>
  <c r="FZ130"/>
  <c r="FS129"/>
  <c r="FS128"/>
  <c r="FX122"/>
  <c r="GE121"/>
  <c r="GL117"/>
  <c r="GE115"/>
  <c r="FS114"/>
  <c r="FS113"/>
  <c r="GH109"/>
  <c r="GG108"/>
  <c r="GM105"/>
  <c r="GN101"/>
  <c r="GO100"/>
  <c r="GL97"/>
  <c r="GE92"/>
  <c r="FZ91"/>
  <c r="GO89"/>
  <c r="FQ89"/>
  <c r="GG88"/>
  <c r="GA86"/>
  <c r="GN85"/>
  <c r="FR85"/>
  <c r="GO84"/>
  <c r="FX83"/>
  <c r="GA82"/>
  <c r="FZ80"/>
  <c r="GE79"/>
  <c r="GO78"/>
  <c r="FR78"/>
  <c r="GE77"/>
  <c r="GE76"/>
  <c r="FS75"/>
  <c r="GL74"/>
  <c r="FR74"/>
  <c r="GO72"/>
  <c r="FQ72"/>
  <c r="GL71"/>
  <c r="FR71"/>
  <c r="GL70"/>
  <c r="FR70"/>
  <c r="GE61"/>
  <c r="GN60"/>
  <c r="GO59"/>
  <c r="FZ57"/>
  <c r="GH56"/>
  <c r="FX55"/>
  <c r="GM53"/>
  <c r="GH52"/>
  <c r="GF45"/>
  <c r="GA44"/>
  <c r="FS43"/>
  <c r="FR39"/>
  <c r="GH37"/>
  <c r="GA34"/>
  <c r="GE33"/>
  <c r="FZ32"/>
  <c r="FS31"/>
  <c r="FS29"/>
  <c r="GH27"/>
  <c r="GF26"/>
  <c r="FQ25"/>
  <c r="FZ21"/>
  <c r="FS14"/>
  <c r="GA13"/>
  <c r="GL48"/>
  <c r="GG45"/>
  <c r="GE44"/>
  <c r="FX44"/>
  <c r="FT43"/>
  <c r="FS39"/>
  <c r="GA38"/>
  <c r="GE37"/>
  <c r="GM35"/>
  <c r="GO30"/>
  <c r="FX29"/>
  <c r="GO28"/>
  <c r="GO27"/>
  <c r="GG26"/>
  <c r="GN24"/>
  <c r="GG24"/>
  <c r="FT24"/>
  <c r="FQ23"/>
  <c r="GN22"/>
  <c r="GA21"/>
  <c r="GE15"/>
  <c r="FR13"/>
  <c r="FS12"/>
  <c r="GA10"/>
  <c r="GA9"/>
  <c r="GO51"/>
  <c r="GL46"/>
  <c r="FS46"/>
  <c r="GG44"/>
  <c r="FQ43"/>
  <c r="GF40"/>
  <c r="FZ34"/>
  <c r="FX32"/>
  <c r="FR31"/>
  <c r="GG27"/>
  <c r="GM21"/>
  <c r="GF11"/>
  <c r="GG10"/>
  <c r="GL4"/>
  <c r="GK5"/>
  <c r="GM16"/>
  <c r="GL14"/>
  <c r="DJ209"/>
  <c r="GM156"/>
  <c r="GO156"/>
  <c r="FS156"/>
  <c r="FQ156"/>
  <c r="FR156"/>
  <c r="GA155"/>
  <c r="FX155"/>
  <c r="GE206"/>
  <c r="FZ207"/>
  <c r="GG206"/>
  <c r="FY206"/>
  <c r="GN205"/>
  <c r="GF205"/>
  <c r="GO204"/>
  <c r="GL203"/>
  <c r="GE203"/>
  <c r="FQ203"/>
  <c r="FX201"/>
  <c r="GM200"/>
  <c r="FY200"/>
  <c r="GN199"/>
  <c r="GF199"/>
  <c r="FR199"/>
  <c r="GA198"/>
  <c r="FQ198"/>
  <c r="FX197"/>
  <c r="GM196"/>
  <c r="FY196"/>
  <c r="FT195"/>
  <c r="GE194"/>
  <c r="FX194"/>
  <c r="FX193"/>
  <c r="GM192"/>
  <c r="FY192"/>
  <c r="GL191"/>
  <c r="GE191"/>
  <c r="FQ191"/>
  <c r="FQ190"/>
  <c r="GM189"/>
  <c r="GE189"/>
  <c r="GO188"/>
  <c r="FZ188"/>
  <c r="GN187"/>
  <c r="FR187"/>
  <c r="GE186"/>
  <c r="FX186"/>
  <c r="FX185"/>
  <c r="GM184"/>
  <c r="FY184"/>
  <c r="GG182"/>
  <c r="GL181"/>
  <c r="FZ180"/>
  <c r="GH179"/>
  <c r="FZ179"/>
  <c r="GO178"/>
  <c r="GM177"/>
  <c r="GE177"/>
  <c r="FS177"/>
  <c r="FQ176"/>
  <c r="GL175"/>
  <c r="GE175"/>
  <c r="FQ175"/>
  <c r="GA174"/>
  <c r="FQ174"/>
  <c r="GF173"/>
  <c r="FT173"/>
  <c r="GE172"/>
  <c r="GM171"/>
  <c r="GM170"/>
  <c r="FT170"/>
  <c r="GL169"/>
  <c r="GE168"/>
  <c r="GG167"/>
  <c r="GO166"/>
  <c r="GF164"/>
  <c r="FR164"/>
  <c r="GG163"/>
  <c r="GL161"/>
  <c r="GF159"/>
  <c r="FX159"/>
  <c r="GO154"/>
  <c r="GL154"/>
  <c r="GF152"/>
  <c r="GE152"/>
  <c r="GG152"/>
  <c r="FY158"/>
  <c r="FZ158"/>
  <c r="FX157"/>
  <c r="GA157"/>
  <c r="GF156"/>
  <c r="GG156"/>
  <c r="FQ154"/>
  <c r="FR154"/>
  <c r="GL205"/>
  <c r="FS204"/>
  <c r="GH199"/>
  <c r="FZ199"/>
  <c r="FY198"/>
  <c r="FQ195"/>
  <c r="GO194"/>
  <c r="FZ194"/>
  <c r="FQ192"/>
  <c r="GG191"/>
  <c r="GO189"/>
  <c r="GE188"/>
  <c r="GO186"/>
  <c r="FZ186"/>
  <c r="GO177"/>
  <c r="GG175"/>
  <c r="FR173"/>
  <c r="FR170"/>
  <c r="GE169"/>
  <c r="GG168"/>
  <c r="GM166"/>
  <c r="GH164"/>
  <c r="GE163"/>
  <c r="FZ162"/>
  <c r="GE161"/>
  <c r="FZ159"/>
  <c r="GN154"/>
  <c r="GH152"/>
  <c r="GG154"/>
  <c r="GF154"/>
  <c r="FX153"/>
  <c r="GA153"/>
  <c r="GL151"/>
  <c r="GO151"/>
  <c r="FT203"/>
  <c r="GE205"/>
  <c r="GM204"/>
  <c r="FQ202"/>
  <c r="GL199"/>
  <c r="FQ199"/>
  <c r="GE196"/>
  <c r="FR195"/>
  <c r="FQ194"/>
  <c r="GE192"/>
  <c r="FS192"/>
  <c r="FZ191"/>
  <c r="GO190"/>
  <c r="GM188"/>
  <c r="FY188"/>
  <c r="GL187"/>
  <c r="FQ187"/>
  <c r="FQ186"/>
  <c r="GE184"/>
  <c r="GE182"/>
  <c r="FY180"/>
  <c r="FZ175"/>
  <c r="GO174"/>
  <c r="GE173"/>
  <c r="GF167"/>
  <c r="GF163"/>
  <c r="GA162"/>
  <c r="GH139"/>
  <c r="GF139"/>
  <c r="GE139"/>
  <c r="GF137"/>
  <c r="GE137"/>
  <c r="FS136"/>
  <c r="FQ136"/>
  <c r="GG134"/>
  <c r="GF134"/>
  <c r="GN133"/>
  <c r="GM133"/>
  <c r="GL133"/>
  <c r="GL153"/>
  <c r="FS153"/>
  <c r="GE151"/>
  <c r="GL148"/>
  <c r="FZ147"/>
  <c r="GL146"/>
  <c r="FR146"/>
  <c r="GL145"/>
  <c r="GG144"/>
  <c r="GF142"/>
  <c r="FT141"/>
  <c r="FS141"/>
  <c r="GH131"/>
  <c r="GF131"/>
  <c r="GE131"/>
  <c r="FR131"/>
  <c r="FQ131"/>
  <c r="GN141"/>
  <c r="GM141"/>
  <c r="GL141"/>
  <c r="FT133"/>
  <c r="FR133"/>
  <c r="FS133"/>
  <c r="FZ150"/>
  <c r="GN146"/>
  <c r="FT146"/>
  <c r="GO143"/>
  <c r="FQ141"/>
  <c r="GO140"/>
  <c r="FQ139"/>
  <c r="GO133"/>
  <c r="GM144"/>
  <c r="GL144"/>
  <c r="FY142"/>
  <c r="FZ142"/>
  <c r="GA140"/>
  <c r="FZ140"/>
  <c r="FY135"/>
  <c r="GA135"/>
  <c r="FZ135"/>
  <c r="FQ157"/>
  <c r="GE153"/>
  <c r="FR153"/>
  <c r="FQ152"/>
  <c r="FQ151"/>
  <c r="GA150"/>
  <c r="GM149"/>
  <c r="FZ148"/>
  <c r="GF147"/>
  <c r="GF146"/>
  <c r="GE145"/>
  <c r="GF144"/>
  <c r="GE142"/>
  <c r="FS142"/>
  <c r="GO141"/>
  <c r="FR141"/>
  <c r="GG139"/>
  <c r="GA107"/>
  <c r="FZ107"/>
  <c r="FS104"/>
  <c r="FQ104"/>
  <c r="FX102"/>
  <c r="FY102"/>
  <c r="GL95"/>
  <c r="GO95"/>
  <c r="GN95"/>
  <c r="FX94"/>
  <c r="GA94"/>
  <c r="FZ94"/>
  <c r="GN88"/>
  <c r="GO88"/>
  <c r="GN138"/>
  <c r="FT138"/>
  <c r="GA137"/>
  <c r="GL136"/>
  <c r="GE136"/>
  <c r="FZ134"/>
  <c r="GN130"/>
  <c r="FT130"/>
  <c r="GA129"/>
  <c r="FQ128"/>
  <c r="GN127"/>
  <c r="GF127"/>
  <c r="FX127"/>
  <c r="GO126"/>
  <c r="GE126"/>
  <c r="GL125"/>
  <c r="GH124"/>
  <c r="FY124"/>
  <c r="FY123"/>
  <c r="FT122"/>
  <c r="FS121"/>
  <c r="FZ120"/>
  <c r="FY119"/>
  <c r="GN118"/>
  <c r="FS118"/>
  <c r="FQ117"/>
  <c r="GG115"/>
  <c r="GO114"/>
  <c r="FT114"/>
  <c r="GM113"/>
  <c r="FZ113"/>
  <c r="GG112"/>
  <c r="FQ112"/>
  <c r="GO111"/>
  <c r="FX111"/>
  <c r="GN110"/>
  <c r="FS110"/>
  <c r="FT109"/>
  <c r="GE107"/>
  <c r="GE106"/>
  <c r="GO105"/>
  <c r="FZ105"/>
  <c r="FX100"/>
  <c r="GG98"/>
  <c r="GL106"/>
  <c r="GN106"/>
  <c r="FT102"/>
  <c r="FS102"/>
  <c r="GN99"/>
  <c r="GM99"/>
  <c r="GH86"/>
  <c r="GE86"/>
  <c r="GO135"/>
  <c r="GA134"/>
  <c r="FZ132"/>
  <c r="GE129"/>
  <c r="FQ126"/>
  <c r="GO124"/>
  <c r="FZ123"/>
  <c r="GM122"/>
  <c r="GE120"/>
  <c r="GO118"/>
  <c r="FT118"/>
  <c r="FR117"/>
  <c r="FQ115"/>
  <c r="GE114"/>
  <c r="GE113"/>
  <c r="GO110"/>
  <c r="FT110"/>
  <c r="FQ109"/>
  <c r="GF107"/>
  <c r="GE103"/>
  <c r="GN103"/>
  <c r="GM103"/>
  <c r="FR103"/>
  <c r="FQ103"/>
  <c r="GF102"/>
  <c r="GH102"/>
  <c r="GG102"/>
  <c r="FS101"/>
  <c r="FT101"/>
  <c r="FR101"/>
  <c r="GA100"/>
  <c r="FZ100"/>
  <c r="FT88"/>
  <c r="FQ88"/>
  <c r="GM87"/>
  <c r="GL87"/>
  <c r="GO87"/>
  <c r="GL86"/>
  <c r="GM86"/>
  <c r="FR107"/>
  <c r="FQ107"/>
  <c r="FR106"/>
  <c r="FS106"/>
  <c r="GF105"/>
  <c r="GE105"/>
  <c r="GF104"/>
  <c r="GG104"/>
  <c r="GE104"/>
  <c r="FY103"/>
  <c r="FZ103"/>
  <c r="FX103"/>
  <c r="FS100"/>
  <c r="FQ100"/>
  <c r="FT99"/>
  <c r="FS99"/>
  <c r="FX88"/>
  <c r="GA88"/>
  <c r="FZ88"/>
  <c r="FX123"/>
  <c r="GO122"/>
  <c r="GH120"/>
  <c r="GO119"/>
  <c r="FQ118"/>
  <c r="GN111"/>
  <c r="GM110"/>
  <c r="FQ110"/>
  <c r="GO108"/>
  <c r="GO103"/>
  <c r="FS103"/>
  <c r="GN87"/>
  <c r="GM65"/>
  <c r="GL65"/>
  <c r="FR65"/>
  <c r="FQ65"/>
  <c r="GL58"/>
  <c r="GO58"/>
  <c r="GN58"/>
  <c r="GM57"/>
  <c r="GL57"/>
  <c r="GO57"/>
  <c r="GH53"/>
  <c r="GE53"/>
  <c r="GN52"/>
  <c r="GO52"/>
  <c r="GM52"/>
  <c r="FZ35"/>
  <c r="GA35"/>
  <c r="FX69"/>
  <c r="FY69"/>
  <c r="FY67"/>
  <c r="GA67"/>
  <c r="GG66"/>
  <c r="GF66"/>
  <c r="FY65"/>
  <c r="FX65"/>
  <c r="FY52"/>
  <c r="FX52"/>
  <c r="GF38"/>
  <c r="GE38"/>
  <c r="GE99"/>
  <c r="GN97"/>
  <c r="GF97"/>
  <c r="GF95"/>
  <c r="GO94"/>
  <c r="GL93"/>
  <c r="FQ93"/>
  <c r="GG92"/>
  <c r="GF91"/>
  <c r="FZ90"/>
  <c r="GN89"/>
  <c r="FR89"/>
  <c r="FX87"/>
  <c r="FQ86"/>
  <c r="GG85"/>
  <c r="GA84"/>
  <c r="FQ84"/>
  <c r="FZ83"/>
  <c r="FZ82"/>
  <c r="GN81"/>
  <c r="GF81"/>
  <c r="FT81"/>
  <c r="GM80"/>
  <c r="GA80"/>
  <c r="FS80"/>
  <c r="GM79"/>
  <c r="GL78"/>
  <c r="FZ78"/>
  <c r="GF76"/>
  <c r="GO75"/>
  <c r="GF75"/>
  <c r="FQ75"/>
  <c r="GM74"/>
  <c r="GF73"/>
  <c r="FQ73"/>
  <c r="GF72"/>
  <c r="FY72"/>
  <c r="GA71"/>
  <c r="GE70"/>
  <c r="GN66"/>
  <c r="GN65"/>
  <c r="FS65"/>
  <c r="GL52"/>
  <c r="GH68"/>
  <c r="GE68"/>
  <c r="GG67"/>
  <c r="GE67"/>
  <c r="FR64"/>
  <c r="FQ64"/>
  <c r="GE62"/>
  <c r="GH62"/>
  <c r="FY61"/>
  <c r="FX61"/>
  <c r="GA61"/>
  <c r="FS56"/>
  <c r="FR56"/>
  <c r="FQ56"/>
  <c r="GN55"/>
  <c r="GO55"/>
  <c r="GM55"/>
  <c r="GL55"/>
  <c r="GM54"/>
  <c r="GL54"/>
  <c r="GO54"/>
  <c r="GN47"/>
  <c r="GO47"/>
  <c r="GL44"/>
  <c r="GN44"/>
  <c r="FT42"/>
  <c r="FR42"/>
  <c r="FS42"/>
  <c r="FQ42"/>
  <c r="GL40"/>
  <c r="GO40"/>
  <c r="FT38"/>
  <c r="FR38"/>
  <c r="FQ38"/>
  <c r="GH34"/>
  <c r="GG34"/>
  <c r="GE34"/>
  <c r="GO97"/>
  <c r="FX95"/>
  <c r="GN93"/>
  <c r="FR93"/>
  <c r="FX91"/>
  <c r="FQ90"/>
  <c r="GH85"/>
  <c r="FZ85"/>
  <c r="GE84"/>
  <c r="FQ82"/>
  <c r="FX81"/>
  <c r="GO80"/>
  <c r="GN79"/>
  <c r="FX79"/>
  <c r="GM78"/>
  <c r="GG76"/>
  <c r="FZ72"/>
  <c r="GE71"/>
  <c r="FT66"/>
  <c r="GO65"/>
  <c r="FT65"/>
  <c r="GN69"/>
  <c r="GO69"/>
  <c r="FS68"/>
  <c r="FT68"/>
  <c r="FS57"/>
  <c r="FR57"/>
  <c r="FQ57"/>
  <c r="FT54"/>
  <c r="FS54"/>
  <c r="FR54"/>
  <c r="FS49"/>
  <c r="FQ49"/>
  <c r="GO43"/>
  <c r="GM43"/>
  <c r="GL43"/>
  <c r="GG84"/>
  <c r="GE74"/>
  <c r="FX71"/>
  <c r="GN57"/>
  <c r="FX35"/>
  <c r="GF46"/>
  <c r="GH46"/>
  <c r="FS45"/>
  <c r="FR45"/>
  <c r="FR44"/>
  <c r="FQ44"/>
  <c r="FT44"/>
  <c r="FY43"/>
  <c r="FZ43"/>
  <c r="FZ42"/>
  <c r="GA42"/>
  <c r="GF41"/>
  <c r="GH41"/>
  <c r="FS41"/>
  <c r="FR41"/>
  <c r="FS37"/>
  <c r="FQ37"/>
  <c r="GG35"/>
  <c r="GL33"/>
  <c r="GN33"/>
  <c r="GL60"/>
  <c r="GA58"/>
  <c r="FX57"/>
  <c r="GA49"/>
  <c r="FT51"/>
  <c r="FS51"/>
  <c r="GG47"/>
  <c r="GE47"/>
  <c r="FT47"/>
  <c r="FQ47"/>
  <c r="GF43"/>
  <c r="GE43"/>
  <c r="GN42"/>
  <c r="GL42"/>
  <c r="GO42"/>
  <c r="GG39"/>
  <c r="GE39"/>
  <c r="FZ60"/>
  <c r="GE49"/>
  <c r="GH48"/>
  <c r="FX48"/>
  <c r="FT45"/>
  <c r="GA43"/>
  <c r="GM49"/>
  <c r="GO49"/>
  <c r="FX46"/>
  <c r="FZ46"/>
  <c r="GN38"/>
  <c r="GM38"/>
  <c r="GL36"/>
  <c r="GO36"/>
  <c r="FR33"/>
  <c r="FS33"/>
  <c r="GM45"/>
  <c r="FZ37"/>
  <c r="FT36"/>
  <c r="FT28"/>
  <c r="FS28"/>
  <c r="GH29"/>
  <c r="GF29"/>
  <c r="FR28"/>
  <c r="GA32"/>
  <c r="GF30"/>
  <c r="FT29"/>
  <c r="GA28"/>
  <c r="GL27"/>
  <c r="FZ26"/>
  <c r="FS26"/>
  <c r="FY23"/>
  <c r="GO22"/>
  <c r="GG21"/>
  <c r="GL20"/>
  <c r="FT20"/>
  <c r="GG19"/>
  <c r="GF18"/>
  <c r="FT18"/>
  <c r="GF17"/>
  <c r="FY17"/>
  <c r="GO16"/>
  <c r="GE16"/>
  <c r="GL15"/>
  <c r="GE14"/>
  <c r="FT14"/>
  <c r="FT12"/>
  <c r="GG11"/>
  <c r="GN10"/>
  <c r="FS10"/>
  <c r="GO9"/>
  <c r="GM31"/>
  <c r="GM27"/>
  <c r="GO26"/>
  <c r="FT26"/>
  <c r="FZ23"/>
  <c r="GL22"/>
  <c r="GM20"/>
  <c r="GG18"/>
  <c r="FZ17"/>
  <c r="GH16"/>
  <c r="GL12"/>
  <c r="FZ12"/>
  <c r="GH9"/>
  <c r="GA168"/>
  <c r="FX168"/>
  <c r="FX165"/>
  <c r="FY165"/>
  <c r="FS160"/>
  <c r="FT160"/>
  <c r="GL159"/>
  <c r="GM159"/>
  <c r="FX207"/>
  <c r="GG204"/>
  <c r="FX203"/>
  <c r="GM202"/>
  <c r="FX199"/>
  <c r="FS198"/>
  <c r="GG196"/>
  <c r="FX195"/>
  <c r="GM194"/>
  <c r="FS194"/>
  <c r="GG192"/>
  <c r="FX191"/>
  <c r="GM190"/>
  <c r="FS190"/>
  <c r="GG188"/>
  <c r="FX187"/>
  <c r="GM186"/>
  <c r="FS186"/>
  <c r="GG184"/>
  <c r="FX183"/>
  <c r="GM182"/>
  <c r="FS182"/>
  <c r="GG180"/>
  <c r="FX179"/>
  <c r="GM178"/>
  <c r="FS178"/>
  <c r="GG176"/>
  <c r="FX175"/>
  <c r="GM174"/>
  <c r="FS174"/>
  <c r="GG172"/>
  <c r="GG171"/>
  <c r="GH170"/>
  <c r="FQ163"/>
  <c r="GE162"/>
  <c r="GF169"/>
  <c r="GG169"/>
  <c r="GM168"/>
  <c r="GN168"/>
  <c r="FR167"/>
  <c r="FS167"/>
  <c r="GG166"/>
  <c r="GH166"/>
  <c r="GA164"/>
  <c r="FX164"/>
  <c r="FX161"/>
  <c r="FY161"/>
  <c r="GA156"/>
  <c r="FY156"/>
  <c r="FX156"/>
  <c r="FR155"/>
  <c r="FT155"/>
  <c r="FS155"/>
  <c r="GM206"/>
  <c r="FS206"/>
  <c r="FS202"/>
  <c r="GG200"/>
  <c r="GM198"/>
  <c r="FY207"/>
  <c r="GN206"/>
  <c r="GF206"/>
  <c r="FT206"/>
  <c r="GA205"/>
  <c r="GL204"/>
  <c r="GH204"/>
  <c r="FR204"/>
  <c r="FY203"/>
  <c r="GN202"/>
  <c r="GF202"/>
  <c r="FT202"/>
  <c r="GA201"/>
  <c r="GL200"/>
  <c r="GH200"/>
  <c r="FR200"/>
  <c r="FY199"/>
  <c r="GN198"/>
  <c r="GF198"/>
  <c r="FT198"/>
  <c r="GA197"/>
  <c r="GL196"/>
  <c r="GH196"/>
  <c r="FR196"/>
  <c r="FY195"/>
  <c r="GN194"/>
  <c r="GF194"/>
  <c r="FT194"/>
  <c r="GA193"/>
  <c r="GL192"/>
  <c r="GH192"/>
  <c r="FR192"/>
  <c r="FY191"/>
  <c r="GN190"/>
  <c r="GF190"/>
  <c r="FT190"/>
  <c r="GA189"/>
  <c r="GL188"/>
  <c r="GH188"/>
  <c r="FR188"/>
  <c r="FY187"/>
  <c r="GN186"/>
  <c r="GF186"/>
  <c r="FT186"/>
  <c r="GA185"/>
  <c r="GL184"/>
  <c r="GH184"/>
  <c r="FR184"/>
  <c r="FY183"/>
  <c r="GN182"/>
  <c r="GF182"/>
  <c r="FT182"/>
  <c r="GA181"/>
  <c r="GL180"/>
  <c r="GH180"/>
  <c r="FR180"/>
  <c r="FY179"/>
  <c r="GN178"/>
  <c r="GF178"/>
  <c r="FT178"/>
  <c r="GA177"/>
  <c r="GL176"/>
  <c r="GH176"/>
  <c r="FR176"/>
  <c r="FY175"/>
  <c r="GN174"/>
  <c r="GF174"/>
  <c r="FT174"/>
  <c r="GA173"/>
  <c r="GL172"/>
  <c r="GH172"/>
  <c r="FR172"/>
  <c r="FT171"/>
  <c r="FX170"/>
  <c r="FQ160"/>
  <c r="FS168"/>
  <c r="FT168"/>
  <c r="GL167"/>
  <c r="GM167"/>
  <c r="GF165"/>
  <c r="GG165"/>
  <c r="GM164"/>
  <c r="GN164"/>
  <c r="FR163"/>
  <c r="FS163"/>
  <c r="GG162"/>
  <c r="GH162"/>
  <c r="GA160"/>
  <c r="FX160"/>
  <c r="GL155"/>
  <c r="GN155"/>
  <c r="GM155"/>
  <c r="FX169"/>
  <c r="FY169"/>
  <c r="FS164"/>
  <c r="FT164"/>
  <c r="GL163"/>
  <c r="GM163"/>
  <c r="GF161"/>
  <c r="GG161"/>
  <c r="GM160"/>
  <c r="GN160"/>
  <c r="FR159"/>
  <c r="FS159"/>
  <c r="GF157"/>
  <c r="GH157"/>
  <c r="GG157"/>
  <c r="GF171"/>
  <c r="FQ171"/>
  <c r="GF170"/>
  <c r="GA170"/>
  <c r="FY168"/>
  <c r="FQ168"/>
  <c r="FQ167"/>
  <c r="GE166"/>
  <c r="GH165"/>
  <c r="FZ165"/>
  <c r="GN159"/>
  <c r="GF125"/>
  <c r="GG125"/>
  <c r="GA124"/>
  <c r="FX124"/>
  <c r="GG118"/>
  <c r="GF118"/>
  <c r="GH118"/>
  <c r="GH158"/>
  <c r="FY157"/>
  <c r="GN156"/>
  <c r="FT156"/>
  <c r="GH154"/>
  <c r="GG153"/>
  <c r="FY153"/>
  <c r="GN152"/>
  <c r="FX152"/>
  <c r="FT152"/>
  <c r="GM151"/>
  <c r="FS151"/>
  <c r="GH150"/>
  <c r="GG149"/>
  <c r="FY149"/>
  <c r="GN148"/>
  <c r="FX148"/>
  <c r="FT148"/>
  <c r="GM147"/>
  <c r="FS147"/>
  <c r="GH146"/>
  <c r="GG145"/>
  <c r="FY145"/>
  <c r="GN144"/>
  <c r="FX144"/>
  <c r="FT144"/>
  <c r="GM143"/>
  <c r="FS143"/>
  <c r="GH142"/>
  <c r="GG141"/>
  <c r="FY141"/>
  <c r="GN140"/>
  <c r="FX140"/>
  <c r="FT140"/>
  <c r="GM139"/>
  <c r="FS139"/>
  <c r="GH138"/>
  <c r="GG137"/>
  <c r="FY137"/>
  <c r="GN136"/>
  <c r="FX136"/>
  <c r="FT136"/>
  <c r="GM135"/>
  <c r="FS135"/>
  <c r="GH134"/>
  <c r="GG133"/>
  <c r="FY133"/>
  <c r="GN132"/>
  <c r="FX132"/>
  <c r="FT132"/>
  <c r="GM131"/>
  <c r="FS131"/>
  <c r="GH130"/>
  <c r="GG129"/>
  <c r="FY129"/>
  <c r="GF128"/>
  <c r="GM124"/>
  <c r="GN124"/>
  <c r="FR123"/>
  <c r="FS123"/>
  <c r="FX121"/>
  <c r="GA121"/>
  <c r="FY121"/>
  <c r="GM120"/>
  <c r="GL120"/>
  <c r="GN120"/>
  <c r="FS116"/>
  <c r="FR116"/>
  <c r="FT116"/>
  <c r="GH153"/>
  <c r="FY152"/>
  <c r="GN151"/>
  <c r="FT151"/>
  <c r="GH149"/>
  <c r="FY148"/>
  <c r="GN147"/>
  <c r="FT147"/>
  <c r="GH145"/>
  <c r="FY144"/>
  <c r="GN143"/>
  <c r="FT143"/>
  <c r="GH141"/>
  <c r="FY140"/>
  <c r="GN139"/>
  <c r="FT139"/>
  <c r="GH137"/>
  <c r="FY136"/>
  <c r="GN135"/>
  <c r="FT135"/>
  <c r="GH133"/>
  <c r="FY132"/>
  <c r="GN131"/>
  <c r="FT131"/>
  <c r="GH129"/>
  <c r="FQ127"/>
  <c r="GL123"/>
  <c r="GM123"/>
  <c r="GG122"/>
  <c r="GF122"/>
  <c r="GH122"/>
  <c r="GG126"/>
  <c r="GH126"/>
  <c r="FX125"/>
  <c r="FY125"/>
  <c r="FS124"/>
  <c r="FT124"/>
  <c r="FS120"/>
  <c r="FR120"/>
  <c r="FT120"/>
  <c r="FX117"/>
  <c r="GA117"/>
  <c r="FY117"/>
  <c r="GM116"/>
  <c r="GL116"/>
  <c r="GN116"/>
  <c r="FT127"/>
  <c r="GE125"/>
  <c r="GO123"/>
  <c r="FT100"/>
  <c r="FR100"/>
  <c r="FR98"/>
  <c r="FT98"/>
  <c r="GN96"/>
  <c r="GM96"/>
  <c r="GL96"/>
  <c r="GG121"/>
  <c r="FX120"/>
  <c r="GM119"/>
  <c r="FS119"/>
  <c r="GG117"/>
  <c r="FX116"/>
  <c r="GM115"/>
  <c r="FS115"/>
  <c r="GH114"/>
  <c r="GG113"/>
  <c r="FY113"/>
  <c r="GN112"/>
  <c r="FX112"/>
  <c r="FT112"/>
  <c r="GM111"/>
  <c r="FS111"/>
  <c r="GH110"/>
  <c r="GG109"/>
  <c r="FY109"/>
  <c r="GN108"/>
  <c r="FX108"/>
  <c r="FT108"/>
  <c r="GM107"/>
  <c r="FS107"/>
  <c r="GH106"/>
  <c r="GG105"/>
  <c r="FY105"/>
  <c r="GN104"/>
  <c r="FX104"/>
  <c r="FT104"/>
  <c r="GH103"/>
  <c r="GE102"/>
  <c r="GH94"/>
  <c r="GG94"/>
  <c r="GF94"/>
  <c r="FY101"/>
  <c r="GA101"/>
  <c r="GF100"/>
  <c r="GH100"/>
  <c r="GH98"/>
  <c r="GF98"/>
  <c r="FY97"/>
  <c r="GA97"/>
  <c r="FT96"/>
  <c r="FS96"/>
  <c r="FR96"/>
  <c r="GF114"/>
  <c r="GA113"/>
  <c r="GL112"/>
  <c r="FR112"/>
  <c r="GF110"/>
  <c r="GA109"/>
  <c r="GL108"/>
  <c r="FR108"/>
  <c r="GF106"/>
  <c r="GA105"/>
  <c r="GL104"/>
  <c r="FR104"/>
  <c r="GM102"/>
  <c r="GN100"/>
  <c r="GL100"/>
  <c r="GA99"/>
  <c r="FY99"/>
  <c r="GL98"/>
  <c r="GN98"/>
  <c r="GF103"/>
  <c r="GA103"/>
  <c r="GO102"/>
  <c r="FY78"/>
  <c r="FX78"/>
  <c r="FT77"/>
  <c r="FS77"/>
  <c r="FT76"/>
  <c r="FS76"/>
  <c r="FR76"/>
  <c r="GH96"/>
  <c r="FY95"/>
  <c r="GN94"/>
  <c r="FT94"/>
  <c r="GA93"/>
  <c r="GL92"/>
  <c r="GH92"/>
  <c r="FR92"/>
  <c r="FY91"/>
  <c r="GN90"/>
  <c r="GF90"/>
  <c r="FT90"/>
  <c r="GA89"/>
  <c r="GL88"/>
  <c r="GH88"/>
  <c r="FR88"/>
  <c r="FY87"/>
  <c r="GN86"/>
  <c r="GF86"/>
  <c r="FT86"/>
  <c r="GA85"/>
  <c r="GL84"/>
  <c r="GH84"/>
  <c r="FR84"/>
  <c r="FY83"/>
  <c r="GN82"/>
  <c r="GF82"/>
  <c r="FT82"/>
  <c r="GA81"/>
  <c r="FS81"/>
  <c r="GN80"/>
  <c r="FT80"/>
  <c r="GN76"/>
  <c r="GM76"/>
  <c r="GL76"/>
  <c r="FX93"/>
  <c r="GM92"/>
  <c r="FS92"/>
  <c r="GG90"/>
  <c r="FX89"/>
  <c r="GM88"/>
  <c r="FS88"/>
  <c r="GG86"/>
  <c r="FX85"/>
  <c r="GM84"/>
  <c r="FS84"/>
  <c r="GG82"/>
  <c r="GG78"/>
  <c r="GF78"/>
  <c r="FX77"/>
  <c r="GA77"/>
  <c r="FQ80"/>
  <c r="GN77"/>
  <c r="GM77"/>
  <c r="GG75"/>
  <c r="GF74"/>
  <c r="FX74"/>
  <c r="GM73"/>
  <c r="GA73"/>
  <c r="FS73"/>
  <c r="GL72"/>
  <c r="FR72"/>
  <c r="GG71"/>
  <c r="GF70"/>
  <c r="FX70"/>
  <c r="GM69"/>
  <c r="GA69"/>
  <c r="FS69"/>
  <c r="GL68"/>
  <c r="FR68"/>
  <c r="GE65"/>
  <c r="FR66"/>
  <c r="FS66"/>
  <c r="FX64"/>
  <c r="GA64"/>
  <c r="FY64"/>
  <c r="GM63"/>
  <c r="GL63"/>
  <c r="GN63"/>
  <c r="GG74"/>
  <c r="FX73"/>
  <c r="GM72"/>
  <c r="FS72"/>
  <c r="GG70"/>
  <c r="GG65"/>
  <c r="GH65"/>
  <c r="GL66"/>
  <c r="GM66"/>
  <c r="FS63"/>
  <c r="FR63"/>
  <c r="FT63"/>
  <c r="GG51"/>
  <c r="GF51"/>
  <c r="GH51"/>
  <c r="GG64"/>
  <c r="FX63"/>
  <c r="GM62"/>
  <c r="FS62"/>
  <c r="GH61"/>
  <c r="GG60"/>
  <c r="FY60"/>
  <c r="GN59"/>
  <c r="FX59"/>
  <c r="FT59"/>
  <c r="GM58"/>
  <c r="FS58"/>
  <c r="GH57"/>
  <c r="GG56"/>
  <c r="FY56"/>
  <c r="FT55"/>
  <c r="FR55"/>
  <c r="GL53"/>
  <c r="GN53"/>
  <c r="GF61"/>
  <c r="GA60"/>
  <c r="GL59"/>
  <c r="FR59"/>
  <c r="GF57"/>
  <c r="GA56"/>
  <c r="FQ55"/>
  <c r="GF55"/>
  <c r="GH55"/>
  <c r="GA54"/>
  <c r="FY54"/>
  <c r="FR53"/>
  <c r="FT53"/>
  <c r="FS55"/>
  <c r="GF53"/>
  <c r="GA52"/>
  <c r="GL51"/>
  <c r="FR51"/>
  <c r="FY50"/>
  <c r="GN49"/>
  <c r="GF49"/>
  <c r="FT49"/>
  <c r="GA48"/>
  <c r="GL47"/>
  <c r="GH47"/>
  <c r="FR47"/>
  <c r="FY46"/>
  <c r="GN45"/>
  <c r="GM44"/>
  <c r="GF42"/>
  <c r="GG42"/>
  <c r="GA41"/>
  <c r="FX41"/>
  <c r="GA50"/>
  <c r="GL49"/>
  <c r="FR49"/>
  <c r="GF47"/>
  <c r="GA46"/>
  <c r="GO44"/>
  <c r="GH42"/>
  <c r="GG43"/>
  <c r="GH43"/>
  <c r="FX42"/>
  <c r="FY42"/>
  <c r="GN41"/>
  <c r="FT41"/>
  <c r="GM40"/>
  <c r="FS40"/>
  <c r="GH39"/>
  <c r="GG38"/>
  <c r="FY38"/>
  <c r="GN37"/>
  <c r="FX37"/>
  <c r="FT37"/>
  <c r="GM36"/>
  <c r="FS36"/>
  <c r="GH35"/>
  <c r="GN40"/>
  <c r="FT40"/>
  <c r="GH38"/>
  <c r="GN36"/>
  <c r="FX31"/>
  <c r="GA31"/>
  <c r="GH32"/>
  <c r="GG32"/>
  <c r="GF32"/>
  <c r="GO33"/>
  <c r="GH25"/>
  <c r="GF25"/>
  <c r="GN23"/>
  <c r="GM23"/>
  <c r="GL23"/>
  <c r="GL25"/>
  <c r="GN25"/>
  <c r="GL30"/>
  <c r="FR30"/>
  <c r="GF28"/>
  <c r="GA27"/>
  <c r="GL26"/>
  <c r="GG25"/>
  <c r="FT25"/>
  <c r="GF31"/>
  <c r="GM30"/>
  <c r="FS30"/>
  <c r="GG28"/>
  <c r="FX27"/>
  <c r="GM26"/>
  <c r="FY24"/>
  <c r="GA24"/>
  <c r="GO23"/>
  <c r="GA19"/>
  <c r="GH23"/>
  <c r="FY22"/>
  <c r="GN21"/>
  <c r="FY20"/>
  <c r="GM18"/>
  <c r="FS23"/>
  <c r="GG20"/>
  <c r="GF20"/>
  <c r="GN19"/>
  <c r="GM19"/>
  <c r="FT19"/>
  <c r="FS19"/>
  <c r="GN18"/>
  <c r="FR18"/>
  <c r="GH14"/>
  <c r="GG13"/>
  <c r="FY13"/>
  <c r="GN12"/>
  <c r="FX12"/>
  <c r="FS11"/>
  <c r="GH13"/>
  <c r="GN11"/>
  <c r="DH6"/>
  <c r="DV3"/>
  <c r="CP8"/>
  <c r="CO7"/>
  <c r="CO6"/>
  <c r="CK7"/>
  <c r="CK8"/>
  <c r="CK6"/>
  <c r="CG6"/>
  <c r="BR8"/>
  <c r="BN8"/>
  <c r="BR7"/>
  <c r="BR6"/>
  <c r="BN7"/>
  <c r="BN6"/>
  <c r="BJ6"/>
  <c r="DQ6" l="1"/>
  <c r="DL6"/>
  <c r="DQ7"/>
  <c r="DV192"/>
  <c r="DV167"/>
  <c r="DV135"/>
  <c r="DV113"/>
  <c r="DV74"/>
  <c r="DV177"/>
  <c r="DV166"/>
  <c r="DV150"/>
  <c r="DV115"/>
  <c r="DV99"/>
  <c r="DV180"/>
  <c r="DV96"/>
  <c r="DV84"/>
  <c r="DV73"/>
  <c r="DV154"/>
  <c r="DV119"/>
  <c r="DV103"/>
  <c r="DV79"/>
  <c r="DV184"/>
  <c r="DV159"/>
  <c r="DV121"/>
  <c r="DV201"/>
  <c r="DV185"/>
  <c r="DV142"/>
  <c r="DV126"/>
  <c r="DV195"/>
  <c r="DV156"/>
  <c r="DV93"/>
  <c r="DV68"/>
  <c r="DV189"/>
  <c r="DV94"/>
  <c r="DV41"/>
  <c r="DV9"/>
  <c r="DV58"/>
  <c r="DV43"/>
  <c r="DV61"/>
  <c r="DV29"/>
  <c r="DV47"/>
  <c r="DV30"/>
  <c r="DV65"/>
  <c r="DV33"/>
  <c r="DV82"/>
  <c r="DV67"/>
  <c r="DV34"/>
  <c r="DV19"/>
  <c r="DV85"/>
  <c r="DV53"/>
  <c r="DV21"/>
  <c r="DV54"/>
  <c r="DV22"/>
  <c r="DV176"/>
  <c r="DV149"/>
  <c r="DV148"/>
  <c r="DV124"/>
  <c r="DV92"/>
  <c r="DV72"/>
  <c r="DV198"/>
  <c r="DV151"/>
  <c r="DV203"/>
  <c r="DV164"/>
  <c r="DV139"/>
  <c r="DV101"/>
  <c r="DV197"/>
  <c r="DV186"/>
  <c r="DV165"/>
  <c r="DV207"/>
  <c r="DV168"/>
  <c r="DV141"/>
  <c r="DV140"/>
  <c r="DV100"/>
  <c r="DV169"/>
  <c r="DV143"/>
  <c r="DV127"/>
  <c r="DV122"/>
  <c r="DV106"/>
  <c r="DV90"/>
  <c r="DV204"/>
  <c r="DV179"/>
  <c r="DV129"/>
  <c r="DV128"/>
  <c r="DV104"/>
  <c r="DV78"/>
  <c r="DV194"/>
  <c r="DV173"/>
  <c r="DV146"/>
  <c r="DV130"/>
  <c r="DV110"/>
  <c r="DV95"/>
  <c r="DV52"/>
  <c r="DV20"/>
  <c r="DV59"/>
  <c r="DV10"/>
  <c r="DV40"/>
  <c r="DV31"/>
  <c r="DV14"/>
  <c r="DV76"/>
  <c r="DV44"/>
  <c r="DV12"/>
  <c r="DV83"/>
  <c r="DV35"/>
  <c r="DV64"/>
  <c r="DV32"/>
  <c r="DV86"/>
  <c r="DV70"/>
  <c r="DV55"/>
  <c r="DV23"/>
  <c r="DV199"/>
  <c r="DV160"/>
  <c r="DV133"/>
  <c r="DV132"/>
  <c r="DV97"/>
  <c r="DV182"/>
  <c r="DV161"/>
  <c r="DV134"/>
  <c r="DV187"/>
  <c r="DV153"/>
  <c r="DV152"/>
  <c r="DV112"/>
  <c r="DV77"/>
  <c r="DV191"/>
  <c r="DV105"/>
  <c r="DV206"/>
  <c r="DV190"/>
  <c r="DV123"/>
  <c r="DV107"/>
  <c r="DV91"/>
  <c r="DV188"/>
  <c r="DV163"/>
  <c r="DV145"/>
  <c r="DV144"/>
  <c r="DV109"/>
  <c r="DV178"/>
  <c r="DV157"/>
  <c r="DV147"/>
  <c r="DV131"/>
  <c r="DV111"/>
  <c r="DV57"/>
  <c r="DV25"/>
  <c r="DV26"/>
  <c r="DV11"/>
  <c r="DV45"/>
  <c r="DV13"/>
  <c r="DV62"/>
  <c r="DV15"/>
  <c r="DV81"/>
  <c r="DV49"/>
  <c r="DV17"/>
  <c r="DV50"/>
  <c r="DV69"/>
  <c r="DV37"/>
  <c r="DV87"/>
  <c r="DV71"/>
  <c r="DV38"/>
  <c r="DV183"/>
  <c r="DV108"/>
  <c r="DV89"/>
  <c r="DV193"/>
  <c r="DV155"/>
  <c r="DV114"/>
  <c r="DV98"/>
  <c r="DV196"/>
  <c r="DV171"/>
  <c r="DV137"/>
  <c r="DV136"/>
  <c r="DV117"/>
  <c r="DV202"/>
  <c r="DV181"/>
  <c r="DV170"/>
  <c r="DV138"/>
  <c r="DV118"/>
  <c r="DV102"/>
  <c r="DV75"/>
  <c r="DV200"/>
  <c r="DV175"/>
  <c r="DV116"/>
  <c r="DV174"/>
  <c r="DV158"/>
  <c r="DV172"/>
  <c r="DV125"/>
  <c r="DV120"/>
  <c r="DV88"/>
  <c r="DV205"/>
  <c r="DV162"/>
  <c r="DV36"/>
  <c r="DV42"/>
  <c r="DV27"/>
  <c r="DV56"/>
  <c r="DV24"/>
  <c r="DV63"/>
  <c r="DV46"/>
  <c r="DV60"/>
  <c r="DV28"/>
  <c r="DV66"/>
  <c r="DV51"/>
  <c r="DV18"/>
  <c r="DV80"/>
  <c r="DV48"/>
  <c r="DV16"/>
  <c r="DV39"/>
  <c r="DP7"/>
  <c r="DW11"/>
  <c r="DW12"/>
  <c r="DW13"/>
  <c r="CV7"/>
  <c r="CM7"/>
  <c r="CU6"/>
  <c r="CJ6"/>
  <c r="CV8"/>
  <c r="CY8" s="1"/>
  <c r="CM8"/>
  <c r="CR8"/>
  <c r="CW8" s="1"/>
  <c r="CZ8"/>
  <c r="CS8"/>
  <c r="CQ8"/>
  <c r="CV6"/>
  <c r="CM6"/>
  <c r="CV105"/>
  <c r="CV198"/>
  <c r="CV189"/>
  <c r="CV174"/>
  <c r="CV131"/>
  <c r="CV195"/>
  <c r="CV192"/>
  <c r="CV163"/>
  <c r="CV160"/>
  <c r="CV137"/>
  <c r="CV158"/>
  <c r="CV147"/>
  <c r="CV128"/>
  <c r="CV150"/>
  <c r="CV194"/>
  <c r="CV185"/>
  <c r="CV162"/>
  <c r="CV199"/>
  <c r="CV196"/>
  <c r="CV167"/>
  <c r="CV164"/>
  <c r="CV136"/>
  <c r="CV111"/>
  <c r="CV126"/>
  <c r="CV110"/>
  <c r="CV86"/>
  <c r="CV54"/>
  <c r="CV22"/>
  <c r="CV71"/>
  <c r="CV25"/>
  <c r="CV23"/>
  <c r="CV89"/>
  <c r="CV79"/>
  <c r="CV40"/>
  <c r="CV24"/>
  <c r="CV130"/>
  <c r="CV114"/>
  <c r="CV90"/>
  <c r="CV58"/>
  <c r="CV26"/>
  <c r="CV207"/>
  <c r="CV146"/>
  <c r="CV77"/>
  <c r="CV29"/>
  <c r="CV9"/>
  <c r="CV109"/>
  <c r="CV100"/>
  <c r="CV92"/>
  <c r="CV84"/>
  <c r="CV76"/>
  <c r="CV69"/>
  <c r="CV60"/>
  <c r="CV52"/>
  <c r="CV43"/>
  <c r="CV35"/>
  <c r="CV27"/>
  <c r="CV156"/>
  <c r="CV205"/>
  <c r="CV190"/>
  <c r="CV181"/>
  <c r="CV165"/>
  <c r="CV132"/>
  <c r="CV187"/>
  <c r="CV184"/>
  <c r="CV143"/>
  <c r="CV148"/>
  <c r="CV186"/>
  <c r="CV177"/>
  <c r="CV149"/>
  <c r="CV140"/>
  <c r="CV121"/>
  <c r="CV191"/>
  <c r="CV188"/>
  <c r="CV159"/>
  <c r="CV155"/>
  <c r="CV113"/>
  <c r="CV78"/>
  <c r="CV46"/>
  <c r="CV14"/>
  <c r="CV10"/>
  <c r="CV81"/>
  <c r="CV33"/>
  <c r="CV31"/>
  <c r="CV80"/>
  <c r="CV72"/>
  <c r="CV56"/>
  <c r="CV11"/>
  <c r="CV82"/>
  <c r="CV50"/>
  <c r="CV18"/>
  <c r="CV123"/>
  <c r="CV117"/>
  <c r="CV101"/>
  <c r="CV21"/>
  <c r="CV19"/>
  <c r="CV124"/>
  <c r="CV85"/>
  <c r="CV44"/>
  <c r="CV36"/>
  <c r="CV28"/>
  <c r="CV20"/>
  <c r="CV141"/>
  <c r="CV206"/>
  <c r="CV182"/>
  <c r="CV166"/>
  <c r="CV103"/>
  <c r="CV179"/>
  <c r="CV176"/>
  <c r="CV153"/>
  <c r="CV154"/>
  <c r="CV133"/>
  <c r="CV120"/>
  <c r="CV201"/>
  <c r="CV178"/>
  <c r="CV169"/>
  <c r="CV183"/>
  <c r="CV180"/>
  <c r="CV145"/>
  <c r="CV129"/>
  <c r="CV151"/>
  <c r="CV134"/>
  <c r="CV118"/>
  <c r="CV102"/>
  <c r="CV70"/>
  <c r="CV38"/>
  <c r="CV87"/>
  <c r="CV57"/>
  <c r="CV55"/>
  <c r="CV41"/>
  <c r="CV39"/>
  <c r="CV95"/>
  <c r="CV73"/>
  <c r="CV48"/>
  <c r="CV32"/>
  <c r="CV12"/>
  <c r="CV138"/>
  <c r="CV122"/>
  <c r="CV106"/>
  <c r="CV74"/>
  <c r="CV42"/>
  <c r="CV93"/>
  <c r="CV91"/>
  <c r="CV61"/>
  <c r="CV45"/>
  <c r="CV115"/>
  <c r="CV107"/>
  <c r="CV104"/>
  <c r="CV197"/>
  <c r="CV173"/>
  <c r="CV203"/>
  <c r="CV200"/>
  <c r="CV171"/>
  <c r="CV168"/>
  <c r="CV127"/>
  <c r="CV157"/>
  <c r="CV144"/>
  <c r="CV139"/>
  <c r="CV119"/>
  <c r="CV202"/>
  <c r="CV193"/>
  <c r="CV170"/>
  <c r="CV161"/>
  <c r="CV204"/>
  <c r="CV175"/>
  <c r="CV172"/>
  <c r="CV152"/>
  <c r="CV112"/>
  <c r="CV135"/>
  <c r="CV94"/>
  <c r="CV62"/>
  <c r="CV30"/>
  <c r="CV13"/>
  <c r="CV97"/>
  <c r="CV65"/>
  <c r="CV63"/>
  <c r="CV47"/>
  <c r="CV17"/>
  <c r="CV15"/>
  <c r="CV96"/>
  <c r="CV88"/>
  <c r="CV64"/>
  <c r="CV49"/>
  <c r="CV16"/>
  <c r="CV98"/>
  <c r="CV66"/>
  <c r="CV34"/>
  <c r="CV142"/>
  <c r="CV67"/>
  <c r="CV53"/>
  <c r="CV51"/>
  <c r="CV37"/>
  <c r="CV125"/>
  <c r="CV116"/>
  <c r="CV108"/>
  <c r="CV99"/>
  <c r="CV83"/>
  <c r="CV75"/>
  <c r="CV68"/>
  <c r="CV59"/>
  <c r="CQ7"/>
  <c r="CW36"/>
  <c r="CW34"/>
  <c r="CW37"/>
  <c r="CW33"/>
  <c r="CW17"/>
  <c r="CW16"/>
  <c r="CW14"/>
  <c r="CW9"/>
  <c r="CW15"/>
  <c r="CW12"/>
  <c r="CQ6"/>
  <c r="CW31"/>
  <c r="CW30"/>
  <c r="CW27"/>
  <c r="CW20"/>
  <c r="CW13"/>
  <c r="CW10"/>
  <c r="CW26"/>
  <c r="CW22"/>
  <c r="CW19"/>
  <c r="CW35"/>
  <c r="CW29"/>
  <c r="CW23"/>
  <c r="CW21"/>
  <c r="CW32"/>
  <c r="CW28"/>
  <c r="CW25"/>
  <c r="CW24"/>
  <c r="CW18"/>
  <c r="CW11"/>
  <c r="BT7"/>
  <c r="BZ34"/>
  <c r="BZ30"/>
  <c r="BZ26"/>
  <c r="BZ22"/>
  <c r="BZ18"/>
  <c r="BZ14"/>
  <c r="BZ36"/>
  <c r="BZ32"/>
  <c r="BZ28"/>
  <c r="BZ24"/>
  <c r="BZ20"/>
  <c r="BZ16"/>
  <c r="BZ37"/>
  <c r="BZ35"/>
  <c r="BZ33"/>
  <c r="BZ31"/>
  <c r="BZ29"/>
  <c r="BZ27"/>
  <c r="BZ25"/>
  <c r="BZ23"/>
  <c r="BZ21"/>
  <c r="BZ19"/>
  <c r="BZ17"/>
  <c r="BZ15"/>
  <c r="BZ13"/>
  <c r="BZ11"/>
  <c r="BT6"/>
  <c r="BZ10"/>
  <c r="BZ12"/>
  <c r="BZ9"/>
  <c r="BX6"/>
  <c r="BM6"/>
  <c r="BY7"/>
  <c r="BP7"/>
  <c r="BT8"/>
  <c r="BP6"/>
  <c r="BY6"/>
  <c r="BY195"/>
  <c r="BY181"/>
  <c r="BY166"/>
  <c r="BY200"/>
  <c r="BY187"/>
  <c r="BY173"/>
  <c r="BY134"/>
  <c r="BY110"/>
  <c r="BY87"/>
  <c r="BY70"/>
  <c r="BY38"/>
  <c r="BY156"/>
  <c r="BY146"/>
  <c r="BY137"/>
  <c r="BY98"/>
  <c r="BY90"/>
  <c r="BY33"/>
  <c r="BY31"/>
  <c r="BY155"/>
  <c r="BY144"/>
  <c r="BY88"/>
  <c r="BY73"/>
  <c r="BY49"/>
  <c r="BY24"/>
  <c r="BY201"/>
  <c r="BY185"/>
  <c r="BY169"/>
  <c r="BY126"/>
  <c r="BY102"/>
  <c r="BY66"/>
  <c r="BY34"/>
  <c r="BY13"/>
  <c r="BY10"/>
  <c r="BY19"/>
  <c r="BY196"/>
  <c r="BY164"/>
  <c r="BY118"/>
  <c r="BY105"/>
  <c r="BY61"/>
  <c r="BY59"/>
  <c r="BY29"/>
  <c r="BY128"/>
  <c r="BY117"/>
  <c r="BY83"/>
  <c r="BY52"/>
  <c r="BY44"/>
  <c r="BY12"/>
  <c r="BY203"/>
  <c r="BY197"/>
  <c r="BY182"/>
  <c r="BY175"/>
  <c r="BY189"/>
  <c r="BY174"/>
  <c r="BY167"/>
  <c r="BY161"/>
  <c r="BY62"/>
  <c r="BY30"/>
  <c r="BY162"/>
  <c r="BY131"/>
  <c r="BY15"/>
  <c r="BY194"/>
  <c r="BY186"/>
  <c r="BY178"/>
  <c r="BY170"/>
  <c r="BY122"/>
  <c r="BY114"/>
  <c r="BY57"/>
  <c r="BY55"/>
  <c r="BY41"/>
  <c r="BY39"/>
  <c r="BY145"/>
  <c r="BY135"/>
  <c r="BY120"/>
  <c r="BY89"/>
  <c r="BY80"/>
  <c r="BY40"/>
  <c r="BY32"/>
  <c r="BY25"/>
  <c r="BY205"/>
  <c r="BY139"/>
  <c r="BY115"/>
  <c r="BY91"/>
  <c r="BY58"/>
  <c r="BY26"/>
  <c r="BY123"/>
  <c r="BY99"/>
  <c r="BY20"/>
  <c r="BY204"/>
  <c r="BY172"/>
  <c r="BY130"/>
  <c r="BY94"/>
  <c r="BY85"/>
  <c r="BY69"/>
  <c r="BY67"/>
  <c r="BY37"/>
  <c r="BY35"/>
  <c r="BY14"/>
  <c r="BY92"/>
  <c r="BY84"/>
  <c r="BY60"/>
  <c r="BY27"/>
  <c r="BY198"/>
  <c r="BY191"/>
  <c r="BY176"/>
  <c r="BY202"/>
  <c r="BY190"/>
  <c r="BY183"/>
  <c r="BY168"/>
  <c r="BY133"/>
  <c r="BY109"/>
  <c r="BY54"/>
  <c r="BY22"/>
  <c r="BY163"/>
  <c r="BY151"/>
  <c r="BY132"/>
  <c r="BY107"/>
  <c r="BY16"/>
  <c r="BY138"/>
  <c r="BY97"/>
  <c r="BY81"/>
  <c r="BY79"/>
  <c r="BY65"/>
  <c r="BY63"/>
  <c r="BY47"/>
  <c r="BY18"/>
  <c r="BY149"/>
  <c r="BY136"/>
  <c r="BY111"/>
  <c r="BY9"/>
  <c r="BY193"/>
  <c r="BY177"/>
  <c r="BY125"/>
  <c r="BY101"/>
  <c r="BY82"/>
  <c r="BY50"/>
  <c r="BY158"/>
  <c r="BY124"/>
  <c r="BY100"/>
  <c r="BY180"/>
  <c r="BY160"/>
  <c r="BY106"/>
  <c r="BY77"/>
  <c r="BY75"/>
  <c r="BY45"/>
  <c r="BY43"/>
  <c r="BY147"/>
  <c r="BY140"/>
  <c r="BY103"/>
  <c r="BY93"/>
  <c r="BY68"/>
  <c r="BY28"/>
  <c r="BY207"/>
  <c r="BY192"/>
  <c r="BY179"/>
  <c r="BY165"/>
  <c r="BY199"/>
  <c r="BY184"/>
  <c r="BY171"/>
  <c r="BY143"/>
  <c r="BY119"/>
  <c r="BY95"/>
  <c r="BY78"/>
  <c r="BY46"/>
  <c r="BY152"/>
  <c r="BY108"/>
  <c r="BY17"/>
  <c r="BY206"/>
  <c r="BY121"/>
  <c r="BY113"/>
  <c r="BY71"/>
  <c r="BY150"/>
  <c r="BY112"/>
  <c r="BY96"/>
  <c r="BY72"/>
  <c r="BY64"/>
  <c r="BY56"/>
  <c r="BY48"/>
  <c r="BY23"/>
  <c r="BY157"/>
  <c r="BY74"/>
  <c r="BY42"/>
  <c r="BY21"/>
  <c r="BY159"/>
  <c r="BY188"/>
  <c r="BY154"/>
  <c r="BY148"/>
  <c r="BY142"/>
  <c r="BY129"/>
  <c r="BY86"/>
  <c r="BY53"/>
  <c r="BY51"/>
  <c r="BY11"/>
  <c r="BY153"/>
  <c r="BY141"/>
  <c r="BY127"/>
  <c r="BY116"/>
  <c r="BY104"/>
  <c r="BY76"/>
  <c r="BY36"/>
  <c r="BP8"/>
  <c r="GM8"/>
  <c r="GN8"/>
  <c r="GO8"/>
  <c r="CZ7"/>
  <c r="CC7"/>
  <c r="BV7"/>
  <c r="DT6" l="1"/>
  <c r="DY9"/>
  <c r="EA9" s="1"/>
  <c r="GZ6"/>
  <c r="DY13"/>
  <c r="EA13" s="1"/>
  <c r="DY11"/>
  <c r="EA11" s="1"/>
  <c r="DY12"/>
  <c r="CN8"/>
  <c r="CT8" s="1"/>
  <c r="CR6"/>
  <c r="CY24" s="1"/>
  <c r="DA24" s="1"/>
  <c r="CR7"/>
  <c r="CY9" s="1"/>
  <c r="CN6"/>
  <c r="CY16"/>
  <c r="DA16" s="1"/>
  <c r="CY12"/>
  <c r="DA12" s="1"/>
  <c r="CY36"/>
  <c r="DA36" s="1"/>
  <c r="BQ6"/>
  <c r="BU6"/>
  <c r="CB12" s="1"/>
  <c r="CA8"/>
  <c r="CA12"/>
  <c r="CA10"/>
  <c r="CA9"/>
  <c r="HB68"/>
  <c r="HB82"/>
  <c r="HB67"/>
  <c r="HB143"/>
  <c r="HB74"/>
  <c r="CZ6"/>
  <c r="BU7"/>
  <c r="CB17" s="1"/>
  <c r="CD17" s="1"/>
  <c r="CC6"/>
  <c r="GZ8" l="1"/>
  <c r="HA8" s="1"/>
  <c r="DA8"/>
  <c r="O18" i="19"/>
  <c r="O21" s="1"/>
  <c r="EA12" i="9"/>
  <c r="EB12" s="1"/>
  <c r="EQ12" s="1"/>
  <c r="EB9"/>
  <c r="EQ9" s="1"/>
  <c r="M64" i="11"/>
  <c r="I67" i="15"/>
  <c r="M78" i="11"/>
  <c r="I81" i="15"/>
  <c r="M139" i="11"/>
  <c r="I142" i="15"/>
  <c r="M63" i="11"/>
  <c r="I66" i="15"/>
  <c r="M70" i="11"/>
  <c r="I73" i="15"/>
  <c r="Q18" i="4"/>
  <c r="CB10" i="9"/>
  <c r="CD10" s="1"/>
  <c r="EB13"/>
  <c r="EQ13" s="1"/>
  <c r="EB11"/>
  <c r="EQ11" s="1"/>
  <c r="CY28"/>
  <c r="DA28" s="1"/>
  <c r="CB9"/>
  <c r="CD9" s="1"/>
  <c r="CE9" s="1"/>
  <c r="EO9" s="1"/>
  <c r="CY32"/>
  <c r="DA32" s="1"/>
  <c r="CT6"/>
  <c r="CY35"/>
  <c r="DA35" s="1"/>
  <c r="CY26"/>
  <c r="DA26" s="1"/>
  <c r="DB26" s="1"/>
  <c r="EP26" s="1"/>
  <c r="CY21"/>
  <c r="DA21" s="1"/>
  <c r="CY29"/>
  <c r="DA29" s="1"/>
  <c r="DB29" s="1"/>
  <c r="EP29" s="1"/>
  <c r="CY23"/>
  <c r="DA23" s="1"/>
  <c r="DB23" s="1"/>
  <c r="EP23" s="1"/>
  <c r="CY11"/>
  <c r="DA11" s="1"/>
  <c r="DB11" s="1"/>
  <c r="EP11" s="1"/>
  <c r="CY31"/>
  <c r="DA31" s="1"/>
  <c r="DB31" s="1"/>
  <c r="EP31" s="1"/>
  <c r="CY30"/>
  <c r="DA30" s="1"/>
  <c r="DB30" s="1"/>
  <c r="EP30" s="1"/>
  <c r="CY27"/>
  <c r="DA27" s="1"/>
  <c r="DB27" s="1"/>
  <c r="EP27" s="1"/>
  <c r="CY25"/>
  <c r="DA25" s="1"/>
  <c r="DB25" s="1"/>
  <c r="EP25" s="1"/>
  <c r="CY18"/>
  <c r="DA18" s="1"/>
  <c r="DB18" s="1"/>
  <c r="EP18" s="1"/>
  <c r="CY13"/>
  <c r="DA13" s="1"/>
  <c r="CY10"/>
  <c r="DA10" s="1"/>
  <c r="DB10" s="1"/>
  <c r="EP10" s="1"/>
  <c r="CY22"/>
  <c r="DA22" s="1"/>
  <c r="DB22" s="1"/>
  <c r="EP22" s="1"/>
  <c r="CY19"/>
  <c r="DA19" s="1"/>
  <c r="DB19" s="1"/>
  <c r="EP19" s="1"/>
  <c r="DB12"/>
  <c r="EP12" s="1"/>
  <c r="DB16"/>
  <c r="EP16" s="1"/>
  <c r="CY17"/>
  <c r="DA17" s="1"/>
  <c r="DB17" s="1"/>
  <c r="EP17" s="1"/>
  <c r="CY14"/>
  <c r="DA14" s="1"/>
  <c r="DB14" s="1"/>
  <c r="EP14" s="1"/>
  <c r="DA9"/>
  <c r="DB9" s="1"/>
  <c r="EP9" s="1"/>
  <c r="CY34"/>
  <c r="DA34" s="1"/>
  <c r="DB34" s="1"/>
  <c r="EP34" s="1"/>
  <c r="CY15"/>
  <c r="DA15" s="1"/>
  <c r="DB15" s="1"/>
  <c r="EP15" s="1"/>
  <c r="CY37"/>
  <c r="DA37" s="1"/>
  <c r="DB37" s="1"/>
  <c r="EP37" s="1"/>
  <c r="CY33"/>
  <c r="DA33" s="1"/>
  <c r="DB33" s="1"/>
  <c r="EP33" s="1"/>
  <c r="CY20"/>
  <c r="DA20" s="1"/>
  <c r="DB20" s="1"/>
  <c r="EP20" s="1"/>
  <c r="HB70"/>
  <c r="HB69"/>
  <c r="CB33"/>
  <c r="CD33" s="1"/>
  <c r="CB32"/>
  <c r="CD32" s="1"/>
  <c r="CB18"/>
  <c r="CD18" s="1"/>
  <c r="CB13"/>
  <c r="CD13" s="1"/>
  <c r="CB22"/>
  <c r="CD22" s="1"/>
  <c r="CB34"/>
  <c r="CD34" s="1"/>
  <c r="CB28"/>
  <c r="CD28" s="1"/>
  <c r="CB25"/>
  <c r="CD25" s="1"/>
  <c r="CB30"/>
  <c r="CD30" s="1"/>
  <c r="CB16"/>
  <c r="CD16" s="1"/>
  <c r="CB24"/>
  <c r="CD24" s="1"/>
  <c r="CB35"/>
  <c r="CD35" s="1"/>
  <c r="CB37"/>
  <c r="CD37" s="1"/>
  <c r="CB19"/>
  <c r="CD19" s="1"/>
  <c r="CB21"/>
  <c r="CD21" s="1"/>
  <c r="CB29"/>
  <c r="CD29" s="1"/>
  <c r="CB27"/>
  <c r="CD27" s="1"/>
  <c r="CB26"/>
  <c r="CD26" s="1"/>
  <c r="CE26" s="1"/>
  <c r="EO26" s="1"/>
  <c r="BW6"/>
  <c r="CE17" s="1"/>
  <c r="EO17" s="1"/>
  <c r="CB20"/>
  <c r="CD20" s="1"/>
  <c r="CB31"/>
  <c r="CD31" s="1"/>
  <c r="CE31" s="1"/>
  <c r="EO31" s="1"/>
  <c r="CB23"/>
  <c r="CD23" s="1"/>
  <c r="CE10"/>
  <c r="EO10" s="1"/>
  <c r="CB14"/>
  <c r="CD14" s="1"/>
  <c r="CB15"/>
  <c r="CD15" s="1"/>
  <c r="CE15" s="1"/>
  <c r="EO15" s="1"/>
  <c r="CB11"/>
  <c r="CD12"/>
  <c r="CE12" s="1"/>
  <c r="EO12" s="1"/>
  <c r="CB36"/>
  <c r="CD36" s="1"/>
  <c r="CE36" s="1"/>
  <c r="EO36" s="1"/>
  <c r="HB86"/>
  <c r="HB62"/>
  <c r="HB90"/>
  <c r="HB103"/>
  <c r="HB104"/>
  <c r="HB61"/>
  <c r="HB77"/>
  <c r="HB93"/>
  <c r="HB94"/>
  <c r="HB46"/>
  <c r="HB207"/>
  <c r="HB48"/>
  <c r="HB75"/>
  <c r="HB79"/>
  <c r="HB97"/>
  <c r="HB87"/>
  <c r="HB98"/>
  <c r="HB51"/>
  <c r="HB50"/>
  <c r="HB100"/>
  <c r="HB52"/>
  <c r="HB60"/>
  <c r="HB106"/>
  <c r="HB99"/>
  <c r="HB42"/>
  <c r="HB65"/>
  <c r="HB54"/>
  <c r="HB71"/>
  <c r="HB73"/>
  <c r="HB96"/>
  <c r="HB89"/>
  <c r="HB64"/>
  <c r="HB45"/>
  <c r="HB84"/>
  <c r="HB49"/>
  <c r="HB105"/>
  <c r="HB83"/>
  <c r="HB80"/>
  <c r="HB85"/>
  <c r="HB56"/>
  <c r="HB53"/>
  <c r="HB66"/>
  <c r="HB58"/>
  <c r="HB81"/>
  <c r="HB102"/>
  <c r="HB59"/>
  <c r="HB47"/>
  <c r="HB92"/>
  <c r="HB131"/>
  <c r="HB72"/>
  <c r="HB134"/>
  <c r="HB205"/>
  <c r="HB117"/>
  <c r="HB109"/>
  <c r="HB140"/>
  <c r="HB160"/>
  <c r="HB127"/>
  <c r="HB112"/>
  <c r="HB113"/>
  <c r="HB159"/>
  <c r="HB181"/>
  <c r="HB145"/>
  <c r="HB175"/>
  <c r="HB191"/>
  <c r="HB115"/>
  <c r="HB136"/>
  <c r="HB152"/>
  <c r="HB173"/>
  <c r="HB206"/>
  <c r="HB88"/>
  <c r="HB147"/>
  <c r="HB201"/>
  <c r="HB130"/>
  <c r="HB179"/>
  <c r="HB193"/>
  <c r="HB107"/>
  <c r="HB186"/>
  <c r="HB114"/>
  <c r="HB118"/>
  <c r="HB128"/>
  <c r="HB154"/>
  <c r="HB185"/>
  <c r="HB120"/>
  <c r="HB190"/>
  <c r="HB132"/>
  <c r="HB148"/>
  <c r="HB178"/>
  <c r="HB172"/>
  <c r="HB180"/>
  <c r="HB164"/>
  <c r="HB198"/>
  <c r="HB199"/>
  <c r="HB174"/>
  <c r="HB135"/>
  <c r="HB155"/>
  <c r="HB151"/>
  <c r="HB167"/>
  <c r="HB203"/>
  <c r="HB125"/>
  <c r="HB168"/>
  <c r="HB166"/>
  <c r="HB141"/>
  <c r="HB196"/>
  <c r="HB116"/>
  <c r="HB165"/>
  <c r="HB129"/>
  <c r="HB162"/>
  <c r="HB183"/>
  <c r="HB197"/>
  <c r="HB156"/>
  <c r="HB188"/>
  <c r="HB119"/>
  <c r="HB137"/>
  <c r="HB153"/>
  <c r="HB170"/>
  <c r="HB126"/>
  <c r="HB150"/>
  <c r="HB169"/>
  <c r="HB146"/>
  <c r="HB187"/>
  <c r="HB111"/>
  <c r="HB163"/>
  <c r="HB202"/>
  <c r="HB121"/>
  <c r="HB138"/>
  <c r="HB177"/>
  <c r="HB204"/>
  <c r="HB158"/>
  <c r="HB157"/>
  <c r="HB189"/>
  <c r="HB139"/>
  <c r="HB123"/>
  <c r="HB133"/>
  <c r="HB149"/>
  <c r="HB176"/>
  <c r="HB184"/>
  <c r="HB192"/>
  <c r="HB182"/>
  <c r="HB142"/>
  <c r="HB124"/>
  <c r="BE6"/>
  <c r="AU7"/>
  <c r="AM8"/>
  <c r="AM6"/>
  <c r="AR3"/>
  <c r="AL3"/>
  <c r="AA2" i="15" s="1"/>
  <c r="P1" i="8"/>
  <c r="FM5" i="9" s="1"/>
  <c r="K1" i="8"/>
  <c r="FJ5" i="9" s="1"/>
  <c r="AD8"/>
  <c r="AB8"/>
  <c r="AD6"/>
  <c r="AB6"/>
  <c r="AC6" s="1"/>
  <c r="P8"/>
  <c r="N8"/>
  <c r="N6"/>
  <c r="O6" s="1"/>
  <c r="P6"/>
  <c r="BL203" i="11"/>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L103"/>
  <c r="BL104"/>
  <c r="BL105"/>
  <c r="BL106"/>
  <c r="BL107"/>
  <c r="BL108"/>
  <c r="BL109"/>
  <c r="BL110"/>
  <c r="BL111"/>
  <c r="BL112"/>
  <c r="BL113"/>
  <c r="BL114"/>
  <c r="BL115"/>
  <c r="BL116"/>
  <c r="BL117"/>
  <c r="BL118"/>
  <c r="BL119"/>
  <c r="BL120"/>
  <c r="BL121"/>
  <c r="BL122"/>
  <c r="BL123"/>
  <c r="BL124"/>
  <c r="BL125"/>
  <c r="BL126"/>
  <c r="BL127"/>
  <c r="BL128"/>
  <c r="BL129"/>
  <c r="BL130"/>
  <c r="BL131"/>
  <c r="BL132"/>
  <c r="BL133"/>
  <c r="BL134"/>
  <c r="BL135"/>
  <c r="BL136"/>
  <c r="BL137"/>
  <c r="BL138"/>
  <c r="BL139"/>
  <c r="BL140"/>
  <c r="BL141"/>
  <c r="BL142"/>
  <c r="BL143"/>
  <c r="BL144"/>
  <c r="BL145"/>
  <c r="BL146"/>
  <c r="BL147"/>
  <c r="BL148"/>
  <c r="BL149"/>
  <c r="BL150"/>
  <c r="BL151"/>
  <c r="BL152"/>
  <c r="BL153"/>
  <c r="BL154"/>
  <c r="BL155"/>
  <c r="BL156"/>
  <c r="BL157"/>
  <c r="BL158"/>
  <c r="BL159"/>
  <c r="BL160"/>
  <c r="BL161"/>
  <c r="BL162"/>
  <c r="BL163"/>
  <c r="BL164"/>
  <c r="BL165"/>
  <c r="BL166"/>
  <c r="BL167"/>
  <c r="BL168"/>
  <c r="BL169"/>
  <c r="BL170"/>
  <c r="BL171"/>
  <c r="BL172"/>
  <c r="BL173"/>
  <c r="BL174"/>
  <c r="BL175"/>
  <c r="BL176"/>
  <c r="BL177"/>
  <c r="BL178"/>
  <c r="BL179"/>
  <c r="BL180"/>
  <c r="BL181"/>
  <c r="BL182"/>
  <c r="BL183"/>
  <c r="BL184"/>
  <c r="BL185"/>
  <c r="BL186"/>
  <c r="BL187"/>
  <c r="BL188"/>
  <c r="BL189"/>
  <c r="BL190"/>
  <c r="BL191"/>
  <c r="BL192"/>
  <c r="BL193"/>
  <c r="BL194"/>
  <c r="BL195"/>
  <c r="BL196"/>
  <c r="BL197"/>
  <c r="BL198"/>
  <c r="BL199"/>
  <c r="BL200"/>
  <c r="BL201"/>
  <c r="BL202"/>
  <c r="BL5"/>
  <c r="I8" i="8"/>
  <c r="H8"/>
  <c r="G8"/>
  <c r="F8"/>
  <c r="CD7" i="9"/>
  <c r="CF2"/>
  <c r="O5" i="15" s="1"/>
  <c r="BI2" i="9"/>
  <c r="N5" i="15" s="1"/>
  <c r="AL2" i="9"/>
  <c r="M5" i="15" s="1"/>
  <c r="CD11" i="9" l="1"/>
  <c r="CE11" s="1"/>
  <c r="EO11" s="1"/>
  <c r="HA6"/>
  <c r="DB13"/>
  <c r="EP13" s="1"/>
  <c r="M138" i="11"/>
  <c r="I141" i="15"/>
  <c r="M172" i="11"/>
  <c r="I175" i="15"/>
  <c r="M135" i="11"/>
  <c r="I138" i="15"/>
  <c r="M200" i="11"/>
  <c r="I203" i="15"/>
  <c r="M198" i="11"/>
  <c r="I201" i="15"/>
  <c r="M142" i="11"/>
  <c r="I145" i="15"/>
  <c r="M166" i="11"/>
  <c r="I169" i="15"/>
  <c r="M184" i="11"/>
  <c r="I187" i="15"/>
  <c r="M158" i="11"/>
  <c r="I161" i="15"/>
  <c r="M192" i="11"/>
  <c r="I195" i="15"/>
  <c r="M121" i="11"/>
  <c r="I124" i="15"/>
  <c r="M151" i="11"/>
  <c r="I154" i="15"/>
  <c r="M194" i="11"/>
  <c r="I197" i="15"/>
  <c r="M174" i="11"/>
  <c r="I177" i="15"/>
  <c r="M116" i="11"/>
  <c r="I119" i="15"/>
  <c r="M114" i="11"/>
  <c r="I117" i="15"/>
  <c r="M189" i="11"/>
  <c r="I192" i="15"/>
  <c r="M143" i="11"/>
  <c r="I146" i="15"/>
  <c r="M148" i="11"/>
  <c r="I151" i="15"/>
  <c r="M171" i="11"/>
  <c r="I174" i="15"/>
  <c r="M109" i="11"/>
  <c r="I112" i="15"/>
  <c r="M136" i="11"/>
  <c r="I139" i="15"/>
  <c r="M130" i="11"/>
  <c r="I133" i="15"/>
  <c r="M43" i="11"/>
  <c r="I46" i="15"/>
  <c r="M54" i="11"/>
  <c r="I57" i="15"/>
  <c r="M81" i="11"/>
  <c r="I84" i="15"/>
  <c r="M45" i="11"/>
  <c r="I48" i="15"/>
  <c r="M85" i="11"/>
  <c r="I88" i="15"/>
  <c r="M50" i="11"/>
  <c r="I53" i="15"/>
  <c r="M102" i="11"/>
  <c r="I105" i="15"/>
  <c r="M46" i="11"/>
  <c r="I49" i="15"/>
  <c r="M93" i="11"/>
  <c r="I96" i="15"/>
  <c r="M203" i="11"/>
  <c r="I206" i="15"/>
  <c r="M73" i="11"/>
  <c r="I76" i="15"/>
  <c r="M86" i="11"/>
  <c r="I89" i="15"/>
  <c r="M65" i="11"/>
  <c r="I68" i="15"/>
  <c r="M120" i="11"/>
  <c r="I123" i="15"/>
  <c r="M180" i="11"/>
  <c r="I183" i="15"/>
  <c r="M119" i="11"/>
  <c r="I122" i="15"/>
  <c r="M154" i="11"/>
  <c r="I157" i="15"/>
  <c r="M117" i="11"/>
  <c r="I120" i="15"/>
  <c r="M183" i="11"/>
  <c r="I186" i="15"/>
  <c r="M122" i="11"/>
  <c r="I125" i="15"/>
  <c r="M115" i="11"/>
  <c r="I118" i="15"/>
  <c r="M179" i="11"/>
  <c r="I182" i="15"/>
  <c r="M112" i="11"/>
  <c r="I115" i="15"/>
  <c r="M164" i="11"/>
  <c r="I167" i="15"/>
  <c r="M147" i="11"/>
  <c r="I150" i="15"/>
  <c r="M195" i="11"/>
  <c r="I198" i="15"/>
  <c r="M168" i="11"/>
  <c r="I171" i="15"/>
  <c r="M186" i="11"/>
  <c r="I189" i="15"/>
  <c r="M124" i="11"/>
  <c r="I127" i="15"/>
  <c r="M103" i="11"/>
  <c r="I106" i="15"/>
  <c r="M197" i="11"/>
  <c r="I200" i="15"/>
  <c r="M169" i="11"/>
  <c r="I172" i="15"/>
  <c r="M187" i="11"/>
  <c r="I190" i="15"/>
  <c r="M155" i="11"/>
  <c r="I158" i="15"/>
  <c r="M156" i="11"/>
  <c r="I159" i="15"/>
  <c r="M201" i="11"/>
  <c r="I204" i="15"/>
  <c r="M88" i="11"/>
  <c r="I91" i="15"/>
  <c r="M77" i="11"/>
  <c r="I80" i="15"/>
  <c r="M52" i="11"/>
  <c r="I55" i="15"/>
  <c r="M101" i="11"/>
  <c r="I104" i="15"/>
  <c r="M60" i="11"/>
  <c r="I63" i="15"/>
  <c r="M67" i="11"/>
  <c r="I70" i="15"/>
  <c r="M95" i="11"/>
  <c r="I98" i="15"/>
  <c r="M96" i="11"/>
  <c r="I99" i="15"/>
  <c r="M83" i="11"/>
  <c r="I86" i="15"/>
  <c r="M44" i="11"/>
  <c r="I47" i="15"/>
  <c r="M89" i="11"/>
  <c r="I92" i="15"/>
  <c r="M99" i="11"/>
  <c r="I102" i="15"/>
  <c r="M82" i="11"/>
  <c r="I85" i="15"/>
  <c r="M188" i="11"/>
  <c r="I191" i="15"/>
  <c r="M129" i="11"/>
  <c r="I132" i="15"/>
  <c r="M153" i="11"/>
  <c r="I156" i="15"/>
  <c r="M134" i="11"/>
  <c r="I137" i="15"/>
  <c r="M107" i="11"/>
  <c r="I110" i="15"/>
  <c r="M146" i="11"/>
  <c r="I149" i="15"/>
  <c r="M133" i="11"/>
  <c r="I136" i="15"/>
  <c r="M193" i="11"/>
  <c r="I196" i="15"/>
  <c r="M161" i="11"/>
  <c r="I164" i="15"/>
  <c r="M162" i="11"/>
  <c r="I165" i="15"/>
  <c r="M163" i="11"/>
  <c r="I166" i="15"/>
  <c r="M170" i="11"/>
  <c r="I173" i="15"/>
  <c r="M176" i="11"/>
  <c r="I179" i="15"/>
  <c r="M128" i="11"/>
  <c r="I131" i="15"/>
  <c r="M150" i="11"/>
  <c r="I153" i="15"/>
  <c r="M182" i="11"/>
  <c r="I185" i="15"/>
  <c r="M126" i="11"/>
  <c r="I129" i="15"/>
  <c r="M202" i="11"/>
  <c r="I205" i="15"/>
  <c r="M111" i="11"/>
  <c r="I114" i="15"/>
  <c r="M177" i="11"/>
  <c r="I180" i="15"/>
  <c r="M123" i="11"/>
  <c r="I126" i="15"/>
  <c r="M113" i="11"/>
  <c r="I116" i="15"/>
  <c r="M127" i="11"/>
  <c r="I130" i="15"/>
  <c r="M98" i="11"/>
  <c r="I101" i="15"/>
  <c r="M49" i="11"/>
  <c r="I52" i="15"/>
  <c r="M79" i="11"/>
  <c r="I82" i="15"/>
  <c r="M41" i="11"/>
  <c r="I44" i="15"/>
  <c r="M69" i="11"/>
  <c r="I72" i="15"/>
  <c r="M38" i="11"/>
  <c r="I41" i="15"/>
  <c r="M48" i="11"/>
  <c r="I51" i="15"/>
  <c r="M94" i="11"/>
  <c r="I97" i="15"/>
  <c r="M71" i="11"/>
  <c r="I74" i="15"/>
  <c r="M90" i="11"/>
  <c r="I93" i="15"/>
  <c r="M100" i="11"/>
  <c r="I103" i="15"/>
  <c r="M58" i="11"/>
  <c r="I61" i="15"/>
  <c r="M178" i="11"/>
  <c r="I181" i="15"/>
  <c r="M145" i="11"/>
  <c r="I148" i="15"/>
  <c r="M185" i="11"/>
  <c r="I188" i="15"/>
  <c r="M173" i="11"/>
  <c r="I176" i="15"/>
  <c r="M159" i="11"/>
  <c r="I162" i="15"/>
  <c r="M165" i="11"/>
  <c r="I168" i="15"/>
  <c r="M149" i="11"/>
  <c r="I152" i="15"/>
  <c r="M152" i="11"/>
  <c r="I155" i="15"/>
  <c r="M125" i="11"/>
  <c r="I128" i="15"/>
  <c r="M137" i="11"/>
  <c r="I140" i="15"/>
  <c r="M199" i="11"/>
  <c r="I202" i="15"/>
  <c r="M131" i="11"/>
  <c r="I134" i="15"/>
  <c r="M160" i="11"/>
  <c r="I163" i="15"/>
  <c r="M144" i="11"/>
  <c r="I147" i="15"/>
  <c r="M181" i="11"/>
  <c r="I184" i="15"/>
  <c r="M110" i="11"/>
  <c r="I113" i="15"/>
  <c r="M175" i="11"/>
  <c r="I178" i="15"/>
  <c r="M84" i="11"/>
  <c r="I87" i="15"/>
  <c r="M132" i="11"/>
  <c r="I135" i="15"/>
  <c r="M141" i="11"/>
  <c r="I144" i="15"/>
  <c r="M108" i="11"/>
  <c r="I111" i="15"/>
  <c r="M105" i="11"/>
  <c r="I108" i="15"/>
  <c r="M68" i="11"/>
  <c r="I71" i="15"/>
  <c r="M55" i="11"/>
  <c r="I58" i="15"/>
  <c r="M62" i="11"/>
  <c r="I65" i="15"/>
  <c r="M76" i="11"/>
  <c r="I79" i="15"/>
  <c r="M80" i="11"/>
  <c r="I83" i="15"/>
  <c r="M92" i="11"/>
  <c r="I95" i="15"/>
  <c r="M61" i="11"/>
  <c r="I64" i="15"/>
  <c r="M56" i="11"/>
  <c r="I59" i="15"/>
  <c r="M47" i="11"/>
  <c r="I50" i="15"/>
  <c r="M75" i="11"/>
  <c r="I78" i="15"/>
  <c r="M42" i="11"/>
  <c r="I45" i="15"/>
  <c r="M57" i="11"/>
  <c r="I60" i="15"/>
  <c r="M66" i="11"/>
  <c r="I69" i="15"/>
  <c r="CE27" i="9"/>
  <c r="EO27" s="1"/>
  <c r="DB24"/>
  <c r="EP24" s="1"/>
  <c r="DB35"/>
  <c r="EP35" s="1"/>
  <c r="DB21"/>
  <c r="EP21" s="1"/>
  <c r="DB32"/>
  <c r="EP32" s="1"/>
  <c r="HB43"/>
  <c r="HB194"/>
  <c r="CE14"/>
  <c r="EO14" s="1"/>
  <c r="CE20"/>
  <c r="EO20" s="1"/>
  <c r="CE29"/>
  <c r="EO29" s="1"/>
  <c r="DB28"/>
  <c r="EP28" s="1"/>
  <c r="CE37"/>
  <c r="EO37" s="1"/>
  <c r="CE23"/>
  <c r="EO23" s="1"/>
  <c r="DB36"/>
  <c r="EP36" s="1"/>
  <c r="CE35"/>
  <c r="EO35" s="1"/>
  <c r="CE25"/>
  <c r="EO25" s="1"/>
  <c r="CE13"/>
  <c r="EO13" s="1"/>
  <c r="CE30"/>
  <c r="EO30" s="1"/>
  <c r="CE22"/>
  <c r="EO22" s="1"/>
  <c r="CE33"/>
  <c r="EO33" s="1"/>
  <c r="HB78"/>
  <c r="CE19"/>
  <c r="EO19" s="1"/>
  <c r="CE16"/>
  <c r="EO16" s="1"/>
  <c r="CE34"/>
  <c r="EO34" s="1"/>
  <c r="CE32"/>
  <c r="EO32" s="1"/>
  <c r="CE21"/>
  <c r="EO21" s="1"/>
  <c r="CE24"/>
  <c r="EO24" s="1"/>
  <c r="CE28"/>
  <c r="EO28" s="1"/>
  <c r="CE18"/>
  <c r="EO18" s="1"/>
  <c r="AW7"/>
  <c r="BC32"/>
  <c r="BC28"/>
  <c r="BC20"/>
  <c r="BC16"/>
  <c r="BC34"/>
  <c r="BC30"/>
  <c r="BC22"/>
  <c r="BC18"/>
  <c r="BC14"/>
  <c r="BC10"/>
  <c r="BC33"/>
  <c r="BC31"/>
  <c r="BC29"/>
  <c r="BC27"/>
  <c r="BC21"/>
  <c r="BC19"/>
  <c r="BC17"/>
  <c r="BC15"/>
  <c r="BC13"/>
  <c r="AP8"/>
  <c r="BA8"/>
  <c r="AP6"/>
  <c r="BA6"/>
  <c r="AE6"/>
  <c r="AJ11"/>
  <c r="AK11" s="1"/>
  <c r="EM11" s="1"/>
  <c r="V17"/>
  <c r="W17" s="1"/>
  <c r="EL17" s="1"/>
  <c r="AJ9"/>
  <c r="AK9" s="1"/>
  <c r="EM9" s="1"/>
  <c r="AJ10"/>
  <c r="AK10" s="1"/>
  <c r="EM10" s="1"/>
  <c r="AJ18"/>
  <c r="AK18" s="1"/>
  <c r="EM18" s="1"/>
  <c r="V13"/>
  <c r="W13" s="1"/>
  <c r="EL13" s="1"/>
  <c r="AJ16"/>
  <c r="AK16" s="1"/>
  <c r="EM16" s="1"/>
  <c r="AJ17"/>
  <c r="AK17" s="1"/>
  <c r="EM17" s="1"/>
  <c r="V10"/>
  <c r="W10" s="1"/>
  <c r="EL10" s="1"/>
  <c r="AJ14"/>
  <c r="AK14" s="1"/>
  <c r="EM14" s="1"/>
  <c r="AJ15"/>
  <c r="AK15" s="1"/>
  <c r="EM15" s="1"/>
  <c r="V14"/>
  <c r="W14" s="1"/>
  <c r="EL14" s="1"/>
  <c r="AJ13"/>
  <c r="AK13" s="1"/>
  <c r="EM13" s="1"/>
  <c r="V9"/>
  <c r="W9" s="1"/>
  <c r="EL9" s="1"/>
  <c r="AJ12"/>
  <c r="AK12" s="1"/>
  <c r="EM12" s="1"/>
  <c r="V12"/>
  <c r="W12" s="1"/>
  <c r="EL12" s="1"/>
  <c r="V16"/>
  <c r="W16" s="1"/>
  <c r="EL16" s="1"/>
  <c r="V18"/>
  <c r="W18" s="1"/>
  <c r="EL18" s="1"/>
  <c r="V11"/>
  <c r="W11" s="1"/>
  <c r="EL11" s="1"/>
  <c r="V15"/>
  <c r="W15" s="1"/>
  <c r="EL15" s="1"/>
  <c r="Q6"/>
  <c r="HB63"/>
  <c r="HB95"/>
  <c r="HB41"/>
  <c r="HB200"/>
  <c r="HB101"/>
  <c r="AA3" i="15"/>
  <c r="GY182" i="9"/>
  <c r="GY150"/>
  <c r="GY142"/>
  <c r="GY134"/>
  <c r="GY126"/>
  <c r="GY118"/>
  <c r="GY86"/>
  <c r="GY78"/>
  <c r="GY70"/>
  <c r="GY38"/>
  <c r="HB57"/>
  <c r="HB76"/>
  <c r="A7" i="6"/>
  <c r="HB55" i="9"/>
  <c r="HB195"/>
  <c r="HB122"/>
  <c r="HB171"/>
  <c r="HB44"/>
  <c r="GR182"/>
  <c r="GR70"/>
  <c r="HB91"/>
  <c r="HB144"/>
  <c r="HB110"/>
  <c r="HB161"/>
  <c r="GR136"/>
  <c r="HB108"/>
  <c r="C203" i="12"/>
  <c r="C201"/>
  <c r="C199"/>
  <c r="C197"/>
  <c r="C195"/>
  <c r="C193"/>
  <c r="C191"/>
  <c r="C189"/>
  <c r="C187"/>
  <c r="C185"/>
  <c r="C183"/>
  <c r="C181"/>
  <c r="C179"/>
  <c r="C177"/>
  <c r="C175"/>
  <c r="C173"/>
  <c r="C171"/>
  <c r="C169"/>
  <c r="C167"/>
  <c r="C165"/>
  <c r="C163"/>
  <c r="C161"/>
  <c r="C159"/>
  <c r="C157"/>
  <c r="C155"/>
  <c r="C153"/>
  <c r="C151"/>
  <c r="C149"/>
  <c r="C147"/>
  <c r="C145"/>
  <c r="C143"/>
  <c r="C141"/>
  <c r="C139"/>
  <c r="C137"/>
  <c r="C135"/>
  <c r="C133"/>
  <c r="C131"/>
  <c r="C129"/>
  <c r="C127"/>
  <c r="C125"/>
  <c r="C123"/>
  <c r="C121"/>
  <c r="C119"/>
  <c r="C117"/>
  <c r="C115"/>
  <c r="C113"/>
  <c r="C111"/>
  <c r="C109"/>
  <c r="C107"/>
  <c r="C105"/>
  <c r="G203"/>
  <c r="E201"/>
  <c r="F200"/>
  <c r="G199"/>
  <c r="E197"/>
  <c r="F196"/>
  <c r="G195"/>
  <c r="D203"/>
  <c r="D201"/>
  <c r="D199"/>
  <c r="D197"/>
  <c r="D195"/>
  <c r="D193"/>
  <c r="D191"/>
  <c r="D189"/>
  <c r="D187"/>
  <c r="D185"/>
  <c r="D183"/>
  <c r="D181"/>
  <c r="D179"/>
  <c r="D177"/>
  <c r="D175"/>
  <c r="D173"/>
  <c r="D171"/>
  <c r="D169"/>
  <c r="D167"/>
  <c r="D165"/>
  <c r="D163"/>
  <c r="D161"/>
  <c r="D159"/>
  <c r="D157"/>
  <c r="D155"/>
  <c r="D153"/>
  <c r="D151"/>
  <c r="D149"/>
  <c r="D147"/>
  <c r="D145"/>
  <c r="D143"/>
  <c r="D141"/>
  <c r="D139"/>
  <c r="D137"/>
  <c r="D135"/>
  <c r="D133"/>
  <c r="D131"/>
  <c r="D129"/>
  <c r="D127"/>
  <c r="D125"/>
  <c r="D123"/>
  <c r="D121"/>
  <c r="D119"/>
  <c r="D117"/>
  <c r="D115"/>
  <c r="D113"/>
  <c r="D111"/>
  <c r="D109"/>
  <c r="D107"/>
  <c r="D105"/>
  <c r="G6"/>
  <c r="E202"/>
  <c r="F201"/>
  <c r="G200"/>
  <c r="E198"/>
  <c r="F197"/>
  <c r="G196"/>
  <c r="E194"/>
  <c r="F193"/>
  <c r="C204"/>
  <c r="C202"/>
  <c r="C200"/>
  <c r="C198"/>
  <c r="C196"/>
  <c r="C194"/>
  <c r="C192"/>
  <c r="C190"/>
  <c r="C188"/>
  <c r="C186"/>
  <c r="C184"/>
  <c r="C182"/>
  <c r="C180"/>
  <c r="C178"/>
  <c r="C176"/>
  <c r="C174"/>
  <c r="C172"/>
  <c r="C170"/>
  <c r="C168"/>
  <c r="C166"/>
  <c r="C164"/>
  <c r="C162"/>
  <c r="C160"/>
  <c r="C158"/>
  <c r="C156"/>
  <c r="C154"/>
  <c r="C152"/>
  <c r="C150"/>
  <c r="C148"/>
  <c r="C146"/>
  <c r="C144"/>
  <c r="C142"/>
  <c r="C140"/>
  <c r="C138"/>
  <c r="C136"/>
  <c r="C134"/>
  <c r="C132"/>
  <c r="C130"/>
  <c r="C128"/>
  <c r="C126"/>
  <c r="C124"/>
  <c r="C122"/>
  <c r="C120"/>
  <c r="C118"/>
  <c r="C116"/>
  <c r="C114"/>
  <c r="C112"/>
  <c r="C110"/>
  <c r="C108"/>
  <c r="C106"/>
  <c r="C104"/>
  <c r="F6"/>
  <c r="E203"/>
  <c r="F202"/>
  <c r="G201"/>
  <c r="E199"/>
  <c r="F198"/>
  <c r="G197"/>
  <c r="E195"/>
  <c r="F194"/>
  <c r="G193"/>
  <c r="D204"/>
  <c r="D202"/>
  <c r="D200"/>
  <c r="D198"/>
  <c r="D196"/>
  <c r="D194"/>
  <c r="D192"/>
  <c r="D190"/>
  <c r="D188"/>
  <c r="D186"/>
  <c r="D184"/>
  <c r="D182"/>
  <c r="D180"/>
  <c r="D178"/>
  <c r="D176"/>
  <c r="D174"/>
  <c r="D172"/>
  <c r="D170"/>
  <c r="D168"/>
  <c r="D166"/>
  <c r="D164"/>
  <c r="D162"/>
  <c r="D160"/>
  <c r="D158"/>
  <c r="D156"/>
  <c r="D154"/>
  <c r="D152"/>
  <c r="D150"/>
  <c r="D148"/>
  <c r="D146"/>
  <c r="D144"/>
  <c r="D142"/>
  <c r="D140"/>
  <c r="D138"/>
  <c r="D136"/>
  <c r="D134"/>
  <c r="D132"/>
  <c r="D130"/>
  <c r="D128"/>
  <c r="D126"/>
  <c r="D124"/>
  <c r="D122"/>
  <c r="D120"/>
  <c r="D118"/>
  <c r="D116"/>
  <c r="D114"/>
  <c r="D112"/>
  <c r="D110"/>
  <c r="D108"/>
  <c r="D106"/>
  <c r="D104"/>
  <c r="E6"/>
  <c r="F203"/>
  <c r="G202"/>
  <c r="E200"/>
  <c r="F199"/>
  <c r="G198"/>
  <c r="E196"/>
  <c r="F195"/>
  <c r="G194"/>
  <c r="E192"/>
  <c r="F191"/>
  <c r="G190"/>
  <c r="E188"/>
  <c r="F187"/>
  <c r="G186"/>
  <c r="E184"/>
  <c r="F183"/>
  <c r="G182"/>
  <c r="E180"/>
  <c r="F179"/>
  <c r="G178"/>
  <c r="E176"/>
  <c r="F175"/>
  <c r="G174"/>
  <c r="E172"/>
  <c r="F171"/>
  <c r="G170"/>
  <c r="E168"/>
  <c r="F167"/>
  <c r="G166"/>
  <c r="E164"/>
  <c r="F163"/>
  <c r="G162"/>
  <c r="E160"/>
  <c r="F159"/>
  <c r="G158"/>
  <c r="E156"/>
  <c r="F155"/>
  <c r="G154"/>
  <c r="E152"/>
  <c r="F151"/>
  <c r="G150"/>
  <c r="E148"/>
  <c r="F147"/>
  <c r="G146"/>
  <c r="E144"/>
  <c r="F143"/>
  <c r="G142"/>
  <c r="E140"/>
  <c r="F139"/>
  <c r="G138"/>
  <c r="E136"/>
  <c r="F135"/>
  <c r="G134"/>
  <c r="E132"/>
  <c r="F131"/>
  <c r="G130"/>
  <c r="E128"/>
  <c r="F127"/>
  <c r="G126"/>
  <c r="E124"/>
  <c r="F123"/>
  <c r="G122"/>
  <c r="E120"/>
  <c r="F119"/>
  <c r="G118"/>
  <c r="E116"/>
  <c r="F115"/>
  <c r="G114"/>
  <c r="E112"/>
  <c r="F111"/>
  <c r="G110"/>
  <c r="E108"/>
  <c r="F107"/>
  <c r="G106"/>
  <c r="E104"/>
  <c r="F103"/>
  <c r="G102"/>
  <c r="E100"/>
  <c r="F99"/>
  <c r="G98"/>
  <c r="E96"/>
  <c r="F95"/>
  <c r="G94"/>
  <c r="E92"/>
  <c r="F91"/>
  <c r="G90"/>
  <c r="E88"/>
  <c r="F87"/>
  <c r="G86"/>
  <c r="E84"/>
  <c r="F83"/>
  <c r="G82"/>
  <c r="E80"/>
  <c r="F79"/>
  <c r="G78"/>
  <c r="E76"/>
  <c r="F75"/>
  <c r="G74"/>
  <c r="E72"/>
  <c r="F71"/>
  <c r="G70"/>
  <c r="E68"/>
  <c r="F67"/>
  <c r="G66"/>
  <c r="E64"/>
  <c r="F63"/>
  <c r="G62"/>
  <c r="E60"/>
  <c r="F59"/>
  <c r="G58"/>
  <c r="E56"/>
  <c r="F55"/>
  <c r="G54"/>
  <c r="E52"/>
  <c r="F51"/>
  <c r="G50"/>
  <c r="E48"/>
  <c r="F47"/>
  <c r="G46"/>
  <c r="E44"/>
  <c r="F43"/>
  <c r="G42"/>
  <c r="E40"/>
  <c r="F39"/>
  <c r="G38"/>
  <c r="E36"/>
  <c r="F35"/>
  <c r="G34"/>
  <c r="E32"/>
  <c r="F31"/>
  <c r="G30"/>
  <c r="E28"/>
  <c r="F27"/>
  <c r="G26"/>
  <c r="E24"/>
  <c r="F23"/>
  <c r="G22"/>
  <c r="E20"/>
  <c r="F19"/>
  <c r="G18"/>
  <c r="E16"/>
  <c r="F15"/>
  <c r="G14"/>
  <c r="E12"/>
  <c r="F11"/>
  <c r="G10"/>
  <c r="E8"/>
  <c r="F7"/>
  <c r="G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S12" s="1"/>
  <c r="B8"/>
  <c r="S8" s="1"/>
  <c r="E193"/>
  <c r="F192"/>
  <c r="G191"/>
  <c r="E189"/>
  <c r="F188"/>
  <c r="G187"/>
  <c r="E185"/>
  <c r="F184"/>
  <c r="G183"/>
  <c r="E181"/>
  <c r="F180"/>
  <c r="G179"/>
  <c r="E177"/>
  <c r="F176"/>
  <c r="G175"/>
  <c r="E173"/>
  <c r="F172"/>
  <c r="G171"/>
  <c r="E169"/>
  <c r="F168"/>
  <c r="G167"/>
  <c r="E165"/>
  <c r="F164"/>
  <c r="G163"/>
  <c r="E161"/>
  <c r="F160"/>
  <c r="G159"/>
  <c r="E157"/>
  <c r="F156"/>
  <c r="G155"/>
  <c r="E153"/>
  <c r="F152"/>
  <c r="G151"/>
  <c r="E149"/>
  <c r="F148"/>
  <c r="G147"/>
  <c r="E145"/>
  <c r="F144"/>
  <c r="G143"/>
  <c r="E141"/>
  <c r="F140"/>
  <c r="G139"/>
  <c r="E137"/>
  <c r="F136"/>
  <c r="G135"/>
  <c r="E133"/>
  <c r="F132"/>
  <c r="G131"/>
  <c r="E129"/>
  <c r="F128"/>
  <c r="G127"/>
  <c r="E125"/>
  <c r="F124"/>
  <c r="G123"/>
  <c r="E121"/>
  <c r="F120"/>
  <c r="G119"/>
  <c r="E117"/>
  <c r="F116"/>
  <c r="G115"/>
  <c r="E113"/>
  <c r="F112"/>
  <c r="G111"/>
  <c r="E109"/>
  <c r="F108"/>
  <c r="G107"/>
  <c r="E105"/>
  <c r="F104"/>
  <c r="G103"/>
  <c r="E101"/>
  <c r="F100"/>
  <c r="G99"/>
  <c r="E97"/>
  <c r="F96"/>
  <c r="G95"/>
  <c r="E93"/>
  <c r="F92"/>
  <c r="G91"/>
  <c r="E89"/>
  <c r="F88"/>
  <c r="G87"/>
  <c r="E85"/>
  <c r="F84"/>
  <c r="G83"/>
  <c r="E81"/>
  <c r="F80"/>
  <c r="G79"/>
  <c r="E77"/>
  <c r="F76"/>
  <c r="G75"/>
  <c r="E73"/>
  <c r="F72"/>
  <c r="G71"/>
  <c r="E69"/>
  <c r="F68"/>
  <c r="G67"/>
  <c r="E65"/>
  <c r="F64"/>
  <c r="G63"/>
  <c r="E61"/>
  <c r="F60"/>
  <c r="G59"/>
  <c r="E57"/>
  <c r="F56"/>
  <c r="G55"/>
  <c r="E53"/>
  <c r="F52"/>
  <c r="G51"/>
  <c r="E49"/>
  <c r="F48"/>
  <c r="G47"/>
  <c r="E45"/>
  <c r="F44"/>
  <c r="G43"/>
  <c r="E41"/>
  <c r="F40"/>
  <c r="G39"/>
  <c r="E37"/>
  <c r="F36"/>
  <c r="G35"/>
  <c r="E33"/>
  <c r="F32"/>
  <c r="G31"/>
  <c r="E29"/>
  <c r="F28"/>
  <c r="G27"/>
  <c r="E25"/>
  <c r="F24"/>
  <c r="G23"/>
  <c r="E21"/>
  <c r="F20"/>
  <c r="G19"/>
  <c r="E17"/>
  <c r="F16"/>
  <c r="G15"/>
  <c r="E13"/>
  <c r="F12"/>
  <c r="G11"/>
  <c r="E9"/>
  <c r="F8"/>
  <c r="G7"/>
  <c r="F204"/>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S13" s="1"/>
  <c r="B9"/>
  <c r="S9" s="1"/>
  <c r="B204"/>
  <c r="G192"/>
  <c r="E190"/>
  <c r="F189"/>
  <c r="G188"/>
  <c r="E186"/>
  <c r="F185"/>
  <c r="G184"/>
  <c r="E182"/>
  <c r="F181"/>
  <c r="G180"/>
  <c r="E178"/>
  <c r="F177"/>
  <c r="G176"/>
  <c r="E174"/>
  <c r="F173"/>
  <c r="G172"/>
  <c r="E170"/>
  <c r="F169"/>
  <c r="G168"/>
  <c r="E166"/>
  <c r="F165"/>
  <c r="G164"/>
  <c r="E162"/>
  <c r="F161"/>
  <c r="G160"/>
  <c r="E158"/>
  <c r="F157"/>
  <c r="G156"/>
  <c r="E154"/>
  <c r="F153"/>
  <c r="G152"/>
  <c r="E150"/>
  <c r="F149"/>
  <c r="G148"/>
  <c r="E146"/>
  <c r="F145"/>
  <c r="G144"/>
  <c r="E142"/>
  <c r="F141"/>
  <c r="G140"/>
  <c r="E138"/>
  <c r="F137"/>
  <c r="G136"/>
  <c r="E134"/>
  <c r="F133"/>
  <c r="G132"/>
  <c r="E130"/>
  <c r="F129"/>
  <c r="G128"/>
  <c r="E126"/>
  <c r="F125"/>
  <c r="G124"/>
  <c r="E122"/>
  <c r="F121"/>
  <c r="G120"/>
  <c r="E118"/>
  <c r="F117"/>
  <c r="G116"/>
  <c r="E114"/>
  <c r="F113"/>
  <c r="G112"/>
  <c r="E110"/>
  <c r="F109"/>
  <c r="G108"/>
  <c r="E106"/>
  <c r="F105"/>
  <c r="G104"/>
  <c r="E102"/>
  <c r="F101"/>
  <c r="G100"/>
  <c r="E98"/>
  <c r="F97"/>
  <c r="G96"/>
  <c r="E94"/>
  <c r="F93"/>
  <c r="G92"/>
  <c r="E90"/>
  <c r="F89"/>
  <c r="G88"/>
  <c r="E86"/>
  <c r="F85"/>
  <c r="G84"/>
  <c r="E82"/>
  <c r="F81"/>
  <c r="G80"/>
  <c r="E78"/>
  <c r="F77"/>
  <c r="G76"/>
  <c r="E74"/>
  <c r="F73"/>
  <c r="G72"/>
  <c r="E70"/>
  <c r="F69"/>
  <c r="G68"/>
  <c r="E66"/>
  <c r="F65"/>
  <c r="G64"/>
  <c r="E62"/>
  <c r="F61"/>
  <c r="G60"/>
  <c r="E58"/>
  <c r="F57"/>
  <c r="G56"/>
  <c r="E54"/>
  <c r="F53"/>
  <c r="G52"/>
  <c r="E50"/>
  <c r="F49"/>
  <c r="G48"/>
  <c r="E46"/>
  <c r="F45"/>
  <c r="G44"/>
  <c r="E42"/>
  <c r="F41"/>
  <c r="G40"/>
  <c r="E38"/>
  <c r="F37"/>
  <c r="G36"/>
  <c r="E34"/>
  <c r="F33"/>
  <c r="G32"/>
  <c r="E30"/>
  <c r="F29"/>
  <c r="G28"/>
  <c r="E26"/>
  <c r="F25"/>
  <c r="G24"/>
  <c r="E22"/>
  <c r="F21"/>
  <c r="G20"/>
  <c r="E18"/>
  <c r="F17"/>
  <c r="G16"/>
  <c r="E14"/>
  <c r="F13"/>
  <c r="G12"/>
  <c r="E10"/>
  <c r="F9"/>
  <c r="G8"/>
  <c r="E204"/>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S14" s="1"/>
  <c r="B10"/>
  <c r="S10" s="1"/>
  <c r="B203"/>
  <c r="GY206" i="9"/>
  <c r="E191" i="12"/>
  <c r="F190"/>
  <c r="G189"/>
  <c r="E187"/>
  <c r="F186"/>
  <c r="G185"/>
  <c r="E183"/>
  <c r="F182"/>
  <c r="G181"/>
  <c r="E179"/>
  <c r="F178"/>
  <c r="G177"/>
  <c r="E175"/>
  <c r="F174"/>
  <c r="G173"/>
  <c r="E171"/>
  <c r="F170"/>
  <c r="G169"/>
  <c r="E167"/>
  <c r="F166"/>
  <c r="G165"/>
  <c r="E163"/>
  <c r="F162"/>
  <c r="G161"/>
  <c r="E159"/>
  <c r="F158"/>
  <c r="G157"/>
  <c r="E155"/>
  <c r="F154"/>
  <c r="G153"/>
  <c r="E151"/>
  <c r="F150"/>
  <c r="G149"/>
  <c r="E147"/>
  <c r="F146"/>
  <c r="G145"/>
  <c r="E143"/>
  <c r="F142"/>
  <c r="G141"/>
  <c r="E139"/>
  <c r="F138"/>
  <c r="G137"/>
  <c r="E135"/>
  <c r="F134"/>
  <c r="G133"/>
  <c r="E131"/>
  <c r="F130"/>
  <c r="G129"/>
  <c r="E127"/>
  <c r="F126"/>
  <c r="G125"/>
  <c r="E123"/>
  <c r="F122"/>
  <c r="G121"/>
  <c r="E119"/>
  <c r="F118"/>
  <c r="G117"/>
  <c r="E115"/>
  <c r="F114"/>
  <c r="G113"/>
  <c r="E111"/>
  <c r="F110"/>
  <c r="G109"/>
  <c r="E107"/>
  <c r="F106"/>
  <c r="G105"/>
  <c r="E103"/>
  <c r="F102"/>
  <c r="G101"/>
  <c r="E99"/>
  <c r="F98"/>
  <c r="G97"/>
  <c r="E95"/>
  <c r="F94"/>
  <c r="G93"/>
  <c r="E91"/>
  <c r="F90"/>
  <c r="G89"/>
  <c r="E87"/>
  <c r="F86"/>
  <c r="G85"/>
  <c r="E83"/>
  <c r="F82"/>
  <c r="G81"/>
  <c r="E79"/>
  <c r="F78"/>
  <c r="G77"/>
  <c r="E75"/>
  <c r="F74"/>
  <c r="G73"/>
  <c r="E71"/>
  <c r="F70"/>
  <c r="G69"/>
  <c r="E67"/>
  <c r="F66"/>
  <c r="G65"/>
  <c r="E63"/>
  <c r="F62"/>
  <c r="G61"/>
  <c r="E59"/>
  <c r="F58"/>
  <c r="G57"/>
  <c r="E55"/>
  <c r="F54"/>
  <c r="G53"/>
  <c r="E51"/>
  <c r="F50"/>
  <c r="G49"/>
  <c r="E47"/>
  <c r="F46"/>
  <c r="G45"/>
  <c r="E43"/>
  <c r="F42"/>
  <c r="G41"/>
  <c r="E39"/>
  <c r="F38"/>
  <c r="G37"/>
  <c r="E35"/>
  <c r="F34"/>
  <c r="G33"/>
  <c r="E31"/>
  <c r="F30"/>
  <c r="G29"/>
  <c r="E27"/>
  <c r="F26"/>
  <c r="G25"/>
  <c r="E23"/>
  <c r="F22"/>
  <c r="G21"/>
  <c r="E19"/>
  <c r="F18"/>
  <c r="G17"/>
  <c r="E15"/>
  <c r="F14"/>
  <c r="G13"/>
  <c r="E11"/>
  <c r="F10"/>
  <c r="G9"/>
  <c r="E7"/>
  <c r="B6"/>
  <c r="S6" s="1"/>
  <c r="GY202" i="9"/>
  <c r="B199" i="12"/>
  <c r="B195"/>
  <c r="GY198" i="9"/>
  <c r="B191" i="12"/>
  <c r="GY194" i="9"/>
  <c r="B187" i="12"/>
  <c r="GY190" i="9"/>
  <c r="B183" i="12"/>
  <c r="GY186" i="9"/>
  <c r="B179" i="12"/>
  <c r="B175"/>
  <c r="GY178" i="9"/>
  <c r="B171" i="12"/>
  <c r="GY174" i="9"/>
  <c r="B167" i="12"/>
  <c r="GY170" i="9"/>
  <c r="B163" i="12"/>
  <c r="GY166" i="9"/>
  <c r="B159" i="12"/>
  <c r="GY162" i="9"/>
  <c r="B155" i="12"/>
  <c r="GY158" i="9"/>
  <c r="B151" i="12"/>
  <c r="GY154" i="9"/>
  <c r="B147" i="12"/>
  <c r="B143"/>
  <c r="GY146" i="9"/>
  <c r="B139" i="12"/>
  <c r="B135"/>
  <c r="GY138" i="9"/>
  <c r="B131" i="12"/>
  <c r="B127"/>
  <c r="GY130" i="9"/>
  <c r="B123" i="12"/>
  <c r="B119"/>
  <c r="GY122" i="9"/>
  <c r="B115" i="12"/>
  <c r="B111"/>
  <c r="GY114" i="9"/>
  <c r="B107" i="12"/>
  <c r="GY110" i="9"/>
  <c r="B103" i="12"/>
  <c r="GY106" i="9"/>
  <c r="B99" i="12"/>
  <c r="GY102" i="9"/>
  <c r="B95" i="12"/>
  <c r="GY98" i="9"/>
  <c r="B91" i="12"/>
  <c r="GY94" i="9"/>
  <c r="B87" i="12"/>
  <c r="GY90" i="9"/>
  <c r="B83" i="12"/>
  <c r="B79"/>
  <c r="GY82" i="9"/>
  <c r="B75" i="12"/>
  <c r="B71"/>
  <c r="GY74" i="9"/>
  <c r="B67" i="12"/>
  <c r="B63"/>
  <c r="GY66" i="9"/>
  <c r="GY62"/>
  <c r="B59" i="12"/>
  <c r="B55"/>
  <c r="GY58" i="9"/>
  <c r="B51" i="12"/>
  <c r="GY54" i="9"/>
  <c r="B47" i="12"/>
  <c r="GY50" i="9"/>
  <c r="B43" i="12"/>
  <c r="GY46" i="9"/>
  <c r="B39" i="12"/>
  <c r="GY42" i="9"/>
  <c r="B35" i="12"/>
  <c r="B31"/>
  <c r="B27"/>
  <c r="B23"/>
  <c r="B19"/>
  <c r="B15"/>
  <c r="S15" s="1"/>
  <c r="B11"/>
  <c r="S11" s="1"/>
  <c r="B7"/>
  <c r="S7" s="1"/>
  <c r="GN14" i="9"/>
  <c r="FR5"/>
  <c r="AQ209"/>
  <c r="GN16"/>
  <c r="GN15"/>
  <c r="S27" i="12" l="1"/>
  <c r="K27"/>
  <c r="O27"/>
  <c r="J27"/>
  <c r="N27"/>
  <c r="R27"/>
  <c r="H27"/>
  <c r="I27"/>
  <c r="M27"/>
  <c r="Q27"/>
  <c r="L27"/>
  <c r="P27"/>
  <c r="S39"/>
  <c r="K39"/>
  <c r="O39"/>
  <c r="J39"/>
  <c r="N39"/>
  <c r="R39"/>
  <c r="H39"/>
  <c r="I39"/>
  <c r="M39"/>
  <c r="Q39"/>
  <c r="L39"/>
  <c r="P39"/>
  <c r="S47"/>
  <c r="K47"/>
  <c r="O47"/>
  <c r="J47"/>
  <c r="N47"/>
  <c r="R47"/>
  <c r="H47"/>
  <c r="I47"/>
  <c r="M47"/>
  <c r="Q47"/>
  <c r="L47"/>
  <c r="P47"/>
  <c r="S55"/>
  <c r="K55"/>
  <c r="O55"/>
  <c r="J55"/>
  <c r="N55"/>
  <c r="R55"/>
  <c r="H55"/>
  <c r="I55"/>
  <c r="M55"/>
  <c r="Q55"/>
  <c r="L55"/>
  <c r="P55"/>
  <c r="S63"/>
  <c r="K63"/>
  <c r="O63"/>
  <c r="J63"/>
  <c r="N63"/>
  <c r="R63"/>
  <c r="H63"/>
  <c r="I63"/>
  <c r="M63"/>
  <c r="Q63"/>
  <c r="L63"/>
  <c r="P63"/>
  <c r="S75"/>
  <c r="K75"/>
  <c r="O75"/>
  <c r="J75"/>
  <c r="N75"/>
  <c r="R75"/>
  <c r="H75"/>
  <c r="I75"/>
  <c r="M75"/>
  <c r="Q75"/>
  <c r="L75"/>
  <c r="P75"/>
  <c r="J86" i="11"/>
  <c r="H89" i="15"/>
  <c r="HC90" i="9"/>
  <c r="HE90"/>
  <c r="J94" i="11"/>
  <c r="H97" i="15"/>
  <c r="HC98" i="9"/>
  <c r="HE98"/>
  <c r="J102" i="11"/>
  <c r="H105" i="15"/>
  <c r="HC106" i="9"/>
  <c r="HE106"/>
  <c r="J110" i="11"/>
  <c r="H113" i="15"/>
  <c r="HC114" i="9"/>
  <c r="HE114"/>
  <c r="S119" i="12"/>
  <c r="K119"/>
  <c r="O119"/>
  <c r="J119"/>
  <c r="N119"/>
  <c r="R119"/>
  <c r="H119"/>
  <c r="I119"/>
  <c r="M119"/>
  <c r="Q119"/>
  <c r="L119"/>
  <c r="P119"/>
  <c r="S131"/>
  <c r="K131"/>
  <c r="O131"/>
  <c r="J131"/>
  <c r="N131"/>
  <c r="R131"/>
  <c r="H131"/>
  <c r="I131"/>
  <c r="M131"/>
  <c r="Q131"/>
  <c r="L131"/>
  <c r="P131"/>
  <c r="J142" i="11"/>
  <c r="H145" i="15"/>
  <c r="HC146" i="9"/>
  <c r="HE146"/>
  <c r="S151" i="12"/>
  <c r="K151"/>
  <c r="O151"/>
  <c r="J151"/>
  <c r="N151"/>
  <c r="R151"/>
  <c r="H151"/>
  <c r="I151"/>
  <c r="M151"/>
  <c r="Q151"/>
  <c r="L151"/>
  <c r="P151"/>
  <c r="S159"/>
  <c r="K159"/>
  <c r="O159"/>
  <c r="J159"/>
  <c r="N159"/>
  <c r="R159"/>
  <c r="H159"/>
  <c r="I159"/>
  <c r="M159"/>
  <c r="Q159"/>
  <c r="L159"/>
  <c r="P159"/>
  <c r="S167"/>
  <c r="K167"/>
  <c r="O167"/>
  <c r="J167"/>
  <c r="N167"/>
  <c r="R167"/>
  <c r="H167"/>
  <c r="I167"/>
  <c r="M167"/>
  <c r="Q167"/>
  <c r="L167"/>
  <c r="P167"/>
  <c r="S175"/>
  <c r="K175"/>
  <c r="O175"/>
  <c r="J175"/>
  <c r="N175"/>
  <c r="R175"/>
  <c r="H175"/>
  <c r="I175"/>
  <c r="M175"/>
  <c r="Q175"/>
  <c r="L175"/>
  <c r="P175"/>
  <c r="J186" i="11"/>
  <c r="H189" i="15"/>
  <c r="HC190" i="9"/>
  <c r="HE190"/>
  <c r="J194" i="11"/>
  <c r="H197" i="15"/>
  <c r="HC198" i="9"/>
  <c r="HE198"/>
  <c r="J202" i="11"/>
  <c r="H205" i="15"/>
  <c r="HC206" i="9"/>
  <c r="HE206"/>
  <c r="S18" i="12"/>
  <c r="I18"/>
  <c r="M18"/>
  <c r="Q18"/>
  <c r="L18"/>
  <c r="P18"/>
  <c r="H18"/>
  <c r="K18"/>
  <c r="O18"/>
  <c r="J18"/>
  <c r="N18"/>
  <c r="R18"/>
  <c r="S34"/>
  <c r="I34"/>
  <c r="M34"/>
  <c r="Q34"/>
  <c r="L34"/>
  <c r="P34"/>
  <c r="K34"/>
  <c r="O34"/>
  <c r="H34"/>
  <c r="J34"/>
  <c r="N34"/>
  <c r="R34"/>
  <c r="S50"/>
  <c r="I50"/>
  <c r="M50"/>
  <c r="Q50"/>
  <c r="L50"/>
  <c r="P50"/>
  <c r="K50"/>
  <c r="O50"/>
  <c r="H50"/>
  <c r="J50"/>
  <c r="N50"/>
  <c r="R50"/>
  <c r="S66"/>
  <c r="I66"/>
  <c r="M66"/>
  <c r="Q66"/>
  <c r="L66"/>
  <c r="P66"/>
  <c r="K66"/>
  <c r="O66"/>
  <c r="H66"/>
  <c r="J66"/>
  <c r="N66"/>
  <c r="R66"/>
  <c r="S82"/>
  <c r="I82"/>
  <c r="M82"/>
  <c r="Q82"/>
  <c r="L82"/>
  <c r="P82"/>
  <c r="K82"/>
  <c r="O82"/>
  <c r="H82"/>
  <c r="J82"/>
  <c r="N82"/>
  <c r="R82"/>
  <c r="S98"/>
  <c r="I98"/>
  <c r="M98"/>
  <c r="Q98"/>
  <c r="L98"/>
  <c r="P98"/>
  <c r="K98"/>
  <c r="O98"/>
  <c r="H98"/>
  <c r="J98"/>
  <c r="N98"/>
  <c r="R98"/>
  <c r="S114"/>
  <c r="I114"/>
  <c r="M114"/>
  <c r="Q114"/>
  <c r="L114"/>
  <c r="P114"/>
  <c r="K114"/>
  <c r="O114"/>
  <c r="H114"/>
  <c r="J114"/>
  <c r="N114"/>
  <c r="R114"/>
  <c r="S130"/>
  <c r="I130"/>
  <c r="M130"/>
  <c r="Q130"/>
  <c r="L130"/>
  <c r="P130"/>
  <c r="K130"/>
  <c r="O130"/>
  <c r="H130"/>
  <c r="J130"/>
  <c r="N130"/>
  <c r="R130"/>
  <c r="S146"/>
  <c r="I146"/>
  <c r="M146"/>
  <c r="Q146"/>
  <c r="L146"/>
  <c r="P146"/>
  <c r="K146"/>
  <c r="O146"/>
  <c r="H146"/>
  <c r="J146"/>
  <c r="N146"/>
  <c r="R146"/>
  <c r="S162"/>
  <c r="I162"/>
  <c r="M162"/>
  <c r="Q162"/>
  <c r="L162"/>
  <c r="P162"/>
  <c r="K162"/>
  <c r="O162"/>
  <c r="H162"/>
  <c r="J162"/>
  <c r="N162"/>
  <c r="R162"/>
  <c r="S178"/>
  <c r="I178"/>
  <c r="M178"/>
  <c r="Q178"/>
  <c r="L178"/>
  <c r="P178"/>
  <c r="K178"/>
  <c r="O178"/>
  <c r="H178"/>
  <c r="J178"/>
  <c r="N178"/>
  <c r="R178"/>
  <c r="S194"/>
  <c r="I194"/>
  <c r="M194"/>
  <c r="Q194"/>
  <c r="L194"/>
  <c r="P194"/>
  <c r="K194"/>
  <c r="O194"/>
  <c r="H194"/>
  <c r="J194"/>
  <c r="N194"/>
  <c r="R194"/>
  <c r="S25"/>
  <c r="H25"/>
  <c r="K25"/>
  <c r="O25"/>
  <c r="J25"/>
  <c r="N25"/>
  <c r="R25"/>
  <c r="I25"/>
  <c r="M25"/>
  <c r="Q25"/>
  <c r="L25"/>
  <c r="P25"/>
  <c r="S41"/>
  <c r="H41"/>
  <c r="K41"/>
  <c r="O41"/>
  <c r="J41"/>
  <c r="N41"/>
  <c r="R41"/>
  <c r="I41"/>
  <c r="M41"/>
  <c r="Q41"/>
  <c r="L41"/>
  <c r="P41"/>
  <c r="S57"/>
  <c r="H57"/>
  <c r="K57"/>
  <c r="O57"/>
  <c r="J57"/>
  <c r="N57"/>
  <c r="R57"/>
  <c r="I57"/>
  <c r="M57"/>
  <c r="Q57"/>
  <c r="L57"/>
  <c r="P57"/>
  <c r="S73"/>
  <c r="H73"/>
  <c r="K73"/>
  <c r="O73"/>
  <c r="J73"/>
  <c r="N73"/>
  <c r="R73"/>
  <c r="I73"/>
  <c r="M73"/>
  <c r="Q73"/>
  <c r="L73"/>
  <c r="P73"/>
  <c r="S89"/>
  <c r="H89"/>
  <c r="K89"/>
  <c r="O89"/>
  <c r="J89"/>
  <c r="N89"/>
  <c r="R89"/>
  <c r="I89"/>
  <c r="M89"/>
  <c r="Q89"/>
  <c r="L89"/>
  <c r="P89"/>
  <c r="S105"/>
  <c r="H105"/>
  <c r="K105"/>
  <c r="O105"/>
  <c r="J105"/>
  <c r="N105"/>
  <c r="R105"/>
  <c r="I105"/>
  <c r="M105"/>
  <c r="Q105"/>
  <c r="L105"/>
  <c r="P105"/>
  <c r="S121"/>
  <c r="H121"/>
  <c r="K121"/>
  <c r="O121"/>
  <c r="J121"/>
  <c r="N121"/>
  <c r="R121"/>
  <c r="I121"/>
  <c r="M121"/>
  <c r="Q121"/>
  <c r="L121"/>
  <c r="P121"/>
  <c r="S137"/>
  <c r="H137"/>
  <c r="K137"/>
  <c r="O137"/>
  <c r="J137"/>
  <c r="N137"/>
  <c r="R137"/>
  <c r="I137"/>
  <c r="M137"/>
  <c r="Q137"/>
  <c r="L137"/>
  <c r="P137"/>
  <c r="S153"/>
  <c r="H153"/>
  <c r="K153"/>
  <c r="O153"/>
  <c r="J153"/>
  <c r="N153"/>
  <c r="R153"/>
  <c r="I153"/>
  <c r="M153"/>
  <c r="Q153"/>
  <c r="L153"/>
  <c r="P153"/>
  <c r="S169"/>
  <c r="H169"/>
  <c r="K169"/>
  <c r="O169"/>
  <c r="J169"/>
  <c r="N169"/>
  <c r="R169"/>
  <c r="I169"/>
  <c r="M169"/>
  <c r="Q169"/>
  <c r="L169"/>
  <c r="P169"/>
  <c r="S185"/>
  <c r="H185"/>
  <c r="K185"/>
  <c r="O185"/>
  <c r="J185"/>
  <c r="N185"/>
  <c r="R185"/>
  <c r="I185"/>
  <c r="M185"/>
  <c r="Q185"/>
  <c r="L185"/>
  <c r="P185"/>
  <c r="S201"/>
  <c r="H201"/>
  <c r="J201"/>
  <c r="I201"/>
  <c r="M201"/>
  <c r="Q201"/>
  <c r="L201"/>
  <c r="P201"/>
  <c r="K201"/>
  <c r="O201"/>
  <c r="N201"/>
  <c r="R201"/>
  <c r="S28"/>
  <c r="I28"/>
  <c r="M28"/>
  <c r="Q28"/>
  <c r="H28"/>
  <c r="L28"/>
  <c r="P28"/>
  <c r="K28"/>
  <c r="O28"/>
  <c r="J28"/>
  <c r="N28"/>
  <c r="R28"/>
  <c r="S44"/>
  <c r="I44"/>
  <c r="M44"/>
  <c r="Q44"/>
  <c r="H44"/>
  <c r="L44"/>
  <c r="P44"/>
  <c r="K44"/>
  <c r="O44"/>
  <c r="J44"/>
  <c r="N44"/>
  <c r="R44"/>
  <c r="S60"/>
  <c r="I60"/>
  <c r="M60"/>
  <c r="Q60"/>
  <c r="H60"/>
  <c r="L60"/>
  <c r="P60"/>
  <c r="K60"/>
  <c r="O60"/>
  <c r="J60"/>
  <c r="N60"/>
  <c r="R60"/>
  <c r="S76"/>
  <c r="I76"/>
  <c r="M76"/>
  <c r="Q76"/>
  <c r="H76"/>
  <c r="L76"/>
  <c r="P76"/>
  <c r="K76"/>
  <c r="O76"/>
  <c r="J76"/>
  <c r="N76"/>
  <c r="R76"/>
  <c r="S92"/>
  <c r="I92"/>
  <c r="M92"/>
  <c r="Q92"/>
  <c r="H92"/>
  <c r="L92"/>
  <c r="P92"/>
  <c r="K92"/>
  <c r="O92"/>
  <c r="J92"/>
  <c r="N92"/>
  <c r="R92"/>
  <c r="S108"/>
  <c r="I108"/>
  <c r="M108"/>
  <c r="Q108"/>
  <c r="H108"/>
  <c r="L108"/>
  <c r="P108"/>
  <c r="K108"/>
  <c r="O108"/>
  <c r="J108"/>
  <c r="N108"/>
  <c r="R108"/>
  <c r="S124"/>
  <c r="I124"/>
  <c r="M124"/>
  <c r="Q124"/>
  <c r="H124"/>
  <c r="L124"/>
  <c r="P124"/>
  <c r="K124"/>
  <c r="O124"/>
  <c r="J124"/>
  <c r="N124"/>
  <c r="R124"/>
  <c r="S140"/>
  <c r="I140"/>
  <c r="M140"/>
  <c r="Q140"/>
  <c r="H140"/>
  <c r="L140"/>
  <c r="P140"/>
  <c r="K140"/>
  <c r="O140"/>
  <c r="J140"/>
  <c r="N140"/>
  <c r="R140"/>
  <c r="S156"/>
  <c r="I156"/>
  <c r="M156"/>
  <c r="Q156"/>
  <c r="H156"/>
  <c r="L156"/>
  <c r="P156"/>
  <c r="K156"/>
  <c r="O156"/>
  <c r="J156"/>
  <c r="N156"/>
  <c r="R156"/>
  <c r="S172"/>
  <c r="I172"/>
  <c r="M172"/>
  <c r="Q172"/>
  <c r="H172"/>
  <c r="L172"/>
  <c r="P172"/>
  <c r="K172"/>
  <c r="O172"/>
  <c r="J172"/>
  <c r="N172"/>
  <c r="R172"/>
  <c r="S188"/>
  <c r="I188"/>
  <c r="M188"/>
  <c r="Q188"/>
  <c r="H188"/>
  <c r="L188"/>
  <c r="P188"/>
  <c r="K188"/>
  <c r="O188"/>
  <c r="J188"/>
  <c r="N188"/>
  <c r="R188"/>
  <c r="J74" i="11"/>
  <c r="H77" i="15"/>
  <c r="HC78" i="9"/>
  <c r="HE78"/>
  <c r="J130" i="11"/>
  <c r="H133" i="15"/>
  <c r="HC134" i="9"/>
  <c r="HE134"/>
  <c r="S23" i="12"/>
  <c r="K23"/>
  <c r="O23"/>
  <c r="J23"/>
  <c r="N23"/>
  <c r="R23"/>
  <c r="H23"/>
  <c r="I23"/>
  <c r="M23"/>
  <c r="Q23"/>
  <c r="L23"/>
  <c r="P23"/>
  <c r="J38" i="11"/>
  <c r="H41" i="15"/>
  <c r="HC42" i="9"/>
  <c r="HE42"/>
  <c r="J46" i="11"/>
  <c r="H49" i="15"/>
  <c r="HC50" i="9"/>
  <c r="HE50"/>
  <c r="J54" i="11"/>
  <c r="H57" i="15"/>
  <c r="HC58" i="9"/>
  <c r="HE58"/>
  <c r="J62" i="11"/>
  <c r="H65" i="15"/>
  <c r="HC66" i="9"/>
  <c r="HE66"/>
  <c r="S71" i="12"/>
  <c r="K71"/>
  <c r="O71"/>
  <c r="J71"/>
  <c r="N71"/>
  <c r="R71"/>
  <c r="H71"/>
  <c r="I71"/>
  <c r="M71"/>
  <c r="Q71"/>
  <c r="L71"/>
  <c r="P71"/>
  <c r="S83"/>
  <c r="K83"/>
  <c r="O83"/>
  <c r="J83"/>
  <c r="N83"/>
  <c r="R83"/>
  <c r="H83"/>
  <c r="I83"/>
  <c r="M83"/>
  <c r="Q83"/>
  <c r="L83"/>
  <c r="P83"/>
  <c r="S91"/>
  <c r="K91"/>
  <c r="O91"/>
  <c r="J91"/>
  <c r="N91"/>
  <c r="R91"/>
  <c r="H91"/>
  <c r="I91"/>
  <c r="M91"/>
  <c r="Q91"/>
  <c r="L91"/>
  <c r="P91"/>
  <c r="S99"/>
  <c r="K99"/>
  <c r="O99"/>
  <c r="J99"/>
  <c r="N99"/>
  <c r="R99"/>
  <c r="H99"/>
  <c r="I99"/>
  <c r="M99"/>
  <c r="Q99"/>
  <c r="L99"/>
  <c r="P99"/>
  <c r="S107"/>
  <c r="K107"/>
  <c r="O107"/>
  <c r="J107"/>
  <c r="N107"/>
  <c r="R107"/>
  <c r="H107"/>
  <c r="I107"/>
  <c r="M107"/>
  <c r="Q107"/>
  <c r="L107"/>
  <c r="P107"/>
  <c r="J118" i="11"/>
  <c r="H121" i="15"/>
  <c r="HC122" i="9"/>
  <c r="HE122"/>
  <c r="S127" i="12"/>
  <c r="K127"/>
  <c r="O127"/>
  <c r="J127"/>
  <c r="N127"/>
  <c r="R127"/>
  <c r="H127"/>
  <c r="I127"/>
  <c r="M127"/>
  <c r="Q127"/>
  <c r="L127"/>
  <c r="P127"/>
  <c r="S139"/>
  <c r="K139"/>
  <c r="O139"/>
  <c r="J139"/>
  <c r="N139"/>
  <c r="R139"/>
  <c r="H139"/>
  <c r="I139"/>
  <c r="M139"/>
  <c r="Q139"/>
  <c r="L139"/>
  <c r="P139"/>
  <c r="J150" i="11"/>
  <c r="H153" i="15"/>
  <c r="HC154" i="9"/>
  <c r="HE154"/>
  <c r="J158" i="11"/>
  <c r="H161" i="15"/>
  <c r="HC162" i="9"/>
  <c r="HE162"/>
  <c r="J166" i="11"/>
  <c r="H169" i="15"/>
  <c r="HC170" i="9"/>
  <c r="HE170"/>
  <c r="J174" i="11"/>
  <c r="H177" i="15"/>
  <c r="HC178" i="9"/>
  <c r="HE178"/>
  <c r="S183" i="12"/>
  <c r="K183"/>
  <c r="O183"/>
  <c r="J183"/>
  <c r="N183"/>
  <c r="R183"/>
  <c r="H183"/>
  <c r="I183"/>
  <c r="M183"/>
  <c r="Q183"/>
  <c r="L183"/>
  <c r="P183"/>
  <c r="S191"/>
  <c r="K191"/>
  <c r="O191"/>
  <c r="J191"/>
  <c r="N191"/>
  <c r="R191"/>
  <c r="H191"/>
  <c r="I191"/>
  <c r="M191"/>
  <c r="Q191"/>
  <c r="L191"/>
  <c r="P191"/>
  <c r="J198" i="11"/>
  <c r="H201" i="15"/>
  <c r="HC202" i="9"/>
  <c r="HE202"/>
  <c r="S30" i="12"/>
  <c r="I30"/>
  <c r="M30"/>
  <c r="Q30"/>
  <c r="L30"/>
  <c r="P30"/>
  <c r="K30"/>
  <c r="O30"/>
  <c r="H30"/>
  <c r="J30"/>
  <c r="N30"/>
  <c r="R30"/>
  <c r="S46"/>
  <c r="I46"/>
  <c r="M46"/>
  <c r="Q46"/>
  <c r="L46"/>
  <c r="P46"/>
  <c r="K46"/>
  <c r="O46"/>
  <c r="H46"/>
  <c r="J46"/>
  <c r="N46"/>
  <c r="R46"/>
  <c r="S62"/>
  <c r="I62"/>
  <c r="M62"/>
  <c r="Q62"/>
  <c r="L62"/>
  <c r="P62"/>
  <c r="K62"/>
  <c r="O62"/>
  <c r="H62"/>
  <c r="J62"/>
  <c r="N62"/>
  <c r="R62"/>
  <c r="S78"/>
  <c r="I78"/>
  <c r="M78"/>
  <c r="Q78"/>
  <c r="L78"/>
  <c r="P78"/>
  <c r="K78"/>
  <c r="O78"/>
  <c r="H78"/>
  <c r="J78"/>
  <c r="N78"/>
  <c r="R78"/>
  <c r="S94"/>
  <c r="I94"/>
  <c r="M94"/>
  <c r="Q94"/>
  <c r="L94"/>
  <c r="P94"/>
  <c r="K94"/>
  <c r="O94"/>
  <c r="H94"/>
  <c r="J94"/>
  <c r="N94"/>
  <c r="R94"/>
  <c r="S110"/>
  <c r="I110"/>
  <c r="M110"/>
  <c r="Q110"/>
  <c r="L110"/>
  <c r="P110"/>
  <c r="K110"/>
  <c r="O110"/>
  <c r="H110"/>
  <c r="J110"/>
  <c r="N110"/>
  <c r="R110"/>
  <c r="S126"/>
  <c r="I126"/>
  <c r="M126"/>
  <c r="Q126"/>
  <c r="L126"/>
  <c r="P126"/>
  <c r="K126"/>
  <c r="O126"/>
  <c r="H126"/>
  <c r="J126"/>
  <c r="N126"/>
  <c r="R126"/>
  <c r="S142"/>
  <c r="I142"/>
  <c r="M142"/>
  <c r="Q142"/>
  <c r="L142"/>
  <c r="P142"/>
  <c r="K142"/>
  <c r="O142"/>
  <c r="H142"/>
  <c r="J142"/>
  <c r="N142"/>
  <c r="R142"/>
  <c r="S158"/>
  <c r="I158"/>
  <c r="M158"/>
  <c r="Q158"/>
  <c r="L158"/>
  <c r="P158"/>
  <c r="K158"/>
  <c r="O158"/>
  <c r="H158"/>
  <c r="J158"/>
  <c r="N158"/>
  <c r="R158"/>
  <c r="S174"/>
  <c r="I174"/>
  <c r="M174"/>
  <c r="Q174"/>
  <c r="L174"/>
  <c r="P174"/>
  <c r="K174"/>
  <c r="O174"/>
  <c r="H174"/>
  <c r="J174"/>
  <c r="N174"/>
  <c r="R174"/>
  <c r="S190"/>
  <c r="I190"/>
  <c r="M190"/>
  <c r="Q190"/>
  <c r="L190"/>
  <c r="P190"/>
  <c r="K190"/>
  <c r="O190"/>
  <c r="H190"/>
  <c r="J190"/>
  <c r="N190"/>
  <c r="R190"/>
  <c r="S204"/>
  <c r="H204"/>
  <c r="K204"/>
  <c r="O204"/>
  <c r="J204"/>
  <c r="N204"/>
  <c r="R204"/>
  <c r="I204"/>
  <c r="M204"/>
  <c r="Q204"/>
  <c r="L204"/>
  <c r="P204"/>
  <c r="S21"/>
  <c r="K21"/>
  <c r="O21"/>
  <c r="J21"/>
  <c r="N21"/>
  <c r="R21"/>
  <c r="I21"/>
  <c r="M21"/>
  <c r="Q21"/>
  <c r="H21"/>
  <c r="L21"/>
  <c r="P21"/>
  <c r="S37"/>
  <c r="H37"/>
  <c r="K37"/>
  <c r="O37"/>
  <c r="J37"/>
  <c r="N37"/>
  <c r="R37"/>
  <c r="I37"/>
  <c r="M37"/>
  <c r="Q37"/>
  <c r="L37"/>
  <c r="P37"/>
  <c r="S53"/>
  <c r="H53"/>
  <c r="K53"/>
  <c r="O53"/>
  <c r="J53"/>
  <c r="N53"/>
  <c r="R53"/>
  <c r="I53"/>
  <c r="M53"/>
  <c r="Q53"/>
  <c r="L53"/>
  <c r="P53"/>
  <c r="S69"/>
  <c r="H69"/>
  <c r="K69"/>
  <c r="O69"/>
  <c r="J69"/>
  <c r="N69"/>
  <c r="R69"/>
  <c r="I69"/>
  <c r="M69"/>
  <c r="Q69"/>
  <c r="L69"/>
  <c r="P69"/>
  <c r="S85"/>
  <c r="H85"/>
  <c r="K85"/>
  <c r="O85"/>
  <c r="J85"/>
  <c r="N85"/>
  <c r="R85"/>
  <c r="I85"/>
  <c r="M85"/>
  <c r="Q85"/>
  <c r="L85"/>
  <c r="P85"/>
  <c r="S101"/>
  <c r="H101"/>
  <c r="K101"/>
  <c r="O101"/>
  <c r="J101"/>
  <c r="N101"/>
  <c r="R101"/>
  <c r="I101"/>
  <c r="M101"/>
  <c r="Q101"/>
  <c r="L101"/>
  <c r="P101"/>
  <c r="S117"/>
  <c r="H117"/>
  <c r="K117"/>
  <c r="O117"/>
  <c r="J117"/>
  <c r="N117"/>
  <c r="R117"/>
  <c r="I117"/>
  <c r="M117"/>
  <c r="Q117"/>
  <c r="L117"/>
  <c r="P117"/>
  <c r="S133"/>
  <c r="H133"/>
  <c r="K133"/>
  <c r="O133"/>
  <c r="J133"/>
  <c r="N133"/>
  <c r="R133"/>
  <c r="I133"/>
  <c r="M133"/>
  <c r="Q133"/>
  <c r="L133"/>
  <c r="P133"/>
  <c r="S149"/>
  <c r="H149"/>
  <c r="K149"/>
  <c r="O149"/>
  <c r="J149"/>
  <c r="N149"/>
  <c r="R149"/>
  <c r="I149"/>
  <c r="M149"/>
  <c r="Q149"/>
  <c r="L149"/>
  <c r="P149"/>
  <c r="S165"/>
  <c r="H165"/>
  <c r="K165"/>
  <c r="O165"/>
  <c r="J165"/>
  <c r="N165"/>
  <c r="R165"/>
  <c r="I165"/>
  <c r="M165"/>
  <c r="Q165"/>
  <c r="L165"/>
  <c r="P165"/>
  <c r="S181"/>
  <c r="H181"/>
  <c r="K181"/>
  <c r="O181"/>
  <c r="J181"/>
  <c r="N181"/>
  <c r="R181"/>
  <c r="I181"/>
  <c r="M181"/>
  <c r="Q181"/>
  <c r="L181"/>
  <c r="P181"/>
  <c r="S197"/>
  <c r="H197"/>
  <c r="K197"/>
  <c r="O197"/>
  <c r="J197"/>
  <c r="N197"/>
  <c r="R197"/>
  <c r="I197"/>
  <c r="M197"/>
  <c r="Q197"/>
  <c r="L197"/>
  <c r="P197"/>
  <c r="S24"/>
  <c r="I24"/>
  <c r="M24"/>
  <c r="Q24"/>
  <c r="H24"/>
  <c r="L24"/>
  <c r="P24"/>
  <c r="K24"/>
  <c r="O24"/>
  <c r="J24"/>
  <c r="N24"/>
  <c r="R24"/>
  <c r="S40"/>
  <c r="I40"/>
  <c r="M40"/>
  <c r="Q40"/>
  <c r="H40"/>
  <c r="L40"/>
  <c r="P40"/>
  <c r="K40"/>
  <c r="O40"/>
  <c r="J40"/>
  <c r="N40"/>
  <c r="R40"/>
  <c r="S56"/>
  <c r="I56"/>
  <c r="M56"/>
  <c r="Q56"/>
  <c r="H56"/>
  <c r="L56"/>
  <c r="P56"/>
  <c r="K56"/>
  <c r="O56"/>
  <c r="J56"/>
  <c r="N56"/>
  <c r="R56"/>
  <c r="S72"/>
  <c r="I72"/>
  <c r="M72"/>
  <c r="Q72"/>
  <c r="H72"/>
  <c r="L72"/>
  <c r="P72"/>
  <c r="K72"/>
  <c r="O72"/>
  <c r="J72"/>
  <c r="N72"/>
  <c r="R72"/>
  <c r="S88"/>
  <c r="I88"/>
  <c r="M88"/>
  <c r="Q88"/>
  <c r="H88"/>
  <c r="L88"/>
  <c r="P88"/>
  <c r="K88"/>
  <c r="O88"/>
  <c r="J88"/>
  <c r="N88"/>
  <c r="R88"/>
  <c r="S104"/>
  <c r="I104"/>
  <c r="M104"/>
  <c r="Q104"/>
  <c r="H104"/>
  <c r="L104"/>
  <c r="P104"/>
  <c r="K104"/>
  <c r="O104"/>
  <c r="J104"/>
  <c r="N104"/>
  <c r="R104"/>
  <c r="S120"/>
  <c r="I120"/>
  <c r="M120"/>
  <c r="Q120"/>
  <c r="H120"/>
  <c r="L120"/>
  <c r="P120"/>
  <c r="K120"/>
  <c r="O120"/>
  <c r="J120"/>
  <c r="N120"/>
  <c r="R120"/>
  <c r="S136"/>
  <c r="I136"/>
  <c r="M136"/>
  <c r="Q136"/>
  <c r="H136"/>
  <c r="L136"/>
  <c r="P136"/>
  <c r="K136"/>
  <c r="O136"/>
  <c r="J136"/>
  <c r="N136"/>
  <c r="R136"/>
  <c r="S152"/>
  <c r="I152"/>
  <c r="M152"/>
  <c r="Q152"/>
  <c r="H152"/>
  <c r="L152"/>
  <c r="P152"/>
  <c r="K152"/>
  <c r="O152"/>
  <c r="J152"/>
  <c r="N152"/>
  <c r="R152"/>
  <c r="S168"/>
  <c r="I168"/>
  <c r="M168"/>
  <c r="Q168"/>
  <c r="H168"/>
  <c r="L168"/>
  <c r="P168"/>
  <c r="K168"/>
  <c r="O168"/>
  <c r="J168"/>
  <c r="N168"/>
  <c r="R168"/>
  <c r="S184"/>
  <c r="I184"/>
  <c r="M184"/>
  <c r="Q184"/>
  <c r="H184"/>
  <c r="L184"/>
  <c r="P184"/>
  <c r="K184"/>
  <c r="O184"/>
  <c r="J184"/>
  <c r="N184"/>
  <c r="R184"/>
  <c r="S200"/>
  <c r="I200"/>
  <c r="M200"/>
  <c r="Q200"/>
  <c r="H200"/>
  <c r="L200"/>
  <c r="P200"/>
  <c r="K200"/>
  <c r="O200"/>
  <c r="J200"/>
  <c r="N200"/>
  <c r="R200"/>
  <c r="J66" i="11"/>
  <c r="H69" i="15"/>
  <c r="HC70" i="9"/>
  <c r="HE70"/>
  <c r="J122" i="11"/>
  <c r="H125" i="15"/>
  <c r="HC126" i="9"/>
  <c r="HE126"/>
  <c r="J178" i="11"/>
  <c r="H181" i="15"/>
  <c r="HC182" i="9"/>
  <c r="HE182"/>
  <c r="S35" i="12"/>
  <c r="K35"/>
  <c r="O35"/>
  <c r="J35"/>
  <c r="N35"/>
  <c r="R35"/>
  <c r="H35"/>
  <c r="I35"/>
  <c r="M35"/>
  <c r="Q35"/>
  <c r="L35"/>
  <c r="P35"/>
  <c r="S43"/>
  <c r="K43"/>
  <c r="O43"/>
  <c r="J43"/>
  <c r="N43"/>
  <c r="R43"/>
  <c r="H43"/>
  <c r="I43"/>
  <c r="M43"/>
  <c r="Q43"/>
  <c r="L43"/>
  <c r="P43"/>
  <c r="S51"/>
  <c r="K51"/>
  <c r="O51"/>
  <c r="J51"/>
  <c r="N51"/>
  <c r="R51"/>
  <c r="H51"/>
  <c r="I51"/>
  <c r="M51"/>
  <c r="Q51"/>
  <c r="L51"/>
  <c r="P51"/>
  <c r="J58" i="11"/>
  <c r="H61" i="15"/>
  <c r="HC62" i="9"/>
  <c r="HE62"/>
  <c r="J70" i="11"/>
  <c r="H73" i="15"/>
  <c r="HC74" i="9"/>
  <c r="HE74"/>
  <c r="S79" i="12"/>
  <c r="K79"/>
  <c r="O79"/>
  <c r="J79"/>
  <c r="N79"/>
  <c r="R79"/>
  <c r="H79"/>
  <c r="I79"/>
  <c r="M79"/>
  <c r="Q79"/>
  <c r="L79"/>
  <c r="P79"/>
  <c r="J90" i="11"/>
  <c r="H93" i="15"/>
  <c r="HC94" i="9"/>
  <c r="HE94"/>
  <c r="J98" i="11"/>
  <c r="H101" i="15"/>
  <c r="HC102" i="9"/>
  <c r="HE102"/>
  <c r="J106" i="11"/>
  <c r="H109" i="15"/>
  <c r="HC110" i="9"/>
  <c r="HE110"/>
  <c r="S115" i="12"/>
  <c r="K115"/>
  <c r="O115"/>
  <c r="J115"/>
  <c r="N115"/>
  <c r="R115"/>
  <c r="H115"/>
  <c r="I115"/>
  <c r="M115"/>
  <c r="Q115"/>
  <c r="L115"/>
  <c r="P115"/>
  <c r="J126" i="11"/>
  <c r="H129" i="15"/>
  <c r="HC130" i="9"/>
  <c r="HE130"/>
  <c r="S135" i="12"/>
  <c r="K135"/>
  <c r="O135"/>
  <c r="J135"/>
  <c r="N135"/>
  <c r="R135"/>
  <c r="H135"/>
  <c r="I135"/>
  <c r="M135"/>
  <c r="Q135"/>
  <c r="L135"/>
  <c r="P135"/>
  <c r="S147"/>
  <c r="K147"/>
  <c r="O147"/>
  <c r="J147"/>
  <c r="N147"/>
  <c r="R147"/>
  <c r="H147"/>
  <c r="I147"/>
  <c r="M147"/>
  <c r="Q147"/>
  <c r="L147"/>
  <c r="P147"/>
  <c r="S155"/>
  <c r="K155"/>
  <c r="O155"/>
  <c r="J155"/>
  <c r="N155"/>
  <c r="R155"/>
  <c r="H155"/>
  <c r="I155"/>
  <c r="M155"/>
  <c r="Q155"/>
  <c r="L155"/>
  <c r="P155"/>
  <c r="S163"/>
  <c r="K163"/>
  <c r="O163"/>
  <c r="J163"/>
  <c r="N163"/>
  <c r="R163"/>
  <c r="H163"/>
  <c r="I163"/>
  <c r="M163"/>
  <c r="Q163"/>
  <c r="L163"/>
  <c r="P163"/>
  <c r="S171"/>
  <c r="K171"/>
  <c r="O171"/>
  <c r="J171"/>
  <c r="N171"/>
  <c r="R171"/>
  <c r="H171"/>
  <c r="I171"/>
  <c r="M171"/>
  <c r="Q171"/>
  <c r="L171"/>
  <c r="P171"/>
  <c r="J182" i="11"/>
  <c r="H185" i="15"/>
  <c r="HC186" i="9"/>
  <c r="HE186"/>
  <c r="J190" i="11"/>
  <c r="H193" i="15"/>
  <c r="HC194" i="9"/>
  <c r="HE194"/>
  <c r="S199" i="12"/>
  <c r="K199"/>
  <c r="O199"/>
  <c r="J199"/>
  <c r="N199"/>
  <c r="R199"/>
  <c r="H199"/>
  <c r="I199"/>
  <c r="M199"/>
  <c r="Q199"/>
  <c r="L199"/>
  <c r="P199"/>
  <c r="S26"/>
  <c r="I26"/>
  <c r="M26"/>
  <c r="Q26"/>
  <c r="L26"/>
  <c r="P26"/>
  <c r="K26"/>
  <c r="O26"/>
  <c r="H26"/>
  <c r="J26"/>
  <c r="N26"/>
  <c r="R26"/>
  <c r="S42"/>
  <c r="I42"/>
  <c r="M42"/>
  <c r="Q42"/>
  <c r="L42"/>
  <c r="P42"/>
  <c r="K42"/>
  <c r="O42"/>
  <c r="H42"/>
  <c r="J42"/>
  <c r="N42"/>
  <c r="R42"/>
  <c r="S58"/>
  <c r="I58"/>
  <c r="M58"/>
  <c r="Q58"/>
  <c r="L58"/>
  <c r="P58"/>
  <c r="K58"/>
  <c r="O58"/>
  <c r="H58"/>
  <c r="J58"/>
  <c r="N58"/>
  <c r="R58"/>
  <c r="S74"/>
  <c r="I74"/>
  <c r="M74"/>
  <c r="Q74"/>
  <c r="L74"/>
  <c r="P74"/>
  <c r="K74"/>
  <c r="O74"/>
  <c r="H74"/>
  <c r="J74"/>
  <c r="N74"/>
  <c r="R74"/>
  <c r="S90"/>
  <c r="I90"/>
  <c r="M90"/>
  <c r="Q90"/>
  <c r="L90"/>
  <c r="P90"/>
  <c r="K90"/>
  <c r="O90"/>
  <c r="H90"/>
  <c r="J90"/>
  <c r="N90"/>
  <c r="R90"/>
  <c r="S106"/>
  <c r="I106"/>
  <c r="M106"/>
  <c r="Q106"/>
  <c r="L106"/>
  <c r="P106"/>
  <c r="K106"/>
  <c r="O106"/>
  <c r="H106"/>
  <c r="J106"/>
  <c r="N106"/>
  <c r="R106"/>
  <c r="S122"/>
  <c r="I122"/>
  <c r="M122"/>
  <c r="Q122"/>
  <c r="L122"/>
  <c r="P122"/>
  <c r="K122"/>
  <c r="O122"/>
  <c r="H122"/>
  <c r="J122"/>
  <c r="N122"/>
  <c r="R122"/>
  <c r="S138"/>
  <c r="I138"/>
  <c r="M138"/>
  <c r="Q138"/>
  <c r="L138"/>
  <c r="P138"/>
  <c r="K138"/>
  <c r="O138"/>
  <c r="H138"/>
  <c r="J138"/>
  <c r="N138"/>
  <c r="R138"/>
  <c r="S154"/>
  <c r="I154"/>
  <c r="M154"/>
  <c r="Q154"/>
  <c r="L154"/>
  <c r="P154"/>
  <c r="K154"/>
  <c r="O154"/>
  <c r="H154"/>
  <c r="J154"/>
  <c r="N154"/>
  <c r="R154"/>
  <c r="S170"/>
  <c r="I170"/>
  <c r="M170"/>
  <c r="Q170"/>
  <c r="L170"/>
  <c r="P170"/>
  <c r="K170"/>
  <c r="O170"/>
  <c r="H170"/>
  <c r="J170"/>
  <c r="N170"/>
  <c r="R170"/>
  <c r="S186"/>
  <c r="I186"/>
  <c r="M186"/>
  <c r="Q186"/>
  <c r="L186"/>
  <c r="P186"/>
  <c r="K186"/>
  <c r="O186"/>
  <c r="H186"/>
  <c r="J186"/>
  <c r="N186"/>
  <c r="R186"/>
  <c r="S202"/>
  <c r="H202"/>
  <c r="K202"/>
  <c r="O202"/>
  <c r="J202"/>
  <c r="N202"/>
  <c r="R202"/>
  <c r="I202"/>
  <c r="M202"/>
  <c r="Q202"/>
  <c r="L202"/>
  <c r="P202"/>
  <c r="S17"/>
  <c r="K17"/>
  <c r="O17"/>
  <c r="J17"/>
  <c r="N17"/>
  <c r="R17"/>
  <c r="I17"/>
  <c r="M17"/>
  <c r="Q17"/>
  <c r="H17"/>
  <c r="L17"/>
  <c r="P17"/>
  <c r="S33"/>
  <c r="H33"/>
  <c r="K33"/>
  <c r="O33"/>
  <c r="J33"/>
  <c r="N33"/>
  <c r="R33"/>
  <c r="I33"/>
  <c r="M33"/>
  <c r="Q33"/>
  <c r="L33"/>
  <c r="P33"/>
  <c r="S49"/>
  <c r="H49"/>
  <c r="K49"/>
  <c r="O49"/>
  <c r="J49"/>
  <c r="N49"/>
  <c r="R49"/>
  <c r="I49"/>
  <c r="M49"/>
  <c r="Q49"/>
  <c r="L49"/>
  <c r="P49"/>
  <c r="S65"/>
  <c r="H65"/>
  <c r="K65"/>
  <c r="O65"/>
  <c r="J65"/>
  <c r="N65"/>
  <c r="R65"/>
  <c r="I65"/>
  <c r="M65"/>
  <c r="Q65"/>
  <c r="L65"/>
  <c r="P65"/>
  <c r="S81"/>
  <c r="H81"/>
  <c r="K81"/>
  <c r="O81"/>
  <c r="J81"/>
  <c r="N81"/>
  <c r="R81"/>
  <c r="I81"/>
  <c r="M81"/>
  <c r="Q81"/>
  <c r="L81"/>
  <c r="P81"/>
  <c r="S97"/>
  <c r="H97"/>
  <c r="K97"/>
  <c r="O97"/>
  <c r="J97"/>
  <c r="N97"/>
  <c r="R97"/>
  <c r="I97"/>
  <c r="M97"/>
  <c r="Q97"/>
  <c r="L97"/>
  <c r="P97"/>
  <c r="S113"/>
  <c r="H113"/>
  <c r="K113"/>
  <c r="O113"/>
  <c r="J113"/>
  <c r="N113"/>
  <c r="R113"/>
  <c r="I113"/>
  <c r="M113"/>
  <c r="Q113"/>
  <c r="L113"/>
  <c r="P113"/>
  <c r="S129"/>
  <c r="H129"/>
  <c r="K129"/>
  <c r="O129"/>
  <c r="J129"/>
  <c r="N129"/>
  <c r="R129"/>
  <c r="I129"/>
  <c r="M129"/>
  <c r="Q129"/>
  <c r="L129"/>
  <c r="P129"/>
  <c r="S145"/>
  <c r="H145"/>
  <c r="K145"/>
  <c r="O145"/>
  <c r="J145"/>
  <c r="N145"/>
  <c r="R145"/>
  <c r="I145"/>
  <c r="M145"/>
  <c r="Q145"/>
  <c r="L145"/>
  <c r="P145"/>
  <c r="S161"/>
  <c r="H161"/>
  <c r="K161"/>
  <c r="O161"/>
  <c r="J161"/>
  <c r="N161"/>
  <c r="R161"/>
  <c r="I161"/>
  <c r="M161"/>
  <c r="Q161"/>
  <c r="L161"/>
  <c r="P161"/>
  <c r="S177"/>
  <c r="H177"/>
  <c r="K177"/>
  <c r="O177"/>
  <c r="J177"/>
  <c r="N177"/>
  <c r="R177"/>
  <c r="I177"/>
  <c r="M177"/>
  <c r="Q177"/>
  <c r="L177"/>
  <c r="P177"/>
  <c r="S193"/>
  <c r="H193"/>
  <c r="K193"/>
  <c r="O193"/>
  <c r="J193"/>
  <c r="N193"/>
  <c r="R193"/>
  <c r="I193"/>
  <c r="M193"/>
  <c r="Q193"/>
  <c r="L193"/>
  <c r="P193"/>
  <c r="S20"/>
  <c r="H20"/>
  <c r="I20"/>
  <c r="M20"/>
  <c r="Q20"/>
  <c r="L20"/>
  <c r="P20"/>
  <c r="K20"/>
  <c r="O20"/>
  <c r="J20"/>
  <c r="N20"/>
  <c r="R20"/>
  <c r="S36"/>
  <c r="I36"/>
  <c r="M36"/>
  <c r="Q36"/>
  <c r="H36"/>
  <c r="L36"/>
  <c r="P36"/>
  <c r="K36"/>
  <c r="O36"/>
  <c r="J36"/>
  <c r="N36"/>
  <c r="R36"/>
  <c r="S52"/>
  <c r="I52"/>
  <c r="M52"/>
  <c r="Q52"/>
  <c r="H52"/>
  <c r="L52"/>
  <c r="P52"/>
  <c r="K52"/>
  <c r="O52"/>
  <c r="J52"/>
  <c r="N52"/>
  <c r="R52"/>
  <c r="S68"/>
  <c r="I68"/>
  <c r="M68"/>
  <c r="Q68"/>
  <c r="H68"/>
  <c r="L68"/>
  <c r="P68"/>
  <c r="K68"/>
  <c r="O68"/>
  <c r="J68"/>
  <c r="N68"/>
  <c r="R68"/>
  <c r="S84"/>
  <c r="I84"/>
  <c r="M84"/>
  <c r="Q84"/>
  <c r="H84"/>
  <c r="L84"/>
  <c r="P84"/>
  <c r="K84"/>
  <c r="O84"/>
  <c r="J84"/>
  <c r="N84"/>
  <c r="R84"/>
  <c r="S100"/>
  <c r="I100"/>
  <c r="M100"/>
  <c r="Q100"/>
  <c r="H100"/>
  <c r="L100"/>
  <c r="P100"/>
  <c r="K100"/>
  <c r="O100"/>
  <c r="J100"/>
  <c r="N100"/>
  <c r="R100"/>
  <c r="S116"/>
  <c r="I116"/>
  <c r="M116"/>
  <c r="Q116"/>
  <c r="H116"/>
  <c r="L116"/>
  <c r="P116"/>
  <c r="K116"/>
  <c r="O116"/>
  <c r="J116"/>
  <c r="N116"/>
  <c r="R116"/>
  <c r="S132"/>
  <c r="I132"/>
  <c r="M132"/>
  <c r="Q132"/>
  <c r="H132"/>
  <c r="L132"/>
  <c r="P132"/>
  <c r="K132"/>
  <c r="O132"/>
  <c r="J132"/>
  <c r="N132"/>
  <c r="R132"/>
  <c r="S148"/>
  <c r="I148"/>
  <c r="M148"/>
  <c r="Q148"/>
  <c r="H148"/>
  <c r="L148"/>
  <c r="P148"/>
  <c r="K148"/>
  <c r="O148"/>
  <c r="J148"/>
  <c r="N148"/>
  <c r="R148"/>
  <c r="S164"/>
  <c r="I164"/>
  <c r="M164"/>
  <c r="Q164"/>
  <c r="H164"/>
  <c r="L164"/>
  <c r="P164"/>
  <c r="K164"/>
  <c r="O164"/>
  <c r="J164"/>
  <c r="N164"/>
  <c r="R164"/>
  <c r="S180"/>
  <c r="I180"/>
  <c r="M180"/>
  <c r="Q180"/>
  <c r="H180"/>
  <c r="L180"/>
  <c r="P180"/>
  <c r="K180"/>
  <c r="O180"/>
  <c r="J180"/>
  <c r="N180"/>
  <c r="R180"/>
  <c r="S196"/>
  <c r="I196"/>
  <c r="M196"/>
  <c r="Q196"/>
  <c r="H196"/>
  <c r="L196"/>
  <c r="P196"/>
  <c r="K196"/>
  <c r="O196"/>
  <c r="J196"/>
  <c r="N196"/>
  <c r="R196"/>
  <c r="J34" i="11"/>
  <c r="H37" i="15"/>
  <c r="HC38" i="9"/>
  <c r="HE38"/>
  <c r="J114" i="11"/>
  <c r="H117" i="15"/>
  <c r="HC118" i="9"/>
  <c r="HE118"/>
  <c r="J146" i="11"/>
  <c r="H149" i="15"/>
  <c r="HC150" i="9"/>
  <c r="HE150"/>
  <c r="S19" i="12"/>
  <c r="K19"/>
  <c r="O19"/>
  <c r="H19"/>
  <c r="J19"/>
  <c r="N19"/>
  <c r="R19"/>
  <c r="I19"/>
  <c r="M19"/>
  <c r="Q19"/>
  <c r="L19"/>
  <c r="P19"/>
  <c r="S31"/>
  <c r="K31"/>
  <c r="O31"/>
  <c r="J31"/>
  <c r="N31"/>
  <c r="R31"/>
  <c r="H31"/>
  <c r="I31"/>
  <c r="M31"/>
  <c r="Q31"/>
  <c r="L31"/>
  <c r="P31"/>
  <c r="J42" i="11"/>
  <c r="H45" i="15"/>
  <c r="HC46" i="9"/>
  <c r="HE46"/>
  <c r="J50" i="11"/>
  <c r="H53" i="15"/>
  <c r="HC54" i="9"/>
  <c r="HE54"/>
  <c r="S59" i="12"/>
  <c r="K59"/>
  <c r="O59"/>
  <c r="J59"/>
  <c r="N59"/>
  <c r="R59"/>
  <c r="H59"/>
  <c r="I59"/>
  <c r="M59"/>
  <c r="Q59"/>
  <c r="L59"/>
  <c r="P59"/>
  <c r="S67"/>
  <c r="K67"/>
  <c r="O67"/>
  <c r="J67"/>
  <c r="N67"/>
  <c r="R67"/>
  <c r="H67"/>
  <c r="I67"/>
  <c r="M67"/>
  <c r="Q67"/>
  <c r="L67"/>
  <c r="P67"/>
  <c r="J78" i="11"/>
  <c r="H81" i="15"/>
  <c r="HC82" i="9"/>
  <c r="HE82"/>
  <c r="S87" i="12"/>
  <c r="K87"/>
  <c r="O87"/>
  <c r="J87"/>
  <c r="N87"/>
  <c r="R87"/>
  <c r="H87"/>
  <c r="I87"/>
  <c r="M87"/>
  <c r="Q87"/>
  <c r="L87"/>
  <c r="P87"/>
  <c r="S95"/>
  <c r="K95"/>
  <c r="O95"/>
  <c r="J95"/>
  <c r="N95"/>
  <c r="R95"/>
  <c r="H95"/>
  <c r="I95"/>
  <c r="M95"/>
  <c r="Q95"/>
  <c r="L95"/>
  <c r="P95"/>
  <c r="S103"/>
  <c r="K103"/>
  <c r="O103"/>
  <c r="J103"/>
  <c r="N103"/>
  <c r="R103"/>
  <c r="H103"/>
  <c r="I103"/>
  <c r="M103"/>
  <c r="Q103"/>
  <c r="L103"/>
  <c r="P103"/>
  <c r="S111"/>
  <c r="K111"/>
  <c r="O111"/>
  <c r="J111"/>
  <c r="N111"/>
  <c r="R111"/>
  <c r="H111"/>
  <c r="I111"/>
  <c r="M111"/>
  <c r="Q111"/>
  <c r="L111"/>
  <c r="P111"/>
  <c r="S123"/>
  <c r="K123"/>
  <c r="O123"/>
  <c r="J123"/>
  <c r="N123"/>
  <c r="R123"/>
  <c r="H123"/>
  <c r="I123"/>
  <c r="M123"/>
  <c r="Q123"/>
  <c r="L123"/>
  <c r="P123"/>
  <c r="J134" i="11"/>
  <c r="H137" i="15"/>
  <c r="HC138" i="9"/>
  <c r="HE138"/>
  <c r="S143" i="12"/>
  <c r="K143"/>
  <c r="O143"/>
  <c r="J143"/>
  <c r="N143"/>
  <c r="R143"/>
  <c r="H143"/>
  <c r="I143"/>
  <c r="M143"/>
  <c r="Q143"/>
  <c r="L143"/>
  <c r="P143"/>
  <c r="J154" i="11"/>
  <c r="H157" i="15"/>
  <c r="HC158" i="9"/>
  <c r="HE158"/>
  <c r="J162" i="11"/>
  <c r="H165" i="15"/>
  <c r="HC166" i="9"/>
  <c r="HE166"/>
  <c r="J170" i="11"/>
  <c r="H173" i="15"/>
  <c r="HC174" i="9"/>
  <c r="HE174"/>
  <c r="S179" i="12"/>
  <c r="K179"/>
  <c r="O179"/>
  <c r="J179"/>
  <c r="N179"/>
  <c r="R179"/>
  <c r="H179"/>
  <c r="I179"/>
  <c r="M179"/>
  <c r="Q179"/>
  <c r="L179"/>
  <c r="P179"/>
  <c r="S187"/>
  <c r="K187"/>
  <c r="O187"/>
  <c r="J187"/>
  <c r="N187"/>
  <c r="R187"/>
  <c r="H187"/>
  <c r="I187"/>
  <c r="M187"/>
  <c r="Q187"/>
  <c r="L187"/>
  <c r="P187"/>
  <c r="S195"/>
  <c r="K195"/>
  <c r="O195"/>
  <c r="J195"/>
  <c r="N195"/>
  <c r="R195"/>
  <c r="H195"/>
  <c r="I195"/>
  <c r="M195"/>
  <c r="Q195"/>
  <c r="L195"/>
  <c r="P195"/>
  <c r="S203"/>
  <c r="H203"/>
  <c r="I203"/>
  <c r="M203"/>
  <c r="Q203"/>
  <c r="L203"/>
  <c r="P203"/>
  <c r="K203"/>
  <c r="O203"/>
  <c r="J203"/>
  <c r="N203"/>
  <c r="R203"/>
  <c r="S22"/>
  <c r="I22"/>
  <c r="M22"/>
  <c r="Q22"/>
  <c r="H22"/>
  <c r="L22"/>
  <c r="P22"/>
  <c r="K22"/>
  <c r="O22"/>
  <c r="J22"/>
  <c r="N22"/>
  <c r="R22"/>
  <c r="S38"/>
  <c r="I38"/>
  <c r="M38"/>
  <c r="Q38"/>
  <c r="L38"/>
  <c r="P38"/>
  <c r="K38"/>
  <c r="O38"/>
  <c r="H38"/>
  <c r="J38"/>
  <c r="N38"/>
  <c r="R38"/>
  <c r="S54"/>
  <c r="I54"/>
  <c r="M54"/>
  <c r="Q54"/>
  <c r="L54"/>
  <c r="P54"/>
  <c r="K54"/>
  <c r="O54"/>
  <c r="H54"/>
  <c r="J54"/>
  <c r="N54"/>
  <c r="R54"/>
  <c r="S70"/>
  <c r="I70"/>
  <c r="M70"/>
  <c r="Q70"/>
  <c r="L70"/>
  <c r="P70"/>
  <c r="K70"/>
  <c r="O70"/>
  <c r="H70"/>
  <c r="J70"/>
  <c r="N70"/>
  <c r="R70"/>
  <c r="S86"/>
  <c r="I86"/>
  <c r="M86"/>
  <c r="Q86"/>
  <c r="L86"/>
  <c r="P86"/>
  <c r="K86"/>
  <c r="O86"/>
  <c r="H86"/>
  <c r="J86"/>
  <c r="N86"/>
  <c r="R86"/>
  <c r="S102"/>
  <c r="I102"/>
  <c r="M102"/>
  <c r="Q102"/>
  <c r="L102"/>
  <c r="P102"/>
  <c r="K102"/>
  <c r="O102"/>
  <c r="H102"/>
  <c r="J102"/>
  <c r="N102"/>
  <c r="R102"/>
  <c r="S118"/>
  <c r="I118"/>
  <c r="M118"/>
  <c r="Q118"/>
  <c r="L118"/>
  <c r="P118"/>
  <c r="K118"/>
  <c r="O118"/>
  <c r="H118"/>
  <c r="J118"/>
  <c r="N118"/>
  <c r="R118"/>
  <c r="S134"/>
  <c r="I134"/>
  <c r="M134"/>
  <c r="Q134"/>
  <c r="L134"/>
  <c r="P134"/>
  <c r="K134"/>
  <c r="O134"/>
  <c r="H134"/>
  <c r="J134"/>
  <c r="N134"/>
  <c r="R134"/>
  <c r="S150"/>
  <c r="I150"/>
  <c r="M150"/>
  <c r="Q150"/>
  <c r="L150"/>
  <c r="P150"/>
  <c r="K150"/>
  <c r="O150"/>
  <c r="H150"/>
  <c r="J150"/>
  <c r="N150"/>
  <c r="R150"/>
  <c r="S166"/>
  <c r="I166"/>
  <c r="M166"/>
  <c r="Q166"/>
  <c r="L166"/>
  <c r="P166"/>
  <c r="K166"/>
  <c r="O166"/>
  <c r="H166"/>
  <c r="J166"/>
  <c r="N166"/>
  <c r="R166"/>
  <c r="S182"/>
  <c r="I182"/>
  <c r="M182"/>
  <c r="Q182"/>
  <c r="L182"/>
  <c r="P182"/>
  <c r="K182"/>
  <c r="O182"/>
  <c r="H182"/>
  <c r="J182"/>
  <c r="N182"/>
  <c r="R182"/>
  <c r="S198"/>
  <c r="I198"/>
  <c r="M198"/>
  <c r="Q198"/>
  <c r="L198"/>
  <c r="P198"/>
  <c r="K198"/>
  <c r="O198"/>
  <c r="H198"/>
  <c r="J198"/>
  <c r="N198"/>
  <c r="R198"/>
  <c r="S29"/>
  <c r="H29"/>
  <c r="K29"/>
  <c r="O29"/>
  <c r="J29"/>
  <c r="N29"/>
  <c r="R29"/>
  <c r="I29"/>
  <c r="M29"/>
  <c r="Q29"/>
  <c r="L29"/>
  <c r="P29"/>
  <c r="S45"/>
  <c r="H45"/>
  <c r="K45"/>
  <c r="O45"/>
  <c r="J45"/>
  <c r="N45"/>
  <c r="R45"/>
  <c r="I45"/>
  <c r="M45"/>
  <c r="Q45"/>
  <c r="L45"/>
  <c r="P45"/>
  <c r="S61"/>
  <c r="H61"/>
  <c r="K61"/>
  <c r="O61"/>
  <c r="J61"/>
  <c r="N61"/>
  <c r="R61"/>
  <c r="I61"/>
  <c r="M61"/>
  <c r="Q61"/>
  <c r="L61"/>
  <c r="P61"/>
  <c r="S77"/>
  <c r="H77"/>
  <c r="K77"/>
  <c r="O77"/>
  <c r="J77"/>
  <c r="N77"/>
  <c r="R77"/>
  <c r="I77"/>
  <c r="M77"/>
  <c r="Q77"/>
  <c r="L77"/>
  <c r="P77"/>
  <c r="S93"/>
  <c r="H93"/>
  <c r="K93"/>
  <c r="O93"/>
  <c r="J93"/>
  <c r="N93"/>
  <c r="R93"/>
  <c r="I93"/>
  <c r="M93"/>
  <c r="Q93"/>
  <c r="L93"/>
  <c r="P93"/>
  <c r="S109"/>
  <c r="H109"/>
  <c r="K109"/>
  <c r="O109"/>
  <c r="J109"/>
  <c r="N109"/>
  <c r="R109"/>
  <c r="I109"/>
  <c r="M109"/>
  <c r="Q109"/>
  <c r="L109"/>
  <c r="P109"/>
  <c r="S125"/>
  <c r="H125"/>
  <c r="K125"/>
  <c r="O125"/>
  <c r="J125"/>
  <c r="N125"/>
  <c r="R125"/>
  <c r="I125"/>
  <c r="M125"/>
  <c r="Q125"/>
  <c r="L125"/>
  <c r="P125"/>
  <c r="S141"/>
  <c r="H141"/>
  <c r="K141"/>
  <c r="O141"/>
  <c r="J141"/>
  <c r="N141"/>
  <c r="R141"/>
  <c r="I141"/>
  <c r="M141"/>
  <c r="Q141"/>
  <c r="L141"/>
  <c r="P141"/>
  <c r="S157"/>
  <c r="H157"/>
  <c r="K157"/>
  <c r="O157"/>
  <c r="J157"/>
  <c r="N157"/>
  <c r="R157"/>
  <c r="I157"/>
  <c r="M157"/>
  <c r="Q157"/>
  <c r="L157"/>
  <c r="P157"/>
  <c r="S173"/>
  <c r="H173"/>
  <c r="K173"/>
  <c r="O173"/>
  <c r="J173"/>
  <c r="N173"/>
  <c r="R173"/>
  <c r="I173"/>
  <c r="M173"/>
  <c r="Q173"/>
  <c r="L173"/>
  <c r="P173"/>
  <c r="S189"/>
  <c r="H189"/>
  <c r="K189"/>
  <c r="O189"/>
  <c r="J189"/>
  <c r="N189"/>
  <c r="R189"/>
  <c r="I189"/>
  <c r="M189"/>
  <c r="Q189"/>
  <c r="L189"/>
  <c r="P189"/>
  <c r="S16"/>
  <c r="H16"/>
  <c r="I16"/>
  <c r="M16"/>
  <c r="Q16"/>
  <c r="L16"/>
  <c r="P16"/>
  <c r="K16"/>
  <c r="O16"/>
  <c r="J16"/>
  <c r="N16"/>
  <c r="R16"/>
  <c r="S32"/>
  <c r="I32"/>
  <c r="M32"/>
  <c r="Q32"/>
  <c r="H32"/>
  <c r="L32"/>
  <c r="P32"/>
  <c r="K32"/>
  <c r="O32"/>
  <c r="J32"/>
  <c r="N32"/>
  <c r="R32"/>
  <c r="S48"/>
  <c r="I48"/>
  <c r="M48"/>
  <c r="Q48"/>
  <c r="H48"/>
  <c r="L48"/>
  <c r="P48"/>
  <c r="K48"/>
  <c r="O48"/>
  <c r="J48"/>
  <c r="N48"/>
  <c r="R48"/>
  <c r="S64"/>
  <c r="I64"/>
  <c r="M64"/>
  <c r="Q64"/>
  <c r="H64"/>
  <c r="L64"/>
  <c r="P64"/>
  <c r="K64"/>
  <c r="O64"/>
  <c r="J64"/>
  <c r="N64"/>
  <c r="R64"/>
  <c r="S80"/>
  <c r="I80"/>
  <c r="M80"/>
  <c r="Q80"/>
  <c r="H80"/>
  <c r="L80"/>
  <c r="P80"/>
  <c r="K80"/>
  <c r="O80"/>
  <c r="J80"/>
  <c r="N80"/>
  <c r="R80"/>
  <c r="S96"/>
  <c r="I96"/>
  <c r="M96"/>
  <c r="Q96"/>
  <c r="H96"/>
  <c r="L96"/>
  <c r="P96"/>
  <c r="K96"/>
  <c r="O96"/>
  <c r="J96"/>
  <c r="N96"/>
  <c r="R96"/>
  <c r="S112"/>
  <c r="I112"/>
  <c r="M112"/>
  <c r="Q112"/>
  <c r="H112"/>
  <c r="L112"/>
  <c r="P112"/>
  <c r="K112"/>
  <c r="O112"/>
  <c r="J112"/>
  <c r="N112"/>
  <c r="R112"/>
  <c r="S128"/>
  <c r="I128"/>
  <c r="M128"/>
  <c r="Q128"/>
  <c r="H128"/>
  <c r="L128"/>
  <c r="P128"/>
  <c r="K128"/>
  <c r="O128"/>
  <c r="J128"/>
  <c r="N128"/>
  <c r="R128"/>
  <c r="S144"/>
  <c r="I144"/>
  <c r="M144"/>
  <c r="Q144"/>
  <c r="H144"/>
  <c r="L144"/>
  <c r="P144"/>
  <c r="K144"/>
  <c r="O144"/>
  <c r="J144"/>
  <c r="N144"/>
  <c r="R144"/>
  <c r="S160"/>
  <c r="I160"/>
  <c r="M160"/>
  <c r="Q160"/>
  <c r="H160"/>
  <c r="L160"/>
  <c r="P160"/>
  <c r="K160"/>
  <c r="O160"/>
  <c r="J160"/>
  <c r="N160"/>
  <c r="R160"/>
  <c r="S176"/>
  <c r="I176"/>
  <c r="M176"/>
  <c r="Q176"/>
  <c r="H176"/>
  <c r="L176"/>
  <c r="P176"/>
  <c r="K176"/>
  <c r="O176"/>
  <c r="J176"/>
  <c r="N176"/>
  <c r="R176"/>
  <c r="S192"/>
  <c r="I192"/>
  <c r="M192"/>
  <c r="Q192"/>
  <c r="H192"/>
  <c r="L192"/>
  <c r="P192"/>
  <c r="K192"/>
  <c r="O192"/>
  <c r="J192"/>
  <c r="N192"/>
  <c r="R192"/>
  <c r="J82" i="11"/>
  <c r="H85" i="15"/>
  <c r="HC86" i="9"/>
  <c r="HE86"/>
  <c r="J138" i="11"/>
  <c r="H141" i="15"/>
  <c r="HC142" i="9"/>
  <c r="HE142"/>
  <c r="M106" i="11"/>
  <c r="I109" i="15"/>
  <c r="M191" i="11"/>
  <c r="I194" i="15"/>
  <c r="M53" i="11"/>
  <c r="I56" i="15"/>
  <c r="M91" i="11"/>
  <c r="I94" i="15"/>
  <c r="M74" i="11"/>
  <c r="I77" i="15"/>
  <c r="M157" i="11"/>
  <c r="I160" i="15"/>
  <c r="M118" i="11"/>
  <c r="I121" i="15"/>
  <c r="M72" i="11"/>
  <c r="I75" i="15"/>
  <c r="M37" i="11"/>
  <c r="I40" i="15"/>
  <c r="M39" i="11"/>
  <c r="I42" i="15"/>
  <c r="M87" i="11"/>
  <c r="I90" i="15"/>
  <c r="M167" i="11"/>
  <c r="I170" i="15"/>
  <c r="M196" i="11"/>
  <c r="I199" i="15"/>
  <c r="M190" i="11"/>
  <c r="I193" i="15"/>
  <c r="M104" i="11"/>
  <c r="I107" i="15"/>
  <c r="M140" i="11"/>
  <c r="I143" i="15"/>
  <c r="M40" i="11"/>
  <c r="I43" i="15"/>
  <c r="M51" i="11"/>
  <c r="I54" i="15"/>
  <c r="M97" i="11"/>
  <c r="I100" i="15"/>
  <c r="M59" i="11"/>
  <c r="I62" i="15"/>
  <c r="GR38" i="9"/>
  <c r="GR150"/>
  <c r="GR134"/>
  <c r="GR120"/>
  <c r="GR86"/>
  <c r="GR198"/>
  <c r="GR201"/>
  <c r="GR200"/>
  <c r="GR184"/>
  <c r="GR56"/>
  <c r="GR88"/>
  <c r="GR152"/>
  <c r="GR168"/>
  <c r="GR54"/>
  <c r="GR102"/>
  <c r="GR118"/>
  <c r="GR166"/>
  <c r="GR62"/>
  <c r="GR174"/>
  <c r="GR91"/>
  <c r="GR123"/>
  <c r="GR146"/>
  <c r="GR46"/>
  <c r="GR78"/>
  <c r="GR94"/>
  <c r="GR110"/>
  <c r="GR126"/>
  <c r="GR142"/>
  <c r="GR158"/>
  <c r="GR190"/>
  <c r="GR59"/>
  <c r="GR187"/>
  <c r="GR82"/>
  <c r="GR155"/>
  <c r="GR207"/>
  <c r="GR43"/>
  <c r="GR75"/>
  <c r="GR107"/>
  <c r="GR139"/>
  <c r="GR171"/>
  <c r="GR203"/>
  <c r="GR50"/>
  <c r="GR66"/>
  <c r="GR98"/>
  <c r="GR114"/>
  <c r="GR130"/>
  <c r="GR162"/>
  <c r="GR178"/>
  <c r="GR194"/>
  <c r="GR51"/>
  <c r="GR83"/>
  <c r="GR115"/>
  <c r="GR147"/>
  <c r="GR179"/>
  <c r="GR67"/>
  <c r="GR99"/>
  <c r="GR131"/>
  <c r="GR163"/>
  <c r="GR195"/>
  <c r="GR41"/>
  <c r="GY41"/>
  <c r="GR49"/>
  <c r="GR57"/>
  <c r="GY57"/>
  <c r="GR65"/>
  <c r="GR73"/>
  <c r="GR81"/>
  <c r="GR89"/>
  <c r="GY89"/>
  <c r="GR97"/>
  <c r="GR105"/>
  <c r="GY105"/>
  <c r="GR113"/>
  <c r="GR121"/>
  <c r="GY121"/>
  <c r="GR129"/>
  <c r="GR137"/>
  <c r="GY137"/>
  <c r="GR145"/>
  <c r="GR153"/>
  <c r="GR161"/>
  <c r="GR169"/>
  <c r="GY169"/>
  <c r="GR177"/>
  <c r="GR185"/>
  <c r="GY185"/>
  <c r="GR193"/>
  <c r="GR40"/>
  <c r="GY40"/>
  <c r="GR48"/>
  <c r="GR64"/>
  <c r="GY64"/>
  <c r="GR72"/>
  <c r="GR80"/>
  <c r="GY80"/>
  <c r="GR96"/>
  <c r="GR104"/>
  <c r="GY104"/>
  <c r="GR112"/>
  <c r="GR128"/>
  <c r="GY128"/>
  <c r="GR144"/>
  <c r="GR160"/>
  <c r="GY160"/>
  <c r="GR176"/>
  <c r="GR192"/>
  <c r="GY192"/>
  <c r="GR47"/>
  <c r="GR55"/>
  <c r="GY55"/>
  <c r="GR63"/>
  <c r="GR71"/>
  <c r="GY71"/>
  <c r="GR79"/>
  <c r="GR87"/>
  <c r="GY87"/>
  <c r="GR95"/>
  <c r="GR103"/>
  <c r="GR111"/>
  <c r="GR119"/>
  <c r="GY119"/>
  <c r="GR127"/>
  <c r="GR135"/>
  <c r="GY135"/>
  <c r="GR143"/>
  <c r="GR151"/>
  <c r="GY151"/>
  <c r="GR159"/>
  <c r="GR167"/>
  <c r="GY167"/>
  <c r="GR175"/>
  <c r="GR183"/>
  <c r="GY183"/>
  <c r="GR191"/>
  <c r="GR199"/>
  <c r="GR45"/>
  <c r="GR53"/>
  <c r="GY53"/>
  <c r="GR61"/>
  <c r="GR69"/>
  <c r="GY69"/>
  <c r="GR77"/>
  <c r="GR85"/>
  <c r="GY85"/>
  <c r="GR93"/>
  <c r="GR101"/>
  <c r="GY101"/>
  <c r="GR109"/>
  <c r="GR117"/>
  <c r="GR125"/>
  <c r="GR133"/>
  <c r="GY133"/>
  <c r="GR141"/>
  <c r="GR149"/>
  <c r="GY149"/>
  <c r="GR157"/>
  <c r="GR165"/>
  <c r="GY165"/>
  <c r="GR173"/>
  <c r="GR181"/>
  <c r="GY181"/>
  <c r="GR189"/>
  <c r="GR197"/>
  <c r="GR205"/>
  <c r="GR148"/>
  <c r="GY148"/>
  <c r="GR164"/>
  <c r="GR180"/>
  <c r="GY180"/>
  <c r="GR196"/>
  <c r="GR52"/>
  <c r="GR68"/>
  <c r="GR84"/>
  <c r="GR100"/>
  <c r="GR116"/>
  <c r="GR132"/>
  <c r="GR44"/>
  <c r="GR60"/>
  <c r="GR76"/>
  <c r="GR92"/>
  <c r="GR108"/>
  <c r="GR124"/>
  <c r="GR140"/>
  <c r="GR156"/>
  <c r="GR172"/>
  <c r="GR188"/>
  <c r="GR204"/>
  <c r="GR42"/>
  <c r="GR58"/>
  <c r="GR74"/>
  <c r="GR90"/>
  <c r="GR106"/>
  <c r="GR122"/>
  <c r="GR138"/>
  <c r="GR154"/>
  <c r="GR170"/>
  <c r="GR186"/>
  <c r="GR202"/>
  <c r="GR206"/>
  <c r="AV213"/>
  <c r="AZ213" s="1"/>
  <c r="D9" i="6" s="1"/>
  <c r="GR39" i="9"/>
  <c r="GK42"/>
  <c r="GD54"/>
  <c r="GK118"/>
  <c r="FJ118"/>
  <c r="GD122"/>
  <c r="GK130"/>
  <c r="FW134"/>
  <c r="GK138"/>
  <c r="FP142"/>
  <c r="FP158"/>
  <c r="FW158"/>
  <c r="GD162"/>
  <c r="GK166"/>
  <c r="GK170"/>
  <c r="FM170"/>
  <c r="FJ170"/>
  <c r="FP178"/>
  <c r="FW178"/>
  <c r="GK186"/>
  <c r="GP186" s="1"/>
  <c r="GD190"/>
  <c r="FP194"/>
  <c r="FJ194"/>
  <c r="GD194"/>
  <c r="FP198"/>
  <c r="FW198"/>
  <c r="GK202"/>
  <c r="GD206"/>
  <c r="GK41"/>
  <c r="GK49"/>
  <c r="FM49"/>
  <c r="GD49"/>
  <c r="FJ53"/>
  <c r="FP57"/>
  <c r="GK69"/>
  <c r="FJ73"/>
  <c r="GK77"/>
  <c r="GK50"/>
  <c r="GK38"/>
  <c r="FJ38"/>
  <c r="FJ50"/>
  <c r="GK62"/>
  <c r="GK66"/>
  <c r="FJ66"/>
  <c r="FP74"/>
  <c r="GK74"/>
  <c r="FM78"/>
  <c r="GD82"/>
  <c r="FP94"/>
  <c r="FM98"/>
  <c r="GD102"/>
  <c r="FP110"/>
  <c r="GD114"/>
  <c r="GD118"/>
  <c r="FP122"/>
  <c r="FJ126"/>
  <c r="GD134"/>
  <c r="FJ134"/>
  <c r="FJ138"/>
  <c r="FP146"/>
  <c r="GK150"/>
  <c r="FW150"/>
  <c r="FP166"/>
  <c r="FJ42"/>
  <c r="FM42"/>
  <c r="FJ46"/>
  <c r="FM54"/>
  <c r="FJ58"/>
  <c r="FM62"/>
  <c r="FJ62"/>
  <c r="FM74"/>
  <c r="FJ78"/>
  <c r="FM86"/>
  <c r="FM90"/>
  <c r="GK94"/>
  <c r="GK98"/>
  <c r="FJ98"/>
  <c r="GK102"/>
  <c r="FM106"/>
  <c r="FW110"/>
  <c r="FJ114"/>
  <c r="GK54"/>
  <c r="FW62"/>
  <c r="FM70"/>
  <c r="GK70"/>
  <c r="FW82"/>
  <c r="FJ90"/>
  <c r="FW102"/>
  <c r="GD110"/>
  <c r="FJ110"/>
  <c r="FW114"/>
  <c r="FP118"/>
  <c r="FP130"/>
  <c r="FJ142"/>
  <c r="FP150"/>
  <c r="GK154"/>
  <c r="GK198"/>
  <c r="FP206"/>
  <c r="FM206"/>
  <c r="FJ206"/>
  <c r="FJ41"/>
  <c r="GK45"/>
  <c r="FP45"/>
  <c r="FJ45"/>
  <c r="FP49"/>
  <c r="FJ49"/>
  <c r="FP53"/>
  <c r="GD53"/>
  <c r="FW61"/>
  <c r="FP61"/>
  <c r="FP65"/>
  <c r="GD65"/>
  <c r="GJ65" s="1"/>
  <c r="FJ65"/>
  <c r="GD69"/>
  <c r="FW73"/>
  <c r="FJ77"/>
  <c r="GD81"/>
  <c r="GD85"/>
  <c r="FJ85"/>
  <c r="FM89"/>
  <c r="FJ89"/>
  <c r="GD93"/>
  <c r="FW93"/>
  <c r="FJ97"/>
  <c r="FP101"/>
  <c r="FW105"/>
  <c r="GD105"/>
  <c r="GD113"/>
  <c r="GK117"/>
  <c r="GD117"/>
  <c r="FJ121"/>
  <c r="GD121"/>
  <c r="FP125"/>
  <c r="FW125"/>
  <c r="FM125"/>
  <c r="FJ125"/>
  <c r="FP129"/>
  <c r="GD129"/>
  <c r="FW133"/>
  <c r="FJ133"/>
  <c r="FP149"/>
  <c r="GK149"/>
  <c r="FW153"/>
  <c r="FM157"/>
  <c r="FJ157"/>
  <c r="FW161"/>
  <c r="GK161"/>
  <c r="FW165"/>
  <c r="FJ165"/>
  <c r="FM46"/>
  <c r="GK58"/>
  <c r="FJ82"/>
  <c r="GK86"/>
  <c r="GK90"/>
  <c r="FW94"/>
  <c r="FJ94"/>
  <c r="FP102"/>
  <c r="FM102"/>
  <c r="FJ102"/>
  <c r="GK114"/>
  <c r="GK122"/>
  <c r="GK134"/>
  <c r="FJ150"/>
  <c r="GK158"/>
  <c r="GK162"/>
  <c r="FP174"/>
  <c r="FV174" s="1"/>
  <c r="FJ178"/>
  <c r="GK182"/>
  <c r="FJ182"/>
  <c r="GD182"/>
  <c r="FW186"/>
  <c r="FP190"/>
  <c r="GD198"/>
  <c r="GD202"/>
  <c r="B8" i="6"/>
  <c r="FM38" i="9"/>
  <c r="FW42"/>
  <c r="GK46"/>
  <c r="FM50"/>
  <c r="FJ54"/>
  <c r="FM58"/>
  <c r="FJ70"/>
  <c r="FJ74"/>
  <c r="GD74"/>
  <c r="FW74"/>
  <c r="GK78"/>
  <c r="FP82"/>
  <c r="GK82"/>
  <c r="FJ86"/>
  <c r="GD94"/>
  <c r="GK106"/>
  <c r="FJ106"/>
  <c r="GK110"/>
  <c r="FP114"/>
  <c r="FJ169"/>
  <c r="FP177"/>
  <c r="GD181"/>
  <c r="FJ197"/>
  <c r="FW205"/>
  <c r="FW207"/>
  <c r="FP40"/>
  <c r="FW44"/>
  <c r="FJ48"/>
  <c r="GD52"/>
  <c r="FJ52"/>
  <c r="GK56"/>
  <c r="FJ56"/>
  <c r="GK60"/>
  <c r="FM60"/>
  <c r="FJ68"/>
  <c r="FM68"/>
  <c r="GD68"/>
  <c r="FJ72"/>
  <c r="GK72"/>
  <c r="FJ76"/>
  <c r="GK80"/>
  <c r="FJ80"/>
  <c r="FP92"/>
  <c r="GK96"/>
  <c r="FP108"/>
  <c r="FW112"/>
  <c r="GK120"/>
  <c r="FP120"/>
  <c r="FM120"/>
  <c r="FJ124"/>
  <c r="FP128"/>
  <c r="FM128"/>
  <c r="FW132"/>
  <c r="GK144"/>
  <c r="FJ144"/>
  <c r="GK148"/>
  <c r="FJ148"/>
  <c r="FM160"/>
  <c r="GK164"/>
  <c r="GP164" s="1"/>
  <c r="GD164"/>
  <c r="FM172"/>
  <c r="FJ176"/>
  <c r="FP188"/>
  <c r="GK188"/>
  <c r="FJ188"/>
  <c r="FW192"/>
  <c r="FM192"/>
  <c r="FJ196"/>
  <c r="FW204"/>
  <c r="GK39"/>
  <c r="FJ39"/>
  <c r="FM43"/>
  <c r="FM47"/>
  <c r="GK51"/>
  <c r="FJ51"/>
  <c r="FJ59"/>
  <c r="GK63"/>
  <c r="GK67"/>
  <c r="GD67"/>
  <c r="GD71"/>
  <c r="FJ83"/>
  <c r="GK87"/>
  <c r="FJ87"/>
  <c r="FM95"/>
  <c r="FP99"/>
  <c r="GK99"/>
  <c r="GK103"/>
  <c r="FJ103"/>
  <c r="FM103"/>
  <c r="GK107"/>
  <c r="FW115"/>
  <c r="FP119"/>
  <c r="FP123"/>
  <c r="GD127"/>
  <c r="GJ127" s="1"/>
  <c r="FJ131"/>
  <c r="FW135"/>
  <c r="GD135"/>
  <c r="GD139"/>
  <c r="GK139"/>
  <c r="GK143"/>
  <c r="FW147"/>
  <c r="GD147"/>
  <c r="GD151"/>
  <c r="GK151"/>
  <c r="FP155"/>
  <c r="FJ155"/>
  <c r="GK163"/>
  <c r="GK167"/>
  <c r="FP175"/>
  <c r="FW175"/>
  <c r="GD179"/>
  <c r="FJ179"/>
  <c r="FW183"/>
  <c r="FM187"/>
  <c r="GK195"/>
  <c r="FJ195"/>
  <c r="FP199"/>
  <c r="GK203"/>
  <c r="FM118"/>
  <c r="FW126"/>
  <c r="FM130"/>
  <c r="FP134"/>
  <c r="GD138"/>
  <c r="GK142"/>
  <c r="GD146"/>
  <c r="GK146"/>
  <c r="FM146"/>
  <c r="FM150"/>
  <c r="FJ158"/>
  <c r="FJ162"/>
  <c r="FJ166"/>
  <c r="GK174"/>
  <c r="FJ174"/>
  <c r="FM174"/>
  <c r="GK178"/>
  <c r="FP186"/>
  <c r="FJ186"/>
  <c r="GK190"/>
  <c r="FM190"/>
  <c r="FJ190"/>
  <c r="FW194"/>
  <c r="FJ198"/>
  <c r="FJ202"/>
  <c r="GK206"/>
  <c r="FP41"/>
  <c r="FW45"/>
  <c r="FM57"/>
  <c r="GK61"/>
  <c r="FW69"/>
  <c r="FP77"/>
  <c r="FP85"/>
  <c r="FP89"/>
  <c r="GK97"/>
  <c r="GK101"/>
  <c r="FM101"/>
  <c r="GD109"/>
  <c r="FJ109"/>
  <c r="FP113"/>
  <c r="FM113"/>
  <c r="FJ117"/>
  <c r="GK121"/>
  <c r="GD125"/>
  <c r="FW129"/>
  <c r="GK129"/>
  <c r="GD133"/>
  <c r="FJ145"/>
  <c r="FW149"/>
  <c r="FJ149"/>
  <c r="GD153"/>
  <c r="GK157"/>
  <c r="FP157"/>
  <c r="GK169"/>
  <c r="FM169"/>
  <c r="FM173"/>
  <c r="FW177"/>
  <c r="FW185"/>
  <c r="GK193"/>
  <c r="FP193"/>
  <c r="GK201"/>
  <c r="GK207"/>
  <c r="FJ44"/>
  <c r="GK52"/>
  <c r="FP52"/>
  <c r="FM52"/>
  <c r="FJ64"/>
  <c r="FM64"/>
  <c r="FP72"/>
  <c r="GD72"/>
  <c r="FP76"/>
  <c r="GK84"/>
  <c r="FP84"/>
  <c r="FW88"/>
  <c r="GK88"/>
  <c r="GD92"/>
  <c r="FW96"/>
  <c r="GK100"/>
  <c r="FW100"/>
  <c r="FM104"/>
  <c r="FJ108"/>
  <c r="GK112"/>
  <c r="GD112"/>
  <c r="FJ116"/>
  <c r="GD120"/>
  <c r="GD124"/>
  <c r="GK124"/>
  <c r="FW124"/>
  <c r="FW128"/>
  <c r="GK128"/>
  <c r="FJ128"/>
  <c r="FP132"/>
  <c r="FM136"/>
  <c r="GK140"/>
  <c r="FP144"/>
  <c r="FM144"/>
  <c r="FW148"/>
  <c r="FP152"/>
  <c r="FJ156"/>
  <c r="GK160"/>
  <c r="FP168"/>
  <c r="FW168"/>
  <c r="FJ168"/>
  <c r="GD172"/>
  <c r="FW176"/>
  <c r="GK180"/>
  <c r="FW184"/>
  <c r="GK184"/>
  <c r="FJ192"/>
  <c r="FP200"/>
  <c r="GD204"/>
  <c r="FP204"/>
  <c r="GK204"/>
  <c r="FM39"/>
  <c r="FJ43"/>
  <c r="FJ47"/>
  <c r="FP63"/>
  <c r="FJ67"/>
  <c r="FP67"/>
  <c r="GK75"/>
  <c r="FJ75"/>
  <c r="GD79"/>
  <c r="FM79"/>
  <c r="FJ79"/>
  <c r="FP87"/>
  <c r="GD87"/>
  <c r="FJ95"/>
  <c r="FW99"/>
  <c r="FJ99"/>
  <c r="GD111"/>
  <c r="FP111"/>
  <c r="FJ111"/>
  <c r="FJ115"/>
  <c r="FJ123"/>
  <c r="FW127"/>
  <c r="FM131"/>
  <c r="GK131"/>
  <c r="FJ135"/>
  <c r="FW139"/>
  <c r="FJ143"/>
  <c r="GK147"/>
  <c r="FP151"/>
  <c r="FW151"/>
  <c r="FW155"/>
  <c r="FM155"/>
  <c r="GD159"/>
  <c r="GK159"/>
  <c r="FP159"/>
  <c r="FW163"/>
  <c r="FJ163"/>
  <c r="FM167"/>
  <c r="FW171"/>
  <c r="FJ171"/>
  <c r="GK175"/>
  <c r="FM175"/>
  <c r="FP183"/>
  <c r="GD195"/>
  <c r="GK199"/>
  <c r="GQ199" s="1"/>
  <c r="GD199"/>
  <c r="FJ203"/>
  <c r="FW81"/>
  <c r="FM81"/>
  <c r="FJ81"/>
  <c r="FW85"/>
  <c r="GK89"/>
  <c r="FJ93"/>
  <c r="GK93"/>
  <c r="FP93"/>
  <c r="FP97"/>
  <c r="GD97"/>
  <c r="GD101"/>
  <c r="GK105"/>
  <c r="GK113"/>
  <c r="FJ113"/>
  <c r="FW121"/>
  <c r="GK125"/>
  <c r="GP125" s="1"/>
  <c r="FJ129"/>
  <c r="FP133"/>
  <c r="FJ137"/>
  <c r="FP141"/>
  <c r="FJ141"/>
  <c r="GD145"/>
  <c r="FP153"/>
  <c r="FJ153"/>
  <c r="GD161"/>
  <c r="FJ161"/>
  <c r="FW169"/>
  <c r="GB169" s="1"/>
  <c r="GK173"/>
  <c r="FW173"/>
  <c r="GD177"/>
  <c r="FJ177"/>
  <c r="FP181"/>
  <c r="GK181"/>
  <c r="FJ181"/>
  <c r="GK185"/>
  <c r="GD189"/>
  <c r="FJ189"/>
  <c r="FM189"/>
  <c r="FJ193"/>
  <c r="FP197"/>
  <c r="FW201"/>
  <c r="GD205"/>
  <c r="FJ205"/>
  <c r="GD207"/>
  <c r="FP207"/>
  <c r="FJ207"/>
  <c r="FM40"/>
  <c r="GD44"/>
  <c r="GD48"/>
  <c r="FW48"/>
  <c r="FP60"/>
  <c r="GK68"/>
  <c r="GK76"/>
  <c r="FW84"/>
  <c r="FJ84"/>
  <c r="FM84"/>
  <c r="GD88"/>
  <c r="FJ88"/>
  <c r="FW92"/>
  <c r="FJ92"/>
  <c r="GD96"/>
  <c r="FM100"/>
  <c r="GD108"/>
  <c r="FP112"/>
  <c r="FM112"/>
  <c r="FP116"/>
  <c r="GK116"/>
  <c r="FW120"/>
  <c r="FJ120"/>
  <c r="GD128"/>
  <c r="FP140"/>
  <c r="FM140"/>
  <c r="GD148"/>
  <c r="FM148"/>
  <c r="FJ152"/>
  <c r="FW152"/>
  <c r="FM156"/>
  <c r="FW160"/>
  <c r="FJ164"/>
  <c r="GK168"/>
  <c r="FW172"/>
  <c r="GK172"/>
  <c r="FP176"/>
  <c r="GK176"/>
  <c r="FW180"/>
  <c r="FM180"/>
  <c r="GD184"/>
  <c r="FP184"/>
  <c r="FW188"/>
  <c r="GK192"/>
  <c r="GK200"/>
  <c r="GP200" s="1"/>
  <c r="FM204"/>
  <c r="GD39"/>
  <c r="FP43"/>
  <c r="FP51"/>
  <c r="GD51"/>
  <c r="FJ55"/>
  <c r="GK59"/>
  <c r="FM59"/>
  <c r="GD63"/>
  <c r="FJ63"/>
  <c r="FP71"/>
  <c r="FJ71"/>
  <c r="GD75"/>
  <c r="FW75"/>
  <c r="GK79"/>
  <c r="GP79" s="1"/>
  <c r="FW79"/>
  <c r="GK83"/>
  <c r="FW83"/>
  <c r="FW87"/>
  <c r="FP91"/>
  <c r="GK91"/>
  <c r="GK95"/>
  <c r="FW103"/>
  <c r="FP107"/>
  <c r="GK111"/>
  <c r="FP115"/>
  <c r="FM115"/>
  <c r="GK119"/>
  <c r="FJ119"/>
  <c r="GD123"/>
  <c r="GK123"/>
  <c r="GK127"/>
  <c r="FP127"/>
  <c r="FJ127"/>
  <c r="FP131"/>
  <c r="GK135"/>
  <c r="FP147"/>
  <c r="GD155"/>
  <c r="FJ159"/>
  <c r="FM163"/>
  <c r="FJ167"/>
  <c r="GK171"/>
  <c r="GK179"/>
  <c r="GK183"/>
  <c r="GK187"/>
  <c r="FP187"/>
  <c r="FJ187"/>
  <c r="GK191"/>
  <c r="FP191"/>
  <c r="FM191"/>
  <c r="GD191"/>
  <c r="FP195"/>
  <c r="FW199"/>
  <c r="FM203"/>
  <c r="FJ122"/>
  <c r="GK126"/>
  <c r="FP126"/>
  <c r="FJ130"/>
  <c r="FM138"/>
  <c r="FJ146"/>
  <c r="FW146"/>
  <c r="GD150"/>
  <c r="FM154"/>
  <c r="FJ154"/>
  <c r="GD158"/>
  <c r="FM158"/>
  <c r="FM162"/>
  <c r="GD174"/>
  <c r="FW174"/>
  <c r="GD178"/>
  <c r="FM178"/>
  <c r="FM182"/>
  <c r="GD186"/>
  <c r="FW190"/>
  <c r="GK194"/>
  <c r="FM198"/>
  <c r="FW202"/>
  <c r="FW41"/>
  <c r="FM41"/>
  <c r="FM45"/>
  <c r="FW49"/>
  <c r="GK53"/>
  <c r="FW57"/>
  <c r="GK57"/>
  <c r="FJ57"/>
  <c r="FJ61"/>
  <c r="FW65"/>
  <c r="GK65"/>
  <c r="FJ69"/>
  <c r="FM69"/>
  <c r="GK73"/>
  <c r="FM73"/>
  <c r="FW77"/>
  <c r="GD77"/>
  <c r="FP81"/>
  <c r="GK81"/>
  <c r="GK85"/>
  <c r="FW101"/>
  <c r="FJ101"/>
  <c r="FP105"/>
  <c r="FJ105"/>
  <c r="GK109"/>
  <c r="FM109"/>
  <c r="FW113"/>
  <c r="FW117"/>
  <c r="FP117"/>
  <c r="FM117"/>
  <c r="FP121"/>
  <c r="GK133"/>
  <c r="FW137"/>
  <c r="GK137"/>
  <c r="GD137"/>
  <c r="GK141"/>
  <c r="GK145"/>
  <c r="GK153"/>
  <c r="FP161"/>
  <c r="GK165"/>
  <c r="FP165"/>
  <c r="GD165"/>
  <c r="FJ173"/>
  <c r="FM177"/>
  <c r="GK177"/>
  <c r="FJ185"/>
  <c r="FM185"/>
  <c r="GK189"/>
  <c r="FP189"/>
  <c r="FM193"/>
  <c r="GK197"/>
  <c r="FJ201"/>
  <c r="FP205"/>
  <c r="FM205"/>
  <c r="GK205"/>
  <c r="FM207"/>
  <c r="FJ40"/>
  <c r="GK40"/>
  <c r="FP44"/>
  <c r="FM44"/>
  <c r="FP48"/>
  <c r="GK48"/>
  <c r="FW52"/>
  <c r="FM56"/>
  <c r="FJ60"/>
  <c r="GK64"/>
  <c r="FW68"/>
  <c r="FW72"/>
  <c r="FW76"/>
  <c r="GK92"/>
  <c r="FJ96"/>
  <c r="FJ100"/>
  <c r="GK104"/>
  <c r="GQ104" s="1"/>
  <c r="FJ104"/>
  <c r="GK108"/>
  <c r="FM108"/>
  <c r="FJ112"/>
  <c r="FP124"/>
  <c r="FJ132"/>
  <c r="GK136"/>
  <c r="FJ136"/>
  <c r="GD140"/>
  <c r="GI140" s="1"/>
  <c r="FJ140"/>
  <c r="GD144"/>
  <c r="FP148"/>
  <c r="GK152"/>
  <c r="GK156"/>
  <c r="GQ156" s="1"/>
  <c r="FJ160"/>
  <c r="FM164"/>
  <c r="FW164"/>
  <c r="GD168"/>
  <c r="FM168"/>
  <c r="FJ172"/>
  <c r="GD176"/>
  <c r="FJ180"/>
  <c r="FJ184"/>
  <c r="GD188"/>
  <c r="GK196"/>
  <c r="FW200"/>
  <c r="FJ200"/>
  <c r="FJ204"/>
  <c r="FW39"/>
  <c r="GK43"/>
  <c r="GD47"/>
  <c r="FW47"/>
  <c r="GK47"/>
  <c r="FP47"/>
  <c r="GK55"/>
  <c r="GP55" s="1"/>
  <c r="GD55"/>
  <c r="FM67"/>
  <c r="FW67"/>
  <c r="GK71"/>
  <c r="FW71"/>
  <c r="FM75"/>
  <c r="FP79"/>
  <c r="FP83"/>
  <c r="GD83"/>
  <c r="FM87"/>
  <c r="FM91"/>
  <c r="FJ91"/>
  <c r="GD99"/>
  <c r="GD107"/>
  <c r="FJ107"/>
  <c r="FW107"/>
  <c r="FM111"/>
  <c r="GD115"/>
  <c r="GK115"/>
  <c r="FW119"/>
  <c r="FM123"/>
  <c r="FW131"/>
  <c r="FP135"/>
  <c r="FP139"/>
  <c r="FJ139"/>
  <c r="FM139"/>
  <c r="FM143"/>
  <c r="FJ147"/>
  <c r="FJ151"/>
  <c r="GK155"/>
  <c r="FW159"/>
  <c r="FM159"/>
  <c r="GD163"/>
  <c r="FP171"/>
  <c r="FJ175"/>
  <c r="GD175"/>
  <c r="FP179"/>
  <c r="FM179"/>
  <c r="GD183"/>
  <c r="FM183"/>
  <c r="FJ183"/>
  <c r="FJ191"/>
  <c r="FJ199"/>
  <c r="AV216"/>
  <c r="K9" i="6" s="1"/>
  <c r="B9"/>
  <c r="GY48" i="9"/>
  <c r="GY96"/>
  <c r="GY112"/>
  <c r="GY144"/>
  <c r="GY176"/>
  <c r="GY47"/>
  <c r="GY63"/>
  <c r="GY79"/>
  <c r="GY95"/>
  <c r="GY111"/>
  <c r="GY127"/>
  <c r="GY143"/>
  <c r="GY159"/>
  <c r="GY175"/>
  <c r="GY191"/>
  <c r="GY45"/>
  <c r="GY61"/>
  <c r="GY77"/>
  <c r="GY93"/>
  <c r="GY109"/>
  <c r="GY125"/>
  <c r="GY141"/>
  <c r="GY157"/>
  <c r="GY173"/>
  <c r="GY189"/>
  <c r="GY205"/>
  <c r="GY44"/>
  <c r="GY60"/>
  <c r="GY76"/>
  <c r="GY92"/>
  <c r="GY108"/>
  <c r="GY124"/>
  <c r="GY140"/>
  <c r="GY156"/>
  <c r="GY172"/>
  <c r="GY188"/>
  <c r="GY204"/>
  <c r="GY43"/>
  <c r="GY59"/>
  <c r="GY75"/>
  <c r="GY91"/>
  <c r="GY107"/>
  <c r="GY123"/>
  <c r="GY139"/>
  <c r="GY155"/>
  <c r="GY171"/>
  <c r="GY187"/>
  <c r="GY203"/>
  <c r="GY73"/>
  <c r="GY153"/>
  <c r="GY201"/>
  <c r="GY207"/>
  <c r="GY56"/>
  <c r="GY72"/>
  <c r="GY88"/>
  <c r="GY120"/>
  <c r="GY136"/>
  <c r="GY152"/>
  <c r="GY168"/>
  <c r="GY184"/>
  <c r="GY200"/>
  <c r="GY39"/>
  <c r="GY103"/>
  <c r="GY199"/>
  <c r="GY117"/>
  <c r="GY197"/>
  <c r="GY52"/>
  <c r="GY68"/>
  <c r="GY84"/>
  <c r="GY100"/>
  <c r="GY116"/>
  <c r="GY132"/>
  <c r="GY164"/>
  <c r="GY196"/>
  <c r="GY51"/>
  <c r="GY67"/>
  <c r="GY83"/>
  <c r="GY99"/>
  <c r="GY115"/>
  <c r="GY131"/>
  <c r="GY147"/>
  <c r="GY163"/>
  <c r="GY179"/>
  <c r="GY195"/>
  <c r="GY49"/>
  <c r="GY65"/>
  <c r="GY81"/>
  <c r="GY97"/>
  <c r="GY113"/>
  <c r="GY129"/>
  <c r="GY145"/>
  <c r="GY161"/>
  <c r="GY177"/>
  <c r="GY193"/>
  <c r="FM66"/>
  <c r="GB81"/>
  <c r="GJ177"/>
  <c r="FM80"/>
  <c r="GC92"/>
  <c r="FM196"/>
  <c r="FM142"/>
  <c r="FM166"/>
  <c r="FM96"/>
  <c r="FM116"/>
  <c r="FM171"/>
  <c r="GP199"/>
  <c r="FM82"/>
  <c r="FM94"/>
  <c r="FM110"/>
  <c r="FM122"/>
  <c r="FM134"/>
  <c r="FM186"/>
  <c r="FM202"/>
  <c r="FM85"/>
  <c r="FM121"/>
  <c r="FM153"/>
  <c r="FM181"/>
  <c r="FM48"/>
  <c r="GP104"/>
  <c r="FM124"/>
  <c r="FM152"/>
  <c r="FM184"/>
  <c r="FM188"/>
  <c r="FM200"/>
  <c r="FM51"/>
  <c r="FM99"/>
  <c r="FM119"/>
  <c r="FM151"/>
  <c r="GQ195"/>
  <c r="FM114"/>
  <c r="FM126"/>
  <c r="GP49"/>
  <c r="GQ49"/>
  <c r="FM61"/>
  <c r="FM77"/>
  <c r="FM105"/>
  <c r="FM133"/>
  <c r="FM165"/>
  <c r="FM72"/>
  <c r="FM92"/>
  <c r="FM132"/>
  <c r="FM176"/>
  <c r="FM71"/>
  <c r="FM135"/>
  <c r="FM147"/>
  <c r="FM195"/>
  <c r="GR4"/>
  <c r="EC8"/>
  <c r="ED6"/>
  <c r="EC6"/>
  <c r="J173" i="11" l="1"/>
  <c r="H176" i="15"/>
  <c r="HE177" i="9"/>
  <c r="HC177"/>
  <c r="J143" i="11"/>
  <c r="H146" i="15"/>
  <c r="HC147" i="9"/>
  <c r="HE147"/>
  <c r="J80" i="11"/>
  <c r="H83" i="15"/>
  <c r="HC84" i="9"/>
  <c r="HE84"/>
  <c r="J87" i="11"/>
  <c r="H90" i="15"/>
  <c r="HC91" i="9"/>
  <c r="HE91"/>
  <c r="J141" i="11"/>
  <c r="H144" i="15"/>
  <c r="HE145" i="9"/>
  <c r="HC145"/>
  <c r="J77" i="11"/>
  <c r="H80" i="15"/>
  <c r="HE81" i="9"/>
  <c r="HC81"/>
  <c r="J175" i="11"/>
  <c r="H178" i="15"/>
  <c r="HC179" i="9"/>
  <c r="HE179"/>
  <c r="J111" i="11"/>
  <c r="H114" i="15"/>
  <c r="HC115" i="9"/>
  <c r="HE115"/>
  <c r="J47" i="11"/>
  <c r="H50" i="15"/>
  <c r="HC51" i="9"/>
  <c r="HE51"/>
  <c r="J112" i="11"/>
  <c r="H115" i="15"/>
  <c r="HC116" i="9"/>
  <c r="HE116"/>
  <c r="J48" i="11"/>
  <c r="H51" i="15"/>
  <c r="HC52" i="9"/>
  <c r="HE52"/>
  <c r="J99" i="11"/>
  <c r="H102" i="15"/>
  <c r="HC103" i="9"/>
  <c r="HE103"/>
  <c r="J164" i="11"/>
  <c r="H167" i="15"/>
  <c r="HC168" i="9"/>
  <c r="HE168"/>
  <c r="J84" i="11"/>
  <c r="H87" i="15"/>
  <c r="HC88" i="9"/>
  <c r="HE88"/>
  <c r="J197" i="11"/>
  <c r="H200" i="15"/>
  <c r="HE201" i="9"/>
  <c r="HC201"/>
  <c r="J183" i="11"/>
  <c r="H186" i="15"/>
  <c r="HC187" i="9"/>
  <c r="HE187"/>
  <c r="J119" i="11"/>
  <c r="H122" i="15"/>
  <c r="HC123" i="9"/>
  <c r="HE123"/>
  <c r="J55" i="11"/>
  <c r="H58" i="15"/>
  <c r="HC59" i="9"/>
  <c r="HE59"/>
  <c r="J168" i="11"/>
  <c r="H171" i="15"/>
  <c r="HC172" i="9"/>
  <c r="HE172"/>
  <c r="J104" i="11"/>
  <c r="H107" i="15"/>
  <c r="HC108" i="9"/>
  <c r="HE108"/>
  <c r="J40" i="11"/>
  <c r="H43" i="15"/>
  <c r="HC44" i="9"/>
  <c r="HE44"/>
  <c r="J153" i="11"/>
  <c r="H156" i="15"/>
  <c r="HE157" i="9"/>
  <c r="HC157"/>
  <c r="J89" i="11"/>
  <c r="H92" i="15"/>
  <c r="HE93" i="9"/>
  <c r="HC93"/>
  <c r="J187" i="11"/>
  <c r="H190" i="15"/>
  <c r="HC191" i="9"/>
  <c r="HE191"/>
  <c r="J123" i="11"/>
  <c r="H126" i="15"/>
  <c r="HC127" i="9"/>
  <c r="HE127"/>
  <c r="J59" i="11"/>
  <c r="H62" i="15"/>
  <c r="HC63" i="9"/>
  <c r="HE63"/>
  <c r="J108" i="11"/>
  <c r="H111" i="15"/>
  <c r="HC112" i="9"/>
  <c r="HE112"/>
  <c r="GU147"/>
  <c r="S146" i="15" s="1"/>
  <c r="GW147" i="9"/>
  <c r="GV147"/>
  <c r="GX147"/>
  <c r="GT147"/>
  <c r="GU91"/>
  <c r="S90" i="15" s="1"/>
  <c r="GW91" i="9"/>
  <c r="GV91"/>
  <c r="GT91"/>
  <c r="GX91"/>
  <c r="GU200"/>
  <c r="GV200"/>
  <c r="GW200"/>
  <c r="GT200"/>
  <c r="GX200"/>
  <c r="GU184"/>
  <c r="GV184"/>
  <c r="GW184"/>
  <c r="GT184"/>
  <c r="GX184"/>
  <c r="GU160"/>
  <c r="S159" i="15" s="1"/>
  <c r="GW160" i="9"/>
  <c r="GV160"/>
  <c r="GT160"/>
  <c r="GX160"/>
  <c r="GU100"/>
  <c r="S99" i="15" s="1"/>
  <c r="GW100" i="9"/>
  <c r="GV100"/>
  <c r="GT100"/>
  <c r="GX100"/>
  <c r="GW105"/>
  <c r="GV105"/>
  <c r="GU105"/>
  <c r="S104" i="15" s="1"/>
  <c r="GT105" i="9"/>
  <c r="GX105"/>
  <c r="GW69"/>
  <c r="GV69"/>
  <c r="GU69"/>
  <c r="GT69"/>
  <c r="GX69"/>
  <c r="GW57"/>
  <c r="GV57"/>
  <c r="GU57"/>
  <c r="GX57"/>
  <c r="GT57"/>
  <c r="GU167"/>
  <c r="GW167"/>
  <c r="GV167"/>
  <c r="GX167"/>
  <c r="GT167"/>
  <c r="GU119"/>
  <c r="GW119"/>
  <c r="GV119"/>
  <c r="GT119"/>
  <c r="GX119"/>
  <c r="GU92"/>
  <c r="GW92"/>
  <c r="GV92"/>
  <c r="GX92"/>
  <c r="GT92"/>
  <c r="GW153"/>
  <c r="GV153"/>
  <c r="GU153"/>
  <c r="GX153"/>
  <c r="GT153"/>
  <c r="GW203"/>
  <c r="GU203"/>
  <c r="GV203"/>
  <c r="GT203"/>
  <c r="GX203"/>
  <c r="GU143"/>
  <c r="GW143"/>
  <c r="GV143"/>
  <c r="GT143"/>
  <c r="GX143"/>
  <c r="GU111"/>
  <c r="GW111"/>
  <c r="GV111"/>
  <c r="GT111"/>
  <c r="GX111"/>
  <c r="GU79"/>
  <c r="S78" i="15" s="1"/>
  <c r="GW79" i="9"/>
  <c r="GV79"/>
  <c r="GT79"/>
  <c r="GX79"/>
  <c r="GU47"/>
  <c r="GW47"/>
  <c r="GV47"/>
  <c r="GT47"/>
  <c r="GX47"/>
  <c r="GU116"/>
  <c r="GW116"/>
  <c r="GV116"/>
  <c r="GT116"/>
  <c r="GX116"/>
  <c r="GV198"/>
  <c r="GW198"/>
  <c r="GU198"/>
  <c r="GT198"/>
  <c r="GX198"/>
  <c r="GW162"/>
  <c r="GV162"/>
  <c r="GU162"/>
  <c r="GT162"/>
  <c r="GX162"/>
  <c r="GU155"/>
  <c r="GW155"/>
  <c r="GV155"/>
  <c r="GT155"/>
  <c r="GX155"/>
  <c r="GU176"/>
  <c r="GV176"/>
  <c r="GW176"/>
  <c r="GT176"/>
  <c r="GX176"/>
  <c r="GU124"/>
  <c r="GW124"/>
  <c r="GV124"/>
  <c r="GT124"/>
  <c r="GX124"/>
  <c r="GU80"/>
  <c r="S79" i="15" s="1"/>
  <c r="GW80" i="9"/>
  <c r="GV80"/>
  <c r="GT80"/>
  <c r="GX80"/>
  <c r="GU72"/>
  <c r="GW72"/>
  <c r="GV72"/>
  <c r="GX72"/>
  <c r="GT72"/>
  <c r="GU52"/>
  <c r="S51" i="15" s="1"/>
  <c r="GW52" i="9"/>
  <c r="GV52"/>
  <c r="GT52"/>
  <c r="GX52"/>
  <c r="GW86"/>
  <c r="GV86"/>
  <c r="GU86"/>
  <c r="S85" i="15" s="1"/>
  <c r="GT86" i="9"/>
  <c r="GX86"/>
  <c r="GV182"/>
  <c r="GW182"/>
  <c r="GU182"/>
  <c r="S181" i="15" s="1"/>
  <c r="GX182" i="9"/>
  <c r="GT182"/>
  <c r="GW165"/>
  <c r="GV165"/>
  <c r="GU165"/>
  <c r="GX165"/>
  <c r="GT165"/>
  <c r="GW157"/>
  <c r="GV157"/>
  <c r="GU157"/>
  <c r="GT157"/>
  <c r="GX157"/>
  <c r="GW89"/>
  <c r="GV89"/>
  <c r="GU89"/>
  <c r="S88" i="15" s="1"/>
  <c r="GX89" i="9"/>
  <c r="GT89"/>
  <c r="GW41"/>
  <c r="GV41"/>
  <c r="GU41"/>
  <c r="GX41"/>
  <c r="GT41"/>
  <c r="GW114"/>
  <c r="GV114"/>
  <c r="GU114"/>
  <c r="GX114"/>
  <c r="GT114"/>
  <c r="GW98"/>
  <c r="GV98"/>
  <c r="GU98"/>
  <c r="S97" i="15" s="1"/>
  <c r="GT98" i="9"/>
  <c r="GX98"/>
  <c r="GW50"/>
  <c r="GV50"/>
  <c r="GU50"/>
  <c r="S49" i="15" s="1"/>
  <c r="GT50" i="9"/>
  <c r="GX50"/>
  <c r="GW170"/>
  <c r="GV170"/>
  <c r="GU170"/>
  <c r="GT170"/>
  <c r="GX170"/>
  <c r="GW118"/>
  <c r="GV118"/>
  <c r="GU118"/>
  <c r="GT118"/>
  <c r="GX118"/>
  <c r="J176" i="11"/>
  <c r="H179" i="15"/>
  <c r="HC180" i="9"/>
  <c r="HE180"/>
  <c r="J177" i="11"/>
  <c r="H180" i="15"/>
  <c r="HE181" i="9"/>
  <c r="HC181"/>
  <c r="J65" i="11"/>
  <c r="N65" s="1"/>
  <c r="H68" i="15"/>
  <c r="HE69" i="9"/>
  <c r="HC69"/>
  <c r="J179" i="11"/>
  <c r="H182" i="15"/>
  <c r="HC183" i="9"/>
  <c r="HE183"/>
  <c r="J115" i="11"/>
  <c r="N115" s="1"/>
  <c r="H118" i="15"/>
  <c r="HC119" i="9"/>
  <c r="HE119"/>
  <c r="J67" i="11"/>
  <c r="H70" i="15"/>
  <c r="HC71" i="9"/>
  <c r="HE71"/>
  <c r="J124" i="11"/>
  <c r="H127" i="15"/>
  <c r="HC128" i="9"/>
  <c r="HE128"/>
  <c r="J36" i="11"/>
  <c r="H39" i="15"/>
  <c r="HC40" i="9"/>
  <c r="HE40"/>
  <c r="J85" i="11"/>
  <c r="N85" s="1"/>
  <c r="H88" i="15"/>
  <c r="HE89" i="9"/>
  <c r="HC89"/>
  <c r="J37" i="11"/>
  <c r="N37" s="1"/>
  <c r="H40" i="15"/>
  <c r="HE41" i="9"/>
  <c r="HC41"/>
  <c r="N82" i="11"/>
  <c r="N114"/>
  <c r="N178"/>
  <c r="N166"/>
  <c r="N158"/>
  <c r="N46"/>
  <c r="N194"/>
  <c r="N110"/>
  <c r="N94"/>
  <c r="J109"/>
  <c r="H112" i="15"/>
  <c r="HE113" i="9"/>
  <c r="HC113"/>
  <c r="J79" i="11"/>
  <c r="H82" i="15"/>
  <c r="HC83" i="9"/>
  <c r="HE83"/>
  <c r="J113" i="11"/>
  <c r="H116" i="15"/>
  <c r="HE117" i="9"/>
  <c r="HC117"/>
  <c r="J132" i="11"/>
  <c r="H135" i="15"/>
  <c r="HC136" i="9"/>
  <c r="HE136"/>
  <c r="J69" i="11"/>
  <c r="H72" i="15"/>
  <c r="HE73" i="9"/>
  <c r="HC73"/>
  <c r="J157" i="11"/>
  <c r="H160" i="15"/>
  <c r="HE161" i="9"/>
  <c r="HC161"/>
  <c r="J93" i="11"/>
  <c r="H96" i="15"/>
  <c r="HE97" i="9"/>
  <c r="HC97"/>
  <c r="J191" i="11"/>
  <c r="H194" i="15"/>
  <c r="HC195" i="9"/>
  <c r="HE195"/>
  <c r="J127" i="11"/>
  <c r="H130" i="15"/>
  <c r="HC131" i="9"/>
  <c r="HE131"/>
  <c r="J63" i="11"/>
  <c r="H66" i="15"/>
  <c r="HC67" i="9"/>
  <c r="HE67"/>
  <c r="J128" i="11"/>
  <c r="H131" i="15"/>
  <c r="HC132" i="9"/>
  <c r="HE132"/>
  <c r="J64" i="11"/>
  <c r="H67" i="15"/>
  <c r="HC68" i="9"/>
  <c r="HE68"/>
  <c r="J195" i="11"/>
  <c r="H198" i="15"/>
  <c r="HC199" i="9"/>
  <c r="HE199"/>
  <c r="J180" i="11"/>
  <c r="N180" s="1"/>
  <c r="H183" i="15"/>
  <c r="HC184" i="9"/>
  <c r="HE184"/>
  <c r="J116" i="11"/>
  <c r="H119" i="15"/>
  <c r="HC120" i="9"/>
  <c r="HE120"/>
  <c r="J203" i="11"/>
  <c r="H206" i="15"/>
  <c r="HC207" i="9"/>
  <c r="HE207"/>
  <c r="J199" i="11"/>
  <c r="N199" s="1"/>
  <c r="H202" i="15"/>
  <c r="HC203" i="9"/>
  <c r="HE203"/>
  <c r="J135" i="11"/>
  <c r="H138" i="15"/>
  <c r="HC139" i="9"/>
  <c r="HE139"/>
  <c r="J71" i="11"/>
  <c r="H74" i="15"/>
  <c r="HC75" i="9"/>
  <c r="HE75"/>
  <c r="J184" i="11"/>
  <c r="H187" i="15"/>
  <c r="HC188" i="9"/>
  <c r="HE188"/>
  <c r="J120" i="11"/>
  <c r="N120" s="1"/>
  <c r="H123" i="15"/>
  <c r="HC124" i="9"/>
  <c r="HE124"/>
  <c r="J56" i="11"/>
  <c r="H59" i="15"/>
  <c r="HC60" i="9"/>
  <c r="HE60"/>
  <c r="J169" i="11"/>
  <c r="H172" i="15"/>
  <c r="HE173" i="9"/>
  <c r="HC173"/>
  <c r="J105" i="11"/>
  <c r="H108" i="15"/>
  <c r="HE109" i="9"/>
  <c r="HC109"/>
  <c r="J41" i="11"/>
  <c r="H44" i="15"/>
  <c r="HE45" i="9"/>
  <c r="HC45"/>
  <c r="J139" i="11"/>
  <c r="N139" s="1"/>
  <c r="H142" i="15"/>
  <c r="HC143" i="9"/>
  <c r="HE143"/>
  <c r="J75" i="11"/>
  <c r="N75" s="1"/>
  <c r="H78" i="15"/>
  <c r="HC79" i="9"/>
  <c r="HE79"/>
  <c r="J140" i="11"/>
  <c r="H143" i="15"/>
  <c r="HC144" i="9"/>
  <c r="HE144"/>
  <c r="GW183"/>
  <c r="GU183"/>
  <c r="GV183"/>
  <c r="GT183"/>
  <c r="GX183"/>
  <c r="GU151"/>
  <c r="GW151"/>
  <c r="GV151"/>
  <c r="GX151"/>
  <c r="GT151"/>
  <c r="GU139"/>
  <c r="S138" i="15" s="1"/>
  <c r="GW139" i="9"/>
  <c r="GV139"/>
  <c r="GT139"/>
  <c r="GX139"/>
  <c r="GU204"/>
  <c r="GV204"/>
  <c r="GW204"/>
  <c r="GT204"/>
  <c r="GX204"/>
  <c r="GU172"/>
  <c r="GW172"/>
  <c r="GV172"/>
  <c r="GX172"/>
  <c r="GT172"/>
  <c r="GU136"/>
  <c r="GW136"/>
  <c r="GV136"/>
  <c r="GX136"/>
  <c r="GT136"/>
  <c r="GU112"/>
  <c r="S111" i="15" s="1"/>
  <c r="GW112" i="9"/>
  <c r="GV112"/>
  <c r="GX112"/>
  <c r="GT112"/>
  <c r="GU60"/>
  <c r="GW60"/>
  <c r="GV60"/>
  <c r="GX60"/>
  <c r="GT60"/>
  <c r="GU40"/>
  <c r="GW40"/>
  <c r="GV40"/>
  <c r="GT40"/>
  <c r="GX40"/>
  <c r="GW61"/>
  <c r="GV61"/>
  <c r="GU61"/>
  <c r="GT61"/>
  <c r="GX61"/>
  <c r="GW130"/>
  <c r="GV130"/>
  <c r="GU130"/>
  <c r="N126" i="11" s="1"/>
  <c r="GT130" i="9"/>
  <c r="GX130"/>
  <c r="GU120"/>
  <c r="GW120"/>
  <c r="GV120"/>
  <c r="GX120"/>
  <c r="GT120"/>
  <c r="GV189"/>
  <c r="GW189"/>
  <c r="GU189"/>
  <c r="GX189"/>
  <c r="GT189"/>
  <c r="GU171"/>
  <c r="GW171"/>
  <c r="GV171"/>
  <c r="GT171"/>
  <c r="GX171"/>
  <c r="GU115"/>
  <c r="S114" i="15" s="1"/>
  <c r="GW115" i="9"/>
  <c r="GV115"/>
  <c r="GT115"/>
  <c r="GX115"/>
  <c r="GU99"/>
  <c r="GW99"/>
  <c r="GV99"/>
  <c r="GT99"/>
  <c r="GX99"/>
  <c r="GU75"/>
  <c r="GW75"/>
  <c r="GV75"/>
  <c r="GT75"/>
  <c r="GX75"/>
  <c r="GU192"/>
  <c r="S191" i="15" s="1"/>
  <c r="GV192" i="9"/>
  <c r="GW192"/>
  <c r="GT192"/>
  <c r="GX192"/>
  <c r="GU108"/>
  <c r="GW108"/>
  <c r="GV108"/>
  <c r="GT108"/>
  <c r="GX108"/>
  <c r="GV202"/>
  <c r="GW202"/>
  <c r="GU202"/>
  <c r="S201" i="15" s="1"/>
  <c r="GT202" i="9"/>
  <c r="GX202"/>
  <c r="GW166"/>
  <c r="GV166"/>
  <c r="GU166"/>
  <c r="S165" i="15" s="1"/>
  <c r="GT166" i="9"/>
  <c r="GX166"/>
  <c r="GU131"/>
  <c r="GW131"/>
  <c r="GV131"/>
  <c r="GX131"/>
  <c r="GT131"/>
  <c r="GU87"/>
  <c r="S86" i="15" s="1"/>
  <c r="GW87" i="9"/>
  <c r="GV87"/>
  <c r="GX87"/>
  <c r="GT87"/>
  <c r="GU51"/>
  <c r="GW51"/>
  <c r="GV51"/>
  <c r="GX51"/>
  <c r="GT51"/>
  <c r="GU39"/>
  <c r="GW39"/>
  <c r="GV39"/>
  <c r="GX39"/>
  <c r="GT39"/>
  <c r="GU144"/>
  <c r="GW144"/>
  <c r="GV144"/>
  <c r="GX144"/>
  <c r="GT144"/>
  <c r="GU68"/>
  <c r="S67" i="15" s="1"/>
  <c r="GW68" i="9"/>
  <c r="GV68"/>
  <c r="GX68"/>
  <c r="GT68"/>
  <c r="GW70"/>
  <c r="GV70"/>
  <c r="GU70"/>
  <c r="S69" i="15" s="1"/>
  <c r="GT70" i="9"/>
  <c r="GX70"/>
  <c r="GW49"/>
  <c r="GV49"/>
  <c r="GU49"/>
  <c r="GX49"/>
  <c r="GT49"/>
  <c r="GW142"/>
  <c r="GV142"/>
  <c r="GU142"/>
  <c r="N138" i="11" s="1"/>
  <c r="GX142" i="9"/>
  <c r="GT142"/>
  <c r="GW110"/>
  <c r="GV110"/>
  <c r="GU110"/>
  <c r="GX110"/>
  <c r="GT110"/>
  <c r="GW62"/>
  <c r="GV62"/>
  <c r="GU62"/>
  <c r="S61" i="15" s="1"/>
  <c r="GT62" i="9"/>
  <c r="GX62"/>
  <c r="GW46"/>
  <c r="GV46"/>
  <c r="GU46"/>
  <c r="S45" i="15" s="1"/>
  <c r="GX46" i="9"/>
  <c r="GT46"/>
  <c r="GW134"/>
  <c r="GV134"/>
  <c r="GU134"/>
  <c r="GT134"/>
  <c r="GX134"/>
  <c r="J144" i="11"/>
  <c r="H147" i="15"/>
  <c r="HC148" i="9"/>
  <c r="HE148"/>
  <c r="J161" i="11"/>
  <c r="N161" s="1"/>
  <c r="H164" i="15"/>
  <c r="HE165" i="9"/>
  <c r="HC165"/>
  <c r="J49" i="11"/>
  <c r="H52" i="15"/>
  <c r="HE53" i="9"/>
  <c r="HC53"/>
  <c r="J163" i="11"/>
  <c r="N163" s="1"/>
  <c r="H166" i="15"/>
  <c r="HC167" i="9"/>
  <c r="HE167"/>
  <c r="J51" i="11"/>
  <c r="H54" i="15"/>
  <c r="HC55" i="9"/>
  <c r="HE55"/>
  <c r="J100" i="11"/>
  <c r="H103" i="15"/>
  <c r="HC104" i="9"/>
  <c r="HE104"/>
  <c r="J181" i="11"/>
  <c r="H184" i="15"/>
  <c r="HE185" i="9"/>
  <c r="HC185"/>
  <c r="J133" i="11"/>
  <c r="H136" i="15"/>
  <c r="HE137" i="9"/>
  <c r="HC137"/>
  <c r="T195" i="12"/>
  <c r="T179"/>
  <c r="T111"/>
  <c r="T95"/>
  <c r="T67"/>
  <c r="T59"/>
  <c r="T199"/>
  <c r="T163"/>
  <c r="T115"/>
  <c r="T43"/>
  <c r="T139"/>
  <c r="T127"/>
  <c r="T107"/>
  <c r="T83"/>
  <c r="T167"/>
  <c r="T159"/>
  <c r="T131"/>
  <c r="T47"/>
  <c r="J136" i="11"/>
  <c r="H139" i="15"/>
  <c r="HC140" i="9"/>
  <c r="HE140"/>
  <c r="J72" i="11"/>
  <c r="H75" i="15"/>
  <c r="HC76" i="9"/>
  <c r="HE76"/>
  <c r="J185" i="11"/>
  <c r="N185" s="1"/>
  <c r="H188" i="15"/>
  <c r="HE189" i="9"/>
  <c r="HC189"/>
  <c r="J121" i="11"/>
  <c r="H124" i="15"/>
  <c r="HE125" i="9"/>
  <c r="HC125"/>
  <c r="J57" i="11"/>
  <c r="N57" s="1"/>
  <c r="H60" i="15"/>
  <c r="HE61" i="9"/>
  <c r="HC61"/>
  <c r="J155" i="11"/>
  <c r="H158" i="15"/>
  <c r="HC159" i="9"/>
  <c r="HE159"/>
  <c r="J91" i="11"/>
  <c r="H94" i="15"/>
  <c r="HC95" i="9"/>
  <c r="HE95"/>
  <c r="J172" i="11"/>
  <c r="N172" s="1"/>
  <c r="H175" i="15"/>
  <c r="HC176" i="9"/>
  <c r="HE176"/>
  <c r="J44" i="11"/>
  <c r="H47" i="15"/>
  <c r="HC48" i="9"/>
  <c r="HE48"/>
  <c r="GW191"/>
  <c r="GU191"/>
  <c r="GV191"/>
  <c r="GT191"/>
  <c r="GX191"/>
  <c r="GU104"/>
  <c r="GW104"/>
  <c r="GV104"/>
  <c r="GX104"/>
  <c r="GT104"/>
  <c r="GV185"/>
  <c r="GW185"/>
  <c r="GU185"/>
  <c r="S184" i="15" s="1"/>
  <c r="GT185" i="9"/>
  <c r="GX185"/>
  <c r="GW101"/>
  <c r="GV101"/>
  <c r="GU101"/>
  <c r="S100" i="15" s="1"/>
  <c r="GT101" i="9"/>
  <c r="GX101"/>
  <c r="GW122"/>
  <c r="GV122"/>
  <c r="GU122"/>
  <c r="GX122"/>
  <c r="GT122"/>
  <c r="GW187"/>
  <c r="GU187"/>
  <c r="GV187"/>
  <c r="GX187"/>
  <c r="GT187"/>
  <c r="GU159"/>
  <c r="S158" i="15" s="1"/>
  <c r="GW159" i="9"/>
  <c r="GV159"/>
  <c r="GX159"/>
  <c r="GT159"/>
  <c r="GW207"/>
  <c r="GU207"/>
  <c r="S206" i="15" s="1"/>
  <c r="GV207" i="9"/>
  <c r="GX207"/>
  <c r="GT207"/>
  <c r="GV181"/>
  <c r="GW181"/>
  <c r="GU181"/>
  <c r="GT181"/>
  <c r="GX181"/>
  <c r="GW113"/>
  <c r="GV113"/>
  <c r="GU113"/>
  <c r="S112" i="15" s="1"/>
  <c r="GX113" i="9"/>
  <c r="GT113"/>
  <c r="GU163"/>
  <c r="GW163"/>
  <c r="GV163"/>
  <c r="GT163"/>
  <c r="GX163"/>
  <c r="GU135"/>
  <c r="S134" i="15" s="1"/>
  <c r="GW135" i="9"/>
  <c r="GV135"/>
  <c r="GT135"/>
  <c r="GX135"/>
  <c r="GU123"/>
  <c r="GW123"/>
  <c r="GV123"/>
  <c r="GX123"/>
  <c r="GT123"/>
  <c r="GU67"/>
  <c r="GW67"/>
  <c r="GV67"/>
  <c r="GX67"/>
  <c r="GT67"/>
  <c r="GW117"/>
  <c r="GV117"/>
  <c r="GU117"/>
  <c r="S116" i="15" s="1"/>
  <c r="GX117" i="9"/>
  <c r="GT117"/>
  <c r="GV190"/>
  <c r="GW190"/>
  <c r="GU190"/>
  <c r="GX190"/>
  <c r="GT190"/>
  <c r="GW195"/>
  <c r="GU195"/>
  <c r="GV195"/>
  <c r="GT195"/>
  <c r="GX195"/>
  <c r="GW179"/>
  <c r="GU179"/>
  <c r="GV179"/>
  <c r="GX179"/>
  <c r="GT179"/>
  <c r="GU103"/>
  <c r="GW103"/>
  <c r="GV103"/>
  <c r="GT103"/>
  <c r="GX103"/>
  <c r="GU59"/>
  <c r="GW59"/>
  <c r="GV59"/>
  <c r="GX59"/>
  <c r="GT59"/>
  <c r="GU196"/>
  <c r="S195" i="15" s="1"/>
  <c r="GV196" i="9"/>
  <c r="GW196"/>
  <c r="GX196"/>
  <c r="GT196"/>
  <c r="GU56"/>
  <c r="GW56"/>
  <c r="GV56"/>
  <c r="GT56"/>
  <c r="GX56"/>
  <c r="GU48"/>
  <c r="GW48"/>
  <c r="GV48"/>
  <c r="GX48"/>
  <c r="GT48"/>
  <c r="GW169"/>
  <c r="GV169"/>
  <c r="GU169"/>
  <c r="GX169"/>
  <c r="GT169"/>
  <c r="GW74"/>
  <c r="GV74"/>
  <c r="GU74"/>
  <c r="S73" i="15" s="1"/>
  <c r="GX74" i="9"/>
  <c r="GT74"/>
  <c r="GV178"/>
  <c r="GW178"/>
  <c r="GU178"/>
  <c r="N174" i="11" s="1"/>
  <c r="GX178" i="9"/>
  <c r="GT178"/>
  <c r="GW150"/>
  <c r="GV150"/>
  <c r="GU150"/>
  <c r="GT150"/>
  <c r="GX150"/>
  <c r="GW102"/>
  <c r="GV102"/>
  <c r="GU102"/>
  <c r="GT102"/>
  <c r="GX102"/>
  <c r="GW121"/>
  <c r="GV121"/>
  <c r="GU121"/>
  <c r="S120" i="15" s="1"/>
  <c r="GT121" i="9"/>
  <c r="GX121"/>
  <c r="GW85"/>
  <c r="GV85"/>
  <c r="GU85"/>
  <c r="S84" i="15" s="1"/>
  <c r="GT85" i="9"/>
  <c r="GX85"/>
  <c r="GW90"/>
  <c r="GV90"/>
  <c r="GU90"/>
  <c r="GT90"/>
  <c r="GX90"/>
  <c r="GW138"/>
  <c r="GV138"/>
  <c r="GU138"/>
  <c r="GX138"/>
  <c r="GT138"/>
  <c r="J145" i="11"/>
  <c r="H148" i="15"/>
  <c r="HE149" i="9"/>
  <c r="HC149"/>
  <c r="J97" i="11"/>
  <c r="N97" s="1"/>
  <c r="H100" i="15"/>
  <c r="HE101" i="9"/>
  <c r="HC101"/>
  <c r="J147" i="11"/>
  <c r="N147" s="1"/>
  <c r="H150" i="15"/>
  <c r="HC151" i="9"/>
  <c r="HE151"/>
  <c r="J188" i="11"/>
  <c r="N188" s="1"/>
  <c r="H191" i="15"/>
  <c r="HC192" i="9"/>
  <c r="HE192"/>
  <c r="J76" i="11"/>
  <c r="N76" s="1"/>
  <c r="H79" i="15"/>
  <c r="HC80" i="9"/>
  <c r="HE80"/>
  <c r="J165" i="11"/>
  <c r="N165" s="1"/>
  <c r="H168" i="15"/>
  <c r="HE169" i="9"/>
  <c r="HC169"/>
  <c r="J117" i="11"/>
  <c r="N117" s="1"/>
  <c r="H120" i="15"/>
  <c r="HE121" i="9"/>
  <c r="HC121"/>
  <c r="J141" i="15"/>
  <c r="L138" i="11"/>
  <c r="HD142" i="9"/>
  <c r="J85" i="15"/>
  <c r="L82" i="11"/>
  <c r="HD86" i="9"/>
  <c r="J173" i="15"/>
  <c r="L170" i="11"/>
  <c r="HD174" i="9"/>
  <c r="J165" i="15"/>
  <c r="L162" i="11"/>
  <c r="HD166" i="9"/>
  <c r="J157" i="15"/>
  <c r="L154" i="11"/>
  <c r="HD158" i="9"/>
  <c r="HD138"/>
  <c r="J137" i="15"/>
  <c r="L134" i="11"/>
  <c r="J81" i="15"/>
  <c r="HD82" i="9"/>
  <c r="L78" i="11"/>
  <c r="J53" i="15"/>
  <c r="L50" i="11"/>
  <c r="HD54" i="9"/>
  <c r="J45" i="15"/>
  <c r="L42" i="11"/>
  <c r="HD46" i="9"/>
  <c r="J149" i="15"/>
  <c r="L146" i="11"/>
  <c r="HD150" i="9"/>
  <c r="J117" i="15"/>
  <c r="L114" i="11"/>
  <c r="HD118" i="9"/>
  <c r="J37" i="15"/>
  <c r="L34" i="11"/>
  <c r="HD38" i="9"/>
  <c r="J193" i="15"/>
  <c r="HD194" i="9"/>
  <c r="L190" i="11"/>
  <c r="HD186" i="9"/>
  <c r="J185" i="15"/>
  <c r="L182" i="11"/>
  <c r="J129" i="15"/>
  <c r="HD130" i="9"/>
  <c r="L126" i="11"/>
  <c r="J109" i="15"/>
  <c r="L106" i="11"/>
  <c r="HD110" i="9"/>
  <c r="J101" i="15"/>
  <c r="L98" i="11"/>
  <c r="HD102" i="9"/>
  <c r="J93" i="15"/>
  <c r="L90" i="11"/>
  <c r="HD94" i="9"/>
  <c r="HD74"/>
  <c r="J73" i="15"/>
  <c r="L70" i="11"/>
  <c r="J61" i="15"/>
  <c r="L58" i="11"/>
  <c r="HD62" i="9"/>
  <c r="J181" i="15"/>
  <c r="L178" i="11"/>
  <c r="HD182" i="9"/>
  <c r="J125" i="15"/>
  <c r="L122" i="11"/>
  <c r="HD126" i="9"/>
  <c r="J69" i="15"/>
  <c r="L66" i="11"/>
  <c r="HD70" i="9"/>
  <c r="HD202"/>
  <c r="J201" i="15"/>
  <c r="L198" i="11"/>
  <c r="J177" i="15"/>
  <c r="HD178" i="9"/>
  <c r="L174" i="11"/>
  <c r="HD170" i="9"/>
  <c r="J169" i="15"/>
  <c r="L166" i="11"/>
  <c r="J161" i="15"/>
  <c r="HD162" i="9"/>
  <c r="L158" i="11"/>
  <c r="HD154" i="9"/>
  <c r="J153" i="15"/>
  <c r="L150" i="11"/>
  <c r="HD122" i="9"/>
  <c r="J121" i="15"/>
  <c r="L118" i="11"/>
  <c r="J65" i="15"/>
  <c r="HD66" i="9"/>
  <c r="L62" i="11"/>
  <c r="HD58" i="9"/>
  <c r="J57" i="15"/>
  <c r="L54" i="11"/>
  <c r="J49" i="15"/>
  <c r="HD50" i="9"/>
  <c r="L46" i="11"/>
  <c r="HD42" i="9"/>
  <c r="J41" i="15"/>
  <c r="L38" i="11"/>
  <c r="J133" i="15"/>
  <c r="L130" i="11"/>
  <c r="HD134" i="9"/>
  <c r="J77" i="15"/>
  <c r="L74" i="11"/>
  <c r="HD78" i="9"/>
  <c r="J205" i="15"/>
  <c r="L202" i="11"/>
  <c r="HD206" i="9"/>
  <c r="J197" i="15"/>
  <c r="L194" i="11"/>
  <c r="HD198" i="9"/>
  <c r="J189" i="15"/>
  <c r="L186" i="11"/>
  <c r="HD190" i="9"/>
  <c r="J145" i="15"/>
  <c r="HD146" i="9"/>
  <c r="L142" i="11"/>
  <c r="J113" i="15"/>
  <c r="HD114" i="9"/>
  <c r="L110" i="11"/>
  <c r="HD106" i="9"/>
  <c r="J105" i="15"/>
  <c r="L102" i="11"/>
  <c r="J97" i="15"/>
  <c r="HD98" i="9"/>
  <c r="L94" i="11"/>
  <c r="HD90" i="9"/>
  <c r="J89" i="15"/>
  <c r="L86" i="11"/>
  <c r="T189" i="12"/>
  <c r="T173"/>
  <c r="T157"/>
  <c r="T141"/>
  <c r="T109"/>
  <c r="T77"/>
  <c r="T45"/>
  <c r="T182"/>
  <c r="T166"/>
  <c r="T150"/>
  <c r="T118"/>
  <c r="T102"/>
  <c r="T86"/>
  <c r="T54"/>
  <c r="T38"/>
  <c r="T193"/>
  <c r="T113"/>
  <c r="T97"/>
  <c r="T65"/>
  <c r="T49"/>
  <c r="T186"/>
  <c r="T154"/>
  <c r="T58"/>
  <c r="T197"/>
  <c r="T181"/>
  <c r="T133"/>
  <c r="T117"/>
  <c r="T101"/>
  <c r="T69"/>
  <c r="T53"/>
  <c r="T37"/>
  <c r="T204"/>
  <c r="T110"/>
  <c r="T46"/>
  <c r="T169"/>
  <c r="T121"/>
  <c r="T105"/>
  <c r="T89"/>
  <c r="T57"/>
  <c r="T178"/>
  <c r="T162"/>
  <c r="T114"/>
  <c r="T98"/>
  <c r="T82"/>
  <c r="T66"/>
  <c r="J45" i="11"/>
  <c r="N45" s="1"/>
  <c r="H48" i="15"/>
  <c r="HE49" i="9"/>
  <c r="HC49"/>
  <c r="J160" i="11"/>
  <c r="H163" i="15"/>
  <c r="HC164" i="9"/>
  <c r="HE164"/>
  <c r="J196" i="11"/>
  <c r="N196" s="1"/>
  <c r="H199" i="15"/>
  <c r="HC200" i="9"/>
  <c r="HE200"/>
  <c r="J52" i="11"/>
  <c r="N52" s="1"/>
  <c r="H55" i="15"/>
  <c r="HC56" i="9"/>
  <c r="HE56"/>
  <c r="J151" i="11"/>
  <c r="N151" s="1"/>
  <c r="H154" i="15"/>
  <c r="HC155" i="9"/>
  <c r="HE155"/>
  <c r="J200" i="11"/>
  <c r="N200" s="1"/>
  <c r="H203" i="15"/>
  <c r="HC204" i="9"/>
  <c r="HE204"/>
  <c r="J189" i="11"/>
  <c r="H192" i="15"/>
  <c r="HE193" i="9"/>
  <c r="HC193"/>
  <c r="J125" i="11"/>
  <c r="H128" i="15"/>
  <c r="HE129" i="9"/>
  <c r="HC129"/>
  <c r="J61" i="11"/>
  <c r="H64" i="15"/>
  <c r="HE65" i="9"/>
  <c r="HC65"/>
  <c r="J159" i="11"/>
  <c r="N159" s="1"/>
  <c r="H162" i="15"/>
  <c r="HC163" i="9"/>
  <c r="HE163"/>
  <c r="J95" i="11"/>
  <c r="N95" s="1"/>
  <c r="H98" i="15"/>
  <c r="HC99" i="9"/>
  <c r="HE99"/>
  <c r="J192" i="11"/>
  <c r="N192" s="1"/>
  <c r="H195" i="15"/>
  <c r="HC196" i="9"/>
  <c r="HE196"/>
  <c r="J96" i="11"/>
  <c r="N96" s="1"/>
  <c r="H99" i="15"/>
  <c r="HC100" i="9"/>
  <c r="HE100"/>
  <c r="J193" i="11"/>
  <c r="H196" i="15"/>
  <c r="HE197" i="9"/>
  <c r="HC197"/>
  <c r="J35" i="11"/>
  <c r="N35" s="1"/>
  <c r="H38" i="15"/>
  <c r="HC39" i="9"/>
  <c r="HE39"/>
  <c r="J148" i="11"/>
  <c r="H151" i="15"/>
  <c r="HC152" i="9"/>
  <c r="HE152"/>
  <c r="J68" i="11"/>
  <c r="N68" s="1"/>
  <c r="H71" i="15"/>
  <c r="HC72" i="9"/>
  <c r="HE72"/>
  <c r="J149" i="11"/>
  <c r="N149" s="1"/>
  <c r="H152" i="15"/>
  <c r="HE153" i="9"/>
  <c r="HC153"/>
  <c r="J167" i="11"/>
  <c r="N167" s="1"/>
  <c r="H170" i="15"/>
  <c r="HC171" i="9"/>
  <c r="HE171"/>
  <c r="J103" i="11"/>
  <c r="H106" i="15"/>
  <c r="HC107" i="9"/>
  <c r="HE107"/>
  <c r="J39" i="11"/>
  <c r="H42" i="15"/>
  <c r="HC43" i="9"/>
  <c r="HE43"/>
  <c r="J152" i="11"/>
  <c r="H155" i="15"/>
  <c r="HC156" i="9"/>
  <c r="HE156"/>
  <c r="J88" i="11"/>
  <c r="N88" s="1"/>
  <c r="H91" i="15"/>
  <c r="HC92" i="9"/>
  <c r="HE92"/>
  <c r="J201" i="11"/>
  <c r="H204" i="15"/>
  <c r="HE205" i="9"/>
  <c r="HC205"/>
  <c r="J137" i="11"/>
  <c r="H140" i="15"/>
  <c r="HE141" i="9"/>
  <c r="HC141"/>
  <c r="J73" i="11"/>
  <c r="H76" i="15"/>
  <c r="HE77" i="9"/>
  <c r="HC77"/>
  <c r="J171" i="11"/>
  <c r="N171" s="1"/>
  <c r="H174" i="15"/>
  <c r="HC175" i="9"/>
  <c r="HE175"/>
  <c r="J107" i="11"/>
  <c r="N107" s="1"/>
  <c r="H110" i="15"/>
  <c r="HC111" i="9"/>
  <c r="HE111"/>
  <c r="J43" i="11"/>
  <c r="N43" s="1"/>
  <c r="H46" i="15"/>
  <c r="HC47" i="9"/>
  <c r="HE47"/>
  <c r="J92" i="11"/>
  <c r="H95" i="15"/>
  <c r="HC96" i="9"/>
  <c r="HE96"/>
  <c r="GW175"/>
  <c r="GU175"/>
  <c r="GV175"/>
  <c r="GT175"/>
  <c r="GX175"/>
  <c r="GU180"/>
  <c r="GV180"/>
  <c r="GW180"/>
  <c r="GX180"/>
  <c r="GT180"/>
  <c r="GU140"/>
  <c r="GW140"/>
  <c r="GV140"/>
  <c r="GX140"/>
  <c r="GT140"/>
  <c r="GU132"/>
  <c r="GW132"/>
  <c r="GV132"/>
  <c r="GX132"/>
  <c r="GT132"/>
  <c r="GU96"/>
  <c r="T93" i="12" s="1"/>
  <c r="GW96" i="9"/>
  <c r="GV96"/>
  <c r="GT96"/>
  <c r="GX96"/>
  <c r="GV173"/>
  <c r="GU173"/>
  <c r="GW173"/>
  <c r="GT173"/>
  <c r="GX173"/>
  <c r="GW154"/>
  <c r="GV154"/>
  <c r="GU154"/>
  <c r="N150" i="11" s="1"/>
  <c r="GX154" i="9"/>
  <c r="GT154"/>
  <c r="GW146"/>
  <c r="GV146"/>
  <c r="GU146"/>
  <c r="N142" i="11" s="1"/>
  <c r="GT146" i="9"/>
  <c r="GX146"/>
  <c r="GU71"/>
  <c r="GW71"/>
  <c r="GV71"/>
  <c r="GT71"/>
  <c r="GX71"/>
  <c r="GU164"/>
  <c r="GW164"/>
  <c r="GV164"/>
  <c r="GT164"/>
  <c r="GX164"/>
  <c r="GU152"/>
  <c r="GW152"/>
  <c r="GV152"/>
  <c r="GX152"/>
  <c r="GT152"/>
  <c r="GU84"/>
  <c r="S83" i="15" s="1"/>
  <c r="GW84" i="9"/>
  <c r="GV84"/>
  <c r="GX84"/>
  <c r="GT84"/>
  <c r="GV205"/>
  <c r="GW205"/>
  <c r="GU205"/>
  <c r="S204" i="15" s="1"/>
  <c r="GX205" i="9"/>
  <c r="GT205"/>
  <c r="GV193"/>
  <c r="GW193"/>
  <c r="GU193"/>
  <c r="GT193"/>
  <c r="GX193"/>
  <c r="GV177"/>
  <c r="GW177"/>
  <c r="GU177"/>
  <c r="T174" i="12" s="1"/>
  <c r="GX177" i="9"/>
  <c r="GT177"/>
  <c r="GW81"/>
  <c r="GV81"/>
  <c r="GU81"/>
  <c r="GX81"/>
  <c r="GT81"/>
  <c r="GU95"/>
  <c r="GW95"/>
  <c r="GV95"/>
  <c r="GT95"/>
  <c r="GX95"/>
  <c r="GU43"/>
  <c r="GW43"/>
  <c r="GV43"/>
  <c r="GX43"/>
  <c r="GT43"/>
  <c r="GU168"/>
  <c r="GW168"/>
  <c r="GV168"/>
  <c r="GT168"/>
  <c r="GX168"/>
  <c r="GU156"/>
  <c r="S155" i="15" s="1"/>
  <c r="GW156" i="9"/>
  <c r="GV156"/>
  <c r="GT156"/>
  <c r="GX156"/>
  <c r="GU128"/>
  <c r="GW128"/>
  <c r="GV128"/>
  <c r="GT128"/>
  <c r="GX128"/>
  <c r="GU64"/>
  <c r="GW64"/>
  <c r="GV64"/>
  <c r="GT64"/>
  <c r="GX64"/>
  <c r="GU44"/>
  <c r="GW44"/>
  <c r="GV44"/>
  <c r="GT44"/>
  <c r="GX44"/>
  <c r="GW109"/>
  <c r="GV109"/>
  <c r="GU109"/>
  <c r="GX109"/>
  <c r="GT109"/>
  <c r="GV186"/>
  <c r="GW186"/>
  <c r="GU186"/>
  <c r="GT186"/>
  <c r="GX186"/>
  <c r="GV174"/>
  <c r="GW174"/>
  <c r="GU174"/>
  <c r="S173" i="15" s="1"/>
  <c r="GT174" i="9"/>
  <c r="GX174"/>
  <c r="GW158"/>
  <c r="GV158"/>
  <c r="GU158"/>
  <c r="N154" i="11" s="1"/>
  <c r="GT158" i="9"/>
  <c r="GX158"/>
  <c r="GU188"/>
  <c r="T185" i="12" s="1"/>
  <c r="GV188" i="9"/>
  <c r="GW188"/>
  <c r="GX188"/>
  <c r="GT188"/>
  <c r="GU148"/>
  <c r="GW148"/>
  <c r="GV148"/>
  <c r="GX148"/>
  <c r="GT148"/>
  <c r="GW106"/>
  <c r="GV106"/>
  <c r="GU106"/>
  <c r="T103" i="12" s="1"/>
  <c r="GX106" i="9"/>
  <c r="GT106"/>
  <c r="GW54"/>
  <c r="GV54"/>
  <c r="GU54"/>
  <c r="S53" i="15" s="1"/>
  <c r="GX54" i="9"/>
  <c r="GT54"/>
  <c r="GW94"/>
  <c r="GV94"/>
  <c r="GU94"/>
  <c r="GT94"/>
  <c r="GX94"/>
  <c r="GW82"/>
  <c r="GV82"/>
  <c r="GU82"/>
  <c r="T79" i="12" s="1"/>
  <c r="GT82" i="9"/>
  <c r="GX82"/>
  <c r="GW133"/>
  <c r="GV133"/>
  <c r="GU133"/>
  <c r="T130" i="12" s="1"/>
  <c r="GX133" i="9"/>
  <c r="GT133"/>
  <c r="GW125"/>
  <c r="GV125"/>
  <c r="GU125"/>
  <c r="GX125"/>
  <c r="GT125"/>
  <c r="GW77"/>
  <c r="GV77"/>
  <c r="GU77"/>
  <c r="GX77"/>
  <c r="GT77"/>
  <c r="GW45"/>
  <c r="GV45"/>
  <c r="GU45"/>
  <c r="T42" i="12" s="1"/>
  <c r="GT45" i="9"/>
  <c r="GX45"/>
  <c r="GV206"/>
  <c r="GW206"/>
  <c r="GU206"/>
  <c r="S205" i="15" s="1"/>
  <c r="GX206" i="9"/>
  <c r="GT206"/>
  <c r="GW78"/>
  <c r="GV78"/>
  <c r="GU78"/>
  <c r="GX78"/>
  <c r="GT78"/>
  <c r="GW58"/>
  <c r="GV58"/>
  <c r="GU58"/>
  <c r="N54" i="11" s="1"/>
  <c r="GX58" i="9"/>
  <c r="GT58"/>
  <c r="GW42"/>
  <c r="GV42"/>
  <c r="GU42"/>
  <c r="N38" i="11" s="1"/>
  <c r="GX42" i="9"/>
  <c r="GT42"/>
  <c r="GW126"/>
  <c r="GV126"/>
  <c r="GU126"/>
  <c r="S125" i="15" s="1"/>
  <c r="GX126" i="9"/>
  <c r="GT126"/>
  <c r="GW66"/>
  <c r="GV66"/>
  <c r="GU66"/>
  <c r="GX66"/>
  <c r="GT66"/>
  <c r="GW38"/>
  <c r="GV38"/>
  <c r="GU38"/>
  <c r="N34" i="11" s="1"/>
  <c r="GT38" i="9"/>
  <c r="GX38"/>
  <c r="GW73"/>
  <c r="GV73"/>
  <c r="GU73"/>
  <c r="T70" i="12" s="1"/>
  <c r="GT73" i="9"/>
  <c r="GX73"/>
  <c r="J129" i="11"/>
  <c r="N129" s="1"/>
  <c r="H132" i="15"/>
  <c r="HE133" i="9"/>
  <c r="HC133"/>
  <c r="J81" i="11"/>
  <c r="N81" s="1"/>
  <c r="H84" i="15"/>
  <c r="HE85" i="9"/>
  <c r="HC85"/>
  <c r="J131" i="11"/>
  <c r="N131" s="1"/>
  <c r="H134" i="15"/>
  <c r="HC135" i="9"/>
  <c r="HE135"/>
  <c r="J83" i="11"/>
  <c r="N83" s="1"/>
  <c r="H86" i="15"/>
  <c r="HC87" i="9"/>
  <c r="HE87"/>
  <c r="J156" i="11"/>
  <c r="N156" s="1"/>
  <c r="H159" i="15"/>
  <c r="HC160" i="9"/>
  <c r="HE160"/>
  <c r="J60" i="11"/>
  <c r="N60" s="1"/>
  <c r="H63" i="15"/>
  <c r="HC64" i="9"/>
  <c r="HE64"/>
  <c r="J101" i="11"/>
  <c r="N101" s="1"/>
  <c r="H104" i="15"/>
  <c r="HE105" i="9"/>
  <c r="HC105"/>
  <c r="J53" i="11"/>
  <c r="N53" s="1"/>
  <c r="H56" i="15"/>
  <c r="HE57" i="9"/>
  <c r="HC57"/>
  <c r="T192" i="12"/>
  <c r="T176"/>
  <c r="T160"/>
  <c r="T144"/>
  <c r="T128"/>
  <c r="T112"/>
  <c r="T96"/>
  <c r="T64"/>
  <c r="T48"/>
  <c r="T203"/>
  <c r="T180"/>
  <c r="T164"/>
  <c r="T148"/>
  <c r="T132"/>
  <c r="T116"/>
  <c r="T100"/>
  <c r="T84"/>
  <c r="T68"/>
  <c r="T36"/>
  <c r="T200"/>
  <c r="T184"/>
  <c r="T168"/>
  <c r="T152"/>
  <c r="T136"/>
  <c r="T120"/>
  <c r="T88"/>
  <c r="T72"/>
  <c r="T56"/>
  <c r="T40"/>
  <c r="T188"/>
  <c r="T172"/>
  <c r="T156"/>
  <c r="T140"/>
  <c r="T108"/>
  <c r="T92"/>
  <c r="T76"/>
  <c r="T44"/>
  <c r="GQ55" i="9"/>
  <c r="EG10"/>
  <c r="EH11"/>
  <c r="EH12"/>
  <c r="EG17"/>
  <c r="EH18"/>
  <c r="EH19"/>
  <c r="EH20"/>
  <c r="EG25"/>
  <c r="EH26"/>
  <c r="EH27"/>
  <c r="EH28"/>
  <c r="EG31"/>
  <c r="EG32"/>
  <c r="EH33"/>
  <c r="EH34"/>
  <c r="EH40"/>
  <c r="EG41"/>
  <c r="EH44"/>
  <c r="EG45"/>
  <c r="EH48"/>
  <c r="EG49"/>
  <c r="EH52"/>
  <c r="EG53"/>
  <c r="EH56"/>
  <c r="EG57"/>
  <c r="EH60"/>
  <c r="EG61"/>
  <c r="EH64"/>
  <c r="EG65"/>
  <c r="EH68"/>
  <c r="EG69"/>
  <c r="EH72"/>
  <c r="EG73"/>
  <c r="EH76"/>
  <c r="EG77"/>
  <c r="EH80"/>
  <c r="EG81"/>
  <c r="EH84"/>
  <c r="EG85"/>
  <c r="EH88"/>
  <c r="EG89"/>
  <c r="EH92"/>
  <c r="EG93"/>
  <c r="EH96"/>
  <c r="EG97"/>
  <c r="EH100"/>
  <c r="EG101"/>
  <c r="EH104"/>
  <c r="EG105"/>
  <c r="EH108"/>
  <c r="EG109"/>
  <c r="EH112"/>
  <c r="EG113"/>
  <c r="EH116"/>
  <c r="EG117"/>
  <c r="EH120"/>
  <c r="EG121"/>
  <c r="EH124"/>
  <c r="EG125"/>
  <c r="EH128"/>
  <c r="EG129"/>
  <c r="EH132"/>
  <c r="EG133"/>
  <c r="EH136"/>
  <c r="EG137"/>
  <c r="EH140"/>
  <c r="EG141"/>
  <c r="EH144"/>
  <c r="EG145"/>
  <c r="EH148"/>
  <c r="EG149"/>
  <c r="EH152"/>
  <c r="EG153"/>
  <c r="EH156"/>
  <c r="EG157"/>
  <c r="EH160"/>
  <c r="EG161"/>
  <c r="EH164"/>
  <c r="EG165"/>
  <c r="EH168"/>
  <c r="EG169"/>
  <c r="EH172"/>
  <c r="EG173"/>
  <c r="EH176"/>
  <c r="EG177"/>
  <c r="EH180"/>
  <c r="EG181"/>
  <c r="EH184"/>
  <c r="EG185"/>
  <c r="EH188"/>
  <c r="EG189"/>
  <c r="EH192"/>
  <c r="EG193"/>
  <c r="EH196"/>
  <c r="EG197"/>
  <c r="EH200"/>
  <c r="EG201"/>
  <c r="EH204"/>
  <c r="EG205"/>
  <c r="EH8"/>
  <c r="EG11"/>
  <c r="EI11" s="1"/>
  <c r="EG12"/>
  <c r="EH13"/>
  <c r="EG18"/>
  <c r="EI18" s="1"/>
  <c r="EG19"/>
  <c r="EI19" s="1"/>
  <c r="EG20"/>
  <c r="EI20" s="1"/>
  <c r="EH21"/>
  <c r="EG26"/>
  <c r="EI26" s="1"/>
  <c r="EG27"/>
  <c r="EI27" s="1"/>
  <c r="EG28"/>
  <c r="EI28" s="1"/>
  <c r="EH29"/>
  <c r="EG33"/>
  <c r="EI33" s="1"/>
  <c r="EG34"/>
  <c r="EH35"/>
  <c r="EH36"/>
  <c r="EH39"/>
  <c r="EG40"/>
  <c r="EH43"/>
  <c r="EG44"/>
  <c r="EH47"/>
  <c r="EG48"/>
  <c r="EH51"/>
  <c r="EG52"/>
  <c r="EH55"/>
  <c r="EG56"/>
  <c r="EH59"/>
  <c r="EG60"/>
  <c r="EH63"/>
  <c r="EG64"/>
  <c r="EH67"/>
  <c r="EG68"/>
  <c r="EH71"/>
  <c r="EG72"/>
  <c r="EH75"/>
  <c r="EG76"/>
  <c r="EH79"/>
  <c r="EG80"/>
  <c r="EH83"/>
  <c r="EG84"/>
  <c r="EH87"/>
  <c r="EG88"/>
  <c r="EH91"/>
  <c r="EG92"/>
  <c r="EH95"/>
  <c r="EG96"/>
  <c r="EH99"/>
  <c r="EG100"/>
  <c r="EH103"/>
  <c r="EG104"/>
  <c r="EH107"/>
  <c r="EG108"/>
  <c r="EH111"/>
  <c r="EG112"/>
  <c r="EH115"/>
  <c r="EG116"/>
  <c r="EH119"/>
  <c r="EG120"/>
  <c r="EH123"/>
  <c r="EG124"/>
  <c r="EH127"/>
  <c r="EG128"/>
  <c r="EH131"/>
  <c r="EG132"/>
  <c r="EH135"/>
  <c r="EG136"/>
  <c r="EH139"/>
  <c r="EG140"/>
  <c r="EH143"/>
  <c r="EG144"/>
  <c r="EH147"/>
  <c r="EG148"/>
  <c r="EH151"/>
  <c r="EG152"/>
  <c r="EH155"/>
  <c r="EG156"/>
  <c r="EH159"/>
  <c r="EG160"/>
  <c r="EH163"/>
  <c r="EG164"/>
  <c r="EH167"/>
  <c r="EG168"/>
  <c r="EH171"/>
  <c r="EG172"/>
  <c r="EH175"/>
  <c r="EG176"/>
  <c r="EH179"/>
  <c r="EG180"/>
  <c r="EH183"/>
  <c r="EG184"/>
  <c r="EH187"/>
  <c r="EG188"/>
  <c r="EH191"/>
  <c r="EG192"/>
  <c r="EH195"/>
  <c r="EG196"/>
  <c r="EH199"/>
  <c r="EG200"/>
  <c r="EH203"/>
  <c r="EG204"/>
  <c r="EH207"/>
  <c r="EH9"/>
  <c r="EG13"/>
  <c r="EI13" s="1"/>
  <c r="EH14"/>
  <c r="EH15"/>
  <c r="EH16"/>
  <c r="EG21"/>
  <c r="EI21" s="1"/>
  <c r="EH22"/>
  <c r="EH23"/>
  <c r="EH24"/>
  <c r="EG29"/>
  <c r="EI29" s="1"/>
  <c r="EH30"/>
  <c r="EG35"/>
  <c r="EI35" s="1"/>
  <c r="EG36"/>
  <c r="EI36" s="1"/>
  <c r="EH37"/>
  <c r="EH38"/>
  <c r="EG39"/>
  <c r="EH42"/>
  <c r="EG43"/>
  <c r="EH46"/>
  <c r="EG47"/>
  <c r="EH50"/>
  <c r="EG51"/>
  <c r="EH54"/>
  <c r="EG55"/>
  <c r="EH58"/>
  <c r="EG59"/>
  <c r="EH62"/>
  <c r="EG63"/>
  <c r="EH66"/>
  <c r="EG67"/>
  <c r="EH70"/>
  <c r="EG71"/>
  <c r="EH74"/>
  <c r="EG75"/>
  <c r="EH78"/>
  <c r="EG79"/>
  <c r="EH82"/>
  <c r="EG83"/>
  <c r="EH86"/>
  <c r="EG87"/>
  <c r="EH90"/>
  <c r="EG91"/>
  <c r="EH94"/>
  <c r="EG95"/>
  <c r="EH98"/>
  <c r="EG99"/>
  <c r="EH102"/>
  <c r="EG103"/>
  <c r="EH106"/>
  <c r="EG107"/>
  <c r="EH110"/>
  <c r="EG111"/>
  <c r="EH114"/>
  <c r="EG115"/>
  <c r="EH118"/>
  <c r="EG119"/>
  <c r="EH122"/>
  <c r="EG123"/>
  <c r="EH126"/>
  <c r="EG127"/>
  <c r="EH130"/>
  <c r="EG131"/>
  <c r="EH134"/>
  <c r="EG135"/>
  <c r="EH138"/>
  <c r="EG139"/>
  <c r="EH142"/>
  <c r="EG143"/>
  <c r="EH146"/>
  <c r="EG147"/>
  <c r="EH150"/>
  <c r="EG151"/>
  <c r="EH154"/>
  <c r="EG155"/>
  <c r="EH158"/>
  <c r="EG159"/>
  <c r="EH162"/>
  <c r="EG163"/>
  <c r="EH166"/>
  <c r="EG167"/>
  <c r="EH170"/>
  <c r="EG171"/>
  <c r="EH174"/>
  <c r="EG175"/>
  <c r="EH178"/>
  <c r="EG179"/>
  <c r="EH182"/>
  <c r="EG183"/>
  <c r="EH186"/>
  <c r="EG187"/>
  <c r="EH190"/>
  <c r="EG191"/>
  <c r="EH194"/>
  <c r="EG195"/>
  <c r="EH198"/>
  <c r="EG199"/>
  <c r="EH202"/>
  <c r="EG203"/>
  <c r="EH206"/>
  <c r="EG207"/>
  <c r="EG9"/>
  <c r="EI9" s="1"/>
  <c r="EH10"/>
  <c r="EG14"/>
  <c r="EI14" s="1"/>
  <c r="EG15"/>
  <c r="EI15" s="1"/>
  <c r="EG16"/>
  <c r="EI16" s="1"/>
  <c r="EH17"/>
  <c r="EG22"/>
  <c r="EI22" s="1"/>
  <c r="EG23"/>
  <c r="EI23" s="1"/>
  <c r="EG24"/>
  <c r="EI24" s="1"/>
  <c r="EH25"/>
  <c r="EG30"/>
  <c r="EH31"/>
  <c r="EH32"/>
  <c r="EI32" s="1"/>
  <c r="EG37"/>
  <c r="EI37" s="1"/>
  <c r="EG38"/>
  <c r="EH41"/>
  <c r="EG42"/>
  <c r="EH45"/>
  <c r="EG46"/>
  <c r="EH49"/>
  <c r="EG50"/>
  <c r="EH53"/>
  <c r="EG54"/>
  <c r="EH57"/>
  <c r="EG58"/>
  <c r="EH61"/>
  <c r="EG62"/>
  <c r="EH65"/>
  <c r="EG66"/>
  <c r="EH69"/>
  <c r="EG70"/>
  <c r="EH73"/>
  <c r="EG74"/>
  <c r="EH77"/>
  <c r="EG78"/>
  <c r="EH81"/>
  <c r="EG82"/>
  <c r="EH85"/>
  <c r="EG86"/>
  <c r="EH89"/>
  <c r="EG90"/>
  <c r="EH93"/>
  <c r="EG94"/>
  <c r="EH97"/>
  <c r="EG98"/>
  <c r="EH101"/>
  <c r="EG102"/>
  <c r="EH105"/>
  <c r="EG106"/>
  <c r="EH109"/>
  <c r="EG110"/>
  <c r="EH113"/>
  <c r="EG114"/>
  <c r="EH117"/>
  <c r="EG118"/>
  <c r="EH121"/>
  <c r="EG122"/>
  <c r="EH125"/>
  <c r="EG126"/>
  <c r="EH129"/>
  <c r="EG130"/>
  <c r="EH133"/>
  <c r="EG134"/>
  <c r="EH137"/>
  <c r="EG138"/>
  <c r="EH141"/>
  <c r="EG142"/>
  <c r="EH145"/>
  <c r="EG146"/>
  <c r="EH149"/>
  <c r="EG150"/>
  <c r="EH153"/>
  <c r="EG154"/>
  <c r="EH157"/>
  <c r="EG158"/>
  <c r="EH161"/>
  <c r="EG162"/>
  <c r="EH165"/>
  <c r="EG166"/>
  <c r="EH169"/>
  <c r="EG170"/>
  <c r="EH173"/>
  <c r="EG174"/>
  <c r="EH177"/>
  <c r="EG178"/>
  <c r="EH181"/>
  <c r="EG182"/>
  <c r="EH185"/>
  <c r="EG186"/>
  <c r="EH189"/>
  <c r="EG190"/>
  <c r="EH193"/>
  <c r="EG194"/>
  <c r="EH197"/>
  <c r="EG198"/>
  <c r="EH201"/>
  <c r="EG202"/>
  <c r="EH205"/>
  <c r="EG206"/>
  <c r="EG8"/>
  <c r="EI8" s="1"/>
  <c r="EF8"/>
  <c r="EF6"/>
  <c r="GQ125"/>
  <c r="FM76"/>
  <c r="GX76" s="1"/>
  <c r="GB176"/>
  <c r="GQ164"/>
  <c r="FM127"/>
  <c r="GV127" s="1"/>
  <c r="GQ200"/>
  <c r="FM83"/>
  <c r="GW83" s="1"/>
  <c r="GQ186"/>
  <c r="FM63"/>
  <c r="GW63" s="1"/>
  <c r="GQ79"/>
  <c r="FM107"/>
  <c r="GW107" s="1"/>
  <c r="GK44"/>
  <c r="GQ44" s="1"/>
  <c r="GK132"/>
  <c r="GQ132" s="1"/>
  <c r="GD95"/>
  <c r="GD100"/>
  <c r="GD169"/>
  <c r="GD64"/>
  <c r="GD103"/>
  <c r="GD180"/>
  <c r="GD41"/>
  <c r="GD152"/>
  <c r="GD78"/>
  <c r="GD62"/>
  <c r="GD170"/>
  <c r="GD106"/>
  <c r="GD98"/>
  <c r="GD58"/>
  <c r="GD131"/>
  <c r="GD60"/>
  <c r="GD142"/>
  <c r="GD171"/>
  <c r="GD80"/>
  <c r="GD154"/>
  <c r="GD130"/>
  <c r="GD196"/>
  <c r="GD132"/>
  <c r="GD86"/>
  <c r="GD66"/>
  <c r="GD73"/>
  <c r="GD45"/>
  <c r="GD46"/>
  <c r="GD192"/>
  <c r="GD56"/>
  <c r="GD57"/>
  <c r="GD166"/>
  <c r="GD143"/>
  <c r="GD160"/>
  <c r="GD76"/>
  <c r="GD201"/>
  <c r="GD203"/>
  <c r="GD59"/>
  <c r="GD43"/>
  <c r="GD116"/>
  <c r="GD185"/>
  <c r="GD156"/>
  <c r="GD84"/>
  <c r="GD193"/>
  <c r="GD173"/>
  <c r="GD141"/>
  <c r="GD90"/>
  <c r="GD50"/>
  <c r="GD187"/>
  <c r="GD157"/>
  <c r="GD126"/>
  <c r="GD119"/>
  <c r="GD200"/>
  <c r="GD91"/>
  <c r="GD136"/>
  <c r="GD167"/>
  <c r="GD104"/>
  <c r="GD40"/>
  <c r="GD197"/>
  <c r="GD42"/>
  <c r="GD149"/>
  <c r="GD89"/>
  <c r="GD70"/>
  <c r="GD61"/>
  <c r="GD38"/>
  <c r="FW203"/>
  <c r="FW167"/>
  <c r="FW145"/>
  <c r="FW170"/>
  <c r="FW179"/>
  <c r="FW55"/>
  <c r="FW197"/>
  <c r="FW157"/>
  <c r="FW191"/>
  <c r="FW59"/>
  <c r="FW53"/>
  <c r="FW130"/>
  <c r="FW195"/>
  <c r="FW156"/>
  <c r="FW144"/>
  <c r="FW106"/>
  <c r="FW206"/>
  <c r="FW90"/>
  <c r="FW46"/>
  <c r="FW43"/>
  <c r="FW116"/>
  <c r="FW138"/>
  <c r="FW56"/>
  <c r="FW193"/>
  <c r="FW108"/>
  <c r="FW80"/>
  <c r="FW141"/>
  <c r="FW182"/>
  <c r="FW142"/>
  <c r="FW143"/>
  <c r="FW64"/>
  <c r="FW118"/>
  <c r="FW54"/>
  <c r="FW98"/>
  <c r="FW51"/>
  <c r="FW60"/>
  <c r="FW122"/>
  <c r="FW123"/>
  <c r="FW196"/>
  <c r="FW89"/>
  <c r="FW111"/>
  <c r="FW91"/>
  <c r="FW189"/>
  <c r="FW166"/>
  <c r="FW66"/>
  <c r="FW154"/>
  <c r="FW140"/>
  <c r="FW136"/>
  <c r="FW109"/>
  <c r="FW97"/>
  <c r="FW187"/>
  <c r="FW95"/>
  <c r="FW63"/>
  <c r="FW104"/>
  <c r="FW40"/>
  <c r="FW181"/>
  <c r="FW162"/>
  <c r="FW70"/>
  <c r="FW50"/>
  <c r="FW86"/>
  <c r="FW38"/>
  <c r="FW78"/>
  <c r="FW58"/>
  <c r="FP103"/>
  <c r="FP69"/>
  <c r="FP160"/>
  <c r="FP145"/>
  <c r="FP137"/>
  <c r="FP192"/>
  <c r="FP180"/>
  <c r="FP136"/>
  <c r="FP68"/>
  <c r="FP203"/>
  <c r="FP172"/>
  <c r="FP80"/>
  <c r="FP78"/>
  <c r="FP70"/>
  <c r="FP202"/>
  <c r="FP95"/>
  <c r="FP64"/>
  <c r="FP170"/>
  <c r="FP185"/>
  <c r="FP143"/>
  <c r="FP56"/>
  <c r="FP59"/>
  <c r="FP46"/>
  <c r="FP138"/>
  <c r="FP106"/>
  <c r="FP73"/>
  <c r="FP42"/>
  <c r="FP104"/>
  <c r="FP169"/>
  <c r="FP162"/>
  <c r="FP156"/>
  <c r="FP201"/>
  <c r="FP98"/>
  <c r="FP62"/>
  <c r="FP66"/>
  <c r="FP50"/>
  <c r="FP88"/>
  <c r="FP173"/>
  <c r="FP109"/>
  <c r="FP182"/>
  <c r="FP167"/>
  <c r="FP164"/>
  <c r="FP100"/>
  <c r="FP75"/>
  <c r="FP196"/>
  <c r="FP163"/>
  <c r="FP55"/>
  <c r="FP96"/>
  <c r="FP86"/>
  <c r="FP58"/>
  <c r="FP154"/>
  <c r="FP90"/>
  <c r="FP54"/>
  <c r="GQ194"/>
  <c r="GP194"/>
  <c r="FM97"/>
  <c r="GW97" s="1"/>
  <c r="FM93"/>
  <c r="GW93" s="1"/>
  <c r="GP61"/>
  <c r="GQ61"/>
  <c r="GB137"/>
  <c r="GC137"/>
  <c r="FM53"/>
  <c r="GW53" s="1"/>
  <c r="FM197"/>
  <c r="GW197" s="1"/>
  <c r="GB149"/>
  <c r="GC149"/>
  <c r="FM137"/>
  <c r="GU137" s="1"/>
  <c r="FM65"/>
  <c r="GV65" s="1"/>
  <c r="FM161"/>
  <c r="GU161" s="1"/>
  <c r="FM129"/>
  <c r="GW129" s="1"/>
  <c r="FM194"/>
  <c r="GX194" s="1"/>
  <c r="GP178"/>
  <c r="GQ178"/>
  <c r="FM199"/>
  <c r="GX199" s="1"/>
  <c r="FM201"/>
  <c r="GW201" s="1"/>
  <c r="FM141"/>
  <c r="GV141" s="1"/>
  <c r="GB65"/>
  <c r="GC65"/>
  <c r="GC125"/>
  <c r="GB125"/>
  <c r="GC81"/>
  <c r="FM149"/>
  <c r="GT149" s="1"/>
  <c r="GB92"/>
  <c r="GI177"/>
  <c r="FU174"/>
  <c r="GC169"/>
  <c r="GI65"/>
  <c r="IQ151"/>
  <c r="GJ140"/>
  <c r="FV187"/>
  <c r="FU187"/>
  <c r="GB100"/>
  <c r="GC100"/>
  <c r="GQ203"/>
  <c r="GP195"/>
  <c r="GI102"/>
  <c r="GJ102"/>
  <c r="IQ204"/>
  <c r="IQ146"/>
  <c r="GC176"/>
  <c r="GP52"/>
  <c r="GQ52"/>
  <c r="GI127"/>
  <c r="FK169"/>
  <c r="GQ94"/>
  <c r="GP94"/>
  <c r="GJ190"/>
  <c r="GI190"/>
  <c r="FV178"/>
  <c r="FU178"/>
  <c r="GP118"/>
  <c r="GQ118"/>
  <c r="GP156"/>
  <c r="GJ77"/>
  <c r="GI77"/>
  <c r="GP65"/>
  <c r="GQ65"/>
  <c r="GP112"/>
  <c r="GQ112"/>
  <c r="GQ77"/>
  <c r="GP77"/>
  <c r="GQ170"/>
  <c r="GP170"/>
  <c r="FV139"/>
  <c r="FU139"/>
  <c r="FM145"/>
  <c r="GX145" s="1"/>
  <c r="GP100"/>
  <c r="GQ100"/>
  <c r="FM55"/>
  <c r="GU55" s="1"/>
  <c r="GB192"/>
  <c r="GC192"/>
  <c r="FM88"/>
  <c r="GW88" s="1"/>
  <c r="GC207"/>
  <c r="GB207"/>
  <c r="GJ118"/>
  <c r="GI118"/>
  <c r="GI54"/>
  <c r="GJ54"/>
  <c r="GQ168"/>
  <c r="GQ192"/>
  <c r="GP161"/>
  <c r="GP157"/>
  <c r="GP203"/>
  <c r="GQ161"/>
  <c r="GQ157"/>
  <c r="GP192"/>
  <c r="GP168"/>
  <c r="GP124"/>
  <c r="GQ124"/>
  <c r="GP108"/>
  <c r="GQ108"/>
  <c r="GP150"/>
  <c r="GQ150"/>
  <c r="GP54"/>
  <c r="GQ54"/>
  <c r="FO199"/>
  <c r="FU195"/>
  <c r="FV195"/>
  <c r="FN195"/>
  <c r="FO195"/>
  <c r="GC179"/>
  <c r="GB179"/>
  <c r="FL179"/>
  <c r="FK179"/>
  <c r="GI155"/>
  <c r="GJ155"/>
  <c r="FU147"/>
  <c r="FV147"/>
  <c r="GC147"/>
  <c r="GB147"/>
  <c r="FO139"/>
  <c r="FN139"/>
  <c r="FO135"/>
  <c r="FN135"/>
  <c r="FL87"/>
  <c r="FK87"/>
  <c r="GJ83"/>
  <c r="GI83"/>
  <c r="GC83"/>
  <c r="GB83"/>
  <c r="FK71"/>
  <c r="FL71"/>
  <c r="FN71"/>
  <c r="FO71"/>
  <c r="FO67"/>
  <c r="FN67"/>
  <c r="GI67"/>
  <c r="GJ67"/>
  <c r="GI107"/>
  <c r="GJ107"/>
  <c r="GQ152"/>
  <c r="GP152"/>
  <c r="GP136"/>
  <c r="GQ136"/>
  <c r="GP116"/>
  <c r="GQ116"/>
  <c r="GI110"/>
  <c r="GJ110"/>
  <c r="GI199"/>
  <c r="GJ199"/>
  <c r="GB199"/>
  <c r="GC199"/>
  <c r="GJ195"/>
  <c r="GI195"/>
  <c r="GP179"/>
  <c r="GQ179"/>
  <c r="FO155"/>
  <c r="FN155"/>
  <c r="GQ147"/>
  <c r="GP147"/>
  <c r="GI147"/>
  <c r="GJ147"/>
  <c r="GJ139"/>
  <c r="GI139"/>
  <c r="FL139"/>
  <c r="FK139"/>
  <c r="GB135"/>
  <c r="GC135"/>
  <c r="FL135"/>
  <c r="FK135"/>
  <c r="GP87"/>
  <c r="GQ87"/>
  <c r="FN83"/>
  <c r="FO83"/>
  <c r="GP71"/>
  <c r="GQ71"/>
  <c r="FL67"/>
  <c r="FK67"/>
  <c r="GI111"/>
  <c r="GJ111"/>
  <c r="GP63"/>
  <c r="GQ63"/>
  <c r="GC117"/>
  <c r="GB117"/>
  <c r="FV118"/>
  <c r="FU118"/>
  <c r="GC42"/>
  <c r="GB42"/>
  <c r="FV199"/>
  <c r="FU199"/>
  <c r="FL195"/>
  <c r="FK195"/>
  <c r="FN179"/>
  <c r="FO179"/>
  <c r="GJ179"/>
  <c r="GI179"/>
  <c r="FK155"/>
  <c r="FL155"/>
  <c r="FU155"/>
  <c r="FV155"/>
  <c r="GB139"/>
  <c r="GC139"/>
  <c r="GI135"/>
  <c r="GJ135"/>
  <c r="FU135"/>
  <c r="FV135"/>
  <c r="GC87"/>
  <c r="GB87"/>
  <c r="FU87"/>
  <c r="FV87"/>
  <c r="FL83"/>
  <c r="FK83"/>
  <c r="FV71"/>
  <c r="FU71"/>
  <c r="GP67"/>
  <c r="GQ67"/>
  <c r="GP140"/>
  <c r="GQ140"/>
  <c r="GJ124"/>
  <c r="GI124"/>
  <c r="GQ169"/>
  <c r="GP169"/>
  <c r="FV117"/>
  <c r="FU117"/>
  <c r="GI198"/>
  <c r="GJ198"/>
  <c r="FK199"/>
  <c r="FL199"/>
  <c r="FU179"/>
  <c r="FV179"/>
  <c r="GC155"/>
  <c r="GB155"/>
  <c r="GQ155"/>
  <c r="GP155"/>
  <c r="FL147"/>
  <c r="FK147"/>
  <c r="FO147"/>
  <c r="FN147"/>
  <c r="GP139"/>
  <c r="GQ139"/>
  <c r="GQ135"/>
  <c r="GP135"/>
  <c r="FO87"/>
  <c r="FN87"/>
  <c r="GJ87"/>
  <c r="GI87"/>
  <c r="FU83"/>
  <c r="FV83"/>
  <c r="GP83"/>
  <c r="GQ83"/>
  <c r="GI71"/>
  <c r="GJ71"/>
  <c r="GB71"/>
  <c r="GC71"/>
  <c r="GC67"/>
  <c r="GB67"/>
  <c r="FU67"/>
  <c r="FV67"/>
  <c r="GB47"/>
  <c r="GC47"/>
  <c r="FL47"/>
  <c r="FK47"/>
  <c r="GQ176"/>
  <c r="GP176"/>
  <c r="GC168"/>
  <c r="GB168"/>
  <c r="FL164"/>
  <c r="FK164"/>
  <c r="FU112"/>
  <c r="FV112"/>
  <c r="GB112"/>
  <c r="GC112"/>
  <c r="FL92"/>
  <c r="FK92"/>
  <c r="FU92"/>
  <c r="FV92"/>
  <c r="GQ76"/>
  <c r="GP76"/>
  <c r="FN72"/>
  <c r="FO72"/>
  <c r="FV72"/>
  <c r="FU72"/>
  <c r="GC52"/>
  <c r="GB52"/>
  <c r="GJ52"/>
  <c r="GI52"/>
  <c r="FV207"/>
  <c r="FU207"/>
  <c r="FL207"/>
  <c r="FK207"/>
  <c r="FK205"/>
  <c r="FL205"/>
  <c r="GB205"/>
  <c r="GC205"/>
  <c r="GI165"/>
  <c r="GJ165"/>
  <c r="FV165"/>
  <c r="FU165"/>
  <c r="FK133"/>
  <c r="FL133"/>
  <c r="FV125"/>
  <c r="FU125"/>
  <c r="GJ125"/>
  <c r="GI125"/>
  <c r="FK113"/>
  <c r="FL113"/>
  <c r="GQ105"/>
  <c r="GP105"/>
  <c r="FV101"/>
  <c r="FU101"/>
  <c r="FK101"/>
  <c r="FL101"/>
  <c r="GI81"/>
  <c r="GJ81"/>
  <c r="FN81"/>
  <c r="FO81"/>
  <c r="FK77"/>
  <c r="FL77"/>
  <c r="GB61"/>
  <c r="GC61"/>
  <c r="FV53"/>
  <c r="FU53"/>
  <c r="GP53"/>
  <c r="GQ53"/>
  <c r="FN49"/>
  <c r="FO49"/>
  <c r="FO41"/>
  <c r="FN41"/>
  <c r="FU194"/>
  <c r="FV194"/>
  <c r="GC190"/>
  <c r="GB190"/>
  <c r="GB178"/>
  <c r="GC178"/>
  <c r="FK174"/>
  <c r="FL174"/>
  <c r="GP174"/>
  <c r="GQ174"/>
  <c r="GQ126"/>
  <c r="GP126"/>
  <c r="GB114"/>
  <c r="GC114"/>
  <c r="GI114"/>
  <c r="GJ114"/>
  <c r="GQ175"/>
  <c r="GP175"/>
  <c r="FK159"/>
  <c r="FL159"/>
  <c r="GQ151"/>
  <c r="GP151"/>
  <c r="GJ151"/>
  <c r="GI151"/>
  <c r="FU119"/>
  <c r="FV119"/>
  <c r="GP115"/>
  <c r="GQ115"/>
  <c r="GJ115"/>
  <c r="GI115"/>
  <c r="FO107"/>
  <c r="GQ99"/>
  <c r="GP99"/>
  <c r="FV79"/>
  <c r="FU79"/>
  <c r="GI51"/>
  <c r="GJ51"/>
  <c r="FL39"/>
  <c r="FK39"/>
  <c r="FL204"/>
  <c r="FK204"/>
  <c r="FU200"/>
  <c r="FV200"/>
  <c r="FN188"/>
  <c r="FO188"/>
  <c r="FK188"/>
  <c r="FL188"/>
  <c r="FU184"/>
  <c r="FV184"/>
  <c r="GC160"/>
  <c r="GB160"/>
  <c r="FN152"/>
  <c r="FO152"/>
  <c r="GB148"/>
  <c r="GC148"/>
  <c r="FK148"/>
  <c r="FL148"/>
  <c r="GP128"/>
  <c r="GQ128"/>
  <c r="FU124"/>
  <c r="FV124"/>
  <c r="GC124"/>
  <c r="GB124"/>
  <c r="FL120"/>
  <c r="FK120"/>
  <c r="GP48"/>
  <c r="GQ48"/>
  <c r="GI181"/>
  <c r="GJ181"/>
  <c r="GP181"/>
  <c r="GQ181"/>
  <c r="FV161"/>
  <c r="FU161"/>
  <c r="GI161"/>
  <c r="GJ161"/>
  <c r="GJ153"/>
  <c r="GI153"/>
  <c r="GP153"/>
  <c r="GQ153"/>
  <c r="GI121"/>
  <c r="GJ121"/>
  <c r="FN117"/>
  <c r="FO117"/>
  <c r="GQ93"/>
  <c r="GP93"/>
  <c r="FL85"/>
  <c r="FK85"/>
  <c r="GP57"/>
  <c r="GQ57"/>
  <c r="GB202"/>
  <c r="GC202"/>
  <c r="GQ198"/>
  <c r="GP198"/>
  <c r="FL186"/>
  <c r="FK186"/>
  <c r="FU182"/>
  <c r="FV182"/>
  <c r="GI162"/>
  <c r="GJ162"/>
  <c r="FV158"/>
  <c r="FU158"/>
  <c r="GJ158"/>
  <c r="GI158"/>
  <c r="FK150"/>
  <c r="FL150"/>
  <c r="GP146"/>
  <c r="GQ146"/>
  <c r="GJ134"/>
  <c r="GI134"/>
  <c r="FN134"/>
  <c r="FO134"/>
  <c r="GP130"/>
  <c r="GQ130"/>
  <c r="GI122"/>
  <c r="GJ122"/>
  <c r="FK118"/>
  <c r="FL118"/>
  <c r="GB110"/>
  <c r="GC110"/>
  <c r="FL110"/>
  <c r="FK110"/>
  <c r="FU94"/>
  <c r="FV94"/>
  <c r="FN82"/>
  <c r="FO82"/>
  <c r="FL82"/>
  <c r="FK82"/>
  <c r="FL74"/>
  <c r="FK74"/>
  <c r="FN74"/>
  <c r="FO74"/>
  <c r="FL183"/>
  <c r="FK183"/>
  <c r="FN183"/>
  <c r="FO183"/>
  <c r="FN171"/>
  <c r="FO171"/>
  <c r="GB171"/>
  <c r="GC171"/>
  <c r="FN163"/>
  <c r="FO163"/>
  <c r="GJ163"/>
  <c r="GI163"/>
  <c r="FL131"/>
  <c r="FK131"/>
  <c r="FN131"/>
  <c r="FO131"/>
  <c r="GQ127"/>
  <c r="GP127"/>
  <c r="FK123"/>
  <c r="FL123"/>
  <c r="FK111"/>
  <c r="FL111"/>
  <c r="FU111"/>
  <c r="FV111"/>
  <c r="FL91"/>
  <c r="FK91"/>
  <c r="FN75"/>
  <c r="FO75"/>
  <c r="FV75"/>
  <c r="FU75"/>
  <c r="FK55"/>
  <c r="FL55"/>
  <c r="GQ172"/>
  <c r="GP172"/>
  <c r="FU116"/>
  <c r="FV116"/>
  <c r="GC116"/>
  <c r="GB116"/>
  <c r="GI108"/>
  <c r="GJ108"/>
  <c r="FN96"/>
  <c r="FO96"/>
  <c r="FL96"/>
  <c r="FK96"/>
  <c r="GI88"/>
  <c r="GJ88"/>
  <c r="FK88"/>
  <c r="FL88"/>
  <c r="GB68"/>
  <c r="GC68"/>
  <c r="GI68"/>
  <c r="GJ68"/>
  <c r="GB40"/>
  <c r="GC40"/>
  <c r="GB189"/>
  <c r="GC189"/>
  <c r="GP189"/>
  <c r="GQ189"/>
  <c r="GP185"/>
  <c r="GQ185"/>
  <c r="GC141"/>
  <c r="GB141"/>
  <c r="FV141"/>
  <c r="FU141"/>
  <c r="FK137"/>
  <c r="FL137"/>
  <c r="FV97"/>
  <c r="FU97"/>
  <c r="GQ89"/>
  <c r="GP89"/>
  <c r="FU69"/>
  <c r="FV69"/>
  <c r="FO69"/>
  <c r="FN69"/>
  <c r="FO206"/>
  <c r="FN206"/>
  <c r="FO166"/>
  <c r="FN166"/>
  <c r="FK166"/>
  <c r="FL166"/>
  <c r="GQ142"/>
  <c r="GP142"/>
  <c r="GP138"/>
  <c r="GQ138"/>
  <c r="GC98"/>
  <c r="GB98"/>
  <c r="FU70"/>
  <c r="FV70"/>
  <c r="GC70"/>
  <c r="GB70"/>
  <c r="FK62"/>
  <c r="FL62"/>
  <c r="FV54"/>
  <c r="FU54"/>
  <c r="GP46"/>
  <c r="GQ46"/>
  <c r="FN46"/>
  <c r="FO46"/>
  <c r="GJ42"/>
  <c r="GI42"/>
  <c r="GI152"/>
  <c r="GJ136"/>
  <c r="GI136"/>
  <c r="GP117"/>
  <c r="GQ117"/>
  <c r="GC118"/>
  <c r="FK203"/>
  <c r="FL203"/>
  <c r="FV191"/>
  <c r="FU191"/>
  <c r="GP187"/>
  <c r="GQ187"/>
  <c r="FN187"/>
  <c r="FO187"/>
  <c r="GQ167"/>
  <c r="GP167"/>
  <c r="FK167"/>
  <c r="FL167"/>
  <c r="GP143"/>
  <c r="GQ143"/>
  <c r="FK103"/>
  <c r="FL103"/>
  <c r="GQ103"/>
  <c r="GP103"/>
  <c r="FO95"/>
  <c r="FN95"/>
  <c r="GJ43"/>
  <c r="GI43"/>
  <c r="GC196"/>
  <c r="GB196"/>
  <c r="FV180"/>
  <c r="FK156"/>
  <c r="FL156"/>
  <c r="GB140"/>
  <c r="GC140"/>
  <c r="FV136"/>
  <c r="FU136"/>
  <c r="FV104"/>
  <c r="FU104"/>
  <c r="FL100"/>
  <c r="FK100"/>
  <c r="FV84"/>
  <c r="FU84"/>
  <c r="GI84"/>
  <c r="GJ84"/>
  <c r="FN80"/>
  <c r="FO80"/>
  <c r="GQ80"/>
  <c r="GP80"/>
  <c r="FV64"/>
  <c r="FU64"/>
  <c r="GJ64"/>
  <c r="FL60"/>
  <c r="FK60"/>
  <c r="FL56"/>
  <c r="FK56"/>
  <c r="GJ201"/>
  <c r="GI201"/>
  <c r="GB201"/>
  <c r="GC201"/>
  <c r="GQ197"/>
  <c r="GP197"/>
  <c r="GI193"/>
  <c r="GJ193"/>
  <c r="GQ173"/>
  <c r="GP173"/>
  <c r="FL169"/>
  <c r="GI157"/>
  <c r="GJ157"/>
  <c r="GP149"/>
  <c r="GQ149"/>
  <c r="FL145"/>
  <c r="FK145"/>
  <c r="GJ109"/>
  <c r="GI109"/>
  <c r="GC109"/>
  <c r="GB109"/>
  <c r="FK73"/>
  <c r="FL73"/>
  <c r="FL45"/>
  <c r="FK45"/>
  <c r="GJ45"/>
  <c r="GI45"/>
  <c r="GI170"/>
  <c r="GJ170"/>
  <c r="FV154"/>
  <c r="FK154"/>
  <c r="FL154"/>
  <c r="GB106"/>
  <c r="GQ106"/>
  <c r="GP106"/>
  <c r="GP90"/>
  <c r="GQ90"/>
  <c r="GP86"/>
  <c r="GQ86"/>
  <c r="FN78"/>
  <c r="FO78"/>
  <c r="FL78"/>
  <c r="FK78"/>
  <c r="FK66"/>
  <c r="FL66"/>
  <c r="FK58"/>
  <c r="FN58"/>
  <c r="FO58"/>
  <c r="GC50"/>
  <c r="GB50"/>
  <c r="FL50"/>
  <c r="FK50"/>
  <c r="GB38"/>
  <c r="FO47"/>
  <c r="FN47"/>
  <c r="FN176"/>
  <c r="FO176"/>
  <c r="FK176"/>
  <c r="FL176"/>
  <c r="FN168"/>
  <c r="FO168"/>
  <c r="FO164"/>
  <c r="FN164"/>
  <c r="FV132"/>
  <c r="FU132"/>
  <c r="GC132"/>
  <c r="GB132"/>
  <c r="GP92"/>
  <c r="GQ92"/>
  <c r="FN76"/>
  <c r="FO76"/>
  <c r="FL76"/>
  <c r="FK76"/>
  <c r="GB72"/>
  <c r="GC72"/>
  <c r="GJ72"/>
  <c r="GI72"/>
  <c r="FU52"/>
  <c r="FV52"/>
  <c r="FO44"/>
  <c r="FN44"/>
  <c r="FU44"/>
  <c r="FV44"/>
  <c r="GQ207"/>
  <c r="GP207"/>
  <c r="FV205"/>
  <c r="FU205"/>
  <c r="FV177"/>
  <c r="FU177"/>
  <c r="FL165"/>
  <c r="FK165"/>
  <c r="GQ133"/>
  <c r="GP133"/>
  <c r="FN129"/>
  <c r="GI129"/>
  <c r="GJ129"/>
  <c r="FL125"/>
  <c r="FK125"/>
  <c r="GQ113"/>
  <c r="GP113"/>
  <c r="GC105"/>
  <c r="GB105"/>
  <c r="FV105"/>
  <c r="FU105"/>
  <c r="FN77"/>
  <c r="FO77"/>
  <c r="FU65"/>
  <c r="FV65"/>
  <c r="FU61"/>
  <c r="FV61"/>
  <c r="FL53"/>
  <c r="FK53"/>
  <c r="FV49"/>
  <c r="FU49"/>
  <c r="GJ49"/>
  <c r="GI49"/>
  <c r="FK41"/>
  <c r="FL41"/>
  <c r="GC41"/>
  <c r="GB41"/>
  <c r="GI194"/>
  <c r="GJ194"/>
  <c r="FO190"/>
  <c r="FN190"/>
  <c r="FN174"/>
  <c r="FO174"/>
  <c r="GB126"/>
  <c r="GC126"/>
  <c r="FN114"/>
  <c r="FO114"/>
  <c r="GQ42"/>
  <c r="GP42"/>
  <c r="FN175"/>
  <c r="FO175"/>
  <c r="GJ175"/>
  <c r="GI175"/>
  <c r="FO159"/>
  <c r="FN159"/>
  <c r="GP119"/>
  <c r="GQ119"/>
  <c r="FO119"/>
  <c r="FN119"/>
  <c r="GB107"/>
  <c r="GC107"/>
  <c r="FL99"/>
  <c r="FK99"/>
  <c r="GI79"/>
  <c r="GJ79"/>
  <c r="FL51"/>
  <c r="FK51"/>
  <c r="FN39"/>
  <c r="FO39"/>
  <c r="FU204"/>
  <c r="FV204"/>
  <c r="FO200"/>
  <c r="FN200"/>
  <c r="GI188"/>
  <c r="GJ188"/>
  <c r="FN184"/>
  <c r="FO184"/>
  <c r="GC184"/>
  <c r="GB184"/>
  <c r="FU152"/>
  <c r="FV152"/>
  <c r="FU148"/>
  <c r="FV148"/>
  <c r="GI148"/>
  <c r="GJ148"/>
  <c r="FU144"/>
  <c r="FV144"/>
  <c r="GB128"/>
  <c r="GC128"/>
  <c r="GJ128"/>
  <c r="GI128"/>
  <c r="FL124"/>
  <c r="FK124"/>
  <c r="GC120"/>
  <c r="GB120"/>
  <c r="FN48"/>
  <c r="FO48"/>
  <c r="GI48"/>
  <c r="GJ48"/>
  <c r="FK181"/>
  <c r="FL181"/>
  <c r="GC161"/>
  <c r="GB161"/>
  <c r="GB153"/>
  <c r="GC153"/>
  <c r="GC121"/>
  <c r="GB121"/>
  <c r="FV121"/>
  <c r="FU121"/>
  <c r="FN93"/>
  <c r="GJ93"/>
  <c r="GI93"/>
  <c r="FU85"/>
  <c r="FV85"/>
  <c r="FN85"/>
  <c r="FO85"/>
  <c r="FL57"/>
  <c r="FK57"/>
  <c r="FO202"/>
  <c r="FN202"/>
  <c r="GC198"/>
  <c r="GB198"/>
  <c r="FU198"/>
  <c r="FV198"/>
  <c r="GB186"/>
  <c r="GC186"/>
  <c r="GP182"/>
  <c r="GQ182"/>
  <c r="GJ182"/>
  <c r="GI182"/>
  <c r="GQ162"/>
  <c r="GP162"/>
  <c r="FK158"/>
  <c r="FL158"/>
  <c r="GC150"/>
  <c r="GB150"/>
  <c r="FV150"/>
  <c r="FU150"/>
  <c r="FK146"/>
  <c r="FL146"/>
  <c r="GB134"/>
  <c r="GC134"/>
  <c r="FK130"/>
  <c r="FL130"/>
  <c r="FL122"/>
  <c r="FK122"/>
  <c r="GB94"/>
  <c r="GC94"/>
  <c r="FN94"/>
  <c r="FO94"/>
  <c r="FU82"/>
  <c r="FV82"/>
  <c r="GP74"/>
  <c r="GQ74"/>
  <c r="GB152"/>
  <c r="GC152"/>
  <c r="GQ122"/>
  <c r="GP122"/>
  <c r="GQ183"/>
  <c r="GP183"/>
  <c r="FV171"/>
  <c r="FU171"/>
  <c r="GJ171"/>
  <c r="FU163"/>
  <c r="FV163"/>
  <c r="FU131"/>
  <c r="FV131"/>
  <c r="GB131"/>
  <c r="GC131"/>
  <c r="FN127"/>
  <c r="FO127"/>
  <c r="FO123"/>
  <c r="FN123"/>
  <c r="GQ111"/>
  <c r="GP111"/>
  <c r="FU91"/>
  <c r="FV91"/>
  <c r="GP91"/>
  <c r="GQ91"/>
  <c r="FK75"/>
  <c r="FL75"/>
  <c r="FU63"/>
  <c r="FV63"/>
  <c r="FK63"/>
  <c r="FL63"/>
  <c r="GI172"/>
  <c r="GJ172"/>
  <c r="FN116"/>
  <c r="FO116"/>
  <c r="FL108"/>
  <c r="FK108"/>
  <c r="GB108"/>
  <c r="GC108"/>
  <c r="GC96"/>
  <c r="GB96"/>
  <c r="GB88"/>
  <c r="GC88"/>
  <c r="GP68"/>
  <c r="GQ68"/>
  <c r="GI40"/>
  <c r="GJ40"/>
  <c r="GI189"/>
  <c r="GJ189"/>
  <c r="FL185"/>
  <c r="FK185"/>
  <c r="GI141"/>
  <c r="GJ141"/>
  <c r="GP137"/>
  <c r="GQ137"/>
  <c r="GP97"/>
  <c r="GQ97"/>
  <c r="GJ89"/>
  <c r="GI89"/>
  <c r="GB69"/>
  <c r="GC69"/>
  <c r="FU206"/>
  <c r="FV206"/>
  <c r="GI206"/>
  <c r="GJ206"/>
  <c r="GI166"/>
  <c r="GJ166"/>
  <c r="FV166"/>
  <c r="FU166"/>
  <c r="FU142"/>
  <c r="FV142"/>
  <c r="FL142"/>
  <c r="FK142"/>
  <c r="FL138"/>
  <c r="FK138"/>
  <c r="GI98"/>
  <c r="GJ98"/>
  <c r="FU98"/>
  <c r="FV98"/>
  <c r="FL70"/>
  <c r="FK70"/>
  <c r="FN70"/>
  <c r="FO70"/>
  <c r="FU62"/>
  <c r="FV62"/>
  <c r="FN54"/>
  <c r="FO54"/>
  <c r="GB46"/>
  <c r="GC46"/>
  <c r="FV42"/>
  <c r="FU164"/>
  <c r="FV164"/>
  <c r="GB144"/>
  <c r="GC144"/>
  <c r="GB122"/>
  <c r="GC122"/>
  <c r="FK191"/>
  <c r="FL191"/>
  <c r="FN191"/>
  <c r="FO191"/>
  <c r="GJ187"/>
  <c r="FU167"/>
  <c r="FV167"/>
  <c r="FK143"/>
  <c r="FL143"/>
  <c r="FN143"/>
  <c r="FO143"/>
  <c r="GB103"/>
  <c r="GC103"/>
  <c r="FL95"/>
  <c r="FK95"/>
  <c r="GB59"/>
  <c r="GC59"/>
  <c r="FN59"/>
  <c r="FO59"/>
  <c r="GC43"/>
  <c r="GQ43"/>
  <c r="GP43"/>
  <c r="FU196"/>
  <c r="FV196"/>
  <c r="FN192"/>
  <c r="FO192"/>
  <c r="GP180"/>
  <c r="GQ180"/>
  <c r="FO180"/>
  <c r="FN180"/>
  <c r="FU140"/>
  <c r="FV140"/>
  <c r="FL140"/>
  <c r="FK140"/>
  <c r="GB104"/>
  <c r="GC104"/>
  <c r="GB84"/>
  <c r="GC84"/>
  <c r="FN84"/>
  <c r="FO84"/>
  <c r="FU80"/>
  <c r="FV80"/>
  <c r="FL80"/>
  <c r="FK80"/>
  <c r="GP64"/>
  <c r="GQ64"/>
  <c r="GC64"/>
  <c r="GB64"/>
  <c r="FU60"/>
  <c r="FV60"/>
  <c r="GP60"/>
  <c r="GQ60"/>
  <c r="GI56"/>
  <c r="GJ56"/>
  <c r="GP56"/>
  <c r="GQ56"/>
  <c r="FN201"/>
  <c r="FL197"/>
  <c r="FK197"/>
  <c r="FV197"/>
  <c r="FU197"/>
  <c r="GP193"/>
  <c r="GQ193"/>
  <c r="FL173"/>
  <c r="FK173"/>
  <c r="FU169"/>
  <c r="FV169"/>
  <c r="FN169"/>
  <c r="FO169"/>
  <c r="FU157"/>
  <c r="FV157"/>
  <c r="FK157"/>
  <c r="FL157"/>
  <c r="GP145"/>
  <c r="GQ145"/>
  <c r="FL109"/>
  <c r="FK109"/>
  <c r="FN109"/>
  <c r="FO109"/>
  <c r="GQ73"/>
  <c r="GP73"/>
  <c r="GP45"/>
  <c r="GQ45"/>
  <c r="FK170"/>
  <c r="FL170"/>
  <c r="FV170"/>
  <c r="FU170"/>
  <c r="FN154"/>
  <c r="FO154"/>
  <c r="GB154"/>
  <c r="GC154"/>
  <c r="FN106"/>
  <c r="FO106"/>
  <c r="FL102"/>
  <c r="FK102"/>
  <c r="GC102"/>
  <c r="GB102"/>
  <c r="FL90"/>
  <c r="FK90"/>
  <c r="FO86"/>
  <c r="FN86"/>
  <c r="FK86"/>
  <c r="FL86"/>
  <c r="GB78"/>
  <c r="GC78"/>
  <c r="GJ66"/>
  <c r="GI66"/>
  <c r="FN66"/>
  <c r="FO66"/>
  <c r="FU58"/>
  <c r="FV58"/>
  <c r="GB58"/>
  <c r="GC58"/>
  <c r="GI50"/>
  <c r="GJ50"/>
  <c r="FV50"/>
  <c r="FU50"/>
  <c r="FV47"/>
  <c r="FU47"/>
  <c r="GJ176"/>
  <c r="GI176"/>
  <c r="GJ168"/>
  <c r="GI168"/>
  <c r="FU168"/>
  <c r="FV168"/>
  <c r="GJ164"/>
  <c r="GI164"/>
  <c r="FO132"/>
  <c r="FN132"/>
  <c r="FN112"/>
  <c r="FO112"/>
  <c r="GI92"/>
  <c r="GJ92"/>
  <c r="GB76"/>
  <c r="GC76"/>
  <c r="GQ72"/>
  <c r="GP72"/>
  <c r="FL52"/>
  <c r="FK52"/>
  <c r="GB44"/>
  <c r="GC44"/>
  <c r="GI44"/>
  <c r="GJ44"/>
  <c r="FN207"/>
  <c r="FO207"/>
  <c r="GJ205"/>
  <c r="GI205"/>
  <c r="GP205"/>
  <c r="GQ205"/>
  <c r="GP177"/>
  <c r="GQ177"/>
  <c r="FN177"/>
  <c r="FO177"/>
  <c r="GQ165"/>
  <c r="GP165"/>
  <c r="GC133"/>
  <c r="GB133"/>
  <c r="FU133"/>
  <c r="FV133"/>
  <c r="FV129"/>
  <c r="FU129"/>
  <c r="FL129"/>
  <c r="FK129"/>
  <c r="FN125"/>
  <c r="FO125"/>
  <c r="GC113"/>
  <c r="GB113"/>
  <c r="FU113"/>
  <c r="FV113"/>
  <c r="FN105"/>
  <c r="FO105"/>
  <c r="GI105"/>
  <c r="GJ105"/>
  <c r="GJ101"/>
  <c r="GI101"/>
  <c r="GQ101"/>
  <c r="GP101"/>
  <c r="FK81"/>
  <c r="FL81"/>
  <c r="FV77"/>
  <c r="FU77"/>
  <c r="GC77"/>
  <c r="GB77"/>
  <c r="FK65"/>
  <c r="FL65"/>
  <c r="FO61"/>
  <c r="FN61"/>
  <c r="FO53"/>
  <c r="FL49"/>
  <c r="FK49"/>
  <c r="GI41"/>
  <c r="GJ41"/>
  <c r="FL194"/>
  <c r="FK194"/>
  <c r="FV190"/>
  <c r="FU190"/>
  <c r="GQ190"/>
  <c r="GP190"/>
  <c r="FO178"/>
  <c r="FN178"/>
  <c r="GJ178"/>
  <c r="GI178"/>
  <c r="GJ174"/>
  <c r="GI174"/>
  <c r="FO126"/>
  <c r="FN126"/>
  <c r="FV126"/>
  <c r="FU126"/>
  <c r="FK114"/>
  <c r="FL114"/>
  <c r="FV114"/>
  <c r="FU114"/>
  <c r="GJ144"/>
  <c r="GI144"/>
  <c r="GB175"/>
  <c r="GC175"/>
  <c r="FU175"/>
  <c r="FV175"/>
  <c r="GP159"/>
  <c r="GQ159"/>
  <c r="GB159"/>
  <c r="GC159"/>
  <c r="FK151"/>
  <c r="FL151"/>
  <c r="FO151"/>
  <c r="FN151"/>
  <c r="GB119"/>
  <c r="GC119"/>
  <c r="FL119"/>
  <c r="FK119"/>
  <c r="FK115"/>
  <c r="FL115"/>
  <c r="FO115"/>
  <c r="FN115"/>
  <c r="FL107"/>
  <c r="FK107"/>
  <c r="FU107"/>
  <c r="FV107"/>
  <c r="FO99"/>
  <c r="FN99"/>
  <c r="FV99"/>
  <c r="FU99"/>
  <c r="FL79"/>
  <c r="FK79"/>
  <c r="GB79"/>
  <c r="GC79"/>
  <c r="FV51"/>
  <c r="FU51"/>
  <c r="GP51"/>
  <c r="GQ51"/>
  <c r="GB39"/>
  <c r="GC39"/>
  <c r="GP204"/>
  <c r="GQ204"/>
  <c r="FO204"/>
  <c r="FN204"/>
  <c r="FK200"/>
  <c r="FL200"/>
  <c r="GP188"/>
  <c r="GQ188"/>
  <c r="FK184"/>
  <c r="FL184"/>
  <c r="FL160"/>
  <c r="FK160"/>
  <c r="FL152"/>
  <c r="FK152"/>
  <c r="FN128"/>
  <c r="FO128"/>
  <c r="FN124"/>
  <c r="FO124"/>
  <c r="GP120"/>
  <c r="GQ120"/>
  <c r="FN120"/>
  <c r="FO120"/>
  <c r="GB48"/>
  <c r="GC48"/>
  <c r="FV48"/>
  <c r="FU48"/>
  <c r="FN181"/>
  <c r="FO181"/>
  <c r="FK161"/>
  <c r="FL161"/>
  <c r="FN153"/>
  <c r="FO153"/>
  <c r="FK121"/>
  <c r="FL121"/>
  <c r="GQ121"/>
  <c r="GP121"/>
  <c r="GI117"/>
  <c r="GJ117"/>
  <c r="GB93"/>
  <c r="GC93"/>
  <c r="FU93"/>
  <c r="FV93"/>
  <c r="GQ85"/>
  <c r="GP85"/>
  <c r="GB85"/>
  <c r="GC85"/>
  <c r="FN57"/>
  <c r="FO57"/>
  <c r="FO198"/>
  <c r="FN198"/>
  <c r="FO186"/>
  <c r="FN186"/>
  <c r="FO182"/>
  <c r="FN182"/>
  <c r="FK162"/>
  <c r="FL162"/>
  <c r="GC162"/>
  <c r="GB162"/>
  <c r="GB158"/>
  <c r="GC158"/>
  <c r="GP158"/>
  <c r="GQ158"/>
  <c r="GI150"/>
  <c r="GJ150"/>
  <c r="FN146"/>
  <c r="FO146"/>
  <c r="FV146"/>
  <c r="FU146"/>
  <c r="GP134"/>
  <c r="GQ134"/>
  <c r="FN130"/>
  <c r="FO130"/>
  <c r="FV122"/>
  <c r="FU122"/>
  <c r="FV110"/>
  <c r="FU110"/>
  <c r="GJ94"/>
  <c r="GI94"/>
  <c r="GB82"/>
  <c r="GC82"/>
  <c r="GI82"/>
  <c r="GJ82"/>
  <c r="GJ74"/>
  <c r="GI74"/>
  <c r="GP160"/>
  <c r="GQ160"/>
  <c r="FV186"/>
  <c r="FU186"/>
  <c r="GJ183"/>
  <c r="GI183"/>
  <c r="GC163"/>
  <c r="GB163"/>
  <c r="FK163"/>
  <c r="FL163"/>
  <c r="GI131"/>
  <c r="GJ131"/>
  <c r="FK127"/>
  <c r="FL127"/>
  <c r="FU123"/>
  <c r="FV123"/>
  <c r="GJ123"/>
  <c r="GI123"/>
  <c r="FN111"/>
  <c r="FO111"/>
  <c r="GI91"/>
  <c r="GJ91"/>
  <c r="GC91"/>
  <c r="GB91"/>
  <c r="GP75"/>
  <c r="GQ75"/>
  <c r="GI63"/>
  <c r="GJ63"/>
  <c r="GC63"/>
  <c r="GB63"/>
  <c r="FK172"/>
  <c r="FL172"/>
  <c r="FU108"/>
  <c r="FV108"/>
  <c r="GQ96"/>
  <c r="GP96"/>
  <c r="FV96"/>
  <c r="FU96"/>
  <c r="FV88"/>
  <c r="FU88"/>
  <c r="FK68"/>
  <c r="FL68"/>
  <c r="FU40"/>
  <c r="FV40"/>
  <c r="FO40"/>
  <c r="FN40"/>
  <c r="FN189"/>
  <c r="FO189"/>
  <c r="FN185"/>
  <c r="FO185"/>
  <c r="FL141"/>
  <c r="FK141"/>
  <c r="FU137"/>
  <c r="FV137"/>
  <c r="FN97"/>
  <c r="GJ97"/>
  <c r="GI97"/>
  <c r="FU89"/>
  <c r="FV89"/>
  <c r="FO89"/>
  <c r="FN89"/>
  <c r="FL69"/>
  <c r="FK69"/>
  <c r="GQ206"/>
  <c r="GP206"/>
  <c r="GP166"/>
  <c r="GQ166"/>
  <c r="GI142"/>
  <c r="GJ142"/>
  <c r="FN142"/>
  <c r="FO142"/>
  <c r="FN138"/>
  <c r="FO138"/>
  <c r="FV138"/>
  <c r="FU138"/>
  <c r="GQ98"/>
  <c r="GP98"/>
  <c r="GQ70"/>
  <c r="GP70"/>
  <c r="GB62"/>
  <c r="GC62"/>
  <c r="GQ62"/>
  <c r="GP62"/>
  <c r="FK54"/>
  <c r="FL54"/>
  <c r="GJ46"/>
  <c r="GI46"/>
  <c r="FL42"/>
  <c r="FK42"/>
  <c r="FO42"/>
  <c r="FN42"/>
  <c r="GB127"/>
  <c r="GC127"/>
  <c r="GC188"/>
  <c r="GB188"/>
  <c r="GP144"/>
  <c r="GQ144"/>
  <c r="FU202"/>
  <c r="GI130"/>
  <c r="GJ130"/>
  <c r="GB54"/>
  <c r="GC54"/>
  <c r="FN203"/>
  <c r="FO203"/>
  <c r="GP191"/>
  <c r="GQ191"/>
  <c r="GJ167"/>
  <c r="GI167"/>
  <c r="FU143"/>
  <c r="FV143"/>
  <c r="GB143"/>
  <c r="GC143"/>
  <c r="FV103"/>
  <c r="FU103"/>
  <c r="FN103"/>
  <c r="FO103"/>
  <c r="GJ95"/>
  <c r="GI95"/>
  <c r="GP95"/>
  <c r="GQ95"/>
  <c r="GP59"/>
  <c r="GQ59"/>
  <c r="GJ59"/>
  <c r="GI59"/>
  <c r="FK43"/>
  <c r="FL43"/>
  <c r="FV43"/>
  <c r="FU43"/>
  <c r="GP196"/>
  <c r="GQ196"/>
  <c r="FV192"/>
  <c r="FU192"/>
  <c r="GI180"/>
  <c r="GJ180"/>
  <c r="FK180"/>
  <c r="FL180"/>
  <c r="FN156"/>
  <c r="FO156"/>
  <c r="FN140"/>
  <c r="FO140"/>
  <c r="FK136"/>
  <c r="FL136"/>
  <c r="FO100"/>
  <c r="FN100"/>
  <c r="FK84"/>
  <c r="FL84"/>
  <c r="GC80"/>
  <c r="GB80"/>
  <c r="FL64"/>
  <c r="FK64"/>
  <c r="GI60"/>
  <c r="GJ60"/>
  <c r="FU56"/>
  <c r="FV56"/>
  <c r="GB56"/>
  <c r="GC56"/>
  <c r="FK201"/>
  <c r="FL201"/>
  <c r="FV201"/>
  <c r="FU201"/>
  <c r="FN197"/>
  <c r="FO197"/>
  <c r="FK193"/>
  <c r="FL193"/>
  <c r="FV193"/>
  <c r="FU193"/>
  <c r="FN173"/>
  <c r="FO173"/>
  <c r="FU145"/>
  <c r="FV145"/>
  <c r="GP109"/>
  <c r="GQ109"/>
  <c r="FU73"/>
  <c r="FV73"/>
  <c r="FO73"/>
  <c r="FN73"/>
  <c r="GB45"/>
  <c r="GC45"/>
  <c r="FU45"/>
  <c r="FV45"/>
  <c r="FN170"/>
  <c r="FO170"/>
  <c r="GI154"/>
  <c r="GJ154"/>
  <c r="FL106"/>
  <c r="FK106"/>
  <c r="FU102"/>
  <c r="FV102"/>
  <c r="FO102"/>
  <c r="FN102"/>
  <c r="FU90"/>
  <c r="FV90"/>
  <c r="FN90"/>
  <c r="FO90"/>
  <c r="FU86"/>
  <c r="FV86"/>
  <c r="FV78"/>
  <c r="FU78"/>
  <c r="GP78"/>
  <c r="GQ78"/>
  <c r="GQ66"/>
  <c r="GP66"/>
  <c r="GQ58"/>
  <c r="GP58"/>
  <c r="GJ58"/>
  <c r="GI58"/>
  <c r="GQ50"/>
  <c r="GP50"/>
  <c r="FL38"/>
  <c r="FK38"/>
  <c r="GI47"/>
  <c r="GJ47"/>
  <c r="GP47"/>
  <c r="GQ47"/>
  <c r="FU176"/>
  <c r="FV176"/>
  <c r="FK168"/>
  <c r="FL168"/>
  <c r="GC164"/>
  <c r="GB164"/>
  <c r="FK132"/>
  <c r="FL132"/>
  <c r="GJ112"/>
  <c r="GI112"/>
  <c r="FL112"/>
  <c r="FK112"/>
  <c r="FO92"/>
  <c r="FN92"/>
  <c r="FU76"/>
  <c r="FV76"/>
  <c r="FL72"/>
  <c r="FK72"/>
  <c r="FO52"/>
  <c r="FN52"/>
  <c r="FL44"/>
  <c r="FK44"/>
  <c r="GJ207"/>
  <c r="GI207"/>
  <c r="FO205"/>
  <c r="FN205"/>
  <c r="FL177"/>
  <c r="FK177"/>
  <c r="GC177"/>
  <c r="GB177"/>
  <c r="FN165"/>
  <c r="FO165"/>
  <c r="GC165"/>
  <c r="GB165"/>
  <c r="FN133"/>
  <c r="FO133"/>
  <c r="GJ133"/>
  <c r="GI133"/>
  <c r="GC129"/>
  <c r="GB129"/>
  <c r="GP129"/>
  <c r="GQ129"/>
  <c r="FN113"/>
  <c r="FO113"/>
  <c r="GJ113"/>
  <c r="GI113"/>
  <c r="FK105"/>
  <c r="FL105"/>
  <c r="GB101"/>
  <c r="GC101"/>
  <c r="FN101"/>
  <c r="FO101"/>
  <c r="FU81"/>
  <c r="FV81"/>
  <c r="GP81"/>
  <c r="GQ81"/>
  <c r="FN65"/>
  <c r="FK61"/>
  <c r="FL61"/>
  <c r="GB53"/>
  <c r="GC53"/>
  <c r="GI53"/>
  <c r="GJ53"/>
  <c r="GB49"/>
  <c r="GC49"/>
  <c r="GP41"/>
  <c r="GQ41"/>
  <c r="FU41"/>
  <c r="FV41"/>
  <c r="GB194"/>
  <c r="GC194"/>
  <c r="FL190"/>
  <c r="FK190"/>
  <c r="FL178"/>
  <c r="FK178"/>
  <c r="GB174"/>
  <c r="GC174"/>
  <c r="FK126"/>
  <c r="FL126"/>
  <c r="GP114"/>
  <c r="GQ114"/>
  <c r="FL175"/>
  <c r="FK175"/>
  <c r="GJ159"/>
  <c r="GI159"/>
  <c r="FU159"/>
  <c r="FV159"/>
  <c r="FV151"/>
  <c r="FU151"/>
  <c r="GC151"/>
  <c r="GB151"/>
  <c r="FV115"/>
  <c r="FU115"/>
  <c r="GB115"/>
  <c r="GC115"/>
  <c r="GQ107"/>
  <c r="GP107"/>
  <c r="GB99"/>
  <c r="GC99"/>
  <c r="GI99"/>
  <c r="GJ99"/>
  <c r="FO79"/>
  <c r="FN79"/>
  <c r="FO51"/>
  <c r="FN51"/>
  <c r="GP39"/>
  <c r="GQ39"/>
  <c r="GB204"/>
  <c r="GC204"/>
  <c r="GI204"/>
  <c r="GJ204"/>
  <c r="GB200"/>
  <c r="GC200"/>
  <c r="FU188"/>
  <c r="FV188"/>
  <c r="GI184"/>
  <c r="GJ184"/>
  <c r="GP184"/>
  <c r="GQ184"/>
  <c r="FN160"/>
  <c r="FO160"/>
  <c r="GP148"/>
  <c r="GQ148"/>
  <c r="FN148"/>
  <c r="FO148"/>
  <c r="FL144"/>
  <c r="FK144"/>
  <c r="FU128"/>
  <c r="FV128"/>
  <c r="FK128"/>
  <c r="FL128"/>
  <c r="FU120"/>
  <c r="FV120"/>
  <c r="FK48"/>
  <c r="FL48"/>
  <c r="FV181"/>
  <c r="FU181"/>
  <c r="FN161"/>
  <c r="FO161"/>
  <c r="FU153"/>
  <c r="FV153"/>
  <c r="FL153"/>
  <c r="FK153"/>
  <c r="FN121"/>
  <c r="FO121"/>
  <c r="FL117"/>
  <c r="FK117"/>
  <c r="FL93"/>
  <c r="FK93"/>
  <c r="GI85"/>
  <c r="GJ85"/>
  <c r="GB57"/>
  <c r="GC57"/>
  <c r="FU57"/>
  <c r="FV57"/>
  <c r="GJ202"/>
  <c r="GI202"/>
  <c r="FL202"/>
  <c r="FK202"/>
  <c r="FL198"/>
  <c r="FK198"/>
  <c r="GI186"/>
  <c r="GJ186"/>
  <c r="FL182"/>
  <c r="FK182"/>
  <c r="FV162"/>
  <c r="FU162"/>
  <c r="FO162"/>
  <c r="FN162"/>
  <c r="FN158"/>
  <c r="FO158"/>
  <c r="FN150"/>
  <c r="FO150"/>
  <c r="GC146"/>
  <c r="GB146"/>
  <c r="GI146"/>
  <c r="GJ146"/>
  <c r="FV134"/>
  <c r="FU134"/>
  <c r="FK134"/>
  <c r="FL134"/>
  <c r="GC130"/>
  <c r="FV130"/>
  <c r="FU130"/>
  <c r="FO122"/>
  <c r="FN122"/>
  <c r="FO118"/>
  <c r="FN118"/>
  <c r="GP110"/>
  <c r="GQ110"/>
  <c r="FN110"/>
  <c r="FO110"/>
  <c r="FL94"/>
  <c r="FK94"/>
  <c r="GQ82"/>
  <c r="GP82"/>
  <c r="FU74"/>
  <c r="FV74"/>
  <c r="GC74"/>
  <c r="GB74"/>
  <c r="GI39"/>
  <c r="GJ39"/>
  <c r="GJ120"/>
  <c r="GI120"/>
  <c r="FV183"/>
  <c r="FU183"/>
  <c r="GB183"/>
  <c r="GC183"/>
  <c r="FK171"/>
  <c r="FL171"/>
  <c r="GP171"/>
  <c r="GQ171"/>
  <c r="GQ163"/>
  <c r="GP163"/>
  <c r="GP131"/>
  <c r="GQ131"/>
  <c r="FU127"/>
  <c r="FV127"/>
  <c r="GB123"/>
  <c r="GC123"/>
  <c r="GQ123"/>
  <c r="GP123"/>
  <c r="GB111"/>
  <c r="GC111"/>
  <c r="FO91"/>
  <c r="FN91"/>
  <c r="GB75"/>
  <c r="GC75"/>
  <c r="GJ75"/>
  <c r="GI75"/>
  <c r="FN63"/>
  <c r="FO63"/>
  <c r="GI55"/>
  <c r="GJ55"/>
  <c r="GC172"/>
  <c r="GB172"/>
  <c r="FN172"/>
  <c r="FO172"/>
  <c r="FK116"/>
  <c r="FL116"/>
  <c r="FN108"/>
  <c r="FO108"/>
  <c r="GI96"/>
  <c r="GJ96"/>
  <c r="GP88"/>
  <c r="GQ88"/>
  <c r="FN88"/>
  <c r="FO68"/>
  <c r="FN68"/>
  <c r="FV68"/>
  <c r="FU68"/>
  <c r="GQ40"/>
  <c r="GP40"/>
  <c r="FL40"/>
  <c r="FK40"/>
  <c r="FK189"/>
  <c r="FL189"/>
  <c r="FU189"/>
  <c r="FV189"/>
  <c r="GB185"/>
  <c r="GC185"/>
  <c r="GP141"/>
  <c r="GQ141"/>
  <c r="FO141"/>
  <c r="GJ137"/>
  <c r="GI137"/>
  <c r="FK97"/>
  <c r="FL97"/>
  <c r="GC97"/>
  <c r="GB97"/>
  <c r="FL89"/>
  <c r="FK89"/>
  <c r="GC89"/>
  <c r="GI69"/>
  <c r="GJ69"/>
  <c r="GQ69"/>
  <c r="GP69"/>
  <c r="FL206"/>
  <c r="FK206"/>
  <c r="GC206"/>
  <c r="GB206"/>
  <c r="GB166"/>
  <c r="GC142"/>
  <c r="GB142"/>
  <c r="GB138"/>
  <c r="GC138"/>
  <c r="GI138"/>
  <c r="GJ138"/>
  <c r="FK98"/>
  <c r="FL98"/>
  <c r="FO98"/>
  <c r="FN98"/>
  <c r="GJ70"/>
  <c r="GI70"/>
  <c r="FN62"/>
  <c r="FO62"/>
  <c r="FL46"/>
  <c r="FK46"/>
  <c r="FN144"/>
  <c r="FO144"/>
  <c r="GI57"/>
  <c r="GJ57"/>
  <c r="GQ202"/>
  <c r="GP202"/>
  <c r="FV203"/>
  <c r="FU203"/>
  <c r="GJ203"/>
  <c r="GJ191"/>
  <c r="GI191"/>
  <c r="FL187"/>
  <c r="FK187"/>
  <c r="GB167"/>
  <c r="GC167"/>
  <c r="FN167"/>
  <c r="FO167"/>
  <c r="GI103"/>
  <c r="GJ103"/>
  <c r="FU95"/>
  <c r="FV95"/>
  <c r="GB95"/>
  <c r="FV59"/>
  <c r="FU59"/>
  <c r="FL59"/>
  <c r="FK59"/>
  <c r="FN43"/>
  <c r="FO43"/>
  <c r="FN196"/>
  <c r="FO196"/>
  <c r="FL196"/>
  <c r="FK196"/>
  <c r="FK192"/>
  <c r="FL192"/>
  <c r="GC180"/>
  <c r="GB180"/>
  <c r="GC156"/>
  <c r="GB156"/>
  <c r="FN136"/>
  <c r="FO136"/>
  <c r="FN104"/>
  <c r="FO104"/>
  <c r="GJ100"/>
  <c r="GI100"/>
  <c r="GP84"/>
  <c r="GQ84"/>
  <c r="GI80"/>
  <c r="GJ80"/>
  <c r="FN64"/>
  <c r="FO64"/>
  <c r="FN60"/>
  <c r="FO60"/>
  <c r="FN56"/>
  <c r="FO56"/>
  <c r="GP201"/>
  <c r="GQ201"/>
  <c r="GB197"/>
  <c r="GC197"/>
  <c r="GI197"/>
  <c r="GJ197"/>
  <c r="FN193"/>
  <c r="FO193"/>
  <c r="GB173"/>
  <c r="GC173"/>
  <c r="FV173"/>
  <c r="FU173"/>
  <c r="GI169"/>
  <c r="GJ169"/>
  <c r="FN157"/>
  <c r="FO157"/>
  <c r="FU149"/>
  <c r="FV149"/>
  <c r="FK149"/>
  <c r="FL149"/>
  <c r="GI145"/>
  <c r="GJ145"/>
  <c r="GC145"/>
  <c r="GB145"/>
  <c r="FV109"/>
  <c r="GB73"/>
  <c r="GC73"/>
  <c r="FN45"/>
  <c r="FO45"/>
  <c r="GQ154"/>
  <c r="GP154"/>
  <c r="FU106"/>
  <c r="FV106"/>
  <c r="GQ102"/>
  <c r="GP102"/>
  <c r="GC90"/>
  <c r="GB90"/>
  <c r="GJ90"/>
  <c r="GI90"/>
  <c r="GJ86"/>
  <c r="GI86"/>
  <c r="GI78"/>
  <c r="GJ78"/>
  <c r="GB66"/>
  <c r="GC66"/>
  <c r="FO50"/>
  <c r="FN50"/>
  <c r="GP38"/>
  <c r="GQ38"/>
  <c r="FO38"/>
  <c r="FN38"/>
  <c r="S131" i="15" l="1"/>
  <c r="S103"/>
  <c r="S190"/>
  <c r="S170"/>
  <c r="S65"/>
  <c r="S77"/>
  <c r="S124"/>
  <c r="S147"/>
  <c r="T125" i="12"/>
  <c r="S47" i="15"/>
  <c r="S162"/>
  <c r="S121"/>
  <c r="S107"/>
  <c r="S188"/>
  <c r="S93"/>
  <c r="S108"/>
  <c r="S63"/>
  <c r="S42"/>
  <c r="S80"/>
  <c r="T161" i="12"/>
  <c r="T177"/>
  <c r="S174" i="15"/>
  <c r="S119"/>
  <c r="S175"/>
  <c r="S161"/>
  <c r="S202"/>
  <c r="S151"/>
  <c r="S139"/>
  <c r="S109"/>
  <c r="S117"/>
  <c r="S91"/>
  <c r="J63"/>
  <c r="L60" i="11"/>
  <c r="HD64" i="9"/>
  <c r="J159" i="15"/>
  <c r="L156" i="11"/>
  <c r="HD160" i="9"/>
  <c r="HD87"/>
  <c r="J86" i="15"/>
  <c r="L83" i="11"/>
  <c r="HD135" i="9"/>
  <c r="J134" i="15"/>
  <c r="L131" i="11"/>
  <c r="J120" i="15"/>
  <c r="HD121" i="9"/>
  <c r="L117" i="11"/>
  <c r="J168" i="15"/>
  <c r="HD169" i="9"/>
  <c r="L165" i="11"/>
  <c r="L97"/>
  <c r="HD101" i="9"/>
  <c r="J100" i="15"/>
  <c r="L145" i="11"/>
  <c r="HD149" i="9"/>
  <c r="J148" i="15"/>
  <c r="J103"/>
  <c r="HD104" i="9"/>
  <c r="L100" i="11"/>
  <c r="HD55" i="9"/>
  <c r="J54" i="15"/>
  <c r="L51" i="11"/>
  <c r="HD167" i="9"/>
  <c r="J166" i="15"/>
  <c r="L163" i="11"/>
  <c r="J147" i="15"/>
  <c r="L144" i="11"/>
  <c r="HD148" i="9"/>
  <c r="J143" i="15"/>
  <c r="L140" i="11"/>
  <c r="HD144" i="9"/>
  <c r="J78" i="15"/>
  <c r="L75" i="11"/>
  <c r="HD79" i="9"/>
  <c r="J142" i="15"/>
  <c r="L139" i="11"/>
  <c r="HD143" i="9"/>
  <c r="HD60"/>
  <c r="J59" i="15"/>
  <c r="L56" i="11"/>
  <c r="HD124" i="9"/>
  <c r="J123" i="15"/>
  <c r="L120" i="11"/>
  <c r="HD188" i="9"/>
  <c r="J187" i="15"/>
  <c r="L184" i="11"/>
  <c r="J74" i="15"/>
  <c r="L71" i="11"/>
  <c r="HD75" i="9"/>
  <c r="J138" i="15"/>
  <c r="L135" i="11"/>
  <c r="HD139" i="9"/>
  <c r="J202" i="15"/>
  <c r="L199" i="11"/>
  <c r="HD203" i="9"/>
  <c r="J206" i="15"/>
  <c r="L203" i="11"/>
  <c r="HD207" i="9"/>
  <c r="J119" i="15"/>
  <c r="HD120" i="9"/>
  <c r="L116" i="11"/>
  <c r="J183" i="15"/>
  <c r="HD184" i="9"/>
  <c r="L180" i="11"/>
  <c r="HD199" i="9"/>
  <c r="J198" i="15"/>
  <c r="L195" i="11"/>
  <c r="J67" i="15"/>
  <c r="L64" i="11"/>
  <c r="HD68" i="9"/>
  <c r="J131" i="15"/>
  <c r="L128" i="11"/>
  <c r="HD132" i="9"/>
  <c r="J66" i="15"/>
  <c r="HD67" i="9"/>
  <c r="L63" i="11"/>
  <c r="J130" i="15"/>
  <c r="HD131" i="9"/>
  <c r="L127" i="11"/>
  <c r="J194" i="15"/>
  <c r="HD195" i="9"/>
  <c r="L191" i="11"/>
  <c r="J135" i="15"/>
  <c r="HD136" i="9"/>
  <c r="L132" i="11"/>
  <c r="J82" i="15"/>
  <c r="HD83" i="9"/>
  <c r="L79" i="11"/>
  <c r="J39" i="15"/>
  <c r="HD40" i="9"/>
  <c r="L36" i="11"/>
  <c r="J127" i="15"/>
  <c r="L124" i="11"/>
  <c r="HD128" i="9"/>
  <c r="HD71"/>
  <c r="J70" i="15"/>
  <c r="L67" i="11"/>
  <c r="HD119" i="9"/>
  <c r="J118" i="15"/>
  <c r="L115" i="11"/>
  <c r="HD183" i="9"/>
  <c r="J182" i="15"/>
  <c r="L179" i="11"/>
  <c r="J179" i="15"/>
  <c r="L176" i="11"/>
  <c r="HD180" i="9"/>
  <c r="GV97"/>
  <c r="GV83"/>
  <c r="GT137"/>
  <c r="S172" i="15"/>
  <c r="GV107" i="9"/>
  <c r="GT199"/>
  <c r="GW199"/>
  <c r="N92" i="11"/>
  <c r="N73"/>
  <c r="N201"/>
  <c r="N152"/>
  <c r="N39"/>
  <c r="N148"/>
  <c r="N189"/>
  <c r="N160"/>
  <c r="T153" i="12"/>
  <c r="T122"/>
  <c r="T129"/>
  <c r="GT194" i="9"/>
  <c r="GV194"/>
  <c r="S89" i="15"/>
  <c r="S149"/>
  <c r="GT76" i="9"/>
  <c r="GU76"/>
  <c r="S194" i="15"/>
  <c r="S189"/>
  <c r="GX149" i="9"/>
  <c r="GW149"/>
  <c r="GV93"/>
  <c r="GX161"/>
  <c r="GV88"/>
  <c r="T119" i="12"/>
  <c r="T35"/>
  <c r="GU197" i="9"/>
  <c r="S143" i="15"/>
  <c r="S130"/>
  <c r="GV129" i="9"/>
  <c r="GU141"/>
  <c r="N137" i="11" s="1"/>
  <c r="GW55" i="9"/>
  <c r="T52" i="12" s="1"/>
  <c r="GV63" i="9"/>
  <c r="GX127"/>
  <c r="N186" i="11"/>
  <c r="N74"/>
  <c r="N66"/>
  <c r="N70"/>
  <c r="N78"/>
  <c r="N170"/>
  <c r="GV53" i="9"/>
  <c r="GU65"/>
  <c r="N61" i="11" s="1"/>
  <c r="GT145" i="9"/>
  <c r="GW145"/>
  <c r="S110" i="15"/>
  <c r="GU201" i="9"/>
  <c r="N108" i="11"/>
  <c r="N187"/>
  <c r="N153"/>
  <c r="N40"/>
  <c r="N104"/>
  <c r="N168"/>
  <c r="N55"/>
  <c r="N119"/>
  <c r="N183"/>
  <c r="N197"/>
  <c r="N164"/>
  <c r="N99"/>
  <c r="N48"/>
  <c r="N112"/>
  <c r="N47"/>
  <c r="N111"/>
  <c r="N175"/>
  <c r="N77"/>
  <c r="N87"/>
  <c r="N80"/>
  <c r="N143"/>
  <c r="N173"/>
  <c r="J56" i="15"/>
  <c r="HD57" i="9"/>
  <c r="L53" i="11"/>
  <c r="J104" i="15"/>
  <c r="HD105" i="9"/>
  <c r="L101" i="11"/>
  <c r="L81"/>
  <c r="HD85" i="9"/>
  <c r="J84" i="15"/>
  <c r="L129" i="11"/>
  <c r="HD133" i="9"/>
  <c r="J132" i="15"/>
  <c r="J47"/>
  <c r="L44" i="11"/>
  <c r="HD48" i="9"/>
  <c r="J175" i="15"/>
  <c r="L172" i="11"/>
  <c r="HD176" i="9"/>
  <c r="J94" i="15"/>
  <c r="L91" i="11"/>
  <c r="HD95" i="9"/>
  <c r="J158" i="15"/>
  <c r="L155" i="11"/>
  <c r="HD159" i="9"/>
  <c r="HD76"/>
  <c r="J75" i="15"/>
  <c r="L72" i="11"/>
  <c r="HD140" i="9"/>
  <c r="J139" i="15"/>
  <c r="L136" i="11"/>
  <c r="J136" i="15"/>
  <c r="HD137" i="9"/>
  <c r="L133" i="11"/>
  <c r="J184" i="15"/>
  <c r="HD185" i="9"/>
  <c r="L181" i="11"/>
  <c r="L49"/>
  <c r="HD53" i="9"/>
  <c r="J52" i="15"/>
  <c r="L161" i="11"/>
  <c r="HD165" i="9"/>
  <c r="J164" i="15"/>
  <c r="L41" i="11"/>
  <c r="HD45" i="9"/>
  <c r="J44" i="15"/>
  <c r="L105" i="11"/>
  <c r="HD109" i="9"/>
  <c r="J108" i="15"/>
  <c r="L169" i="11"/>
  <c r="HD173" i="9"/>
  <c r="J172" i="15"/>
  <c r="J96"/>
  <c r="L93" i="11"/>
  <c r="HD97" i="9"/>
  <c r="J160" i="15"/>
  <c r="L157" i="11"/>
  <c r="HD161" i="9"/>
  <c r="J72" i="15"/>
  <c r="HD73" i="9"/>
  <c r="L69" i="11"/>
  <c r="L113"/>
  <c r="HD117" i="9"/>
  <c r="J116" i="15"/>
  <c r="J112"/>
  <c r="L109" i="11"/>
  <c r="HD113" i="9"/>
  <c r="J40" i="15"/>
  <c r="HD41" i="9"/>
  <c r="L37" i="11"/>
  <c r="J88" i="15"/>
  <c r="HD89" i="9"/>
  <c r="L85" i="11"/>
  <c r="L65"/>
  <c r="HD69" i="9"/>
  <c r="J68" i="15"/>
  <c r="L177" i="11"/>
  <c r="HD181" i="9"/>
  <c r="J180" i="15"/>
  <c r="GU97" i="9"/>
  <c r="GX83"/>
  <c r="S185" i="15"/>
  <c r="S43"/>
  <c r="S167"/>
  <c r="GX137" i="9"/>
  <c r="GW137"/>
  <c r="T134" i="12" s="1"/>
  <c r="S192" i="15"/>
  <c r="GX107" i="9"/>
  <c r="GU199"/>
  <c r="T137" i="12"/>
  <c r="T165"/>
  <c r="T106"/>
  <c r="T170"/>
  <c r="GW194" i="9"/>
  <c r="S137" i="15"/>
  <c r="S101"/>
  <c r="S168"/>
  <c r="S55"/>
  <c r="GW76" i="9"/>
  <c r="S102" i="15"/>
  <c r="S178"/>
  <c r="GV149" i="9"/>
  <c r="GU93"/>
  <c r="N89" i="11" s="1"/>
  <c r="GT161" i="9"/>
  <c r="GW161"/>
  <c r="T158" i="12" s="1"/>
  <c r="GT88" i="9"/>
  <c r="S186" i="15"/>
  <c r="T39" i="12"/>
  <c r="T75"/>
  <c r="T71"/>
  <c r="T155"/>
  <c r="T143"/>
  <c r="GT197" i="9"/>
  <c r="GU129"/>
  <c r="N125" i="11" s="1"/>
  <c r="GT141" i="9"/>
  <c r="GV55"/>
  <c r="GT63"/>
  <c r="GT127"/>
  <c r="GU127"/>
  <c r="N123" i="11" s="1"/>
  <c r="S60" i="15"/>
  <c r="S59"/>
  <c r="S203"/>
  <c r="N86" i="11"/>
  <c r="T201" i="12"/>
  <c r="N198" i="11"/>
  <c r="N58"/>
  <c r="N106"/>
  <c r="N50"/>
  <c r="N162"/>
  <c r="GU53" i="9"/>
  <c r="S40" i="15"/>
  <c r="GX65" i="9"/>
  <c r="S164" i="15"/>
  <c r="S123"/>
  <c r="GV145" i="9"/>
  <c r="GX201"/>
  <c r="J95" i="15"/>
  <c r="L92" i="11"/>
  <c r="HD96" i="9"/>
  <c r="J46" i="15"/>
  <c r="L43" i="11"/>
  <c r="HD47" i="9"/>
  <c r="J110" i="15"/>
  <c r="L107" i="11"/>
  <c r="HD111" i="9"/>
  <c r="J174" i="15"/>
  <c r="L171" i="11"/>
  <c r="HD175" i="9"/>
  <c r="HD92"/>
  <c r="J91" i="15"/>
  <c r="L88" i="11"/>
  <c r="HD156" i="9"/>
  <c r="J155" i="15"/>
  <c r="L152" i="11"/>
  <c r="J42" i="15"/>
  <c r="L39" i="11"/>
  <c r="HD43" i="9"/>
  <c r="J106" i="15"/>
  <c r="L103" i="11"/>
  <c r="HD107" i="9"/>
  <c r="J170" i="15"/>
  <c r="L167" i="11"/>
  <c r="HD171" i="9"/>
  <c r="J71" i="15"/>
  <c r="HD72" i="9"/>
  <c r="L68" i="11"/>
  <c r="J151" i="15"/>
  <c r="HD152" i="9"/>
  <c r="L148" i="11"/>
  <c r="HD39" i="9"/>
  <c r="J38" i="15"/>
  <c r="L35" i="11"/>
  <c r="J99" i="15"/>
  <c r="L96" i="11"/>
  <c r="HD100" i="9"/>
  <c r="J195" i="15"/>
  <c r="L192" i="11"/>
  <c r="HD196" i="9"/>
  <c r="J98" i="15"/>
  <c r="HD99" i="9"/>
  <c r="L95" i="11"/>
  <c r="J162" i="15"/>
  <c r="HD163" i="9"/>
  <c r="L159" i="11"/>
  <c r="HD204" i="9"/>
  <c r="J203" i="15"/>
  <c r="L200" i="11"/>
  <c r="J154" i="15"/>
  <c r="L151" i="11"/>
  <c r="HD155" i="9"/>
  <c r="J55" i="15"/>
  <c r="HD56" i="9"/>
  <c r="L52" i="11"/>
  <c r="J199" i="15"/>
  <c r="HD200" i="9"/>
  <c r="L196" i="11"/>
  <c r="J163" i="15"/>
  <c r="L160" i="11"/>
  <c r="HD164" i="9"/>
  <c r="L57" i="11"/>
  <c r="HD61" i="9"/>
  <c r="J60" i="15"/>
  <c r="L121" i="11"/>
  <c r="HD125" i="9"/>
  <c r="J124" i="15"/>
  <c r="L185" i="11"/>
  <c r="HD189" i="9"/>
  <c r="J188" i="15"/>
  <c r="J111"/>
  <c r="L108" i="11"/>
  <c r="HD112" i="9"/>
  <c r="J62" i="15"/>
  <c r="L59" i="11"/>
  <c r="HD63" i="9"/>
  <c r="J126" i="15"/>
  <c r="L123" i="11"/>
  <c r="HD127" i="9"/>
  <c r="J190" i="15"/>
  <c r="L187" i="11"/>
  <c r="HD191" i="9"/>
  <c r="HD44"/>
  <c r="J43" i="15"/>
  <c r="L40" i="11"/>
  <c r="HD108" i="9"/>
  <c r="J107" i="15"/>
  <c r="L104" i="11"/>
  <c r="HD172" i="9"/>
  <c r="J171" i="15"/>
  <c r="L168" i="11"/>
  <c r="J58" i="15"/>
  <c r="L55" i="11"/>
  <c r="HD59" i="9"/>
  <c r="J122" i="15"/>
  <c r="L119" i="11"/>
  <c r="HD123" i="9"/>
  <c r="J186" i="15"/>
  <c r="L183" i="11"/>
  <c r="HD187" i="9"/>
  <c r="J87" i="15"/>
  <c r="HD88" i="9"/>
  <c r="L84" i="11"/>
  <c r="J167" i="15"/>
  <c r="HD168" i="9"/>
  <c r="L164" i="11"/>
  <c r="HD103" i="9"/>
  <c r="J102" i="15"/>
  <c r="L99" i="11"/>
  <c r="J51" i="15"/>
  <c r="L48" i="11"/>
  <c r="HD52" i="9"/>
  <c r="J115" i="15"/>
  <c r="L112" i="11"/>
  <c r="HD116" i="9"/>
  <c r="J50" i="15"/>
  <c r="HD51" i="9"/>
  <c r="L47" i="11"/>
  <c r="J114" i="15"/>
  <c r="HD115" i="9"/>
  <c r="L111" i="11"/>
  <c r="J178" i="15"/>
  <c r="HD179" i="9"/>
  <c r="L175" i="11"/>
  <c r="J90" i="15"/>
  <c r="L87" i="11"/>
  <c r="HD91" i="9"/>
  <c r="J83" i="15"/>
  <c r="L80" i="11"/>
  <c r="HD84" i="9"/>
  <c r="J146" i="15"/>
  <c r="HD147" i="9"/>
  <c r="L143" i="11"/>
  <c r="S37" i="15"/>
  <c r="S57"/>
  <c r="S76"/>
  <c r="GX97" i="9"/>
  <c r="S81" i="15"/>
  <c r="GT83" i="9"/>
  <c r="GU83"/>
  <c r="GV137"/>
  <c r="S176" i="15"/>
  <c r="S70"/>
  <c r="S153"/>
  <c r="S95"/>
  <c r="GT107" i="9"/>
  <c r="GU107"/>
  <c r="GV199"/>
  <c r="T78" i="12"/>
  <c r="T149"/>
  <c r="T61"/>
  <c r="GU194" i="9"/>
  <c r="GV76"/>
  <c r="S58" i="15"/>
  <c r="GU149" i="9"/>
  <c r="S122" i="15"/>
  <c r="GX93" i="9"/>
  <c r="GV161"/>
  <c r="S180" i="15"/>
  <c r="GX88" i="9"/>
  <c r="GU88"/>
  <c r="T63" i="12"/>
  <c r="T151"/>
  <c r="T99"/>
  <c r="T183"/>
  <c r="T51"/>
  <c r="T147"/>
  <c r="T87"/>
  <c r="T123"/>
  <c r="N133" i="11"/>
  <c r="N181"/>
  <c r="N100"/>
  <c r="N51"/>
  <c r="N49"/>
  <c r="N144"/>
  <c r="S48" i="15"/>
  <c r="GX197" i="9"/>
  <c r="GV197"/>
  <c r="S50" i="15"/>
  <c r="S98"/>
  <c r="GX129" i="9"/>
  <c r="GX141"/>
  <c r="GW141"/>
  <c r="GX55"/>
  <c r="GX63"/>
  <c r="GU63"/>
  <c r="GW127"/>
  <c r="S129" i="15"/>
  <c r="S39"/>
  <c r="S171"/>
  <c r="N140" i="11"/>
  <c r="N41"/>
  <c r="N105"/>
  <c r="N169"/>
  <c r="N56"/>
  <c r="N184"/>
  <c r="N71"/>
  <c r="N135"/>
  <c r="N203"/>
  <c r="N116"/>
  <c r="N195"/>
  <c r="N64"/>
  <c r="N128"/>
  <c r="N63"/>
  <c r="N127"/>
  <c r="N191"/>
  <c r="N93"/>
  <c r="N157"/>
  <c r="N69"/>
  <c r="N132"/>
  <c r="N113"/>
  <c r="N79"/>
  <c r="N109"/>
  <c r="N202"/>
  <c r="N118"/>
  <c r="N98"/>
  <c r="N42"/>
  <c r="N36"/>
  <c r="N124"/>
  <c r="N67"/>
  <c r="N179"/>
  <c r="N177"/>
  <c r="N176"/>
  <c r="S169" i="15"/>
  <c r="GX53" i="9"/>
  <c r="S113" i="15"/>
  <c r="GT65" i="9"/>
  <c r="GW65"/>
  <c r="S156" i="15"/>
  <c r="GU145" i="9"/>
  <c r="S46" i="15"/>
  <c r="S166"/>
  <c r="S68"/>
  <c r="GT201" i="9"/>
  <c r="GV201"/>
  <c r="S199" i="15"/>
  <c r="L73" i="11"/>
  <c r="HD77" i="9"/>
  <c r="J76" i="15"/>
  <c r="L137" i="11"/>
  <c r="HD141" i="9"/>
  <c r="J140" i="15"/>
  <c r="L201" i="11"/>
  <c r="HD205" i="9"/>
  <c r="J204" i="15"/>
  <c r="J152"/>
  <c r="HD153" i="9"/>
  <c r="L149" i="11"/>
  <c r="L193"/>
  <c r="HD197" i="9"/>
  <c r="J196" i="15"/>
  <c r="J64"/>
  <c r="L61" i="11"/>
  <c r="HD65" i="9"/>
  <c r="J128" i="15"/>
  <c r="L125" i="11"/>
  <c r="HD129" i="9"/>
  <c r="J192" i="15"/>
  <c r="L189" i="11"/>
  <c r="HD193" i="9"/>
  <c r="J48" i="15"/>
  <c r="L45" i="11"/>
  <c r="HD49" i="9"/>
  <c r="J79" i="15"/>
  <c r="L76" i="11"/>
  <c r="HD80" i="9"/>
  <c r="J191" i="15"/>
  <c r="L188" i="11"/>
  <c r="HD192" i="9"/>
  <c r="HD151"/>
  <c r="J150" i="15"/>
  <c r="L147" i="11"/>
  <c r="L89"/>
  <c r="HD93" i="9"/>
  <c r="J92" i="15"/>
  <c r="L153" i="11"/>
  <c r="HD157" i="9"/>
  <c r="J156" i="15"/>
  <c r="J200"/>
  <c r="HD201" i="9"/>
  <c r="L197" i="11"/>
  <c r="J80" i="15"/>
  <c r="L77" i="11"/>
  <c r="HD81" i="9"/>
  <c r="J144" i="15"/>
  <c r="L141" i="11"/>
  <c r="HD145" i="9"/>
  <c r="J176" i="15"/>
  <c r="L173" i="11"/>
  <c r="HD177" i="9"/>
  <c r="FN199"/>
  <c r="S72" i="15"/>
  <c r="S41"/>
  <c r="S44"/>
  <c r="GT97" i="9"/>
  <c r="S132" i="15"/>
  <c r="S105"/>
  <c r="S187"/>
  <c r="S157"/>
  <c r="S127"/>
  <c r="S94"/>
  <c r="S163"/>
  <c r="S145"/>
  <c r="S179"/>
  <c r="T41" i="12"/>
  <c r="T190"/>
  <c r="T74"/>
  <c r="T202"/>
  <c r="T81"/>
  <c r="T145"/>
  <c r="S177" i="15"/>
  <c r="S66"/>
  <c r="GT93" i="9"/>
  <c r="N44" i="11"/>
  <c r="N91"/>
  <c r="N155"/>
  <c r="N121"/>
  <c r="N72"/>
  <c r="N136"/>
  <c r="T55" i="12"/>
  <c r="T175"/>
  <c r="T91"/>
  <c r="T135"/>
  <c r="T171"/>
  <c r="T187"/>
  <c r="S133" i="15"/>
  <c r="S141"/>
  <c r="S38"/>
  <c r="S74"/>
  <c r="GT129" i="9"/>
  <c r="GT55"/>
  <c r="S135" i="15"/>
  <c r="S150"/>
  <c r="S182"/>
  <c r="N102" i="11"/>
  <c r="N130"/>
  <c r="N62"/>
  <c r="N122"/>
  <c r="N90"/>
  <c r="N182"/>
  <c r="N146"/>
  <c r="N134"/>
  <c r="GT53" i="9"/>
  <c r="S71" i="15"/>
  <c r="S154"/>
  <c r="S197"/>
  <c r="S115"/>
  <c r="S142"/>
  <c r="S152"/>
  <c r="S118"/>
  <c r="S56"/>
  <c r="S183"/>
  <c r="EI10" i="9"/>
  <c r="EK20"/>
  <c r="EW20" s="1"/>
  <c r="EI30"/>
  <c r="EK30" s="1"/>
  <c r="EW30" s="1"/>
  <c r="EI34"/>
  <c r="EK34" s="1"/>
  <c r="EW34" s="1"/>
  <c r="EI12"/>
  <c r="EK21"/>
  <c r="EW21" s="1"/>
  <c r="EK19"/>
  <c r="EW19" s="1"/>
  <c r="EK32"/>
  <c r="EW32" s="1"/>
  <c r="EK29"/>
  <c r="EW29" s="1"/>
  <c r="EK27"/>
  <c r="EW27" s="1"/>
  <c r="EK37"/>
  <c r="EW37" s="1"/>
  <c r="EK24"/>
  <c r="EW24" s="1"/>
  <c r="EK28"/>
  <c r="EW28" s="1"/>
  <c r="EK36"/>
  <c r="EW36" s="1"/>
  <c r="EK22"/>
  <c r="EW22" s="1"/>
  <c r="EK26"/>
  <c r="EW26" s="1"/>
  <c r="EK33"/>
  <c r="EW33" s="1"/>
  <c r="EK35"/>
  <c r="EW35" s="1"/>
  <c r="EK23"/>
  <c r="EW23" s="1"/>
  <c r="EI31"/>
  <c r="EK31" s="1"/>
  <c r="EW31" s="1"/>
  <c r="EI25"/>
  <c r="EK25" s="1"/>
  <c r="EW25" s="1"/>
  <c r="EI17"/>
  <c r="GC86"/>
  <c r="GC95"/>
  <c r="GI143"/>
  <c r="GI203"/>
  <c r="GC166"/>
  <c r="GB89"/>
  <c r="GC182"/>
  <c r="FU66"/>
  <c r="GB170"/>
  <c r="FN149"/>
  <c r="FV202"/>
  <c r="FO97"/>
  <c r="GJ73"/>
  <c r="GI173"/>
  <c r="FO201"/>
  <c r="GB43"/>
  <c r="GI187"/>
  <c r="FU42"/>
  <c r="FU46"/>
  <c r="GI185"/>
  <c r="FO129"/>
  <c r="GC106"/>
  <c r="FU154"/>
  <c r="GB193"/>
  <c r="GI64"/>
  <c r="FU180"/>
  <c r="FU172"/>
  <c r="FU55"/>
  <c r="FN107"/>
  <c r="GB86"/>
  <c r="GJ104"/>
  <c r="FV156"/>
  <c r="GJ143"/>
  <c r="FV185"/>
  <c r="GB182"/>
  <c r="GC181"/>
  <c r="FV66"/>
  <c r="GC170"/>
  <c r="FO149"/>
  <c r="GB60"/>
  <c r="GI73"/>
  <c r="GJ173"/>
  <c r="FV46"/>
  <c r="FO137"/>
  <c r="GJ185"/>
  <c r="GI149"/>
  <c r="GC193"/>
  <c r="FV172"/>
  <c r="FV55"/>
  <c r="FU109"/>
  <c r="GI104"/>
  <c r="FU156"/>
  <c r="FU185"/>
  <c r="FO88"/>
  <c r="GB130"/>
  <c r="GB181"/>
  <c r="GC60"/>
  <c r="FN137"/>
  <c r="GI171"/>
  <c r="FO93"/>
  <c r="GJ149"/>
  <c r="GB118"/>
  <c r="GJ152"/>
  <c r="FN141"/>
  <c r="FO65"/>
  <c r="FN55"/>
  <c r="AQ85" i="15"/>
  <c r="AR85"/>
  <c r="AR63"/>
  <c r="AQ63"/>
  <c r="AR83"/>
  <c r="AQ83"/>
  <c r="AQ81"/>
  <c r="AR81"/>
  <c r="AR183"/>
  <c r="AQ183"/>
  <c r="AQ174"/>
  <c r="AR174"/>
  <c r="AR51"/>
  <c r="AQ51"/>
  <c r="AR167"/>
  <c r="AQ167"/>
  <c r="AQ72"/>
  <c r="AR72"/>
  <c r="AQ136"/>
  <c r="AR136"/>
  <c r="AQ62"/>
  <c r="AR62"/>
  <c r="AQ93"/>
  <c r="AR93"/>
  <c r="AR47"/>
  <c r="AQ47"/>
  <c r="AQ150"/>
  <c r="AR150"/>
  <c r="AQ104"/>
  <c r="AR104"/>
  <c r="AR43"/>
  <c r="AQ43"/>
  <c r="AQ88"/>
  <c r="AR88"/>
  <c r="AQ202"/>
  <c r="AR202"/>
  <c r="AQ170"/>
  <c r="AR170"/>
  <c r="AQ145"/>
  <c r="AR145"/>
  <c r="AR119"/>
  <c r="AQ119"/>
  <c r="AQ125"/>
  <c r="AR125"/>
  <c r="AQ64"/>
  <c r="AR64"/>
  <c r="AR175"/>
  <c r="AQ175"/>
  <c r="AQ178"/>
  <c r="AR178"/>
  <c r="AQ102"/>
  <c r="AR102"/>
  <c r="AQ144"/>
  <c r="AR144"/>
  <c r="AR135"/>
  <c r="AQ135"/>
  <c r="AQ188"/>
  <c r="AR188"/>
  <c r="AQ181"/>
  <c r="AR181"/>
  <c r="AQ158"/>
  <c r="AR158"/>
  <c r="AR163"/>
  <c r="AQ163"/>
  <c r="AQ154"/>
  <c r="AR154"/>
  <c r="AQ108"/>
  <c r="AR108"/>
  <c r="AQ101"/>
  <c r="AR101"/>
  <c r="AQ173"/>
  <c r="AR173"/>
  <c r="AQ90"/>
  <c r="AR90"/>
  <c r="AQ73"/>
  <c r="AR73"/>
  <c r="AR147"/>
  <c r="AQ147"/>
  <c r="AQ118"/>
  <c r="AR118"/>
  <c r="AQ176"/>
  <c r="AR176"/>
  <c r="AR131"/>
  <c r="AQ131"/>
  <c r="AR191"/>
  <c r="AQ191"/>
  <c r="AR115"/>
  <c r="AQ115"/>
  <c r="AQ182"/>
  <c r="AR182"/>
  <c r="AQ152"/>
  <c r="AR152"/>
  <c r="AQ98"/>
  <c r="AR98"/>
  <c r="AQ76"/>
  <c r="AR76"/>
  <c r="AQ206"/>
  <c r="AR206"/>
  <c r="AQ44"/>
  <c r="AR44"/>
  <c r="AQ94"/>
  <c r="AR94"/>
  <c r="AR87"/>
  <c r="AQ87"/>
  <c r="AQ121"/>
  <c r="AR121"/>
  <c r="AQ180"/>
  <c r="AR180"/>
  <c r="AQ113"/>
  <c r="AR113"/>
  <c r="AQ52"/>
  <c r="AR52"/>
  <c r="AR75"/>
  <c r="AQ75"/>
  <c r="AQ146"/>
  <c r="AR146"/>
  <c r="AQ141"/>
  <c r="AR141"/>
  <c r="AQ116"/>
  <c r="AR116"/>
  <c r="AR95"/>
  <c r="AQ95"/>
  <c r="AQ205"/>
  <c r="AR205"/>
  <c r="AQ149"/>
  <c r="AR149"/>
  <c r="AQ114"/>
  <c r="AR114"/>
  <c r="AR91"/>
  <c r="AQ91"/>
  <c r="AQ134"/>
  <c r="AR134"/>
  <c r="AQ185"/>
  <c r="AR185"/>
  <c r="AQ58"/>
  <c r="AR58"/>
  <c r="AR139"/>
  <c r="AQ139"/>
  <c r="AQ162"/>
  <c r="AR162"/>
  <c r="AQ133"/>
  <c r="AR133"/>
  <c r="AR203"/>
  <c r="AQ203"/>
  <c r="AQ164"/>
  <c r="AR164"/>
  <c r="AR111"/>
  <c r="AQ111"/>
  <c r="AQ194"/>
  <c r="AR194"/>
  <c r="AQ105"/>
  <c r="AR105"/>
  <c r="AQ140"/>
  <c r="AR140"/>
  <c r="AQ126"/>
  <c r="AR126"/>
  <c r="AQ92"/>
  <c r="AR92"/>
  <c r="AR143"/>
  <c r="AQ143"/>
  <c r="AQ60"/>
  <c r="AR60"/>
  <c r="AQ204"/>
  <c r="AR204"/>
  <c r="AQ201"/>
  <c r="AR201"/>
  <c r="AQ190"/>
  <c r="AR190"/>
  <c r="AQ117"/>
  <c r="AR117"/>
  <c r="AQ160"/>
  <c r="AR160"/>
  <c r="AR159"/>
  <c r="AQ159"/>
  <c r="AQ106"/>
  <c r="AR106"/>
  <c r="AQ40"/>
  <c r="AR40"/>
  <c r="AQ124"/>
  <c r="AR124"/>
  <c r="AQ66"/>
  <c r="AR66"/>
  <c r="AQ89"/>
  <c r="AR89"/>
  <c r="AQ165"/>
  <c r="AR165"/>
  <c r="AQ200"/>
  <c r="AR200"/>
  <c r="AQ192"/>
  <c r="AR192"/>
  <c r="AQ122"/>
  <c r="AR122"/>
  <c r="AQ50"/>
  <c r="AR50"/>
  <c r="AQ132"/>
  <c r="AR132"/>
  <c r="AQ86"/>
  <c r="AR86"/>
  <c r="AQ157"/>
  <c r="AR157"/>
  <c r="AQ197"/>
  <c r="AR197"/>
  <c r="AR67"/>
  <c r="AQ67"/>
  <c r="AQ42"/>
  <c r="AR42"/>
  <c r="AQ54"/>
  <c r="AR54"/>
  <c r="AQ129"/>
  <c r="AR129"/>
  <c r="AR187"/>
  <c r="AQ187"/>
  <c r="AQ193"/>
  <c r="AR193"/>
  <c r="AR71"/>
  <c r="AQ71"/>
  <c r="AQ138"/>
  <c r="AR138"/>
  <c r="AQ49"/>
  <c r="AR49"/>
  <c r="AR99"/>
  <c r="AQ99"/>
  <c r="AQ110"/>
  <c r="AR110"/>
  <c r="AQ84"/>
  <c r="AR84"/>
  <c r="AR123"/>
  <c r="AQ123"/>
  <c r="AQ48"/>
  <c r="AR48"/>
  <c r="AQ128"/>
  <c r="AR128"/>
  <c r="AQ82"/>
  <c r="AR82"/>
  <c r="AQ156"/>
  <c r="AR156"/>
  <c r="AR171"/>
  <c r="AQ171"/>
  <c r="AQ109"/>
  <c r="AR109"/>
  <c r="AQ120"/>
  <c r="AR120"/>
  <c r="AR151"/>
  <c r="AQ151"/>
  <c r="AQ78"/>
  <c r="AR78"/>
  <c r="AQ177"/>
  <c r="AR177"/>
  <c r="AQ112"/>
  <c r="AR112"/>
  <c r="AQ46"/>
  <c r="AR46"/>
  <c r="AQ198"/>
  <c r="AR198"/>
  <c r="AQ130"/>
  <c r="AR130"/>
  <c r="AQ68"/>
  <c r="AR68"/>
  <c r="AR179"/>
  <c r="AQ179"/>
  <c r="AQ74"/>
  <c r="AR74"/>
  <c r="AR127"/>
  <c r="AQ127"/>
  <c r="AQ80"/>
  <c r="AR80"/>
  <c r="AQ70"/>
  <c r="AR70"/>
  <c r="AQ56"/>
  <c r="AR56"/>
  <c r="IQ175" i="9"/>
  <c r="IU175" s="1"/>
  <c r="IQ94"/>
  <c r="JA94" s="1"/>
  <c r="IQ72"/>
  <c r="JA72" s="1"/>
  <c r="GI38"/>
  <c r="GJ38"/>
  <c r="GC38"/>
  <c r="FO55"/>
  <c r="FN53"/>
  <c r="IR53" s="1"/>
  <c r="FO145"/>
  <c r="FO194"/>
  <c r="IQ57"/>
  <c r="IW57" s="1"/>
  <c r="IQ76"/>
  <c r="IT76" s="1"/>
  <c r="GP44"/>
  <c r="IR44" s="1"/>
  <c r="GP132"/>
  <c r="GJ200"/>
  <c r="GI200"/>
  <c r="GI126"/>
  <c r="GJ126"/>
  <c r="GJ156"/>
  <c r="GI156"/>
  <c r="GI116"/>
  <c r="GJ116"/>
  <c r="GI160"/>
  <c r="GJ160"/>
  <c r="GJ192"/>
  <c r="GI192"/>
  <c r="GI196"/>
  <c r="GJ196"/>
  <c r="GJ61"/>
  <c r="GI61"/>
  <c r="GJ119"/>
  <c r="GI119"/>
  <c r="GJ76"/>
  <c r="GI76"/>
  <c r="GI132"/>
  <c r="GJ132"/>
  <c r="GJ106"/>
  <c r="GI106"/>
  <c r="GI62"/>
  <c r="GJ62"/>
  <c r="AR199" i="15"/>
  <c r="IQ119" i="9"/>
  <c r="IY119" s="1"/>
  <c r="GC136"/>
  <c r="GB136"/>
  <c r="GC51"/>
  <c r="GB51"/>
  <c r="GB157"/>
  <c r="GC157"/>
  <c r="GB55"/>
  <c r="GC55"/>
  <c r="GC203"/>
  <c r="GB203"/>
  <c r="IQ189"/>
  <c r="IW189" s="1"/>
  <c r="IQ63"/>
  <c r="JA63" s="1"/>
  <c r="IQ140"/>
  <c r="FN194"/>
  <c r="IQ148"/>
  <c r="JA148" s="1"/>
  <c r="IQ124"/>
  <c r="IZ124" s="1"/>
  <c r="JB124" s="1"/>
  <c r="HG124" s="1"/>
  <c r="Q120" i="11" s="1"/>
  <c r="GC187" i="9"/>
  <c r="GB187"/>
  <c r="GC195"/>
  <c r="GB195"/>
  <c r="GB191"/>
  <c r="GC191"/>
  <c r="IQ91"/>
  <c r="IU91" s="1"/>
  <c r="IQ116"/>
  <c r="IT116" s="1"/>
  <c r="IQ55"/>
  <c r="IU55" s="1"/>
  <c r="IQ121"/>
  <c r="JA121" s="1"/>
  <c r="IQ136"/>
  <c r="IZ136" s="1"/>
  <c r="JB136" s="1"/>
  <c r="HG136" s="1"/>
  <c r="Q132" i="11" s="1"/>
  <c r="IQ163" i="9"/>
  <c r="IY163" s="1"/>
  <c r="IQ182"/>
  <c r="IV182" s="1"/>
  <c r="IQ188"/>
  <c r="IT188" s="1"/>
  <c r="FV100"/>
  <c r="FU100"/>
  <c r="FU160"/>
  <c r="FV160"/>
  <c r="IQ52"/>
  <c r="IT52" s="1"/>
  <c r="IQ110"/>
  <c r="JA110" s="1"/>
  <c r="IQ99"/>
  <c r="IY99" s="1"/>
  <c r="IQ103"/>
  <c r="JA103" s="1"/>
  <c r="IQ203"/>
  <c r="IY203" s="1"/>
  <c r="FN145"/>
  <c r="IQ139"/>
  <c r="IZ139" s="1"/>
  <c r="JB139" s="1"/>
  <c r="HG139" s="1"/>
  <c r="Q135" i="11" s="1"/>
  <c r="IQ49" i="9"/>
  <c r="JA49" s="1"/>
  <c r="IQ152"/>
  <c r="IT152" s="1"/>
  <c r="IQ112"/>
  <c r="IT112" s="1"/>
  <c r="IQ96"/>
  <c r="IT96" s="1"/>
  <c r="IR112"/>
  <c r="IQ180"/>
  <c r="IT180" s="1"/>
  <c r="IQ64"/>
  <c r="IY64" s="1"/>
  <c r="IQ84"/>
  <c r="IZ84" s="1"/>
  <c r="JB84" s="1"/>
  <c r="HG84" s="1"/>
  <c r="Q80" i="11" s="1"/>
  <c r="IQ195" i="9"/>
  <c r="IU195" s="1"/>
  <c r="IQ47"/>
  <c r="IZ47" s="1"/>
  <c r="JB47" s="1"/>
  <c r="HG47" s="1"/>
  <c r="Q43" i="11" s="1"/>
  <c r="IR206" i="9"/>
  <c r="IR139"/>
  <c r="IR117"/>
  <c r="IR177"/>
  <c r="IR72"/>
  <c r="IR86"/>
  <c r="IR109"/>
  <c r="IR95"/>
  <c r="IR63"/>
  <c r="IR57"/>
  <c r="IR99"/>
  <c r="IR73"/>
  <c r="IR88"/>
  <c r="IR111"/>
  <c r="IR131"/>
  <c r="IR74"/>
  <c r="IR82"/>
  <c r="IR174"/>
  <c r="IR133"/>
  <c r="IR92"/>
  <c r="IR71"/>
  <c r="IR87"/>
  <c r="IR179"/>
  <c r="IR84"/>
  <c r="IR79"/>
  <c r="IR114"/>
  <c r="IR65"/>
  <c r="IR89"/>
  <c r="IR171"/>
  <c r="IR153"/>
  <c r="IR48"/>
  <c r="IR175"/>
  <c r="IR105"/>
  <c r="IR168"/>
  <c r="IR64"/>
  <c r="IR69"/>
  <c r="IR141"/>
  <c r="IR172"/>
  <c r="IR184"/>
  <c r="IR115"/>
  <c r="IR102"/>
  <c r="IR140"/>
  <c r="IR146"/>
  <c r="IR158"/>
  <c r="IR41"/>
  <c r="IR176"/>
  <c r="FL58"/>
  <c r="IR58" s="1"/>
  <c r="IR45"/>
  <c r="FL104"/>
  <c r="IR110"/>
  <c r="IR148"/>
  <c r="IR188"/>
  <c r="IR204"/>
  <c r="IR77"/>
  <c r="IR47"/>
  <c r="IR155"/>
  <c r="IR135"/>
  <c r="IQ90"/>
  <c r="JA90" s="1"/>
  <c r="IQ166"/>
  <c r="IY166" s="1"/>
  <c r="IR201"/>
  <c r="IR59"/>
  <c r="IR144"/>
  <c r="IR178"/>
  <c r="IR43"/>
  <c r="IR68"/>
  <c r="IR127"/>
  <c r="IR121"/>
  <c r="IR152"/>
  <c r="IR81"/>
  <c r="IR129"/>
  <c r="IR90"/>
  <c r="IR130"/>
  <c r="IR181"/>
  <c r="IR50"/>
  <c r="FK104"/>
  <c r="IR166"/>
  <c r="IR137"/>
  <c r="IR123"/>
  <c r="IR118"/>
  <c r="IR186"/>
  <c r="IR120"/>
  <c r="IR113"/>
  <c r="IR164"/>
  <c r="IR83"/>
  <c r="IQ144"/>
  <c r="IZ144" s="1"/>
  <c r="JB144" s="1"/>
  <c r="HG144" s="1"/>
  <c r="Q140" i="11" s="1"/>
  <c r="IQ184" i="9"/>
  <c r="JA184" s="1"/>
  <c r="IR193"/>
  <c r="IR189"/>
  <c r="IR94"/>
  <c r="IR134"/>
  <c r="IR182"/>
  <c r="IR198"/>
  <c r="IR202"/>
  <c r="IR93"/>
  <c r="IR128"/>
  <c r="IR180"/>
  <c r="IR163"/>
  <c r="IR161"/>
  <c r="IR107"/>
  <c r="IR151"/>
  <c r="IR49"/>
  <c r="IR52"/>
  <c r="IR142"/>
  <c r="IR75"/>
  <c r="IR122"/>
  <c r="IR124"/>
  <c r="IR125"/>
  <c r="IR165"/>
  <c r="IR103"/>
  <c r="IR96"/>
  <c r="IR91"/>
  <c r="IR183"/>
  <c r="IR150"/>
  <c r="IR85"/>
  <c r="IR159"/>
  <c r="IR205"/>
  <c r="IR207"/>
  <c r="IR147"/>
  <c r="IR199"/>
  <c r="IR67"/>
  <c r="IQ127"/>
  <c r="JA127" s="1"/>
  <c r="IQ70"/>
  <c r="IR70"/>
  <c r="IQ66"/>
  <c r="IR66"/>
  <c r="IQ196"/>
  <c r="IQ173"/>
  <c r="IR173"/>
  <c r="IQ56"/>
  <c r="IR56"/>
  <c r="IQ78"/>
  <c r="IR78"/>
  <c r="IQ97"/>
  <c r="IR97"/>
  <c r="IQ149"/>
  <c r="IR149"/>
  <c r="IQ167"/>
  <c r="IR167"/>
  <c r="IQ156"/>
  <c r="IR40"/>
  <c r="IQ187"/>
  <c r="IQ143"/>
  <c r="IR143"/>
  <c r="IQ154"/>
  <c r="IR154"/>
  <c r="IQ60"/>
  <c r="IR60"/>
  <c r="IQ42"/>
  <c r="IR42"/>
  <c r="IQ62"/>
  <c r="IQ54"/>
  <c r="IR54"/>
  <c r="IQ169"/>
  <c r="IR169"/>
  <c r="IR162"/>
  <c r="IQ104"/>
  <c r="IQ138"/>
  <c r="IR138"/>
  <c r="IR80"/>
  <c r="IQ108"/>
  <c r="IR108"/>
  <c r="IR185"/>
  <c r="IQ170"/>
  <c r="IR170"/>
  <c r="IQ46"/>
  <c r="IR46"/>
  <c r="IQ98"/>
  <c r="IR98"/>
  <c r="IR197"/>
  <c r="IQ190"/>
  <c r="IR190"/>
  <c r="IR101"/>
  <c r="IQ192"/>
  <c r="IY192" s="1"/>
  <c r="IQ145"/>
  <c r="IY145" s="1"/>
  <c r="IQ142"/>
  <c r="JA142" s="1"/>
  <c r="IQ178"/>
  <c r="IZ178" s="1"/>
  <c r="JB178" s="1"/>
  <c r="HG178" s="1"/>
  <c r="Q174" i="11" s="1"/>
  <c r="IQ102" i="9"/>
  <c r="IV102" s="1"/>
  <c r="IQ100"/>
  <c r="IT100" s="1"/>
  <c r="IQ141"/>
  <c r="IY141" s="1"/>
  <c r="IQ177"/>
  <c r="IY177" s="1"/>
  <c r="IQ65"/>
  <c r="IY65" s="1"/>
  <c r="IQ201"/>
  <c r="JA201" s="1"/>
  <c r="IQ109"/>
  <c r="IY109" s="1"/>
  <c r="IQ129"/>
  <c r="IW129" s="1"/>
  <c r="IQ161"/>
  <c r="IY161" s="1"/>
  <c r="IQ45"/>
  <c r="IY45" s="1"/>
  <c r="IQ88"/>
  <c r="IY88" s="1"/>
  <c r="IQ77"/>
  <c r="IW77" s="1"/>
  <c r="IQ206"/>
  <c r="IZ206" s="1"/>
  <c r="JB206" s="1"/>
  <c r="HG206" s="1"/>
  <c r="Q202" i="11" s="1"/>
  <c r="IQ92" i="9"/>
  <c r="IT92" s="1"/>
  <c r="IQ153"/>
  <c r="JA153" s="1"/>
  <c r="IQ81"/>
  <c r="IY81" s="1"/>
  <c r="IQ194"/>
  <c r="IZ194" s="1"/>
  <c r="JB194" s="1"/>
  <c r="HG194" s="1"/>
  <c r="Q190" i="11" s="1"/>
  <c r="IQ85" i="9"/>
  <c r="JA85" s="1"/>
  <c r="IQ137"/>
  <c r="JA137" s="1"/>
  <c r="IQ157"/>
  <c r="IZ157" s="1"/>
  <c r="JB157" s="1"/>
  <c r="HG157" s="1"/>
  <c r="Q153" i="11" s="1"/>
  <c r="IQ53" i="9"/>
  <c r="IY53" s="1"/>
  <c r="IQ193"/>
  <c r="IZ193" s="1"/>
  <c r="JB193" s="1"/>
  <c r="HG193" s="1"/>
  <c r="Q189" i="11" s="1"/>
  <c r="IQ174" i="9"/>
  <c r="IY174" s="1"/>
  <c r="IQ125"/>
  <c r="JA125" s="1"/>
  <c r="IQ69"/>
  <c r="JA69" s="1"/>
  <c r="IQ199"/>
  <c r="IZ199" s="1"/>
  <c r="JB199" s="1"/>
  <c r="HG199" s="1"/>
  <c r="Q195" i="11" s="1"/>
  <c r="IQ41" i="9"/>
  <c r="JA41" s="1"/>
  <c r="IQ186"/>
  <c r="IV186" s="1"/>
  <c r="IQ89"/>
  <c r="JA89" s="1"/>
  <c r="IQ113"/>
  <c r="IZ113" s="1"/>
  <c r="JB113" s="1"/>
  <c r="HG113" s="1"/>
  <c r="Q109" i="11" s="1"/>
  <c r="IQ133" i="9"/>
  <c r="JA133" s="1"/>
  <c r="JA152"/>
  <c r="IY152"/>
  <c r="IX152"/>
  <c r="IV152"/>
  <c r="IY146"/>
  <c r="JA146"/>
  <c r="IZ146"/>
  <c r="JB146" s="1"/>
  <c r="HG146" s="1"/>
  <c r="Q142" i="11" s="1"/>
  <c r="IV146" i="9"/>
  <c r="IU146"/>
  <c r="IT146"/>
  <c r="IX146"/>
  <c r="IW146"/>
  <c r="IY182"/>
  <c r="IU182"/>
  <c r="IZ203"/>
  <c r="JB203" s="1"/>
  <c r="HG203" s="1"/>
  <c r="Q199" i="11" s="1"/>
  <c r="IT203" i="9"/>
  <c r="IZ90"/>
  <c r="JB90" s="1"/>
  <c r="HG90" s="1"/>
  <c r="Q86" i="11" s="1"/>
  <c r="IW148" i="9"/>
  <c r="IU148"/>
  <c r="IZ72"/>
  <c r="JB72" s="1"/>
  <c r="HG72" s="1"/>
  <c r="Q68" i="11" s="1"/>
  <c r="IW72" i="9"/>
  <c r="IU103"/>
  <c r="IZ55"/>
  <c r="JB55" s="1"/>
  <c r="HG55" s="1"/>
  <c r="Q51" i="11" s="1"/>
  <c r="IT55" i="9"/>
  <c r="IZ94"/>
  <c r="JB94" s="1"/>
  <c r="HG94" s="1"/>
  <c r="Q90" i="11" s="1"/>
  <c r="JA204" i="9"/>
  <c r="IZ204"/>
  <c r="JB204" s="1"/>
  <c r="HG204" s="1"/>
  <c r="Q200" i="11" s="1"/>
  <c r="IY204" i="9"/>
  <c r="IT204"/>
  <c r="IX204"/>
  <c r="IW204"/>
  <c r="IV204"/>
  <c r="IU204"/>
  <c r="JA140"/>
  <c r="IZ140"/>
  <c r="JB140" s="1"/>
  <c r="HG140" s="1"/>
  <c r="Q136" i="11" s="1"/>
  <c r="IY140" i="9"/>
  <c r="IT140"/>
  <c r="IX140"/>
  <c r="IW140"/>
  <c r="IV140"/>
  <c r="IU140"/>
  <c r="IT184"/>
  <c r="IU184"/>
  <c r="IZ151"/>
  <c r="JB151" s="1"/>
  <c r="HG151" s="1"/>
  <c r="Q147" i="11" s="1"/>
  <c r="IY151" i="9"/>
  <c r="JA151"/>
  <c r="IU151"/>
  <c r="IT151"/>
  <c r="IX151"/>
  <c r="IW151"/>
  <c r="IV151"/>
  <c r="IU47"/>
  <c r="IV47"/>
  <c r="IQ68"/>
  <c r="IQ43"/>
  <c r="IQ130"/>
  <c r="IQ111"/>
  <c r="IQ48"/>
  <c r="IQ105"/>
  <c r="IQ44"/>
  <c r="IQ171"/>
  <c r="IQ122"/>
  <c r="IQ160"/>
  <c r="IQ107"/>
  <c r="IQ147"/>
  <c r="IQ150"/>
  <c r="IQ51"/>
  <c r="IQ71"/>
  <c r="IQ86"/>
  <c r="IQ82"/>
  <c r="IQ168"/>
  <c r="IQ50"/>
  <c r="IQ207"/>
  <c r="IQ95"/>
  <c r="IQ118"/>
  <c r="IQ79"/>
  <c r="IQ176"/>
  <c r="IQ67"/>
  <c r="IQ117"/>
  <c r="IQ123"/>
  <c r="IQ128"/>
  <c r="IQ164"/>
  <c r="IQ155"/>
  <c r="IQ74"/>
  <c r="IQ158"/>
  <c r="IQ132"/>
  <c r="IQ73"/>
  <c r="IQ106"/>
  <c r="IQ183"/>
  <c r="IQ93"/>
  <c r="IQ61"/>
  <c r="IQ205"/>
  <c r="IQ83"/>
  <c r="IQ202"/>
  <c r="IQ191"/>
  <c r="IQ198"/>
  <c r="IQ120"/>
  <c r="IQ126"/>
  <c r="IQ75"/>
  <c r="IQ159"/>
  <c r="IQ135"/>
  <c r="IQ58"/>
  <c r="IQ59"/>
  <c r="IQ134"/>
  <c r="IQ165"/>
  <c r="IQ172"/>
  <c r="IQ181"/>
  <c r="IQ114"/>
  <c r="IQ179"/>
  <c r="IQ131"/>
  <c r="IQ115"/>
  <c r="IQ87"/>
  <c r="P3" i="8"/>
  <c r="S144" i="15" l="1"/>
  <c r="T142" i="12"/>
  <c r="S62" i="15"/>
  <c r="T60" i="12"/>
  <c r="S198" i="15"/>
  <c r="T196" i="12"/>
  <c r="S75" i="15"/>
  <c r="T73" i="12"/>
  <c r="IR203" i="9"/>
  <c r="N141" i="11"/>
  <c r="S160" i="15"/>
  <c r="S136"/>
  <c r="S148"/>
  <c r="T146" i="12"/>
  <c r="S106" i="15"/>
  <c r="T104" i="12"/>
  <c r="S200" i="15"/>
  <c r="T198" i="12"/>
  <c r="S64" i="15"/>
  <c r="T62" i="12"/>
  <c r="N145" i="11"/>
  <c r="N103"/>
  <c r="S193" i="15"/>
  <c r="N190" i="11"/>
  <c r="T191" i="12"/>
  <c r="S82" i="15"/>
  <c r="T80" i="12"/>
  <c r="S52" i="15"/>
  <c r="T50" i="12"/>
  <c r="S128" i="15"/>
  <c r="T126" i="12"/>
  <c r="S140" i="15"/>
  <c r="T138" i="12"/>
  <c r="S196" i="15"/>
  <c r="T194" i="12"/>
  <c r="S54" i="15"/>
  <c r="S87"/>
  <c r="T85" i="12"/>
  <c r="S126" i="15"/>
  <c r="T124" i="12"/>
  <c r="S92" i="15"/>
  <c r="T90" i="12"/>
  <c r="S96" i="15"/>
  <c r="T94" i="12"/>
  <c r="N84" i="11"/>
  <c r="N59"/>
  <c r="N193"/>
  <c r="IX94" i="9"/>
  <c r="IV144"/>
  <c r="IV116"/>
  <c r="IZ163"/>
  <c r="JB163" s="1"/>
  <c r="HG163" s="1"/>
  <c r="Q159" i="11" s="1"/>
  <c r="BS159" s="1"/>
  <c r="IY94" i="9"/>
  <c r="IY63"/>
  <c r="IW163"/>
  <c r="IU63"/>
  <c r="IY124"/>
  <c r="IY110"/>
  <c r="IU94"/>
  <c r="IV124"/>
  <c r="JA116"/>
  <c r="IX121"/>
  <c r="IW49"/>
  <c r="IZ76"/>
  <c r="JB76" s="1"/>
  <c r="HG76" s="1"/>
  <c r="Q72" i="11" s="1"/>
  <c r="BN72" s="1"/>
  <c r="IZ195" i="9"/>
  <c r="JB195" s="1"/>
  <c r="HG195" s="1"/>
  <c r="Q191" i="11" s="1"/>
  <c r="BP191" s="1"/>
  <c r="IW195" i="9"/>
  <c r="IX49"/>
  <c r="IY103"/>
  <c r="IW76"/>
  <c r="JA188"/>
  <c r="BS147" i="11"/>
  <c r="BR147"/>
  <c r="BQ147"/>
  <c r="BO147"/>
  <c r="BN147"/>
  <c r="BM147"/>
  <c r="BT147"/>
  <c r="BX147"/>
  <c r="BP147"/>
  <c r="BW147"/>
  <c r="BV147"/>
  <c r="BU147"/>
  <c r="BN190"/>
  <c r="BQ190"/>
  <c r="BX190"/>
  <c r="BW190"/>
  <c r="BM190"/>
  <c r="BP190"/>
  <c r="BS190"/>
  <c r="BV190"/>
  <c r="BT190"/>
  <c r="BO190"/>
  <c r="BR190"/>
  <c r="BU190"/>
  <c r="BS202"/>
  <c r="BV202"/>
  <c r="BT202"/>
  <c r="BO202"/>
  <c r="BR202"/>
  <c r="BU202"/>
  <c r="BN202"/>
  <c r="BQ202"/>
  <c r="BX202"/>
  <c r="BW202"/>
  <c r="BM202"/>
  <c r="BP202"/>
  <c r="BX140"/>
  <c r="BT140"/>
  <c r="BP140"/>
  <c r="BW140"/>
  <c r="BV140"/>
  <c r="BU140"/>
  <c r="BS140"/>
  <c r="BR140"/>
  <c r="BQ140"/>
  <c r="BO140"/>
  <c r="BN140"/>
  <c r="BM140"/>
  <c r="BS120"/>
  <c r="BR120"/>
  <c r="BQ120"/>
  <c r="BO120"/>
  <c r="BN120"/>
  <c r="BM120"/>
  <c r="BT120"/>
  <c r="BP120"/>
  <c r="BX120"/>
  <c r="BW120"/>
  <c r="BV120"/>
  <c r="BU120"/>
  <c r="BN51"/>
  <c r="BQ51"/>
  <c r="BT51"/>
  <c r="BW51"/>
  <c r="BM51"/>
  <c r="BX51"/>
  <c r="BS51"/>
  <c r="BV51"/>
  <c r="BP51"/>
  <c r="BO51"/>
  <c r="BR51"/>
  <c r="BU51"/>
  <c r="BS68"/>
  <c r="BV68"/>
  <c r="BP68"/>
  <c r="BO68"/>
  <c r="BR68"/>
  <c r="BU68"/>
  <c r="BN68"/>
  <c r="BQ68"/>
  <c r="BX68"/>
  <c r="BW68"/>
  <c r="BM68"/>
  <c r="BT68"/>
  <c r="BS142"/>
  <c r="BR142"/>
  <c r="BQ142"/>
  <c r="BO142"/>
  <c r="BN142"/>
  <c r="BM142"/>
  <c r="BT142"/>
  <c r="BX142"/>
  <c r="BP142"/>
  <c r="BW142"/>
  <c r="BV142"/>
  <c r="BU142"/>
  <c r="BS109"/>
  <c r="BR109"/>
  <c r="BQ109"/>
  <c r="BO109"/>
  <c r="BN109"/>
  <c r="BM109"/>
  <c r="BP109"/>
  <c r="BX109"/>
  <c r="BT109"/>
  <c r="BW109"/>
  <c r="BV109"/>
  <c r="BU109"/>
  <c r="BS195"/>
  <c r="BV195"/>
  <c r="BX195"/>
  <c r="BO195"/>
  <c r="BR195"/>
  <c r="BU195"/>
  <c r="BN195"/>
  <c r="BQ195"/>
  <c r="BP195"/>
  <c r="BW195"/>
  <c r="BM195"/>
  <c r="BT195"/>
  <c r="BS189"/>
  <c r="BV189"/>
  <c r="BP189"/>
  <c r="BO189"/>
  <c r="BR189"/>
  <c r="BU189"/>
  <c r="BN189"/>
  <c r="BQ189"/>
  <c r="BX189"/>
  <c r="BW189"/>
  <c r="BM189"/>
  <c r="BT189"/>
  <c r="BS80"/>
  <c r="BV80"/>
  <c r="BP80"/>
  <c r="BO80"/>
  <c r="BR80"/>
  <c r="BU80"/>
  <c r="BN80"/>
  <c r="BQ80"/>
  <c r="BX80"/>
  <c r="BW80"/>
  <c r="BM80"/>
  <c r="BT80"/>
  <c r="BS135"/>
  <c r="BR135"/>
  <c r="BQ135"/>
  <c r="BO135"/>
  <c r="BN135"/>
  <c r="BM135"/>
  <c r="BT135"/>
  <c r="BX135"/>
  <c r="BP135"/>
  <c r="BW135"/>
  <c r="BV135"/>
  <c r="BU135"/>
  <c r="BS200"/>
  <c r="BV200"/>
  <c r="BX200"/>
  <c r="BO200"/>
  <c r="BR200"/>
  <c r="BU200"/>
  <c r="BN200"/>
  <c r="BQ200"/>
  <c r="BT200"/>
  <c r="BW200"/>
  <c r="BM200"/>
  <c r="BP200"/>
  <c r="BO159"/>
  <c r="BQ159"/>
  <c r="BP159"/>
  <c r="BS86"/>
  <c r="BV86"/>
  <c r="BX86"/>
  <c r="BO86"/>
  <c r="BR86"/>
  <c r="BU86"/>
  <c r="BN86"/>
  <c r="BQ86"/>
  <c r="BP86"/>
  <c r="BW86"/>
  <c r="BM86"/>
  <c r="BT86"/>
  <c r="BS199"/>
  <c r="BV199"/>
  <c r="BX199"/>
  <c r="BO199"/>
  <c r="BR199"/>
  <c r="BU199"/>
  <c r="BN199"/>
  <c r="BQ199"/>
  <c r="BP199"/>
  <c r="BW199"/>
  <c r="BM199"/>
  <c r="BT199"/>
  <c r="BS136"/>
  <c r="BR136"/>
  <c r="BQ136"/>
  <c r="BO136"/>
  <c r="BN136"/>
  <c r="BM136"/>
  <c r="BX136"/>
  <c r="BT136"/>
  <c r="BP136"/>
  <c r="BW136"/>
  <c r="BV136"/>
  <c r="BU136"/>
  <c r="BS90"/>
  <c r="BV90"/>
  <c r="BX90"/>
  <c r="BO90"/>
  <c r="BR90"/>
  <c r="BU90"/>
  <c r="BN90"/>
  <c r="BQ90"/>
  <c r="BP90"/>
  <c r="BW90"/>
  <c r="BM90"/>
  <c r="BT90"/>
  <c r="BN191"/>
  <c r="BM191"/>
  <c r="BX191"/>
  <c r="BS153"/>
  <c r="BR153"/>
  <c r="BQ153"/>
  <c r="BO153"/>
  <c r="BN153"/>
  <c r="BM153"/>
  <c r="BT153"/>
  <c r="BX153"/>
  <c r="BP153"/>
  <c r="BW153"/>
  <c r="BV153"/>
  <c r="BU153"/>
  <c r="BS174"/>
  <c r="BV174"/>
  <c r="BT174"/>
  <c r="BO174"/>
  <c r="BR174"/>
  <c r="BU174"/>
  <c r="BN174"/>
  <c r="BQ174"/>
  <c r="BX174"/>
  <c r="BW174"/>
  <c r="BM174"/>
  <c r="BP174"/>
  <c r="BS43"/>
  <c r="BV43"/>
  <c r="BP43"/>
  <c r="BO43"/>
  <c r="BR43"/>
  <c r="BU43"/>
  <c r="BN43"/>
  <c r="BQ43"/>
  <c r="BT43"/>
  <c r="BW43"/>
  <c r="BM43"/>
  <c r="BX43"/>
  <c r="BS132"/>
  <c r="BR132"/>
  <c r="BQ132"/>
  <c r="BO132"/>
  <c r="BN132"/>
  <c r="BM132"/>
  <c r="BX132"/>
  <c r="BP132"/>
  <c r="BT132"/>
  <c r="BW132"/>
  <c r="BV132"/>
  <c r="BU132"/>
  <c r="IZ110" i="9"/>
  <c r="JB110" s="1"/>
  <c r="HG110" s="1"/>
  <c r="Q106" i="11" s="1"/>
  <c r="IZ121" i="9"/>
  <c r="JB121" s="1"/>
  <c r="HG121" s="1"/>
  <c r="Q117" i="11" s="1"/>
  <c r="IZ64" i="9"/>
  <c r="JB64" s="1"/>
  <c r="HG64" s="1"/>
  <c r="Q60" i="11" s="1"/>
  <c r="IV72" i="9"/>
  <c r="IY188"/>
  <c r="IU110"/>
  <c r="IY112"/>
  <c r="IW121"/>
  <c r="IT64"/>
  <c r="IU72"/>
  <c r="IT72"/>
  <c r="IX188"/>
  <c r="IV166"/>
  <c r="IY72"/>
  <c r="IX110"/>
  <c r="IX112"/>
  <c r="IU121"/>
  <c r="IX72"/>
  <c r="IV188"/>
  <c r="HF204"/>
  <c r="HF139"/>
  <c r="HF140"/>
  <c r="HF90"/>
  <c r="HF203"/>
  <c r="HF146"/>
  <c r="HF157"/>
  <c r="HF178"/>
  <c r="HF144"/>
  <c r="IY96"/>
  <c r="HF136"/>
  <c r="HF151"/>
  <c r="HF94"/>
  <c r="HF55"/>
  <c r="HF194"/>
  <c r="HF206"/>
  <c r="HF47"/>
  <c r="HF124"/>
  <c r="IX139"/>
  <c r="IV96"/>
  <c r="HF84"/>
  <c r="HF72"/>
  <c r="HF113"/>
  <c r="HH113" s="1"/>
  <c r="HF199"/>
  <c r="HF193"/>
  <c r="HH193" s="1"/>
  <c r="IV139"/>
  <c r="HF64"/>
  <c r="IX90"/>
  <c r="IU127"/>
  <c r="IT163"/>
  <c r="JA112"/>
  <c r="IU64"/>
  <c r="IV63"/>
  <c r="IV103"/>
  <c r="IT148"/>
  <c r="IU139"/>
  <c r="IX116"/>
  <c r="IT195"/>
  <c r="JA163"/>
  <c r="IV112"/>
  <c r="IW64"/>
  <c r="IX63"/>
  <c r="IX103"/>
  <c r="IZ148"/>
  <c r="JB148" s="1"/>
  <c r="HG148" s="1"/>
  <c r="Q144" i="11" s="1"/>
  <c r="IY139" i="9"/>
  <c r="IY116"/>
  <c r="JA195"/>
  <c r="IV84"/>
  <c r="IZ175"/>
  <c r="JB175" s="1"/>
  <c r="HG175" s="1"/>
  <c r="Q171" i="11" s="1"/>
  <c r="IY144" i="9"/>
  <c r="IW166"/>
  <c r="IX144"/>
  <c r="JA144"/>
  <c r="IR106"/>
  <c r="IR100"/>
  <c r="IR136"/>
  <c r="IR126"/>
  <c r="IU144"/>
  <c r="IT144"/>
  <c r="IW110"/>
  <c r="IV110"/>
  <c r="IV163"/>
  <c r="IU163"/>
  <c r="IW94"/>
  <c r="IV94"/>
  <c r="IW112"/>
  <c r="IZ112"/>
  <c r="JB112" s="1"/>
  <c r="HG112" s="1"/>
  <c r="Q108" i="11" s="1"/>
  <c r="IT166" i="9"/>
  <c r="IT121"/>
  <c r="IY121"/>
  <c r="IX64"/>
  <c r="JA64"/>
  <c r="IT63"/>
  <c r="IZ63"/>
  <c r="JB63" s="1"/>
  <c r="HG63" s="1"/>
  <c r="Q59" i="11" s="1"/>
  <c r="IT103" i="9"/>
  <c r="IZ103"/>
  <c r="JB103" s="1"/>
  <c r="HG103" s="1"/>
  <c r="Q99" i="11" s="1"/>
  <c r="IV148" i="9"/>
  <c r="IY148"/>
  <c r="IW139"/>
  <c r="JA139"/>
  <c r="IW188"/>
  <c r="IZ188"/>
  <c r="JB188" s="1"/>
  <c r="HG188" s="1"/>
  <c r="Q184" i="11" s="1"/>
  <c r="IV127" i="9"/>
  <c r="IW116"/>
  <c r="IZ116"/>
  <c r="JB116" s="1"/>
  <c r="HG116" s="1"/>
  <c r="Q112" i="11" s="1"/>
  <c r="IX195" i="9"/>
  <c r="IY195"/>
  <c r="IW152"/>
  <c r="IZ152"/>
  <c r="JB152" s="1"/>
  <c r="HG152" s="1"/>
  <c r="Q148" i="11" s="1"/>
  <c r="IR187" i="9"/>
  <c r="IR196"/>
  <c r="IR156"/>
  <c r="IQ200"/>
  <c r="IZ200" s="1"/>
  <c r="JB200" s="1"/>
  <c r="HG200" s="1"/>
  <c r="Q196" i="11" s="1"/>
  <c r="IW144" i="9"/>
  <c r="IT110"/>
  <c r="IX163"/>
  <c r="IT94"/>
  <c r="IU112"/>
  <c r="JA166"/>
  <c r="IV121"/>
  <c r="IV64"/>
  <c r="IW63"/>
  <c r="IW103"/>
  <c r="IX148"/>
  <c r="IT139"/>
  <c r="IU188"/>
  <c r="IU116"/>
  <c r="IV195"/>
  <c r="IU152"/>
  <c r="IX47"/>
  <c r="IW184"/>
  <c r="IU49"/>
  <c r="IW55"/>
  <c r="JA180"/>
  <c r="JA124"/>
  <c r="IY90"/>
  <c r="IW203"/>
  <c r="IX182"/>
  <c r="IZ52"/>
  <c r="JB52" s="1"/>
  <c r="HG52" s="1"/>
  <c r="Q48" i="11" s="1"/>
  <c r="IX96" i="9"/>
  <c r="IY47"/>
  <c r="IZ184"/>
  <c r="JB184" s="1"/>
  <c r="HG184" s="1"/>
  <c r="Q180" i="11" s="1"/>
  <c r="IZ49" i="9"/>
  <c r="JB49" s="1"/>
  <c r="HG49" s="1"/>
  <c r="Q45" i="11" s="1"/>
  <c r="JA55" i="9"/>
  <c r="IX124"/>
  <c r="IU90"/>
  <c r="JA203"/>
  <c r="IZ182"/>
  <c r="JB182" s="1"/>
  <c r="HG182" s="1"/>
  <c r="Q178" i="11" s="1"/>
  <c r="JA96" i="9"/>
  <c r="IT136"/>
  <c r="JA57"/>
  <c r="IW47"/>
  <c r="JA47"/>
  <c r="IV184"/>
  <c r="IY184"/>
  <c r="IT49"/>
  <c r="IY49"/>
  <c r="IY84"/>
  <c r="IX55"/>
  <c r="IY55"/>
  <c r="IU124"/>
  <c r="IT124"/>
  <c r="IW90"/>
  <c r="IV90"/>
  <c r="IV203"/>
  <c r="IU203"/>
  <c r="IV57"/>
  <c r="IT182"/>
  <c r="JA182"/>
  <c r="IW96"/>
  <c r="IZ96"/>
  <c r="JB96" s="1"/>
  <c r="HG96" s="1"/>
  <c r="Q92" i="11" s="1"/>
  <c r="IT47" i="9"/>
  <c r="IX184"/>
  <c r="IV49"/>
  <c r="IV55"/>
  <c r="IX180"/>
  <c r="IW124"/>
  <c r="IT90"/>
  <c r="IT175"/>
  <c r="IX203"/>
  <c r="IW182"/>
  <c r="IW52"/>
  <c r="IU96"/>
  <c r="IU119"/>
  <c r="IR191"/>
  <c r="IW89"/>
  <c r="IU84"/>
  <c r="IT84"/>
  <c r="IU136"/>
  <c r="IW180"/>
  <c r="IZ180"/>
  <c r="JB180" s="1"/>
  <c r="HG180" s="1"/>
  <c r="Q176" i="11" s="1"/>
  <c r="IX175" i="9"/>
  <c r="IY175"/>
  <c r="IU57"/>
  <c r="IZ57"/>
  <c r="JB57" s="1"/>
  <c r="HG57" s="1"/>
  <c r="Q53" i="11" s="1"/>
  <c r="IV119" i="9"/>
  <c r="IU99"/>
  <c r="JA84"/>
  <c r="IY91"/>
  <c r="IX84"/>
  <c r="IV180"/>
  <c r="IY180"/>
  <c r="IZ189"/>
  <c r="JB189" s="1"/>
  <c r="HG189" s="1"/>
  <c r="Q185" i="11" s="1"/>
  <c r="IW175" i="9"/>
  <c r="JA175"/>
  <c r="IT57"/>
  <c r="IY57"/>
  <c r="IV99"/>
  <c r="IW84"/>
  <c r="IU180"/>
  <c r="IU189"/>
  <c r="IV175"/>
  <c r="IX57"/>
  <c r="IX91"/>
  <c r="IR104"/>
  <c r="IW174"/>
  <c r="IX166"/>
  <c r="IZ166"/>
  <c r="JB166" s="1"/>
  <c r="HG166" s="1"/>
  <c r="Q162" i="11" s="1"/>
  <c r="IU166" i="9"/>
  <c r="IR132"/>
  <c r="IR61"/>
  <c r="IR195"/>
  <c r="IR76"/>
  <c r="IR192"/>
  <c r="IR116"/>
  <c r="IX137"/>
  <c r="IR157"/>
  <c r="IR51"/>
  <c r="JA145"/>
  <c r="IR160"/>
  <c r="IR194"/>
  <c r="IR55"/>
  <c r="IR62"/>
  <c r="IR200"/>
  <c r="IX133"/>
  <c r="IW153"/>
  <c r="IR119"/>
  <c r="IR145"/>
  <c r="IW99"/>
  <c r="JA99"/>
  <c r="IV136"/>
  <c r="IY136"/>
  <c r="IV189"/>
  <c r="JA189"/>
  <c r="IX76"/>
  <c r="JA76"/>
  <c r="IT91"/>
  <c r="IZ91"/>
  <c r="JB91" s="1"/>
  <c r="HG91" s="1"/>
  <c r="Q87" i="11" s="1"/>
  <c r="IX52" i="9"/>
  <c r="JA52"/>
  <c r="IW119"/>
  <c r="JA119"/>
  <c r="IT99"/>
  <c r="IZ99"/>
  <c r="JB99" s="1"/>
  <c r="HG99" s="1"/>
  <c r="Q95" i="11" s="1"/>
  <c r="IX136" i="9"/>
  <c r="JA136"/>
  <c r="IT189"/>
  <c r="IY189"/>
  <c r="IV76"/>
  <c r="IY76"/>
  <c r="IW91"/>
  <c r="JA91"/>
  <c r="IV52"/>
  <c r="IY52"/>
  <c r="IT119"/>
  <c r="IZ119"/>
  <c r="JB119" s="1"/>
  <c r="HG119" s="1"/>
  <c r="Q115" i="11" s="1"/>
  <c r="IU125" i="9"/>
  <c r="IX99"/>
  <c r="IW136"/>
  <c r="IX189"/>
  <c r="IU76"/>
  <c r="IV91"/>
  <c r="IU52"/>
  <c r="IX119"/>
  <c r="AQ100" i="15"/>
  <c r="AR100"/>
  <c r="AQ196"/>
  <c r="AR196"/>
  <c r="AQ45"/>
  <c r="AR45"/>
  <c r="AQ184"/>
  <c r="AR184"/>
  <c r="AR79"/>
  <c r="AQ79"/>
  <c r="AR103"/>
  <c r="AQ103"/>
  <c r="AQ161"/>
  <c r="AR161"/>
  <c r="AQ53"/>
  <c r="AR53"/>
  <c r="AQ41"/>
  <c r="AR41"/>
  <c r="AQ153"/>
  <c r="AR153"/>
  <c r="AQ186"/>
  <c r="AR186"/>
  <c r="IQ40" i="9"/>
  <c r="IX40" s="1"/>
  <c r="AR39" i="15"/>
  <c r="AQ39"/>
  <c r="AQ166"/>
  <c r="AR166"/>
  <c r="AQ96"/>
  <c r="AR96"/>
  <c r="AR55"/>
  <c r="AQ55"/>
  <c r="AR195"/>
  <c r="AQ195"/>
  <c r="AQ69"/>
  <c r="AR69"/>
  <c r="IT127" i="9"/>
  <c r="IZ127"/>
  <c r="JB127" s="1"/>
  <c r="HG127" s="1"/>
  <c r="Q123" i="11" s="1"/>
  <c r="AQ199" i="15"/>
  <c r="AQ189"/>
  <c r="AR189"/>
  <c r="AQ97"/>
  <c r="AR97"/>
  <c r="AQ169"/>
  <c r="AR169"/>
  <c r="AR107"/>
  <c r="AQ107"/>
  <c r="AQ137"/>
  <c r="AR137"/>
  <c r="AQ57"/>
  <c r="AR57"/>
  <c r="AQ168"/>
  <c r="AR168"/>
  <c r="AQ61"/>
  <c r="AR61"/>
  <c r="AR59"/>
  <c r="AQ59"/>
  <c r="AQ142"/>
  <c r="AR142"/>
  <c r="IQ197" i="9"/>
  <c r="JA197" s="1"/>
  <c r="IQ185"/>
  <c r="IY185" s="1"/>
  <c r="IQ101"/>
  <c r="IQ162"/>
  <c r="IZ162" s="1"/>
  <c r="JB162" s="1"/>
  <c r="HG162" s="1"/>
  <c r="Q158" i="11" s="1"/>
  <c r="IX127" i="9"/>
  <c r="IY127"/>
  <c r="AR155" i="15"/>
  <c r="AQ155"/>
  <c r="AQ148"/>
  <c r="AR148"/>
  <c r="AQ77"/>
  <c r="AR77"/>
  <c r="AQ172"/>
  <c r="AR172"/>
  <c r="AQ65"/>
  <c r="AR65"/>
  <c r="IQ80" i="9"/>
  <c r="JA80" s="1"/>
  <c r="IW127"/>
  <c r="X210"/>
  <c r="A6" i="6" s="1"/>
  <c r="JA186" i="9"/>
  <c r="IW113"/>
  <c r="JA199"/>
  <c r="IX186"/>
  <c r="IV199"/>
  <c r="IY125"/>
  <c r="IV81"/>
  <c r="IU186"/>
  <c r="IX125"/>
  <c r="IW157"/>
  <c r="IY77"/>
  <c r="IT113"/>
  <c r="IX199"/>
  <c r="JA157"/>
  <c r="IZ81"/>
  <c r="JB81" s="1"/>
  <c r="HG81" s="1"/>
  <c r="Q77" i="11" s="1"/>
  <c r="IU129" i="9"/>
  <c r="JA113"/>
  <c r="IX157"/>
  <c r="IX85"/>
  <c r="JA92"/>
  <c r="IV113"/>
  <c r="IZ186"/>
  <c r="JB186" s="1"/>
  <c r="HG186" s="1"/>
  <c r="Q182" i="11" s="1"/>
  <c r="IW199" i="9"/>
  <c r="IY199"/>
  <c r="IW125"/>
  <c r="JA193"/>
  <c r="IY157"/>
  <c r="IX81"/>
  <c r="JA77"/>
  <c r="IX113"/>
  <c r="IY113"/>
  <c r="IT186"/>
  <c r="IY186"/>
  <c r="IU199"/>
  <c r="IT125"/>
  <c r="IZ125"/>
  <c r="JB125" s="1"/>
  <c r="HG125" s="1"/>
  <c r="Q121" i="11" s="1"/>
  <c r="IT157" i="9"/>
  <c r="IW81"/>
  <c r="IU77"/>
  <c r="JA129"/>
  <c r="IV141"/>
  <c r="IW85"/>
  <c r="IX92"/>
  <c r="IV77"/>
  <c r="IZ45"/>
  <c r="JB45" s="1"/>
  <c r="HG45" s="1"/>
  <c r="Q41" i="11" s="1"/>
  <c r="IU201" i="9"/>
  <c r="IY100"/>
  <c r="IU113"/>
  <c r="IT199"/>
  <c r="IV193"/>
  <c r="IV157"/>
  <c r="IU81"/>
  <c r="JA81"/>
  <c r="IT77"/>
  <c r="IZ77"/>
  <c r="JB77" s="1"/>
  <c r="HG77" s="1"/>
  <c r="Q73" i="11" s="1"/>
  <c r="IY129" i="9"/>
  <c r="IU142"/>
  <c r="IU65"/>
  <c r="IT193"/>
  <c r="IU85"/>
  <c r="IY92"/>
  <c r="IU45"/>
  <c r="IV100"/>
  <c r="IY142"/>
  <c r="IY193"/>
  <c r="IZ85"/>
  <c r="JB85" s="1"/>
  <c r="HG85" s="1"/>
  <c r="Q81" i="11" s="1"/>
  <c r="IV92" i="9"/>
  <c r="IZ201"/>
  <c r="JB201" s="1"/>
  <c r="HG201" s="1"/>
  <c r="Q197" i="11" s="1"/>
  <c r="IZ65" i="9"/>
  <c r="JB65" s="1"/>
  <c r="HG65" s="1"/>
  <c r="Q61" i="11" s="1"/>
  <c r="IX193" i="9"/>
  <c r="IW193"/>
  <c r="IT85"/>
  <c r="IY85"/>
  <c r="IW92"/>
  <c r="IZ92"/>
  <c r="JB92" s="1"/>
  <c r="HG92" s="1"/>
  <c r="Q88" i="11" s="1"/>
  <c r="IX45" i="9"/>
  <c r="IT129"/>
  <c r="IZ129"/>
  <c r="JB129" s="1"/>
  <c r="HG129" s="1"/>
  <c r="Q125" i="11" s="1"/>
  <c r="IW201" i="9"/>
  <c r="IX65"/>
  <c r="IX141"/>
  <c r="IX100"/>
  <c r="IX142"/>
  <c r="IU145"/>
  <c r="IU193"/>
  <c r="IV85"/>
  <c r="IU92"/>
  <c r="IW45"/>
  <c r="IV129"/>
  <c r="IX201"/>
  <c r="IW65"/>
  <c r="JA141"/>
  <c r="JA100"/>
  <c r="IZ142"/>
  <c r="JB142" s="1"/>
  <c r="HG142" s="1"/>
  <c r="Q138" i="11" s="1"/>
  <c r="IV45" i="9"/>
  <c r="JA45"/>
  <c r="IT201"/>
  <c r="IY201"/>
  <c r="IV65"/>
  <c r="JA65"/>
  <c r="IZ141"/>
  <c r="JB141" s="1"/>
  <c r="HG141" s="1"/>
  <c r="Q137" i="11" s="1"/>
  <c r="IW100" i="9"/>
  <c r="IZ100"/>
  <c r="JB100" s="1"/>
  <c r="HG100" s="1"/>
  <c r="Q96" i="11" s="1"/>
  <c r="IW142" i="9"/>
  <c r="IV142"/>
  <c r="IX145"/>
  <c r="IT45"/>
  <c r="IV201"/>
  <c r="IT65"/>
  <c r="IU141"/>
  <c r="IU100"/>
  <c r="IT142"/>
  <c r="IZ145"/>
  <c r="JB145" s="1"/>
  <c r="HG145" s="1"/>
  <c r="Q141" i="11" s="1"/>
  <c r="IW186" i="9"/>
  <c r="IT41"/>
  <c r="IV125"/>
  <c r="IU157"/>
  <c r="IT81"/>
  <c r="IX77"/>
  <c r="IX129"/>
  <c r="IW109"/>
  <c r="IW141"/>
  <c r="IW145"/>
  <c r="IV145"/>
  <c r="IT141"/>
  <c r="IT145"/>
  <c r="IX41"/>
  <c r="IV174"/>
  <c r="IU88"/>
  <c r="IW133"/>
  <c r="IW69"/>
  <c r="IW194"/>
  <c r="IW177"/>
  <c r="IX89"/>
  <c r="IX69"/>
  <c r="IX53"/>
  <c r="IX153"/>
  <c r="IX161"/>
  <c r="IW178"/>
  <c r="IW137"/>
  <c r="IW206"/>
  <c r="IU133"/>
  <c r="IU89"/>
  <c r="IV41"/>
  <c r="IU69"/>
  <c r="IT174"/>
  <c r="IW53"/>
  <c r="IZ137"/>
  <c r="JB137" s="1"/>
  <c r="HG137" s="1"/>
  <c r="Q133" i="11" s="1"/>
  <c r="IU153" i="9"/>
  <c r="IV206"/>
  <c r="IX109"/>
  <c r="IU192"/>
  <c r="IZ133"/>
  <c r="JB133" s="1"/>
  <c r="HG133" s="1"/>
  <c r="Q129" i="11" s="1"/>
  <c r="IZ89" i="9"/>
  <c r="JB89" s="1"/>
  <c r="HG89" s="1"/>
  <c r="Q85" i="11" s="1"/>
  <c r="IZ41" i="9"/>
  <c r="JB41" s="1"/>
  <c r="HG41" s="1"/>
  <c r="Q37" i="11" s="1"/>
  <c r="IZ69" i="9"/>
  <c r="JB69" s="1"/>
  <c r="HG69" s="1"/>
  <c r="Q65" i="11" s="1"/>
  <c r="JA174" i="9"/>
  <c r="IU137"/>
  <c r="IV194"/>
  <c r="IZ153"/>
  <c r="JB153" s="1"/>
  <c r="HG153" s="1"/>
  <c r="Q149" i="11" s="1"/>
  <c r="IT88" i="9"/>
  <c r="IT133"/>
  <c r="IY133"/>
  <c r="IT89"/>
  <c r="IY89"/>
  <c r="IU41"/>
  <c r="IY41"/>
  <c r="IT69"/>
  <c r="IY69"/>
  <c r="IX174"/>
  <c r="IZ174"/>
  <c r="JB174" s="1"/>
  <c r="HG174" s="1"/>
  <c r="Q170" i="11" s="1"/>
  <c r="IU53" i="9"/>
  <c r="IT137"/>
  <c r="IY137"/>
  <c r="IT194"/>
  <c r="IT153"/>
  <c r="IY153"/>
  <c r="IT206"/>
  <c r="IW88"/>
  <c r="IW161"/>
  <c r="IZ109"/>
  <c r="JB109" s="1"/>
  <c r="HG109" s="1"/>
  <c r="Q105" i="11" s="1"/>
  <c r="IV178" i="9"/>
  <c r="IV133"/>
  <c r="IV89"/>
  <c r="IW41"/>
  <c r="IV69"/>
  <c r="IU174"/>
  <c r="IZ53"/>
  <c r="JB53" s="1"/>
  <c r="HG53" s="1"/>
  <c r="Q49" i="11" s="1"/>
  <c r="IV137" i="9"/>
  <c r="JA194"/>
  <c r="IV153"/>
  <c r="JA206"/>
  <c r="IZ88"/>
  <c r="JB88" s="1"/>
  <c r="HG88" s="1"/>
  <c r="Q84" i="11" s="1"/>
  <c r="IU109" i="9"/>
  <c r="IX177"/>
  <c r="IT102"/>
  <c r="IT192"/>
  <c r="IV53"/>
  <c r="JA53"/>
  <c r="IU194"/>
  <c r="IY194"/>
  <c r="IU206"/>
  <c r="IY206"/>
  <c r="IX88"/>
  <c r="JA88"/>
  <c r="IZ161"/>
  <c r="JB161" s="1"/>
  <c r="HG161" s="1"/>
  <c r="Q157" i="11" s="1"/>
  <c r="IV109" i="9"/>
  <c r="JA109"/>
  <c r="IU177"/>
  <c r="JA102"/>
  <c r="JA178"/>
  <c r="IZ192"/>
  <c r="JB192" s="1"/>
  <c r="HG192" s="1"/>
  <c r="Q188" i="11" s="1"/>
  <c r="IT53" i="9"/>
  <c r="IX194"/>
  <c r="IX206"/>
  <c r="IV88"/>
  <c r="IU161"/>
  <c r="IT109"/>
  <c r="IZ177"/>
  <c r="JB177" s="1"/>
  <c r="HG177" s="1"/>
  <c r="Q173" i="11" s="1"/>
  <c r="IT178" i="9"/>
  <c r="IW192"/>
  <c r="IV161"/>
  <c r="JA161"/>
  <c r="IV177"/>
  <c r="JA177"/>
  <c r="IU102"/>
  <c r="IY102"/>
  <c r="IU178"/>
  <c r="IY178"/>
  <c r="IX192"/>
  <c r="JA192"/>
  <c r="IT161"/>
  <c r="IT177"/>
  <c r="IX102"/>
  <c r="IZ102"/>
  <c r="JB102" s="1"/>
  <c r="HG102" s="1"/>
  <c r="Q98" i="11" s="1"/>
  <c r="IX178" i="9"/>
  <c r="IV192"/>
  <c r="IW102"/>
  <c r="IZ87"/>
  <c r="JB87" s="1"/>
  <c r="HG87" s="1"/>
  <c r="Q83" i="11" s="1"/>
  <c r="IY87" i="9"/>
  <c r="JA87"/>
  <c r="IU87"/>
  <c r="IT87"/>
  <c r="IX87"/>
  <c r="IW87"/>
  <c r="IV87"/>
  <c r="IZ179"/>
  <c r="JB179" s="1"/>
  <c r="HG179" s="1"/>
  <c r="Q175" i="11" s="1"/>
  <c r="IY179" i="9"/>
  <c r="JA179"/>
  <c r="IU179"/>
  <c r="IT179"/>
  <c r="IX179"/>
  <c r="IW179"/>
  <c r="IV179"/>
  <c r="JA181"/>
  <c r="IZ181"/>
  <c r="JB181" s="1"/>
  <c r="HG181" s="1"/>
  <c r="Q177" i="11" s="1"/>
  <c r="IY181" i="9"/>
  <c r="IW181"/>
  <c r="IV181"/>
  <c r="IU181"/>
  <c r="IT181"/>
  <c r="IX181"/>
  <c r="IY134"/>
  <c r="JA134"/>
  <c r="IZ134"/>
  <c r="JB134" s="1"/>
  <c r="HG134" s="1"/>
  <c r="Q130" i="11" s="1"/>
  <c r="IV134" i="9"/>
  <c r="IU134"/>
  <c r="IT134"/>
  <c r="IX134"/>
  <c r="IW134"/>
  <c r="IY66"/>
  <c r="JA66"/>
  <c r="IZ66"/>
  <c r="JB66" s="1"/>
  <c r="HG66" s="1"/>
  <c r="Q62" i="11" s="1"/>
  <c r="IV66" i="9"/>
  <c r="IU66"/>
  <c r="IT66"/>
  <c r="IX66"/>
  <c r="IW66"/>
  <c r="IZ135"/>
  <c r="JB135" s="1"/>
  <c r="HG135" s="1"/>
  <c r="Q131" i="11" s="1"/>
  <c r="IY135" i="9"/>
  <c r="JA135"/>
  <c r="IU135"/>
  <c r="IT135"/>
  <c r="IX135"/>
  <c r="IW135"/>
  <c r="IV135"/>
  <c r="JA120"/>
  <c r="IZ120"/>
  <c r="JB120" s="1"/>
  <c r="HG120" s="1"/>
  <c r="Q116" i="11" s="1"/>
  <c r="IY120" i="9"/>
  <c r="IT120"/>
  <c r="IX120"/>
  <c r="IW120"/>
  <c r="IV120"/>
  <c r="IU120"/>
  <c r="IZ83"/>
  <c r="JB83" s="1"/>
  <c r="HG83" s="1"/>
  <c r="Q79" i="11" s="1"/>
  <c r="IY83" i="9"/>
  <c r="JA83"/>
  <c r="IU83"/>
  <c r="IT83"/>
  <c r="IX83"/>
  <c r="IW83"/>
  <c r="IV83"/>
  <c r="IZ183"/>
  <c r="JB183" s="1"/>
  <c r="HG183" s="1"/>
  <c r="Q179" i="11" s="1"/>
  <c r="IY183" i="9"/>
  <c r="JA183"/>
  <c r="IU183"/>
  <c r="IT183"/>
  <c r="IX183"/>
  <c r="IW183"/>
  <c r="IV183"/>
  <c r="JA149"/>
  <c r="IZ149"/>
  <c r="JB149" s="1"/>
  <c r="HG149" s="1"/>
  <c r="Q145" i="11" s="1"/>
  <c r="IY149" i="9"/>
  <c r="IW149"/>
  <c r="IV149"/>
  <c r="IU149"/>
  <c r="IT149"/>
  <c r="IX149"/>
  <c r="IZ123"/>
  <c r="JB123" s="1"/>
  <c r="HG123" s="1"/>
  <c r="Q119" i="11" s="1"/>
  <c r="IY123" i="9"/>
  <c r="JA123"/>
  <c r="IU123"/>
  <c r="IT123"/>
  <c r="IX123"/>
  <c r="IW123"/>
  <c r="IV123"/>
  <c r="IZ79"/>
  <c r="JB79" s="1"/>
  <c r="HG79" s="1"/>
  <c r="Q75" i="11" s="1"/>
  <c r="IY79" i="9"/>
  <c r="JA79"/>
  <c r="IU79"/>
  <c r="IT79"/>
  <c r="IX79"/>
  <c r="IW79"/>
  <c r="IV79"/>
  <c r="IY86"/>
  <c r="JA86"/>
  <c r="IZ86"/>
  <c r="JB86" s="1"/>
  <c r="HG86" s="1"/>
  <c r="Q82" i="11" s="1"/>
  <c r="IV86" i="9"/>
  <c r="IU86"/>
  <c r="IT86"/>
  <c r="IX86"/>
  <c r="IW86"/>
  <c r="IY46"/>
  <c r="JA46"/>
  <c r="IZ46"/>
  <c r="JB46" s="1"/>
  <c r="HG46" s="1"/>
  <c r="Q42" i="11" s="1"/>
  <c r="IV46" i="9"/>
  <c r="IU46"/>
  <c r="IT46"/>
  <c r="IX46"/>
  <c r="IW46"/>
  <c r="JA60"/>
  <c r="IZ60"/>
  <c r="JB60" s="1"/>
  <c r="HG60" s="1"/>
  <c r="Q56" i="11" s="1"/>
  <c r="IY60" i="9"/>
  <c r="IT60"/>
  <c r="IX60"/>
  <c r="IW60"/>
  <c r="IV60"/>
  <c r="IU60"/>
  <c r="IZ147"/>
  <c r="JB147" s="1"/>
  <c r="HG147" s="1"/>
  <c r="Q143" i="11" s="1"/>
  <c r="IY147" i="9"/>
  <c r="JA147"/>
  <c r="IU147"/>
  <c r="IT147"/>
  <c r="IX147"/>
  <c r="IW147"/>
  <c r="IV147"/>
  <c r="IZ171"/>
  <c r="JB171" s="1"/>
  <c r="HG171" s="1"/>
  <c r="Q167" i="11" s="1"/>
  <c r="IY171" i="9"/>
  <c r="JA171"/>
  <c r="IU171"/>
  <c r="IT171"/>
  <c r="IX171"/>
  <c r="IW171"/>
  <c r="IV171"/>
  <c r="IZ111"/>
  <c r="JB111" s="1"/>
  <c r="HG111" s="1"/>
  <c r="Q107" i="11" s="1"/>
  <c r="IY111" i="9"/>
  <c r="JA111"/>
  <c r="IU111"/>
  <c r="IT111"/>
  <c r="IX111"/>
  <c r="IW111"/>
  <c r="IV111"/>
  <c r="JA68"/>
  <c r="IZ68"/>
  <c r="JB68" s="1"/>
  <c r="HG68" s="1"/>
  <c r="Q64" i="11" s="1"/>
  <c r="IY68" i="9"/>
  <c r="IT68"/>
  <c r="IX68"/>
  <c r="IW68"/>
  <c r="IV68"/>
  <c r="IU68"/>
  <c r="IY70"/>
  <c r="JA70"/>
  <c r="IZ70"/>
  <c r="JB70" s="1"/>
  <c r="HG70" s="1"/>
  <c r="Q66" i="11" s="1"/>
  <c r="IV70" i="9"/>
  <c r="IU70"/>
  <c r="IT70"/>
  <c r="IX70"/>
  <c r="IW70"/>
  <c r="IZ131"/>
  <c r="JB131" s="1"/>
  <c r="HG131" s="1"/>
  <c r="Q127" i="11" s="1"/>
  <c r="IY131" i="9"/>
  <c r="JA131"/>
  <c r="IU131"/>
  <c r="IT131"/>
  <c r="IX131"/>
  <c r="IW131"/>
  <c r="IV131"/>
  <c r="IT200"/>
  <c r="IU200"/>
  <c r="JA165"/>
  <c r="IZ165"/>
  <c r="JB165" s="1"/>
  <c r="HG165" s="1"/>
  <c r="Q161" i="11" s="1"/>
  <c r="IY165" i="9"/>
  <c r="IW165"/>
  <c r="IV165"/>
  <c r="IU165"/>
  <c r="IT165"/>
  <c r="IX165"/>
  <c r="IY58"/>
  <c r="JA58"/>
  <c r="IZ58"/>
  <c r="JB58" s="1"/>
  <c r="HG58" s="1"/>
  <c r="Q54" i="11" s="1"/>
  <c r="IV58" i="9"/>
  <c r="IU58"/>
  <c r="IT58"/>
  <c r="IX58"/>
  <c r="IW58"/>
  <c r="IY126"/>
  <c r="JA126"/>
  <c r="IZ126"/>
  <c r="JB126" s="1"/>
  <c r="HG126" s="1"/>
  <c r="Q122" i="11" s="1"/>
  <c r="IV126" i="9"/>
  <c r="IU126"/>
  <c r="IT126"/>
  <c r="IX126"/>
  <c r="IW126"/>
  <c r="IY202"/>
  <c r="JA202"/>
  <c r="IZ202"/>
  <c r="JB202" s="1"/>
  <c r="HG202" s="1"/>
  <c r="Q198" i="11" s="1"/>
  <c r="IV202" i="9"/>
  <c r="IU202"/>
  <c r="IT202"/>
  <c r="IX202"/>
  <c r="IW202"/>
  <c r="JA93"/>
  <c r="IZ93"/>
  <c r="JB93" s="1"/>
  <c r="HG93" s="1"/>
  <c r="Q89" i="11" s="1"/>
  <c r="IY93" i="9"/>
  <c r="IW93"/>
  <c r="IV93"/>
  <c r="IU93"/>
  <c r="IT93"/>
  <c r="IX93"/>
  <c r="JA132"/>
  <c r="IZ132"/>
  <c r="JB132" s="1"/>
  <c r="HG132" s="1"/>
  <c r="Q128" i="11" s="1"/>
  <c r="IY132" i="9"/>
  <c r="IT132"/>
  <c r="IX132"/>
  <c r="IW132"/>
  <c r="IV132"/>
  <c r="IU132"/>
  <c r="IZ167"/>
  <c r="JB167" s="1"/>
  <c r="HG167" s="1"/>
  <c r="Q163" i="11" s="1"/>
  <c r="IY167" i="9"/>
  <c r="JA167"/>
  <c r="IU167"/>
  <c r="IT167"/>
  <c r="IX167"/>
  <c r="IW167"/>
  <c r="IV167"/>
  <c r="IY154"/>
  <c r="JA154"/>
  <c r="IZ154"/>
  <c r="JB154" s="1"/>
  <c r="HG154" s="1"/>
  <c r="Q150" i="11" s="1"/>
  <c r="IV154" i="9"/>
  <c r="IU154"/>
  <c r="IT154"/>
  <c r="IX154"/>
  <c r="IW154"/>
  <c r="IZ143"/>
  <c r="JB143" s="1"/>
  <c r="HG143" s="1"/>
  <c r="Q139" i="11" s="1"/>
  <c r="IY143" i="9"/>
  <c r="JA143"/>
  <c r="IU143"/>
  <c r="IT143"/>
  <c r="IX143"/>
  <c r="IW143"/>
  <c r="IV143"/>
  <c r="JA128"/>
  <c r="IZ128"/>
  <c r="JB128" s="1"/>
  <c r="HG128" s="1"/>
  <c r="Q124" i="11" s="1"/>
  <c r="IY128" i="9"/>
  <c r="IT128"/>
  <c r="IX128"/>
  <c r="IW128"/>
  <c r="IV128"/>
  <c r="IU128"/>
  <c r="JA176"/>
  <c r="IZ176"/>
  <c r="JB176" s="1"/>
  <c r="HG176" s="1"/>
  <c r="Q172" i="11" s="1"/>
  <c r="IY176" i="9"/>
  <c r="IT176"/>
  <c r="IX176"/>
  <c r="IW176"/>
  <c r="IV176"/>
  <c r="IU176"/>
  <c r="IZ207"/>
  <c r="JB207" s="1"/>
  <c r="HG207" s="1"/>
  <c r="Q203" i="11" s="1"/>
  <c r="IY207" i="9"/>
  <c r="JA207"/>
  <c r="IU207"/>
  <c r="IT207"/>
  <c r="IX207"/>
  <c r="IW207"/>
  <c r="IV207"/>
  <c r="IY82"/>
  <c r="JA82"/>
  <c r="IZ82"/>
  <c r="JB82" s="1"/>
  <c r="HG82" s="1"/>
  <c r="Q78" i="11" s="1"/>
  <c r="IV82" i="9"/>
  <c r="IU82"/>
  <c r="IT82"/>
  <c r="IX82"/>
  <c r="IW82"/>
  <c r="IY98"/>
  <c r="JA98"/>
  <c r="IZ98"/>
  <c r="JB98" s="1"/>
  <c r="HG98" s="1"/>
  <c r="Q94" i="11" s="1"/>
  <c r="IV98" i="9"/>
  <c r="IU98"/>
  <c r="IT98"/>
  <c r="IX98"/>
  <c r="IW98"/>
  <c r="JA108"/>
  <c r="IZ108"/>
  <c r="JB108" s="1"/>
  <c r="HG108" s="1"/>
  <c r="Q104" i="11" s="1"/>
  <c r="IY108" i="9"/>
  <c r="IT108"/>
  <c r="IX108"/>
  <c r="IW108"/>
  <c r="IV108"/>
  <c r="IU108"/>
  <c r="IY138"/>
  <c r="JA138"/>
  <c r="IZ138"/>
  <c r="JB138" s="1"/>
  <c r="HG138" s="1"/>
  <c r="Q134" i="11" s="1"/>
  <c r="IV138" i="9"/>
  <c r="IU138"/>
  <c r="IT138"/>
  <c r="IX138"/>
  <c r="IW138"/>
  <c r="JA156"/>
  <c r="IZ156"/>
  <c r="JB156" s="1"/>
  <c r="HG156" s="1"/>
  <c r="Q152" i="11" s="1"/>
  <c r="IY156" i="9"/>
  <c r="IT156"/>
  <c r="IX156"/>
  <c r="IW156"/>
  <c r="IV156"/>
  <c r="IU156"/>
  <c r="IY150"/>
  <c r="JA150"/>
  <c r="IZ150"/>
  <c r="JB150" s="1"/>
  <c r="HG150" s="1"/>
  <c r="Q146" i="11" s="1"/>
  <c r="IV150" i="9"/>
  <c r="IU150"/>
  <c r="IT150"/>
  <c r="IX150"/>
  <c r="IW150"/>
  <c r="IY122"/>
  <c r="JA122"/>
  <c r="IZ122"/>
  <c r="JB122" s="1"/>
  <c r="HG122" s="1"/>
  <c r="Q118" i="11" s="1"/>
  <c r="IV122" i="9"/>
  <c r="IU122"/>
  <c r="IT122"/>
  <c r="IX122"/>
  <c r="IW122"/>
  <c r="JA48"/>
  <c r="IZ48"/>
  <c r="JB48" s="1"/>
  <c r="HG48" s="1"/>
  <c r="Q44" i="11" s="1"/>
  <c r="IY48" i="9"/>
  <c r="IT48"/>
  <c r="IX48"/>
  <c r="IW48"/>
  <c r="IV48"/>
  <c r="IU48"/>
  <c r="IZ43"/>
  <c r="JB43" s="1"/>
  <c r="HG43" s="1"/>
  <c r="Q39" i="11" s="1"/>
  <c r="IY43" i="9"/>
  <c r="JA43"/>
  <c r="IU43"/>
  <c r="IT43"/>
  <c r="IX43"/>
  <c r="IW43"/>
  <c r="IV43"/>
  <c r="IY62"/>
  <c r="JA62"/>
  <c r="IZ62"/>
  <c r="JB62" s="1"/>
  <c r="HG62" s="1"/>
  <c r="Q58" i="11" s="1"/>
  <c r="IV62" i="9"/>
  <c r="IU62"/>
  <c r="IT62"/>
  <c r="IX62"/>
  <c r="IW62"/>
  <c r="IY42"/>
  <c r="JA42"/>
  <c r="IZ42"/>
  <c r="JB42" s="1"/>
  <c r="HG42" s="1"/>
  <c r="Q38" i="11" s="1"/>
  <c r="IV42" i="9"/>
  <c r="IU42"/>
  <c r="IT42"/>
  <c r="IX42"/>
  <c r="IW42"/>
  <c r="IZ115"/>
  <c r="JB115" s="1"/>
  <c r="HG115" s="1"/>
  <c r="Q111" i="11" s="1"/>
  <c r="IY115" i="9"/>
  <c r="JA115"/>
  <c r="IU115"/>
  <c r="IT115"/>
  <c r="IX115"/>
  <c r="IW115"/>
  <c r="IV115"/>
  <c r="IY114"/>
  <c r="JA114"/>
  <c r="IZ114"/>
  <c r="JB114" s="1"/>
  <c r="HG114" s="1"/>
  <c r="Q110" i="11" s="1"/>
  <c r="IV114" i="9"/>
  <c r="IU114"/>
  <c r="IT114"/>
  <c r="IX114"/>
  <c r="IW114"/>
  <c r="JA172"/>
  <c r="IZ172"/>
  <c r="JB172" s="1"/>
  <c r="HG172" s="1"/>
  <c r="Q168" i="11" s="1"/>
  <c r="IY172" i="9"/>
  <c r="IT172"/>
  <c r="IX172"/>
  <c r="IW172"/>
  <c r="IV172"/>
  <c r="IU172"/>
  <c r="IZ187"/>
  <c r="JB187" s="1"/>
  <c r="HG187" s="1"/>
  <c r="Q183" i="11" s="1"/>
  <c r="IY187" i="9"/>
  <c r="JA187"/>
  <c r="IU187"/>
  <c r="IT187"/>
  <c r="IX187"/>
  <c r="IW187"/>
  <c r="IV187"/>
  <c r="JA196"/>
  <c r="IZ196"/>
  <c r="JB196" s="1"/>
  <c r="HG196" s="1"/>
  <c r="Q192" i="11" s="1"/>
  <c r="IY196" i="9"/>
  <c r="IT196"/>
  <c r="IX196"/>
  <c r="IW196"/>
  <c r="IV196"/>
  <c r="IU196"/>
  <c r="JA104"/>
  <c r="IZ104"/>
  <c r="JB104" s="1"/>
  <c r="HG104" s="1"/>
  <c r="Q100" i="11" s="1"/>
  <c r="IY104" i="9"/>
  <c r="IT104"/>
  <c r="IX104"/>
  <c r="IW104"/>
  <c r="IV104"/>
  <c r="IU104"/>
  <c r="IZ75"/>
  <c r="JB75" s="1"/>
  <c r="HG75" s="1"/>
  <c r="Q71" i="11" s="1"/>
  <c r="IY75" i="9"/>
  <c r="JA75"/>
  <c r="IU75"/>
  <c r="IT75"/>
  <c r="IX75"/>
  <c r="IW75"/>
  <c r="IV75"/>
  <c r="IZ191"/>
  <c r="JB191" s="1"/>
  <c r="HG191" s="1"/>
  <c r="Q187" i="11" s="1"/>
  <c r="IY191" i="9"/>
  <c r="JA191"/>
  <c r="IU191"/>
  <c r="IT191"/>
  <c r="IX191"/>
  <c r="IW191"/>
  <c r="IV191"/>
  <c r="JA61"/>
  <c r="IZ61"/>
  <c r="JB61" s="1"/>
  <c r="HG61" s="1"/>
  <c r="Q57" i="11" s="1"/>
  <c r="IY61" i="9"/>
  <c r="IW61"/>
  <c r="IV61"/>
  <c r="IU61"/>
  <c r="IT61"/>
  <c r="IX61"/>
  <c r="JA73"/>
  <c r="IZ73"/>
  <c r="JB73" s="1"/>
  <c r="HG73" s="1"/>
  <c r="Q69" i="11" s="1"/>
  <c r="IY73" i="9"/>
  <c r="IW73"/>
  <c r="IV73"/>
  <c r="IU73"/>
  <c r="IT73"/>
  <c r="IX73"/>
  <c r="IY74"/>
  <c r="JA74"/>
  <c r="IZ74"/>
  <c r="JB74" s="1"/>
  <c r="HG74" s="1"/>
  <c r="Q70" i="11" s="1"/>
  <c r="IV74" i="9"/>
  <c r="IU74"/>
  <c r="IT74"/>
  <c r="IX74"/>
  <c r="IW74"/>
  <c r="IY78"/>
  <c r="JA78"/>
  <c r="IZ78"/>
  <c r="JB78" s="1"/>
  <c r="HG78" s="1"/>
  <c r="Q74" i="11" s="1"/>
  <c r="IV78" i="9"/>
  <c r="IU78"/>
  <c r="IT78"/>
  <c r="IX78"/>
  <c r="IW78"/>
  <c r="JA164"/>
  <c r="IZ164"/>
  <c r="JB164" s="1"/>
  <c r="HG164" s="1"/>
  <c r="Q160" i="11" s="1"/>
  <c r="IY164" i="9"/>
  <c r="IT164"/>
  <c r="IX164"/>
  <c r="IW164"/>
  <c r="IV164"/>
  <c r="IU164"/>
  <c r="IZ67"/>
  <c r="JB67" s="1"/>
  <c r="HG67" s="1"/>
  <c r="Q63" i="11" s="1"/>
  <c r="IY67" i="9"/>
  <c r="JA67"/>
  <c r="IU67"/>
  <c r="IT67"/>
  <c r="IX67"/>
  <c r="IW67"/>
  <c r="IV67"/>
  <c r="IZ95"/>
  <c r="JB95" s="1"/>
  <c r="HG95" s="1"/>
  <c r="Q91" i="11" s="1"/>
  <c r="IY95" i="9"/>
  <c r="JA95"/>
  <c r="IU95"/>
  <c r="IT95"/>
  <c r="IX95"/>
  <c r="IW95"/>
  <c r="IV95"/>
  <c r="JA168"/>
  <c r="IZ168"/>
  <c r="JB168" s="1"/>
  <c r="HG168" s="1"/>
  <c r="Q164" i="11" s="1"/>
  <c r="IY168" i="9"/>
  <c r="IT168"/>
  <c r="IX168"/>
  <c r="IW168"/>
  <c r="IV168"/>
  <c r="IU168"/>
  <c r="IZ51"/>
  <c r="JB51" s="1"/>
  <c r="HG51" s="1"/>
  <c r="Q47" i="11" s="1"/>
  <c r="IY51" i="9"/>
  <c r="JA51"/>
  <c r="IU51"/>
  <c r="IT51"/>
  <c r="IX51"/>
  <c r="IW51"/>
  <c r="IV51"/>
  <c r="JA160"/>
  <c r="IZ160"/>
  <c r="JB160" s="1"/>
  <c r="HG160" s="1"/>
  <c r="Q156" i="11" s="1"/>
  <c r="IY160" i="9"/>
  <c r="IT160"/>
  <c r="IX160"/>
  <c r="IW160"/>
  <c r="IV160"/>
  <c r="IU160"/>
  <c r="JA105"/>
  <c r="IZ105"/>
  <c r="JB105" s="1"/>
  <c r="HG105" s="1"/>
  <c r="Q101" i="11" s="1"/>
  <c r="IY105" i="9"/>
  <c r="IW105"/>
  <c r="IV105"/>
  <c r="IU105"/>
  <c r="IT105"/>
  <c r="IX105"/>
  <c r="IY130"/>
  <c r="JA130"/>
  <c r="IZ130"/>
  <c r="JB130" s="1"/>
  <c r="HG130" s="1"/>
  <c r="Q126" i="11" s="1"/>
  <c r="IV130" i="9"/>
  <c r="IU130"/>
  <c r="IT130"/>
  <c r="IX130"/>
  <c r="IW130"/>
  <c r="IY54"/>
  <c r="JA54"/>
  <c r="IZ54"/>
  <c r="JB54" s="1"/>
  <c r="HG54" s="1"/>
  <c r="Q50" i="11" s="1"/>
  <c r="IV54" i="9"/>
  <c r="IU54"/>
  <c r="IT54"/>
  <c r="IX54"/>
  <c r="IW54"/>
  <c r="IZ59"/>
  <c r="JB59" s="1"/>
  <c r="HG59" s="1"/>
  <c r="Q55" i="11" s="1"/>
  <c r="IY59" i="9"/>
  <c r="JA59"/>
  <c r="IU59"/>
  <c r="IT59"/>
  <c r="IX59"/>
  <c r="IW59"/>
  <c r="IV59"/>
  <c r="JA173"/>
  <c r="IZ173"/>
  <c r="JB173" s="1"/>
  <c r="HG173" s="1"/>
  <c r="Q169" i="11" s="1"/>
  <c r="IY173" i="9"/>
  <c r="IW173"/>
  <c r="IV173"/>
  <c r="IU173"/>
  <c r="IT173"/>
  <c r="IX173"/>
  <c r="IZ159"/>
  <c r="JB159" s="1"/>
  <c r="HG159" s="1"/>
  <c r="Q155" i="11" s="1"/>
  <c r="IY159" i="9"/>
  <c r="JA159"/>
  <c r="IU159"/>
  <c r="IT159"/>
  <c r="IX159"/>
  <c r="IW159"/>
  <c r="IV159"/>
  <c r="IY198"/>
  <c r="JA198"/>
  <c r="IZ198"/>
  <c r="JB198" s="1"/>
  <c r="HG198" s="1"/>
  <c r="Q194" i="11" s="1"/>
  <c r="IV198" i="9"/>
  <c r="IU198"/>
  <c r="IT198"/>
  <c r="IX198"/>
  <c r="IW198"/>
  <c r="JA205"/>
  <c r="IZ205"/>
  <c r="JB205" s="1"/>
  <c r="HG205" s="1"/>
  <c r="Q201" i="11" s="1"/>
  <c r="IY205" i="9"/>
  <c r="IW205"/>
  <c r="IV205"/>
  <c r="IU205"/>
  <c r="IT205"/>
  <c r="IX205"/>
  <c r="IY106"/>
  <c r="JA106"/>
  <c r="IZ106"/>
  <c r="JB106" s="1"/>
  <c r="HG106" s="1"/>
  <c r="Q102" i="11" s="1"/>
  <c r="IV106" i="9"/>
  <c r="IU106"/>
  <c r="IT106"/>
  <c r="IX106"/>
  <c r="IW106"/>
  <c r="IY158"/>
  <c r="JA158"/>
  <c r="IZ158"/>
  <c r="JB158" s="1"/>
  <c r="HG158" s="1"/>
  <c r="Q154" i="11" s="1"/>
  <c r="IV158" i="9"/>
  <c r="IU158"/>
  <c r="IT158"/>
  <c r="IX158"/>
  <c r="IW158"/>
  <c r="JA97"/>
  <c r="IZ97"/>
  <c r="JB97" s="1"/>
  <c r="HG97" s="1"/>
  <c r="Q93" i="11" s="1"/>
  <c r="IY97" i="9"/>
  <c r="IW97"/>
  <c r="IV97"/>
  <c r="IU97"/>
  <c r="IT97"/>
  <c r="IX97"/>
  <c r="JA56"/>
  <c r="IZ56"/>
  <c r="JB56" s="1"/>
  <c r="HG56" s="1"/>
  <c r="Q52" i="11" s="1"/>
  <c r="IY56" i="9"/>
  <c r="IT56"/>
  <c r="IX56"/>
  <c r="IW56"/>
  <c r="IV56"/>
  <c r="IU56"/>
  <c r="IZ155"/>
  <c r="JB155" s="1"/>
  <c r="HG155" s="1"/>
  <c r="Q151" i="11" s="1"/>
  <c r="IY155" i="9"/>
  <c r="JA155"/>
  <c r="IU155"/>
  <c r="IT155"/>
  <c r="IX155"/>
  <c r="IW155"/>
  <c r="IV155"/>
  <c r="JA117"/>
  <c r="IZ117"/>
  <c r="JB117" s="1"/>
  <c r="HG117" s="1"/>
  <c r="Q113" i="11" s="1"/>
  <c r="IY117" i="9"/>
  <c r="IW117"/>
  <c r="IV117"/>
  <c r="IU117"/>
  <c r="IT117"/>
  <c r="IX117"/>
  <c r="IY118"/>
  <c r="JA118"/>
  <c r="IZ118"/>
  <c r="JB118" s="1"/>
  <c r="HG118" s="1"/>
  <c r="Q114" i="11" s="1"/>
  <c r="IV118" i="9"/>
  <c r="IU118"/>
  <c r="IT118"/>
  <c r="IX118"/>
  <c r="IW118"/>
  <c r="IY50"/>
  <c r="JA50"/>
  <c r="IZ50"/>
  <c r="JB50" s="1"/>
  <c r="HG50" s="1"/>
  <c r="Q46" i="11" s="1"/>
  <c r="IV50" i="9"/>
  <c r="IU50"/>
  <c r="IT50"/>
  <c r="IX50"/>
  <c r="IW50"/>
  <c r="IY190"/>
  <c r="JA190"/>
  <c r="IZ190"/>
  <c r="JB190" s="1"/>
  <c r="HG190" s="1"/>
  <c r="Q186" i="11" s="1"/>
  <c r="IV190" i="9"/>
  <c r="IU190"/>
  <c r="IT190"/>
  <c r="IX190"/>
  <c r="IW190"/>
  <c r="IY170"/>
  <c r="JA170"/>
  <c r="IZ170"/>
  <c r="JB170" s="1"/>
  <c r="HG170" s="1"/>
  <c r="Q166" i="11" s="1"/>
  <c r="IV170" i="9"/>
  <c r="IU170"/>
  <c r="IT170"/>
  <c r="IX170"/>
  <c r="IW170"/>
  <c r="IY80"/>
  <c r="IV80"/>
  <c r="IY40"/>
  <c r="IZ71"/>
  <c r="JB71" s="1"/>
  <c r="HG71" s="1"/>
  <c r="Q67" i="11" s="1"/>
  <c r="IY71" i="9"/>
  <c r="JA71"/>
  <c r="IU71"/>
  <c r="IT71"/>
  <c r="IX71"/>
  <c r="IW71"/>
  <c r="IV71"/>
  <c r="IZ107"/>
  <c r="JB107" s="1"/>
  <c r="HG107" s="1"/>
  <c r="Q103" i="11" s="1"/>
  <c r="IY107" i="9"/>
  <c r="JA107"/>
  <c r="IU107"/>
  <c r="IT107"/>
  <c r="IX107"/>
  <c r="IW107"/>
  <c r="IV107"/>
  <c r="JA44"/>
  <c r="IZ44"/>
  <c r="JB44" s="1"/>
  <c r="HG44" s="1"/>
  <c r="Q40" i="11" s="1"/>
  <c r="IY44" i="9"/>
  <c r="IT44"/>
  <c r="IX44"/>
  <c r="IW44"/>
  <c r="IV44"/>
  <c r="IU44"/>
  <c r="JA101"/>
  <c r="IZ101"/>
  <c r="JB101" s="1"/>
  <c r="HG101" s="1"/>
  <c r="Q97" i="11" s="1"/>
  <c r="IY101" i="9"/>
  <c r="IW101"/>
  <c r="IV101"/>
  <c r="IU101"/>
  <c r="IT101"/>
  <c r="IX101"/>
  <c r="JA169"/>
  <c r="IZ169"/>
  <c r="JB169" s="1"/>
  <c r="HG169" s="1"/>
  <c r="Q165" i="11" s="1"/>
  <c r="IY169" i="9"/>
  <c r="IW169"/>
  <c r="IV169"/>
  <c r="IU169"/>
  <c r="IT169"/>
  <c r="IX169"/>
  <c r="IL6"/>
  <c r="IK6"/>
  <c r="BO72" i="11" l="1"/>
  <c r="BT72"/>
  <c r="BQ72"/>
  <c r="IZ40" i="9"/>
  <c r="JB40" s="1"/>
  <c r="HG40" s="1"/>
  <c r="Q36" i="11" s="1"/>
  <c r="IW80" i="9"/>
  <c r="IZ80"/>
  <c r="JB80" s="1"/>
  <c r="HG80" s="1"/>
  <c r="Q76" i="11" s="1"/>
  <c r="IV200" i="9"/>
  <c r="IY200"/>
  <c r="BU191" i="11"/>
  <c r="BV191"/>
  <c r="BW191"/>
  <c r="IU40" i="9"/>
  <c r="IU80"/>
  <c r="IT80"/>
  <c r="IU197"/>
  <c r="IX200"/>
  <c r="JA200"/>
  <c r="HF195"/>
  <c r="BO191" i="11"/>
  <c r="BT191"/>
  <c r="BQ191"/>
  <c r="IT40" i="9"/>
  <c r="IX80"/>
  <c r="IW200"/>
  <c r="BR191" i="11"/>
  <c r="BS191"/>
  <c r="HF76" i="9"/>
  <c r="HF163"/>
  <c r="BV159" i="11"/>
  <c r="BN159"/>
  <c r="BT159"/>
  <c r="BR72"/>
  <c r="BS72"/>
  <c r="BX72"/>
  <c r="BU159"/>
  <c r="BM159"/>
  <c r="BW159"/>
  <c r="BU72"/>
  <c r="BV72"/>
  <c r="BW72"/>
  <c r="BX159"/>
  <c r="BR159"/>
  <c r="BP72"/>
  <c r="BM72"/>
  <c r="IT162" i="9"/>
  <c r="IZ185"/>
  <c r="JB185" s="1"/>
  <c r="HG185" s="1"/>
  <c r="Q181" i="11" s="1"/>
  <c r="IU185" i="9"/>
  <c r="BN40" i="11"/>
  <c r="BQ40"/>
  <c r="BX40"/>
  <c r="BW40"/>
  <c r="BM40"/>
  <c r="BT40"/>
  <c r="BS40"/>
  <c r="BV40"/>
  <c r="BP40"/>
  <c r="BO40"/>
  <c r="BR40"/>
  <c r="BU40"/>
  <c r="BS52"/>
  <c r="BV52"/>
  <c r="BP52"/>
  <c r="BO52"/>
  <c r="BR52"/>
  <c r="BU52"/>
  <c r="BN52"/>
  <c r="BQ52"/>
  <c r="BX52"/>
  <c r="BW52"/>
  <c r="BM52"/>
  <c r="BT52"/>
  <c r="BS166"/>
  <c r="BV166"/>
  <c r="BT166"/>
  <c r="BO166"/>
  <c r="BR166"/>
  <c r="BU166"/>
  <c r="BN166"/>
  <c r="BQ166"/>
  <c r="BX166"/>
  <c r="BW166"/>
  <c r="BM166"/>
  <c r="BP166"/>
  <c r="BS186"/>
  <c r="BV186"/>
  <c r="BT186"/>
  <c r="BO186"/>
  <c r="BR186"/>
  <c r="BU186"/>
  <c r="BN186"/>
  <c r="BQ186"/>
  <c r="BX186"/>
  <c r="BW186"/>
  <c r="BM186"/>
  <c r="BP186"/>
  <c r="BS46"/>
  <c r="BV46"/>
  <c r="BX46"/>
  <c r="BO46"/>
  <c r="BR46"/>
  <c r="BU46"/>
  <c r="BN46"/>
  <c r="BQ46"/>
  <c r="BP46"/>
  <c r="BW46"/>
  <c r="BM46"/>
  <c r="BT46"/>
  <c r="BS114"/>
  <c r="BR114"/>
  <c r="BQ114"/>
  <c r="BO114"/>
  <c r="BN114"/>
  <c r="BM114"/>
  <c r="BT114"/>
  <c r="BP114"/>
  <c r="BX114"/>
  <c r="BW114"/>
  <c r="BV114"/>
  <c r="BU114"/>
  <c r="BS154"/>
  <c r="BR154"/>
  <c r="BQ154"/>
  <c r="BO154"/>
  <c r="BN154"/>
  <c r="BM154"/>
  <c r="BT154"/>
  <c r="BX154"/>
  <c r="BP154"/>
  <c r="BW154"/>
  <c r="BV154"/>
  <c r="BU154"/>
  <c r="BS102"/>
  <c r="BR102"/>
  <c r="BQ102"/>
  <c r="BO102"/>
  <c r="BN102"/>
  <c r="BM102"/>
  <c r="BT102"/>
  <c r="BP102"/>
  <c r="BX102"/>
  <c r="BW102"/>
  <c r="BV102"/>
  <c r="BU102"/>
  <c r="BS194"/>
  <c r="BV194"/>
  <c r="BT194"/>
  <c r="BO194"/>
  <c r="BR194"/>
  <c r="BU194"/>
  <c r="BN194"/>
  <c r="BQ194"/>
  <c r="BX194"/>
  <c r="BW194"/>
  <c r="BM194"/>
  <c r="BP194"/>
  <c r="BS50"/>
  <c r="BV50"/>
  <c r="BX50"/>
  <c r="BO50"/>
  <c r="BR50"/>
  <c r="BU50"/>
  <c r="BN50"/>
  <c r="BQ50"/>
  <c r="BP50"/>
  <c r="BW50"/>
  <c r="BM50"/>
  <c r="BT50"/>
  <c r="BS126"/>
  <c r="BR126"/>
  <c r="BQ126"/>
  <c r="BO126"/>
  <c r="BN126"/>
  <c r="BM126"/>
  <c r="BP126"/>
  <c r="BT126"/>
  <c r="BX126"/>
  <c r="BW126"/>
  <c r="BV126"/>
  <c r="BU126"/>
  <c r="BS181"/>
  <c r="BV181"/>
  <c r="BP181"/>
  <c r="BO181"/>
  <c r="BR181"/>
  <c r="BU181"/>
  <c r="BN181"/>
  <c r="BQ181"/>
  <c r="BX181"/>
  <c r="BW181"/>
  <c r="BM181"/>
  <c r="BT181"/>
  <c r="BS164"/>
  <c r="BV164"/>
  <c r="BP164"/>
  <c r="BO164"/>
  <c r="BR164"/>
  <c r="BU164"/>
  <c r="BN164"/>
  <c r="BQ164"/>
  <c r="BT164"/>
  <c r="BW164"/>
  <c r="BM164"/>
  <c r="BX164"/>
  <c r="BS160"/>
  <c r="BR160"/>
  <c r="BQ160"/>
  <c r="BO160"/>
  <c r="BN160"/>
  <c r="BM160"/>
  <c r="BX160"/>
  <c r="BT160"/>
  <c r="BP160"/>
  <c r="BW160"/>
  <c r="BV160"/>
  <c r="BU160"/>
  <c r="BS69"/>
  <c r="BV69"/>
  <c r="BT69"/>
  <c r="BO69"/>
  <c r="BR69"/>
  <c r="BU69"/>
  <c r="BN69"/>
  <c r="BQ69"/>
  <c r="BP69"/>
  <c r="BW69"/>
  <c r="BM69"/>
  <c r="BX69"/>
  <c r="BS57"/>
  <c r="BV57"/>
  <c r="BT57"/>
  <c r="BO57"/>
  <c r="BR57"/>
  <c r="BU57"/>
  <c r="BN57"/>
  <c r="BQ57"/>
  <c r="BX57"/>
  <c r="BW57"/>
  <c r="BM57"/>
  <c r="BP57"/>
  <c r="BS100"/>
  <c r="BR100"/>
  <c r="BM100"/>
  <c r="BO100"/>
  <c r="BN100"/>
  <c r="BX100"/>
  <c r="BT100"/>
  <c r="BP100"/>
  <c r="BU100"/>
  <c r="BW100"/>
  <c r="BV100"/>
  <c r="BQ100"/>
  <c r="BS192"/>
  <c r="BV192"/>
  <c r="BX192"/>
  <c r="BO192"/>
  <c r="BR192"/>
  <c r="BU192"/>
  <c r="BN192"/>
  <c r="BQ192"/>
  <c r="BT192"/>
  <c r="BW192"/>
  <c r="BM192"/>
  <c r="BP192"/>
  <c r="BS168"/>
  <c r="BV168"/>
  <c r="BX168"/>
  <c r="BO168"/>
  <c r="BR168"/>
  <c r="BU168"/>
  <c r="BN168"/>
  <c r="BQ168"/>
  <c r="BT168"/>
  <c r="BW168"/>
  <c r="BM168"/>
  <c r="BP168"/>
  <c r="BS44"/>
  <c r="BV44"/>
  <c r="BP44"/>
  <c r="BO44"/>
  <c r="BR44"/>
  <c r="BU44"/>
  <c r="BN44"/>
  <c r="BQ44"/>
  <c r="BX44"/>
  <c r="BW44"/>
  <c r="BM44"/>
  <c r="BT44"/>
  <c r="BS152"/>
  <c r="BR152"/>
  <c r="BQ152"/>
  <c r="BO152"/>
  <c r="BN152"/>
  <c r="BM152"/>
  <c r="BT152"/>
  <c r="BX152"/>
  <c r="BP152"/>
  <c r="BW152"/>
  <c r="BV152"/>
  <c r="BU152"/>
  <c r="BP104"/>
  <c r="BX104"/>
  <c r="BT104"/>
  <c r="BW104"/>
  <c r="BV104"/>
  <c r="BU104"/>
  <c r="BS104"/>
  <c r="BR104"/>
  <c r="BQ104"/>
  <c r="BO104"/>
  <c r="BN104"/>
  <c r="BM104"/>
  <c r="BS172"/>
  <c r="BV172"/>
  <c r="BX172"/>
  <c r="BO172"/>
  <c r="BR172"/>
  <c r="BU172"/>
  <c r="BN172"/>
  <c r="BQ172"/>
  <c r="BP172"/>
  <c r="BW172"/>
  <c r="BM172"/>
  <c r="BT172"/>
  <c r="BS124"/>
  <c r="BR124"/>
  <c r="BQ124"/>
  <c r="BO124"/>
  <c r="BN124"/>
  <c r="BM124"/>
  <c r="BT124"/>
  <c r="BP124"/>
  <c r="BX124"/>
  <c r="BW124"/>
  <c r="BV124"/>
  <c r="BU124"/>
  <c r="BS128"/>
  <c r="BR128"/>
  <c r="BQ128"/>
  <c r="BO128"/>
  <c r="BN128"/>
  <c r="BM128"/>
  <c r="BT128"/>
  <c r="BP128"/>
  <c r="BX128"/>
  <c r="BW128"/>
  <c r="BV128"/>
  <c r="BU128"/>
  <c r="BS89"/>
  <c r="BV89"/>
  <c r="BT89"/>
  <c r="BO89"/>
  <c r="BR89"/>
  <c r="BU89"/>
  <c r="BN89"/>
  <c r="BQ89"/>
  <c r="BX89"/>
  <c r="BW89"/>
  <c r="BM89"/>
  <c r="BP89"/>
  <c r="BS161"/>
  <c r="BR161"/>
  <c r="BQ161"/>
  <c r="BO161"/>
  <c r="BN161"/>
  <c r="BM161"/>
  <c r="BT161"/>
  <c r="BX161"/>
  <c r="BP161"/>
  <c r="BW161"/>
  <c r="BV161"/>
  <c r="BU161"/>
  <c r="BN196"/>
  <c r="BQ196"/>
  <c r="BP196"/>
  <c r="BW196"/>
  <c r="BM196"/>
  <c r="BT196"/>
  <c r="BS196"/>
  <c r="BV196"/>
  <c r="BX196"/>
  <c r="BO196"/>
  <c r="BR196"/>
  <c r="BU196"/>
  <c r="BN64"/>
  <c r="BQ64"/>
  <c r="BX64"/>
  <c r="BW64"/>
  <c r="BM64"/>
  <c r="BT64"/>
  <c r="BS64"/>
  <c r="BV64"/>
  <c r="BP64"/>
  <c r="BO64"/>
  <c r="BR64"/>
  <c r="BU64"/>
  <c r="BS56"/>
  <c r="BV56"/>
  <c r="BP56"/>
  <c r="BO56"/>
  <c r="BR56"/>
  <c r="BU56"/>
  <c r="BN56"/>
  <c r="BQ56"/>
  <c r="BX56"/>
  <c r="BW56"/>
  <c r="BM56"/>
  <c r="BT56"/>
  <c r="BS145"/>
  <c r="BR145"/>
  <c r="BQ145"/>
  <c r="BO145"/>
  <c r="BN145"/>
  <c r="BM145"/>
  <c r="BX145"/>
  <c r="BT145"/>
  <c r="BP145"/>
  <c r="BW145"/>
  <c r="BV145"/>
  <c r="BU145"/>
  <c r="BS116"/>
  <c r="BR116"/>
  <c r="BQ116"/>
  <c r="BO116"/>
  <c r="BN116"/>
  <c r="BM116"/>
  <c r="BT116"/>
  <c r="BP116"/>
  <c r="BX116"/>
  <c r="BW116"/>
  <c r="BV116"/>
  <c r="BU116"/>
  <c r="BS177"/>
  <c r="BV177"/>
  <c r="BP177"/>
  <c r="BO177"/>
  <c r="BR177"/>
  <c r="BU177"/>
  <c r="BN177"/>
  <c r="BQ177"/>
  <c r="BT177"/>
  <c r="BW177"/>
  <c r="BM177"/>
  <c r="BX177"/>
  <c r="BS188"/>
  <c r="BV188"/>
  <c r="BX188"/>
  <c r="BO188"/>
  <c r="BR188"/>
  <c r="BU188"/>
  <c r="BN188"/>
  <c r="BQ188"/>
  <c r="BP188"/>
  <c r="BW188"/>
  <c r="BM188"/>
  <c r="BT188"/>
  <c r="BS49"/>
  <c r="BV49"/>
  <c r="BT49"/>
  <c r="BO49"/>
  <c r="BR49"/>
  <c r="BU49"/>
  <c r="BN49"/>
  <c r="BQ49"/>
  <c r="BX49"/>
  <c r="BW49"/>
  <c r="BM49"/>
  <c r="BP49"/>
  <c r="BS149"/>
  <c r="BR149"/>
  <c r="BQ149"/>
  <c r="BO149"/>
  <c r="BN149"/>
  <c r="BM149"/>
  <c r="BX149"/>
  <c r="BT149"/>
  <c r="BP149"/>
  <c r="BW149"/>
  <c r="BV149"/>
  <c r="BU149"/>
  <c r="BS65"/>
  <c r="BV65"/>
  <c r="BT65"/>
  <c r="BO65"/>
  <c r="BR65"/>
  <c r="BU65"/>
  <c r="BN65"/>
  <c r="BQ65"/>
  <c r="BX65"/>
  <c r="BW65"/>
  <c r="BM65"/>
  <c r="BP65"/>
  <c r="BS133"/>
  <c r="BR133"/>
  <c r="BQ133"/>
  <c r="BO133"/>
  <c r="BN133"/>
  <c r="BM133"/>
  <c r="BX133"/>
  <c r="BT133"/>
  <c r="BP133"/>
  <c r="BW133"/>
  <c r="BV133"/>
  <c r="BU133"/>
  <c r="BS197"/>
  <c r="BV197"/>
  <c r="BP197"/>
  <c r="BO197"/>
  <c r="BR197"/>
  <c r="BU197"/>
  <c r="BN197"/>
  <c r="BQ197"/>
  <c r="BX197"/>
  <c r="BW197"/>
  <c r="BM197"/>
  <c r="BT197"/>
  <c r="BS121"/>
  <c r="BR121"/>
  <c r="BQ121"/>
  <c r="BO121"/>
  <c r="BN121"/>
  <c r="BM121"/>
  <c r="BT121"/>
  <c r="BP121"/>
  <c r="BX121"/>
  <c r="BW121"/>
  <c r="BV121"/>
  <c r="BU121"/>
  <c r="BS123"/>
  <c r="BR123"/>
  <c r="BQ123"/>
  <c r="BO123"/>
  <c r="BN123"/>
  <c r="BM123"/>
  <c r="BT123"/>
  <c r="BP123"/>
  <c r="BX123"/>
  <c r="BW123"/>
  <c r="BV123"/>
  <c r="BU123"/>
  <c r="BS185"/>
  <c r="BV185"/>
  <c r="BP185"/>
  <c r="BO185"/>
  <c r="BR185"/>
  <c r="BU185"/>
  <c r="BN185"/>
  <c r="BQ185"/>
  <c r="BT185"/>
  <c r="BW185"/>
  <c r="BM185"/>
  <c r="BX185"/>
  <c r="BN53"/>
  <c r="BQ53"/>
  <c r="BP53"/>
  <c r="BW53"/>
  <c r="BM53"/>
  <c r="BX53"/>
  <c r="BS53"/>
  <c r="BV53"/>
  <c r="BT53"/>
  <c r="BO53"/>
  <c r="BR53"/>
  <c r="BU53"/>
  <c r="BS176"/>
  <c r="BV176"/>
  <c r="BX176"/>
  <c r="BO176"/>
  <c r="BR176"/>
  <c r="BU176"/>
  <c r="BN176"/>
  <c r="BQ176"/>
  <c r="BT176"/>
  <c r="BW176"/>
  <c r="BM176"/>
  <c r="BP176"/>
  <c r="BS92"/>
  <c r="BR92"/>
  <c r="BQ92"/>
  <c r="BO92"/>
  <c r="BN92"/>
  <c r="BM92"/>
  <c r="BX92"/>
  <c r="BT92"/>
  <c r="BP92"/>
  <c r="BW92"/>
  <c r="BV92"/>
  <c r="BU92"/>
  <c r="BS45"/>
  <c r="BV45"/>
  <c r="BT45"/>
  <c r="BO45"/>
  <c r="BR45"/>
  <c r="BU45"/>
  <c r="BN45"/>
  <c r="BQ45"/>
  <c r="BP45"/>
  <c r="BW45"/>
  <c r="BM45"/>
  <c r="BX45"/>
  <c r="BS48"/>
  <c r="BV48"/>
  <c r="BP48"/>
  <c r="BO48"/>
  <c r="BR48"/>
  <c r="BU48"/>
  <c r="BN48"/>
  <c r="BQ48"/>
  <c r="BX48"/>
  <c r="BW48"/>
  <c r="BM48"/>
  <c r="BT48"/>
  <c r="BS108"/>
  <c r="BR108"/>
  <c r="BQ108"/>
  <c r="BO108"/>
  <c r="BN108"/>
  <c r="BM108"/>
  <c r="BP108"/>
  <c r="BX108"/>
  <c r="BT108"/>
  <c r="BW108"/>
  <c r="BV108"/>
  <c r="BU108"/>
  <c r="BX106"/>
  <c r="BT106"/>
  <c r="BP106"/>
  <c r="BW106"/>
  <c r="BV106"/>
  <c r="BU106"/>
  <c r="BS106"/>
  <c r="BR106"/>
  <c r="BQ106"/>
  <c r="BO106"/>
  <c r="BN106"/>
  <c r="BM106"/>
  <c r="BN74"/>
  <c r="BQ74"/>
  <c r="BP74"/>
  <c r="BW74"/>
  <c r="BM74"/>
  <c r="BT74"/>
  <c r="BS74"/>
  <c r="BV74"/>
  <c r="BX74"/>
  <c r="BO74"/>
  <c r="BR74"/>
  <c r="BU74"/>
  <c r="BN70"/>
  <c r="BQ70"/>
  <c r="BP70"/>
  <c r="BW70"/>
  <c r="BM70"/>
  <c r="BT70"/>
  <c r="BS70"/>
  <c r="BV70"/>
  <c r="BX70"/>
  <c r="BO70"/>
  <c r="BR70"/>
  <c r="BU70"/>
  <c r="BS110"/>
  <c r="BR110"/>
  <c r="BQ110"/>
  <c r="BO110"/>
  <c r="BN110"/>
  <c r="BM110"/>
  <c r="BP110"/>
  <c r="BX110"/>
  <c r="BT110"/>
  <c r="BW110"/>
  <c r="BV110"/>
  <c r="BU110"/>
  <c r="BS38"/>
  <c r="BV38"/>
  <c r="BX38"/>
  <c r="BO38"/>
  <c r="BR38"/>
  <c r="BU38"/>
  <c r="BN38"/>
  <c r="BQ38"/>
  <c r="BP38"/>
  <c r="BW38"/>
  <c r="BM38"/>
  <c r="BT38"/>
  <c r="BS58"/>
  <c r="BV58"/>
  <c r="BX58"/>
  <c r="BO58"/>
  <c r="BR58"/>
  <c r="BU58"/>
  <c r="BN58"/>
  <c r="BQ58"/>
  <c r="BP58"/>
  <c r="BW58"/>
  <c r="BM58"/>
  <c r="BT58"/>
  <c r="BP118"/>
  <c r="BT118"/>
  <c r="BX118"/>
  <c r="BW118"/>
  <c r="BV118"/>
  <c r="BU118"/>
  <c r="BS118"/>
  <c r="BR118"/>
  <c r="BQ118"/>
  <c r="BO118"/>
  <c r="BN118"/>
  <c r="BM118"/>
  <c r="BS146"/>
  <c r="BR146"/>
  <c r="BQ146"/>
  <c r="BO146"/>
  <c r="BN146"/>
  <c r="BM146"/>
  <c r="BX146"/>
  <c r="BT146"/>
  <c r="BP146"/>
  <c r="BW146"/>
  <c r="BV146"/>
  <c r="BU146"/>
  <c r="BS134"/>
  <c r="BR134"/>
  <c r="BQ134"/>
  <c r="BO134"/>
  <c r="BN134"/>
  <c r="BM134"/>
  <c r="BT134"/>
  <c r="BX134"/>
  <c r="BP134"/>
  <c r="BW134"/>
  <c r="BV134"/>
  <c r="BU134"/>
  <c r="BS94"/>
  <c r="BR94"/>
  <c r="BM94"/>
  <c r="BO94"/>
  <c r="BN94"/>
  <c r="BX94"/>
  <c r="BT94"/>
  <c r="BP94"/>
  <c r="BU94"/>
  <c r="BW94"/>
  <c r="BV94"/>
  <c r="BQ94"/>
  <c r="BN78"/>
  <c r="BQ78"/>
  <c r="BP78"/>
  <c r="BW78"/>
  <c r="BM78"/>
  <c r="BT78"/>
  <c r="BS78"/>
  <c r="BV78"/>
  <c r="BX78"/>
  <c r="BO78"/>
  <c r="BR78"/>
  <c r="BU78"/>
  <c r="BS150"/>
  <c r="BR150"/>
  <c r="BQ150"/>
  <c r="BO150"/>
  <c r="BN150"/>
  <c r="BM150"/>
  <c r="BX150"/>
  <c r="BT150"/>
  <c r="BP150"/>
  <c r="BW150"/>
  <c r="BV150"/>
  <c r="BU150"/>
  <c r="BS198"/>
  <c r="BV198"/>
  <c r="BT198"/>
  <c r="BO198"/>
  <c r="BR198"/>
  <c r="BU198"/>
  <c r="BN198"/>
  <c r="BQ198"/>
  <c r="BX198"/>
  <c r="BW198"/>
  <c r="BM198"/>
  <c r="BP198"/>
  <c r="BS122"/>
  <c r="BR122"/>
  <c r="BQ122"/>
  <c r="BO122"/>
  <c r="BN122"/>
  <c r="BM122"/>
  <c r="BP122"/>
  <c r="BT122"/>
  <c r="BX122"/>
  <c r="BW122"/>
  <c r="BV122"/>
  <c r="BU122"/>
  <c r="BS54"/>
  <c r="BV54"/>
  <c r="BX54"/>
  <c r="BO54"/>
  <c r="BR54"/>
  <c r="BU54"/>
  <c r="BN54"/>
  <c r="BQ54"/>
  <c r="BP54"/>
  <c r="BW54"/>
  <c r="BM54"/>
  <c r="BT54"/>
  <c r="BS66"/>
  <c r="BV66"/>
  <c r="BX66"/>
  <c r="BO66"/>
  <c r="BR66"/>
  <c r="BU66"/>
  <c r="BN66"/>
  <c r="BQ66"/>
  <c r="BP66"/>
  <c r="BW66"/>
  <c r="BM66"/>
  <c r="BT66"/>
  <c r="BS42"/>
  <c r="BV42"/>
  <c r="BX42"/>
  <c r="BO42"/>
  <c r="BR42"/>
  <c r="BU42"/>
  <c r="BN42"/>
  <c r="BQ42"/>
  <c r="BP42"/>
  <c r="BW42"/>
  <c r="BM42"/>
  <c r="BT42"/>
  <c r="BS82"/>
  <c r="BV82"/>
  <c r="BX82"/>
  <c r="BO82"/>
  <c r="BR82"/>
  <c r="BU82"/>
  <c r="BN82"/>
  <c r="BQ82"/>
  <c r="BP82"/>
  <c r="BW82"/>
  <c r="BM82"/>
  <c r="BT82"/>
  <c r="BS62"/>
  <c r="BV62"/>
  <c r="BX62"/>
  <c r="BO62"/>
  <c r="BR62"/>
  <c r="BU62"/>
  <c r="BN62"/>
  <c r="BQ62"/>
  <c r="BP62"/>
  <c r="BW62"/>
  <c r="BM62"/>
  <c r="BT62"/>
  <c r="BS130"/>
  <c r="BR130"/>
  <c r="BQ130"/>
  <c r="BO130"/>
  <c r="BN130"/>
  <c r="BM130"/>
  <c r="BP130"/>
  <c r="BT130"/>
  <c r="BX130"/>
  <c r="BW130"/>
  <c r="BV130"/>
  <c r="BU130"/>
  <c r="BS84"/>
  <c r="BV84"/>
  <c r="BP84"/>
  <c r="BO84"/>
  <c r="BR84"/>
  <c r="BU84"/>
  <c r="BN84"/>
  <c r="BQ84"/>
  <c r="BX84"/>
  <c r="BW84"/>
  <c r="BM84"/>
  <c r="BT84"/>
  <c r="BS105"/>
  <c r="BN105"/>
  <c r="BM105"/>
  <c r="BO105"/>
  <c r="BX105"/>
  <c r="BT105"/>
  <c r="BP105"/>
  <c r="BV105"/>
  <c r="BU105"/>
  <c r="BW105"/>
  <c r="BR105"/>
  <c r="BQ105"/>
  <c r="BS129"/>
  <c r="BR129"/>
  <c r="BQ129"/>
  <c r="BO129"/>
  <c r="BN129"/>
  <c r="BM129"/>
  <c r="BP129"/>
  <c r="BT129"/>
  <c r="BX129"/>
  <c r="BW129"/>
  <c r="BV129"/>
  <c r="BU129"/>
  <c r="BS141"/>
  <c r="BR141"/>
  <c r="BQ141"/>
  <c r="BO141"/>
  <c r="BN141"/>
  <c r="BM141"/>
  <c r="BT141"/>
  <c r="BX141"/>
  <c r="BP141"/>
  <c r="BW141"/>
  <c r="BV141"/>
  <c r="BU141"/>
  <c r="BS137"/>
  <c r="BR137"/>
  <c r="BQ137"/>
  <c r="BO137"/>
  <c r="BN137"/>
  <c r="BM137"/>
  <c r="BX137"/>
  <c r="BT137"/>
  <c r="BP137"/>
  <c r="BW137"/>
  <c r="BV137"/>
  <c r="BU137"/>
  <c r="BS61"/>
  <c r="BV61"/>
  <c r="BT61"/>
  <c r="BO61"/>
  <c r="BR61"/>
  <c r="BU61"/>
  <c r="BN61"/>
  <c r="BQ61"/>
  <c r="BP61"/>
  <c r="BW61"/>
  <c r="BM61"/>
  <c r="BX61"/>
  <c r="BS41"/>
  <c r="BV41"/>
  <c r="BT41"/>
  <c r="BO41"/>
  <c r="BR41"/>
  <c r="BU41"/>
  <c r="BN41"/>
  <c r="BQ41"/>
  <c r="BX41"/>
  <c r="BW41"/>
  <c r="BM41"/>
  <c r="BP41"/>
  <c r="BS158"/>
  <c r="BR158"/>
  <c r="BQ158"/>
  <c r="BO158"/>
  <c r="BN158"/>
  <c r="BM158"/>
  <c r="BX158"/>
  <c r="BT158"/>
  <c r="BP158"/>
  <c r="BW158"/>
  <c r="BV158"/>
  <c r="BU158"/>
  <c r="BN87"/>
  <c r="BQ87"/>
  <c r="BT87"/>
  <c r="BW87"/>
  <c r="BM87"/>
  <c r="BP87"/>
  <c r="BS87"/>
  <c r="BV87"/>
  <c r="BX87"/>
  <c r="BO87"/>
  <c r="BR87"/>
  <c r="BU87"/>
  <c r="BS178"/>
  <c r="BV178"/>
  <c r="BT178"/>
  <c r="BO178"/>
  <c r="BR178"/>
  <c r="BU178"/>
  <c r="BN178"/>
  <c r="BQ178"/>
  <c r="BX178"/>
  <c r="BW178"/>
  <c r="BM178"/>
  <c r="BP178"/>
  <c r="BS99"/>
  <c r="BR99"/>
  <c r="BQ99"/>
  <c r="BO99"/>
  <c r="BN99"/>
  <c r="BM99"/>
  <c r="BP99"/>
  <c r="BT99"/>
  <c r="BX99"/>
  <c r="BW99"/>
  <c r="BV99"/>
  <c r="BU99"/>
  <c r="BS144"/>
  <c r="BR144"/>
  <c r="BQ144"/>
  <c r="BO144"/>
  <c r="BN144"/>
  <c r="BM144"/>
  <c r="BX144"/>
  <c r="BT144"/>
  <c r="BP144"/>
  <c r="BW144"/>
  <c r="BV144"/>
  <c r="BU144"/>
  <c r="BS117"/>
  <c r="BR117"/>
  <c r="BQ117"/>
  <c r="BO117"/>
  <c r="BN117"/>
  <c r="BM117"/>
  <c r="BT117"/>
  <c r="BP117"/>
  <c r="BX117"/>
  <c r="BW117"/>
  <c r="BV117"/>
  <c r="BU117"/>
  <c r="BP97"/>
  <c r="BV97"/>
  <c r="BU97"/>
  <c r="BW97"/>
  <c r="BR97"/>
  <c r="BQ97"/>
  <c r="BS97"/>
  <c r="BN97"/>
  <c r="BM97"/>
  <c r="BO97"/>
  <c r="BX97"/>
  <c r="BT97"/>
  <c r="BS76"/>
  <c r="BV76"/>
  <c r="BP76"/>
  <c r="BO76"/>
  <c r="BR76"/>
  <c r="BU76"/>
  <c r="BN76"/>
  <c r="BQ76"/>
  <c r="BX76"/>
  <c r="BW76"/>
  <c r="BM76"/>
  <c r="BT76"/>
  <c r="BS113"/>
  <c r="BR113"/>
  <c r="BQ113"/>
  <c r="BO113"/>
  <c r="BN113"/>
  <c r="BM113"/>
  <c r="BP113"/>
  <c r="BT113"/>
  <c r="BX113"/>
  <c r="BW113"/>
  <c r="BV113"/>
  <c r="BU113"/>
  <c r="BS165"/>
  <c r="BV165"/>
  <c r="BP165"/>
  <c r="BO165"/>
  <c r="BR165"/>
  <c r="BU165"/>
  <c r="BN165"/>
  <c r="BQ165"/>
  <c r="BX165"/>
  <c r="BW165"/>
  <c r="BM165"/>
  <c r="BT165"/>
  <c r="BS103"/>
  <c r="BR103"/>
  <c r="BM103"/>
  <c r="BO103"/>
  <c r="BN103"/>
  <c r="BX103"/>
  <c r="BT103"/>
  <c r="BP103"/>
  <c r="BU103"/>
  <c r="BW103"/>
  <c r="BV103"/>
  <c r="BQ103"/>
  <c r="BS67"/>
  <c r="BV67"/>
  <c r="BP67"/>
  <c r="BO67"/>
  <c r="BR67"/>
  <c r="BU67"/>
  <c r="BN67"/>
  <c r="BQ67"/>
  <c r="BT67"/>
  <c r="BW67"/>
  <c r="BM67"/>
  <c r="BX67"/>
  <c r="BS151"/>
  <c r="BR151"/>
  <c r="BQ151"/>
  <c r="BO151"/>
  <c r="BN151"/>
  <c r="BM151"/>
  <c r="BX151"/>
  <c r="BT151"/>
  <c r="BP151"/>
  <c r="BW151"/>
  <c r="BV151"/>
  <c r="BU151"/>
  <c r="BS155"/>
  <c r="BR155"/>
  <c r="BQ155"/>
  <c r="BO155"/>
  <c r="BN155"/>
  <c r="BM155"/>
  <c r="BX155"/>
  <c r="BT155"/>
  <c r="BP155"/>
  <c r="BW155"/>
  <c r="BV155"/>
  <c r="BU155"/>
  <c r="BS55"/>
  <c r="BV55"/>
  <c r="BX55"/>
  <c r="BO55"/>
  <c r="BR55"/>
  <c r="BU55"/>
  <c r="BN55"/>
  <c r="BQ55"/>
  <c r="BT55"/>
  <c r="BW55"/>
  <c r="BM55"/>
  <c r="BP55"/>
  <c r="BS47"/>
  <c r="BV47"/>
  <c r="BX47"/>
  <c r="BO47"/>
  <c r="BR47"/>
  <c r="BU47"/>
  <c r="BN47"/>
  <c r="BQ47"/>
  <c r="BT47"/>
  <c r="BW47"/>
  <c r="BM47"/>
  <c r="BP47"/>
  <c r="BX157"/>
  <c r="BT157"/>
  <c r="BP157"/>
  <c r="BW157"/>
  <c r="BV157"/>
  <c r="BU157"/>
  <c r="BS157"/>
  <c r="BR157"/>
  <c r="BQ157"/>
  <c r="BO157"/>
  <c r="BN157"/>
  <c r="BM157"/>
  <c r="BS85"/>
  <c r="BV85"/>
  <c r="BT85"/>
  <c r="BO85"/>
  <c r="BR85"/>
  <c r="BU85"/>
  <c r="BN85"/>
  <c r="BQ85"/>
  <c r="BP85"/>
  <c r="BW85"/>
  <c r="BM85"/>
  <c r="BX85"/>
  <c r="BS138"/>
  <c r="BR138"/>
  <c r="BQ138"/>
  <c r="BO138"/>
  <c r="BN138"/>
  <c r="BM138"/>
  <c r="BX138"/>
  <c r="BT138"/>
  <c r="BP138"/>
  <c r="BW138"/>
  <c r="BV138"/>
  <c r="BU138"/>
  <c r="BS125"/>
  <c r="BR125"/>
  <c r="BQ125"/>
  <c r="BO125"/>
  <c r="BN125"/>
  <c r="BM125"/>
  <c r="BP125"/>
  <c r="BT125"/>
  <c r="BX125"/>
  <c r="BW125"/>
  <c r="BV125"/>
  <c r="BU125"/>
  <c r="BS81"/>
  <c r="BV81"/>
  <c r="BT81"/>
  <c r="BO81"/>
  <c r="BR81"/>
  <c r="BU81"/>
  <c r="BN81"/>
  <c r="BQ81"/>
  <c r="BX81"/>
  <c r="BW81"/>
  <c r="BM81"/>
  <c r="BP81"/>
  <c r="BS182"/>
  <c r="BV182"/>
  <c r="BT182"/>
  <c r="BO182"/>
  <c r="BR182"/>
  <c r="BU182"/>
  <c r="BN182"/>
  <c r="BQ182"/>
  <c r="BX182"/>
  <c r="BW182"/>
  <c r="BM182"/>
  <c r="BP182"/>
  <c r="BS148"/>
  <c r="BR148"/>
  <c r="BQ148"/>
  <c r="BO148"/>
  <c r="BN148"/>
  <c r="BM148"/>
  <c r="BX148"/>
  <c r="BT148"/>
  <c r="BP148"/>
  <c r="BW148"/>
  <c r="BV148"/>
  <c r="BU148"/>
  <c r="BS112"/>
  <c r="BR112"/>
  <c r="BQ112"/>
  <c r="BO112"/>
  <c r="BN112"/>
  <c r="BM112"/>
  <c r="BP112"/>
  <c r="BT112"/>
  <c r="BX112"/>
  <c r="BW112"/>
  <c r="BV112"/>
  <c r="BU112"/>
  <c r="BS171"/>
  <c r="BV171"/>
  <c r="BX171"/>
  <c r="BO171"/>
  <c r="BR171"/>
  <c r="BU171"/>
  <c r="BN171"/>
  <c r="BQ171"/>
  <c r="BP171"/>
  <c r="BW171"/>
  <c r="BM171"/>
  <c r="BT171"/>
  <c r="BS60"/>
  <c r="BV60"/>
  <c r="BP60"/>
  <c r="BO60"/>
  <c r="BR60"/>
  <c r="BU60"/>
  <c r="BN60"/>
  <c r="BQ60"/>
  <c r="BX60"/>
  <c r="BW60"/>
  <c r="BM60"/>
  <c r="BT60"/>
  <c r="BS93"/>
  <c r="BN93"/>
  <c r="BM93"/>
  <c r="BO93"/>
  <c r="BX93"/>
  <c r="BT93"/>
  <c r="BP93"/>
  <c r="BV93"/>
  <c r="BU93"/>
  <c r="BW93"/>
  <c r="BR93"/>
  <c r="BQ93"/>
  <c r="BS201"/>
  <c r="BV201"/>
  <c r="BP201"/>
  <c r="BO201"/>
  <c r="BR201"/>
  <c r="BU201"/>
  <c r="BN201"/>
  <c r="BQ201"/>
  <c r="BT201"/>
  <c r="BW201"/>
  <c r="BM201"/>
  <c r="BX201"/>
  <c r="BS101"/>
  <c r="BN101"/>
  <c r="BM101"/>
  <c r="BO101"/>
  <c r="BX101"/>
  <c r="BT101"/>
  <c r="BP101"/>
  <c r="BV101"/>
  <c r="BU101"/>
  <c r="BW101"/>
  <c r="BR101"/>
  <c r="BQ101"/>
  <c r="BS156"/>
  <c r="BR156"/>
  <c r="BQ156"/>
  <c r="BO156"/>
  <c r="BN156"/>
  <c r="BM156"/>
  <c r="BX156"/>
  <c r="BT156"/>
  <c r="BP156"/>
  <c r="BW156"/>
  <c r="BV156"/>
  <c r="BU156"/>
  <c r="BS91"/>
  <c r="BR91"/>
  <c r="BU91"/>
  <c r="BM91"/>
  <c r="BX91"/>
  <c r="BQ91"/>
  <c r="BN91"/>
  <c r="BP91"/>
  <c r="BT91"/>
  <c r="BO91"/>
  <c r="BW91"/>
  <c r="BV91"/>
  <c r="BN63"/>
  <c r="BQ63"/>
  <c r="BT63"/>
  <c r="BW63"/>
  <c r="BM63"/>
  <c r="BP63"/>
  <c r="BS63"/>
  <c r="BV63"/>
  <c r="BX63"/>
  <c r="BO63"/>
  <c r="BR63"/>
  <c r="BU63"/>
  <c r="BS187"/>
  <c r="BV187"/>
  <c r="BX187"/>
  <c r="BO187"/>
  <c r="BR187"/>
  <c r="BU187"/>
  <c r="BN187"/>
  <c r="BQ187"/>
  <c r="BP187"/>
  <c r="BW187"/>
  <c r="BM187"/>
  <c r="BT187"/>
  <c r="BS71"/>
  <c r="BV71"/>
  <c r="BX71"/>
  <c r="BO71"/>
  <c r="BR71"/>
  <c r="BU71"/>
  <c r="BN71"/>
  <c r="BQ71"/>
  <c r="BT71"/>
  <c r="BW71"/>
  <c r="BM71"/>
  <c r="BP71"/>
  <c r="BS183"/>
  <c r="BV183"/>
  <c r="BX183"/>
  <c r="BO183"/>
  <c r="BR183"/>
  <c r="BU183"/>
  <c r="BN183"/>
  <c r="BQ183"/>
  <c r="BP183"/>
  <c r="BW183"/>
  <c r="BM183"/>
  <c r="BT183"/>
  <c r="BS111"/>
  <c r="BR111"/>
  <c r="BQ111"/>
  <c r="BO111"/>
  <c r="BN111"/>
  <c r="BM111"/>
  <c r="BP111"/>
  <c r="BT111"/>
  <c r="BX111"/>
  <c r="BW111"/>
  <c r="BV111"/>
  <c r="BU111"/>
  <c r="BN39"/>
  <c r="BQ39"/>
  <c r="BT39"/>
  <c r="BW39"/>
  <c r="BM39"/>
  <c r="BP39"/>
  <c r="BS39"/>
  <c r="BV39"/>
  <c r="BX39"/>
  <c r="BO39"/>
  <c r="BR39"/>
  <c r="BU39"/>
  <c r="BS203"/>
  <c r="BV203"/>
  <c r="BX203"/>
  <c r="BO203"/>
  <c r="BR203"/>
  <c r="BU203"/>
  <c r="BN203"/>
  <c r="BQ203"/>
  <c r="BP203"/>
  <c r="BW203"/>
  <c r="BM203"/>
  <c r="BT203"/>
  <c r="BX139"/>
  <c r="BT139"/>
  <c r="BP139"/>
  <c r="BW139"/>
  <c r="BV139"/>
  <c r="BU139"/>
  <c r="BS139"/>
  <c r="BR139"/>
  <c r="BQ139"/>
  <c r="BO139"/>
  <c r="BN139"/>
  <c r="BM139"/>
  <c r="BS163"/>
  <c r="BR163"/>
  <c r="BQ163"/>
  <c r="BO163"/>
  <c r="BN163"/>
  <c r="BM163"/>
  <c r="BT163"/>
  <c r="BX163"/>
  <c r="BP163"/>
  <c r="BW163"/>
  <c r="BV163"/>
  <c r="BU163"/>
  <c r="BS127"/>
  <c r="BR127"/>
  <c r="BQ127"/>
  <c r="BO127"/>
  <c r="BN127"/>
  <c r="BM127"/>
  <c r="BT127"/>
  <c r="BP127"/>
  <c r="BX127"/>
  <c r="BW127"/>
  <c r="BV127"/>
  <c r="BU127"/>
  <c r="BS107"/>
  <c r="BR107"/>
  <c r="BQ107"/>
  <c r="BO107"/>
  <c r="BN107"/>
  <c r="BM107"/>
  <c r="BP107"/>
  <c r="BX107"/>
  <c r="BT107"/>
  <c r="BW107"/>
  <c r="BV107"/>
  <c r="BU107"/>
  <c r="BN167"/>
  <c r="BQ167"/>
  <c r="BP167"/>
  <c r="BW167"/>
  <c r="BM167"/>
  <c r="BT167"/>
  <c r="BS167"/>
  <c r="BV167"/>
  <c r="BX167"/>
  <c r="BO167"/>
  <c r="BR167"/>
  <c r="BU167"/>
  <c r="BS143"/>
  <c r="BR143"/>
  <c r="BQ143"/>
  <c r="BO143"/>
  <c r="BN143"/>
  <c r="BM143"/>
  <c r="BT143"/>
  <c r="BX143"/>
  <c r="BP143"/>
  <c r="BW143"/>
  <c r="BV143"/>
  <c r="BU143"/>
  <c r="BS75"/>
  <c r="BV75"/>
  <c r="BP75"/>
  <c r="BO75"/>
  <c r="BR75"/>
  <c r="BU75"/>
  <c r="BN75"/>
  <c r="BQ75"/>
  <c r="BT75"/>
  <c r="BW75"/>
  <c r="BM75"/>
  <c r="BX75"/>
  <c r="BS119"/>
  <c r="BR119"/>
  <c r="BQ119"/>
  <c r="BO119"/>
  <c r="BN119"/>
  <c r="BM119"/>
  <c r="BP119"/>
  <c r="BT119"/>
  <c r="BX119"/>
  <c r="BW119"/>
  <c r="BV119"/>
  <c r="BU119"/>
  <c r="BS179"/>
  <c r="BV179"/>
  <c r="BX179"/>
  <c r="BO179"/>
  <c r="BR179"/>
  <c r="BU179"/>
  <c r="BN179"/>
  <c r="BQ179"/>
  <c r="BP179"/>
  <c r="BW179"/>
  <c r="BM179"/>
  <c r="BT179"/>
  <c r="BS79"/>
  <c r="BV79"/>
  <c r="BX79"/>
  <c r="BO79"/>
  <c r="BR79"/>
  <c r="BU79"/>
  <c r="BN79"/>
  <c r="BQ79"/>
  <c r="BT79"/>
  <c r="BW79"/>
  <c r="BM79"/>
  <c r="BP79"/>
  <c r="BS131"/>
  <c r="BR131"/>
  <c r="BQ131"/>
  <c r="BO131"/>
  <c r="BN131"/>
  <c r="BM131"/>
  <c r="BP131"/>
  <c r="BT131"/>
  <c r="BX131"/>
  <c r="BW131"/>
  <c r="BV131"/>
  <c r="BU131"/>
  <c r="BS175"/>
  <c r="BV175"/>
  <c r="BX175"/>
  <c r="BO175"/>
  <c r="BR175"/>
  <c r="BU175"/>
  <c r="BN175"/>
  <c r="BQ175"/>
  <c r="BP175"/>
  <c r="BW175"/>
  <c r="BM175"/>
  <c r="BT175"/>
  <c r="BS83"/>
  <c r="BV83"/>
  <c r="BP83"/>
  <c r="BO83"/>
  <c r="BR83"/>
  <c r="BU83"/>
  <c r="BN83"/>
  <c r="BQ83"/>
  <c r="BT83"/>
  <c r="BW83"/>
  <c r="BM83"/>
  <c r="BX83"/>
  <c r="BS98"/>
  <c r="BR98"/>
  <c r="BM98"/>
  <c r="BO98"/>
  <c r="BN98"/>
  <c r="BX98"/>
  <c r="BT98"/>
  <c r="BP98"/>
  <c r="BU98"/>
  <c r="BW98"/>
  <c r="BV98"/>
  <c r="BQ98"/>
  <c r="BS173"/>
  <c r="BV173"/>
  <c r="BP173"/>
  <c r="BO173"/>
  <c r="BR173"/>
  <c r="BU173"/>
  <c r="BN173"/>
  <c r="BQ173"/>
  <c r="BX173"/>
  <c r="BW173"/>
  <c r="BM173"/>
  <c r="BT173"/>
  <c r="BS170"/>
  <c r="BV170"/>
  <c r="BT170"/>
  <c r="BO170"/>
  <c r="BR170"/>
  <c r="BU170"/>
  <c r="BN170"/>
  <c r="BQ170"/>
  <c r="BX170"/>
  <c r="BW170"/>
  <c r="BM170"/>
  <c r="BP170"/>
  <c r="BN37"/>
  <c r="BQ37"/>
  <c r="BP37"/>
  <c r="BW37"/>
  <c r="BM37"/>
  <c r="BX37"/>
  <c r="BS37"/>
  <c r="BV37"/>
  <c r="BT37"/>
  <c r="BO37"/>
  <c r="BR37"/>
  <c r="BU37"/>
  <c r="BS96"/>
  <c r="BR96"/>
  <c r="BM96"/>
  <c r="BO96"/>
  <c r="BN96"/>
  <c r="BX96"/>
  <c r="BT96"/>
  <c r="BP96"/>
  <c r="BU96"/>
  <c r="BW96"/>
  <c r="BV96"/>
  <c r="BQ96"/>
  <c r="BS88"/>
  <c r="BV88"/>
  <c r="BP88"/>
  <c r="BO88"/>
  <c r="BR88"/>
  <c r="BU88"/>
  <c r="BN88"/>
  <c r="BQ88"/>
  <c r="BX88"/>
  <c r="BW88"/>
  <c r="BM88"/>
  <c r="BT88"/>
  <c r="BS73"/>
  <c r="BV73"/>
  <c r="BT73"/>
  <c r="BO73"/>
  <c r="BR73"/>
  <c r="BU73"/>
  <c r="BN73"/>
  <c r="BQ73"/>
  <c r="BX73"/>
  <c r="BW73"/>
  <c r="BM73"/>
  <c r="BP73"/>
  <c r="BS77"/>
  <c r="BV77"/>
  <c r="BT77"/>
  <c r="BO77"/>
  <c r="BR77"/>
  <c r="BU77"/>
  <c r="BN77"/>
  <c r="BQ77"/>
  <c r="BP77"/>
  <c r="BW77"/>
  <c r="BM77"/>
  <c r="BX77"/>
  <c r="BS115"/>
  <c r="BR115"/>
  <c r="BQ115"/>
  <c r="BO115"/>
  <c r="BN115"/>
  <c r="BM115"/>
  <c r="BT115"/>
  <c r="BP115"/>
  <c r="BX115"/>
  <c r="BW115"/>
  <c r="BV115"/>
  <c r="BU115"/>
  <c r="BS95"/>
  <c r="BN95"/>
  <c r="BM95"/>
  <c r="BO95"/>
  <c r="BX95"/>
  <c r="BT95"/>
  <c r="BP95"/>
  <c r="BV95"/>
  <c r="BU95"/>
  <c r="BW95"/>
  <c r="BR95"/>
  <c r="BQ95"/>
  <c r="BS162"/>
  <c r="BR162"/>
  <c r="BQ162"/>
  <c r="BO162"/>
  <c r="BN162"/>
  <c r="BM162"/>
  <c r="BT162"/>
  <c r="BX162"/>
  <c r="BP162"/>
  <c r="BW162"/>
  <c r="BV162"/>
  <c r="BU162"/>
  <c r="BS180"/>
  <c r="BV180"/>
  <c r="BX180"/>
  <c r="BO180"/>
  <c r="BR180"/>
  <c r="BU180"/>
  <c r="BN180"/>
  <c r="BQ180"/>
  <c r="BP180"/>
  <c r="BW180"/>
  <c r="BM180"/>
  <c r="BT180"/>
  <c r="BS184"/>
  <c r="BV184"/>
  <c r="BX184"/>
  <c r="BO184"/>
  <c r="BR184"/>
  <c r="BU184"/>
  <c r="BN184"/>
  <c r="BQ184"/>
  <c r="BT184"/>
  <c r="BW184"/>
  <c r="BM184"/>
  <c r="BP184"/>
  <c r="BN59"/>
  <c r="BQ59"/>
  <c r="BT59"/>
  <c r="BW59"/>
  <c r="BM59"/>
  <c r="BX59"/>
  <c r="BS59"/>
  <c r="BV59"/>
  <c r="BP59"/>
  <c r="BO59"/>
  <c r="BR59"/>
  <c r="BU59"/>
  <c r="BN169"/>
  <c r="BQ169"/>
  <c r="BT169"/>
  <c r="BW169"/>
  <c r="BM169"/>
  <c r="BX169"/>
  <c r="BS169"/>
  <c r="BV169"/>
  <c r="BP169"/>
  <c r="BO169"/>
  <c r="BR169"/>
  <c r="BU169"/>
  <c r="HF110" i="9"/>
  <c r="HH110" s="1"/>
  <c r="HF121"/>
  <c r="HH121" s="1"/>
  <c r="HH178"/>
  <c r="HH146"/>
  <c r="HH90"/>
  <c r="HH140"/>
  <c r="HH144"/>
  <c r="HH203"/>
  <c r="HH163"/>
  <c r="HH204"/>
  <c r="HF44"/>
  <c r="HF40"/>
  <c r="HF80"/>
  <c r="HF117"/>
  <c r="HF56"/>
  <c r="HF97"/>
  <c r="HF205"/>
  <c r="HF173"/>
  <c r="HF105"/>
  <c r="HF160"/>
  <c r="HF95"/>
  <c r="HF67"/>
  <c r="HF191"/>
  <c r="HF75"/>
  <c r="HF187"/>
  <c r="HF115"/>
  <c r="HF43"/>
  <c r="HF207"/>
  <c r="HF143"/>
  <c r="HF167"/>
  <c r="HF131"/>
  <c r="HF111"/>
  <c r="HF171"/>
  <c r="HF147"/>
  <c r="HF79"/>
  <c r="HF123"/>
  <c r="HF183"/>
  <c r="HF83"/>
  <c r="HF135"/>
  <c r="HF179"/>
  <c r="HF87"/>
  <c r="HF102"/>
  <c r="HF177"/>
  <c r="HF153"/>
  <c r="HF69"/>
  <c r="HF137"/>
  <c r="HF201"/>
  <c r="HF186"/>
  <c r="HF119"/>
  <c r="HF99"/>
  <c r="HF166"/>
  <c r="HF184"/>
  <c r="HF188"/>
  <c r="HF63"/>
  <c r="HF148"/>
  <c r="HH199"/>
  <c r="HH195"/>
  <c r="HH72"/>
  <c r="HH47"/>
  <c r="HH194"/>
  <c r="HH94"/>
  <c r="HH136"/>
  <c r="HF169"/>
  <c r="HF170"/>
  <c r="HF190"/>
  <c r="HF50"/>
  <c r="HF118"/>
  <c r="HF158"/>
  <c r="HF106"/>
  <c r="HF198"/>
  <c r="HF54"/>
  <c r="HF130"/>
  <c r="HF185"/>
  <c r="HF168"/>
  <c r="HF164"/>
  <c r="HF73"/>
  <c r="HF61"/>
  <c r="HF104"/>
  <c r="HF196"/>
  <c r="HF172"/>
  <c r="HF48"/>
  <c r="HF156"/>
  <c r="HF108"/>
  <c r="HF176"/>
  <c r="HF128"/>
  <c r="HF132"/>
  <c r="HF93"/>
  <c r="HF165"/>
  <c r="HF200"/>
  <c r="HF68"/>
  <c r="HF60"/>
  <c r="HF149"/>
  <c r="HF120"/>
  <c r="HF181"/>
  <c r="HF192"/>
  <c r="HF53"/>
  <c r="HF109"/>
  <c r="HF133"/>
  <c r="HF145"/>
  <c r="HF141"/>
  <c r="HF65"/>
  <c r="HF45"/>
  <c r="HF81"/>
  <c r="HF162"/>
  <c r="HF127"/>
  <c r="HF189"/>
  <c r="HF57"/>
  <c r="HF180"/>
  <c r="HF96"/>
  <c r="HF49"/>
  <c r="HF52"/>
  <c r="HF112"/>
  <c r="HF101"/>
  <c r="HF78"/>
  <c r="HF74"/>
  <c r="HF114"/>
  <c r="HF42"/>
  <c r="HF62"/>
  <c r="HF122"/>
  <c r="HF150"/>
  <c r="HF138"/>
  <c r="HF98"/>
  <c r="HF82"/>
  <c r="HF154"/>
  <c r="HF202"/>
  <c r="HF126"/>
  <c r="HF58"/>
  <c r="HF70"/>
  <c r="HF46"/>
  <c r="HF86"/>
  <c r="HF66"/>
  <c r="HF134"/>
  <c r="HF88"/>
  <c r="HF89"/>
  <c r="HF142"/>
  <c r="HF129"/>
  <c r="HF85"/>
  <c r="HF125"/>
  <c r="HF91"/>
  <c r="HF182"/>
  <c r="HF103"/>
  <c r="HH76"/>
  <c r="HH84"/>
  <c r="HH124"/>
  <c r="HH206"/>
  <c r="HH55"/>
  <c r="HH151"/>
  <c r="HH157"/>
  <c r="HF107"/>
  <c r="HF71"/>
  <c r="HF155"/>
  <c r="HF159"/>
  <c r="HF59"/>
  <c r="HF51"/>
  <c r="HF161"/>
  <c r="HF174"/>
  <c r="HF41"/>
  <c r="HF100"/>
  <c r="HF92"/>
  <c r="HF77"/>
  <c r="HF152"/>
  <c r="HF116"/>
  <c r="HF175"/>
  <c r="HH64"/>
  <c r="HH139"/>
  <c r="IW162"/>
  <c r="JA162"/>
  <c r="IV162"/>
  <c r="IX185"/>
  <c r="IW185"/>
  <c r="IU162"/>
  <c r="IY162"/>
  <c r="IW40"/>
  <c r="JA40"/>
  <c r="IV185"/>
  <c r="JA185"/>
  <c r="IX162"/>
  <c r="IV40"/>
  <c r="IT185"/>
  <c r="IZ197"/>
  <c r="JB197" s="1"/>
  <c r="HG197" s="1"/>
  <c r="Q193" i="11" s="1"/>
  <c r="IT197" i="9"/>
  <c r="IY197"/>
  <c r="IX197"/>
  <c r="IW197"/>
  <c r="IV197"/>
  <c r="IF6"/>
  <c r="IE6"/>
  <c r="BX206" i="11"/>
  <c r="BW206"/>
  <c r="BV206"/>
  <c r="BU206"/>
  <c r="BT206"/>
  <c r="BS206"/>
  <c r="BR206"/>
  <c r="BQ206"/>
  <c r="BP206"/>
  <c r="BO206"/>
  <c r="BN206"/>
  <c r="BM206"/>
  <c r="BM205"/>
  <c r="BL3"/>
  <c r="BS193" l="1"/>
  <c r="BV193"/>
  <c r="BP193"/>
  <c r="BO193"/>
  <c r="BR193"/>
  <c r="BU193"/>
  <c r="BN193"/>
  <c r="BQ193"/>
  <c r="BT193"/>
  <c r="BW193"/>
  <c r="BM193"/>
  <c r="BX193"/>
  <c r="HH116" i="9"/>
  <c r="HH100"/>
  <c r="HH174"/>
  <c r="HH51"/>
  <c r="HH159"/>
  <c r="HH71"/>
  <c r="HH85"/>
  <c r="HH101"/>
  <c r="HH57"/>
  <c r="HH81"/>
  <c r="HH65"/>
  <c r="HH145"/>
  <c r="HH109"/>
  <c r="HH93"/>
  <c r="HH61"/>
  <c r="HH185"/>
  <c r="HH169"/>
  <c r="HH148"/>
  <c r="HH188"/>
  <c r="HH166"/>
  <c r="HH119"/>
  <c r="HH87"/>
  <c r="HH135"/>
  <c r="HH183"/>
  <c r="HH79"/>
  <c r="HH171"/>
  <c r="HH175"/>
  <c r="HH152"/>
  <c r="HH92"/>
  <c r="HH59"/>
  <c r="HH155"/>
  <c r="HH107"/>
  <c r="HH63"/>
  <c r="HH184"/>
  <c r="HH125"/>
  <c r="HH129"/>
  <c r="HH89"/>
  <c r="HH49"/>
  <c r="HH189"/>
  <c r="HH45"/>
  <c r="HH141"/>
  <c r="HH133"/>
  <c r="HH53"/>
  <c r="HH181"/>
  <c r="HH149"/>
  <c r="HH165"/>
  <c r="HH73"/>
  <c r="HH99"/>
  <c r="HH186"/>
  <c r="HH102"/>
  <c r="HH179"/>
  <c r="HH131"/>
  <c r="HH143"/>
  <c r="HH43"/>
  <c r="HH187"/>
  <c r="HH191"/>
  <c r="HH95"/>
  <c r="HH56"/>
  <c r="HH80"/>
  <c r="HH44"/>
  <c r="HH173"/>
  <c r="HH97"/>
  <c r="HH83"/>
  <c r="HH123"/>
  <c r="HH147"/>
  <c r="HH111"/>
  <c r="HH167"/>
  <c r="HH207"/>
  <c r="HH115"/>
  <c r="HH75"/>
  <c r="HH40"/>
  <c r="HF197"/>
  <c r="HH77"/>
  <c r="HH182"/>
  <c r="HH134"/>
  <c r="HH86"/>
  <c r="HH70"/>
  <c r="HH126"/>
  <c r="HH154"/>
  <c r="HH98"/>
  <c r="HH150"/>
  <c r="HH62"/>
  <c r="HH114"/>
  <c r="HH78"/>
  <c r="HH112"/>
  <c r="HH180"/>
  <c r="HH162"/>
  <c r="HH68"/>
  <c r="HH132"/>
  <c r="HH176"/>
  <c r="HH156"/>
  <c r="HH172"/>
  <c r="HH104"/>
  <c r="HH168"/>
  <c r="HH130"/>
  <c r="HH198"/>
  <c r="HH158"/>
  <c r="HH50"/>
  <c r="HH170"/>
  <c r="HH201"/>
  <c r="HH69"/>
  <c r="HH177"/>
  <c r="HH105"/>
  <c r="HH205"/>
  <c r="HH41"/>
  <c r="HH161"/>
  <c r="HH103"/>
  <c r="HH91"/>
  <c r="HH142"/>
  <c r="HH88"/>
  <c r="HH66"/>
  <c r="HH46"/>
  <c r="HH58"/>
  <c r="HH202"/>
  <c r="HH82"/>
  <c r="HH138"/>
  <c r="HH122"/>
  <c r="HH42"/>
  <c r="HH74"/>
  <c r="HH52"/>
  <c r="HH96"/>
  <c r="HH127"/>
  <c r="HH192"/>
  <c r="HH120"/>
  <c r="HH60"/>
  <c r="HH200"/>
  <c r="HH128"/>
  <c r="HH108"/>
  <c r="HH48"/>
  <c r="HH196"/>
  <c r="HH164"/>
  <c r="HH54"/>
  <c r="HH106"/>
  <c r="HH118"/>
  <c r="HH190"/>
  <c r="HH137"/>
  <c r="HH153"/>
  <c r="HH117"/>
  <c r="HH67"/>
  <c r="HH160"/>
  <c r="HH197" l="1"/>
  <c r="K3" i="8" l="1"/>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
  <c r="E8"/>
  <c r="BJ8" i="9"/>
  <c r="AR8"/>
  <c r="AY8" s="1"/>
  <c r="BD8" s="1"/>
  <c r="AQ8"/>
  <c r="AL8"/>
  <c r="X8"/>
  <c r="CW3"/>
  <c r="CF3"/>
  <c r="BI3"/>
  <c r="X3"/>
  <c r="J3"/>
  <c r="BC3"/>
  <c r="AY7"/>
  <c r="AQ7"/>
  <c r="BB7" s="1"/>
  <c r="AQ6"/>
  <c r="AU6"/>
  <c r="B131" i="19" l="1"/>
  <c r="B102"/>
  <c r="B73"/>
  <c r="R131"/>
  <c r="R102"/>
  <c r="R73"/>
  <c r="B130"/>
  <c r="B101"/>
  <c r="B72"/>
  <c r="R130"/>
  <c r="R101"/>
  <c r="R72"/>
  <c r="B44"/>
  <c r="A15" i="4"/>
  <c r="R15" i="19"/>
  <c r="B15"/>
  <c r="R44"/>
  <c r="B43"/>
  <c r="R43"/>
  <c r="A14" i="4"/>
  <c r="R14" i="19"/>
  <c r="B14"/>
  <c r="CC8" i="9"/>
  <c r="BX8"/>
  <c r="BM8"/>
  <c r="BB8"/>
  <c r="AS8"/>
  <c r="AT8" s="1"/>
  <c r="AZ8" s="1"/>
  <c r="BF8"/>
  <c r="AX8"/>
  <c r="BC8" s="1"/>
  <c r="BB6"/>
  <c r="AS6"/>
  <c r="BB202"/>
  <c r="DC202" s="1"/>
  <c r="BB163"/>
  <c r="DC163" s="1"/>
  <c r="BB194"/>
  <c r="DC194" s="1"/>
  <c r="BB195"/>
  <c r="DC195" s="1"/>
  <c r="BB183"/>
  <c r="DC183" s="1"/>
  <c r="BB167"/>
  <c r="DC167" s="1"/>
  <c r="BB200"/>
  <c r="DC200" s="1"/>
  <c r="BB198"/>
  <c r="DC198" s="1"/>
  <c r="BB190"/>
  <c r="DC190" s="1"/>
  <c r="BB122"/>
  <c r="DC122" s="1"/>
  <c r="BB90"/>
  <c r="DC90" s="1"/>
  <c r="BB58"/>
  <c r="DC58" s="1"/>
  <c r="BB33"/>
  <c r="DC33" s="1"/>
  <c r="BB133"/>
  <c r="DC133" s="1"/>
  <c r="BB83"/>
  <c r="DC83" s="1"/>
  <c r="BB67"/>
  <c r="DC67" s="1"/>
  <c r="BB53"/>
  <c r="DC53" s="1"/>
  <c r="BB51"/>
  <c r="DC51" s="1"/>
  <c r="BB31"/>
  <c r="DC31" s="1"/>
  <c r="BB19"/>
  <c r="DC19" s="1"/>
  <c r="BB148"/>
  <c r="DC148" s="1"/>
  <c r="BB141"/>
  <c r="DC141" s="1"/>
  <c r="BB117"/>
  <c r="DC117" s="1"/>
  <c r="BB93"/>
  <c r="DC93" s="1"/>
  <c r="BB84"/>
  <c r="DC84" s="1"/>
  <c r="BB76"/>
  <c r="DC76" s="1"/>
  <c r="BB68"/>
  <c r="DC68" s="1"/>
  <c r="BB36"/>
  <c r="DC36" s="1"/>
  <c r="BB24"/>
  <c r="DC24" s="1"/>
  <c r="BB134"/>
  <c r="DC134" s="1"/>
  <c r="BB102"/>
  <c r="DC102" s="1"/>
  <c r="BB70"/>
  <c r="DC70" s="1"/>
  <c r="BB38"/>
  <c r="DC38" s="1"/>
  <c r="BB152"/>
  <c r="DC152" s="1"/>
  <c r="BB143"/>
  <c r="DC143" s="1"/>
  <c r="BB87"/>
  <c r="DC87" s="1"/>
  <c r="BB151"/>
  <c r="DC151" s="1"/>
  <c r="BB135"/>
  <c r="DC135" s="1"/>
  <c r="BB128"/>
  <c r="DC128" s="1"/>
  <c r="BB120"/>
  <c r="DC120" s="1"/>
  <c r="BB103"/>
  <c r="DC103" s="1"/>
  <c r="BB97"/>
  <c r="DC97" s="1"/>
  <c r="BB56"/>
  <c r="DC56" s="1"/>
  <c r="BB47"/>
  <c r="DC47" s="1"/>
  <c r="BB13"/>
  <c r="DC13" s="1"/>
  <c r="BB168"/>
  <c r="DC168" s="1"/>
  <c r="BB187"/>
  <c r="DC187" s="1"/>
  <c r="BB157"/>
  <c r="DC157" s="1"/>
  <c r="BB203"/>
  <c r="DC203" s="1"/>
  <c r="BB205"/>
  <c r="DC205" s="1"/>
  <c r="BB165"/>
  <c r="DC165" s="1"/>
  <c r="BB196"/>
  <c r="DC196" s="1"/>
  <c r="BB170"/>
  <c r="DC170" s="1"/>
  <c r="BB197"/>
  <c r="DC197" s="1"/>
  <c r="BB206"/>
  <c r="DC206" s="1"/>
  <c r="BB192"/>
  <c r="DC192" s="1"/>
  <c r="BB180"/>
  <c r="DC180" s="1"/>
  <c r="BB199"/>
  <c r="DC199" s="1"/>
  <c r="BB191"/>
  <c r="DC191" s="1"/>
  <c r="BB174"/>
  <c r="DC174" s="1"/>
  <c r="BB114"/>
  <c r="DC114" s="1"/>
  <c r="BB82"/>
  <c r="DC82" s="1"/>
  <c r="BB50"/>
  <c r="DC50" s="1"/>
  <c r="BB30"/>
  <c r="DC30" s="1"/>
  <c r="BB25"/>
  <c r="DC25" s="1"/>
  <c r="BB18"/>
  <c r="DC18" s="1"/>
  <c r="BB14"/>
  <c r="DC14" s="1"/>
  <c r="BB154"/>
  <c r="DC154" s="1"/>
  <c r="BB153"/>
  <c r="DC153" s="1"/>
  <c r="BB139"/>
  <c r="DC139" s="1"/>
  <c r="BB108"/>
  <c r="DC108" s="1"/>
  <c r="BB99"/>
  <c r="DC99" s="1"/>
  <c r="BB85"/>
  <c r="DC85" s="1"/>
  <c r="BB69"/>
  <c r="DC69" s="1"/>
  <c r="BB52"/>
  <c r="DC52" s="1"/>
  <c r="BB44"/>
  <c r="DC44" s="1"/>
  <c r="BB27"/>
  <c r="DC27" s="1"/>
  <c r="BB15"/>
  <c r="DC15" s="1"/>
  <c r="BB126"/>
  <c r="DC126" s="1"/>
  <c r="BB94"/>
  <c r="DC94" s="1"/>
  <c r="BB62"/>
  <c r="DC62" s="1"/>
  <c r="BB9"/>
  <c r="DC9" s="1"/>
  <c r="HA9" s="1"/>
  <c r="BB127"/>
  <c r="DC127" s="1"/>
  <c r="BB63"/>
  <c r="DC63" s="1"/>
  <c r="BB144"/>
  <c r="DC144" s="1"/>
  <c r="BB136"/>
  <c r="DC136" s="1"/>
  <c r="BB129"/>
  <c r="DC129" s="1"/>
  <c r="BB121"/>
  <c r="DC121" s="1"/>
  <c r="BB111"/>
  <c r="DC111" s="1"/>
  <c r="BB104"/>
  <c r="DC104" s="1"/>
  <c r="BB71"/>
  <c r="DC71" s="1"/>
  <c r="BB64"/>
  <c r="DC64" s="1"/>
  <c r="BB57"/>
  <c r="DC57" s="1"/>
  <c r="BB48"/>
  <c r="DC48" s="1"/>
  <c r="BB40"/>
  <c r="DC40" s="1"/>
  <c r="BB169"/>
  <c r="DC169" s="1"/>
  <c r="BB164"/>
  <c r="DC164" s="1"/>
  <c r="BB193"/>
  <c r="DC193" s="1"/>
  <c r="BB181"/>
  <c r="DC181" s="1"/>
  <c r="BB204"/>
  <c r="DC204" s="1"/>
  <c r="BB186"/>
  <c r="DC186" s="1"/>
  <c r="BB171"/>
  <c r="DC171" s="1"/>
  <c r="BB158"/>
  <c r="DC158" s="1"/>
  <c r="BB189"/>
  <c r="DC189" s="1"/>
  <c r="BB179"/>
  <c r="DC179" s="1"/>
  <c r="BB207"/>
  <c r="DC207" s="1"/>
  <c r="BB178"/>
  <c r="DC178" s="1"/>
  <c r="BB201"/>
  <c r="DC201" s="1"/>
  <c r="BB175"/>
  <c r="DC175" s="1"/>
  <c r="BB146"/>
  <c r="DC146" s="1"/>
  <c r="BB138"/>
  <c r="DC138" s="1"/>
  <c r="BB106"/>
  <c r="DC106" s="1"/>
  <c r="BB74"/>
  <c r="DC74" s="1"/>
  <c r="BB42"/>
  <c r="DC42" s="1"/>
  <c r="BB149"/>
  <c r="DC149" s="1"/>
  <c r="BB21"/>
  <c r="DC21" s="1"/>
  <c r="BB101"/>
  <c r="DC101" s="1"/>
  <c r="BB37"/>
  <c r="DC37" s="1"/>
  <c r="BB35"/>
  <c r="DC35" s="1"/>
  <c r="BB23"/>
  <c r="DC23" s="1"/>
  <c r="BB155"/>
  <c r="DC155" s="1"/>
  <c r="BB140"/>
  <c r="DC140" s="1"/>
  <c r="BB131"/>
  <c r="DC131" s="1"/>
  <c r="BB124"/>
  <c r="DC124" s="1"/>
  <c r="BB115"/>
  <c r="DC115" s="1"/>
  <c r="BB109"/>
  <c r="DC109" s="1"/>
  <c r="BB100"/>
  <c r="DC100" s="1"/>
  <c r="BB91"/>
  <c r="DC91" s="1"/>
  <c r="BB59"/>
  <c r="DC59" s="1"/>
  <c r="BB28"/>
  <c r="DC28" s="1"/>
  <c r="BB16"/>
  <c r="BB118"/>
  <c r="DC118" s="1"/>
  <c r="BB86"/>
  <c r="DC86" s="1"/>
  <c r="BB54"/>
  <c r="DC54" s="1"/>
  <c r="BB145"/>
  <c r="DC145" s="1"/>
  <c r="BB41"/>
  <c r="DC41" s="1"/>
  <c r="BB39"/>
  <c r="DC39" s="1"/>
  <c r="BB137"/>
  <c r="DC137" s="1"/>
  <c r="BB112"/>
  <c r="DC112" s="1"/>
  <c r="BB105"/>
  <c r="DC105" s="1"/>
  <c r="BB95"/>
  <c r="DC95" s="1"/>
  <c r="BB88"/>
  <c r="DC88" s="1"/>
  <c r="BB79"/>
  <c r="DC79" s="1"/>
  <c r="BB72"/>
  <c r="DC72" s="1"/>
  <c r="BB65"/>
  <c r="DC65" s="1"/>
  <c r="BB49"/>
  <c r="DC49" s="1"/>
  <c r="BB184"/>
  <c r="DC184" s="1"/>
  <c r="BB176"/>
  <c r="DC176" s="1"/>
  <c r="BB160"/>
  <c r="DC160" s="1"/>
  <c r="BB162"/>
  <c r="DC162" s="1"/>
  <c r="BB188"/>
  <c r="DC188" s="1"/>
  <c r="BB182"/>
  <c r="DC182" s="1"/>
  <c r="BB159"/>
  <c r="DC159" s="1"/>
  <c r="BB173"/>
  <c r="DC173" s="1"/>
  <c r="BB166"/>
  <c r="DC166" s="1"/>
  <c r="BB130"/>
  <c r="DC130" s="1"/>
  <c r="BB98"/>
  <c r="DC98" s="1"/>
  <c r="BB66"/>
  <c r="DC66" s="1"/>
  <c r="BB34"/>
  <c r="DC34" s="1"/>
  <c r="BB26"/>
  <c r="DC26" s="1"/>
  <c r="BB22"/>
  <c r="DC22" s="1"/>
  <c r="BB17"/>
  <c r="DC17" s="1"/>
  <c r="BB11"/>
  <c r="DC11" s="1"/>
  <c r="BB150"/>
  <c r="DC150" s="1"/>
  <c r="BB29"/>
  <c r="DC29" s="1"/>
  <c r="BB12"/>
  <c r="DC12" s="1"/>
  <c r="BB147"/>
  <c r="DC147" s="1"/>
  <c r="BB123"/>
  <c r="DC123" s="1"/>
  <c r="BB107"/>
  <c r="DC107" s="1"/>
  <c r="BB77"/>
  <c r="DC77" s="1"/>
  <c r="BB75"/>
  <c r="DC75" s="1"/>
  <c r="BB61"/>
  <c r="DC61" s="1"/>
  <c r="BB45"/>
  <c r="DC45" s="1"/>
  <c r="BB43"/>
  <c r="DC43" s="1"/>
  <c r="BB132"/>
  <c r="DC132" s="1"/>
  <c r="BB125"/>
  <c r="DC125" s="1"/>
  <c r="BB116"/>
  <c r="DC116" s="1"/>
  <c r="BB92"/>
  <c r="DC92" s="1"/>
  <c r="BB60"/>
  <c r="DC60" s="1"/>
  <c r="BB32"/>
  <c r="DC32" s="1"/>
  <c r="BB20"/>
  <c r="DC20" s="1"/>
  <c r="BB142"/>
  <c r="DC142" s="1"/>
  <c r="BB110"/>
  <c r="DC110" s="1"/>
  <c r="BB78"/>
  <c r="DC78" s="1"/>
  <c r="BB46"/>
  <c r="DC46" s="1"/>
  <c r="BB113"/>
  <c r="DC113" s="1"/>
  <c r="BB81"/>
  <c r="DC81" s="1"/>
  <c r="BB10"/>
  <c r="DC10" s="1"/>
  <c r="BB119"/>
  <c r="DC119" s="1"/>
  <c r="BB96"/>
  <c r="DC96" s="1"/>
  <c r="BB89"/>
  <c r="DC89" s="1"/>
  <c r="BB80"/>
  <c r="DC80" s="1"/>
  <c r="BB73"/>
  <c r="DC73" s="1"/>
  <c r="BB55"/>
  <c r="DC55" s="1"/>
  <c r="BB185"/>
  <c r="DC185" s="1"/>
  <c r="BB177"/>
  <c r="DC177" s="1"/>
  <c r="BB172"/>
  <c r="DC172" s="1"/>
  <c r="BB161"/>
  <c r="DC161" s="1"/>
  <c r="BB156"/>
  <c r="DC156" s="1"/>
  <c r="AW6"/>
  <c r="BC36"/>
  <c r="BC24"/>
  <c r="BC12"/>
  <c r="BC26"/>
  <c r="BC37"/>
  <c r="BC35"/>
  <c r="BC25"/>
  <c r="BC23"/>
  <c r="BC11"/>
  <c r="BC9"/>
  <c r="AS7"/>
  <c r="AX7"/>
  <c r="AX6"/>
  <c r="AG8"/>
  <c r="AF8"/>
  <c r="AA8"/>
  <c r="AC8" s="1"/>
  <c r="AE8" s="1"/>
  <c r="A15" i="18"/>
  <c r="A14"/>
  <c r="D6"/>
  <c r="Q20"/>
  <c r="D7"/>
  <c r="O8"/>
  <c r="AF5" s="1"/>
  <c r="D8"/>
  <c r="BJ205" i="12"/>
  <c r="BI205"/>
  <c r="BH205"/>
  <c r="BG205"/>
  <c r="BI15"/>
  <c r="BI35"/>
  <c r="BI39"/>
  <c r="BI43"/>
  <c r="BI51"/>
  <c r="BI55"/>
  <c r="BI63"/>
  <c r="BI67"/>
  <c r="BI71"/>
  <c r="BI75"/>
  <c r="BI79"/>
  <c r="BI83"/>
  <c r="BI87"/>
  <c r="BI91"/>
  <c r="BI95"/>
  <c r="BI99"/>
  <c r="BI103"/>
  <c r="BI111"/>
  <c r="BI119"/>
  <c r="BI151"/>
  <c r="BI159"/>
  <c r="BI191"/>
  <c r="BI6"/>
  <c r="BI10"/>
  <c r="BI30"/>
  <c r="BI106"/>
  <c r="BI114"/>
  <c r="BI130"/>
  <c r="BI17"/>
  <c r="BI25"/>
  <c r="BI33"/>
  <c r="BI37"/>
  <c r="BI41"/>
  <c r="BI45"/>
  <c r="BI49"/>
  <c r="BI53"/>
  <c r="BI57"/>
  <c r="BI61"/>
  <c r="BI65"/>
  <c r="BI69"/>
  <c r="BI81"/>
  <c r="BI85"/>
  <c r="BI89"/>
  <c r="BI93"/>
  <c r="BI101"/>
  <c r="BI109"/>
  <c r="BI117"/>
  <c r="BI145"/>
  <c r="BI173"/>
  <c r="BI189"/>
  <c r="BI12"/>
  <c r="BI20"/>
  <c r="BI120"/>
  <c r="BI128"/>
  <c r="BI136"/>
  <c r="BI152"/>
  <c r="BI160"/>
  <c r="BI11"/>
  <c r="BI31"/>
  <c r="BI47"/>
  <c r="BI59"/>
  <c r="BI127"/>
  <c r="BI135"/>
  <c r="BI143"/>
  <c r="BI167"/>
  <c r="BI175"/>
  <c r="BI183"/>
  <c r="BI199"/>
  <c r="BI18"/>
  <c r="BI26"/>
  <c r="BI34"/>
  <c r="BI38"/>
  <c r="BI42"/>
  <c r="BI46"/>
  <c r="BI50"/>
  <c r="BI54"/>
  <c r="BI58"/>
  <c r="BI62"/>
  <c r="BI66"/>
  <c r="BI74"/>
  <c r="BI82"/>
  <c r="BI86"/>
  <c r="BI90"/>
  <c r="BI94"/>
  <c r="BI98"/>
  <c r="BI102"/>
  <c r="BI118"/>
  <c r="BI138"/>
  <c r="BI154"/>
  <c r="BI158"/>
  <c r="BI166"/>
  <c r="BI174"/>
  <c r="BI182"/>
  <c r="BI190"/>
  <c r="BI198"/>
  <c r="BI21"/>
  <c r="BI73"/>
  <c r="BI77"/>
  <c r="BI97"/>
  <c r="BI129"/>
  <c r="BI141"/>
  <c r="BI153"/>
  <c r="BI161"/>
  <c r="BI185"/>
  <c r="BI193"/>
  <c r="BI8"/>
  <c r="BI104"/>
  <c r="BI112"/>
  <c r="BI144"/>
  <c r="BI168"/>
  <c r="BI172"/>
  <c r="BI184"/>
  <c r="BI7"/>
  <c r="BI19"/>
  <c r="BI27"/>
  <c r="BI131"/>
  <c r="BI139"/>
  <c r="BI147"/>
  <c r="BI155"/>
  <c r="BI163"/>
  <c r="BI171"/>
  <c r="BI179"/>
  <c r="BI195"/>
  <c r="BI203"/>
  <c r="BI22"/>
  <c r="BI70"/>
  <c r="BI78"/>
  <c r="BI110"/>
  <c r="BI126"/>
  <c r="BI146"/>
  <c r="BI162"/>
  <c r="BI13"/>
  <c r="BI125"/>
  <c r="BI137"/>
  <c r="BI157"/>
  <c r="BI169"/>
  <c r="BI177"/>
  <c r="BI201"/>
  <c r="BI28"/>
  <c r="BI36"/>
  <c r="BI40"/>
  <c r="BI48"/>
  <c r="BI52"/>
  <c r="BI56"/>
  <c r="BI60"/>
  <c r="BI64"/>
  <c r="BI68"/>
  <c r="BI72"/>
  <c r="BI76"/>
  <c r="BI80"/>
  <c r="BI84"/>
  <c r="BI88"/>
  <c r="BI92"/>
  <c r="BI96"/>
  <c r="BI100"/>
  <c r="BI108"/>
  <c r="BI116"/>
  <c r="BI124"/>
  <c r="BI132"/>
  <c r="BI140"/>
  <c r="BI148"/>
  <c r="BI156"/>
  <c r="BI176"/>
  <c r="BI180"/>
  <c r="BI192"/>
  <c r="BI200"/>
  <c r="BI23"/>
  <c r="BI107"/>
  <c r="BI115"/>
  <c r="BI123"/>
  <c r="BI187"/>
  <c r="BI14"/>
  <c r="BI122"/>
  <c r="BI134"/>
  <c r="BI142"/>
  <c r="BI150"/>
  <c r="BI170"/>
  <c r="BI178"/>
  <c r="BI186"/>
  <c r="BI194"/>
  <c r="BI202"/>
  <c r="BI204"/>
  <c r="BI9"/>
  <c r="BI29"/>
  <c r="BI105"/>
  <c r="BI113"/>
  <c r="BI121"/>
  <c r="BI133"/>
  <c r="BI149"/>
  <c r="BI165"/>
  <c r="BI181"/>
  <c r="BI197"/>
  <c r="BI16"/>
  <c r="BI24"/>
  <c r="BI32"/>
  <c r="BI44"/>
  <c r="BI164"/>
  <c r="BI188"/>
  <c r="BI196"/>
  <c r="A10" i="6"/>
  <c r="AD2" i="15"/>
  <c r="FM4" i="9"/>
  <c r="FJ4"/>
  <c r="A13" i="6"/>
  <c r="AG2" i="15"/>
  <c r="J210" i="9"/>
  <c r="A5" i="6" s="1"/>
  <c r="HI218" i="9"/>
  <c r="X2" i="15"/>
  <c r="L5"/>
  <c r="U2"/>
  <c r="K5"/>
  <c r="B7"/>
  <c r="N7" i="6"/>
  <c r="N6"/>
  <c r="N5"/>
  <c r="CF209" i="9"/>
  <c r="BI209"/>
  <c r="B10" i="6" s="1"/>
  <c r="C6" i="12"/>
  <c r="C102"/>
  <c r="C100"/>
  <c r="C98"/>
  <c r="C96"/>
  <c r="C94"/>
  <c r="C92"/>
  <c r="C90"/>
  <c r="C88"/>
  <c r="C86"/>
  <c r="C84"/>
  <c r="C82"/>
  <c r="C80"/>
  <c r="C78"/>
  <c r="C76"/>
  <c r="C74"/>
  <c r="C72"/>
  <c r="C70"/>
  <c r="C68"/>
  <c r="C66"/>
  <c r="C64"/>
  <c r="C62"/>
  <c r="C60"/>
  <c r="C58"/>
  <c r="C56"/>
  <c r="C54"/>
  <c r="C52"/>
  <c r="C50"/>
  <c r="C48"/>
  <c r="C46"/>
  <c r="C44"/>
  <c r="C42"/>
  <c r="C40"/>
  <c r="C38"/>
  <c r="C36"/>
  <c r="C34"/>
  <c r="C32"/>
  <c r="C30"/>
  <c r="C28"/>
  <c r="C26"/>
  <c r="C24"/>
  <c r="C22"/>
  <c r="C20"/>
  <c r="C18"/>
  <c r="C16"/>
  <c r="C14"/>
  <c r="C12"/>
  <c r="C10"/>
  <c r="C8"/>
  <c r="D6"/>
  <c r="D102"/>
  <c r="D100"/>
  <c r="D98"/>
  <c r="D96"/>
  <c r="D94"/>
  <c r="D92"/>
  <c r="D90"/>
  <c r="D88"/>
  <c r="D86"/>
  <c r="D84"/>
  <c r="D82"/>
  <c r="D80"/>
  <c r="D78"/>
  <c r="D76"/>
  <c r="D74"/>
  <c r="D72"/>
  <c r="D70"/>
  <c r="D68"/>
  <c r="D66"/>
  <c r="D64"/>
  <c r="D62"/>
  <c r="D60"/>
  <c r="D58"/>
  <c r="D56"/>
  <c r="D54"/>
  <c r="D52"/>
  <c r="D50"/>
  <c r="D48"/>
  <c r="D46"/>
  <c r="D44"/>
  <c r="D42"/>
  <c r="D40"/>
  <c r="D38"/>
  <c r="D36"/>
  <c r="D34"/>
  <c r="D32"/>
  <c r="D30"/>
  <c r="D28"/>
  <c r="D26"/>
  <c r="D24"/>
  <c r="D22"/>
  <c r="D20"/>
  <c r="D18"/>
  <c r="D16"/>
  <c r="D14"/>
  <c r="D12"/>
  <c r="D10"/>
  <c r="D8"/>
  <c r="C103"/>
  <c r="C101"/>
  <c r="C99"/>
  <c r="C97"/>
  <c r="C95"/>
  <c r="C93"/>
  <c r="C91"/>
  <c r="C89"/>
  <c r="C87"/>
  <c r="C85"/>
  <c r="C83"/>
  <c r="C81"/>
  <c r="C79"/>
  <c r="C77"/>
  <c r="C75"/>
  <c r="C73"/>
  <c r="C71"/>
  <c r="C69"/>
  <c r="C67"/>
  <c r="C65"/>
  <c r="C63"/>
  <c r="C61"/>
  <c r="C59"/>
  <c r="C57"/>
  <c r="C55"/>
  <c r="C53"/>
  <c r="C51"/>
  <c r="C49"/>
  <c r="C47"/>
  <c r="C45"/>
  <c r="C43"/>
  <c r="C41"/>
  <c r="C39"/>
  <c r="C37"/>
  <c r="C35"/>
  <c r="C33"/>
  <c r="C31"/>
  <c r="C29"/>
  <c r="C27"/>
  <c r="C25"/>
  <c r="C23"/>
  <c r="C21"/>
  <c r="C19"/>
  <c r="C17"/>
  <c r="C15"/>
  <c r="C13"/>
  <c r="C11"/>
  <c r="C9"/>
  <c r="C7"/>
  <c r="B4" i="11"/>
  <c r="F206" s="1"/>
  <c r="H206" s="1"/>
  <c r="B5" i="12"/>
  <c r="D103"/>
  <c r="D101"/>
  <c r="D99"/>
  <c r="D97"/>
  <c r="D95"/>
  <c r="D93"/>
  <c r="D91"/>
  <c r="D89"/>
  <c r="D87"/>
  <c r="D85"/>
  <c r="D83"/>
  <c r="D81"/>
  <c r="D79"/>
  <c r="D77"/>
  <c r="D75"/>
  <c r="D73"/>
  <c r="D71"/>
  <c r="D69"/>
  <c r="D67"/>
  <c r="D65"/>
  <c r="D63"/>
  <c r="D61"/>
  <c r="D59"/>
  <c r="D57"/>
  <c r="D55"/>
  <c r="D53"/>
  <c r="D51"/>
  <c r="D49"/>
  <c r="D47"/>
  <c r="D45"/>
  <c r="D43"/>
  <c r="D41"/>
  <c r="D39"/>
  <c r="D37"/>
  <c r="D35"/>
  <c r="D33"/>
  <c r="D31"/>
  <c r="D29"/>
  <c r="D27"/>
  <c r="D25"/>
  <c r="D23"/>
  <c r="D21"/>
  <c r="D19"/>
  <c r="D17"/>
  <c r="D15"/>
  <c r="D13"/>
  <c r="D11"/>
  <c r="D9"/>
  <c r="D7"/>
  <c r="BJ10"/>
  <c r="BJ7"/>
  <c r="BJ51"/>
  <c r="BJ6"/>
  <c r="BJ15"/>
  <c r="AY6" i="9"/>
  <c r="FY5"/>
  <c r="GF5"/>
  <c r="FX5"/>
  <c r="B13" i="6"/>
  <c r="GE5" i="9"/>
  <c r="GF8"/>
  <c r="GH8"/>
  <c r="FS8"/>
  <c r="FT8"/>
  <c r="FR8"/>
  <c r="GA8"/>
  <c r="FY8"/>
  <c r="FZ8"/>
  <c r="K4" i="12"/>
  <c r="L4"/>
  <c r="F207" l="1"/>
  <c r="S5"/>
  <c r="J21" i="18"/>
  <c r="AE6"/>
  <c r="AF6"/>
  <c r="AG6"/>
  <c r="Q17" i="4"/>
  <c r="Q14"/>
  <c r="DC8" i="9"/>
  <c r="E209" i="15"/>
  <c r="G209" s="1"/>
  <c r="BJ13" i="12"/>
  <c r="DC16" i="9"/>
  <c r="BE8"/>
  <c r="BG8" s="1"/>
  <c r="BU8"/>
  <c r="BZ8" s="1"/>
  <c r="CD8" s="1"/>
  <c r="BQ8"/>
  <c r="BE12"/>
  <c r="BE17"/>
  <c r="BG17" s="1"/>
  <c r="BE28"/>
  <c r="BG28" s="1"/>
  <c r="BE37"/>
  <c r="BE15"/>
  <c r="BG15" s="1"/>
  <c r="BH15" s="1"/>
  <c r="EN15" s="1"/>
  <c r="BE18"/>
  <c r="BG18" s="1"/>
  <c r="BE11"/>
  <c r="BE34"/>
  <c r="BG34" s="1"/>
  <c r="BE16"/>
  <c r="BG16" s="1"/>
  <c r="BH16" s="1"/>
  <c r="EN16" s="1"/>
  <c r="BE35"/>
  <c r="BE14"/>
  <c r="BG14" s="1"/>
  <c r="BH14" s="1"/>
  <c r="EN14" s="1"/>
  <c r="BE31"/>
  <c r="BG31" s="1"/>
  <c r="BE10"/>
  <c r="BG10" s="1"/>
  <c r="BE32"/>
  <c r="BG32" s="1"/>
  <c r="BE26"/>
  <c r="BE23"/>
  <c r="BE21"/>
  <c r="BG21" s="1"/>
  <c r="BE30"/>
  <c r="BG30" s="1"/>
  <c r="BE36"/>
  <c r="BE19"/>
  <c r="BG19" s="1"/>
  <c r="BD26"/>
  <c r="BD9"/>
  <c r="BD36"/>
  <c r="BD24"/>
  <c r="BD12"/>
  <c r="BD37"/>
  <c r="BD35"/>
  <c r="BD25"/>
  <c r="BD23"/>
  <c r="BD11"/>
  <c r="AZ6"/>
  <c r="BE9"/>
  <c r="BE20"/>
  <c r="BG20" s="1"/>
  <c r="BH20" s="1"/>
  <c r="EN20" s="1"/>
  <c r="BE29"/>
  <c r="BG29" s="1"/>
  <c r="BH29" s="1"/>
  <c r="EN29" s="1"/>
  <c r="BE22"/>
  <c r="BG22" s="1"/>
  <c r="BH22" s="1"/>
  <c r="EN22" s="1"/>
  <c r="BE27"/>
  <c r="BG27" s="1"/>
  <c r="BH27" s="1"/>
  <c r="EN27" s="1"/>
  <c r="BE25"/>
  <c r="BE13"/>
  <c r="BG13" s="1"/>
  <c r="BH13" s="1"/>
  <c r="EN13" s="1"/>
  <c r="BE24"/>
  <c r="BE33"/>
  <c r="BG33" s="1"/>
  <c r="BH33" s="1"/>
  <c r="EN33" s="1"/>
  <c r="AH8"/>
  <c r="BJ188" i="12"/>
  <c r="BJ24"/>
  <c r="BJ165"/>
  <c r="BJ113"/>
  <c r="BJ204"/>
  <c r="BJ178"/>
  <c r="BJ134"/>
  <c r="BJ123"/>
  <c r="BJ200"/>
  <c r="BJ156"/>
  <c r="BJ124"/>
  <c r="BJ96"/>
  <c r="BJ80"/>
  <c r="BJ64"/>
  <c r="BJ48"/>
  <c r="BJ201"/>
  <c r="BJ137"/>
  <c r="BJ146"/>
  <c r="BJ70"/>
  <c r="BJ179"/>
  <c r="BJ147"/>
  <c r="BJ19"/>
  <c r="BJ168"/>
  <c r="BJ8"/>
  <c r="BJ153"/>
  <c r="BJ77"/>
  <c r="BJ190"/>
  <c r="BJ158"/>
  <c r="BJ102"/>
  <c r="BJ86"/>
  <c r="BJ62"/>
  <c r="BJ46"/>
  <c r="BJ26"/>
  <c r="BJ175"/>
  <c r="BJ127"/>
  <c r="BJ11"/>
  <c r="BJ128"/>
  <c r="BJ189"/>
  <c r="BJ109"/>
  <c r="BJ85"/>
  <c r="BJ61"/>
  <c r="BJ45"/>
  <c r="BJ25"/>
  <c r="BJ106"/>
  <c r="BJ191"/>
  <c r="BJ111"/>
  <c r="BJ91"/>
  <c r="BJ75"/>
  <c r="BJ55"/>
  <c r="BJ35"/>
  <c r="BJ196"/>
  <c r="BJ32"/>
  <c r="BJ181"/>
  <c r="BJ121"/>
  <c r="BJ9"/>
  <c r="BJ186"/>
  <c r="BJ142"/>
  <c r="BJ187"/>
  <c r="BJ23"/>
  <c r="BJ176"/>
  <c r="BJ132"/>
  <c r="BJ100"/>
  <c r="BJ84"/>
  <c r="BJ68"/>
  <c r="BJ52"/>
  <c r="BJ28"/>
  <c r="BJ157"/>
  <c r="BJ162"/>
  <c r="BJ78"/>
  <c r="BJ195"/>
  <c r="BJ155"/>
  <c r="BJ27"/>
  <c r="BJ172"/>
  <c r="BJ104"/>
  <c r="BJ161"/>
  <c r="BJ97"/>
  <c r="BJ198"/>
  <c r="BJ166"/>
  <c r="BJ118"/>
  <c r="BJ90"/>
  <c r="BJ66"/>
  <c r="BJ50"/>
  <c r="BJ34"/>
  <c r="BJ183"/>
  <c r="BJ135"/>
  <c r="BJ31"/>
  <c r="BJ136"/>
  <c r="BJ12"/>
  <c r="BJ117"/>
  <c r="BJ89"/>
  <c r="BJ65"/>
  <c r="BJ49"/>
  <c r="BJ33"/>
  <c r="BJ114"/>
  <c r="BJ119"/>
  <c r="BJ95"/>
  <c r="BJ79"/>
  <c r="BJ63"/>
  <c r="BJ39"/>
  <c r="BJ44"/>
  <c r="BJ197"/>
  <c r="BJ133"/>
  <c r="BJ29"/>
  <c r="BJ194"/>
  <c r="BJ150"/>
  <c r="BJ14"/>
  <c r="BJ107"/>
  <c r="BJ180"/>
  <c r="BJ140"/>
  <c r="BJ108"/>
  <c r="BJ88"/>
  <c r="BJ72"/>
  <c r="BJ56"/>
  <c r="BJ36"/>
  <c r="BJ169"/>
  <c r="BJ110"/>
  <c r="BJ203"/>
  <c r="BJ163"/>
  <c r="BJ131"/>
  <c r="BJ184"/>
  <c r="BJ112"/>
  <c r="BJ185"/>
  <c r="BJ129"/>
  <c r="BJ21"/>
  <c r="BJ174"/>
  <c r="BJ138"/>
  <c r="BJ94"/>
  <c r="BJ74"/>
  <c r="BJ54"/>
  <c r="BJ38"/>
  <c r="BJ199"/>
  <c r="BJ143"/>
  <c r="BJ47"/>
  <c r="BJ152"/>
  <c r="BJ20"/>
  <c r="BJ145"/>
  <c r="BJ93"/>
  <c r="BJ69"/>
  <c r="BJ53"/>
  <c r="BJ37"/>
  <c r="BJ130"/>
  <c r="BJ151"/>
  <c r="BJ99"/>
  <c r="BJ83"/>
  <c r="BJ67"/>
  <c r="BJ43"/>
  <c r="BJ164"/>
  <c r="BJ16"/>
  <c r="BJ149"/>
  <c r="BJ105"/>
  <c r="BJ202"/>
  <c r="BJ170"/>
  <c r="BJ122"/>
  <c r="BJ115"/>
  <c r="BJ192"/>
  <c r="BJ148"/>
  <c r="BJ116"/>
  <c r="BJ92"/>
  <c r="BJ76"/>
  <c r="BJ60"/>
  <c r="BJ40"/>
  <c r="BJ177"/>
  <c r="BJ125"/>
  <c r="BJ126"/>
  <c r="BJ22"/>
  <c r="BJ171"/>
  <c r="BJ139"/>
  <c r="BJ144"/>
  <c r="BJ193"/>
  <c r="BJ141"/>
  <c r="BJ73"/>
  <c r="BJ182"/>
  <c r="BJ154"/>
  <c r="BJ98"/>
  <c r="BJ82"/>
  <c r="BJ58"/>
  <c r="BJ42"/>
  <c r="BJ18"/>
  <c r="BJ167"/>
  <c r="BJ59"/>
  <c r="BJ160"/>
  <c r="BJ120"/>
  <c r="BJ173"/>
  <c r="BJ101"/>
  <c r="BJ81"/>
  <c r="BJ57"/>
  <c r="BJ41"/>
  <c r="BJ17"/>
  <c r="BJ30"/>
  <c r="BJ159"/>
  <c r="BJ103"/>
  <c r="BJ87"/>
  <c r="BJ71"/>
  <c r="S20" i="18"/>
  <c r="T20"/>
  <c r="HB39" i="9"/>
  <c r="HB38"/>
  <c r="HB40"/>
  <c r="B12" i="6"/>
  <c r="AV219" i="9"/>
  <c r="M9" i="6" s="1"/>
  <c r="AV218" i="9"/>
  <c r="L9" i="6" s="1"/>
  <c r="J9"/>
  <c r="AV217" i="9"/>
  <c r="EB8"/>
  <c r="AT6"/>
  <c r="BG25" l="1"/>
  <c r="BH25" s="1"/>
  <c r="EN25" s="1"/>
  <c r="BG24"/>
  <c r="BH24" s="1"/>
  <c r="EN24" s="1"/>
  <c r="ET24" s="1"/>
  <c r="AE7" i="18"/>
  <c r="AE9"/>
  <c r="AF7"/>
  <c r="AF9"/>
  <c r="AG7"/>
  <c r="AG9"/>
  <c r="M36" i="11"/>
  <c r="I39" i="15"/>
  <c r="M35" i="11"/>
  <c r="I38" i="15"/>
  <c r="M34" i="11"/>
  <c r="I37" i="15"/>
  <c r="EU24" i="9"/>
  <c r="EV24"/>
  <c r="ET22"/>
  <c r="EV22"/>
  <c r="ES22"/>
  <c r="EU22"/>
  <c r="ER22"/>
  <c r="ET33"/>
  <c r="ER33"/>
  <c r="EV33"/>
  <c r="ES33"/>
  <c r="EU33"/>
  <c r="ET27"/>
  <c r="EV27"/>
  <c r="ES27"/>
  <c r="EU27"/>
  <c r="ER27"/>
  <c r="ET16"/>
  <c r="EU16"/>
  <c r="ER16"/>
  <c r="EV16"/>
  <c r="ES16"/>
  <c r="ET15"/>
  <c r="EU15"/>
  <c r="ER15"/>
  <c r="EV15"/>
  <c r="ES15"/>
  <c r="ET25"/>
  <c r="EU25"/>
  <c r="ER25"/>
  <c r="EV25"/>
  <c r="ES25"/>
  <c r="ET20"/>
  <c r="EV20"/>
  <c r="ES20"/>
  <c r="EU20"/>
  <c r="ER20"/>
  <c r="EU13"/>
  <c r="ER13"/>
  <c r="EV13"/>
  <c r="ES13"/>
  <c r="ET13"/>
  <c r="ET29"/>
  <c r="EV29"/>
  <c r="ES29"/>
  <c r="EU29"/>
  <c r="ER29"/>
  <c r="ET14"/>
  <c r="EU14"/>
  <c r="ER14"/>
  <c r="EV14"/>
  <c r="ES14"/>
  <c r="BG9"/>
  <c r="BH9" s="1"/>
  <c r="EN9" s="1"/>
  <c r="BH19"/>
  <c r="EN19" s="1"/>
  <c r="BG23"/>
  <c r="BH23" s="1"/>
  <c r="EN23" s="1"/>
  <c r="BH8"/>
  <c r="BG12"/>
  <c r="BH12" s="1"/>
  <c r="EN12" s="1"/>
  <c r="BH21"/>
  <c r="EN21" s="1"/>
  <c r="BH10"/>
  <c r="EN10" s="1"/>
  <c r="BG35"/>
  <c r="BH35" s="1"/>
  <c r="EN35" s="1"/>
  <c r="BH18"/>
  <c r="EN18" s="1"/>
  <c r="BH17"/>
  <c r="EN17" s="1"/>
  <c r="BH30"/>
  <c r="EN30" s="1"/>
  <c r="BH32"/>
  <c r="EN32" s="1"/>
  <c r="BG11"/>
  <c r="BH11" s="1"/>
  <c r="EN11" s="1"/>
  <c r="BH28"/>
  <c r="EN28" s="1"/>
  <c r="BG36"/>
  <c r="BH36" s="1"/>
  <c r="EN36" s="1"/>
  <c r="BG26"/>
  <c r="BH26" s="1"/>
  <c r="EN26" s="1"/>
  <c r="BH31"/>
  <c r="EN31" s="1"/>
  <c r="BH34"/>
  <c r="EN34" s="1"/>
  <c r="BG37"/>
  <c r="BH37" s="1"/>
  <c r="EN37" s="1"/>
  <c r="BG13" i="12"/>
  <c r="BG12"/>
  <c r="BG10"/>
  <c r="BG11"/>
  <c r="BG15"/>
  <c r="BG6"/>
  <c r="BG7"/>
  <c r="BG8"/>
  <c r="BW8" i="9"/>
  <c r="BG9" i="12"/>
  <c r="BG39"/>
  <c r="BG63"/>
  <c r="BG79"/>
  <c r="BG95"/>
  <c r="BG119"/>
  <c r="BG114"/>
  <c r="BG33"/>
  <c r="BG49"/>
  <c r="BG65"/>
  <c r="BG89"/>
  <c r="BG117"/>
  <c r="BG136"/>
  <c r="BG31"/>
  <c r="BG135"/>
  <c r="BG183"/>
  <c r="BG34"/>
  <c r="BG50"/>
  <c r="BG66"/>
  <c r="BG90"/>
  <c r="BG118"/>
  <c r="BG166"/>
  <c r="BG198"/>
  <c r="BG97"/>
  <c r="BG161"/>
  <c r="BG104"/>
  <c r="BG172"/>
  <c r="BG27"/>
  <c r="BG155"/>
  <c r="BG195"/>
  <c r="BG78"/>
  <c r="BG162"/>
  <c r="BG157"/>
  <c r="BG28"/>
  <c r="BG52"/>
  <c r="BG68"/>
  <c r="BG84"/>
  <c r="BG100"/>
  <c r="BG132"/>
  <c r="BG176"/>
  <c r="BG23"/>
  <c r="BG187"/>
  <c r="BG142"/>
  <c r="BG186"/>
  <c r="BG121"/>
  <c r="BG181"/>
  <c r="BG32"/>
  <c r="BG196"/>
  <c r="BG35"/>
  <c r="BG55"/>
  <c r="BG75"/>
  <c r="BG91"/>
  <c r="BG111"/>
  <c r="BG191"/>
  <c r="BG106"/>
  <c r="BG25"/>
  <c r="BG45"/>
  <c r="BG61"/>
  <c r="BG85"/>
  <c r="BG109"/>
  <c r="BG189"/>
  <c r="BG128"/>
  <c r="BG127"/>
  <c r="BG175"/>
  <c r="BG26"/>
  <c r="BG46"/>
  <c r="BG62"/>
  <c r="BG86"/>
  <c r="BG102"/>
  <c r="BG158"/>
  <c r="BG190"/>
  <c r="BG77"/>
  <c r="BG153"/>
  <c r="BG168"/>
  <c r="BG19"/>
  <c r="BG147"/>
  <c r="BG179"/>
  <c r="BG70"/>
  <c r="BG146"/>
  <c r="BG137"/>
  <c r="BG201"/>
  <c r="BG48"/>
  <c r="BG64"/>
  <c r="BG80"/>
  <c r="BG96"/>
  <c r="BG124"/>
  <c r="BG156"/>
  <c r="BG200"/>
  <c r="BG123"/>
  <c r="BG134"/>
  <c r="BG178"/>
  <c r="BG204"/>
  <c r="BG113"/>
  <c r="BG165"/>
  <c r="BG24"/>
  <c r="BG188"/>
  <c r="BG51"/>
  <c r="BG71"/>
  <c r="BG87"/>
  <c r="BG103"/>
  <c r="BG159"/>
  <c r="BG30"/>
  <c r="BG17"/>
  <c r="BG41"/>
  <c r="BG57"/>
  <c r="BG81"/>
  <c r="BG101"/>
  <c r="BG173"/>
  <c r="BG120"/>
  <c r="BG160"/>
  <c r="BG59"/>
  <c r="BG167"/>
  <c r="BG18"/>
  <c r="BG42"/>
  <c r="BG58"/>
  <c r="BG82"/>
  <c r="BG98"/>
  <c r="BG154"/>
  <c r="BG182"/>
  <c r="BG73"/>
  <c r="BG141"/>
  <c r="BG193"/>
  <c r="BG144"/>
  <c r="BG139"/>
  <c r="BG171"/>
  <c r="BG22"/>
  <c r="BG126"/>
  <c r="BG125"/>
  <c r="BG177"/>
  <c r="BG40"/>
  <c r="BG60"/>
  <c r="BG76"/>
  <c r="BG92"/>
  <c r="BG116"/>
  <c r="BG148"/>
  <c r="BG192"/>
  <c r="BG115"/>
  <c r="BG122"/>
  <c r="BG170"/>
  <c r="BG202"/>
  <c r="BG105"/>
  <c r="BG149"/>
  <c r="BG16"/>
  <c r="BG164"/>
  <c r="BG43"/>
  <c r="BG67"/>
  <c r="BG83"/>
  <c r="BG99"/>
  <c r="BG151"/>
  <c r="BG130"/>
  <c r="BG37"/>
  <c r="BG53"/>
  <c r="BG69"/>
  <c r="BG93"/>
  <c r="BG145"/>
  <c r="BG20"/>
  <c r="BG152"/>
  <c r="BG47"/>
  <c r="BG143"/>
  <c r="BG199"/>
  <c r="BG38"/>
  <c r="BG54"/>
  <c r="BG74"/>
  <c r="BG94"/>
  <c r="BG138"/>
  <c r="BG174"/>
  <c r="BG21"/>
  <c r="BG129"/>
  <c r="BG185"/>
  <c r="BG112"/>
  <c r="BG184"/>
  <c r="BG131"/>
  <c r="BG163"/>
  <c r="BG203"/>
  <c r="BG110"/>
  <c r="BG169"/>
  <c r="BG36"/>
  <c r="BG56"/>
  <c r="BG72"/>
  <c r="BG88"/>
  <c r="BG108"/>
  <c r="BG140"/>
  <c r="BG180"/>
  <c r="BG107"/>
  <c r="BG150"/>
  <c r="BG194"/>
  <c r="BG29"/>
  <c r="BG133"/>
  <c r="BG197"/>
  <c r="BG44"/>
  <c r="BG14"/>
  <c r="FP39" i="9"/>
  <c r="FP38"/>
  <c r="EQ8"/>
  <c r="C9" i="6"/>
  <c r="E9" s="1"/>
  <c r="F9"/>
  <c r="DB8" i="9"/>
  <c r="ER24" l="1"/>
  <c r="ES24"/>
  <c r="BO36" i="11"/>
  <c r="BS36"/>
  <c r="BW36"/>
  <c r="BN36"/>
  <c r="BR36"/>
  <c r="BV36"/>
  <c r="BM36"/>
  <c r="BQ36"/>
  <c r="BU36"/>
  <c r="BP36"/>
  <c r="BT36"/>
  <c r="BX36"/>
  <c r="AF8" i="18"/>
  <c r="AF10"/>
  <c r="EX13" i="9"/>
  <c r="CE8"/>
  <c r="ET34"/>
  <c r="EU34"/>
  <c r="ER34"/>
  <c r="EV34"/>
  <c r="ES34"/>
  <c r="ET28"/>
  <c r="EU28"/>
  <c r="ER28"/>
  <c r="EV28"/>
  <c r="ES28"/>
  <c r="ET17"/>
  <c r="ER17"/>
  <c r="EV17"/>
  <c r="ES17"/>
  <c r="EU17"/>
  <c r="ET21"/>
  <c r="EU21"/>
  <c r="ER21"/>
  <c r="EV21"/>
  <c r="ES21"/>
  <c r="ET19"/>
  <c r="EU19"/>
  <c r="ER19"/>
  <c r="EV19"/>
  <c r="ES19"/>
  <c r="EK13"/>
  <c r="EW13" s="1"/>
  <c r="ET37"/>
  <c r="EV37"/>
  <c r="ES37"/>
  <c r="EU37"/>
  <c r="ER37"/>
  <c r="ET36"/>
  <c r="EU36"/>
  <c r="ER36"/>
  <c r="EV36"/>
  <c r="ES36"/>
  <c r="ET30"/>
  <c r="EV30"/>
  <c r="ES30"/>
  <c r="EU30"/>
  <c r="ER30"/>
  <c r="ES10"/>
  <c r="ET10"/>
  <c r="EU10"/>
  <c r="ER10"/>
  <c r="EV10"/>
  <c r="ET23"/>
  <c r="ES23"/>
  <c r="EU23"/>
  <c r="ER23"/>
  <c r="EV23"/>
  <c r="ET9"/>
  <c r="EU9"/>
  <c r="EV9"/>
  <c r="ER9"/>
  <c r="ES9"/>
  <c r="EX16"/>
  <c r="ET26"/>
  <c r="ES26"/>
  <c r="EU26"/>
  <c r="ER26"/>
  <c r="EV26"/>
  <c r="ET32"/>
  <c r="EV32"/>
  <c r="ES32"/>
  <c r="EU32"/>
  <c r="ER32"/>
  <c r="ET35"/>
  <c r="ER35"/>
  <c r="EV35"/>
  <c r="ES35"/>
  <c r="EU35"/>
  <c r="EX15"/>
  <c r="ET31"/>
  <c r="ER31"/>
  <c r="EV31"/>
  <c r="ES31"/>
  <c r="EU31"/>
  <c r="EU11"/>
  <c r="ET11"/>
  <c r="ER11"/>
  <c r="EV11"/>
  <c r="ES11"/>
  <c r="ET18"/>
  <c r="EU18"/>
  <c r="ER18"/>
  <c r="EV18"/>
  <c r="ES18"/>
  <c r="EU12"/>
  <c r="ET12"/>
  <c r="ER12"/>
  <c r="EV12"/>
  <c r="ES12"/>
  <c r="EX14"/>
  <c r="BI5" i="12"/>
  <c r="BH6"/>
  <c r="BH14"/>
  <c r="BH7"/>
  <c r="BH39"/>
  <c r="BH63"/>
  <c r="BH79"/>
  <c r="BH95"/>
  <c r="BH119"/>
  <c r="BH114"/>
  <c r="BH33"/>
  <c r="BH49"/>
  <c r="BH65"/>
  <c r="BH89"/>
  <c r="BH117"/>
  <c r="BH136"/>
  <c r="BH31"/>
  <c r="BH135"/>
  <c r="BH183"/>
  <c r="BH34"/>
  <c r="BH50"/>
  <c r="BH66"/>
  <c r="BH90"/>
  <c r="BH118"/>
  <c r="BH166"/>
  <c r="BH198"/>
  <c r="BH97"/>
  <c r="BH161"/>
  <c r="BH104"/>
  <c r="BH172"/>
  <c r="BH27"/>
  <c r="BH155"/>
  <c r="BH195"/>
  <c r="BH78"/>
  <c r="BH162"/>
  <c r="BH157"/>
  <c r="BH28"/>
  <c r="BH52"/>
  <c r="BH68"/>
  <c r="BH84"/>
  <c r="BH100"/>
  <c r="BH132"/>
  <c r="BH176"/>
  <c r="BH23"/>
  <c r="BH187"/>
  <c r="BH142"/>
  <c r="BH186"/>
  <c r="BH121"/>
  <c r="BH181"/>
  <c r="BH32"/>
  <c r="BH196"/>
  <c r="BH35"/>
  <c r="BH55"/>
  <c r="BH75"/>
  <c r="BH91"/>
  <c r="BH111"/>
  <c r="BH191"/>
  <c r="BH106"/>
  <c r="BH25"/>
  <c r="BH45"/>
  <c r="BH61"/>
  <c r="BH85"/>
  <c r="BH109"/>
  <c r="BH189"/>
  <c r="BH128"/>
  <c r="BH127"/>
  <c r="BH175"/>
  <c r="BH26"/>
  <c r="BH46"/>
  <c r="BH62"/>
  <c r="BH86"/>
  <c r="BH102"/>
  <c r="BH158"/>
  <c r="BH190"/>
  <c r="BH77"/>
  <c r="BH153"/>
  <c r="BH168"/>
  <c r="BH19"/>
  <c r="BH147"/>
  <c r="BH179"/>
  <c r="BH70"/>
  <c r="BH146"/>
  <c r="BH137"/>
  <c r="BH201"/>
  <c r="BH48"/>
  <c r="BH64"/>
  <c r="BH80"/>
  <c r="BH96"/>
  <c r="BH124"/>
  <c r="BH156"/>
  <c r="BH200"/>
  <c r="BH123"/>
  <c r="BH134"/>
  <c r="BH178"/>
  <c r="BH204"/>
  <c r="BH113"/>
  <c r="BH165"/>
  <c r="BH24"/>
  <c r="BH188"/>
  <c r="BH51"/>
  <c r="BH71"/>
  <c r="BH87"/>
  <c r="BH103"/>
  <c r="BH159"/>
  <c r="BH30"/>
  <c r="BH17"/>
  <c r="BH41"/>
  <c r="BH57"/>
  <c r="BH81"/>
  <c r="BH101"/>
  <c r="BH173"/>
  <c r="BH120"/>
  <c r="BH160"/>
  <c r="BH59"/>
  <c r="BH167"/>
  <c r="BH18"/>
  <c r="BH42"/>
  <c r="BH58"/>
  <c r="BH82"/>
  <c r="BH98"/>
  <c r="BH154"/>
  <c r="BH182"/>
  <c r="BH73"/>
  <c r="BH141"/>
  <c r="BH193"/>
  <c r="BH144"/>
  <c r="BH139"/>
  <c r="BH171"/>
  <c r="BH22"/>
  <c r="BH126"/>
  <c r="BH125"/>
  <c r="BH177"/>
  <c r="BH40"/>
  <c r="BH60"/>
  <c r="BH76"/>
  <c r="BH92"/>
  <c r="BH116"/>
  <c r="BH148"/>
  <c r="BH192"/>
  <c r="BH115"/>
  <c r="BH122"/>
  <c r="BH170"/>
  <c r="BH202"/>
  <c r="BH105"/>
  <c r="BH149"/>
  <c r="BH16"/>
  <c r="BH164"/>
  <c r="BH43"/>
  <c r="BH67"/>
  <c r="BH83"/>
  <c r="BH99"/>
  <c r="BH151"/>
  <c r="BH130"/>
  <c r="BH37"/>
  <c r="BH53"/>
  <c r="BH69"/>
  <c r="BH93"/>
  <c r="BH145"/>
  <c r="BH20"/>
  <c r="BH152"/>
  <c r="BH47"/>
  <c r="BH143"/>
  <c r="BH199"/>
  <c r="BH38"/>
  <c r="BH54"/>
  <c r="BH74"/>
  <c r="BH94"/>
  <c r="BH138"/>
  <c r="BH174"/>
  <c r="BH21"/>
  <c r="BH129"/>
  <c r="BH185"/>
  <c r="BH112"/>
  <c r="BH184"/>
  <c r="BH131"/>
  <c r="BH163"/>
  <c r="BH203"/>
  <c r="BH110"/>
  <c r="BH169"/>
  <c r="BH36"/>
  <c r="BH56"/>
  <c r="BH72"/>
  <c r="BH88"/>
  <c r="BH108"/>
  <c r="BH140"/>
  <c r="BH180"/>
  <c r="BH107"/>
  <c r="BH150"/>
  <c r="BH194"/>
  <c r="BH29"/>
  <c r="BH133"/>
  <c r="BH197"/>
  <c r="BH44"/>
  <c r="BH5"/>
  <c r="BH13"/>
  <c r="BH12"/>
  <c r="BH15"/>
  <c r="BH11"/>
  <c r="BH9"/>
  <c r="BH8"/>
  <c r="BH10"/>
  <c r="GR28" i="9"/>
  <c r="FM24"/>
  <c r="FW30"/>
  <c r="FW28"/>
  <c r="FV39"/>
  <c r="FU39"/>
  <c r="FV38"/>
  <c r="FU38"/>
  <c r="EP8"/>
  <c r="O9" i="6"/>
  <c r="AL6" i="9"/>
  <c r="BD6"/>
  <c r="J8"/>
  <c r="D8"/>
  <c r="E8"/>
  <c r="F8"/>
  <c r="G8"/>
  <c r="H8"/>
  <c r="I8"/>
  <c r="DA7"/>
  <c r="DB7" s="1"/>
  <c r="CY7"/>
  <c r="CE7"/>
  <c r="CB7"/>
  <c r="BE7"/>
  <c r="CY6"/>
  <c r="CB6"/>
  <c r="AL209"/>
  <c r="X209"/>
  <c r="J209"/>
  <c r="O4" i="12"/>
  <c r="M4"/>
  <c r="H4" i="11" l="1"/>
  <c r="I9" i="20"/>
  <c r="E9"/>
  <c r="L8" i="19"/>
  <c r="AS5" s="1"/>
  <c r="I4" i="11"/>
  <c r="J9" i="20"/>
  <c r="G9"/>
  <c r="C7" i="19"/>
  <c r="EX17" i="9"/>
  <c r="F9" i="20"/>
  <c r="C6" i="19"/>
  <c r="H9" i="20"/>
  <c r="C8" i="19"/>
  <c r="O9" i="18"/>
  <c r="EX12" i="9"/>
  <c r="FF12" s="1"/>
  <c r="FF13"/>
  <c r="R10" i="12" s="1"/>
  <c r="K4" i="11"/>
  <c r="EX11" i="9"/>
  <c r="EK15"/>
  <c r="FF15"/>
  <c r="S23" i="18" s="1"/>
  <c r="EK16" i="9"/>
  <c r="EW16" s="1"/>
  <c r="FF16"/>
  <c r="R13" i="12" s="1"/>
  <c r="EX18" i="9"/>
  <c r="FJ18" s="1"/>
  <c r="EX10"/>
  <c r="EK14"/>
  <c r="EW14" s="1"/>
  <c r="FF14"/>
  <c r="EK17"/>
  <c r="EW17" s="1"/>
  <c r="FF17"/>
  <c r="R14" i="12" s="1"/>
  <c r="EX9" i="9"/>
  <c r="FJ28"/>
  <c r="FP28"/>
  <c r="FU28" s="1"/>
  <c r="GK24"/>
  <c r="GQ24" s="1"/>
  <c r="FW24"/>
  <c r="FJ24"/>
  <c r="GD28"/>
  <c r="GI28" s="1"/>
  <c r="GK28"/>
  <c r="GQ28" s="1"/>
  <c r="FM28"/>
  <c r="FP24"/>
  <c r="FV24" s="1"/>
  <c r="R8"/>
  <c r="S8"/>
  <c r="U8"/>
  <c r="AI8"/>
  <c r="AJ8" s="1"/>
  <c r="M8"/>
  <c r="O8" s="1"/>
  <c r="Q8" s="1"/>
  <c r="FP30"/>
  <c r="FM30"/>
  <c r="FO30" s="1"/>
  <c r="GD24"/>
  <c r="GE24" s="1"/>
  <c r="AQ37" i="15"/>
  <c r="AR37"/>
  <c r="AR38"/>
  <c r="AQ38"/>
  <c r="GY28" i="9"/>
  <c r="FM32"/>
  <c r="GY36"/>
  <c r="FP35"/>
  <c r="FR35" s="1"/>
  <c r="GK30"/>
  <c r="GY26"/>
  <c r="FJ35"/>
  <c r="GY25"/>
  <c r="GY30"/>
  <c r="GY33"/>
  <c r="GD30"/>
  <c r="FW35"/>
  <c r="GC35" s="1"/>
  <c r="FM35"/>
  <c r="FQ28"/>
  <c r="FJ30"/>
  <c r="GD35"/>
  <c r="GK35"/>
  <c r="E7" i="15"/>
  <c r="F7"/>
  <c r="GK32" i="9"/>
  <c r="GQ32" s="1"/>
  <c r="G7" i="15"/>
  <c r="FM37" i="9"/>
  <c r="GR37"/>
  <c r="GY37"/>
  <c r="GK37"/>
  <c r="FJ37"/>
  <c r="FW37"/>
  <c r="GD37"/>
  <c r="FP37"/>
  <c r="FM36"/>
  <c r="FJ36"/>
  <c r="FW36"/>
  <c r="GD36"/>
  <c r="GK36"/>
  <c r="FP36"/>
  <c r="FK35"/>
  <c r="FL35"/>
  <c r="GR34"/>
  <c r="GY34"/>
  <c r="FM34"/>
  <c r="FJ34"/>
  <c r="FW34"/>
  <c r="GK34"/>
  <c r="GD34"/>
  <c r="FP34"/>
  <c r="FW33"/>
  <c r="FJ33"/>
  <c r="GD33"/>
  <c r="GK33"/>
  <c r="FM33"/>
  <c r="FP33"/>
  <c r="FP32"/>
  <c r="FQ32" s="1"/>
  <c r="GD32"/>
  <c r="GI32" s="1"/>
  <c r="FJ32"/>
  <c r="FW32"/>
  <c r="FY32" s="1"/>
  <c r="FN32"/>
  <c r="FM31"/>
  <c r="GR31"/>
  <c r="GY31"/>
  <c r="GK31"/>
  <c r="FJ31"/>
  <c r="GD31"/>
  <c r="FW31"/>
  <c r="FP31"/>
  <c r="FU30"/>
  <c r="FY30"/>
  <c r="GB30"/>
  <c r="GC30"/>
  <c r="FN30"/>
  <c r="FV30"/>
  <c r="FM29"/>
  <c r="GR29"/>
  <c r="FJ29"/>
  <c r="GD29"/>
  <c r="FW29"/>
  <c r="GK29"/>
  <c r="FP29"/>
  <c r="FV28"/>
  <c r="FY28"/>
  <c r="GC28"/>
  <c r="GB28"/>
  <c r="HB28"/>
  <c r="FO28"/>
  <c r="FN28"/>
  <c r="FL28"/>
  <c r="FK28"/>
  <c r="GY27"/>
  <c r="FM27"/>
  <c r="FW27"/>
  <c r="FJ27"/>
  <c r="GK27"/>
  <c r="GD27"/>
  <c r="FP27"/>
  <c r="FM26"/>
  <c r="FW26"/>
  <c r="FJ26"/>
  <c r="GK26"/>
  <c r="GD26"/>
  <c r="FP26"/>
  <c r="FM25"/>
  <c r="GD25"/>
  <c r="FW25"/>
  <c r="FJ25"/>
  <c r="GK25"/>
  <c r="FP25"/>
  <c r="FL24"/>
  <c r="FK24"/>
  <c r="FN24"/>
  <c r="FO24"/>
  <c r="FX24"/>
  <c r="GC24"/>
  <c r="GB24"/>
  <c r="GR23"/>
  <c r="GY23"/>
  <c r="FM23"/>
  <c r="GD23"/>
  <c r="FJ23"/>
  <c r="GK23"/>
  <c r="FW23"/>
  <c r="FP23"/>
  <c r="IR39"/>
  <c r="IR38"/>
  <c r="IQ39"/>
  <c r="IQ38"/>
  <c r="FJ14"/>
  <c r="FW15"/>
  <c r="GD19"/>
  <c r="GD20"/>
  <c r="FP18"/>
  <c r="FW19"/>
  <c r="FX19" s="1"/>
  <c r="FP19"/>
  <c r="FM19"/>
  <c r="FJ19"/>
  <c r="GK19"/>
  <c r="GP19" s="1"/>
  <c r="FP20"/>
  <c r="FW20"/>
  <c r="FM20"/>
  <c r="FN20" s="1"/>
  <c r="FJ20"/>
  <c r="GK20"/>
  <c r="GK15"/>
  <c r="B7" i="6"/>
  <c r="D7" i="15"/>
  <c r="B6" i="6"/>
  <c r="B5"/>
  <c r="C7" i="15"/>
  <c r="FG8" i="9"/>
  <c r="FH8"/>
  <c r="M24" i="19" s="1"/>
  <c r="F5" i="12"/>
  <c r="G5"/>
  <c r="D4" i="11"/>
  <c r="D5" i="12"/>
  <c r="E4" i="11"/>
  <c r="E5" i="12"/>
  <c r="BL4" i="11"/>
  <c r="C4"/>
  <c r="C5" i="12"/>
  <c r="II6" i="9"/>
  <c r="IO6" s="1"/>
  <c r="IG6"/>
  <c r="IM6" s="1"/>
  <c r="N4" i="12"/>
  <c r="F4" i="11"/>
  <c r="G4"/>
  <c r="DA6" i="9"/>
  <c r="DB6" s="1"/>
  <c r="FX4"/>
  <c r="FQ5"/>
  <c r="FW5"/>
  <c r="CD6"/>
  <c r="CE6" s="1"/>
  <c r="FQ4"/>
  <c r="GE4"/>
  <c r="FP5"/>
  <c r="GD5"/>
  <c r="BD7"/>
  <c r="GP28" l="1"/>
  <c r="IR28" s="1"/>
  <c r="FV35"/>
  <c r="FK30"/>
  <c r="J32" i="11"/>
  <c r="H35" i="15"/>
  <c r="HC36" i="9"/>
  <c r="HE36"/>
  <c r="FI8"/>
  <c r="I24" i="19"/>
  <c r="J27" i="11"/>
  <c r="H30" i="15"/>
  <c r="HC31" i="9"/>
  <c r="HE31"/>
  <c r="J30" i="11"/>
  <c r="H33" i="15"/>
  <c r="HC34" i="9"/>
  <c r="HE34"/>
  <c r="J26" i="11"/>
  <c r="H29" i="15"/>
  <c r="HC30" i="9"/>
  <c r="HE30"/>
  <c r="J24" i="11"/>
  <c r="H27" i="15"/>
  <c r="HC28" i="9"/>
  <c r="HE28"/>
  <c r="J23" i="11"/>
  <c r="H26" i="15"/>
  <c r="HC27" i="9"/>
  <c r="HE27"/>
  <c r="J33" i="11"/>
  <c r="H36" i="15"/>
  <c r="HE37" i="9"/>
  <c r="HC37"/>
  <c r="J29" i="11"/>
  <c r="H32" i="15"/>
  <c r="HE33" i="9"/>
  <c r="HC33"/>
  <c r="J22" i="11"/>
  <c r="H25" i="15"/>
  <c r="HC26" i="9"/>
  <c r="HE26"/>
  <c r="AR6" i="19"/>
  <c r="AT6"/>
  <c r="AS6"/>
  <c r="J21" i="11"/>
  <c r="H24" i="15"/>
  <c r="HC25" i="9"/>
  <c r="HE25"/>
  <c r="J19" i="11"/>
  <c r="H22" i="15"/>
  <c r="HC23" i="9"/>
  <c r="HE23"/>
  <c r="K15" i="12"/>
  <c r="K17" i="15"/>
  <c r="M15" i="12"/>
  <c r="M17" i="15"/>
  <c r="GS17" i="9"/>
  <c r="R16" i="15" s="1"/>
  <c r="GS16" i="9"/>
  <c r="R15" i="15" s="1"/>
  <c r="EW15" i="9"/>
  <c r="I23" i="18"/>
  <c r="P17"/>
  <c r="Q17" s="1"/>
  <c r="R9" i="12"/>
  <c r="P81" i="19"/>
  <c r="EK12" i="9"/>
  <c r="GP24"/>
  <c r="IR24" s="1"/>
  <c r="M24" i="11"/>
  <c r="I27" i="15"/>
  <c r="GS15" i="9"/>
  <c r="R14" i="15" s="1"/>
  <c r="R12" i="12"/>
  <c r="P12"/>
  <c r="P14" i="15"/>
  <c r="N12" i="12"/>
  <c r="N14" i="15"/>
  <c r="K11" i="12"/>
  <c r="K13" i="15"/>
  <c r="GS14" i="9"/>
  <c r="R13" i="15" s="1"/>
  <c r="R11" i="12"/>
  <c r="GS13" i="9"/>
  <c r="R12" i="15" s="1"/>
  <c r="GS12" i="9"/>
  <c r="R11" i="15" s="1"/>
  <c r="EK11" i="9"/>
  <c r="FF11"/>
  <c r="FF9"/>
  <c r="S23" i="4" s="1"/>
  <c r="EK9" i="9"/>
  <c r="I23" i="4" s="1"/>
  <c r="EK18" i="9"/>
  <c r="EW18" s="1"/>
  <c r="FF18"/>
  <c r="R15" i="12" s="1"/>
  <c r="EK10" i="9"/>
  <c r="FF10"/>
  <c r="GR36"/>
  <c r="GJ24"/>
  <c r="GJ28"/>
  <c r="GE28"/>
  <c r="GV28" s="1"/>
  <c r="FR24"/>
  <c r="GT24" s="1"/>
  <c r="GI24"/>
  <c r="GJ30"/>
  <c r="FU24"/>
  <c r="FO32"/>
  <c r="FU35"/>
  <c r="GR25"/>
  <c r="FK19"/>
  <c r="FO20"/>
  <c r="GR27"/>
  <c r="T8"/>
  <c r="V8" s="1"/>
  <c r="W8" s="1"/>
  <c r="GB19"/>
  <c r="GI30"/>
  <c r="GC19"/>
  <c r="GR26"/>
  <c r="GE30"/>
  <c r="GR33"/>
  <c r="GJ20"/>
  <c r="GQ30"/>
  <c r="GP30"/>
  <c r="FO35"/>
  <c r="GI20"/>
  <c r="GL19"/>
  <c r="GE35"/>
  <c r="GR32"/>
  <c r="GB35"/>
  <c r="GI35"/>
  <c r="FY35"/>
  <c r="GJ35"/>
  <c r="GE20"/>
  <c r="GQ19"/>
  <c r="GQ35"/>
  <c r="FO19"/>
  <c r="FN35"/>
  <c r="FQ30"/>
  <c r="GU30" s="1"/>
  <c r="GP32"/>
  <c r="GP35"/>
  <c r="GK14"/>
  <c r="GD14"/>
  <c r="GR30"/>
  <c r="FW14"/>
  <c r="FL30"/>
  <c r="GP20"/>
  <c r="GC20"/>
  <c r="FL19"/>
  <c r="FP14"/>
  <c r="FJ15"/>
  <c r="FX20"/>
  <c r="GD15"/>
  <c r="FP15"/>
  <c r="FL32"/>
  <c r="HB30"/>
  <c r="GY29"/>
  <c r="FP16"/>
  <c r="AR27" i="15"/>
  <c r="AQ27"/>
  <c r="FW16" i="9"/>
  <c r="FJ22"/>
  <c r="GY19"/>
  <c r="GY35"/>
  <c r="GR24"/>
  <c r="GY24"/>
  <c r="GR19"/>
  <c r="GY32"/>
  <c r="GR20"/>
  <c r="GR35"/>
  <c r="GK13"/>
  <c r="FJ16"/>
  <c r="GB32"/>
  <c r="GE32"/>
  <c r="GU32" s="1"/>
  <c r="IQ28"/>
  <c r="IW28" s="1"/>
  <c r="GC32"/>
  <c r="FU32"/>
  <c r="GJ32"/>
  <c r="FK37"/>
  <c r="FL37"/>
  <c r="FO37"/>
  <c r="FN37"/>
  <c r="GB37"/>
  <c r="GC37"/>
  <c r="FY37"/>
  <c r="GF37"/>
  <c r="GI37"/>
  <c r="GJ37"/>
  <c r="HB37"/>
  <c r="FU37"/>
  <c r="FV37"/>
  <c r="FR37"/>
  <c r="GT37" s="1"/>
  <c r="GQ37"/>
  <c r="GP37"/>
  <c r="GC36"/>
  <c r="GB36"/>
  <c r="FY36"/>
  <c r="GJ36"/>
  <c r="GF36"/>
  <c r="GI36"/>
  <c r="HB36"/>
  <c r="GP36"/>
  <c r="GQ36"/>
  <c r="FN36"/>
  <c r="FO36"/>
  <c r="FU36"/>
  <c r="FV36"/>
  <c r="FR36"/>
  <c r="GW36" s="1"/>
  <c r="FL36"/>
  <c r="FK36"/>
  <c r="GC34"/>
  <c r="GB34"/>
  <c r="FY34"/>
  <c r="GQ34"/>
  <c r="GP34"/>
  <c r="HB34"/>
  <c r="GJ34"/>
  <c r="GI34"/>
  <c r="GF34"/>
  <c r="FN34"/>
  <c r="FO34"/>
  <c r="FQ34"/>
  <c r="FU34"/>
  <c r="FV34"/>
  <c r="FK34"/>
  <c r="FL34"/>
  <c r="GI33"/>
  <c r="GJ33"/>
  <c r="GF33"/>
  <c r="HB33"/>
  <c r="GQ33"/>
  <c r="GP33"/>
  <c r="FN33"/>
  <c r="FO33"/>
  <c r="GC33"/>
  <c r="GB33"/>
  <c r="FY33"/>
  <c r="FU33"/>
  <c r="FQ33"/>
  <c r="FV33"/>
  <c r="FL33"/>
  <c r="FK33"/>
  <c r="FV32"/>
  <c r="FK32"/>
  <c r="FK31"/>
  <c r="FL31"/>
  <c r="FN31"/>
  <c r="FO31"/>
  <c r="GE31"/>
  <c r="GJ31"/>
  <c r="GI31"/>
  <c r="FY31"/>
  <c r="GC31"/>
  <c r="GB31"/>
  <c r="HB31"/>
  <c r="FV31"/>
  <c r="FQ31"/>
  <c r="FU31"/>
  <c r="GP31"/>
  <c r="GQ31"/>
  <c r="GE29"/>
  <c r="GJ29"/>
  <c r="GI29"/>
  <c r="HB29"/>
  <c r="GC29"/>
  <c r="GB29"/>
  <c r="FY29"/>
  <c r="FN29"/>
  <c r="FO29"/>
  <c r="GQ29"/>
  <c r="GP29"/>
  <c r="FQ29"/>
  <c r="GU29" s="1"/>
  <c r="FU29"/>
  <c r="FV29"/>
  <c r="FK29"/>
  <c r="FL29"/>
  <c r="FK27"/>
  <c r="FL27"/>
  <c r="GP27"/>
  <c r="GQ27"/>
  <c r="HB27"/>
  <c r="GE27"/>
  <c r="GJ27"/>
  <c r="GI27"/>
  <c r="FO27"/>
  <c r="FN27"/>
  <c r="FU27"/>
  <c r="FQ27"/>
  <c r="GX27" s="1"/>
  <c r="FV27"/>
  <c r="FY27"/>
  <c r="GB27"/>
  <c r="GC27"/>
  <c r="FL26"/>
  <c r="FK26"/>
  <c r="GQ26"/>
  <c r="GP26"/>
  <c r="FN26"/>
  <c r="FO26"/>
  <c r="GE26"/>
  <c r="GJ26"/>
  <c r="GI26"/>
  <c r="HB26"/>
  <c r="FU26"/>
  <c r="FV26"/>
  <c r="FR26"/>
  <c r="FX26"/>
  <c r="GC26"/>
  <c r="GB26"/>
  <c r="FK25"/>
  <c r="FL25"/>
  <c r="HB25"/>
  <c r="GQ25"/>
  <c r="GP25"/>
  <c r="FO25"/>
  <c r="FN25"/>
  <c r="GC25"/>
  <c r="GB25"/>
  <c r="FX25"/>
  <c r="FV25"/>
  <c r="FR25"/>
  <c r="FU25"/>
  <c r="GI25"/>
  <c r="GE25"/>
  <c r="GJ25"/>
  <c r="FL23"/>
  <c r="FK23"/>
  <c r="GP23"/>
  <c r="GQ23"/>
  <c r="HB23"/>
  <c r="FX23"/>
  <c r="GB23"/>
  <c r="GC23"/>
  <c r="FO23"/>
  <c r="FN23"/>
  <c r="FU23"/>
  <c r="FV23"/>
  <c r="FR23"/>
  <c r="GE23"/>
  <c r="GJ23"/>
  <c r="GI23"/>
  <c r="FM22"/>
  <c r="IZ39"/>
  <c r="JB39" s="1"/>
  <c r="HG39" s="1"/>
  <c r="Q35" i="11" s="1"/>
  <c r="IX39" i="9"/>
  <c r="IT39"/>
  <c r="IV39"/>
  <c r="IY39"/>
  <c r="JA39"/>
  <c r="IU39"/>
  <c r="IW39"/>
  <c r="IV38"/>
  <c r="IX38"/>
  <c r="IW38"/>
  <c r="IU38"/>
  <c r="IY38"/>
  <c r="IT38"/>
  <c r="JA38"/>
  <c r="IZ38"/>
  <c r="JB38" s="1"/>
  <c r="HG38" s="1"/>
  <c r="Q34" i="11" s="1"/>
  <c r="GY22" i="9"/>
  <c r="FN19"/>
  <c r="FV19"/>
  <c r="GB20"/>
  <c r="FK20"/>
  <c r="GQ20"/>
  <c r="GK22"/>
  <c r="GK16"/>
  <c r="GD16"/>
  <c r="GD13"/>
  <c r="AF76" i="19" s="1"/>
  <c r="FV20" i="9"/>
  <c r="FU19"/>
  <c r="GI19"/>
  <c r="FP11"/>
  <c r="AF45" i="19" s="1"/>
  <c r="GK18" i="9"/>
  <c r="FQ20"/>
  <c r="GT20" s="1"/>
  <c r="FQ19"/>
  <c r="GJ19"/>
  <c r="GE19"/>
  <c r="GD18"/>
  <c r="FP13"/>
  <c r="AF74" i="19" s="1"/>
  <c r="FW22" i="9"/>
  <c r="FM18"/>
  <c r="FU20"/>
  <c r="FL20"/>
  <c r="FW18"/>
  <c r="FP22"/>
  <c r="GD22"/>
  <c r="GY20"/>
  <c r="FW13"/>
  <c r="AF75" i="19" s="1"/>
  <c r="FJ13" i="9"/>
  <c r="AF72" i="19" s="1"/>
  <c r="FJ10" i="9"/>
  <c r="P43" i="19" s="1"/>
  <c r="GK10" i="9"/>
  <c r="GD10"/>
  <c r="P47" i="19" s="1"/>
  <c r="FW10" i="9"/>
  <c r="P46" i="19" s="1"/>
  <c r="FP10" i="9"/>
  <c r="P45" i="19" s="1"/>
  <c r="FW21" i="9"/>
  <c r="FP21"/>
  <c r="FJ21"/>
  <c r="GK21"/>
  <c r="GD21"/>
  <c r="FW17"/>
  <c r="FP17"/>
  <c r="FJ17"/>
  <c r="GK17"/>
  <c r="GD17"/>
  <c r="FM17"/>
  <c r="FM21"/>
  <c r="FL22"/>
  <c r="FK22"/>
  <c r="FM16"/>
  <c r="FQ18"/>
  <c r="FU18"/>
  <c r="FV18"/>
  <c r="FL18"/>
  <c r="FK18"/>
  <c r="FK16"/>
  <c r="FM15"/>
  <c r="FM14"/>
  <c r="FM13"/>
  <c r="AF73" i="19" s="1"/>
  <c r="GE9" i="9"/>
  <c r="FM10"/>
  <c r="P44" i="19" s="1"/>
  <c r="AK8" i="9"/>
  <c r="R4" i="11"/>
  <c r="IH6" i="9"/>
  <c r="IN6" s="1"/>
  <c r="CV213"/>
  <c r="CU213"/>
  <c r="CW213"/>
  <c r="BY213"/>
  <c r="BX213"/>
  <c r="BZ213"/>
  <c r="BB213"/>
  <c r="BA213"/>
  <c r="BC213"/>
  <c r="GU33" l="1"/>
  <c r="N29" i="11" s="1"/>
  <c r="GW35" i="9"/>
  <c r="GT25"/>
  <c r="GW31"/>
  <c r="GT26"/>
  <c r="GW34"/>
  <c r="GT23"/>
  <c r="AT7" i="19"/>
  <c r="AT9"/>
  <c r="J33" i="15"/>
  <c r="HD34" i="9"/>
  <c r="L30" i="11"/>
  <c r="GV36" i="9"/>
  <c r="GX33"/>
  <c r="GT27"/>
  <c r="GU27"/>
  <c r="GX28"/>
  <c r="GX37"/>
  <c r="GW37"/>
  <c r="GW32"/>
  <c r="T29" i="12" s="1"/>
  <c r="GV35" i="9"/>
  <c r="GX30"/>
  <c r="GV34"/>
  <c r="GV31"/>
  <c r="GX29"/>
  <c r="GX26"/>
  <c r="GW26"/>
  <c r="EW10"/>
  <c r="G52" i="19"/>
  <c r="AS9"/>
  <c r="AS7"/>
  <c r="HD26" i="9"/>
  <c r="J25" i="15"/>
  <c r="L22" i="11"/>
  <c r="J26" i="15"/>
  <c r="L23" i="11"/>
  <c r="HD27" i="9"/>
  <c r="HD28"/>
  <c r="J27" i="15"/>
  <c r="L24" i="11"/>
  <c r="J29" i="15"/>
  <c r="L26" i="11"/>
  <c r="HD30" i="9"/>
  <c r="J35" i="15"/>
  <c r="L32" i="11"/>
  <c r="HD36" i="9"/>
  <c r="GT36"/>
  <c r="GT33"/>
  <c r="GW33"/>
  <c r="T30" i="12" s="1"/>
  <c r="GW27" i="9"/>
  <c r="GT28"/>
  <c r="GU28"/>
  <c r="GV37"/>
  <c r="GV32"/>
  <c r="GX35"/>
  <c r="GT30"/>
  <c r="GW30"/>
  <c r="T27" i="12" s="1"/>
  <c r="GU34" i="9"/>
  <c r="N30" i="11" s="1"/>
  <c r="GT31" i="9"/>
  <c r="GT29"/>
  <c r="GW29"/>
  <c r="T26" i="12" s="1"/>
  <c r="GV26" i="9"/>
  <c r="HB32"/>
  <c r="J28" i="11"/>
  <c r="N28" s="1"/>
  <c r="H31" i="15"/>
  <c r="HC32" i="9"/>
  <c r="HE32"/>
  <c r="J31" i="11"/>
  <c r="H34" i="15"/>
  <c r="HC35" i="9"/>
  <c r="HE35"/>
  <c r="R7" i="12"/>
  <c r="P52" i="19"/>
  <c r="J32" i="15"/>
  <c r="L29" i="11"/>
  <c r="HD33" i="9"/>
  <c r="L33" i="11"/>
  <c r="HD37" i="9"/>
  <c r="J36" i="15"/>
  <c r="GU19" i="9"/>
  <c r="GX36"/>
  <c r="GU36"/>
  <c r="N32" i="11" s="1"/>
  <c r="GV33" i="9"/>
  <c r="GV27"/>
  <c r="GW28"/>
  <c r="GU37"/>
  <c r="GX32"/>
  <c r="GT35"/>
  <c r="GU35"/>
  <c r="GV30"/>
  <c r="GT34"/>
  <c r="GX31"/>
  <c r="GU31"/>
  <c r="GV29"/>
  <c r="GU26"/>
  <c r="J25" i="11"/>
  <c r="N25" s="1"/>
  <c r="H28" i="15"/>
  <c r="HE29" i="9"/>
  <c r="HC29"/>
  <c r="AR7" i="19"/>
  <c r="AR9"/>
  <c r="J30" i="15"/>
  <c r="L27" i="11"/>
  <c r="HD31" i="9"/>
  <c r="N22" i="11"/>
  <c r="N33"/>
  <c r="N23"/>
  <c r="N24"/>
  <c r="N26"/>
  <c r="GT32" i="9"/>
  <c r="GX34"/>
  <c r="GX25"/>
  <c r="GV25"/>
  <c r="GW25"/>
  <c r="J24" i="15"/>
  <c r="L21" i="11"/>
  <c r="HD25" i="9"/>
  <c r="GU25"/>
  <c r="N21" i="11" s="1"/>
  <c r="GX24" i="9"/>
  <c r="GW24"/>
  <c r="GV24"/>
  <c r="GU24"/>
  <c r="J20" i="11"/>
  <c r="H23" i="15"/>
  <c r="HE24" i="9"/>
  <c r="HC24"/>
  <c r="GX23"/>
  <c r="GV23"/>
  <c r="GW23"/>
  <c r="GU23"/>
  <c r="J22" i="15"/>
  <c r="L19" i="11"/>
  <c r="HD23" i="9"/>
  <c r="J18" i="11"/>
  <c r="H21" i="15"/>
  <c r="HC22" i="9"/>
  <c r="HE22"/>
  <c r="GX20"/>
  <c r="GW20"/>
  <c r="J16" i="11"/>
  <c r="H19" i="15"/>
  <c r="HE20" i="9"/>
  <c r="HC20"/>
  <c r="GV20"/>
  <c r="GU20"/>
  <c r="GV19"/>
  <c r="GW19"/>
  <c r="T16" i="12" s="1"/>
  <c r="J15" i="11"/>
  <c r="N15" s="1"/>
  <c r="H18" i="15"/>
  <c r="HC19" i="9"/>
  <c r="HE19"/>
  <c r="N15" i="12"/>
  <c r="N17" i="15"/>
  <c r="GS18" i="9"/>
  <c r="R17" i="15" s="1"/>
  <c r="L15" i="12"/>
  <c r="L17" i="15"/>
  <c r="O15" i="12"/>
  <c r="O17" i="15"/>
  <c r="O14" i="12"/>
  <c r="O16" i="15"/>
  <c r="N14" i="12"/>
  <c r="N16" i="15"/>
  <c r="L14" i="12"/>
  <c r="L16" i="15"/>
  <c r="M14" i="12"/>
  <c r="M16" i="15"/>
  <c r="K14" i="12"/>
  <c r="K16" i="15"/>
  <c r="N13" i="12"/>
  <c r="N15" i="15"/>
  <c r="L13" i="12"/>
  <c r="L15" i="15"/>
  <c r="M13" i="12"/>
  <c r="M15" i="15"/>
  <c r="O13" i="12"/>
  <c r="O15" i="15"/>
  <c r="K13" i="12"/>
  <c r="K15" i="15"/>
  <c r="P16" i="18"/>
  <c r="Q16" s="1"/>
  <c r="S16" s="1"/>
  <c r="P14"/>
  <c r="Q14" s="1"/>
  <c r="P15"/>
  <c r="Q15" s="1"/>
  <c r="P18"/>
  <c r="Q18" s="1"/>
  <c r="S18" s="1"/>
  <c r="T17"/>
  <c r="S17"/>
  <c r="EW12" i="9"/>
  <c r="G81" i="19"/>
  <c r="R8" i="12"/>
  <c r="AF52" i="19"/>
  <c r="EW11" i="9"/>
  <c r="W52" i="19"/>
  <c r="IR35" i="9"/>
  <c r="GL18"/>
  <c r="P15" i="12"/>
  <c r="P17" i="15"/>
  <c r="BN34" i="11"/>
  <c r="BQ34"/>
  <c r="BP34"/>
  <c r="BW34"/>
  <c r="BM34"/>
  <c r="BT34"/>
  <c r="BS34"/>
  <c r="BV34"/>
  <c r="BX34"/>
  <c r="BO34"/>
  <c r="BR34"/>
  <c r="BU34"/>
  <c r="GX19" i="9"/>
  <c r="GT19"/>
  <c r="GP16"/>
  <c r="P13" i="12"/>
  <c r="P15" i="15"/>
  <c r="BN35" i="11"/>
  <c r="BQ35"/>
  <c r="BT35"/>
  <c r="BW35"/>
  <c r="BM35"/>
  <c r="BX35"/>
  <c r="BS35"/>
  <c r="BV35"/>
  <c r="BP35"/>
  <c r="BO35"/>
  <c r="BR35"/>
  <c r="BU35"/>
  <c r="P14" i="12"/>
  <c r="P16" i="15"/>
  <c r="EW9" i="9"/>
  <c r="W23" i="19"/>
  <c r="R6" i="12"/>
  <c r="AF23" i="19"/>
  <c r="M32" i="11"/>
  <c r="I35" i="15"/>
  <c r="M23" i="11"/>
  <c r="I26" i="15"/>
  <c r="M29" i="11"/>
  <c r="I32" i="15"/>
  <c r="M26" i="11"/>
  <c r="I29" i="15"/>
  <c r="M22" i="11"/>
  <c r="I25" i="15"/>
  <c r="M19" i="11"/>
  <c r="I22" i="15"/>
  <c r="M27" i="11"/>
  <c r="I30" i="15"/>
  <c r="M21" i="11"/>
  <c r="I24" i="15"/>
  <c r="M25" i="11"/>
  <c r="I28" i="15"/>
  <c r="M30" i="11"/>
  <c r="I33" i="15"/>
  <c r="M33" i="11"/>
  <c r="I36" i="15"/>
  <c r="M28" i="11"/>
  <c r="I31" i="15"/>
  <c r="M12" i="12"/>
  <c r="M14" i="15"/>
  <c r="AB14" s="1"/>
  <c r="IG15" i="9" s="1"/>
  <c r="L12" i="12"/>
  <c r="L14" i="15"/>
  <c r="K12" i="12"/>
  <c r="K14" i="15"/>
  <c r="O12" i="12"/>
  <c r="O14" i="15"/>
  <c r="AH14" s="1"/>
  <c r="II15" i="9" s="1"/>
  <c r="L11" i="12"/>
  <c r="L13" i="15"/>
  <c r="N11" i="12"/>
  <c r="N13" i="15"/>
  <c r="FV14" i="9"/>
  <c r="M11" i="12"/>
  <c r="M13" i="15"/>
  <c r="P11" i="12"/>
  <c r="P13" i="15"/>
  <c r="O11" i="12"/>
  <c r="O13" i="15"/>
  <c r="N10" i="12"/>
  <c r="N12" i="15"/>
  <c r="GN13" i="9"/>
  <c r="P10" i="12"/>
  <c r="P12" i="15"/>
  <c r="K10" i="12"/>
  <c r="K12" i="15"/>
  <c r="L10" i="12"/>
  <c r="L12" i="15"/>
  <c r="M10" i="12"/>
  <c r="M12" i="15"/>
  <c r="O10" i="12"/>
  <c r="O12" i="15"/>
  <c r="GS11" i="9"/>
  <c r="R10" i="15" s="1"/>
  <c r="M8" i="12"/>
  <c r="M10" i="15"/>
  <c r="L7" i="12"/>
  <c r="L9" i="15"/>
  <c r="N7" i="12"/>
  <c r="N9" i="15"/>
  <c r="GS10" i="9"/>
  <c r="R9" i="15" s="1"/>
  <c r="M7" i="12"/>
  <c r="M9" i="15"/>
  <c r="K7" i="12"/>
  <c r="K9" i="15"/>
  <c r="P7" i="12"/>
  <c r="P9" i="15"/>
  <c r="O7" i="12"/>
  <c r="O9" i="15"/>
  <c r="GS9" i="9"/>
  <c r="R8" i="15" s="1"/>
  <c r="JA28" i="9"/>
  <c r="HF39"/>
  <c r="HF38"/>
  <c r="FM11"/>
  <c r="AF44" i="19" s="1"/>
  <c r="BG5" i="12"/>
  <c r="BJ5"/>
  <c r="FO18" i="9"/>
  <c r="GB22"/>
  <c r="GP22"/>
  <c r="IX28"/>
  <c r="IR30"/>
  <c r="GP18"/>
  <c r="GR17"/>
  <c r="FL16"/>
  <c r="FJ11"/>
  <c r="AF43" i="19" s="1"/>
  <c r="FX22" i="9"/>
  <c r="GD11"/>
  <c r="AF47" i="19" s="1"/>
  <c r="GE18" i="9"/>
  <c r="GI22"/>
  <c r="GJ18"/>
  <c r="GE22"/>
  <c r="GC22"/>
  <c r="GK11"/>
  <c r="GI18"/>
  <c r="FX18"/>
  <c r="GQ22"/>
  <c r="FW11"/>
  <c r="AF46" i="19" s="1"/>
  <c r="GQ18" i="9"/>
  <c r="IR20"/>
  <c r="AQ28" i="15"/>
  <c r="AR28"/>
  <c r="AQ33"/>
  <c r="AR33"/>
  <c r="IR32" i="9"/>
  <c r="AR19" i="15"/>
  <c r="AQ24"/>
  <c r="AR24"/>
  <c r="AQ26"/>
  <c r="AR26"/>
  <c r="AR35"/>
  <c r="AQ35"/>
  <c r="AQ25"/>
  <c r="AR25"/>
  <c r="AQ19"/>
  <c r="AQ22"/>
  <c r="AR22"/>
  <c r="AQ30"/>
  <c r="AR30"/>
  <c r="AR31"/>
  <c r="AQ31"/>
  <c r="AQ32"/>
  <c r="AR32"/>
  <c r="AQ36"/>
  <c r="AR36"/>
  <c r="HB35" i="9"/>
  <c r="HB19"/>
  <c r="HB24"/>
  <c r="IT28"/>
  <c r="IZ28"/>
  <c r="JB28" s="1"/>
  <c r="HG28" s="1"/>
  <c r="Q24" i="11" s="1"/>
  <c r="BS24" s="1"/>
  <c r="GR13" i="9"/>
  <c r="GR22"/>
  <c r="GR10"/>
  <c r="GR14"/>
  <c r="GR15"/>
  <c r="GR16"/>
  <c r="GY21"/>
  <c r="GY17"/>
  <c r="IU28"/>
  <c r="IY28"/>
  <c r="IV28"/>
  <c r="IQ20"/>
  <c r="JA20" s="1"/>
  <c r="IQ37"/>
  <c r="IR37"/>
  <c r="IR36"/>
  <c r="IQ36"/>
  <c r="IR34"/>
  <c r="IQ34"/>
  <c r="IR33"/>
  <c r="IQ33"/>
  <c r="IQ32"/>
  <c r="IR31"/>
  <c r="IQ31"/>
  <c r="IQ29"/>
  <c r="IR29"/>
  <c r="IR27"/>
  <c r="IQ27"/>
  <c r="IR26"/>
  <c r="IQ26"/>
  <c r="IR25"/>
  <c r="IQ25"/>
  <c r="IR23"/>
  <c r="IQ23"/>
  <c r="FO22"/>
  <c r="FN22"/>
  <c r="GY15"/>
  <c r="HB22"/>
  <c r="FM9"/>
  <c r="HB20"/>
  <c r="GJ22"/>
  <c r="GR18"/>
  <c r="GY18"/>
  <c r="FN18"/>
  <c r="FV22"/>
  <c r="IR19"/>
  <c r="GB18"/>
  <c r="FU22"/>
  <c r="FM12"/>
  <c r="GY13"/>
  <c r="GC18"/>
  <c r="FQ22"/>
  <c r="GT22" s="1"/>
  <c r="GD12"/>
  <c r="FW12"/>
  <c r="FP12"/>
  <c r="FJ12"/>
  <c r="GK12"/>
  <c r="FO16"/>
  <c r="FW9"/>
  <c r="FP9"/>
  <c r="FJ9"/>
  <c r="GK9"/>
  <c r="GD9"/>
  <c r="GP17"/>
  <c r="GN17"/>
  <c r="GQ17"/>
  <c r="FO17"/>
  <c r="FN17"/>
  <c r="FV17"/>
  <c r="FU17"/>
  <c r="FQ17"/>
  <c r="GR21"/>
  <c r="FX17"/>
  <c r="GC17"/>
  <c r="GB17"/>
  <c r="GG17"/>
  <c r="GJ17"/>
  <c r="GI17"/>
  <c r="FK17"/>
  <c r="FL17"/>
  <c r="GP14"/>
  <c r="GF16"/>
  <c r="AB15" i="15"/>
  <c r="FQ16" i="9"/>
  <c r="FU16"/>
  <c r="FV16"/>
  <c r="FK21"/>
  <c r="FL21"/>
  <c r="FN21"/>
  <c r="FO21"/>
  <c r="FU21"/>
  <c r="FV21"/>
  <c r="FQ21"/>
  <c r="GT21" s="1"/>
  <c r="EM8"/>
  <c r="AB13" i="15"/>
  <c r="FL14" i="9"/>
  <c r="GB14"/>
  <c r="GQ16"/>
  <c r="GP21"/>
  <c r="GQ21"/>
  <c r="GF14"/>
  <c r="FN16"/>
  <c r="GE21"/>
  <c r="GJ21"/>
  <c r="GI21"/>
  <c r="FX21"/>
  <c r="GC21"/>
  <c r="GB21"/>
  <c r="GB16"/>
  <c r="FX16"/>
  <c r="FO14"/>
  <c r="FN14"/>
  <c r="GC16"/>
  <c r="FQ14"/>
  <c r="GC14"/>
  <c r="GJ16"/>
  <c r="FK14"/>
  <c r="FX14"/>
  <c r="GI16"/>
  <c r="FU15"/>
  <c r="FQ15"/>
  <c r="GT15" s="1"/>
  <c r="FV15"/>
  <c r="FL15"/>
  <c r="FK15"/>
  <c r="GP15"/>
  <c r="GQ15"/>
  <c r="GJ15"/>
  <c r="GI15"/>
  <c r="GF15"/>
  <c r="FN15"/>
  <c r="FO15"/>
  <c r="GC15"/>
  <c r="GB15"/>
  <c r="FX15"/>
  <c r="GQ14"/>
  <c r="FU14"/>
  <c r="GJ14"/>
  <c r="GI14"/>
  <c r="GC13"/>
  <c r="FZ13"/>
  <c r="GB13"/>
  <c r="GJ13"/>
  <c r="GI13"/>
  <c r="GE13"/>
  <c r="FN13"/>
  <c r="FO13"/>
  <c r="GQ13"/>
  <c r="GM13"/>
  <c r="GP13"/>
  <c r="FV13"/>
  <c r="FQ13"/>
  <c r="FU13"/>
  <c r="FL13"/>
  <c r="FK13"/>
  <c r="GI11"/>
  <c r="GP10"/>
  <c r="GQ10"/>
  <c r="GM10"/>
  <c r="FO11"/>
  <c r="FR11"/>
  <c r="FU11"/>
  <c r="FV11"/>
  <c r="FK10"/>
  <c r="FL10"/>
  <c r="FN10"/>
  <c r="FO10"/>
  <c r="FV10"/>
  <c r="FU10"/>
  <c r="FQ10"/>
  <c r="GB10"/>
  <c r="GC10"/>
  <c r="FY10"/>
  <c r="GE10"/>
  <c r="GJ10"/>
  <c r="GI10"/>
  <c r="BD213"/>
  <c r="BC6"/>
  <c r="BZ7"/>
  <c r="BC7"/>
  <c r="BZ6"/>
  <c r="AF14" i="19" l="1"/>
  <c r="P14" i="4"/>
  <c r="AF18" i="19"/>
  <c r="P18" i="4"/>
  <c r="AF17" i="19"/>
  <c r="P17" i="4"/>
  <c r="AF15" i="19"/>
  <c r="P15" i="4"/>
  <c r="AF16" i="19"/>
  <c r="P16" i="4"/>
  <c r="AF49" i="19"/>
  <c r="P20" i="4"/>
  <c r="AF20" i="19"/>
  <c r="GL9" i="9"/>
  <c r="GU18"/>
  <c r="S30" i="15"/>
  <c r="T28" i="12"/>
  <c r="S34" i="15"/>
  <c r="T32" i="12"/>
  <c r="S35" i="15"/>
  <c r="T33" i="12"/>
  <c r="S26" i="15"/>
  <c r="T24" i="12"/>
  <c r="AS8" i="19"/>
  <c r="L9" s="1"/>
  <c r="S32" i="15"/>
  <c r="S28"/>
  <c r="S36"/>
  <c r="T34" i="12"/>
  <c r="S27" i="15"/>
  <c r="T25" i="12"/>
  <c r="N31" i="11"/>
  <c r="L25"/>
  <c r="HD29" i="9"/>
  <c r="J28" i="15"/>
  <c r="S25"/>
  <c r="T23" i="12"/>
  <c r="GV17" i="9"/>
  <c r="GV16"/>
  <c r="N27" i="11"/>
  <c r="AS10" i="19"/>
  <c r="S29" i="15"/>
  <c r="S31"/>
  <c r="J34"/>
  <c r="HD35" i="9"/>
  <c r="L31" i="11"/>
  <c r="J31" i="15"/>
  <c r="L28" i="11"/>
  <c r="HD32" i="9"/>
  <c r="S33" i="15"/>
  <c r="T31" i="12"/>
  <c r="S24" i="15"/>
  <c r="T22" i="12"/>
  <c r="N20" i="11"/>
  <c r="J23" i="15"/>
  <c r="L20" i="11"/>
  <c r="HD24" i="9"/>
  <c r="T21" i="12"/>
  <c r="S23" i="15"/>
  <c r="T20" i="12"/>
  <c r="S22" i="15"/>
  <c r="N19" i="11"/>
  <c r="GX22" i="9"/>
  <c r="GW22"/>
  <c r="GV22"/>
  <c r="J21" i="15"/>
  <c r="L18" i="11"/>
  <c r="HD22" i="9"/>
  <c r="GU22"/>
  <c r="N18" i="11" s="1"/>
  <c r="HB21" i="9"/>
  <c r="J17" i="11"/>
  <c r="H20" i="15"/>
  <c r="HC21" i="9"/>
  <c r="HE21"/>
  <c r="GX21"/>
  <c r="GV21"/>
  <c r="GW21"/>
  <c r="GU21"/>
  <c r="J19" i="15"/>
  <c r="L16" i="11"/>
  <c r="HD20" i="9"/>
  <c r="N16" i="11"/>
  <c r="S19" i="15"/>
  <c r="T17" i="12"/>
  <c r="S18" i="15"/>
  <c r="J18"/>
  <c r="HD19" i="9"/>
  <c r="L15" i="11"/>
  <c r="GV18" i="9"/>
  <c r="GW18"/>
  <c r="Q15" i="12"/>
  <c r="Q17" i="15"/>
  <c r="H15" i="12"/>
  <c r="J14" i="11"/>
  <c r="N14" s="1"/>
  <c r="H17" i="15"/>
  <c r="HE18" i="9"/>
  <c r="HC18"/>
  <c r="T15" i="12"/>
  <c r="Q14"/>
  <c r="Q16" i="15"/>
  <c r="GW17" i="9"/>
  <c r="CP213"/>
  <c r="CP211"/>
  <c r="CQ213"/>
  <c r="G15" i="6" s="1"/>
  <c r="CR213" i="9"/>
  <c r="H15" i="6" s="1"/>
  <c r="CS213" i="9"/>
  <c r="I15" i="6" s="1"/>
  <c r="CP215" i="9"/>
  <c r="J15" i="6" s="1"/>
  <c r="GU17" i="9"/>
  <c r="H14" i="12"/>
  <c r="J13" i="11"/>
  <c r="N13" s="1"/>
  <c r="H16" i="15"/>
  <c r="HE17" i="9"/>
  <c r="HC17"/>
  <c r="T14" i="12"/>
  <c r="Q13"/>
  <c r="T13" s="1"/>
  <c r="Q15" i="15"/>
  <c r="GU16" i="9"/>
  <c r="GW16"/>
  <c r="GT16"/>
  <c r="GX16"/>
  <c r="T15" i="18"/>
  <c r="S15"/>
  <c r="T14"/>
  <c r="S14"/>
  <c r="P76" i="19"/>
  <c r="GE12" i="9"/>
  <c r="P75" i="19"/>
  <c r="P74"/>
  <c r="P72"/>
  <c r="P73"/>
  <c r="FX11" i="9"/>
  <c r="GW13"/>
  <c r="P78" i="19"/>
  <c r="GX18" i="9"/>
  <c r="GT18"/>
  <c r="BT24" i="11"/>
  <c r="BM24"/>
  <c r="BW24"/>
  <c r="T16" i="15"/>
  <c r="AT16"/>
  <c r="P13" i="11" s="1"/>
  <c r="S16" i="15"/>
  <c r="BX24" i="11"/>
  <c r="BQ24"/>
  <c r="BN24"/>
  <c r="GX17" i="9"/>
  <c r="GT17"/>
  <c r="T17" i="15"/>
  <c r="AT17"/>
  <c r="P14" i="11" s="1"/>
  <c r="S17" i="15"/>
  <c r="BU24" i="11"/>
  <c r="BR24"/>
  <c r="BO24"/>
  <c r="S15" i="15"/>
  <c r="T15"/>
  <c r="AT15"/>
  <c r="P12" i="11" s="1"/>
  <c r="BP24"/>
  <c r="BV24"/>
  <c r="IG14" i="9"/>
  <c r="M18" i="11"/>
  <c r="I21" i="15"/>
  <c r="M16" i="11"/>
  <c r="I19" i="15"/>
  <c r="M17" i="11"/>
  <c r="I20" i="15"/>
  <c r="M31" i="11"/>
  <c r="I34" i="15"/>
  <c r="M20" i="11"/>
  <c r="I23" i="15"/>
  <c r="M15" i="11"/>
  <c r="I18" i="15"/>
  <c r="GV10" i="9"/>
  <c r="Q12" i="12"/>
  <c r="Q14" i="15"/>
  <c r="T14" s="1"/>
  <c r="J11" i="11"/>
  <c r="H12" i="12"/>
  <c r="H14" i="15"/>
  <c r="Q11" i="12"/>
  <c r="Q13" i="15"/>
  <c r="T13" s="1"/>
  <c r="BS213" i="9"/>
  <c r="BS211"/>
  <c r="BU213"/>
  <c r="H12" i="6" s="1"/>
  <c r="BV213" i="9"/>
  <c r="I12" i="6" s="1"/>
  <c r="BT213" i="9"/>
  <c r="G12" i="6" s="1"/>
  <c r="BS215" i="9"/>
  <c r="J12" i="6" s="1"/>
  <c r="GV13" i="9"/>
  <c r="Q10" i="12"/>
  <c r="Q12" i="15"/>
  <c r="T12" s="1"/>
  <c r="GX13" i="9"/>
  <c r="H10" i="12"/>
  <c r="J9" i="11"/>
  <c r="H12" i="15"/>
  <c r="HC13" i="9"/>
  <c r="HE13"/>
  <c r="DN216"/>
  <c r="K18" i="6" s="1"/>
  <c r="DQ213" i="9"/>
  <c r="I18" i="6" s="1"/>
  <c r="DN219" i="9"/>
  <c r="M18" i="6" s="1"/>
  <c r="DN213" i="9"/>
  <c r="F18" i="6" s="1"/>
  <c r="DN218" i="9"/>
  <c r="L18" i="6" s="1"/>
  <c r="DP213" i="9"/>
  <c r="H18" i="6" s="1"/>
  <c r="DO213" i="9"/>
  <c r="G18" i="6" s="1"/>
  <c r="DN211" i="9"/>
  <c r="DN215"/>
  <c r="J18" i="6" s="1"/>
  <c r="DN217" i="9"/>
  <c r="GT13"/>
  <c r="GU13"/>
  <c r="M9" i="12"/>
  <c r="M11" i="15"/>
  <c r="P9" i="12"/>
  <c r="P11" i="15"/>
  <c r="N9" i="12"/>
  <c r="N11" i="15"/>
  <c r="FL12" i="9"/>
  <c r="K9" i="12"/>
  <c r="K11" i="15"/>
  <c r="O9" i="12"/>
  <c r="O11" i="15"/>
  <c r="L9" i="12"/>
  <c r="L11" i="15"/>
  <c r="L8" i="12"/>
  <c r="L10" i="15"/>
  <c r="GJ11" i="9"/>
  <c r="O8" i="12"/>
  <c r="O10" i="15"/>
  <c r="GB11" i="9"/>
  <c r="N8" i="12"/>
  <c r="N10" i="15"/>
  <c r="P8" i="12"/>
  <c r="P10" i="15"/>
  <c r="K8" i="12"/>
  <c r="K10" i="15"/>
  <c r="GU10" i="9"/>
  <c r="L55" i="19" s="1"/>
  <c r="GT10" i="9"/>
  <c r="GW10"/>
  <c r="GX10"/>
  <c r="F55" i="19" s="1"/>
  <c r="Q7" i="12"/>
  <c r="Q9" i="15"/>
  <c r="AR9" s="1"/>
  <c r="P6" i="12"/>
  <c r="P8" i="15"/>
  <c r="L6" i="12"/>
  <c r="L8" i="15"/>
  <c r="N6" i="12"/>
  <c r="N8" i="15"/>
  <c r="M6" i="12"/>
  <c r="M8" i="15"/>
  <c r="O6" i="12"/>
  <c r="O8" i="15"/>
  <c r="K6" i="12"/>
  <c r="K8" i="15"/>
  <c r="HH39" i="9"/>
  <c r="HH38"/>
  <c r="HF28"/>
  <c r="GW14"/>
  <c r="HC15"/>
  <c r="GW15"/>
  <c r="GU15"/>
  <c r="GX15"/>
  <c r="GV15"/>
  <c r="GT14"/>
  <c r="GU14"/>
  <c r="GV14"/>
  <c r="GX14"/>
  <c r="FN11"/>
  <c r="FK11"/>
  <c r="FL11"/>
  <c r="GM11"/>
  <c r="GY16"/>
  <c r="GY10"/>
  <c r="GY14"/>
  <c r="GQ11"/>
  <c r="GE11"/>
  <c r="GP11"/>
  <c r="GR11"/>
  <c r="GC11"/>
  <c r="IQ30"/>
  <c r="AR29" i="15"/>
  <c r="AQ29"/>
  <c r="FU12" i="9"/>
  <c r="IW20"/>
  <c r="IY20"/>
  <c r="FY9"/>
  <c r="BO216" s="1"/>
  <c r="K11" i="6" s="1"/>
  <c r="IZ20" i="9"/>
  <c r="JB20" s="1"/>
  <c r="HG20" s="1"/>
  <c r="Q16" i="11" s="1"/>
  <c r="IV20" i="9"/>
  <c r="IX20"/>
  <c r="FN9"/>
  <c r="AR23" i="15"/>
  <c r="AQ23"/>
  <c r="FN12" i="9"/>
  <c r="AQ9" i="15"/>
  <c r="AQ14"/>
  <c r="AR14"/>
  <c r="AR34"/>
  <c r="AQ34"/>
  <c r="AR15"/>
  <c r="AQ18"/>
  <c r="AR18"/>
  <c r="AQ13"/>
  <c r="AR13"/>
  <c r="AQ16"/>
  <c r="AR16"/>
  <c r="AQ15"/>
  <c r="IQ24" i="9"/>
  <c r="IT20"/>
  <c r="IU20"/>
  <c r="HB15"/>
  <c r="HB13"/>
  <c r="IQ19"/>
  <c r="GR12"/>
  <c r="HB17"/>
  <c r="IQ35"/>
  <c r="GP9"/>
  <c r="IR22"/>
  <c r="FK12"/>
  <c r="GI12"/>
  <c r="GM12"/>
  <c r="FK9"/>
  <c r="GF12"/>
  <c r="GQ12"/>
  <c r="GJ12"/>
  <c r="GP12"/>
  <c r="FL9"/>
  <c r="IR18"/>
  <c r="FY12"/>
  <c r="GB12"/>
  <c r="FV12"/>
  <c r="GC9"/>
  <c r="FO9"/>
  <c r="GC12"/>
  <c r="FO12"/>
  <c r="FR12"/>
  <c r="GQ9"/>
  <c r="GR9"/>
  <c r="IW37"/>
  <c r="IU37"/>
  <c r="JA37"/>
  <c r="IT37"/>
  <c r="IZ37"/>
  <c r="JB37" s="1"/>
  <c r="HG37" s="1"/>
  <c r="Q33" i="11" s="1"/>
  <c r="BN33" s="1"/>
  <c r="IY37" i="9"/>
  <c r="IV37"/>
  <c r="IX37"/>
  <c r="IX36"/>
  <c r="JA36"/>
  <c r="IU36"/>
  <c r="IY36"/>
  <c r="IZ36"/>
  <c r="JB36" s="1"/>
  <c r="HG36" s="1"/>
  <c r="Q32" i="11" s="1"/>
  <c r="BN32" s="1"/>
  <c r="IT36" i="9"/>
  <c r="IV36"/>
  <c r="IW36"/>
  <c r="IX34"/>
  <c r="IZ34"/>
  <c r="JB34" s="1"/>
  <c r="HG34" s="1"/>
  <c r="Q30" i="11" s="1"/>
  <c r="BN30" s="1"/>
  <c r="IU34" i="9"/>
  <c r="IT34"/>
  <c r="IW34"/>
  <c r="IV34"/>
  <c r="IY34"/>
  <c r="JA34"/>
  <c r="IV33"/>
  <c r="JA33"/>
  <c r="IY33"/>
  <c r="IT33"/>
  <c r="IW33"/>
  <c r="IX33"/>
  <c r="IU33"/>
  <c r="IZ33"/>
  <c r="JB33" s="1"/>
  <c r="HG33" s="1"/>
  <c r="Q29" i="11" s="1"/>
  <c r="BN29" s="1"/>
  <c r="IV32" i="9"/>
  <c r="IY32"/>
  <c r="IX32"/>
  <c r="IU32"/>
  <c r="IW32"/>
  <c r="IT32"/>
  <c r="JA32"/>
  <c r="IZ32"/>
  <c r="JB32" s="1"/>
  <c r="HG32" s="1"/>
  <c r="Q28" i="11" s="1"/>
  <c r="BN28" s="1"/>
  <c r="IT31" i="9"/>
  <c r="IX31"/>
  <c r="IY31"/>
  <c r="IV31"/>
  <c r="IW31"/>
  <c r="JA31"/>
  <c r="IZ31"/>
  <c r="JB31" s="1"/>
  <c r="HG31" s="1"/>
  <c r="Q27" i="11" s="1"/>
  <c r="BN27" s="1"/>
  <c r="IU31" i="9"/>
  <c r="IZ29"/>
  <c r="JB29" s="1"/>
  <c r="HG29" s="1"/>
  <c r="Q25" i="11" s="1"/>
  <c r="BN25" s="1"/>
  <c r="IW29" i="9"/>
  <c r="IU29"/>
  <c r="IT29"/>
  <c r="JA29"/>
  <c r="IV29"/>
  <c r="IX29"/>
  <c r="IY29"/>
  <c r="JA27"/>
  <c r="IX27"/>
  <c r="IW27"/>
  <c r="IV27"/>
  <c r="IY27"/>
  <c r="IZ27"/>
  <c r="JB27" s="1"/>
  <c r="HG27" s="1"/>
  <c r="Q23" i="11" s="1"/>
  <c r="BN23" s="1"/>
  <c r="IU27" i="9"/>
  <c r="IT27"/>
  <c r="IT26"/>
  <c r="IU26"/>
  <c r="IX26"/>
  <c r="IW26"/>
  <c r="IV26"/>
  <c r="JA26"/>
  <c r="JA25"/>
  <c r="IZ25"/>
  <c r="JB25" s="1"/>
  <c r="HG25" s="1"/>
  <c r="Q21" i="11" s="1"/>
  <c r="BN21" s="1"/>
  <c r="IU25" i="9"/>
  <c r="IT25"/>
  <c r="IW25"/>
  <c r="IV25"/>
  <c r="IY25"/>
  <c r="IX25"/>
  <c r="IX23"/>
  <c r="JA23"/>
  <c r="IZ23"/>
  <c r="JB23" s="1"/>
  <c r="HG23" s="1"/>
  <c r="Q19" i="11" s="1"/>
  <c r="BN19" s="1"/>
  <c r="IY23" i="9"/>
  <c r="IV23"/>
  <c r="IW23"/>
  <c r="IT23"/>
  <c r="IU23"/>
  <c r="GB9"/>
  <c r="IQ21"/>
  <c r="HB18"/>
  <c r="GJ9"/>
  <c r="AH8" i="15"/>
  <c r="GF9" i="9"/>
  <c r="GI9"/>
  <c r="FV9"/>
  <c r="FU9"/>
  <c r="FR9"/>
  <c r="IR17"/>
  <c r="IR16"/>
  <c r="IR10"/>
  <c r="IR14"/>
  <c r="IR15"/>
  <c r="IR21"/>
  <c r="IR13"/>
  <c r="IQ16"/>
  <c r="IQ14"/>
  <c r="IQ10"/>
  <c r="IQ15"/>
  <c r="IQ17"/>
  <c r="IG16"/>
  <c r="CP218"/>
  <c r="L15" i="6" s="1"/>
  <c r="CP219" i="9"/>
  <c r="M15" i="6" s="1"/>
  <c r="CP217" i="9"/>
  <c r="CP216"/>
  <c r="K15" i="6" s="1"/>
  <c r="BS216" i="9"/>
  <c r="K12" i="6" s="1"/>
  <c r="BS219" i="9"/>
  <c r="M12" i="6" s="1"/>
  <c r="BS218" i="9"/>
  <c r="L12" i="6" s="1"/>
  <c r="BS217" i="9"/>
  <c r="BO215"/>
  <c r="J11" i="6" s="1"/>
  <c r="BO219" i="9"/>
  <c r="M11" i="6" s="1"/>
  <c r="EO8" i="9"/>
  <c r="EN8"/>
  <c r="BO218" l="1"/>
  <c r="L11" i="6" s="1"/>
  <c r="BO217" i="9"/>
  <c r="GU9"/>
  <c r="S14" i="4" s="1"/>
  <c r="AS14" i="15"/>
  <c r="O11" i="11" s="1"/>
  <c r="AS13" i="15"/>
  <c r="O10" i="11" s="1"/>
  <c r="BF44" i="19"/>
  <c r="B55" s="1"/>
  <c r="BF45"/>
  <c r="BF46" s="1"/>
  <c r="S21" i="15"/>
  <c r="T19" i="12"/>
  <c r="S20" i="15"/>
  <c r="T18" i="12"/>
  <c r="N17" i="11"/>
  <c r="J20" i="15"/>
  <c r="L17" i="11"/>
  <c r="HD21" i="9"/>
  <c r="J17" i="15"/>
  <c r="L14" i="11"/>
  <c r="J15" i="12"/>
  <c r="CT213" i="9"/>
  <c r="D15" i="6" s="1"/>
  <c r="J14" i="12"/>
  <c r="L13" i="11"/>
  <c r="J16" i="15"/>
  <c r="H13" i="12"/>
  <c r="J12" i="11"/>
  <c r="N12" s="1"/>
  <c r="H15" i="15"/>
  <c r="HE16" i="9"/>
  <c r="HC16"/>
  <c r="IQ13"/>
  <c r="AQ12" i="15"/>
  <c r="AR12"/>
  <c r="GW11" i="9"/>
  <c r="AT12" i="15"/>
  <c r="P9" i="11" s="1"/>
  <c r="N9"/>
  <c r="BU32"/>
  <c r="BR32"/>
  <c r="BO32"/>
  <c r="BU29"/>
  <c r="BR29"/>
  <c r="BO29"/>
  <c r="BU27"/>
  <c r="BR27"/>
  <c r="BO27"/>
  <c r="BU25"/>
  <c r="BR25"/>
  <c r="BO25"/>
  <c r="BU33"/>
  <c r="BR33"/>
  <c r="BO33"/>
  <c r="BU23"/>
  <c r="BR23"/>
  <c r="BO23"/>
  <c r="BU19"/>
  <c r="BR19"/>
  <c r="BO19"/>
  <c r="BU21"/>
  <c r="BR21"/>
  <c r="BO21"/>
  <c r="BU30"/>
  <c r="BR30"/>
  <c r="BO30"/>
  <c r="BU28"/>
  <c r="BR28"/>
  <c r="BO28"/>
  <c r="BP32"/>
  <c r="BV32"/>
  <c r="BS32"/>
  <c r="BT29"/>
  <c r="BV29"/>
  <c r="BS29"/>
  <c r="BP27"/>
  <c r="BV27"/>
  <c r="BS27"/>
  <c r="BT25"/>
  <c r="BV25"/>
  <c r="BS25"/>
  <c r="BT33"/>
  <c r="BV33"/>
  <c r="BS33"/>
  <c r="BX23"/>
  <c r="BV23"/>
  <c r="BS23"/>
  <c r="BP19"/>
  <c r="BV19"/>
  <c r="BS19"/>
  <c r="BT21"/>
  <c r="BV21"/>
  <c r="BS21"/>
  <c r="BX30"/>
  <c r="BV30"/>
  <c r="BS30"/>
  <c r="BP28"/>
  <c r="BV28"/>
  <c r="BS28"/>
  <c r="BT32"/>
  <c r="BM32"/>
  <c r="BW32"/>
  <c r="BX29"/>
  <c r="BM29"/>
  <c r="BW29"/>
  <c r="BX27"/>
  <c r="BM27"/>
  <c r="BW27"/>
  <c r="BP25"/>
  <c r="BM25"/>
  <c r="BW25"/>
  <c r="BP33"/>
  <c r="BM33"/>
  <c r="BW33"/>
  <c r="BP23"/>
  <c r="BM23"/>
  <c r="BW23"/>
  <c r="BX19"/>
  <c r="BM19"/>
  <c r="BW19"/>
  <c r="BX21"/>
  <c r="BM21"/>
  <c r="BW21"/>
  <c r="BT30"/>
  <c r="BM30"/>
  <c r="BW30"/>
  <c r="BT28"/>
  <c r="BM28"/>
  <c r="BW28"/>
  <c r="BX32"/>
  <c r="BQ32"/>
  <c r="BP29"/>
  <c r="BQ29"/>
  <c r="BT27"/>
  <c r="BQ27"/>
  <c r="BX25"/>
  <c r="BQ25"/>
  <c r="BX33"/>
  <c r="BQ33"/>
  <c r="BT23"/>
  <c r="BQ23"/>
  <c r="BT19"/>
  <c r="BQ19"/>
  <c r="BP21"/>
  <c r="BQ21"/>
  <c r="BP30"/>
  <c r="BQ30"/>
  <c r="BX28"/>
  <c r="BQ28"/>
  <c r="T12" i="12"/>
  <c r="T10"/>
  <c r="BO16" i="11"/>
  <c r="BS16"/>
  <c r="BW16"/>
  <c r="BN16"/>
  <c r="BR16"/>
  <c r="BV16"/>
  <c r="BM16"/>
  <c r="BQ16"/>
  <c r="BU16"/>
  <c r="BP16"/>
  <c r="BT16"/>
  <c r="BX16"/>
  <c r="GV12" i="9"/>
  <c r="I15" i="12"/>
  <c r="M14" i="11"/>
  <c r="I17" i="15"/>
  <c r="I14" i="12"/>
  <c r="M13" i="11"/>
  <c r="I16" i="15"/>
  <c r="S13"/>
  <c r="S14"/>
  <c r="T11" i="12"/>
  <c r="T7"/>
  <c r="S9" i="15"/>
  <c r="I12" i="12"/>
  <c r="M11" i="11"/>
  <c r="I14" i="15"/>
  <c r="N11" i="11"/>
  <c r="L11"/>
  <c r="J12" i="12"/>
  <c r="J14" i="15"/>
  <c r="HB14" i="9"/>
  <c r="J10" i="11"/>
  <c r="N10" s="1"/>
  <c r="H11" i="12"/>
  <c r="H13" i="15"/>
  <c r="BW213" i="9"/>
  <c r="D12" i="6" s="1"/>
  <c r="S12" i="15"/>
  <c r="I10" i="12"/>
  <c r="M9" i="11"/>
  <c r="I12" i="15"/>
  <c r="DR213" i="9"/>
  <c r="DN214" s="1"/>
  <c r="E18" i="6" s="1"/>
  <c r="C18"/>
  <c r="J10" i="12"/>
  <c r="L9" i="11"/>
  <c r="J12" i="15"/>
  <c r="GT12" i="9"/>
  <c r="Q9" i="12"/>
  <c r="Q11" i="15"/>
  <c r="IQ12" i="9" s="1"/>
  <c r="IV12" s="1"/>
  <c r="DI219"/>
  <c r="M17" i="6" s="1"/>
  <c r="GW12" i="9"/>
  <c r="GU12"/>
  <c r="L84" i="19" s="1"/>
  <c r="GX12" i="9"/>
  <c r="F84" i="19" s="1"/>
  <c r="DI213" i="9"/>
  <c r="F17" i="6" s="1"/>
  <c r="DJ213" i="9"/>
  <c r="G17" i="6" s="1"/>
  <c r="DI211" i="9"/>
  <c r="C17" i="6" s="1"/>
  <c r="GT11" i="9"/>
  <c r="GV11"/>
  <c r="Q8" i="12"/>
  <c r="T8" s="1"/>
  <c r="Q10" i="15"/>
  <c r="DI216" i="9"/>
  <c r="K17" i="6" s="1"/>
  <c r="DL213" i="9"/>
  <c r="I17" i="6" s="1"/>
  <c r="DI215" i="9"/>
  <c r="J17" i="6" s="1"/>
  <c r="GU11" i="9"/>
  <c r="AB55" i="19" s="1"/>
  <c r="DI217" i="9"/>
  <c r="DK213"/>
  <c r="H17" i="6" s="1"/>
  <c r="GX11" i="9"/>
  <c r="V55" i="19" s="1"/>
  <c r="AT10" i="15"/>
  <c r="P7" i="11" s="1"/>
  <c r="T10" i="15"/>
  <c r="DI218" i="9"/>
  <c r="L17" i="6" s="1"/>
  <c r="J6" i="11"/>
  <c r="N6" s="1"/>
  <c r="H7" i="12"/>
  <c r="H9" i="15"/>
  <c r="HC10" i="9"/>
  <c r="P50" i="19" s="1"/>
  <c r="HE10" i="9"/>
  <c r="T9" i="15"/>
  <c r="AT9"/>
  <c r="P6" i="11" s="1"/>
  <c r="BO213" i="9"/>
  <c r="G11" i="6" s="1"/>
  <c r="BN218" i="9"/>
  <c r="BN213"/>
  <c r="F11" i="6" s="1"/>
  <c r="BN215" i="9"/>
  <c r="BN211"/>
  <c r="BN216"/>
  <c r="BP213"/>
  <c r="H11" i="6" s="1"/>
  <c r="BN219" i="9"/>
  <c r="BN217"/>
  <c r="BQ213"/>
  <c r="I11" i="6" s="1"/>
  <c r="GT9" i="9"/>
  <c r="AR213"/>
  <c r="G8" i="6" s="1"/>
  <c r="AQ213" i="9"/>
  <c r="F8" i="6" s="1"/>
  <c r="CL217" i="9"/>
  <c r="CK219"/>
  <c r="CK211"/>
  <c r="C14" i="6" s="1"/>
  <c r="CL213" i="9"/>
  <c r="G14" i="6" s="1"/>
  <c r="CK213" i="9"/>
  <c r="F14" i="6" s="1"/>
  <c r="CK218" i="9"/>
  <c r="CK215"/>
  <c r="CK217"/>
  <c r="CK216"/>
  <c r="Q6" i="12"/>
  <c r="Q8" i="15"/>
  <c r="AT8" s="1"/>
  <c r="P5" i="11" s="1"/>
  <c r="GW9" i="9"/>
  <c r="GV9"/>
  <c r="GX9"/>
  <c r="C15" i="6"/>
  <c r="C12"/>
  <c r="HH28" i="9"/>
  <c r="HF27"/>
  <c r="HF29"/>
  <c r="HF32"/>
  <c r="HF34"/>
  <c r="HF36"/>
  <c r="HF33"/>
  <c r="HF37"/>
  <c r="HF20"/>
  <c r="HF31"/>
  <c r="HF23"/>
  <c r="HF25"/>
  <c r="HC14"/>
  <c r="AQ216"/>
  <c r="K8" i="6" s="1"/>
  <c r="GY9" i="9"/>
  <c r="HB9" s="1"/>
  <c r="HB10"/>
  <c r="HB16"/>
  <c r="CM213"/>
  <c r="CL216"/>
  <c r="K14" i="6" s="1"/>
  <c r="GY11" i="9"/>
  <c r="GY12"/>
  <c r="IR11"/>
  <c r="CL219"/>
  <c r="M14" i="6" s="1"/>
  <c r="DJ215" i="9"/>
  <c r="IR12"/>
  <c r="AQ218"/>
  <c r="L8" i="6" s="1"/>
  <c r="DJ217" i="9"/>
  <c r="DJ219"/>
  <c r="CL215"/>
  <c r="J14" i="6" s="1"/>
  <c r="AQ219" i="9"/>
  <c r="M8" i="6" s="1"/>
  <c r="AS213" i="9"/>
  <c r="H8" i="6" s="1"/>
  <c r="AQ211" i="9"/>
  <c r="AQ215"/>
  <c r="J8" i="6" s="1"/>
  <c r="CL218" i="9"/>
  <c r="L14" i="6" s="1"/>
  <c r="DJ218" i="9"/>
  <c r="AQ217"/>
  <c r="DJ216"/>
  <c r="IZ30"/>
  <c r="JB30" s="1"/>
  <c r="HG30" s="1"/>
  <c r="Q26" i="11" s="1"/>
  <c r="IT30" i="9"/>
  <c r="IU30"/>
  <c r="IY30"/>
  <c r="IW30"/>
  <c r="IX30"/>
  <c r="JA30"/>
  <c r="IV30"/>
  <c r="AQ17" i="15"/>
  <c r="AR17"/>
  <c r="AR11"/>
  <c r="AQ11"/>
  <c r="AQ20"/>
  <c r="AR21"/>
  <c r="AQ21"/>
  <c r="AR20"/>
  <c r="HB12" i="9"/>
  <c r="IX24"/>
  <c r="JA24"/>
  <c r="IY24"/>
  <c r="IU24"/>
  <c r="IT24"/>
  <c r="IZ24"/>
  <c r="JB24" s="1"/>
  <c r="HG24" s="1"/>
  <c r="Q20" i="11" s="1"/>
  <c r="BS20" s="1"/>
  <c r="IV24" i="9"/>
  <c r="IW24"/>
  <c r="IQ22"/>
  <c r="IY19"/>
  <c r="IW19"/>
  <c r="IZ19"/>
  <c r="JB19" s="1"/>
  <c r="HG19" s="1"/>
  <c r="Q15" i="11" s="1"/>
  <c r="BS15" s="1"/>
  <c r="IX19" i="9"/>
  <c r="JA19"/>
  <c r="IT19"/>
  <c r="IV19"/>
  <c r="IU19"/>
  <c r="IY26"/>
  <c r="IZ26" s="1"/>
  <c r="JB26" s="1"/>
  <c r="HG26" s="1"/>
  <c r="Q22" i="11" s="1"/>
  <c r="IU35" i="9"/>
  <c r="IT35"/>
  <c r="JA35"/>
  <c r="IX35"/>
  <c r="IY35"/>
  <c r="IZ35"/>
  <c r="JB35" s="1"/>
  <c r="HG35" s="1"/>
  <c r="Q31" i="11" s="1"/>
  <c r="BS31" s="1"/>
  <c r="IW35" i="9"/>
  <c r="IV35"/>
  <c r="AT213"/>
  <c r="I8" i="6" s="1"/>
  <c r="IQ18" i="9"/>
  <c r="CN213"/>
  <c r="I14" i="6" s="1"/>
  <c r="CX213" i="9"/>
  <c r="IR9"/>
  <c r="II9"/>
  <c r="IW17"/>
  <c r="JA17"/>
  <c r="IV17"/>
  <c r="IZ17"/>
  <c r="JB17" s="1"/>
  <c r="HG17" s="1"/>
  <c r="Q13" i="11" s="1"/>
  <c r="IU17" i="9"/>
  <c r="IY17"/>
  <c r="IT17"/>
  <c r="IX17"/>
  <c r="IV10"/>
  <c r="JA10"/>
  <c r="IU10"/>
  <c r="IZ10"/>
  <c r="JB10" s="1"/>
  <c r="HG10" s="1"/>
  <c r="Q6" i="11" s="1"/>
  <c r="IT10" i="9"/>
  <c r="IX10"/>
  <c r="IY10"/>
  <c r="IW10"/>
  <c r="IT12"/>
  <c r="JA12"/>
  <c r="IU15"/>
  <c r="IT15"/>
  <c r="IX15"/>
  <c r="JA15"/>
  <c r="IW15"/>
  <c r="IV15"/>
  <c r="JA16"/>
  <c r="IT16"/>
  <c r="IX16"/>
  <c r="IW16"/>
  <c r="IV16"/>
  <c r="IU16"/>
  <c r="JA13"/>
  <c r="IW13"/>
  <c r="IV13"/>
  <c r="IY13"/>
  <c r="IZ13" s="1"/>
  <c r="JB13" s="1"/>
  <c r="HG13" s="1"/>
  <c r="Q9" i="11" s="1"/>
  <c r="IU13" i="9"/>
  <c r="IT13"/>
  <c r="IX13"/>
  <c r="IV14"/>
  <c r="JA14"/>
  <c r="IU14"/>
  <c r="IT14"/>
  <c r="IX14"/>
  <c r="IW14"/>
  <c r="IW21"/>
  <c r="JA21"/>
  <c r="IV21"/>
  <c r="IZ21"/>
  <c r="JB21" s="1"/>
  <c r="HG21" s="1"/>
  <c r="Q17" i="11" s="1"/>
  <c r="BS17" s="1"/>
  <c r="IU21" i="9"/>
  <c r="IY21"/>
  <c r="IT21"/>
  <c r="IX21"/>
  <c r="F15" i="6"/>
  <c r="F12"/>
  <c r="EL8" i="9"/>
  <c r="IU12" l="1"/>
  <c r="IY12" s="1"/>
  <c r="IZ12" s="1"/>
  <c r="JB12" s="1"/>
  <c r="IX12"/>
  <c r="IW12"/>
  <c r="CA213"/>
  <c r="T6" i="12"/>
  <c r="BE16" i="19"/>
  <c r="BE15"/>
  <c r="T8" i="15"/>
  <c r="CP214" i="9"/>
  <c r="E15" i="6" s="1"/>
  <c r="J13" i="12"/>
  <c r="L12" i="11"/>
  <c r="HD16" i="9"/>
  <c r="J15" i="15"/>
  <c r="BF73" i="19"/>
  <c r="AQ17" i="4"/>
  <c r="Q21" s="1"/>
  <c r="BF74" i="19"/>
  <c r="BE44"/>
  <c r="R55" s="1"/>
  <c r="BE45"/>
  <c r="BE46" s="1"/>
  <c r="BN22" i="11"/>
  <c r="BQ22"/>
  <c r="BP22"/>
  <c r="BW22"/>
  <c r="BM22"/>
  <c r="BT22"/>
  <c r="BS22"/>
  <c r="BV22"/>
  <c r="BX22"/>
  <c r="BO22"/>
  <c r="BR22"/>
  <c r="BU22"/>
  <c r="BP31"/>
  <c r="BM31"/>
  <c r="BW31"/>
  <c r="BP15"/>
  <c r="BM15"/>
  <c r="BW15"/>
  <c r="BP17"/>
  <c r="BM17"/>
  <c r="BW17"/>
  <c r="BT20"/>
  <c r="BM20"/>
  <c r="BW20"/>
  <c r="BT31"/>
  <c r="BQ31"/>
  <c r="BN31"/>
  <c r="BT15"/>
  <c r="BQ15"/>
  <c r="BN15"/>
  <c r="BX17"/>
  <c r="BQ17"/>
  <c r="BN17"/>
  <c r="BX20"/>
  <c r="BQ20"/>
  <c r="BN20"/>
  <c r="BN26"/>
  <c r="BQ26"/>
  <c r="BP26"/>
  <c r="BW26"/>
  <c r="BM26"/>
  <c r="BT26"/>
  <c r="BS26"/>
  <c r="BV26"/>
  <c r="BX26"/>
  <c r="BO26"/>
  <c r="BR26"/>
  <c r="BU26"/>
  <c r="BU31"/>
  <c r="BR31"/>
  <c r="BO31"/>
  <c r="BU15"/>
  <c r="BR15"/>
  <c r="BO15"/>
  <c r="BU17"/>
  <c r="BR17"/>
  <c r="BO17"/>
  <c r="BU20"/>
  <c r="BR20"/>
  <c r="BO20"/>
  <c r="BX31"/>
  <c r="BV31"/>
  <c r="BX15"/>
  <c r="BV15"/>
  <c r="BT17"/>
  <c r="BV17"/>
  <c r="BP20"/>
  <c r="BV20"/>
  <c r="S10" i="15"/>
  <c r="BO13" i="11"/>
  <c r="BS13"/>
  <c r="BW13"/>
  <c r="BN13"/>
  <c r="BR13"/>
  <c r="BV13"/>
  <c r="BM13"/>
  <c r="BQ13"/>
  <c r="BU13"/>
  <c r="BT13"/>
  <c r="BX13"/>
  <c r="BP13"/>
  <c r="BO9"/>
  <c r="BS9"/>
  <c r="BW9"/>
  <c r="BN9"/>
  <c r="BR9"/>
  <c r="BV9"/>
  <c r="BM9"/>
  <c r="BQ9"/>
  <c r="BU9"/>
  <c r="BX9"/>
  <c r="BT9"/>
  <c r="BP9"/>
  <c r="S8" i="15"/>
  <c r="M12" i="11"/>
  <c r="I13" i="12"/>
  <c r="I15" i="15"/>
  <c r="T9" i="12"/>
  <c r="J11"/>
  <c r="L10" i="11"/>
  <c r="J13" i="15"/>
  <c r="M10" i="11"/>
  <c r="I11" i="12"/>
  <c r="I13" i="15"/>
  <c r="BS214" i="9"/>
  <c r="E12" i="6" s="1"/>
  <c r="D18"/>
  <c r="O18" s="1"/>
  <c r="D17"/>
  <c r="O17" s="1"/>
  <c r="J8" i="11"/>
  <c r="N8" s="1"/>
  <c r="H9" i="12"/>
  <c r="H11" i="15"/>
  <c r="HC12" i="9"/>
  <c r="HE12"/>
  <c r="AT11" i="15"/>
  <c r="P8" i="11" s="1"/>
  <c r="I9" i="12"/>
  <c r="M8" i="11"/>
  <c r="I11" i="15"/>
  <c r="S11"/>
  <c r="DM213" i="9"/>
  <c r="DI214" s="1"/>
  <c r="E17" i="6" s="1"/>
  <c r="T11" i="15"/>
  <c r="HB11" i="9"/>
  <c r="J7" i="11"/>
  <c r="N7" s="1"/>
  <c r="H8" i="12"/>
  <c r="H10" i="15"/>
  <c r="HE11" i="9"/>
  <c r="HC11"/>
  <c r="M6" i="11"/>
  <c r="I7" i="12"/>
  <c r="I9" i="15"/>
  <c r="J7" i="12"/>
  <c r="L6" i="11"/>
  <c r="J9" i="15"/>
  <c r="BR213" i="9"/>
  <c r="D11" i="6" s="1"/>
  <c r="O11" s="1"/>
  <c r="C11"/>
  <c r="H6" i="12"/>
  <c r="J5" i="11"/>
  <c r="N5" s="1"/>
  <c r="H8" i="15"/>
  <c r="HE9" i="9"/>
  <c r="HC9"/>
  <c r="I6" i="12"/>
  <c r="M5" i="11"/>
  <c r="I8" i="15"/>
  <c r="H14" i="6"/>
  <c r="CO213" i="9"/>
  <c r="C8" i="6"/>
  <c r="AU213" i="9"/>
  <c r="D8" i="6" s="1"/>
  <c r="HH25" i="9"/>
  <c r="HH31"/>
  <c r="HH36"/>
  <c r="HH32"/>
  <c r="HH27"/>
  <c r="IY15"/>
  <c r="IZ15" s="1"/>
  <c r="JB15" s="1"/>
  <c r="HH20"/>
  <c r="HH34"/>
  <c r="HF13"/>
  <c r="HF10"/>
  <c r="HF17"/>
  <c r="HF26"/>
  <c r="HF19"/>
  <c r="HH23"/>
  <c r="HH37"/>
  <c r="HF12"/>
  <c r="HF35"/>
  <c r="HF30"/>
  <c r="HH30" s="1"/>
  <c r="HF24"/>
  <c r="HE15"/>
  <c r="T18" i="18" s="1"/>
  <c r="HH33" i="9"/>
  <c r="HH29"/>
  <c r="HF21"/>
  <c r="HE14"/>
  <c r="T16" i="18" s="1"/>
  <c r="IY14" i="9"/>
  <c r="IZ14" s="1"/>
  <c r="JB14" s="1"/>
  <c r="HD14"/>
  <c r="AQ10" i="15"/>
  <c r="AR10"/>
  <c r="IQ11" i="9"/>
  <c r="AR8" i="15"/>
  <c r="AQ8"/>
  <c r="ES8" i="9"/>
  <c r="IV22"/>
  <c r="IX22"/>
  <c r="IY22"/>
  <c r="IT22"/>
  <c r="JA22"/>
  <c r="IW22"/>
  <c r="IU22"/>
  <c r="IZ22"/>
  <c r="JB22" s="1"/>
  <c r="HG22" s="1"/>
  <c r="Q18" i="11" s="1"/>
  <c r="IQ9" i="9"/>
  <c r="IX9" s="1"/>
  <c r="EU8"/>
  <c r="IU18"/>
  <c r="IZ18"/>
  <c r="JB18" s="1"/>
  <c r="HG18" s="1"/>
  <c r="Q14" i="11" s="1"/>
  <c r="BW14" s="1"/>
  <c r="IV18" i="9"/>
  <c r="IX18"/>
  <c r="IY18"/>
  <c r="IT18"/>
  <c r="JA18"/>
  <c r="IW18"/>
  <c r="ET8"/>
  <c r="ER8"/>
  <c r="IY16"/>
  <c r="IZ16" s="1"/>
  <c r="JB16" s="1"/>
  <c r="HG16" s="1"/>
  <c r="Q12" i="11" s="1"/>
  <c r="O15" i="6"/>
  <c r="O12"/>
  <c r="EV8" i="9"/>
  <c r="AF50" i="19" l="1"/>
  <c r="P21" i="4"/>
  <c r="HG12" i="9"/>
  <c r="Q8" i="11" s="1"/>
  <c r="BO8" s="1"/>
  <c r="HG15" i="9"/>
  <c r="Q11" i="11" s="1"/>
  <c r="P79" i="19"/>
  <c r="BS18" i="11"/>
  <c r="BV18"/>
  <c r="BX18"/>
  <c r="BO18"/>
  <c r="BR18"/>
  <c r="BU18"/>
  <c r="BN18"/>
  <c r="BQ18"/>
  <c r="BP18"/>
  <c r="BW18"/>
  <c r="BM18"/>
  <c r="BT18"/>
  <c r="BP14"/>
  <c r="BQ14"/>
  <c r="BN14"/>
  <c r="BU14"/>
  <c r="BR14"/>
  <c r="BO14"/>
  <c r="BX14"/>
  <c r="BV14"/>
  <c r="BS14"/>
  <c r="BT14"/>
  <c r="BM14"/>
  <c r="AF21" i="19"/>
  <c r="BO6" i="11"/>
  <c r="BS6"/>
  <c r="BW6"/>
  <c r="BN6"/>
  <c r="BR6"/>
  <c r="BV6"/>
  <c r="BM6"/>
  <c r="BQ6"/>
  <c r="BU6"/>
  <c r="BX6"/>
  <c r="BP6"/>
  <c r="BT6"/>
  <c r="BS8"/>
  <c r="BV8"/>
  <c r="BT8"/>
  <c r="BO12"/>
  <c r="BS12"/>
  <c r="BW12"/>
  <c r="BN12"/>
  <c r="BR12"/>
  <c r="BV12"/>
  <c r="BM12"/>
  <c r="BQ12"/>
  <c r="BU12"/>
  <c r="BP12"/>
  <c r="BT12"/>
  <c r="BX12"/>
  <c r="BE17" i="19"/>
  <c r="R26"/>
  <c r="AU14" i="15"/>
  <c r="J9" i="12"/>
  <c r="L8" i="11"/>
  <c r="J11" i="15"/>
  <c r="I8" i="12"/>
  <c r="M7" i="11"/>
  <c r="I10" i="15"/>
  <c r="L7" i="11"/>
  <c r="J8" i="12"/>
  <c r="J10" i="15"/>
  <c r="BN214" i="9"/>
  <c r="E11" i="6" s="1"/>
  <c r="J6" i="12"/>
  <c r="L5" i="11"/>
  <c r="J8" i="15"/>
  <c r="AQ214" i="9"/>
  <c r="E8" i="6" s="1"/>
  <c r="D14"/>
  <c r="O14" s="1"/>
  <c r="CK214" i="9"/>
  <c r="E14" i="6" s="1"/>
  <c r="HG14" i="9"/>
  <c r="HH35"/>
  <c r="HH26"/>
  <c r="HH10"/>
  <c r="HH21"/>
  <c r="HH19"/>
  <c r="HF16"/>
  <c r="HF22"/>
  <c r="HH24"/>
  <c r="HH17"/>
  <c r="HH13"/>
  <c r="HF14"/>
  <c r="HF18"/>
  <c r="HF15"/>
  <c r="AT14" i="15" s="1"/>
  <c r="P11" i="11" s="1"/>
  <c r="EX8" i="9"/>
  <c r="IV9"/>
  <c r="IU11"/>
  <c r="IY11" s="1"/>
  <c r="IZ11" s="1"/>
  <c r="JB11" s="1"/>
  <c r="HG11" s="1"/>
  <c r="Q7" i="11" s="1"/>
  <c r="IT11" i="9"/>
  <c r="IW11"/>
  <c r="IX11"/>
  <c r="IV11"/>
  <c r="JA11"/>
  <c r="IU9"/>
  <c r="JA9"/>
  <c r="IT9"/>
  <c r="IW9"/>
  <c r="O8" i="6"/>
  <c r="BP8" i="11" l="1"/>
  <c r="BM8"/>
  <c r="BW8"/>
  <c r="BX8"/>
  <c r="BQ8"/>
  <c r="BN8"/>
  <c r="HH12" i="9"/>
  <c r="BU8" i="11"/>
  <c r="BR8"/>
  <c r="P21" i="18"/>
  <c r="BW11" i="11"/>
  <c r="BM11"/>
  <c r="BX11"/>
  <c r="BS11"/>
  <c r="BV11"/>
  <c r="BP11"/>
  <c r="BO11"/>
  <c r="BR11"/>
  <c r="BU11"/>
  <c r="BN11"/>
  <c r="BQ11"/>
  <c r="BT11"/>
  <c r="BO7"/>
  <c r="BS7"/>
  <c r="BW7"/>
  <c r="BN7"/>
  <c r="BR7"/>
  <c r="BV7"/>
  <c r="BM7"/>
  <c r="BQ7"/>
  <c r="BU7"/>
  <c r="BP7"/>
  <c r="BT7"/>
  <c r="BX7"/>
  <c r="AU13" i="15"/>
  <c r="Q10" i="11"/>
  <c r="AT13" i="15"/>
  <c r="P10" i="11" s="1"/>
  <c r="HH16" i="9"/>
  <c r="HH15"/>
  <c r="HH14"/>
  <c r="HH18"/>
  <c r="HH22"/>
  <c r="HF11"/>
  <c r="EK8"/>
  <c r="FP8"/>
  <c r="P16" i="19" s="1"/>
  <c r="FJ8" i="9"/>
  <c r="FF8"/>
  <c r="P23" i="19" s="1"/>
  <c r="IY9" i="9"/>
  <c r="IZ9" s="1"/>
  <c r="JB9" s="1"/>
  <c r="HG9" s="1"/>
  <c r="Q5" i="11" s="1"/>
  <c r="GD8" i="9"/>
  <c r="P18" i="19" s="1"/>
  <c r="GK8" i="9"/>
  <c r="P20" i="19" s="1"/>
  <c r="FM8" i="9"/>
  <c r="P15" i="19" s="1"/>
  <c r="FW8" i="9"/>
  <c r="P17" i="19" s="1"/>
  <c r="FQ8" i="9"/>
  <c r="P14" i="19" l="1"/>
  <c r="FL8" i="9"/>
  <c r="GR8"/>
  <c r="DS213" s="1"/>
  <c r="G23" i="19"/>
  <c r="BO5" i="11"/>
  <c r="BR5"/>
  <c r="BU5"/>
  <c r="BN5"/>
  <c r="BQ5"/>
  <c r="BP5"/>
  <c r="BW5"/>
  <c r="BM5"/>
  <c r="BT5"/>
  <c r="BS5"/>
  <c r="BV5"/>
  <c r="BX5"/>
  <c r="AP16" i="18"/>
  <c r="BP10" i="11"/>
  <c r="BT10"/>
  <c r="BX10"/>
  <c r="BO10"/>
  <c r="BS10"/>
  <c r="BW10"/>
  <c r="BM10"/>
  <c r="BU10"/>
  <c r="BN10"/>
  <c r="BR10"/>
  <c r="BV10"/>
  <c r="BQ10"/>
  <c r="Q5" i="12"/>
  <c r="P5"/>
  <c r="P210" s="1"/>
  <c r="P7" i="15"/>
  <c r="R5" i="12"/>
  <c r="EZ213" i="9"/>
  <c r="G20" i="6" s="1"/>
  <c r="FA213" i="9"/>
  <c r="H20" i="6" s="1"/>
  <c r="FB213" i="9"/>
  <c r="I20" i="6" s="1"/>
  <c r="FC213" i="9"/>
  <c r="EY211"/>
  <c r="L5" i="12"/>
  <c r="Z213" i="9"/>
  <c r="G6" i="6" s="1"/>
  <c r="AB213" i="9"/>
  <c r="H6" i="6" s="1"/>
  <c r="X213" i="9"/>
  <c r="L7" i="15"/>
  <c r="L209" s="1"/>
  <c r="M5" i="12"/>
  <c r="M7" i="15"/>
  <c r="M209" s="1"/>
  <c r="GS8" i="9"/>
  <c r="R7" i="15" s="1"/>
  <c r="O5" i="12"/>
  <c r="O7" i="15"/>
  <c r="O209" s="1"/>
  <c r="K5" i="12"/>
  <c r="K207" s="1"/>
  <c r="K7" i="15"/>
  <c r="N213" i="9"/>
  <c r="H5" i="6" s="1"/>
  <c r="J213" i="9"/>
  <c r="J215"/>
  <c r="J5" i="6" s="1"/>
  <c r="L213" i="9"/>
  <c r="N5" i="12"/>
  <c r="N7" i="15"/>
  <c r="N209" s="1"/>
  <c r="AL213" i="9"/>
  <c r="F7" i="6" s="1"/>
  <c r="AN213" i="9"/>
  <c r="H7" i="6" s="1"/>
  <c r="AO213" i="9"/>
  <c r="I7" i="6" s="1"/>
  <c r="HH11" i="9"/>
  <c r="HF9"/>
  <c r="J216"/>
  <c r="K5" i="6" s="1"/>
  <c r="GB8" i="9"/>
  <c r="L216" i="15"/>
  <c r="GQ8" i="9"/>
  <c r="GP8"/>
  <c r="GL8"/>
  <c r="DE213" s="1"/>
  <c r="G16" i="6" s="1"/>
  <c r="DT213" i="9"/>
  <c r="G19" i="6" s="1"/>
  <c r="GJ8" i="9"/>
  <c r="EW8"/>
  <c r="GY8" s="1"/>
  <c r="EY213"/>
  <c r="EY215"/>
  <c r="J20" i="6" s="1"/>
  <c r="EY216" i="9"/>
  <c r="K20" i="6" s="1"/>
  <c r="EY218" i="9"/>
  <c r="L20" i="6" s="1"/>
  <c r="EY219" i="9"/>
  <c r="M20" i="6" s="1"/>
  <c r="EY217" i="9"/>
  <c r="FK8"/>
  <c r="FO8"/>
  <c r="O213" i="12"/>
  <c r="GE8" i="9"/>
  <c r="L213" i="12"/>
  <c r="GI8" i="9"/>
  <c r="N215" i="12"/>
  <c r="M214"/>
  <c r="X211" i="9"/>
  <c r="X217"/>
  <c r="X218"/>
  <c r="L6" i="6" s="1"/>
  <c r="FN8" i="9"/>
  <c r="FV8"/>
  <c r="X219"/>
  <c r="M6" i="6" s="1"/>
  <c r="X215" i="9"/>
  <c r="J6" i="6" s="1"/>
  <c r="FU8" i="9"/>
  <c r="N216" i="15"/>
  <c r="GC8" i="9"/>
  <c r="FX8"/>
  <c r="GV8" s="1"/>
  <c r="AL215"/>
  <c r="AL218"/>
  <c r="AL217"/>
  <c r="X216"/>
  <c r="K6" i="6" s="1"/>
  <c r="N218" i="15"/>
  <c r="AL219" i="9"/>
  <c r="AM213"/>
  <c r="G7" i="6" s="1"/>
  <c r="L209" i="12"/>
  <c r="L216"/>
  <c r="L215"/>
  <c r="J218" i="9"/>
  <c r="L5" i="6" s="1"/>
  <c r="F5"/>
  <c r="J217" i="9"/>
  <c r="J219"/>
  <c r="M5" i="6" s="1"/>
  <c r="J211" i="9"/>
  <c r="G5" i="6"/>
  <c r="K210" i="15"/>
  <c r="K217"/>
  <c r="K216"/>
  <c r="K211"/>
  <c r="K215"/>
  <c r="O212"/>
  <c r="O210"/>
  <c r="O217"/>
  <c r="O216"/>
  <c r="O218"/>
  <c r="O211"/>
  <c r="O215"/>
  <c r="L212"/>
  <c r="L210"/>
  <c r="L211"/>
  <c r="L218"/>
  <c r="AL211" i="9"/>
  <c r="AL216"/>
  <c r="M211" i="15"/>
  <c r="M212"/>
  <c r="DS219" i="9"/>
  <c r="M19" i="6" s="1"/>
  <c r="CF219" i="9"/>
  <c r="CF217"/>
  <c r="J7" i="6"/>
  <c r="GU8" i="9" l="1"/>
  <c r="BI211"/>
  <c r="AD213"/>
  <c r="D6" i="6" s="1"/>
  <c r="M218" i="15"/>
  <c r="EE213" i="9"/>
  <c r="EC213"/>
  <c r="DS215"/>
  <c r="BF15" i="19"/>
  <c r="BF16"/>
  <c r="Q7" i="15"/>
  <c r="AQ7" s="1"/>
  <c r="FD213" i="9"/>
  <c r="D20" i="6" s="1"/>
  <c r="P212" i="15"/>
  <c r="P218"/>
  <c r="P211"/>
  <c r="P217"/>
  <c r="P210"/>
  <c r="P216"/>
  <c r="IQ217" i="9" s="1"/>
  <c r="P209" i="15"/>
  <c r="P215"/>
  <c r="DD215" i="9"/>
  <c r="J16" i="6" s="1"/>
  <c r="P209" i="12"/>
  <c r="DD217" i="9"/>
  <c r="P216" i="12"/>
  <c r="DD218" i="9"/>
  <c r="L16" i="6" s="1"/>
  <c r="DD219" i="9"/>
  <c r="M16" i="6" s="1"/>
  <c r="DD216" i="9"/>
  <c r="K16" i="6" s="1"/>
  <c r="AP17" i="18"/>
  <c r="Q21" s="1"/>
  <c r="AB26" i="19"/>
  <c r="L26"/>
  <c r="C5" i="6"/>
  <c r="N212" i="15"/>
  <c r="AR7"/>
  <c r="K209"/>
  <c r="T7"/>
  <c r="AT7"/>
  <c r="R216"/>
  <c r="R218"/>
  <c r="R211"/>
  <c r="R209"/>
  <c r="R217"/>
  <c r="R215"/>
  <c r="R212"/>
  <c r="R210"/>
  <c r="C7" i="6"/>
  <c r="AP213" i="9"/>
  <c r="D7" i="6" s="1"/>
  <c r="BK213" i="9"/>
  <c r="H10" i="6" s="1"/>
  <c r="BL213" i="9"/>
  <c r="I10" i="6" s="1"/>
  <c r="BI213" i="9"/>
  <c r="BJ213"/>
  <c r="G10" i="6" s="1"/>
  <c r="CF213" i="9"/>
  <c r="F13" i="6" s="1"/>
  <c r="CG213" i="9"/>
  <c r="G13" i="6" s="1"/>
  <c r="CH213" i="9"/>
  <c r="H13" i="6" s="1"/>
  <c r="CI213" i="9"/>
  <c r="I13" i="6" s="1"/>
  <c r="CF211" i="9"/>
  <c r="DD213"/>
  <c r="F16" i="6" s="1"/>
  <c r="DG213" i="9"/>
  <c r="I16" i="6" s="1"/>
  <c r="DF213" i="9"/>
  <c r="H16" i="6" s="1"/>
  <c r="DD211" i="9"/>
  <c r="K218" i="15"/>
  <c r="K212"/>
  <c r="N210"/>
  <c r="F6" i="6"/>
  <c r="GW8" i="9"/>
  <c r="T5" i="12" s="1"/>
  <c r="GT8" i="9"/>
  <c r="C6" i="6"/>
  <c r="X214" i="9"/>
  <c r="N211" i="15"/>
  <c r="N217"/>
  <c r="N215"/>
  <c r="GX8" i="9"/>
  <c r="P213"/>
  <c r="D5" i="6" s="1"/>
  <c r="L207" i="12"/>
  <c r="M215" i="15"/>
  <c r="M216"/>
  <c r="K213" i="12"/>
  <c r="M217" i="15"/>
  <c r="L208" i="12"/>
  <c r="L214"/>
  <c r="K209"/>
  <c r="M210" i="15"/>
  <c r="L210" i="12"/>
  <c r="HH9" i="9"/>
  <c r="P207" i="12"/>
  <c r="P215"/>
  <c r="P214"/>
  <c r="P208"/>
  <c r="P213"/>
  <c r="Q216" i="15"/>
  <c r="K210" i="12"/>
  <c r="K215"/>
  <c r="CF218" i="9"/>
  <c r="L13" i="6" s="1"/>
  <c r="CF215" i="9"/>
  <c r="J13" i="6" s="1"/>
  <c r="K216" i="12"/>
  <c r="K208"/>
  <c r="CF216" i="9"/>
  <c r="K13" i="6" s="1"/>
  <c r="K214" i="12"/>
  <c r="N216"/>
  <c r="BI215" i="9"/>
  <c r="L215" i="15"/>
  <c r="L217"/>
  <c r="O216" i="12"/>
  <c r="BI218" i="9"/>
  <c r="L10" i="6" s="1"/>
  <c r="O209" i="12"/>
  <c r="IR8" i="9"/>
  <c r="Q211" i="15"/>
  <c r="Q212"/>
  <c r="O207" i="12"/>
  <c r="O215"/>
  <c r="N214"/>
  <c r="J19" i="6"/>
  <c r="DS217" i="9"/>
  <c r="Q218" i="15"/>
  <c r="Q210"/>
  <c r="BI216" i="9"/>
  <c r="K10" i="6" s="1"/>
  <c r="O210" i="12"/>
  <c r="O214"/>
  <c r="N209"/>
  <c r="BI217" i="9"/>
  <c r="BI219"/>
  <c r="M10" i="6" s="1"/>
  <c r="DS218" i="9"/>
  <c r="L19" i="6" s="1"/>
  <c r="Q217" i="15"/>
  <c r="O208" i="12"/>
  <c r="F19" i="6"/>
  <c r="N208" i="12"/>
  <c r="IQ8" i="9"/>
  <c r="JA8" s="1"/>
  <c r="DS216"/>
  <c r="K19" i="6" s="1"/>
  <c r="DS211" i="9"/>
  <c r="M207" i="12"/>
  <c r="ED213" i="9"/>
  <c r="EF213" s="1"/>
  <c r="D19" i="6" s="1"/>
  <c r="M215" i="12"/>
  <c r="M216"/>
  <c r="M209"/>
  <c r="M208"/>
  <c r="M213"/>
  <c r="M210"/>
  <c r="O20" i="6"/>
  <c r="F20"/>
  <c r="C20"/>
  <c r="R207" i="12"/>
  <c r="R210"/>
  <c r="R215"/>
  <c r="R213"/>
  <c r="R208"/>
  <c r="R209"/>
  <c r="R214"/>
  <c r="R216"/>
  <c r="N213"/>
  <c r="N210"/>
  <c r="N207"/>
  <c r="N213" i="15"/>
  <c r="N208" s="1"/>
  <c r="N214" s="1"/>
  <c r="M213"/>
  <c r="L213"/>
  <c r="IQ212" i="9"/>
  <c r="K213" i="15"/>
  <c r="K208" s="1"/>
  <c r="O213"/>
  <c r="O208" s="1"/>
  <c r="O214" s="1"/>
  <c r="F10" i="6"/>
  <c r="M13"/>
  <c r="L7"/>
  <c r="O6"/>
  <c r="M7"/>
  <c r="K7"/>
  <c r="IQ219" i="9" l="1"/>
  <c r="IY219" s="1"/>
  <c r="BF17" i="19"/>
  <c r="B26"/>
  <c r="Q209" i="15"/>
  <c r="IQ210" i="9" s="1"/>
  <c r="JA210" s="1"/>
  <c r="Q215" i="15"/>
  <c r="P213"/>
  <c r="P208" s="1"/>
  <c r="P214" s="1"/>
  <c r="IQ213" i="9"/>
  <c r="M208" i="15"/>
  <c r="M214" s="1"/>
  <c r="P211" i="12"/>
  <c r="P206" s="1"/>
  <c r="P212" s="1"/>
  <c r="F26" i="19"/>
  <c r="V26"/>
  <c r="AL214" i="9"/>
  <c r="L211" i="12"/>
  <c r="L206" s="1"/>
  <c r="L212" s="1"/>
  <c r="E6" i="6"/>
  <c r="R213" i="15"/>
  <c r="R208" s="1"/>
  <c r="R214" s="1"/>
  <c r="S7"/>
  <c r="C19" i="6"/>
  <c r="DS214" i="9"/>
  <c r="E19" i="6" s="1"/>
  <c r="HB217" i="9"/>
  <c r="H5" i="12"/>
  <c r="HB209" i="9"/>
  <c r="HB215"/>
  <c r="HI215" s="1"/>
  <c r="HE8"/>
  <c r="HC8"/>
  <c r="HB8"/>
  <c r="J214"/>
  <c r="C16" i="6"/>
  <c r="DH213" i="9"/>
  <c r="D16" i="6" s="1"/>
  <c r="O16" s="1"/>
  <c r="CJ213" i="9"/>
  <c r="D13" i="6" s="1"/>
  <c r="O13" s="1"/>
  <c r="BM213" i="9"/>
  <c r="D10" i="6" s="1"/>
  <c r="K211" i="12"/>
  <c r="K206" s="1"/>
  <c r="K212" s="1"/>
  <c r="L208" i="15"/>
  <c r="L214" s="1"/>
  <c r="IQ216" i="9"/>
  <c r="IZ216" s="1"/>
  <c r="JB216" s="1"/>
  <c r="IQ211"/>
  <c r="JA211" s="1"/>
  <c r="HB214"/>
  <c r="M211" i="12"/>
  <c r="M206" s="1"/>
  <c r="M212" s="1"/>
  <c r="J4" i="11"/>
  <c r="F212" s="1"/>
  <c r="O19" i="6"/>
  <c r="H7" i="15"/>
  <c r="C13" i="6"/>
  <c r="IQ218" i="9"/>
  <c r="JA218" s="1"/>
  <c r="N211" i="12"/>
  <c r="N206" s="1"/>
  <c r="N212" s="1"/>
  <c r="O211"/>
  <c r="O206" s="1"/>
  <c r="O212" s="1"/>
  <c r="C10" i="6"/>
  <c r="IW8" i="9"/>
  <c r="IU8"/>
  <c r="IX8"/>
  <c r="Q213" i="15"/>
  <c r="Q208" s="1"/>
  <c r="Q214" s="1"/>
  <c r="IT8" i="9"/>
  <c r="J10" i="6"/>
  <c r="IV8" i="9"/>
  <c r="Q207" i="12"/>
  <c r="Q215"/>
  <c r="Q209"/>
  <c r="Q214"/>
  <c r="Q210"/>
  <c r="Q213"/>
  <c r="Q208"/>
  <c r="Q216"/>
  <c r="O4" i="11"/>
  <c r="G210" s="1"/>
  <c r="F216" i="15"/>
  <c r="G216" s="1"/>
  <c r="P4" i="11"/>
  <c r="F215" i="15"/>
  <c r="F213"/>
  <c r="AU7"/>
  <c r="F210" s="1"/>
  <c r="EY214" i="9"/>
  <c r="E20" i="6" s="1"/>
  <c r="R211" i="12"/>
  <c r="R206" s="1"/>
  <c r="R212" s="1"/>
  <c r="E7" i="6"/>
  <c r="O7"/>
  <c r="E5"/>
  <c r="O5"/>
  <c r="IQ214" i="9"/>
  <c r="IY218"/>
  <c r="JA213"/>
  <c r="IZ213"/>
  <c r="JB213" s="1"/>
  <c r="IY213"/>
  <c r="IW213"/>
  <c r="IV213"/>
  <c r="IU213"/>
  <c r="IT213"/>
  <c r="IX213"/>
  <c r="JA217"/>
  <c r="IZ217"/>
  <c r="JB217" s="1"/>
  <c r="IY217"/>
  <c r="IW217"/>
  <c r="IV217"/>
  <c r="IU217"/>
  <c r="IT217"/>
  <c r="IX217"/>
  <c r="JA212"/>
  <c r="IZ212"/>
  <c r="JB212" s="1"/>
  <c r="IY212"/>
  <c r="IT212"/>
  <c r="IX212"/>
  <c r="IW212"/>
  <c r="IV212"/>
  <c r="IU212"/>
  <c r="IT211" l="1"/>
  <c r="IY211"/>
  <c r="JA219"/>
  <c r="IW219"/>
  <c r="IX211"/>
  <c r="IV219"/>
  <c r="IU219"/>
  <c r="IV211"/>
  <c r="IZ211"/>
  <c r="JB211" s="1"/>
  <c r="IT219"/>
  <c r="IZ219"/>
  <c r="JB219" s="1"/>
  <c r="IX219"/>
  <c r="HD13"/>
  <c r="HD15"/>
  <c r="S24" i="18" s="1"/>
  <c r="IV216" i="9"/>
  <c r="JA216"/>
  <c r="IU211"/>
  <c r="IT216"/>
  <c r="IX216"/>
  <c r="IU216"/>
  <c r="IY216"/>
  <c r="IW216"/>
  <c r="IV218"/>
  <c r="IU218"/>
  <c r="IX218"/>
  <c r="IW218"/>
  <c r="IZ218"/>
  <c r="JB218" s="1"/>
  <c r="P21" i="19"/>
  <c r="HD9" i="9"/>
  <c r="AF24" i="19" s="1"/>
  <c r="IT218" i="9"/>
  <c r="IY8"/>
  <c r="IZ8" s="1"/>
  <c r="JB8" s="1"/>
  <c r="HG8" s="1"/>
  <c r="HH211" s="1"/>
  <c r="DD214"/>
  <c r="E16" i="6" s="1"/>
  <c r="IW211" i="9"/>
  <c r="CF214"/>
  <c r="E13" i="6" s="1"/>
  <c r="J5" i="12"/>
  <c r="J7" i="15"/>
  <c r="HD12" i="9"/>
  <c r="HD17"/>
  <c r="HD10"/>
  <c r="P53" i="19" s="1"/>
  <c r="HD11" i="9"/>
  <c r="HD8"/>
  <c r="HD18"/>
  <c r="F211" i="12"/>
  <c r="F212" s="1"/>
  <c r="F213"/>
  <c r="F214"/>
  <c r="BI214" i="9"/>
  <c r="E10" i="6" s="1"/>
  <c r="I5" i="12"/>
  <c r="HB210" i="9"/>
  <c r="E213" i="15"/>
  <c r="E214" s="1"/>
  <c r="F209"/>
  <c r="F214" s="1"/>
  <c r="IX210" i="9"/>
  <c r="IZ210"/>
  <c r="JB210" s="1"/>
  <c r="IW210"/>
  <c r="IU210"/>
  <c r="IY210"/>
  <c r="IV210"/>
  <c r="IT210"/>
  <c r="E215" i="15"/>
  <c r="G215" s="1"/>
  <c r="O10" i="6"/>
  <c r="E216" i="15"/>
  <c r="G206" i="11"/>
  <c r="G211" s="1"/>
  <c r="F210"/>
  <c r="F211" s="1"/>
  <c r="N4"/>
  <c r="M4"/>
  <c r="HB212" i="9"/>
  <c r="I7" i="15"/>
  <c r="HB211" i="9"/>
  <c r="L4" i="11"/>
  <c r="Q211" i="12"/>
  <c r="Q206" s="1"/>
  <c r="Q212" s="1"/>
  <c r="K214" i="15"/>
  <c r="IQ215" i="9" s="1"/>
  <c r="IQ209"/>
  <c r="IY214"/>
  <c r="JA214"/>
  <c r="IZ214"/>
  <c r="JB214" s="1"/>
  <c r="IV214"/>
  <c r="IU214"/>
  <c r="IT214"/>
  <c r="IX214"/>
  <c r="IW214"/>
  <c r="G212" i="11"/>
  <c r="H212" s="1"/>
  <c r="P82" i="19" l="1"/>
  <c r="S24" i="4"/>
  <c r="AF53" i="19"/>
  <c r="HF8" i="9"/>
  <c r="HH8" s="1"/>
  <c r="HH212"/>
  <c r="HI212" s="1"/>
  <c r="P24" i="19"/>
  <c r="F208" i="12"/>
  <c r="F209"/>
  <c r="G213" i="15"/>
  <c r="G214" s="1"/>
  <c r="HB213" i="9"/>
  <c r="Q4" i="11"/>
  <c r="BW4" s="1"/>
  <c r="HI211" i="9"/>
  <c r="H210" i="11"/>
  <c r="H211" s="1"/>
  <c r="HH210" i="9"/>
  <c r="E210" i="15"/>
  <c r="E211"/>
  <c r="E212"/>
  <c r="F210" i="12"/>
  <c r="F207" i="11"/>
  <c r="F209"/>
  <c r="F208"/>
  <c r="BO4"/>
  <c r="F211" i="15"/>
  <c r="F212"/>
  <c r="JA209" i="9"/>
  <c r="IZ209"/>
  <c r="JB209" s="1"/>
  <c r="IY209"/>
  <c r="IW209"/>
  <c r="IV209"/>
  <c r="IU209"/>
  <c r="IT209"/>
  <c r="IX209"/>
  <c r="IZ215"/>
  <c r="JB215" s="1"/>
  <c r="IY215"/>
  <c r="JA215"/>
  <c r="IU215"/>
  <c r="IT215"/>
  <c r="IX215"/>
  <c r="IW215"/>
  <c r="IV215"/>
  <c r="BP4" i="11" l="1"/>
  <c r="BP208" s="1"/>
  <c r="F33" i="6" s="1"/>
  <c r="BN4" i="11"/>
  <c r="G212" i="15"/>
  <c r="BV4" i="11"/>
  <c r="BV207" s="1"/>
  <c r="BQ4"/>
  <c r="BQ207" s="1"/>
  <c r="BT4"/>
  <c r="BS4"/>
  <c r="BS216" s="1"/>
  <c r="I41" i="6" s="1"/>
  <c r="BR4" i="11"/>
  <c r="BR212" s="1"/>
  <c r="H37" i="6" s="1"/>
  <c r="BM4" i="11"/>
  <c r="BM208" s="1"/>
  <c r="C33" i="6" s="1"/>
  <c r="BU4" i="11"/>
  <c r="BX4"/>
  <c r="BX216" s="1"/>
  <c r="N41" i="6" s="1"/>
  <c r="G211" i="15"/>
  <c r="BQ212" i="11"/>
  <c r="G37" i="6" s="1"/>
  <c r="BT208" i="11"/>
  <c r="J33" i="6" s="1"/>
  <c r="BT212" i="11"/>
  <c r="J37" i="6" s="1"/>
  <c r="BT216" i="11"/>
  <c r="J41" i="6" s="1"/>
  <c r="BT209" i="11"/>
  <c r="J34" i="6" s="1"/>
  <c r="BT207" i="11"/>
  <c r="BT213"/>
  <c r="J38" i="6" s="1"/>
  <c r="BT211" i="11"/>
  <c r="J36" i="6" s="1"/>
  <c r="BS212" i="11"/>
  <c r="I37" i="6" s="1"/>
  <c r="BS211" i="11"/>
  <c r="I36" i="6" s="1"/>
  <c r="BR209" i="11"/>
  <c r="H34" i="6" s="1"/>
  <c r="BR211" i="11"/>
  <c r="H36" i="6" s="1"/>
  <c r="BR208" i="11"/>
  <c r="H33" i="6" s="1"/>
  <c r="BR213" i="11"/>
  <c r="H38" i="6" s="1"/>
  <c r="BR216" i="11"/>
  <c r="H41" i="6" s="1"/>
  <c r="BR207" i="11"/>
  <c r="BO213"/>
  <c r="E38" i="6" s="1"/>
  <c r="BO212" i="11"/>
  <c r="E37" i="6" s="1"/>
  <c r="BO209" i="11"/>
  <c r="E34" i="6" s="1"/>
  <c r="BO207" i="11"/>
  <c r="BO216"/>
  <c r="E41" i="6" s="1"/>
  <c r="BO211" i="11"/>
  <c r="E36" i="6" s="1"/>
  <c r="BO208" i="11"/>
  <c r="E33" i="6" s="1"/>
  <c r="BN212" i="11"/>
  <c r="D37" i="6" s="1"/>
  <c r="BN208" i="11"/>
  <c r="D33" i="6" s="1"/>
  <c r="BN213" i="11"/>
  <c r="D38" i="6" s="1"/>
  <c r="BN209" i="11"/>
  <c r="D34" i="6" s="1"/>
  <c r="BN216" i="11"/>
  <c r="D41" i="6" s="1"/>
  <c r="BN211" i="11"/>
  <c r="D36" i="6" s="1"/>
  <c r="BN207" i="11"/>
  <c r="BU209"/>
  <c r="K34" i="6" s="1"/>
  <c r="BU207" i="11"/>
  <c r="BU211"/>
  <c r="K36" i="6" s="1"/>
  <c r="BU213" i="11"/>
  <c r="K38" i="6" s="1"/>
  <c r="BU212" i="11"/>
  <c r="K37" i="6" s="1"/>
  <c r="BU208" i="11"/>
  <c r="K33" i="6" s="1"/>
  <c r="BU216" i="11"/>
  <c r="K41" i="6" s="1"/>
  <c r="BX209" i="11"/>
  <c r="N34" i="6" s="1"/>
  <c r="BX207" i="11"/>
  <c r="BX211"/>
  <c r="N36" i="6" s="1"/>
  <c r="BW207" i="11"/>
  <c r="BW208"/>
  <c r="M33" i="6" s="1"/>
  <c r="BW216" i="11"/>
  <c r="M41" i="6" s="1"/>
  <c r="BW213" i="11"/>
  <c r="M38" i="6" s="1"/>
  <c r="BW212" i="11"/>
  <c r="M37" i="6" s="1"/>
  <c r="BW211" i="11"/>
  <c r="M36" i="6" s="1"/>
  <c r="BW209" i="11"/>
  <c r="M34" i="6" s="1"/>
  <c r="HB219" i="9"/>
  <c r="HI219" s="1"/>
  <c r="HB216"/>
  <c r="HH209"/>
  <c r="HH214"/>
  <c r="HI214" s="1"/>
  <c r="HI210"/>
  <c r="HH213"/>
  <c r="HI213" s="1"/>
  <c r="HI216" s="1"/>
  <c r="G210" i="15"/>
  <c r="HH218" i="9"/>
  <c r="HH217"/>
  <c r="HI217" s="1"/>
  <c r="HH215"/>
  <c r="BM213" i="11" l="1"/>
  <c r="C38" i="6" s="1"/>
  <c r="BM212" i="11"/>
  <c r="C37" i="6" s="1"/>
  <c r="BP213" i="11"/>
  <c r="F38" i="6" s="1"/>
  <c r="BP216" i="11"/>
  <c r="F41" i="6" s="1"/>
  <c r="BP211" i="11"/>
  <c r="F36" i="6" s="1"/>
  <c r="BM207" i="11"/>
  <c r="BQ211"/>
  <c r="G36" i="6" s="1"/>
  <c r="BP212" i="11"/>
  <c r="F37" i="6" s="1"/>
  <c r="BP207" i="11"/>
  <c r="F32" i="6" s="1"/>
  <c r="BM211" i="11"/>
  <c r="C36" i="6" s="1"/>
  <c r="BQ208" i="11"/>
  <c r="G33" i="6" s="1"/>
  <c r="BP209" i="11"/>
  <c r="F34" i="6" s="1"/>
  <c r="BM209" i="11"/>
  <c r="C34" i="6" s="1"/>
  <c r="BQ216" i="11"/>
  <c r="G41" i="6" s="1"/>
  <c r="BQ209" i="11"/>
  <c r="G34" i="6" s="1"/>
  <c r="BQ213" i="11"/>
  <c r="G38" i="6" s="1"/>
  <c r="BV209" i="11"/>
  <c r="L34" i="6" s="1"/>
  <c r="BV212" i="11"/>
  <c r="L37" i="6" s="1"/>
  <c r="BV211" i="11"/>
  <c r="L36" i="6" s="1"/>
  <c r="BV216" i="11"/>
  <c r="L41" i="6" s="1"/>
  <c r="BV213" i="11"/>
  <c r="L38" i="6" s="1"/>
  <c r="BV208" i="11"/>
  <c r="L33" i="6" s="1"/>
  <c r="BX208" i="11"/>
  <c r="N33" i="6" s="1"/>
  <c r="BX212" i="11"/>
  <c r="N37" i="6" s="1"/>
  <c r="BS208" i="11"/>
  <c r="I33" i="6" s="1"/>
  <c r="BS207" i="11"/>
  <c r="I32" i="6" s="1"/>
  <c r="BS209" i="11"/>
  <c r="I34" i="6" s="1"/>
  <c r="BX213" i="11"/>
  <c r="N38" i="6" s="1"/>
  <c r="BS213" i="11"/>
  <c r="I38" i="6" s="1"/>
  <c r="M32"/>
  <c r="BW210" i="11"/>
  <c r="N32" i="6"/>
  <c r="G32"/>
  <c r="L32"/>
  <c r="BN210" i="11"/>
  <c r="D32" i="6"/>
  <c r="BM210" i="11"/>
  <c r="C35" i="6" s="1"/>
  <c r="H32"/>
  <c r="BR210" i="11"/>
  <c r="BT210"/>
  <c r="J32" i="6"/>
  <c r="BU210" i="11"/>
  <c r="K32" i="6"/>
  <c r="E32"/>
  <c r="BO210" i="11"/>
  <c r="HH219" i="9"/>
  <c r="HH216"/>
  <c r="BP210" i="11" l="1"/>
  <c r="BP214" s="1"/>
  <c r="BV210"/>
  <c r="BV214" s="1"/>
  <c r="BX210"/>
  <c r="N35" i="6" s="1"/>
  <c r="BQ210" i="11"/>
  <c r="BQ214" s="1"/>
  <c r="BS210"/>
  <c r="BS214" s="1"/>
  <c r="D35" i="6"/>
  <c r="BN214" i="11"/>
  <c r="BU214"/>
  <c r="K35" i="6"/>
  <c r="BW214" i="11"/>
  <c r="M35" i="6"/>
  <c r="BO214" i="11"/>
  <c r="E35" i="6"/>
  <c r="H35"/>
  <c r="BR214" i="11"/>
  <c r="J35" i="6"/>
  <c r="BT214" i="11"/>
  <c r="G209"/>
  <c r="H209" s="1"/>
  <c r="G207"/>
  <c r="H207" s="1"/>
  <c r="G208"/>
  <c r="H208" s="1"/>
  <c r="F35" i="6" l="1"/>
  <c r="G35"/>
  <c r="L35"/>
  <c r="BX214" i="11"/>
  <c r="BX215" s="1"/>
  <c r="N40" i="6" s="1"/>
  <c r="I35"/>
  <c r="E39"/>
  <c r="BO215" i="11"/>
  <c r="E40" i="6" s="1"/>
  <c r="K39"/>
  <c r="BU215" i="11"/>
  <c r="K40" i="6" s="1"/>
  <c r="H39"/>
  <c r="BR215" i="11"/>
  <c r="H40" i="6" s="1"/>
  <c r="D39"/>
  <c r="BN215" i="11"/>
  <c r="D40" i="6" s="1"/>
  <c r="L39"/>
  <c r="BV215" i="11"/>
  <c r="L40" i="6" s="1"/>
  <c r="I39"/>
  <c r="BS215" i="11"/>
  <c r="I40" i="6" s="1"/>
  <c r="BW215" i="11"/>
  <c r="M40" i="6" s="1"/>
  <c r="M39"/>
  <c r="BP215" i="11"/>
  <c r="F40" i="6" s="1"/>
  <c r="F39"/>
  <c r="J39"/>
  <c r="BT215" i="11"/>
  <c r="J40" i="6" s="1"/>
  <c r="G39"/>
  <c r="BQ215" i="11"/>
  <c r="G40" i="6" s="1"/>
  <c r="BM216" i="11"/>
  <c r="C41" i="6" s="1"/>
  <c r="N39" l="1"/>
  <c r="BY213" i="11"/>
  <c r="O38" i="6" s="1"/>
  <c r="BY216" i="11"/>
  <c r="O41" i="6" s="1"/>
  <c r="BY211" i="11"/>
  <c r="O36" i="6" s="1"/>
  <c r="BM214" i="11"/>
  <c r="C32" i="6"/>
  <c r="BY207" i="11"/>
  <c r="O32" i="6" s="1"/>
  <c r="BM215" i="11" l="1"/>
  <c r="C40" i="6" s="1"/>
  <c r="C39"/>
  <c r="BY208" i="11"/>
  <c r="O33" i="6" s="1"/>
  <c r="BY212" i="11"/>
  <c r="O37" i="6" s="1"/>
  <c r="BY209" i="11"/>
  <c r="O34" i="6" s="1"/>
  <c r="BY210" i="11" l="1"/>
  <c r="O35" i="6" s="1"/>
  <c r="BY214" i="11" l="1"/>
  <c r="BY215" l="1"/>
  <c r="O40" i="6" s="1"/>
  <c r="O39"/>
  <c r="S81" i="19"/>
  <c r="Y78"/>
  <c r="S66"/>
  <c r="U78"/>
  <c r="S62"/>
  <c r="X78"/>
  <c r="AC78"/>
  <c r="AB78"/>
  <c r="AB84"/>
  <c r="AF81"/>
  <c r="V85"/>
  <c r="R85"/>
  <c r="W78"/>
  <c r="S82"/>
  <c r="T78"/>
  <c r="AD81"/>
  <c r="AF79"/>
  <c r="AB81"/>
  <c r="AB64"/>
  <c r="S78"/>
  <c r="S65"/>
  <c r="U81"/>
  <c r="Y82"/>
  <c r="AC82"/>
  <c r="V84"/>
  <c r="AA85"/>
  <c r="W81"/>
  <c r="V78"/>
  <c r="Z78" s="1"/>
  <c r="S64"/>
  <c r="AA78"/>
  <c r="AD78"/>
  <c r="AF82"/>
  <c r="AR64"/>
  <c r="AR67" s="1"/>
  <c r="BF75"/>
  <c r="B74"/>
  <c r="BE74"/>
  <c r="BE75" s="1"/>
  <c r="AT64"/>
  <c r="AT67" s="1"/>
  <c r="B78"/>
  <c r="AE78"/>
  <c r="AF78" s="1"/>
  <c r="AV74"/>
  <c r="R75" s="1"/>
  <c r="AV78"/>
  <c r="R78" s="1"/>
  <c r="AS64"/>
  <c r="AS65" s="1"/>
  <c r="AV75"/>
  <c r="R76" s="1"/>
  <c r="AV73"/>
  <c r="R74" s="1"/>
  <c r="B76"/>
  <c r="B75"/>
  <c r="B84"/>
  <c r="BE73"/>
  <c r="R84" s="1"/>
  <c r="AB66"/>
  <c r="AY63" s="1"/>
  <c r="O79"/>
  <c r="L94"/>
  <c r="AE79" l="1"/>
  <c r="O105"/>
  <c r="P105" s="1"/>
  <c r="I105"/>
  <c r="E105"/>
  <c r="N104"/>
  <c r="H104"/>
  <c r="D104"/>
  <c r="L103"/>
  <c r="G103"/>
  <c r="C103"/>
  <c r="I102"/>
  <c r="D102"/>
  <c r="K101"/>
  <c r="E101"/>
  <c r="K105"/>
  <c r="F105"/>
  <c r="O104"/>
  <c r="P104" s="1"/>
  <c r="I104"/>
  <c r="E104"/>
  <c r="N103"/>
  <c r="H103"/>
  <c r="D103"/>
  <c r="K102"/>
  <c r="E102"/>
  <c r="N101"/>
  <c r="P101" s="1"/>
  <c r="F101"/>
  <c r="L105"/>
  <c r="G105"/>
  <c r="C105"/>
  <c r="K104"/>
  <c r="F104"/>
  <c r="O103"/>
  <c r="P103" s="1"/>
  <c r="I103"/>
  <c r="E103"/>
  <c r="N102"/>
  <c r="F102"/>
  <c r="O101"/>
  <c r="G101"/>
  <c r="C101"/>
  <c r="N105"/>
  <c r="H105"/>
  <c r="D105"/>
  <c r="L104"/>
  <c r="G104"/>
  <c r="C104"/>
  <c r="K103"/>
  <c r="F103"/>
  <c r="O102"/>
  <c r="P102" s="1"/>
  <c r="G102"/>
  <c r="C102"/>
  <c r="I101"/>
  <c r="D101"/>
  <c r="AY64"/>
  <c r="AX64"/>
  <c r="AZ64"/>
  <c r="AB94"/>
  <c r="L95"/>
  <c r="AS92" s="1"/>
  <c r="AS67"/>
  <c r="AS68" s="1"/>
  <c r="AT65"/>
  <c r="AR65"/>
  <c r="AU103"/>
  <c r="B104" s="1"/>
  <c r="O107"/>
  <c r="P107" s="1"/>
  <c r="C95"/>
  <c r="M111"/>
  <c r="H107"/>
  <c r="E107"/>
  <c r="G107"/>
  <c r="C107"/>
  <c r="AU107"/>
  <c r="B107" s="1"/>
  <c r="BF103"/>
  <c r="BF104" s="1"/>
  <c r="BF102"/>
  <c r="B113" s="1"/>
  <c r="N107"/>
  <c r="F114"/>
  <c r="C93"/>
  <c r="I111"/>
  <c r="C91"/>
  <c r="D107"/>
  <c r="F107"/>
  <c r="AU104"/>
  <c r="B105" s="1"/>
  <c r="K114"/>
  <c r="F113"/>
  <c r="K107"/>
  <c r="L93"/>
  <c r="I107"/>
  <c r="C94"/>
  <c r="P108"/>
  <c r="L107"/>
  <c r="M107"/>
  <c r="C111"/>
  <c r="P111"/>
  <c r="L110"/>
  <c r="AU102"/>
  <c r="B103" s="1"/>
  <c r="L113"/>
  <c r="N110"/>
  <c r="E110"/>
  <c r="C110"/>
  <c r="B114"/>
  <c r="P110"/>
  <c r="G110"/>
  <c r="J105" l="1"/>
  <c r="J102"/>
  <c r="J104"/>
  <c r="J103"/>
  <c r="J101"/>
  <c r="AD105"/>
  <c r="X105"/>
  <c r="AE104"/>
  <c r="AF104" s="1"/>
  <c r="Y104"/>
  <c r="U104"/>
  <c r="AD103"/>
  <c r="X103"/>
  <c r="T103"/>
  <c r="AA102"/>
  <c r="U102"/>
  <c r="AD101"/>
  <c r="AF101" s="1"/>
  <c r="V101"/>
  <c r="Y105"/>
  <c r="S105"/>
  <c r="AA104"/>
  <c r="V104"/>
  <c r="AE103"/>
  <c r="AF103" s="1"/>
  <c r="Y103"/>
  <c r="U103"/>
  <c r="AD102"/>
  <c r="V102"/>
  <c r="AE101"/>
  <c r="W101"/>
  <c r="S101"/>
  <c r="AA105"/>
  <c r="T105"/>
  <c r="AB104"/>
  <c r="W104"/>
  <c r="S104"/>
  <c r="AA103"/>
  <c r="V103"/>
  <c r="AE102"/>
  <c r="AF102" s="1"/>
  <c r="W102"/>
  <c r="S102"/>
  <c r="Y101"/>
  <c r="T101"/>
  <c r="AB105"/>
  <c r="W105"/>
  <c r="AD104"/>
  <c r="X104"/>
  <c r="T104"/>
  <c r="AB103"/>
  <c r="W103"/>
  <c r="S103"/>
  <c r="Y102"/>
  <c r="T102"/>
  <c r="AA101"/>
  <c r="U101"/>
  <c r="U105"/>
  <c r="V105"/>
  <c r="AE105"/>
  <c r="AF105" s="1"/>
  <c r="AS66"/>
  <c r="L67" s="1"/>
  <c r="J107"/>
  <c r="AY67"/>
  <c r="AY65"/>
  <c r="O108"/>
  <c r="AT93"/>
  <c r="AR93"/>
  <c r="AS93"/>
  <c r="AX65"/>
  <c r="AX67"/>
  <c r="AZ67"/>
  <c r="AZ65"/>
  <c r="R114"/>
  <c r="Y111"/>
  <c r="AB113"/>
  <c r="U110"/>
  <c r="X107"/>
  <c r="S91"/>
  <c r="Y107"/>
  <c r="AV104"/>
  <c r="R105" s="1"/>
  <c r="BE102"/>
  <c r="R113" s="1"/>
  <c r="AV102"/>
  <c r="R103" s="1"/>
  <c r="AA114"/>
  <c r="S111"/>
  <c r="AC107"/>
  <c r="U107"/>
  <c r="AC111"/>
  <c r="V114"/>
  <c r="W107"/>
  <c r="AD110"/>
  <c r="S94"/>
  <c r="BE103"/>
  <c r="BE104" s="1"/>
  <c r="S95"/>
  <c r="T107"/>
  <c r="AF108"/>
  <c r="AA107"/>
  <c r="W110"/>
  <c r="V107"/>
  <c r="S107"/>
  <c r="AD107"/>
  <c r="S93"/>
  <c r="AV103"/>
  <c r="R104" s="1"/>
  <c r="AV107"/>
  <c r="R107" s="1"/>
  <c r="AB95"/>
  <c r="AY92" s="1"/>
  <c r="L123"/>
  <c r="AF110"/>
  <c r="AB107"/>
  <c r="S110"/>
  <c r="AB93"/>
  <c r="V113"/>
  <c r="AB110"/>
  <c r="AF111"/>
  <c r="AE107"/>
  <c r="AF107" s="1"/>
  <c r="Z104" l="1"/>
  <c r="Z101"/>
  <c r="Z102"/>
  <c r="Z107"/>
  <c r="Z103"/>
  <c r="Z105"/>
  <c r="N134"/>
  <c r="H134"/>
  <c r="O133"/>
  <c r="P133" s="1"/>
  <c r="I133"/>
  <c r="E133"/>
  <c r="N132"/>
  <c r="H132"/>
  <c r="D132"/>
  <c r="K131"/>
  <c r="E131"/>
  <c r="N130"/>
  <c r="P130" s="1"/>
  <c r="F130"/>
  <c r="I134"/>
  <c r="C134"/>
  <c r="K133"/>
  <c r="F133"/>
  <c r="O132"/>
  <c r="P132" s="1"/>
  <c r="I132"/>
  <c r="E132"/>
  <c r="N131"/>
  <c r="F131"/>
  <c r="O130"/>
  <c r="G130"/>
  <c r="C130"/>
  <c r="K134"/>
  <c r="D134"/>
  <c r="L133"/>
  <c r="G133"/>
  <c r="C133"/>
  <c r="K132"/>
  <c r="F132"/>
  <c r="O131"/>
  <c r="P131" s="1"/>
  <c r="G131"/>
  <c r="C131"/>
  <c r="I130"/>
  <c r="D130"/>
  <c r="L134"/>
  <c r="G134"/>
  <c r="N133"/>
  <c r="H133"/>
  <c r="D133"/>
  <c r="L132"/>
  <c r="G132"/>
  <c r="C132"/>
  <c r="I131"/>
  <c r="D131"/>
  <c r="K130"/>
  <c r="E130"/>
  <c r="E134"/>
  <c r="F134"/>
  <c r="O134"/>
  <c r="P134" s="1"/>
  <c r="AY66"/>
  <c r="AB67" s="1"/>
  <c r="C124"/>
  <c r="B143"/>
  <c r="P140"/>
  <c r="C122"/>
  <c r="L142"/>
  <c r="C139"/>
  <c r="P139"/>
  <c r="AU132"/>
  <c r="B133" s="1"/>
  <c r="BF131"/>
  <c r="B142" s="1"/>
  <c r="AU131"/>
  <c r="B132" s="1"/>
  <c r="L124"/>
  <c r="AS121" s="1"/>
  <c r="N139"/>
  <c r="N136"/>
  <c r="F136"/>
  <c r="L139"/>
  <c r="K136"/>
  <c r="K143"/>
  <c r="F143"/>
  <c r="C123"/>
  <c r="M136"/>
  <c r="L122"/>
  <c r="D136"/>
  <c r="I140"/>
  <c r="G139"/>
  <c r="C140"/>
  <c r="O136"/>
  <c r="P136" s="1"/>
  <c r="AU133"/>
  <c r="B134" s="1"/>
  <c r="AU136"/>
  <c r="B136" s="1"/>
  <c r="AB123"/>
  <c r="M140"/>
  <c r="E136"/>
  <c r="G136"/>
  <c r="E139"/>
  <c r="P137"/>
  <c r="L136"/>
  <c r="C120"/>
  <c r="C136"/>
  <c r="I136"/>
  <c r="H136"/>
  <c r="F142"/>
  <c r="BF132"/>
  <c r="BF133" s="1"/>
  <c r="AR94"/>
  <c r="AR96"/>
  <c r="AY68"/>
  <c r="AS94"/>
  <c r="AS96"/>
  <c r="AE108"/>
  <c r="AY93"/>
  <c r="AX93"/>
  <c r="AZ93"/>
  <c r="AT96"/>
  <c r="AT94"/>
  <c r="J132" l="1"/>
  <c r="J130"/>
  <c r="J131"/>
  <c r="J133"/>
  <c r="AD134"/>
  <c r="X134"/>
  <c r="AE133"/>
  <c r="AF133" s="1"/>
  <c r="Y133"/>
  <c r="U133"/>
  <c r="AD132"/>
  <c r="X132"/>
  <c r="T132"/>
  <c r="AA131"/>
  <c r="U131"/>
  <c r="AD130"/>
  <c r="AF130" s="1"/>
  <c r="V130"/>
  <c r="Y134"/>
  <c r="S134"/>
  <c r="AA133"/>
  <c r="V133"/>
  <c r="AE132"/>
  <c r="AF132" s="1"/>
  <c r="Y132"/>
  <c r="U132"/>
  <c r="AD131"/>
  <c r="V131"/>
  <c r="AE130"/>
  <c r="W130"/>
  <c r="S130"/>
  <c r="AA134"/>
  <c r="T134"/>
  <c r="AB133"/>
  <c r="W133"/>
  <c r="S133"/>
  <c r="AA132"/>
  <c r="V132"/>
  <c r="AE131"/>
  <c r="AF131" s="1"/>
  <c r="W131"/>
  <c r="S131"/>
  <c r="Y130"/>
  <c r="T130"/>
  <c r="AB134"/>
  <c r="W134"/>
  <c r="AD133"/>
  <c r="X133"/>
  <c r="T133"/>
  <c r="AB132"/>
  <c r="W132"/>
  <c r="S132"/>
  <c r="Y131"/>
  <c r="T131"/>
  <c r="AA130"/>
  <c r="U130"/>
  <c r="U134"/>
  <c r="V134"/>
  <c r="AE134"/>
  <c r="AF134" s="1"/>
  <c r="J134"/>
  <c r="J136"/>
  <c r="AS95"/>
  <c r="L96" s="1"/>
  <c r="AR122"/>
  <c r="AT122"/>
  <c r="AS122"/>
  <c r="AY96"/>
  <c r="AY94"/>
  <c r="AX94"/>
  <c r="AX96"/>
  <c r="AZ96"/>
  <c r="AZ94"/>
  <c r="AS97"/>
  <c r="O137"/>
  <c r="S123"/>
  <c r="Y140"/>
  <c r="AC140"/>
  <c r="AA143"/>
  <c r="AF139"/>
  <c r="S139"/>
  <c r="AC136"/>
  <c r="S122"/>
  <c r="R143"/>
  <c r="S120"/>
  <c r="AF137"/>
  <c r="W136"/>
  <c r="AA136"/>
  <c r="U139"/>
  <c r="AF140"/>
  <c r="AE136"/>
  <c r="AF136" s="1"/>
  <c r="BE131"/>
  <c r="R142" s="1"/>
  <c r="U136"/>
  <c r="T136"/>
  <c r="AB139"/>
  <c r="X136"/>
  <c r="Y136"/>
  <c r="AD139"/>
  <c r="V143"/>
  <c r="S140"/>
  <c r="V142"/>
  <c r="AV136"/>
  <c r="R136" s="1"/>
  <c r="BE132"/>
  <c r="BE133" s="1"/>
  <c r="AV133"/>
  <c r="R134" s="1"/>
  <c r="AB124"/>
  <c r="AY121" s="1"/>
  <c r="AB122"/>
  <c r="V136"/>
  <c r="Z136" s="1"/>
  <c r="AB136"/>
  <c r="W139"/>
  <c r="S136"/>
  <c r="S124"/>
  <c r="AD136"/>
  <c r="AB142"/>
  <c r="AV131"/>
  <c r="R132" s="1"/>
  <c r="AV132"/>
  <c r="R133" s="1"/>
  <c r="Z133" l="1"/>
  <c r="Z132"/>
  <c r="Z134"/>
  <c r="Z130"/>
  <c r="Z131"/>
  <c r="AR125"/>
  <c r="AR123"/>
  <c r="AY95"/>
  <c r="AB96" s="1"/>
  <c r="AT125"/>
  <c r="AT123"/>
  <c r="AE137"/>
  <c r="AS125"/>
  <c r="AS123"/>
  <c r="AX122"/>
  <c r="AY122"/>
  <c r="AZ122"/>
  <c r="AY97"/>
  <c r="AS124" l="1"/>
  <c r="L125" s="1"/>
  <c r="AY123"/>
  <c r="AY125"/>
  <c r="AS126"/>
  <c r="AX123"/>
  <c r="AX125"/>
  <c r="AZ125"/>
  <c r="AZ123"/>
  <c r="AY126" l="1"/>
  <c r="AY124"/>
  <c r="AB125" s="1"/>
</calcChain>
</file>

<file path=xl/sharedStrings.xml><?xml version="1.0" encoding="utf-8"?>
<sst xmlns="http://schemas.openxmlformats.org/spreadsheetml/2006/main" count="753" uniqueCount="312">
  <si>
    <t>ROLL NO</t>
  </si>
  <si>
    <t>MATHEMATICS</t>
  </si>
  <si>
    <t>Class</t>
  </si>
  <si>
    <t>Section</t>
  </si>
  <si>
    <t>Gender</t>
  </si>
  <si>
    <t>Category</t>
  </si>
  <si>
    <t>A</t>
  </si>
  <si>
    <t>F</t>
  </si>
  <si>
    <t>oSdfYid fo"k;ksa dh lwph</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</si>
  <si>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</si>
  <si>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</si>
  <si>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</si>
  <si>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</si>
  <si>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</si>
  <si>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</si>
  <si>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</si>
  <si>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</si>
  <si>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</si>
  <si>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</si>
  <si>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</si>
  <si>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</si>
  <si>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</si>
  <si>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</si>
  <si>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</si>
  <si>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</si>
  <si>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</si>
  <si>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</si>
  <si>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</si>
  <si>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</si>
  <si>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</si>
  <si>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</si>
  <si>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</si>
  <si>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</si>
  <si>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</si>
  <si>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</si>
  <si>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</si>
  <si>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</si>
  <si>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</si>
  <si>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</si>
  <si>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</si>
  <si>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</si>
  <si>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</si>
  <si>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</si>
  <si>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</si>
  <si>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B</t>
  </si>
  <si>
    <t>AB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</si>
  <si>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</si>
  <si>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</si>
  <si>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</si>
  <si>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</si>
  <si>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</si>
  <si>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</si>
  <si>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</si>
  <si>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</si>
  <si>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</si>
  <si>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</si>
  <si>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</si>
  <si>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</si>
  <si>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</si>
  <si>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fo"k; okf"kZd lS-</t>
  </si>
  <si>
    <t>fo"k; iw.kkZad izk-</t>
  </si>
  <si>
    <t>TOTAL EXEMPTION</t>
  </si>
  <si>
    <t>fo"k; xszM</t>
  </si>
  <si>
    <t>mRrh.kZ@    lkuqxzg mRrh.kZ@ vuqRrh.kZ@ iwjd@ vuqifLFkr</t>
  </si>
  <si>
    <t>dqy</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</si>
  <si>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</si>
  <si>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</si>
  <si>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</si>
  <si>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</si>
  <si>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</si>
  <si>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</si>
  <si>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</si>
  <si>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</si>
  <si>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</si>
  <si>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</si>
  <si>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</si>
  <si>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</si>
  <si>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</si>
  <si>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</si>
  <si>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</si>
  <si>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</si>
  <si>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</si>
  <si>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</si>
  <si>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</si>
  <si>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</si>
  <si>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</si>
  <si>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</si>
  <si>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</si>
  <si>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</si>
  <si>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</si>
  <si>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</si>
  <si>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</si>
  <si>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</si>
  <si>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</si>
  <si>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</si>
  <si>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</si>
  <si>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</si>
  <si>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</si>
  <si>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</si>
  <si>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</si>
  <si>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</si>
  <si>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</si>
  <si>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</si>
  <si>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</si>
  <si>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</si>
  <si>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heeralaljatchandawal@gmail.com</t>
  </si>
  <si>
    <t>Programmer  &amp;   Presented By</t>
  </si>
  <si>
    <t>Sr. Teacher at MGGS BAR (PALI)</t>
  </si>
  <si>
    <t>ab</t>
  </si>
  <si>
    <t>ml</t>
  </si>
  <si>
    <t>na</t>
  </si>
  <si>
    <t>G</t>
  </si>
  <si>
    <t>Th.</t>
  </si>
  <si>
    <t>Pract.</t>
  </si>
  <si>
    <t>AGRICULTURE BIOLOGY</t>
  </si>
  <si>
    <t>AGRICULTURE CHEMISTRY</t>
  </si>
  <si>
    <t>ENVIRONMENTAL STUDIES</t>
  </si>
  <si>
    <t>PHYSICAL EDUCATION</t>
  </si>
  <si>
    <t>Non_Practical_Optional_Subject_List</t>
  </si>
  <si>
    <t>Hallf Yearly Marks</t>
  </si>
  <si>
    <t>Yearly  Marks</t>
  </si>
  <si>
    <t>INFORMATION TECHNOLOGY AND PROCESSING 1</t>
  </si>
  <si>
    <t xml:space="preserve">DANCE KATTHAK </t>
  </si>
  <si>
    <t>MUSIC INSTR. DILRUBA</t>
  </si>
  <si>
    <t>MUSIC INSTR. FLUTE</t>
  </si>
  <si>
    <t>MUSIC INSTR. GUITAR</t>
  </si>
  <si>
    <t>MUSIC INSTR. PKHAAVAJ</t>
  </si>
  <si>
    <t>MUSIC INSTR. SAROD</t>
  </si>
  <si>
    <t>MUSIC INSTR. SITARA</t>
  </si>
  <si>
    <t>MUSIC INSTR. TABLA</t>
  </si>
  <si>
    <t xml:space="preserve">MUSIC VOCAL </t>
  </si>
  <si>
    <t>TYPING HINDI</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</si>
  <si>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</si>
  <si>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</si>
  <si>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</si>
  <si>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</si>
  <si>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</si>
  <si>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</si>
  <si>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</si>
  <si>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</si>
  <si>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</si>
  <si>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</si>
  <si>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30/70</t>
  </si>
  <si>
    <t>Total Attendance</t>
  </si>
  <si>
    <t>.-------------Cut here-------------------------Cut here-------------------------Cut here-------------------------Cut here-------------------------Cut here-------------------Cut here-------------</t>
  </si>
  <si>
    <t>TO</t>
  </si>
  <si>
    <t xml:space="preserve"> </t>
  </si>
  <si>
    <t>:: इस एक्सेल शीट पर कार्य करने हेतु विशेष निर्देश ::</t>
  </si>
  <si>
    <t xml:space="preserve">यह एक्सेल शीट 200 विद्यार्थियों को ध्यान में रखकर बनाई गयी है I आप अलग अलग संकाय के लिए अलग अलग वर्कबुक काम में ले सकते है I जिसमे वर्क करने में आपको किसी भी प्रकार की दुविधा न हो I अगर आपकी स्कूल में विद्यार्थी 200 से कम है तो अतिरिक्त कॉलम की हाईड कर लेवे, जिससे प्रिंट निकालने में असुविधा न हो I अगर विद्यार्थी एक संकाय में 200 से भी अधिक है तो फिर सेक्शन वार शीट भी तैयार कर सकते है I  </t>
  </si>
  <si>
    <r>
      <t>इस वर्कबुक की सिक्यूरिटी के लिए C</t>
    </r>
    <r>
      <rPr>
        <b/>
        <sz val="14"/>
        <color rgb="FFFF0000"/>
        <rFont val="Calibri"/>
        <family val="2"/>
        <scheme val="minor"/>
      </rPr>
      <t>lass11</t>
    </r>
    <r>
      <rPr>
        <b/>
        <sz val="13"/>
        <color rgb="FFFF0000"/>
        <rFont val="Calibri"/>
        <family val="2"/>
        <scheme val="minor"/>
      </rPr>
      <t xml:space="preserve">  पासवर्ड है I ( जो इंस्ट्रक्शन शीट , मास्टर शीट व सिंगल मार्कशीट शीट पर काम नहीं करेगी - सिक्यूरिटी के लिए )</t>
    </r>
  </si>
  <si>
    <t>कक्षा 11 के प्रत्येक विद्यार्थी के विभिन्न वैकल्पिक विषय को भरने हेतु प्रत्येक वैकल्पिक विषय में तीन-तीन ऑप्शन दे रखे है , इसके लिए आप A , B , C कोड भर सकते है I इनका सम्बन्ध वैकल्पिक विषय के स्थान के क्रमानुसार है I</t>
  </si>
  <si>
    <t xml:space="preserve">इसके अतिरिक्त रिजल्ट वर्कबुक में एंट्री करते समय आनेवाली सामान्य समस्याएं व समाधान </t>
  </si>
  <si>
    <r>
      <t xml:space="preserve">सबसे पहले शीट को ओपन करने के बाद </t>
    </r>
    <r>
      <rPr>
        <b/>
        <sz val="12"/>
        <color theme="1" tint="4.9989318521683403E-2"/>
        <rFont val="Calibri"/>
        <family val="2"/>
        <scheme val="minor"/>
      </rPr>
      <t>मास्टर शीट</t>
    </r>
    <r>
      <rPr>
        <sz val="12"/>
        <color theme="1" tint="4.9989318521683403E-2"/>
        <rFont val="Calibri"/>
        <family val="2"/>
        <scheme val="minor"/>
      </rPr>
      <t xml:space="preserve"> पर जो विद्यालय से सम्बंधित जो सामान्य जानकारी पूर्ण कर लेवें I</t>
    </r>
  </si>
  <si>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</si>
  <si>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</si>
  <si>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पूरी कक्षा जिसमे 200 विद्यार्थियों की मार्कशीट्स एक साथ निकाल सकते है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</si>
  <si>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</si>
  <si>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</si>
  <si>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</si>
  <si>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</si>
  <si>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</si>
  <si>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</si>
  <si>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</si>
  <si>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</si>
  <si>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</si>
  <si>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</si>
  <si>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t>यह वर्कबुक कक्षा 11 के सभी संकायों कला वर्ग, विज्ञान वर्ग, वाणिज्य वर्ग तथा कृषि वर्ग के लिए समान रूप से उपयोगी है I संकाय व विषय के सम्बन्ध में डिटेल आप मास्टर शीट पर फिल कर सकते है I आवश्यकता होने पर केवल ऐच्छिक विषयों के सैद्धान्तिक व प्रायोगिक के पूर्णाक में बदलाव कर सकते है I</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</si>
  <si>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</si>
  <si>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</si>
  <si>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</si>
  <si>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</si>
  <si>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</si>
  <si>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</si>
  <si>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</si>
  <si>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</si>
  <si>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</si>
  <si>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</si>
  <si>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</si>
  <si>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</si>
  <si>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</si>
  <si>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</si>
  <si>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Principal Mobile No. :-</t>
  </si>
  <si>
    <t>G.S.S.S. BAR</t>
  </si>
  <si>
    <t>USHA PALIYA</t>
  </si>
  <si>
    <t>Suresh Kumar</t>
  </si>
  <si>
    <t>Rakesh Kumar</t>
  </si>
  <si>
    <t>Radheshyam</t>
  </si>
  <si>
    <t>Yogendra</t>
  </si>
  <si>
    <t>Pushpendra</t>
  </si>
  <si>
    <t>Lalit Kumar</t>
  </si>
  <si>
    <t>Heeralal Jat</t>
  </si>
  <si>
    <t>Optional Subject List</t>
  </si>
  <si>
    <t>Gurudev Vasudev Ji Maharaj</t>
  </si>
  <si>
    <t xml:space="preserve">कक्षा </t>
  </si>
  <si>
    <t>वर्ग</t>
  </si>
  <si>
    <t>प्रवेशांक</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</si>
  <si>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</si>
  <si>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</si>
  <si>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</si>
  <si>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</si>
  <si>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</si>
  <si>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</si>
  <si>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</si>
  <si>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</si>
  <si>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</si>
  <si>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</si>
  <si>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</si>
  <si>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 xml:space="preserve">क्रमांक </t>
  </si>
  <si>
    <t xml:space="preserve">नामांक
Roll No. </t>
  </si>
  <si>
    <t>जन्मतिथि 
Date of Birth</t>
  </si>
  <si>
    <t>जाति वर्ग  (Category)</t>
  </si>
  <si>
    <t>लिंग  (Gender)</t>
  </si>
  <si>
    <t>Optional Subject - 01</t>
  </si>
  <si>
    <t>Optional Subject - 02</t>
  </si>
  <si>
    <t>Optional Subject - 03</t>
  </si>
  <si>
    <t>H</t>
  </si>
  <si>
    <t>E</t>
  </si>
  <si>
    <t>O.S. - 1</t>
  </si>
  <si>
    <t>O.S. - 2</t>
  </si>
  <si>
    <t>O.S. - 3</t>
  </si>
  <si>
    <t>O.S. - 4</t>
  </si>
  <si>
    <t>Details</t>
  </si>
  <si>
    <t>CATEGORY-WISE RESULT WILL SHOW INCULDE THE DECLARATION OF THE SUPPLEMENTARY EXAM. RESULTS</t>
  </si>
  <si>
    <t>Main Exam</t>
  </si>
  <si>
    <t>Supp. Exam</t>
  </si>
  <si>
    <t>Additional</t>
  </si>
  <si>
    <t>Date of Supplementary result declaration :-</t>
  </si>
  <si>
    <t>Final Result</t>
  </si>
  <si>
    <t>Grace Marks</t>
  </si>
  <si>
    <r>
      <rPr>
        <b/>
        <sz val="10"/>
        <rFont val="Calibri"/>
        <family val="2"/>
        <scheme val="minor"/>
      </rPr>
      <t>Max. Marks</t>
    </r>
    <r>
      <rPr>
        <b/>
        <sz val="10"/>
        <rFont val="Kruti Dev 010"/>
      </rPr>
      <t xml:space="preserve"> </t>
    </r>
    <r>
      <rPr>
        <b/>
        <sz val="12"/>
        <rFont val="Wingdings"/>
        <charset val="2"/>
      </rPr>
      <t>Ü</t>
    </r>
  </si>
  <si>
    <t>No</t>
  </si>
  <si>
    <t xml:space="preserve">क्र स </t>
  </si>
  <si>
    <t>Sheet Password :-</t>
  </si>
  <si>
    <t>Pravin Kumar</t>
  </si>
  <si>
    <t>Class11</t>
  </si>
  <si>
    <t xml:space="preserve">you tube विडियो लिंक </t>
  </si>
  <si>
    <t>You tube Video Link :</t>
  </si>
  <si>
    <t>Updated On</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</si>
  <si>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rPr>
      <t xml:space="preserve"> www.rajgyan.co.in  ,   www.rajteachers.com  , www.rajsevak.com/excel , www.rajguruji.com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</si>
  <si>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</si>
  <si>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</si>
  <si>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</si>
  <si>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</si>
  <si>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Vacational Subject :-</t>
  </si>
  <si>
    <t>शिक्षा/पाली/1995/2001</t>
  </si>
  <si>
    <t>Mahatma Gandhi Government School (English Medium) Bar, Pali</t>
  </si>
  <si>
    <t xml:space="preserve">महात्मा गाँधी राजकीय विद्यालय (अंग्रेजी माध्यम) बर, पाली </t>
  </si>
  <si>
    <t>Yogesh</t>
  </si>
  <si>
    <t>Date of Birth</t>
  </si>
  <si>
    <t>SR. NO.</t>
  </si>
  <si>
    <t>S. N.</t>
  </si>
  <si>
    <t>Practical_1_Optional_Subject_List</t>
  </si>
  <si>
    <t>Practical_2_Optional_Subject_List</t>
  </si>
  <si>
    <t>Typing Subject List</t>
  </si>
  <si>
    <t>Practical_3_Optional_Subject_List</t>
  </si>
  <si>
    <t>Vocational Subject List</t>
  </si>
  <si>
    <t>Practical_4_Optional_Subject_List</t>
  </si>
  <si>
    <t>Only Yearly Marks</t>
  </si>
  <si>
    <t>Portfolio</t>
  </si>
  <si>
    <t>नामांक</t>
  </si>
  <si>
    <t xml:space="preserve">प्रवेशांक
SR. No. </t>
  </si>
  <si>
    <t xml:space="preserve">वर्ग
Section. </t>
  </si>
  <si>
    <t>X</t>
  </si>
  <si>
    <t>Y</t>
  </si>
  <si>
    <t>Z</t>
  </si>
  <si>
    <t>W</t>
  </si>
  <si>
    <t>V</t>
  </si>
  <si>
    <t>U</t>
  </si>
  <si>
    <t>T</t>
  </si>
  <si>
    <t>N</t>
  </si>
  <si>
    <t>O</t>
  </si>
  <si>
    <t>M</t>
  </si>
  <si>
    <t>P</t>
  </si>
  <si>
    <t>Q</t>
  </si>
  <si>
    <t>R</t>
  </si>
  <si>
    <t>OBC</t>
  </si>
  <si>
    <t>GEN</t>
  </si>
  <si>
    <t>SBC</t>
  </si>
  <si>
    <t>ST</t>
  </si>
  <si>
    <t>SC</t>
  </si>
  <si>
    <t>MIN</t>
  </si>
  <si>
    <t>Additional Sub. / Vocational  Subject</t>
  </si>
  <si>
    <t>Arts</t>
  </si>
  <si>
    <t>70/50/20</t>
  </si>
  <si>
    <t>20/50</t>
  </si>
  <si>
    <t>100/70/30</t>
  </si>
  <si>
    <t/>
  </si>
  <si>
    <t>WRITE ROLL NO. FOR PRINT MARKSHEET</t>
  </si>
  <si>
    <t>70/ 50/ 20</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</si>
  <si>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</si>
  <si>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</si>
  <si>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70/50/ 20</t>
  </si>
  <si>
    <r>
      <rPr>
        <b/>
        <sz val="14"/>
        <color rgb="FFFF0000"/>
        <rFont val="Wingdings"/>
        <charset val="2"/>
      </rPr>
      <t>E</t>
    </r>
    <r>
      <rPr>
        <b/>
        <sz val="14"/>
        <color rgb="FFFF0000"/>
        <rFont val="Calibri"/>
        <family val="2"/>
        <scheme val="minor"/>
      </rPr>
      <t>If you want Marksheet of any student 11th Class Student , you must be write Roll No. in Yellow Colour Cell Either Move Form Develover Tab Butten</t>
    </r>
  </si>
  <si>
    <t>https://youtu.be/aJjzQ4EcoqQ</t>
  </si>
  <si>
    <t>Class Teacher 11th :-</t>
  </si>
  <si>
    <t>Hindi</t>
  </si>
  <si>
    <t>Com. Hindi</t>
  </si>
  <si>
    <t>Com. English</t>
  </si>
  <si>
    <t>रिजल्ट शीट  (Green Sheet)</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</si>
  <si>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</si>
  <si>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</si>
  <si>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2023-2024</t>
  </si>
  <si>
    <t>yearly theory</t>
  </si>
  <si>
    <t>Sub MM Prac.</t>
  </si>
  <si>
    <t>SUBJECT MM Theory</t>
  </si>
  <si>
    <t>TOTAL PRAC.</t>
  </si>
  <si>
    <t>TOTAL THEORY</t>
  </si>
  <si>
    <t>This Sheet Password :-     Class11</t>
  </si>
  <si>
    <t>https://youtu.be/5tJOXnI2VpI</t>
  </si>
  <si>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dd/mm/yyyy</t>
    </r>
    <r>
      <rPr>
        <sz val="14"/>
        <color rgb="FF000000"/>
        <rFont val="Kruti Dev 010"/>
      </rPr>
      <t xml:space="preserve"> </t>
    </r>
    <r>
      <rPr>
        <sz val="12"/>
        <color rgb="FF000000"/>
        <rFont val="Calibri"/>
        <family val="2"/>
        <scheme val="minor"/>
      </rPr>
      <t>की आवश्यकता होती है I</t>
    </r>
  </si>
  <si>
    <r>
      <rPr>
        <sz val="12"/>
        <rFont val="Calibri"/>
        <family val="2"/>
        <scheme val="minor"/>
      </rPr>
      <t xml:space="preserve">प्रत्येक वर्कबुक में हिंदी हेतु </t>
    </r>
    <r>
      <rPr>
        <sz val="14"/>
        <color rgb="FF0033CC"/>
        <rFont val="Times New Roman"/>
        <family val="1"/>
      </rPr>
      <t xml:space="preserve">  Google Input hindi tool </t>
    </r>
    <r>
      <rPr>
        <sz val="14"/>
        <color rgb="FF000000"/>
        <rFont val="Kruti Dev 010"/>
      </rPr>
      <t xml:space="preserve">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यदि उक्त</t>
    </r>
    <r>
      <rPr>
        <sz val="14"/>
        <color rgb="FF000000"/>
        <rFont val="Kruti Dev 010"/>
      </rPr>
      <t xml:space="preserve">  </t>
    </r>
    <r>
      <rPr>
        <sz val="14"/>
        <color rgb="FF0033CC"/>
        <rFont val="Times New Roman"/>
        <family val="1"/>
      </rPr>
      <t xml:space="preserve">font </t>
    </r>
    <r>
      <rPr>
        <sz val="12"/>
        <rFont val="Calibri"/>
        <family val="2"/>
        <scheme val="minor"/>
      </rPr>
      <t>आपके</t>
    </r>
    <r>
      <rPr>
        <sz val="14"/>
        <color rgb="FF0033CC"/>
        <rFont val="Times New Roman"/>
        <family val="1"/>
      </rPr>
      <t xml:space="preserve"> </t>
    </r>
    <r>
      <rPr>
        <sz val="14"/>
        <color rgb="FF000000"/>
        <rFont val="Kruti Dev 010"/>
      </rPr>
      <t xml:space="preserve"> </t>
    </r>
    <r>
      <rPr>
        <sz val="14"/>
        <color rgb="FF0033CC"/>
        <rFont val="Times New Roman"/>
        <family val="1"/>
      </rPr>
      <t xml:space="preserve">computer </t>
    </r>
    <r>
      <rPr>
        <sz val="12"/>
        <rFont val="Calibri"/>
        <family val="2"/>
        <scheme val="minor"/>
      </rPr>
      <t>में</t>
    </r>
    <r>
      <rPr>
        <sz val="14"/>
        <color rgb="FF0033CC"/>
        <rFont val="Times New Roman"/>
        <family val="1"/>
      </rPr>
      <t xml:space="preserve">  installed </t>
    </r>
    <r>
      <rPr>
        <sz val="12"/>
        <rFont val="Calibri"/>
        <family val="2"/>
        <scheme val="minor"/>
      </rPr>
      <t>न हो तो</t>
    </r>
    <r>
      <rPr>
        <sz val="14"/>
        <color rgb="FF0033CC"/>
        <rFont val="Times New Roman"/>
        <family val="1"/>
      </rPr>
      <t xml:space="preserve">  website </t>
    </r>
    <r>
      <rPr>
        <sz val="12"/>
        <rFont val="Calibri"/>
        <family val="2"/>
        <scheme val="minor"/>
      </rPr>
      <t>से</t>
    </r>
    <r>
      <rPr>
        <sz val="14"/>
        <color rgb="FF0033CC"/>
        <rFont val="Times New Roman"/>
        <family val="1"/>
      </rPr>
      <t xml:space="preserve"> download </t>
    </r>
    <r>
      <rPr>
        <sz val="12"/>
        <rFont val="Calibri"/>
        <family val="2"/>
        <scheme val="minor"/>
      </rPr>
      <t>कर</t>
    </r>
    <r>
      <rPr>
        <sz val="14"/>
        <color rgb="FF000000"/>
        <rFont val="Kruti Dev 010"/>
      </rPr>
      <t xml:space="preserve"> </t>
    </r>
    <r>
      <rPr>
        <sz val="14"/>
        <color rgb="FF0033CC"/>
        <rFont val="Times New Roman"/>
        <family val="1"/>
      </rPr>
      <t xml:space="preserve">save </t>
    </r>
    <r>
      <rPr>
        <sz val="12"/>
        <rFont val="Calibri"/>
        <family val="2"/>
        <scheme val="minor"/>
      </rPr>
      <t>करने के पश्चात् नीचे दिए तरीके के अनुसार</t>
    </r>
    <r>
      <rPr>
        <sz val="14"/>
        <color rgb="FF0033CC"/>
        <rFont val="Times New Roman"/>
        <family val="1"/>
      </rPr>
      <t xml:space="preserve">  install </t>
    </r>
    <r>
      <rPr>
        <sz val="14"/>
        <color rgb="FF000000"/>
        <rFont val="Kruti Dev 010"/>
      </rPr>
      <t xml:space="preserve"> </t>
    </r>
    <r>
      <rPr>
        <sz val="12"/>
        <rFont val="Calibri"/>
        <family val="2"/>
        <scheme val="minor"/>
      </rPr>
      <t xml:space="preserve">कर सकते है I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t>
    </r>
  </si>
  <si>
    <t>#Heeralaljat</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</si>
</sst>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85">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sz val="10"/>
      <name val="Cambria"/>
      <family val="1"/>
    </font>
    <font>
      <b/>
      <sz val="11"/>
      <color indexed="10"/>
      <name val="Kruti Dev 010"/>
    </font>
    <font>
      <b/>
      <sz val="12"/>
      <name val="Cambria"/>
      <family val="1"/>
    </font>
    <font>
      <b/>
      <sz val="12"/>
      <color indexed="12"/>
      <name val="Cambria"/>
      <family val="1"/>
    </font>
    <font>
      <b/>
      <sz val="12"/>
      <color indexed="10"/>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4"/>
      <color rgb="FFFF66FF"/>
      <name val="Kruti Dev 010"/>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4"/>
      <color rgb="FFFF0000"/>
      <name val="Kruti Dev 010"/>
    </font>
    <font>
      <b/>
      <sz val="16"/>
      <color rgb="FFFF66CC"/>
      <name val="Arial"/>
      <family val="2"/>
    </font>
    <font>
      <b/>
      <sz val="10"/>
      <color rgb="FFFF0000"/>
      <name val="Calibri"/>
      <family val="2"/>
    </font>
    <font>
      <b/>
      <sz val="14"/>
      <color rgb="FF00B050"/>
      <name val="Kruti Dev 010"/>
    </font>
    <font>
      <b/>
      <sz val="20"/>
      <name val="Kruti Dev 010"/>
    </font>
    <font>
      <sz val="10"/>
      <color indexed="10"/>
      <name val="Arial"/>
      <family val="2"/>
    </font>
    <font>
      <sz val="14"/>
      <name val="Kruti Dev 010"/>
    </font>
    <font>
      <sz val="10"/>
      <color indexed="30"/>
      <name val="Arial"/>
      <family val="2"/>
    </font>
    <font>
      <sz val="8"/>
      <name val="Arial"/>
      <family val="2"/>
    </font>
    <font>
      <b/>
      <sz val="10"/>
      <color indexed="30"/>
      <name val="Arial"/>
      <family val="2"/>
    </font>
    <font>
      <b/>
      <sz val="10"/>
      <color indexed="1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Kruti Dev 010"/>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12"/>
      <color rgb="FFFF0000"/>
      <name val="Cambria"/>
      <family val="1"/>
    </font>
    <font>
      <b/>
      <sz val="8"/>
      <name val="Calibri"/>
      <family val="2"/>
      <scheme val="minor"/>
    </font>
    <font>
      <b/>
      <sz val="8"/>
      <name val="Cambria"/>
      <family val="1"/>
    </font>
    <font>
      <b/>
      <sz val="11"/>
      <color rgb="FF0000FF"/>
      <name val="Calibri"/>
      <family val="2"/>
      <scheme val="minor"/>
    </font>
    <font>
      <b/>
      <sz val="8"/>
      <color rgb="FFFF0000"/>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0"/>
      <color rgb="FFFF0000"/>
      <name val="Cambria"/>
      <family val="1"/>
    </font>
    <font>
      <sz val="11"/>
      <color theme="0"/>
      <name val="Calibri"/>
      <family val="2"/>
      <scheme val="minor"/>
    </font>
    <font>
      <b/>
      <sz val="8"/>
      <color theme="1"/>
      <name val="Calibri"/>
      <family val="2"/>
      <scheme val="minor"/>
    </font>
    <font>
      <b/>
      <sz val="24"/>
      <color rgb="FFFF0000"/>
      <name val="Wingdings"/>
      <charset val="2"/>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9900FF"/>
      <name val="Cambria"/>
      <family val="1"/>
    </font>
    <font>
      <sz val="10"/>
      <color rgb="FF9900FF"/>
      <name val="Cambria"/>
      <family val="1"/>
    </font>
    <font>
      <b/>
      <sz val="10"/>
      <color rgb="FF9900FF"/>
      <name val="Calibri"/>
      <family val="2"/>
      <scheme val="minor"/>
    </font>
    <font>
      <b/>
      <sz val="12"/>
      <color rgb="FF0000CC"/>
      <name val="Calibri"/>
      <family val="2"/>
      <scheme val="minor"/>
    </font>
    <font>
      <b/>
      <sz val="12"/>
      <color rgb="FFCC0099"/>
      <name val="Calibri"/>
      <family val="2"/>
      <scheme val="minor"/>
    </font>
    <font>
      <b/>
      <sz val="12"/>
      <color rgb="FFD60093"/>
      <name val="Calibri"/>
      <family val="2"/>
      <scheme val="minor"/>
    </font>
    <font>
      <b/>
      <sz val="9"/>
      <name val="DevLys 010"/>
    </font>
    <font>
      <b/>
      <i/>
      <sz val="11"/>
      <color rgb="FFB41C8C"/>
      <name val="Cambria"/>
      <family val="1"/>
      <scheme val="major"/>
    </font>
    <font>
      <b/>
      <i/>
      <sz val="14"/>
      <name val="Calibri"/>
      <family val="2"/>
      <scheme val="minor"/>
    </font>
    <font>
      <b/>
      <sz val="9"/>
      <color theme="1"/>
      <name val="Calibri"/>
      <family val="2"/>
      <scheme val="minor"/>
    </font>
    <font>
      <b/>
      <sz val="12"/>
      <color rgb="FF0000FF"/>
      <name val="Cambria"/>
      <family val="1"/>
      <scheme val="maj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3"/>
      <color rgb="FFD60093"/>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1"/>
      <color indexed="8"/>
      <name val="Calibri"/>
      <family val="2"/>
    </font>
    <font>
      <b/>
      <sz val="10.5"/>
      <color theme="1"/>
      <name val="Calibri"/>
      <family val="2"/>
      <scheme val="minor"/>
    </font>
    <font>
      <b/>
      <sz val="10"/>
      <color rgb="FF0000CC"/>
      <name val="Calibri"/>
      <family val="2"/>
      <scheme val="minor"/>
    </font>
    <font>
      <b/>
      <sz val="16"/>
      <color rgb="FFCC0099"/>
      <name val="Calibri"/>
      <family val="2"/>
      <scheme val="minor"/>
    </font>
    <font>
      <b/>
      <sz val="13"/>
      <name val="Calibri"/>
      <family val="2"/>
      <scheme val="minor"/>
    </font>
    <font>
      <b/>
      <sz val="14"/>
      <color rgb="FF0000CC"/>
      <name val="Cambria"/>
      <family val="1"/>
      <scheme val="major"/>
    </font>
    <font>
      <b/>
      <sz val="10"/>
      <color indexed="12"/>
      <name val="Calibri"/>
      <family val="2"/>
      <scheme val="minor"/>
    </font>
    <font>
      <b/>
      <sz val="11"/>
      <color rgb="FFC00000"/>
      <name val="Calibri"/>
      <family val="2"/>
      <scheme val="minor"/>
    </font>
    <font>
      <b/>
      <i/>
      <sz val="12"/>
      <name val="Calibri"/>
      <family val="2"/>
      <scheme val="minor"/>
    </font>
    <font>
      <b/>
      <sz val="9"/>
      <color rgb="FFFF0000"/>
      <name val="Calibri"/>
      <family val="2"/>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indexed="60"/>
      <name val="Cambria"/>
      <family val="1"/>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5"/>
      <color rgb="FFD60093"/>
      <name val="Cambria"/>
      <family val="1"/>
    </font>
    <font>
      <b/>
      <sz val="9.5"/>
      <color indexed="10"/>
      <name val="Cambria"/>
      <family val="1"/>
    </font>
    <font>
      <b/>
      <sz val="9"/>
      <color rgb="FF005024"/>
      <name val="Cambria"/>
      <family val="1"/>
    </font>
    <font>
      <sz val="11"/>
      <name val="Calibri"/>
      <family val="2"/>
      <scheme val="minor"/>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20"/>
      <name val="Cambria"/>
      <family val="1"/>
      <scheme val="major"/>
    </font>
    <font>
      <b/>
      <sz val="9"/>
      <color rgb="FF004620"/>
      <name val="Cambria"/>
      <family val="1"/>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sz val="11"/>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i/>
      <sz val="10"/>
      <name val="Calibri"/>
      <family val="2"/>
      <scheme val="minor"/>
    </font>
    <font>
      <b/>
      <sz val="10"/>
      <color indexed="8"/>
      <name val="Calibri"/>
      <family val="2"/>
      <scheme val="minor"/>
    </font>
    <font>
      <b/>
      <i/>
      <u/>
      <sz val="12"/>
      <color rgb="FFD60093"/>
      <name val="Calibri"/>
      <family val="2"/>
      <scheme val="minor"/>
    </font>
    <font>
      <sz val="11"/>
      <color theme="0" tint="-0.34998626667073579"/>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sz val="9.5"/>
      <name val="Calibri"/>
      <family val="2"/>
      <scheme val="minor"/>
    </font>
    <font>
      <b/>
      <sz val="8"/>
      <color rgb="FFFF0000"/>
      <name val="Cambria"/>
      <family val="1"/>
    </font>
    <font>
      <b/>
      <sz val="8.5"/>
      <name val="Calibri"/>
      <family val="2"/>
      <scheme val="minor"/>
    </font>
    <font>
      <b/>
      <u/>
      <sz val="12"/>
      <color theme="10"/>
      <name val="Arial"/>
      <family val="2"/>
    </font>
    <font>
      <b/>
      <sz val="18"/>
      <color rgb="FFFF0000"/>
      <name val="Arial"/>
      <family val="2"/>
    </font>
    <font>
      <b/>
      <sz val="18"/>
      <color rgb="FF0000CC"/>
      <name val="Arial"/>
      <family val="2"/>
    </font>
    <font>
      <b/>
      <sz val="11"/>
      <name val="Cambria"/>
      <family val="1"/>
      <scheme val="major"/>
    </font>
    <font>
      <b/>
      <i/>
      <sz val="13"/>
      <color rgb="FF0000CC"/>
      <name val="Cambria"/>
      <family val="1"/>
      <scheme val="major"/>
    </font>
    <font>
      <b/>
      <sz val="14"/>
      <color rgb="FFCC00CC"/>
      <name val="Calibri"/>
      <family val="2"/>
      <scheme val="minor"/>
    </font>
    <font>
      <b/>
      <u/>
      <sz val="14"/>
      <color theme="10"/>
      <name val="Calibri"/>
      <family val="2"/>
    </font>
    <font>
      <sz val="11"/>
      <color theme="8" tint="-0.249977111117893"/>
      <name val="Calibri"/>
      <family val="2"/>
      <scheme val="minor"/>
    </font>
    <font>
      <b/>
      <sz val="16"/>
      <color theme="8" tint="-0.249977111117893"/>
      <name val="Kruti Dev 010"/>
    </font>
    <font>
      <b/>
      <sz val="11"/>
      <color theme="0" tint="-0.14999847407452621"/>
      <name val="Calibri"/>
      <family val="2"/>
      <scheme val="minor"/>
    </font>
    <font>
      <b/>
      <sz val="14"/>
      <color rgb="FFFFFF00"/>
      <name val="Calibri"/>
      <family val="2"/>
      <scheme val="minor"/>
    </font>
    <font>
      <b/>
      <sz val="13"/>
      <color theme="1"/>
      <name val="Cambria"/>
      <family val="1"/>
      <scheme val="major"/>
    </font>
    <font>
      <b/>
      <sz val="14"/>
      <color rgb="FFFFFF00"/>
      <name val="Cambria"/>
      <family val="1"/>
      <scheme val="major"/>
    </font>
    <font>
      <b/>
      <i/>
      <sz val="16"/>
      <color rgb="FF9900FF"/>
      <name val="Calibri"/>
      <family val="2"/>
      <scheme val="minor"/>
    </font>
    <font>
      <b/>
      <i/>
      <u/>
      <sz val="16"/>
      <color rgb="FFD60093"/>
      <name val="Calibri"/>
      <family val="2"/>
      <scheme val="minor"/>
    </font>
    <font>
      <sz val="8"/>
      <name val="Tahoma"/>
      <family val="2"/>
    </font>
    <font>
      <b/>
      <sz val="13"/>
      <color rgb="FF9900FF"/>
      <name val="Calibri"/>
      <family val="2"/>
      <scheme val="minor"/>
    </font>
    <font>
      <b/>
      <sz val="12"/>
      <color rgb="FF008E40"/>
      <name val="Calibri"/>
      <family val="2"/>
      <scheme val="minor"/>
    </font>
    <font>
      <b/>
      <sz val="11"/>
      <color rgb="FFCC0099"/>
      <name val="Calibri"/>
      <family val="2"/>
      <scheme val="minor"/>
    </font>
    <font>
      <b/>
      <sz val="10.5"/>
      <color rgb="FF9900FF"/>
      <name val="Calibri"/>
      <family val="2"/>
      <scheme val="minor"/>
    </font>
    <font>
      <b/>
      <sz val="10.5"/>
      <color rgb="FFD60093"/>
      <name val="Calibri"/>
      <family val="2"/>
      <scheme val="minor"/>
    </font>
    <font>
      <b/>
      <sz val="9"/>
      <color theme="0" tint="-4.9989318521683403E-2"/>
      <name val="Calibri"/>
      <family val="2"/>
      <scheme val="minor"/>
    </font>
    <font>
      <b/>
      <sz val="16"/>
      <color theme="0" tint="-4.9989318521683403E-2"/>
      <name val="Kruti Dev 010"/>
    </font>
    <font>
      <b/>
      <sz val="10.5"/>
      <color rgb="FF0000CC"/>
      <name val="Calibri"/>
      <family val="2"/>
      <scheme val="minor"/>
    </font>
    <font>
      <b/>
      <sz val="12"/>
      <color theme="1"/>
      <name val="Cambria"/>
      <family val="1"/>
    </font>
    <font>
      <sz val="10"/>
      <color theme="1"/>
      <name val="Cambria"/>
      <family val="1"/>
    </font>
    <font>
      <b/>
      <u/>
      <sz val="13"/>
      <color rgb="FF0000CC"/>
      <name val="Calibri"/>
      <family val="2"/>
      <scheme val="minor"/>
    </font>
    <font>
      <b/>
      <sz val="12"/>
      <color theme="1"/>
      <name val="Cambria"/>
      <family val="1"/>
      <scheme val="major"/>
    </font>
    <font>
      <b/>
      <sz val="12"/>
      <name val="Cambria"/>
      <family val="1"/>
      <scheme val="major"/>
    </font>
    <font>
      <b/>
      <sz val="10.5"/>
      <color indexed="12"/>
      <name val="Calibri"/>
      <family val="2"/>
      <scheme val="minor"/>
    </font>
    <font>
      <b/>
      <sz val="11"/>
      <color rgb="FFC00000"/>
      <name val="Cambria"/>
      <family val="1"/>
      <scheme val="major"/>
    </font>
    <font>
      <sz val="10"/>
      <name val="Cambria"/>
      <family val="1"/>
      <scheme val="major"/>
    </font>
    <font>
      <b/>
      <sz val="16"/>
      <color indexed="10"/>
      <name val="Cambria"/>
      <family val="1"/>
      <scheme val="major"/>
    </font>
    <font>
      <b/>
      <sz val="10"/>
      <color rgb="FF006600"/>
      <name val="Cambria"/>
      <family val="1"/>
      <scheme val="major"/>
    </font>
    <font>
      <b/>
      <sz val="11"/>
      <color rgb="FFD60093"/>
      <name val="Cambria"/>
      <family val="1"/>
      <scheme val="major"/>
    </font>
    <font>
      <b/>
      <sz val="11"/>
      <color rgb="FF0000CC"/>
      <name val="Calibri"/>
      <family val="2"/>
    </font>
    <font>
      <b/>
      <i/>
      <sz val="10.5"/>
      <name val="Calibri"/>
      <family val="2"/>
      <scheme val="minor"/>
    </font>
    <font>
      <b/>
      <sz val="10.5"/>
      <color rgb="FFFF0000"/>
      <name val="Calibri"/>
      <family val="2"/>
    </font>
    <font>
      <b/>
      <sz val="10.5"/>
      <color rgb="FFFF0000"/>
      <name val="Calibri"/>
      <family val="2"/>
      <scheme val="minor"/>
    </font>
    <font>
      <b/>
      <sz val="10.5"/>
      <color theme="0"/>
      <name val="Calibri"/>
      <family val="2"/>
      <scheme val="minor"/>
    </font>
    <font>
      <b/>
      <sz val="10.5"/>
      <name val="Cambria"/>
      <family val="1"/>
      <scheme val="major"/>
    </font>
    <font>
      <b/>
      <sz val="10.5"/>
      <color rgb="FFFF0000"/>
      <name val="Cambria"/>
      <family val="1"/>
      <scheme val="major"/>
    </font>
    <font>
      <b/>
      <sz val="10.5"/>
      <name val="Times New Roman"/>
      <family val="1"/>
    </font>
    <font>
      <b/>
      <i/>
      <sz val="10.5"/>
      <color indexed="10"/>
      <name val="Calibri"/>
      <family val="2"/>
      <scheme val="minor"/>
    </font>
    <font>
      <b/>
      <sz val="9.5"/>
      <color theme="1"/>
      <name val="Calibri"/>
      <family val="2"/>
      <scheme val="minor"/>
    </font>
    <font>
      <b/>
      <u val="double"/>
      <sz val="12"/>
      <color rgb="FF0000CC"/>
      <name val="Cambria"/>
      <family val="1"/>
      <scheme val="major"/>
    </font>
    <font>
      <b/>
      <sz val="10.5"/>
      <color rgb="FFC00000"/>
      <name val="Calibri"/>
      <family val="2"/>
      <scheme val="minor"/>
    </font>
    <font>
      <b/>
      <u val="double"/>
      <sz val="13"/>
      <color rgb="FFFF0000"/>
      <name val="Calibri"/>
      <family val="2"/>
      <scheme val="minor"/>
    </font>
    <font>
      <b/>
      <sz val="11.5"/>
      <name val="Calibri"/>
      <family val="2"/>
      <scheme val="minor"/>
    </font>
    <font>
      <b/>
      <sz val="11.5"/>
      <color rgb="FF9900FF"/>
      <name val="Calibri"/>
      <family val="2"/>
      <scheme val="minor"/>
    </font>
    <font>
      <b/>
      <sz val="11.5"/>
      <color rgb="FF0000CC"/>
      <name val="Calibri"/>
      <family val="2"/>
      <scheme val="minor"/>
    </font>
    <font>
      <b/>
      <sz val="9.5"/>
      <color rgb="FFCC0099"/>
      <name val="Calibri"/>
      <family val="2"/>
      <scheme val="min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9900FF"/>
      <name val="Calibri"/>
      <family val="2"/>
    </font>
    <font>
      <b/>
      <sz val="11"/>
      <color rgb="FF005024"/>
      <name val="Calibri"/>
      <family val="2"/>
      <scheme val="minor"/>
    </font>
    <font>
      <b/>
      <u/>
      <sz val="11"/>
      <color rgb="FFD60093"/>
      <name val="Calibri"/>
      <family val="2"/>
      <scheme val="minor"/>
    </font>
    <font>
      <b/>
      <u/>
      <sz val="10"/>
      <color rgb="FF9900FF"/>
      <name val="Calibri"/>
      <family val="2"/>
      <scheme val="minor"/>
    </font>
    <font>
      <b/>
      <sz val="11"/>
      <color rgb="FF0000CC"/>
      <name val="Cambria"/>
      <family val="1"/>
      <scheme val="major"/>
    </font>
    <font>
      <b/>
      <u/>
      <sz val="12"/>
      <color rgb="FFD60093"/>
      <name val="Calibri"/>
      <family val="2"/>
      <scheme val="minor"/>
    </font>
    <font>
      <b/>
      <u/>
      <sz val="11"/>
      <color rgb="FF9900FF"/>
      <name val="Calibri"/>
      <family val="2"/>
      <scheme val="minor"/>
    </font>
    <font>
      <b/>
      <sz val="10"/>
      <color rgb="FF0000FF"/>
      <name val="Calibri"/>
      <family val="2"/>
      <scheme val="minor"/>
    </font>
    <font>
      <b/>
      <sz val="13"/>
      <color rgb="FF004620"/>
      <name val="Calibri"/>
      <family val="2"/>
      <scheme val="minor"/>
    </font>
    <font>
      <b/>
      <sz val="9.5"/>
      <color rgb="FFBF11B3"/>
      <name val="Calibri"/>
      <family val="2"/>
      <scheme val="minor"/>
    </font>
    <font>
      <b/>
      <sz val="11"/>
      <color rgb="FF004620"/>
      <name val="Cambria"/>
      <family val="1"/>
      <scheme val="major"/>
    </font>
    <font>
      <b/>
      <u/>
      <sz val="11.5"/>
      <color rgb="FFD60093"/>
      <name val="Calibri"/>
      <family val="2"/>
      <scheme val="minor"/>
    </font>
    <font>
      <b/>
      <u/>
      <sz val="10.5"/>
      <color rgb="FF9900FF"/>
      <name val="Calibri"/>
      <family val="2"/>
      <scheme val="minor"/>
    </font>
    <font>
      <b/>
      <sz val="9"/>
      <color rgb="FFC00000"/>
      <name val="Calibri"/>
      <family val="2"/>
      <scheme val="minor"/>
    </font>
    <font>
      <b/>
      <sz val="11.5"/>
      <name val="DevLys 010"/>
    </font>
    <font>
      <b/>
      <sz val="10"/>
      <color rgb="FF004620"/>
      <name val="Calibri"/>
      <family val="2"/>
      <scheme val="minor"/>
    </font>
    <font>
      <b/>
      <sz val="11.5"/>
      <color rgb="FF004620"/>
      <name val="Calibri"/>
      <family val="2"/>
      <scheme val="minor"/>
    </font>
    <font>
      <b/>
      <sz val="11.5"/>
      <color rgb="FFD60093"/>
      <name val="Calibri"/>
      <family val="2"/>
      <scheme val="minor"/>
    </font>
    <font>
      <b/>
      <sz val="10.5"/>
      <color rgb="FF0000FF"/>
      <name val="Calibri"/>
      <family val="2"/>
      <scheme val="minor"/>
    </font>
    <font>
      <b/>
      <sz val="10"/>
      <color rgb="FFBF11B3"/>
      <name val="Calibri"/>
      <family val="2"/>
      <scheme val="minor"/>
    </font>
    <font>
      <b/>
      <sz val="14"/>
      <color rgb="FFFF0000"/>
      <name val="Wingdings"/>
      <charset val="2"/>
    </font>
    <font>
      <b/>
      <sz val="18"/>
      <color rgb="FFFFFF00"/>
      <name val="Calibri"/>
      <family val="2"/>
      <scheme val="minor"/>
    </font>
    <font>
      <b/>
      <sz val="18"/>
      <color theme="1"/>
      <name val="Calibri"/>
      <family val="2"/>
      <scheme val="minor"/>
    </font>
    <font>
      <b/>
      <u/>
      <sz val="14"/>
      <color theme="10"/>
      <name val="Arial"/>
      <family val="2"/>
    </font>
    <font>
      <b/>
      <sz val="18"/>
      <color rgb="FF00FF00"/>
      <name val="Cambria"/>
      <family val="1"/>
      <scheme val="major"/>
    </font>
    <font>
      <sz val="11"/>
      <color rgb="FFFF0000"/>
      <name val="Calibri"/>
      <family val="2"/>
      <scheme val="minor"/>
    </font>
    <font>
      <b/>
      <sz val="8"/>
      <color rgb="FFE4ED8F"/>
      <name val="Calibri"/>
      <family val="2"/>
      <scheme val="minor"/>
    </font>
    <font>
      <b/>
      <sz val="16"/>
      <color theme="0"/>
      <name val="Kruti Dev 010"/>
    </font>
    <font>
      <b/>
      <sz val="14"/>
      <color theme="0" tint="-0.14999847407452621"/>
      <name val="Calibri"/>
      <family val="2"/>
      <scheme val="minor"/>
    </font>
    <font>
      <b/>
      <sz val="11.5"/>
      <color rgb="FFFF0000"/>
      <name val="Calibri"/>
      <family val="2"/>
      <scheme val="minor"/>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0000CC"/>
      <name val="Calibri"/>
      <family val="2"/>
      <scheme val="minor"/>
    </font>
    <font>
      <b/>
      <sz val="9.5"/>
      <color rgb="FFD60093"/>
      <name val="Calibri"/>
      <family val="2"/>
      <scheme val="minor"/>
    </font>
    <font>
      <b/>
      <sz val="10"/>
      <color rgb="FFD60093"/>
      <name val="Cambria"/>
      <family val="1"/>
      <scheme val="major"/>
    </font>
    <font>
      <b/>
      <sz val="9.5"/>
      <color rgb="FFFF0000"/>
      <name val="Cambria"/>
      <family val="1"/>
      <scheme val="major"/>
    </font>
    <font>
      <b/>
      <sz val="9.5"/>
      <color rgb="FFCC0099"/>
      <name val="Cambria"/>
      <family val="1"/>
      <scheme val="major"/>
    </font>
    <font>
      <b/>
      <u/>
      <sz val="11"/>
      <color theme="1"/>
      <name val="Calibri"/>
      <family val="2"/>
      <scheme val="minor"/>
    </font>
    <font>
      <b/>
      <u/>
      <sz val="12"/>
      <color theme="1"/>
      <name val="Calibri"/>
      <family val="2"/>
      <scheme val="minor"/>
    </font>
    <font>
      <b/>
      <sz val="11"/>
      <color rgb="FFD60093"/>
      <name val="Cambria"/>
      <family val="1"/>
    </font>
    <font>
      <b/>
      <sz val="11"/>
      <color rgb="FF0000CC"/>
      <name val="Cambria"/>
      <family val="1"/>
    </font>
    <font>
      <b/>
      <sz val="9"/>
      <color rgb="FF9900FF"/>
      <name val="Cambria"/>
      <family val="1"/>
      <scheme val="major"/>
    </font>
    <font>
      <b/>
      <sz val="9.5"/>
      <color rgb="FF9900FF"/>
      <name val="Calibri"/>
      <family val="2"/>
      <scheme val="minor"/>
    </font>
    <font>
      <b/>
      <sz val="11"/>
      <color rgb="FFFF0000"/>
      <name val="Cambria"/>
      <family val="1"/>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gradientFill degree="90">
        <stop position="0">
          <color theme="6" tint="-0.25098422193060094"/>
        </stop>
        <stop position="1">
          <color theme="5" tint="0.40000610370189521"/>
        </stop>
      </gradientFill>
    </fill>
    <fill>
      <gradientFill degree="45">
        <stop position="0">
          <color theme="5" tint="0.40000610370189521"/>
        </stop>
        <stop position="1">
          <color theme="9" tint="0.40000610370189521"/>
        </stop>
      </gradientFill>
    </fill>
    <fill>
      <gradientFill type="path" left="0.5" right="0.5" top="0.5" bottom="0.5">
        <stop position="0">
          <color theme="6" tint="0.40000610370189521"/>
        </stop>
        <stop position="1">
          <color theme="7" tint="0.40000610370189521"/>
        </stop>
      </gradientFill>
    </fill>
    <fill>
      <gradientFill degree="90">
        <stop position="0">
          <color theme="0"/>
        </stop>
        <stop position="1">
          <color theme="2"/>
        </stop>
      </gradientFill>
    </fill>
    <fill>
      <gradientFill degree="90">
        <stop position="0">
          <color theme="2" tint="-0.49803155613879818"/>
        </stop>
        <stop position="1">
          <color theme="4"/>
        </stop>
      </gradientFill>
    </fill>
    <fill>
      <gradientFill degree="90">
        <stop position="0">
          <color theme="5" tint="-0.25098422193060094"/>
        </stop>
        <stop position="1">
          <color theme="4"/>
        </stop>
      </gradientFill>
    </fill>
    <fill>
      <gradientFill degree="90">
        <stop position="0">
          <color theme="8" tint="-0.25098422193060094"/>
        </stop>
        <stop position="1">
          <color theme="6"/>
        </stop>
      </gradientFill>
    </fill>
    <fill>
      <gradientFill degree="90">
        <stop position="0">
          <color rgb="FF004620"/>
        </stop>
        <stop position="1">
          <color theme="5"/>
        </stop>
      </gradientFill>
    </fill>
    <fill>
      <gradientFill degree="90">
        <stop position="0">
          <color rgb="FFFFFF00"/>
        </stop>
        <stop position="1">
          <color theme="5"/>
        </stop>
      </gradient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gradientFill type="path">
        <stop position="0">
          <color theme="0"/>
        </stop>
        <stop position="1">
          <color rgb="FF7030A0"/>
        </stop>
      </gradientFill>
    </fill>
  </fills>
  <borders count="3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hair">
        <color rgb="FF00B0F0"/>
      </left>
      <right style="hair">
        <color rgb="FF00B0F0"/>
      </right>
      <top style="hair">
        <color rgb="FF00B0F0"/>
      </top>
      <bottom/>
      <diagonal/>
    </border>
    <border>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hair">
        <color rgb="FF00B0F0"/>
      </left>
      <right style="medium">
        <color theme="9" tint="-0.499984740745262"/>
      </right>
      <top style="hair">
        <color rgb="FF00B0F0"/>
      </top>
      <bottom style="hair">
        <color rgb="FF00B0F0"/>
      </bottom>
      <diagonal/>
    </border>
    <border>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style="double">
        <color theme="5" tint="-0.499984740745262"/>
      </top>
      <bottom style="double">
        <color theme="5" tint="-0.249977111117893"/>
      </bottom>
      <diagonal/>
    </border>
    <border>
      <left/>
      <right style="double">
        <color theme="5" tint="-0.499984740745262"/>
      </right>
      <top style="double">
        <color theme="5" tint="-0.499984740745262"/>
      </top>
      <bottom style="double">
        <color theme="5" tint="-0.249977111117893"/>
      </bottom>
      <diagonal/>
    </border>
    <border>
      <left/>
      <right/>
      <top style="double">
        <color theme="5" tint="-0.499984740745262"/>
      </top>
      <bottom style="double">
        <color theme="5" tint="-0.249977111117893"/>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249977111117893"/>
      </right>
      <top/>
      <bottom/>
      <diagonal/>
    </border>
    <border>
      <left/>
      <right style="double">
        <color theme="5" tint="-0.249977111117893"/>
      </right>
      <top style="double">
        <color theme="5" tint="-0.499984740745262"/>
      </top>
      <bottom/>
      <diagonal/>
    </border>
    <border>
      <left/>
      <right style="double">
        <color theme="5" tint="-0.249977111117893"/>
      </right>
      <top/>
      <bottom style="medium">
        <color theme="9" tint="-0.499984740745262"/>
      </bottom>
      <diagonal/>
    </border>
    <border>
      <left style="double">
        <color rgb="FF00B050"/>
      </left>
      <right style="double">
        <color rgb="FF00B050"/>
      </right>
      <top style="double">
        <color rgb="FF00B050"/>
      </top>
      <bottom style="double">
        <color rgb="FF00B050"/>
      </bottom>
      <diagonal/>
    </border>
    <border>
      <left style="double">
        <color rgb="FF00B050"/>
      </left>
      <right style="double">
        <color rgb="FF00B050"/>
      </right>
      <top/>
      <bottom style="double">
        <color rgb="FF00B050"/>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style="thin">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style="thin">
        <color rgb="FF00B050"/>
      </left>
      <right/>
      <top/>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style="thin">
        <color rgb="FF008E40"/>
      </left>
      <right/>
      <top/>
      <bottom style="thin">
        <color rgb="FF008E40"/>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style="thin">
        <color rgb="FF00B050"/>
      </left>
      <right style="double">
        <color rgb="FF00B050"/>
      </right>
      <top style="thin">
        <color rgb="FF00B050"/>
      </top>
      <bottom style="thin">
        <color rgb="FF00B050"/>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theme="5" tint="-0.249977111117893"/>
      </left>
      <right style="thin">
        <color theme="5" tint="-0.249977111117893"/>
      </right>
      <top/>
      <bottom style="thin">
        <color theme="5" tint="-0.249977111117893"/>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style="double">
        <color theme="5" tint="-0.249977111117893"/>
      </left>
      <right style="double">
        <color theme="5" tint="-0.249977111117893"/>
      </right>
      <top style="double">
        <color theme="9" tint="-0.499984740745262"/>
      </top>
      <bottom/>
      <diagonal/>
    </border>
    <border>
      <left style="medium">
        <color theme="9" tint="-0.499984740745262"/>
      </left>
      <right style="hair">
        <color rgb="FF00B0F0"/>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top style="medium">
        <color theme="9" tint="-0.499984740745262"/>
      </top>
      <bottom style="hair">
        <color rgb="FF00B0F0"/>
      </bottom>
      <diagonal/>
    </border>
    <border>
      <left style="hair">
        <color rgb="FF00B0F0"/>
      </left>
      <right/>
      <top style="hair">
        <color rgb="FF00B0F0"/>
      </top>
      <bottom style="hair">
        <color rgb="FF00B0F0"/>
      </bottom>
      <diagonal/>
    </border>
    <border>
      <left style="hair">
        <color rgb="FF00B0F0"/>
      </left>
      <right/>
      <top style="hair">
        <color rgb="FF00B0F0"/>
      </top>
      <bottom/>
      <diagonal/>
    </border>
    <border>
      <left style="hair">
        <color rgb="FF00B0F0"/>
      </left>
      <right/>
      <top style="hair">
        <color rgb="FF00B0F0"/>
      </top>
      <bottom style="medium">
        <color theme="9" tint="-0.499984740745262"/>
      </bottom>
      <diagonal/>
    </border>
    <border>
      <left style="medium">
        <color theme="9" tint="-0.499984740745262"/>
      </left>
      <right style="hair">
        <color rgb="FF00B0F0"/>
      </right>
      <top style="hair">
        <color rgb="FF00B0F0"/>
      </top>
      <bottom/>
      <diagonal/>
    </border>
    <border>
      <left style="double">
        <color indexed="64"/>
      </left>
      <right style="thin">
        <color indexed="64"/>
      </right>
      <top style="thin">
        <color indexed="64"/>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style="thin">
        <color rgb="FF9900FF"/>
      </top>
      <bottom/>
      <diagonal/>
    </border>
    <border>
      <left style="thin">
        <color rgb="FF9900FF"/>
      </left>
      <right style="thin">
        <color rgb="FF9900FF"/>
      </right>
      <top/>
      <bottom style="thin">
        <color rgb="FF9900FF"/>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diagonal/>
    </border>
    <border>
      <left/>
      <right style="double">
        <color theme="9" tint="-0.499984740745262"/>
      </right>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style="medium">
        <color rgb="FF9900FF"/>
      </left>
      <right style="medium">
        <color rgb="FFFF0000"/>
      </right>
      <top style="medium">
        <color rgb="FF9900FF"/>
      </top>
      <bottom/>
      <diagonal/>
    </border>
    <border>
      <left/>
      <right style="medium">
        <color rgb="FF9900FF"/>
      </right>
      <top style="medium">
        <color rgb="FF9900FF"/>
      </top>
      <bottom style="thin">
        <color rgb="FFFF0000"/>
      </bottom>
      <diagonal/>
    </border>
    <border>
      <left style="medium">
        <color rgb="FF9900FF"/>
      </left>
      <right style="medium">
        <color rgb="FFFF0000"/>
      </right>
      <top/>
      <bottom/>
      <diagonal/>
    </border>
    <border>
      <left/>
      <right style="medium">
        <color rgb="FF9900FF"/>
      </right>
      <top style="thin">
        <color rgb="FFFF0000"/>
      </top>
      <bottom style="thin">
        <color rgb="FFFF0000"/>
      </bottom>
      <diagonal/>
    </border>
    <border>
      <left/>
      <right style="medium">
        <color rgb="FF9900FF"/>
      </right>
      <top style="thin">
        <color rgb="FFFF0000"/>
      </top>
      <bottom/>
      <diagonal/>
    </border>
    <border>
      <left style="medium">
        <color rgb="FF9900FF"/>
      </left>
      <right style="medium">
        <color rgb="FFFF0000"/>
      </right>
      <top style="medium">
        <color rgb="FF9900FF"/>
      </top>
      <bottom style="medium">
        <color rgb="FF9900FF"/>
      </bottom>
      <diagonal/>
    </border>
    <border>
      <left/>
      <right style="medium">
        <color rgb="FF9900FF"/>
      </right>
      <top style="medium">
        <color rgb="FF9900FF"/>
      </top>
      <bottom style="medium">
        <color rgb="FF9900FF"/>
      </bottom>
      <diagonal/>
    </border>
    <border>
      <left/>
      <right style="medium">
        <color rgb="FF9900FF"/>
      </right>
      <top style="medium">
        <color rgb="FF9900FF"/>
      </top>
      <bottom style="thin">
        <color indexed="64"/>
      </bottom>
      <diagonal/>
    </border>
    <border>
      <left/>
      <right style="medium">
        <color rgb="FF9900FF"/>
      </right>
      <top style="thin">
        <color indexed="64"/>
      </top>
      <bottom style="thin">
        <color indexed="64"/>
      </bottom>
      <diagonal/>
    </border>
    <border>
      <left/>
      <right style="medium">
        <color rgb="FF9900FF"/>
      </right>
      <top style="thin">
        <color indexed="64"/>
      </top>
      <bottom style="medium">
        <color rgb="FF9900FF"/>
      </bottom>
      <diagonal/>
    </border>
    <border>
      <left style="medium">
        <color rgb="FF9900FF"/>
      </left>
      <right style="medium">
        <color rgb="FF9900FF"/>
      </right>
      <top style="medium">
        <color rgb="FF9900FF"/>
      </top>
      <bottom/>
      <diagonal/>
    </border>
    <border>
      <left style="medium">
        <color rgb="FF9900FF"/>
      </left>
      <right style="medium">
        <color rgb="FF9900FF"/>
      </right>
      <top/>
      <bottom/>
      <diagonal/>
    </border>
    <border>
      <left style="medium">
        <color rgb="FF9900FF"/>
      </left>
      <right style="medium">
        <color rgb="FF9900FF"/>
      </right>
      <top/>
      <bottom style="thin">
        <color indexed="64"/>
      </bottom>
      <diagonal/>
    </border>
    <border>
      <left style="medium">
        <color rgb="FF9900FF"/>
      </left>
      <right style="medium">
        <color rgb="FF9900FF"/>
      </right>
      <top style="thin">
        <color indexed="64"/>
      </top>
      <bottom style="thin">
        <color indexed="64"/>
      </bottom>
      <diagonal/>
    </border>
    <border>
      <left style="medium">
        <color rgb="FF9900FF"/>
      </left>
      <right style="medium">
        <color rgb="FF9900FF"/>
      </right>
      <top style="thin">
        <color indexed="64"/>
      </top>
      <bottom/>
      <diagonal/>
    </border>
    <border>
      <left style="medium">
        <color rgb="FF9900FF"/>
      </left>
      <right style="medium">
        <color rgb="FF9900FF"/>
      </right>
      <top/>
      <bottom style="medium">
        <color rgb="FF9900FF"/>
      </bottom>
      <diagonal/>
    </border>
    <border>
      <left style="medium">
        <color rgb="FFCC00CC"/>
      </left>
      <right style="medium">
        <color rgb="FFCC00CC"/>
      </right>
      <top style="medium">
        <color rgb="FFCC00CC"/>
      </top>
      <bottom style="medium">
        <color rgb="FFCC00CC"/>
      </bottom>
      <diagonal/>
    </border>
    <border>
      <left style="thin">
        <color rgb="FF00B050"/>
      </left>
      <right/>
      <top style="double">
        <color rgb="FF00B050"/>
      </top>
      <bottom style="double">
        <color rgb="FF00B050"/>
      </bottom>
      <diagonal/>
    </border>
    <border>
      <left/>
      <right style="thin">
        <color rgb="FF00B050"/>
      </right>
      <top style="double">
        <color rgb="FF00B050"/>
      </top>
      <bottom style="double">
        <color rgb="FF00B050"/>
      </bottom>
      <diagonal/>
    </border>
    <border>
      <left/>
      <right/>
      <top style="double">
        <color rgb="FF00B050"/>
      </top>
      <bottom style="double">
        <color rgb="FF00B050"/>
      </bottom>
      <diagonal/>
    </border>
    <border>
      <left style="double">
        <color theme="9" tint="-0.499984740745262"/>
      </left>
      <right/>
      <top style="double">
        <color theme="9" tint="-0.499984740745262"/>
      </top>
      <bottom/>
      <diagonal/>
    </border>
    <border>
      <left style="medium">
        <color theme="5" tint="-0.499984740745262"/>
      </left>
      <right style="thin">
        <color theme="5" tint="-0.249977111117893"/>
      </right>
      <top style="medium">
        <color theme="5" tint="-0.499984740745262"/>
      </top>
      <bottom style="thin">
        <color theme="5" tint="-0.249977111117893"/>
      </bottom>
      <diagonal/>
    </border>
    <border>
      <left style="thin">
        <color theme="5" tint="-0.249977111117893"/>
      </left>
      <right style="thin">
        <color theme="5" tint="-0.249977111117893"/>
      </right>
      <top style="medium">
        <color theme="5" tint="-0.499984740745262"/>
      </top>
      <bottom style="thin">
        <color theme="5" tint="-0.249977111117893"/>
      </bottom>
      <diagonal/>
    </border>
    <border>
      <left style="medium">
        <color theme="5" tint="-0.499984740745262"/>
      </left>
      <right style="thin">
        <color theme="5" tint="-0.249977111117893"/>
      </right>
      <top/>
      <bottom style="thin">
        <color theme="5" tint="-0.249977111117893"/>
      </bottom>
      <diagonal/>
    </border>
    <border>
      <left style="medium">
        <color theme="5" tint="-0.499984740745262"/>
      </left>
      <right style="thin">
        <color theme="5" tint="-0.249977111117893"/>
      </right>
      <top/>
      <bottom style="medium">
        <color theme="5" tint="-0.499984740745262"/>
      </bottom>
      <diagonal/>
    </border>
    <border>
      <left style="double">
        <color theme="5" tint="-0.249977111117893"/>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style="double">
        <color theme="5" tint="-0.499984740745262"/>
      </left>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diagonal/>
    </border>
    <border>
      <left style="double">
        <color theme="5" tint="-0.249977111117893"/>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style="thin">
        <color theme="5" tint="-0.249977111117893"/>
      </left>
      <right/>
      <top style="medium">
        <color theme="5" tint="-0.499984740745262"/>
      </top>
      <bottom style="thin">
        <color theme="5" tint="-0.249977111117893"/>
      </bottom>
      <diagonal/>
    </border>
    <border>
      <left style="thin">
        <color theme="5" tint="-0.249977111117893"/>
      </left>
      <right/>
      <top/>
      <bottom style="thin">
        <color theme="5" tint="-0.249977111117893"/>
      </bottom>
      <diagonal/>
    </border>
    <border>
      <left style="hair">
        <color rgb="FF00B0F0"/>
      </left>
      <right style="medium">
        <color theme="9" tint="-0.499984740745262"/>
      </right>
      <top style="hair">
        <color rgb="FF00B0F0"/>
      </top>
      <bottom/>
      <diagonal/>
    </border>
    <border>
      <left style="medium">
        <color rgb="FFCC0099"/>
      </left>
      <right style="thin">
        <color rgb="FFCC0099"/>
      </right>
      <top/>
      <bottom style="thin">
        <color rgb="FFCC0099"/>
      </bottom>
      <diagonal/>
    </border>
    <border>
      <left style="medium">
        <color rgb="FFCC0099"/>
      </left>
      <right style="thin">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CC0099"/>
      </left>
      <right style="medium">
        <color rgb="FFCC0099"/>
      </right>
      <top style="thin">
        <color rgb="FFCC0099"/>
      </top>
      <bottom style="thin">
        <color rgb="FFCC0099"/>
      </bottom>
      <diagonal/>
    </border>
    <border>
      <left style="thin">
        <color rgb="FFCC0099"/>
      </left>
      <right style="medium">
        <color rgb="FFCC0099"/>
      </right>
      <top style="thin">
        <color rgb="FFCC0099"/>
      </top>
      <bottom style="medium">
        <color rgb="FFCC0099"/>
      </bottom>
      <diagonal/>
    </border>
    <border>
      <left style="thin">
        <color rgb="FFCC0099"/>
      </left>
      <right style="medium">
        <color rgb="FFCC0099"/>
      </right>
      <top style="medium">
        <color rgb="FFCC0099"/>
      </top>
      <bottom style="thin">
        <color rgb="FFCC0099"/>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medium">
        <color rgb="FF00B050"/>
      </right>
      <top style="medium">
        <color rgb="FF00B050"/>
      </top>
      <bottom/>
      <diagonal/>
    </border>
    <border>
      <left style="thin">
        <color rgb="FF00B050"/>
      </left>
      <right style="double">
        <color rgb="FF00B050"/>
      </right>
      <top/>
      <bottom style="thin">
        <color rgb="FF00B050"/>
      </bottom>
      <diagonal/>
    </border>
    <border>
      <left style="double">
        <color rgb="FF00B050"/>
      </left>
      <right/>
      <top style="double">
        <color rgb="FF00B050"/>
      </top>
      <bottom style="double">
        <color rgb="FF00B050"/>
      </bottom>
      <diagonal/>
    </border>
    <border>
      <left style="thin">
        <color rgb="FF0000CC"/>
      </left>
      <right style="thin">
        <color rgb="FF0000CC"/>
      </right>
      <top/>
      <bottom style="thin">
        <color rgb="FF0000CC"/>
      </bottom>
      <diagonal/>
    </border>
    <border>
      <left style="medium">
        <color rgb="FF0000CC"/>
      </left>
      <right/>
      <top style="medium">
        <color rgb="FF0000CC"/>
      </top>
      <bottom/>
      <diagonal/>
    </border>
    <border>
      <left/>
      <right style="thin">
        <color rgb="FF0000CC"/>
      </right>
      <top style="medium">
        <color rgb="FF0000CC"/>
      </top>
      <bottom/>
      <diagonal/>
    </border>
    <border>
      <left style="thin">
        <color rgb="FF0000CC"/>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medium">
        <color rgb="FF0000CC"/>
      </left>
      <right/>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style="thin">
        <color rgb="FF0000CC"/>
      </right>
      <top style="thin">
        <color rgb="FF0000CC"/>
      </top>
      <bottom style="thin">
        <color rgb="FF0000CC"/>
      </bottom>
      <diagonal/>
    </border>
    <border>
      <left/>
      <right style="medium">
        <color rgb="FF0000CC"/>
      </right>
      <top style="thin">
        <color rgb="FF0000CC"/>
      </top>
      <bottom/>
      <diagonal/>
    </border>
    <border>
      <left/>
      <right style="medium">
        <color rgb="FF0000CC"/>
      </right>
      <top/>
      <bottom/>
      <diagonal/>
    </border>
    <border>
      <left/>
      <right style="medium">
        <color rgb="FF0000CC"/>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style="thin">
        <color rgb="FF0000CC"/>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right style="thin">
        <color rgb="FF9900FF"/>
      </right>
      <top style="thin">
        <color rgb="FF9900FF"/>
      </top>
      <bottom/>
      <diagonal/>
    </border>
    <border>
      <left style="medium">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medium">
        <color rgb="FF0000CC"/>
      </right>
      <top style="thin">
        <color rgb="FF0000CC"/>
      </top>
      <bottom style="medium">
        <color rgb="FF0000CC"/>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style="thin">
        <color rgb="FF004620"/>
      </right>
      <top style="thin">
        <color rgb="FF006600"/>
      </top>
      <bottom style="thin">
        <color rgb="FF004620"/>
      </bottom>
      <diagonal/>
    </border>
    <border>
      <left style="thin">
        <color rgb="FF005024"/>
      </left>
      <right style="thin">
        <color rgb="FF005024"/>
      </right>
      <top/>
      <bottom/>
      <diagonal/>
    </border>
    <border>
      <left style="thin">
        <color rgb="FF005024"/>
      </left>
      <right style="thin">
        <color rgb="FF005024"/>
      </right>
      <top/>
      <bottom style="thin">
        <color rgb="FF005024"/>
      </bottom>
      <diagonal/>
    </border>
    <border>
      <left style="thin">
        <color rgb="FF005024"/>
      </left>
      <right/>
      <top style="thin">
        <color rgb="FF005024"/>
      </top>
      <bottom style="thin">
        <color rgb="FF005024"/>
      </bottom>
      <diagonal/>
    </border>
    <border>
      <left/>
      <right style="thin">
        <color rgb="FF005024"/>
      </right>
      <top style="thin">
        <color rgb="FF005024"/>
      </top>
      <bottom style="thin">
        <color rgb="FF005024"/>
      </bottom>
      <diagonal/>
    </border>
    <border>
      <left/>
      <right/>
      <top style="thin">
        <color rgb="FF005024"/>
      </top>
      <bottom style="thin">
        <color rgb="FF005024"/>
      </bottom>
      <diagonal/>
    </border>
    <border>
      <left style="thin">
        <color rgb="FF004620"/>
      </left>
      <right/>
      <top style="thin">
        <color rgb="FF004620"/>
      </top>
      <bottom style="thin">
        <color rgb="FF00462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2" fillId="0" borderId="0"/>
    <xf numFmtId="0" fontId="4" fillId="0" borderId="0"/>
    <xf numFmtId="0" fontId="5" fillId="0" borderId="0"/>
    <xf numFmtId="0" fontId="34" fillId="0" borderId="0" applyNumberFormat="0" applyFill="0" applyBorder="0" applyAlignment="0" applyProtection="0">
      <alignment vertical="top"/>
      <protection locked="0"/>
    </xf>
    <xf numFmtId="0" fontId="32" fillId="0" borderId="0"/>
  </cellStyleXfs>
  <cellXfs count="1766">
    <xf numFmtId="0" fontId="0" fillId="0" borderId="0" xfId="0"/>
    <xf numFmtId="0" fontId="0" fillId="8" borderId="0" xfId="0" applyFill="1" applyProtection="1">
      <protection hidden="1"/>
    </xf>
    <xf numFmtId="0" fontId="12" fillId="11" borderId="1" xfId="0" applyFont="1" applyFill="1" applyBorder="1" applyAlignment="1" applyProtection="1">
      <alignment vertical="center"/>
    </xf>
    <xf numFmtId="0" fontId="13" fillId="0" borderId="1" xfId="0" applyFont="1" applyBorder="1" applyAlignment="1" applyProtection="1">
      <alignment horizontal="left" vertical="center"/>
    </xf>
    <xf numFmtId="0" fontId="15" fillId="0" borderId="0" xfId="0" applyFont="1" applyFill="1" applyBorder="1" applyAlignment="1" applyProtection="1">
      <alignment horizontal="center" vertical="center" textRotation="90"/>
    </xf>
    <xf numFmtId="0" fontId="14" fillId="0" borderId="0" xfId="0" applyFont="1" applyFill="1" applyBorder="1" applyAlignment="1" applyProtection="1">
      <alignment vertical="center" wrapText="1"/>
    </xf>
    <xf numFmtId="0" fontId="19" fillId="0" borderId="0" xfId="0" applyFont="1" applyFill="1" applyBorder="1" applyAlignment="1" applyProtection="1">
      <alignment horizontal="center" vertical="center" textRotation="90"/>
    </xf>
    <xf numFmtId="0" fontId="16" fillId="0" borderId="0" xfId="0" applyFont="1" applyFill="1" applyBorder="1" applyAlignment="1" applyProtection="1">
      <alignment horizontal="center" vertical="center" wrapText="1"/>
    </xf>
    <xf numFmtId="1" fontId="23" fillId="0" borderId="0" xfId="0" applyNumberFormat="1" applyFont="1" applyFill="1" applyBorder="1" applyAlignment="1" applyProtection="1">
      <alignment horizontal="center" vertical="center"/>
    </xf>
    <xf numFmtId="1" fontId="9" fillId="0" borderId="0" xfId="0" applyNumberFormat="1" applyFont="1" applyFill="1" applyBorder="1" applyAlignment="1" applyProtection="1">
      <alignment horizontal="center"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3" fillId="10" borderId="50"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10"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26" fillId="3" borderId="9" xfId="0" applyFont="1" applyFill="1" applyBorder="1" applyAlignment="1" applyProtection="1">
      <alignment horizontal="center" vertical="center" wrapText="1"/>
      <protection locked="0"/>
    </xf>
    <xf numFmtId="0" fontId="5" fillId="0" borderId="0" xfId="0" applyFont="1" applyFill="1" applyBorder="1" applyAlignment="1" applyProtection="1">
      <alignment vertical="center"/>
    </xf>
    <xf numFmtId="0" fontId="139" fillId="0" borderId="0" xfId="0" applyNumberFormat="1" applyFont="1" applyFill="1" applyBorder="1" applyAlignment="1" applyProtection="1">
      <alignment horizontal="center" vertical="center" wrapText="1"/>
    </xf>
    <xf numFmtId="0" fontId="140" fillId="0" borderId="0" xfId="0" applyNumberFormat="1" applyFont="1" applyFill="1" applyBorder="1" applyAlignment="1" applyProtection="1">
      <alignment horizontal="center" vertical="center" wrapText="1"/>
    </xf>
    <xf numFmtId="0" fontId="141"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0" fontId="144" fillId="0" borderId="0" xfId="0" applyFont="1" applyFill="1" applyBorder="1" applyAlignment="1" applyProtection="1">
      <alignment horizontal="center" vertical="center" wrapText="1"/>
    </xf>
    <xf numFmtId="0" fontId="145" fillId="0" borderId="0" xfId="0" applyFont="1" applyFill="1" applyBorder="1" applyAlignment="1">
      <alignment horizontal="left" vertical="center" wrapText="1"/>
    </xf>
    <xf numFmtId="0" fontId="147" fillId="0" borderId="0" xfId="0" applyFont="1" applyFill="1" applyBorder="1" applyAlignment="1">
      <alignment horizontal="left"/>
    </xf>
    <xf numFmtId="0" fontId="149" fillId="0" borderId="0" xfId="0" applyFont="1" applyFill="1" applyBorder="1" applyAlignment="1">
      <alignment wrapText="1"/>
    </xf>
    <xf numFmtId="0" fontId="150" fillId="0" borderId="0" xfId="0" applyFont="1" applyFill="1" applyBorder="1" applyAlignment="1">
      <alignment horizontal="left" vertical="center" wrapText="1"/>
    </xf>
    <xf numFmtId="0" fontId="150"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5" fillId="0" borderId="0" xfId="0" applyFont="1" applyFill="1" applyBorder="1" applyAlignment="1">
      <alignment horizontal="center" vertical="center" wrapText="1"/>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61" fillId="0" borderId="0" xfId="0" applyFont="1" applyFill="1" applyBorder="1" applyAlignment="1">
      <alignment horizontal="center" vertical="center" wrapText="1"/>
    </xf>
    <xf numFmtId="0" fontId="0" fillId="26" borderId="0" xfId="0" applyFill="1" applyProtection="1">
      <protection hidden="1"/>
    </xf>
    <xf numFmtId="0" fontId="94" fillId="26" borderId="0" xfId="0" applyFont="1" applyFill="1" applyAlignment="1" applyProtection="1">
      <alignment horizontal="center" vertical="center"/>
      <protection hidden="1"/>
    </xf>
    <xf numFmtId="0" fontId="10" fillId="26" borderId="0" xfId="0" applyFont="1" applyFill="1" applyAlignment="1" applyProtection="1">
      <alignment vertical="center" wrapText="1"/>
      <protection hidden="1"/>
    </xf>
    <xf numFmtId="0" fontId="11" fillId="26" borderId="0" xfId="0" applyFont="1" applyFill="1" applyBorder="1" applyAlignment="1" applyProtection="1">
      <alignment horizontal="center" vertical="center"/>
      <protection hidden="1"/>
    </xf>
    <xf numFmtId="0" fontId="11" fillId="26" borderId="0" xfId="0" applyFont="1" applyFill="1" applyBorder="1" applyAlignment="1" applyProtection="1">
      <alignment vertical="center"/>
      <protection hidden="1"/>
    </xf>
    <xf numFmtId="0" fontId="9" fillId="3" borderId="77" xfId="0" applyFont="1" applyFill="1" applyBorder="1" applyAlignment="1" applyProtection="1">
      <alignment horizontal="center" vertical="center" wrapText="1"/>
      <protection locked="0"/>
    </xf>
    <xf numFmtId="0" fontId="9" fillId="3" borderId="78" xfId="0" applyFont="1" applyFill="1" applyBorder="1" applyAlignment="1" applyProtection="1">
      <alignment horizontal="center" vertical="center" wrapText="1"/>
      <protection locked="0"/>
    </xf>
    <xf numFmtId="0" fontId="9" fillId="3" borderId="79" xfId="0" applyFont="1" applyFill="1" applyBorder="1" applyAlignment="1" applyProtection="1">
      <alignment horizontal="center" vertical="center" wrapText="1"/>
      <protection locked="0"/>
    </xf>
    <xf numFmtId="0" fontId="26" fillId="3" borderId="79" xfId="0" applyFont="1" applyFill="1" applyBorder="1" applyAlignment="1" applyProtection="1">
      <alignment horizontal="center" vertical="center" wrapText="1"/>
      <protection locked="0"/>
    </xf>
    <xf numFmtId="0" fontId="9" fillId="3" borderId="82" xfId="0" applyFont="1" applyFill="1" applyBorder="1" applyAlignment="1" applyProtection="1">
      <alignment horizontal="center" vertical="center" wrapText="1"/>
      <protection locked="0"/>
    </xf>
    <xf numFmtId="0" fontId="9" fillId="3" borderId="83" xfId="0" applyFont="1" applyFill="1" applyBorder="1" applyAlignment="1" applyProtection="1">
      <alignment horizontal="center" vertical="center" wrapText="1"/>
      <protection locked="0"/>
    </xf>
    <xf numFmtId="0" fontId="21" fillId="2" borderId="11" xfId="0" applyFont="1" applyFill="1" applyBorder="1" applyAlignment="1" applyProtection="1">
      <alignment horizontal="center" vertical="center" wrapText="1"/>
      <protection locked="0"/>
    </xf>
    <xf numFmtId="0" fontId="21" fillId="2" borderId="14" xfId="0" applyFont="1" applyFill="1" applyBorder="1" applyAlignment="1" applyProtection="1">
      <alignment horizontal="center" vertical="center" wrapText="1"/>
      <protection locked="0"/>
    </xf>
    <xf numFmtId="0" fontId="22" fillId="2" borderId="14" xfId="0" applyFont="1" applyFill="1" applyBorder="1" applyAlignment="1" applyProtection="1">
      <alignment horizontal="center" vertical="center" wrapText="1"/>
      <protection locked="0"/>
    </xf>
    <xf numFmtId="0" fontId="172" fillId="3" borderId="9" xfId="0" applyFont="1" applyFill="1" applyBorder="1" applyAlignment="1" applyProtection="1">
      <alignment horizontal="center" vertical="center" wrapText="1"/>
      <protection locked="0"/>
    </xf>
    <xf numFmtId="0" fontId="172" fillId="3" borderId="77" xfId="0" applyFont="1" applyFill="1" applyBorder="1" applyAlignment="1" applyProtection="1">
      <alignment horizontal="center" vertical="center" wrapText="1"/>
      <protection locked="0"/>
    </xf>
    <xf numFmtId="0" fontId="172" fillId="3" borderId="83" xfId="0" applyFont="1" applyFill="1" applyBorder="1" applyAlignment="1" applyProtection="1">
      <alignment horizontal="center" vertical="center" wrapText="1"/>
      <protection locked="0"/>
    </xf>
    <xf numFmtId="0" fontId="172" fillId="3" borderId="79" xfId="0" applyFont="1" applyFill="1" applyBorder="1" applyAlignment="1" applyProtection="1">
      <alignment horizontal="center" vertical="center" wrapText="1"/>
      <protection locked="0"/>
    </xf>
    <xf numFmtId="0" fontId="174" fillId="3" borderId="79" xfId="0" applyFont="1" applyFill="1" applyBorder="1" applyAlignment="1" applyProtection="1">
      <alignment horizontal="center" vertical="center" wrapText="1"/>
      <protection locked="0"/>
    </xf>
    <xf numFmtId="0" fontId="174" fillId="3" borderId="9" xfId="0" applyFont="1" applyFill="1" applyBorder="1" applyAlignment="1" applyProtection="1">
      <alignment horizontal="center" vertical="center" wrapText="1"/>
      <protection locked="0"/>
    </xf>
    <xf numFmtId="0" fontId="174" fillId="3" borderId="77" xfId="0" applyFont="1" applyFill="1" applyBorder="1" applyAlignment="1" applyProtection="1">
      <alignment horizontal="center" vertical="center" wrapText="1"/>
      <protection locked="0"/>
    </xf>
    <xf numFmtId="0" fontId="174" fillId="3" borderId="83" xfId="0" applyFont="1" applyFill="1" applyBorder="1" applyAlignment="1" applyProtection="1">
      <alignment horizontal="center" vertical="center" wrapText="1"/>
      <protection locked="0"/>
    </xf>
    <xf numFmtId="0" fontId="176" fillId="24" borderId="101" xfId="0" applyFont="1" applyFill="1" applyBorder="1" applyAlignment="1" applyProtection="1">
      <alignment horizontal="center" vertical="center" wrapText="1"/>
      <protection hidden="1"/>
    </xf>
    <xf numFmtId="0" fontId="127" fillId="0" borderId="101" xfId="0" applyFont="1" applyBorder="1" applyAlignment="1" applyProtection="1">
      <alignment horizontal="left" vertical="center"/>
      <protection locked="0"/>
    </xf>
    <xf numFmtId="0" fontId="9" fillId="0" borderId="101" xfId="0" applyFont="1" applyFill="1" applyBorder="1" applyAlignment="1" applyProtection="1">
      <alignment horizontal="center" vertical="center" wrapText="1"/>
      <protection locked="0"/>
    </xf>
    <xf numFmtId="0" fontId="63" fillId="0" borderId="101" xfId="0" applyFont="1" applyBorder="1" applyAlignment="1" applyProtection="1">
      <alignment horizontal="left" vertical="center"/>
      <protection locked="0"/>
    </xf>
    <xf numFmtId="0" fontId="63" fillId="0" borderId="101" xfId="0" applyFont="1" applyFill="1" applyBorder="1" applyAlignment="1" applyProtection="1">
      <alignment vertical="center" wrapText="1"/>
      <protection locked="0"/>
    </xf>
    <xf numFmtId="0" fontId="41" fillId="11" borderId="18" xfId="0" applyFont="1" applyFill="1" applyBorder="1" applyAlignment="1" applyProtection="1">
      <alignment horizontal="center" vertical="center"/>
      <protection hidden="1"/>
    </xf>
    <xf numFmtId="0" fontId="176" fillId="24" borderId="102" xfId="0" applyFont="1" applyFill="1" applyBorder="1" applyAlignment="1" applyProtection="1">
      <alignment horizontal="center" vertical="center" wrapText="1"/>
      <protection hidden="1"/>
    </xf>
    <xf numFmtId="0" fontId="127" fillId="0" borderId="101" xfId="0" applyFont="1" applyBorder="1" applyAlignment="1" applyProtection="1">
      <alignment vertical="center"/>
      <protection locked="0"/>
    </xf>
    <xf numFmtId="0" fontId="8" fillId="0" borderId="101" xfId="0" applyFont="1" applyFill="1" applyBorder="1" applyAlignment="1" applyProtection="1">
      <alignment horizontal="center" vertical="center" wrapText="1"/>
      <protection locked="0"/>
    </xf>
    <xf numFmtId="0" fontId="63" fillId="0" borderId="101" xfId="0" applyFont="1" applyBorder="1" applyAlignment="1" applyProtection="1">
      <alignment vertical="center"/>
      <protection locked="0"/>
    </xf>
    <xf numFmtId="0" fontId="132" fillId="0" borderId="0" xfId="0" applyFont="1" applyProtection="1">
      <protection hidden="1"/>
    </xf>
    <xf numFmtId="0" fontId="132" fillId="0" borderId="0" xfId="0" applyFont="1" applyBorder="1" applyProtection="1">
      <protection hidden="1"/>
    </xf>
    <xf numFmtId="0" fontId="0" fillId="0" borderId="0" xfId="0" applyFont="1" applyProtection="1">
      <protection hidden="1"/>
    </xf>
    <xf numFmtId="0" fontId="181" fillId="0" borderId="0" xfId="0" applyFont="1" applyProtection="1">
      <protection hidden="1"/>
    </xf>
    <xf numFmtId="0" fontId="0" fillId="0" borderId="0" xfId="0" applyBorder="1" applyProtection="1">
      <protection hidden="1"/>
    </xf>
    <xf numFmtId="0" fontId="41" fillId="11" borderId="19" xfId="0" applyFont="1" applyFill="1" applyBorder="1" applyAlignment="1" applyProtection="1">
      <alignment horizontal="center" vertical="center"/>
      <protection hidden="1"/>
    </xf>
    <xf numFmtId="0" fontId="0" fillId="14" borderId="0" xfId="0" applyFill="1" applyProtection="1">
      <protection hidden="1"/>
    </xf>
    <xf numFmtId="0" fontId="8" fillId="14" borderId="0" xfId="0" applyFont="1" applyFill="1" applyAlignment="1" applyProtection="1">
      <alignment horizontal="center" vertical="center"/>
      <protection hidden="1"/>
    </xf>
    <xf numFmtId="0" fontId="8" fillId="3" borderId="103" xfId="0" applyNumberFormat="1" applyFont="1" applyFill="1" applyBorder="1" applyAlignment="1" applyProtection="1">
      <alignment horizontal="center" vertical="center"/>
      <protection locked="0"/>
    </xf>
    <xf numFmtId="0" fontId="5" fillId="9" borderId="0" xfId="0" applyFont="1" applyFill="1" applyBorder="1" applyAlignment="1" applyProtection="1">
      <alignment vertical="center"/>
    </xf>
    <xf numFmtId="0" fontId="142" fillId="9" borderId="0" xfId="0" applyFont="1" applyFill="1" applyBorder="1" applyAlignment="1" applyProtection="1">
      <alignment vertical="center"/>
    </xf>
    <xf numFmtId="0" fontId="227" fillId="9" borderId="0" xfId="0" applyFont="1" applyFill="1" applyBorder="1" applyAlignment="1" applyProtection="1">
      <alignment horizontal="center" vertical="center"/>
    </xf>
    <xf numFmtId="0" fontId="148" fillId="9" borderId="0" xfId="0" applyFont="1" applyFill="1" applyBorder="1"/>
    <xf numFmtId="0" fontId="228" fillId="26" borderId="0" xfId="0" applyFont="1" applyFill="1" applyBorder="1" applyAlignment="1" applyProtection="1">
      <alignment horizontal="right" vertical="center"/>
      <protection hidden="1"/>
    </xf>
    <xf numFmtId="0" fontId="172" fillId="26" borderId="0" xfId="0" applyFont="1" applyFill="1" applyAlignment="1" applyProtection="1">
      <alignment horizontal="center" vertical="center"/>
      <protection hidden="1"/>
    </xf>
    <xf numFmtId="0" fontId="233" fillId="3" borderId="8" xfId="0" applyFont="1" applyFill="1" applyBorder="1" applyAlignment="1" applyProtection="1">
      <alignment horizontal="center" vertical="center" wrapText="1"/>
      <protection locked="0"/>
    </xf>
    <xf numFmtId="0" fontId="38" fillId="20" borderId="88" xfId="0" applyFont="1" applyFill="1" applyBorder="1" applyAlignment="1" applyProtection="1">
      <alignment horizontal="center" vertical="center" textRotation="90" wrapText="1"/>
    </xf>
    <xf numFmtId="0" fontId="63" fillId="20" borderId="11" xfId="0" applyFont="1" applyFill="1" applyBorder="1" applyAlignment="1" applyProtection="1">
      <alignment horizontal="center" vertical="center" textRotation="90" wrapText="1"/>
    </xf>
    <xf numFmtId="0" fontId="38" fillId="12" borderId="88" xfId="0" applyFont="1" applyFill="1" applyBorder="1" applyAlignment="1" applyProtection="1">
      <alignment horizontal="center" vertical="center" textRotation="90" wrapText="1"/>
    </xf>
    <xf numFmtId="0" fontId="63" fillId="12" borderId="11" xfId="0" applyFont="1" applyFill="1" applyBorder="1" applyAlignment="1" applyProtection="1">
      <alignment horizontal="center" vertical="center" textRotation="90" wrapText="1"/>
    </xf>
    <xf numFmtId="0" fontId="38" fillId="17" borderId="88" xfId="0" applyFont="1" applyFill="1" applyBorder="1" applyAlignment="1" applyProtection="1">
      <alignment horizontal="center" vertical="center" textRotation="90" wrapText="1"/>
    </xf>
    <xf numFmtId="0" fontId="63" fillId="17" borderId="11" xfId="0" applyFont="1" applyFill="1" applyBorder="1" applyAlignment="1" applyProtection="1">
      <alignment horizontal="center" vertical="center" textRotation="90" wrapText="1"/>
    </xf>
    <xf numFmtId="1" fontId="127" fillId="0" borderId="171" xfId="0" applyNumberFormat="1" applyFont="1" applyFill="1" applyBorder="1" applyAlignment="1" applyProtection="1">
      <alignment horizontal="center" vertical="center" wrapText="1"/>
      <protection hidden="1"/>
    </xf>
    <xf numFmtId="1" fontId="63" fillId="0" borderId="171"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0" fontId="233" fillId="3" borderId="5" xfId="0" applyFont="1" applyFill="1" applyBorder="1" applyAlignment="1" applyProtection="1">
      <alignment horizontal="center" vertical="center"/>
      <protection locked="0"/>
    </xf>
    <xf numFmtId="1" fontId="30" fillId="0" borderId="1" xfId="0" applyNumberFormat="1" applyFont="1" applyBorder="1" applyAlignment="1" applyProtection="1">
      <alignment horizontal="center" vertical="center" wrapText="1"/>
      <protection locked="0"/>
    </xf>
    <xf numFmtId="0" fontId="233" fillId="3" borderId="178" xfId="0" applyFont="1" applyFill="1" applyBorder="1" applyAlignment="1" applyProtection="1">
      <alignment horizontal="center" vertical="center"/>
      <protection locked="0"/>
    </xf>
    <xf numFmtId="0" fontId="63" fillId="0" borderId="119" xfId="0" applyFont="1" applyBorder="1" applyAlignment="1" applyProtection="1">
      <alignment horizontal="left" vertical="center"/>
      <protection hidden="1"/>
    </xf>
    <xf numFmtId="0" fontId="217" fillId="0" borderId="0" xfId="0" applyFont="1" applyProtection="1">
      <protection hidden="1"/>
    </xf>
    <xf numFmtId="0" fontId="278" fillId="0" borderId="0" xfId="0" applyFont="1" applyProtection="1">
      <protection hidden="1"/>
    </xf>
    <xf numFmtId="0" fontId="9" fillId="3" borderId="183" xfId="0" applyFont="1" applyFill="1" applyBorder="1" applyAlignment="1" applyProtection="1">
      <alignment horizontal="center" vertical="center" wrapText="1"/>
      <protection locked="0"/>
    </xf>
    <xf numFmtId="0" fontId="173" fillId="3" borderId="80" xfId="0" applyFont="1" applyFill="1" applyBorder="1" applyAlignment="1" applyProtection="1">
      <alignment horizontal="center" vertical="center" wrapText="1"/>
      <protection locked="0"/>
    </xf>
    <xf numFmtId="0" fontId="9" fillId="3" borderId="184" xfId="0" applyFont="1" applyFill="1" applyBorder="1" applyAlignment="1" applyProtection="1">
      <alignment horizontal="center" vertical="center" wrapText="1"/>
      <protection locked="0"/>
    </xf>
    <xf numFmtId="0" fontId="173" fillId="3" borderId="81" xfId="0" applyFont="1" applyFill="1" applyBorder="1" applyAlignment="1" applyProtection="1">
      <alignment horizontal="center" vertical="center" wrapText="1"/>
      <protection locked="0"/>
    </xf>
    <xf numFmtId="0" fontId="9" fillId="3" borderId="185" xfId="0" applyFont="1" applyFill="1" applyBorder="1" applyAlignment="1" applyProtection="1">
      <alignment horizontal="center" vertical="center" wrapText="1"/>
      <protection locked="0"/>
    </xf>
    <xf numFmtId="0" fontId="26" fillId="3" borderId="83" xfId="0" applyFont="1" applyFill="1" applyBorder="1" applyAlignment="1" applyProtection="1">
      <alignment horizontal="center" vertical="center" wrapText="1"/>
      <protection locked="0"/>
    </xf>
    <xf numFmtId="0" fontId="173" fillId="3" borderId="84" xfId="0" applyFont="1" applyFill="1" applyBorder="1" applyAlignment="1" applyProtection="1">
      <alignment horizontal="center" vertical="center" wrapText="1"/>
      <protection locked="0"/>
    </xf>
    <xf numFmtId="0" fontId="174" fillId="3" borderId="186" xfId="0" applyFont="1" applyFill="1" applyBorder="1" applyAlignment="1" applyProtection="1">
      <alignment horizontal="center" vertical="center" wrapText="1"/>
      <protection locked="0"/>
    </xf>
    <xf numFmtId="0" fontId="174" fillId="3" borderId="187" xfId="0" applyFont="1" applyFill="1" applyBorder="1" applyAlignment="1" applyProtection="1">
      <alignment horizontal="center" vertical="center" wrapText="1"/>
      <protection locked="0"/>
    </xf>
    <xf numFmtId="0" fontId="174" fillId="3" borderId="188" xfId="0" applyFont="1" applyFill="1" applyBorder="1" applyAlignment="1" applyProtection="1">
      <alignment horizontal="center" vertical="center" wrapText="1"/>
      <protection locked="0"/>
    </xf>
    <xf numFmtId="0" fontId="174" fillId="3" borderId="189" xfId="0" applyFont="1" applyFill="1" applyBorder="1" applyAlignment="1" applyProtection="1">
      <alignment horizontal="center" vertical="center" wrapText="1"/>
      <protection locked="0"/>
    </xf>
    <xf numFmtId="0" fontId="49" fillId="22" borderId="115" xfId="0" applyFont="1" applyFill="1" applyBorder="1" applyAlignment="1" applyProtection="1">
      <alignment horizontal="center" vertical="center" wrapText="1"/>
      <protection hidden="1"/>
    </xf>
    <xf numFmtId="0" fontId="123" fillId="0" borderId="142" xfId="0" applyFont="1" applyFill="1" applyBorder="1" applyAlignment="1" applyProtection="1">
      <alignment horizontal="center" vertical="center" wrapText="1"/>
      <protection hidden="1"/>
    </xf>
    <xf numFmtId="0" fontId="259" fillId="0" borderId="142" xfId="0" applyFont="1" applyFill="1" applyBorder="1" applyAlignment="1" applyProtection="1">
      <alignment horizontal="center"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30" fillId="28"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31" fillId="10" borderId="1" xfId="0" applyFont="1" applyFill="1" applyBorder="1" applyAlignment="1" applyProtection="1">
      <alignment horizontal="center" vertical="center" wrapText="1"/>
      <protection hidden="1"/>
    </xf>
    <xf numFmtId="0" fontId="106"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28" fillId="12" borderId="179" xfId="0" applyFont="1" applyFill="1" applyBorder="1" applyAlignment="1" applyProtection="1">
      <alignment horizontal="center" vertical="center" wrapText="1"/>
      <protection hidden="1"/>
    </xf>
    <xf numFmtId="0" fontId="276" fillId="12" borderId="179" xfId="0" applyFont="1" applyFill="1" applyBorder="1" applyAlignment="1" applyProtection="1">
      <alignment horizontal="left" vertical="center" wrapText="1"/>
      <protection hidden="1"/>
    </xf>
    <xf numFmtId="0" fontId="38" fillId="13" borderId="88" xfId="0" applyFont="1" applyFill="1" applyBorder="1" applyAlignment="1" applyProtection="1">
      <alignment horizontal="center" vertical="center" textRotation="90" wrapText="1"/>
      <protection hidden="1"/>
    </xf>
    <xf numFmtId="0" fontId="38" fillId="24" borderId="88" xfId="0" applyFont="1" applyFill="1" applyBorder="1" applyAlignment="1" applyProtection="1">
      <alignment horizontal="center" vertical="center" textRotation="90" wrapText="1"/>
      <protection hidden="1"/>
    </xf>
    <xf numFmtId="0" fontId="5" fillId="0" borderId="0" xfId="0" applyFont="1" applyBorder="1" applyAlignment="1" applyProtection="1">
      <alignment horizontal="center" wrapText="1"/>
      <protection hidden="1"/>
    </xf>
    <xf numFmtId="0" fontId="87"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9" fillId="0" borderId="0" xfId="0" applyFont="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35" fillId="0" borderId="0" xfId="0" applyFont="1" applyBorder="1" applyAlignment="1" applyProtection="1">
      <alignment horizontal="center" wrapText="1"/>
      <protection hidden="1"/>
    </xf>
    <xf numFmtId="0" fontId="235" fillId="0" borderId="115" xfId="0" applyFont="1" applyFill="1" applyBorder="1" applyAlignment="1" applyProtection="1">
      <alignment vertical="center" wrapText="1"/>
      <protection hidden="1"/>
    </xf>
    <xf numFmtId="0" fontId="14" fillId="0" borderId="115" xfId="0" applyFont="1" applyFill="1" applyBorder="1" applyAlignment="1" applyProtection="1">
      <alignment wrapText="1"/>
      <protection hidden="1"/>
    </xf>
    <xf numFmtId="0" fontId="35" fillId="0" borderId="0" xfId="0" applyFont="1" applyFill="1" applyBorder="1" applyAlignment="1" applyProtection="1">
      <alignment horizontal="center" wrapText="1"/>
      <protection hidden="1"/>
    </xf>
    <xf numFmtId="0" fontId="38" fillId="0" borderId="115" xfId="0" applyFont="1" applyFill="1" applyBorder="1" applyAlignment="1" applyProtection="1">
      <alignment vertical="center" wrapText="1"/>
      <protection hidden="1"/>
    </xf>
    <xf numFmtId="0" fontId="35" fillId="0" borderId="115" xfId="0" applyFont="1" applyFill="1" applyBorder="1" applyAlignment="1" applyProtection="1">
      <alignment horizontal="center" vertical="center" wrapText="1"/>
      <protection hidden="1"/>
    </xf>
    <xf numFmtId="0" fontId="39" fillId="27" borderId="115" xfId="0" applyFont="1" applyFill="1" applyBorder="1" applyAlignment="1" applyProtection="1">
      <alignment horizontal="center" vertical="center" wrapText="1"/>
      <protection hidden="1"/>
    </xf>
    <xf numFmtId="0" fontId="39" fillId="22" borderId="115" xfId="0" applyFont="1" applyFill="1" applyBorder="1" applyAlignment="1" applyProtection="1">
      <alignment horizontal="center" vertical="center" textRotation="90" wrapText="1"/>
      <protection hidden="1"/>
    </xf>
    <xf numFmtId="0" fontId="40" fillId="0" borderId="0" xfId="0" applyFont="1" applyFill="1" applyBorder="1" applyAlignment="1" applyProtection="1">
      <alignment horizontal="center" wrapText="1"/>
      <protection hidden="1"/>
    </xf>
    <xf numFmtId="0" fontId="33" fillId="0" borderId="115" xfId="0" applyFont="1" applyFill="1" applyBorder="1" applyAlignment="1" applyProtection="1">
      <alignment vertical="center" wrapText="1"/>
      <protection hidden="1"/>
    </xf>
    <xf numFmtId="0" fontId="45" fillId="0" borderId="115" xfId="0" applyFont="1" applyFill="1" applyBorder="1" applyAlignment="1" applyProtection="1">
      <alignment vertical="center" wrapText="1"/>
      <protection hidden="1"/>
    </xf>
    <xf numFmtId="0" fontId="61" fillId="0" borderId="50" xfId="0" applyFont="1" applyFill="1" applyBorder="1" applyAlignment="1" applyProtection="1">
      <alignment horizontal="center" vertical="center" wrapText="1"/>
      <protection hidden="1"/>
    </xf>
    <xf numFmtId="0" fontId="236" fillId="0" borderId="115" xfId="0" applyFont="1" applyFill="1" applyBorder="1" applyAlignment="1" applyProtection="1">
      <alignment horizontal="center" vertical="center" textRotation="90" wrapText="1"/>
      <protection hidden="1"/>
    </xf>
    <xf numFmtId="0" fontId="38" fillId="0" borderId="115" xfId="0" applyFont="1" applyFill="1" applyBorder="1" applyAlignment="1" applyProtection="1">
      <alignment horizontal="center" vertical="center" textRotation="90" wrapText="1"/>
      <protection hidden="1"/>
    </xf>
    <xf numFmtId="0" fontId="248" fillId="22" borderId="115" xfId="0" applyFont="1" applyFill="1" applyBorder="1" applyAlignment="1" applyProtection="1">
      <alignment horizontal="center" vertical="center" wrapText="1"/>
      <protection hidden="1"/>
    </xf>
    <xf numFmtId="0" fontId="251" fillId="22" borderId="115"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52" fillId="0" borderId="115" xfId="0" applyFont="1" applyFill="1" applyBorder="1" applyAlignment="1" applyProtection="1">
      <alignment horizontal="center" vertical="center" wrapText="1"/>
      <protection hidden="1"/>
    </xf>
    <xf numFmtId="0" fontId="46" fillId="22" borderId="115" xfId="0" applyFont="1" applyFill="1" applyBorder="1" applyAlignment="1" applyProtection="1">
      <alignment horizontal="center" vertical="center" wrapText="1"/>
      <protection hidden="1"/>
    </xf>
    <xf numFmtId="0" fontId="48" fillId="22" borderId="115" xfId="0" applyFont="1" applyFill="1" applyBorder="1" applyAlignment="1" applyProtection="1">
      <alignment horizontal="center" vertical="center" wrapText="1"/>
      <protection hidden="1"/>
    </xf>
    <xf numFmtId="0" fontId="175" fillId="27" borderId="115" xfId="0" applyFont="1" applyFill="1" applyBorder="1" applyAlignment="1" applyProtection="1">
      <alignment horizontal="center" vertical="center" wrapText="1"/>
      <protection hidden="1"/>
    </xf>
    <xf numFmtId="0" fontId="175" fillId="27" borderId="115" xfId="0" applyFont="1" applyFill="1" applyBorder="1" applyAlignment="1" applyProtection="1">
      <alignment horizontal="center" vertical="center" textRotation="90" wrapText="1"/>
      <protection hidden="1"/>
    </xf>
    <xf numFmtId="0" fontId="46" fillId="24" borderId="115" xfId="0" applyFont="1" applyFill="1" applyBorder="1" applyAlignment="1" applyProtection="1">
      <alignment horizontal="center" vertical="center" wrapText="1"/>
      <protection hidden="1"/>
    </xf>
    <xf numFmtId="0" fontId="124" fillId="24" borderId="115" xfId="0" applyFont="1" applyFill="1" applyBorder="1" applyAlignment="1" applyProtection="1">
      <alignment horizontal="center" vertical="center" wrapText="1"/>
      <protection hidden="1"/>
    </xf>
    <xf numFmtId="1" fontId="51" fillId="0" borderId="115" xfId="0" applyNumberFormat="1" applyFont="1" applyFill="1" applyBorder="1" applyAlignment="1" applyProtection="1">
      <alignment horizontal="center" vertical="center" wrapText="1"/>
      <protection hidden="1"/>
    </xf>
    <xf numFmtId="0" fontId="53" fillId="0" borderId="0" xfId="0" applyFont="1" applyFill="1" applyBorder="1" applyAlignment="1" applyProtection="1">
      <alignment horizontal="center" wrapText="1"/>
      <protection hidden="1"/>
    </xf>
    <xf numFmtId="0" fontId="93" fillId="0" borderId="50" xfId="0" applyFont="1" applyBorder="1" applyAlignment="1" applyProtection="1">
      <alignment vertical="center" wrapText="1"/>
      <protection hidden="1"/>
    </xf>
    <xf numFmtId="0" fontId="93" fillId="0" borderId="50" xfId="0" applyFont="1" applyBorder="1" applyAlignment="1" applyProtection="1">
      <alignment horizontal="center" vertical="center" wrapText="1"/>
      <protection hidden="1"/>
    </xf>
    <xf numFmtId="2" fontId="8" fillId="0" borderId="50" xfId="0" applyNumberFormat="1" applyFont="1" applyBorder="1" applyAlignment="1" applyProtection="1">
      <alignment horizontal="center" vertical="center" wrapText="1"/>
      <protection hidden="1"/>
    </xf>
    <xf numFmtId="0" fontId="17" fillId="0" borderId="50" xfId="0" applyFont="1" applyFill="1" applyBorder="1" applyAlignment="1" applyProtection="1">
      <alignment vertical="center" wrapText="1"/>
      <protection hidden="1"/>
    </xf>
    <xf numFmtId="0" fontId="63" fillId="0" borderId="50" xfId="0" applyFont="1" applyFill="1" applyBorder="1" applyAlignment="1" applyProtection="1">
      <alignment vertical="center" wrapText="1"/>
      <protection hidden="1"/>
    </xf>
    <xf numFmtId="2" fontId="127" fillId="0" borderId="50" xfId="0" applyNumberFormat="1" applyFont="1" applyBorder="1" applyAlignment="1" applyProtection="1">
      <alignment horizontal="center" vertical="center" wrapText="1"/>
      <protection hidden="1"/>
    </xf>
    <xf numFmtId="0" fontId="61" fillId="0" borderId="50" xfId="0" applyFont="1" applyFill="1" applyBorder="1" applyAlignment="1" applyProtection="1">
      <alignment vertical="center" wrapText="1"/>
      <protection hidden="1"/>
    </xf>
    <xf numFmtId="0" fontId="114" fillId="0" borderId="50" xfId="0" applyFont="1" applyFill="1" applyBorder="1" applyAlignment="1" applyProtection="1">
      <alignment vertical="center" wrapText="1"/>
      <protection hidden="1"/>
    </xf>
    <xf numFmtId="0" fontId="114" fillId="0" borderId="50" xfId="0" applyFont="1" applyFill="1" applyBorder="1" applyAlignment="1" applyProtection="1">
      <alignment horizontal="center" vertical="center" wrapText="1"/>
      <protection hidden="1"/>
    </xf>
    <xf numFmtId="0" fontId="46" fillId="27" borderId="115" xfId="0" applyFont="1" applyFill="1" applyBorder="1" applyAlignment="1" applyProtection="1">
      <alignment horizontal="center" vertical="center" wrapText="1"/>
      <protection hidden="1"/>
    </xf>
    <xf numFmtId="0" fontId="46" fillId="27" borderId="115" xfId="0" applyFont="1" applyFill="1" applyBorder="1" applyAlignment="1" applyProtection="1">
      <alignment horizontal="center" vertical="center" textRotation="90" wrapText="1"/>
      <protection hidden="1"/>
    </xf>
    <xf numFmtId="0" fontId="49" fillId="0" borderId="119" xfId="0" applyFont="1" applyFill="1" applyBorder="1" applyAlignment="1" applyProtection="1">
      <alignment horizontal="center" vertical="center" textRotation="90" wrapText="1"/>
      <protection hidden="1"/>
    </xf>
    <xf numFmtId="0" fontId="49" fillId="0" borderId="115" xfId="0" applyFont="1" applyFill="1" applyBorder="1" applyAlignment="1" applyProtection="1">
      <alignment horizontal="center" vertical="center" textRotation="90" wrapText="1"/>
      <protection hidden="1"/>
    </xf>
    <xf numFmtId="0" fontId="50" fillId="0" borderId="115" xfId="0" applyFont="1" applyFill="1" applyBorder="1" applyAlignment="1" applyProtection="1">
      <alignment horizontal="center" vertical="center" textRotation="90" wrapText="1"/>
      <protection hidden="1"/>
    </xf>
    <xf numFmtId="0" fontId="1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wrapText="1"/>
      <protection hidden="1"/>
    </xf>
    <xf numFmtId="0" fontId="5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textRotation="90" wrapText="1"/>
      <protection hidden="1"/>
    </xf>
    <xf numFmtId="0" fontId="54" fillId="7" borderId="115" xfId="0" applyFont="1" applyFill="1" applyBorder="1" applyAlignment="1" applyProtection="1">
      <alignment horizontal="center" vertical="center" wrapText="1"/>
      <protection hidden="1"/>
    </xf>
    <xf numFmtId="0" fontId="55" fillId="0" borderId="115" xfId="0" applyFont="1" applyFill="1" applyBorder="1" applyAlignment="1" applyProtection="1">
      <alignment horizontal="center" vertical="center" wrapText="1"/>
      <protection hidden="1"/>
    </xf>
    <xf numFmtId="0" fontId="254" fillId="0" borderId="115" xfId="0" applyFont="1" applyFill="1" applyBorder="1" applyAlignment="1" applyProtection="1">
      <alignment horizontal="center" vertical="center" wrapText="1"/>
      <protection hidden="1"/>
    </xf>
    <xf numFmtId="166" fontId="55" fillId="0" borderId="115" xfId="0" applyNumberFormat="1" applyFont="1" applyFill="1" applyBorder="1" applyAlignment="1" applyProtection="1">
      <alignment horizontal="center" vertical="center" wrapText="1"/>
      <protection hidden="1"/>
    </xf>
    <xf numFmtId="0" fontId="124" fillId="0" borderId="115" xfId="0" applyFont="1" applyFill="1" applyBorder="1" applyAlignment="1" applyProtection="1">
      <alignment horizontal="left" vertical="center" wrapText="1"/>
      <protection hidden="1"/>
    </xf>
    <xf numFmtId="0" fontId="46" fillId="0" borderId="115" xfId="0" applyFont="1" applyFill="1" applyBorder="1" applyAlignment="1" applyProtection="1">
      <alignment horizontal="center" vertical="center" wrapText="1"/>
      <protection hidden="1"/>
    </xf>
    <xf numFmtId="0" fontId="49" fillId="0"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253" fillId="0" borderId="115" xfId="0" applyFont="1" applyFill="1" applyBorder="1" applyAlignment="1" applyProtection="1">
      <alignment horizontal="center" vertical="center" wrapText="1"/>
      <protection hidden="1"/>
    </xf>
    <xf numFmtId="0" fontId="245" fillId="22" borderId="115" xfId="0" applyFont="1" applyFill="1" applyBorder="1" applyAlignment="1" applyProtection="1">
      <alignment horizontal="center" vertical="center" wrapText="1"/>
      <protection hidden="1"/>
    </xf>
    <xf numFmtId="0" fontId="49" fillId="27" borderId="115" xfId="0" applyFont="1" applyFill="1" applyBorder="1" applyAlignment="1" applyProtection="1">
      <alignment horizontal="center" vertical="center" wrapText="1"/>
      <protection hidden="1"/>
    </xf>
    <xf numFmtId="0" fontId="49" fillId="24" borderId="115" xfId="0" applyFont="1" applyFill="1" applyBorder="1" applyAlignment="1" applyProtection="1">
      <alignment horizontal="center" vertical="center" wrapText="1"/>
      <protection hidden="1"/>
    </xf>
    <xf numFmtId="0" fontId="38" fillId="22" borderId="115" xfId="0" applyFont="1" applyFill="1" applyBorder="1" applyAlignment="1" applyProtection="1">
      <alignment horizontal="center" vertical="center" wrapText="1"/>
      <protection hidden="1"/>
    </xf>
    <xf numFmtId="1" fontId="248" fillId="0" borderId="115" xfId="0" applyNumberFormat="1" applyFont="1" applyFill="1" applyBorder="1" applyAlignment="1" applyProtection="1">
      <alignment horizontal="center" vertical="center" wrapText="1"/>
      <protection hidden="1"/>
    </xf>
    <xf numFmtId="1" fontId="50" fillId="0" borderId="115" xfId="0" applyNumberFormat="1" applyFont="1" applyFill="1" applyBorder="1" applyAlignment="1" applyProtection="1">
      <alignment horizontal="center" vertical="center" wrapText="1"/>
      <protection hidden="1"/>
    </xf>
    <xf numFmtId="1" fontId="246" fillId="0" borderId="115" xfId="0" applyNumberFormat="1" applyFont="1" applyFill="1" applyBorder="1" applyAlignment="1" applyProtection="1">
      <alignment horizontal="center" vertical="center" wrapText="1"/>
      <protection hidden="1"/>
    </xf>
    <xf numFmtId="1" fontId="50" fillId="0" borderId="117" xfId="0" applyNumberFormat="1" applyFont="1" applyFill="1" applyBorder="1" applyAlignment="1" applyProtection="1">
      <alignment horizontal="center" vertical="center" wrapText="1"/>
      <protection hidden="1"/>
    </xf>
    <xf numFmtId="1" fontId="247" fillId="0" borderId="117" xfId="0" applyNumberFormat="1" applyFont="1" applyFill="1" applyBorder="1" applyAlignment="1" applyProtection="1">
      <alignment horizontal="center" vertical="center" wrapText="1"/>
      <protection hidden="1"/>
    </xf>
    <xf numFmtId="165" fontId="49" fillId="0" borderId="117" xfId="0" applyNumberFormat="1" applyFont="1" applyFill="1" applyBorder="1" applyAlignment="1" applyProtection="1">
      <alignment horizontal="center" vertical="center" wrapText="1"/>
      <protection hidden="1"/>
    </xf>
    <xf numFmtId="0" fontId="56" fillId="0" borderId="115" xfId="5" applyFont="1" applyBorder="1" applyAlignment="1" applyProtection="1">
      <alignment horizontal="center"/>
      <protection hidden="1"/>
    </xf>
    <xf numFmtId="0" fontId="57" fillId="0" borderId="115" xfId="0" applyFont="1" applyFill="1" applyBorder="1" applyAlignment="1" applyProtection="1">
      <alignment horizontal="center" vertical="center" wrapText="1"/>
      <protection hidden="1"/>
    </xf>
    <xf numFmtId="0" fontId="58" fillId="0" borderId="115" xfId="0" applyFont="1" applyFill="1" applyBorder="1" applyAlignment="1" applyProtection="1">
      <alignment horizontal="center" vertical="center" wrapText="1"/>
      <protection hidden="1"/>
    </xf>
    <xf numFmtId="0" fontId="56" fillId="0" borderId="115" xfId="5" applyFont="1" applyFill="1" applyBorder="1" applyAlignment="1" applyProtection="1">
      <alignment horizontal="center"/>
      <protection hidden="1"/>
    </xf>
    <xf numFmtId="0" fontId="123"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wrapText="1"/>
      <protection hidden="1"/>
    </xf>
    <xf numFmtId="2" fontId="51" fillId="0" borderId="115" xfId="0" applyNumberFormat="1" applyFont="1" applyFill="1" applyBorder="1" applyAlignment="1" applyProtection="1">
      <alignment horizontal="center" vertical="center" wrapText="1"/>
      <protection hidden="1"/>
    </xf>
    <xf numFmtId="2" fontId="59" fillId="0" borderId="115" xfId="0" applyNumberFormat="1"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wrapText="1"/>
      <protection hidden="1"/>
    </xf>
    <xf numFmtId="0" fontId="53" fillId="0" borderId="50" xfId="0" applyFont="1" applyFill="1" applyBorder="1" applyAlignment="1" applyProtection="1">
      <alignment horizontal="center" wrapText="1"/>
      <protection hidden="1"/>
    </xf>
    <xf numFmtId="0" fontId="60" fillId="0" borderId="50" xfId="0" applyFont="1" applyFill="1" applyBorder="1" applyAlignment="1" applyProtection="1">
      <alignment horizontal="center" wrapText="1"/>
      <protection hidden="1"/>
    </xf>
    <xf numFmtId="0" fontId="60" fillId="0" borderId="0" xfId="0" applyFont="1" applyFill="1" applyBorder="1" applyAlignment="1" applyProtection="1">
      <alignment horizontal="left" wrapText="1"/>
      <protection hidden="1"/>
    </xf>
    <xf numFmtId="0" fontId="102" fillId="18" borderId="119" xfId="0" applyFont="1" applyFill="1" applyBorder="1" applyAlignment="1" applyProtection="1">
      <alignment vertical="center" wrapText="1"/>
      <protection hidden="1"/>
    </xf>
    <xf numFmtId="0" fontId="102" fillId="18" borderId="115" xfId="0" applyFont="1" applyFill="1" applyBorder="1" applyAlignment="1" applyProtection="1">
      <alignment vertical="center" wrapText="1"/>
      <protection hidden="1"/>
    </xf>
    <xf numFmtId="0" fontId="38" fillId="18" borderId="115" xfId="0" applyFont="1" applyFill="1" applyBorder="1" applyAlignment="1" applyProtection="1">
      <alignment horizontal="center" vertical="center" wrapText="1"/>
      <protection hidden="1"/>
    </xf>
    <xf numFmtId="0" fontId="36" fillId="0" borderId="115" xfId="0" applyFont="1" applyFill="1" applyBorder="1" applyAlignment="1" applyProtection="1">
      <alignment vertical="center" wrapText="1"/>
      <protection hidden="1"/>
    </xf>
    <xf numFmtId="0" fontId="39" fillId="0" borderId="115" xfId="0" applyFont="1" applyFill="1" applyBorder="1" applyAlignment="1" applyProtection="1">
      <alignment vertical="center" wrapText="1"/>
      <protection hidden="1"/>
    </xf>
    <xf numFmtId="0" fontId="72" fillId="0" borderId="121" xfId="0" applyFont="1" applyBorder="1" applyAlignment="1" applyProtection="1">
      <alignment wrapText="1"/>
      <protection hidden="1"/>
    </xf>
    <xf numFmtId="0" fontId="72" fillId="0" borderId="122" xfId="0" applyFont="1" applyBorder="1" applyAlignment="1" applyProtection="1">
      <alignment wrapText="1"/>
      <protection hidden="1"/>
    </xf>
    <xf numFmtId="171" fontId="262" fillId="0" borderId="115" xfId="0" applyNumberFormat="1" applyFont="1" applyFill="1" applyBorder="1" applyAlignment="1" applyProtection="1">
      <alignment horizontal="center" vertical="center" wrapText="1"/>
      <protection hidden="1"/>
    </xf>
    <xf numFmtId="0" fontId="72" fillId="0" borderId="0" xfId="0" applyFont="1" applyBorder="1" applyAlignment="1" applyProtection="1">
      <alignment horizontal="center" wrapText="1"/>
      <protection hidden="1"/>
    </xf>
    <xf numFmtId="0" fontId="243" fillId="18" borderId="119" xfId="0" applyFont="1" applyFill="1" applyBorder="1" applyAlignment="1" applyProtection="1">
      <alignment vertical="center" wrapText="1"/>
      <protection hidden="1"/>
    </xf>
    <xf numFmtId="0" fontId="243" fillId="18" borderId="115" xfId="0" applyFont="1" applyFill="1" applyBorder="1" applyAlignment="1" applyProtection="1">
      <alignment vertical="center" wrapText="1"/>
      <protection hidden="1"/>
    </xf>
    <xf numFmtId="0" fontId="63" fillId="18" borderId="115" xfId="0" applyFont="1" applyFill="1" applyBorder="1" applyAlignment="1" applyProtection="1">
      <alignment horizontal="center" vertical="center" wrapText="1"/>
      <protection hidden="1"/>
    </xf>
    <xf numFmtId="0" fontId="63" fillId="18" borderId="115" xfId="0" applyFont="1" applyFill="1" applyBorder="1" applyAlignment="1" applyProtection="1">
      <alignment horizontal="center" wrapText="1"/>
      <protection hidden="1"/>
    </xf>
    <xf numFmtId="0" fontId="72" fillId="0" borderId="0" xfId="0" applyFont="1" applyBorder="1" applyAlignment="1" applyProtection="1">
      <alignment wrapText="1"/>
      <protection hidden="1"/>
    </xf>
    <xf numFmtId="0" fontId="72" fillId="0" borderId="124" xfId="0" applyFont="1" applyBorder="1" applyAlignment="1" applyProtection="1">
      <alignment wrapText="1"/>
      <protection hidden="1"/>
    </xf>
    <xf numFmtId="0" fontId="60" fillId="0" borderId="0" xfId="0" applyFont="1" applyBorder="1" applyAlignment="1" applyProtection="1">
      <alignment horizontal="center" wrapText="1"/>
      <protection hidden="1"/>
    </xf>
    <xf numFmtId="0" fontId="244" fillId="18" borderId="119" xfId="0" applyFont="1" applyFill="1" applyBorder="1" applyAlignment="1" applyProtection="1">
      <alignment vertical="center" wrapText="1"/>
      <protection hidden="1"/>
    </xf>
    <xf numFmtId="0" fontId="244" fillId="18" borderId="115" xfId="0" applyFont="1" applyFill="1" applyBorder="1" applyAlignment="1" applyProtection="1">
      <alignment vertical="center" wrapText="1"/>
      <protection hidden="1"/>
    </xf>
    <xf numFmtId="0" fontId="24" fillId="18" borderId="115" xfId="0" applyFont="1" applyFill="1" applyBorder="1" applyAlignment="1" applyProtection="1">
      <alignment horizontal="center" vertical="center" wrapText="1"/>
      <protection hidden="1"/>
    </xf>
    <xf numFmtId="0" fontId="60" fillId="18" borderId="115" xfId="0" applyFont="1" applyFill="1" applyBorder="1" applyAlignment="1" applyProtection="1">
      <alignment horizontal="center" wrapText="1"/>
      <protection hidden="1"/>
    </xf>
    <xf numFmtId="0" fontId="51" fillId="0" borderId="115" xfId="0" applyFont="1" applyFill="1" applyBorder="1" applyAlignment="1" applyProtection="1">
      <alignment vertical="center" wrapText="1"/>
      <protection hidden="1"/>
    </xf>
    <xf numFmtId="0" fontId="75" fillId="0" borderId="0" xfId="0" applyFont="1" applyBorder="1" applyAlignment="1" applyProtection="1">
      <alignment horizontal="center" wrapText="1"/>
      <protection hidden="1"/>
    </xf>
    <xf numFmtId="0" fontId="45" fillId="18" borderId="115" xfId="0" applyNumberFormat="1" applyFont="1" applyFill="1" applyBorder="1" applyAlignment="1" applyProtection="1">
      <alignment vertical="center" wrapText="1"/>
      <protection hidden="1"/>
    </xf>
    <xf numFmtId="0" fontId="74" fillId="18" borderId="115" xfId="0" applyFont="1" applyFill="1" applyBorder="1" applyAlignment="1" applyProtection="1">
      <alignment horizontal="center" vertical="center" wrapText="1"/>
      <protection hidden="1"/>
    </xf>
    <xf numFmtId="0" fontId="84" fillId="18" borderId="115" xfId="0" applyFont="1" applyFill="1" applyBorder="1" applyAlignment="1" applyProtection="1">
      <alignment horizontal="center" vertical="center" wrapText="1"/>
      <protection hidden="1"/>
    </xf>
    <xf numFmtId="0" fontId="104" fillId="18" borderId="119" xfId="0" applyFont="1" applyFill="1" applyBorder="1" applyAlignment="1" applyProtection="1">
      <alignment horizontal="center" vertical="center" wrapText="1"/>
      <protection hidden="1"/>
    </xf>
    <xf numFmtId="0" fontId="104" fillId="18" borderId="115" xfId="0" applyFont="1" applyFill="1" applyBorder="1" applyAlignment="1" applyProtection="1">
      <alignment horizontal="center" vertical="center" wrapText="1"/>
      <protection hidden="1"/>
    </xf>
    <xf numFmtId="0" fontId="103" fillId="18" borderId="115" xfId="0" applyFont="1" applyFill="1" applyBorder="1" applyAlignment="1" applyProtection="1">
      <alignment horizontal="center" vertical="center" wrapText="1"/>
      <protection hidden="1"/>
    </xf>
    <xf numFmtId="0" fontId="74" fillId="18" borderId="115" xfId="0" applyFont="1" applyFill="1" applyBorder="1" applyAlignment="1" applyProtection="1">
      <alignment horizontal="center" wrapText="1"/>
      <protection hidden="1"/>
    </xf>
    <xf numFmtId="0" fontId="45" fillId="18" borderId="115" xfId="0" applyFont="1" applyFill="1" applyBorder="1" applyAlignment="1" applyProtection="1">
      <alignment horizontal="center" vertical="center" wrapText="1"/>
      <protection hidden="1"/>
    </xf>
    <xf numFmtId="0" fontId="76" fillId="0" borderId="115" xfId="0" applyFont="1" applyBorder="1" applyAlignment="1" applyProtection="1">
      <alignment vertical="center" wrapText="1"/>
      <protection hidden="1"/>
    </xf>
    <xf numFmtId="0" fontId="84" fillId="0" borderId="115" xfId="0" applyFont="1" applyFill="1" applyBorder="1" applyAlignment="1" applyProtection="1">
      <alignment horizontal="center" vertical="center" wrapText="1"/>
      <protection hidden="1"/>
    </xf>
    <xf numFmtId="0" fontId="102" fillId="18" borderId="119" xfId="0" applyFont="1" applyFill="1" applyBorder="1" applyAlignment="1" applyProtection="1">
      <alignment horizontal="center" vertical="center" wrapText="1"/>
      <protection hidden="1"/>
    </xf>
    <xf numFmtId="0" fontId="102" fillId="18" borderId="115" xfId="0" applyFont="1" applyFill="1" applyBorder="1" applyAlignment="1" applyProtection="1">
      <alignment horizontal="center" vertical="center" wrapText="1"/>
      <protection hidden="1"/>
    </xf>
    <xf numFmtId="0" fontId="38" fillId="18" borderId="115" xfId="0" applyFont="1" applyFill="1" applyBorder="1" applyAlignment="1" applyProtection="1">
      <alignment horizontal="center" wrapText="1"/>
      <protection hidden="1"/>
    </xf>
    <xf numFmtId="0" fontId="106" fillId="18" borderId="115" xfId="0" applyFont="1" applyFill="1" applyBorder="1" applyAlignment="1" applyProtection="1">
      <alignment horizontal="center" vertical="center" wrapText="1"/>
      <protection hidden="1"/>
    </xf>
    <xf numFmtId="0" fontId="9" fillId="0" borderId="118" xfId="0" applyFont="1" applyFill="1" applyBorder="1" applyAlignment="1" applyProtection="1">
      <alignment horizontal="center" vertical="center" wrapText="1"/>
      <protection hidden="1"/>
    </xf>
    <xf numFmtId="2" fontId="105" fillId="18" borderId="119" xfId="0" applyNumberFormat="1" applyFont="1" applyFill="1" applyBorder="1" applyAlignment="1" applyProtection="1">
      <alignment vertical="center" wrapText="1"/>
      <protection hidden="1"/>
    </xf>
    <xf numFmtId="2" fontId="105" fillId="18" borderId="115" xfId="0" applyNumberFormat="1" applyFont="1" applyFill="1" applyBorder="1" applyAlignment="1" applyProtection="1">
      <alignment vertical="center" wrapText="1"/>
      <protection hidden="1"/>
    </xf>
    <xf numFmtId="0" fontId="64" fillId="18" borderId="115" xfId="0" applyFont="1" applyFill="1" applyBorder="1" applyAlignment="1" applyProtection="1">
      <alignment horizontal="center" vertical="center" wrapText="1"/>
      <protection hidden="1"/>
    </xf>
    <xf numFmtId="0" fontId="99" fillId="18" borderId="115" xfId="0" applyFont="1" applyFill="1" applyBorder="1" applyAlignment="1" applyProtection="1">
      <alignment horizontal="center" wrapText="1"/>
      <protection hidden="1"/>
    </xf>
    <xf numFmtId="2" fontId="64" fillId="18" borderId="115" xfId="0" applyNumberFormat="1" applyFont="1" applyFill="1" applyBorder="1" applyAlignment="1" applyProtection="1">
      <alignment horizontal="center" vertical="center" wrapText="1"/>
      <protection hidden="1"/>
    </xf>
    <xf numFmtId="2" fontId="64" fillId="0" borderId="115" xfId="0" applyNumberFormat="1"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105" fillId="18" borderId="119" xfId="0" applyFont="1" applyFill="1" applyBorder="1" applyAlignment="1" applyProtection="1">
      <alignment vertical="center" wrapText="1"/>
      <protection hidden="1"/>
    </xf>
    <xf numFmtId="0" fontId="105" fillId="18" borderId="115" xfId="0" applyFont="1" applyFill="1" applyBorder="1" applyAlignment="1" applyProtection="1">
      <alignment vertical="center" wrapText="1"/>
      <protection hidden="1"/>
    </xf>
    <xf numFmtId="0" fontId="100" fillId="18" borderId="115" xfId="0" applyFont="1" applyFill="1" applyBorder="1" applyAlignment="1" applyProtection="1">
      <alignment horizontal="center" wrapText="1"/>
      <protection hidden="1"/>
    </xf>
    <xf numFmtId="0" fontId="63" fillId="0" borderId="115" xfId="0" applyFont="1" applyFill="1" applyBorder="1" applyAlignment="1" applyProtection="1">
      <alignment vertical="center" wrapText="1"/>
      <protection hidden="1"/>
    </xf>
    <xf numFmtId="0" fontId="80" fillId="0" borderId="0" xfId="0" applyFont="1" applyFill="1" applyBorder="1" applyAlignment="1" applyProtection="1">
      <alignment horizontal="center" wrapText="1"/>
      <protection hidden="1"/>
    </xf>
    <xf numFmtId="0" fontId="64" fillId="0" borderId="115" xfId="0" applyFont="1" applyFill="1" applyBorder="1" applyAlignment="1" applyProtection="1">
      <alignment vertical="center" wrapText="1"/>
      <protection hidden="1"/>
    </xf>
    <xf numFmtId="172" fontId="241" fillId="0" borderId="118" xfId="0" applyNumberFormat="1" applyFont="1" applyFill="1" applyBorder="1" applyAlignment="1" applyProtection="1">
      <alignment horizontal="center" vertical="center" wrapText="1"/>
      <protection hidden="1"/>
    </xf>
    <xf numFmtId="0" fontId="81" fillId="0" borderId="0" xfId="0" applyFont="1" applyBorder="1" applyAlignment="1" applyProtection="1">
      <alignment horizontal="center" wrapText="1"/>
      <protection hidden="1"/>
    </xf>
    <xf numFmtId="0" fontId="16" fillId="18" borderId="115" xfId="0" applyFont="1" applyFill="1" applyBorder="1" applyAlignment="1" applyProtection="1">
      <alignment vertical="center" wrapText="1"/>
      <protection hidden="1"/>
    </xf>
    <xf numFmtId="0" fontId="83" fillId="0" borderId="0" xfId="0" applyFont="1" applyBorder="1" applyAlignment="1" applyProtection="1">
      <alignment horizontal="center" wrapText="1"/>
      <protection hidden="1"/>
    </xf>
    <xf numFmtId="0" fontId="29" fillId="0" borderId="0" xfId="0" applyFont="1" applyFill="1" applyBorder="1" applyAlignment="1" applyProtection="1">
      <alignment horizontal="center" vertical="center" wrapText="1"/>
      <protection hidden="1"/>
    </xf>
    <xf numFmtId="0" fontId="72" fillId="0" borderId="126" xfId="0" applyFont="1" applyBorder="1" applyAlignment="1" applyProtection="1">
      <alignment wrapText="1"/>
      <protection hidden="1"/>
    </xf>
    <xf numFmtId="0" fontId="72" fillId="0" borderId="127" xfId="0" applyFont="1" applyBorder="1" applyAlignment="1" applyProtection="1">
      <alignment wrapText="1"/>
      <protection hidden="1"/>
    </xf>
    <xf numFmtId="0" fontId="37" fillId="0" borderId="0" xfId="0" applyFont="1" applyFill="1" applyBorder="1" applyAlignment="1" applyProtection="1">
      <alignment horizontal="right" wrapText="1"/>
      <protection hidden="1"/>
    </xf>
    <xf numFmtId="0" fontId="23"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7" fillId="0" borderId="0" xfId="0" applyFont="1" applyFill="1" applyBorder="1" applyAlignment="1" applyProtection="1">
      <alignment horizontal="center" wrapText="1"/>
      <protection hidden="1"/>
    </xf>
    <xf numFmtId="0" fontId="37" fillId="0" borderId="121" xfId="0" applyFont="1" applyFill="1" applyBorder="1" applyAlignment="1" applyProtection="1">
      <alignment horizontal="center" wrapText="1"/>
      <protection hidden="1"/>
    </xf>
    <xf numFmtId="0" fontId="86" fillId="0" borderId="0" xfId="0" applyFont="1" applyFill="1" applyBorder="1" applyAlignment="1" applyProtection="1">
      <alignment horizontal="center" wrapText="1"/>
      <protection hidden="1"/>
    </xf>
    <xf numFmtId="0" fontId="34" fillId="0" borderId="0" xfId="4" applyFill="1" applyBorder="1" applyAlignment="1" applyProtection="1">
      <alignment vertical="center" wrapText="1"/>
      <protection hidden="1"/>
    </xf>
    <xf numFmtId="0" fontId="23" fillId="0" borderId="0" xfId="0" applyFont="1" applyFill="1" applyBorder="1" applyAlignment="1" applyProtection="1">
      <alignment wrapText="1"/>
      <protection hidden="1"/>
    </xf>
    <xf numFmtId="0" fontId="90" fillId="0" borderId="0" xfId="0" applyFont="1" applyFill="1" applyBorder="1" applyAlignment="1" applyProtection="1">
      <alignment horizontal="center" wrapText="1"/>
      <protection hidden="1"/>
    </xf>
    <xf numFmtId="0" fontId="91" fillId="0" borderId="0" xfId="0" applyFont="1" applyBorder="1" applyAlignment="1" applyProtection="1">
      <alignment horizontal="center" wrapText="1"/>
      <protection hidden="1"/>
    </xf>
    <xf numFmtId="0" fontId="91" fillId="0" borderId="0" xfId="0" applyFont="1" applyBorder="1" applyAlignment="1" applyProtection="1">
      <alignment wrapText="1"/>
      <protection hidden="1"/>
    </xf>
    <xf numFmtId="0" fontId="92" fillId="0" borderId="0" xfId="0" applyFont="1" applyFill="1" applyBorder="1" applyAlignment="1" applyProtection="1">
      <alignment horizontal="center" wrapText="1"/>
      <protection hidden="1"/>
    </xf>
    <xf numFmtId="0" fontId="46" fillId="0" borderId="50" xfId="0" applyFont="1" applyFill="1" applyBorder="1" applyAlignment="1" applyProtection="1">
      <alignment horizontal="center" vertical="center" wrapText="1"/>
      <protection hidden="1"/>
    </xf>
    <xf numFmtId="169" fontId="46" fillId="0" borderId="50" xfId="0" applyNumberFormat="1" applyFont="1" applyFill="1" applyBorder="1" applyAlignment="1" applyProtection="1">
      <alignment horizontal="center" vertical="center" wrapText="1"/>
      <protection hidden="1"/>
    </xf>
    <xf numFmtId="0" fontId="46" fillId="0" borderId="50" xfId="0" applyFont="1" applyFill="1" applyBorder="1" applyAlignment="1" applyProtection="1">
      <alignment horizontal="left" vertical="center" wrapText="1"/>
      <protection hidden="1"/>
    </xf>
    <xf numFmtId="0" fontId="52" fillId="0" borderId="50" xfId="0" applyFont="1" applyFill="1" applyBorder="1" applyAlignment="1" applyProtection="1">
      <alignment horizontal="center" vertical="center" wrapText="1"/>
      <protection hidden="1"/>
    </xf>
    <xf numFmtId="2" fontId="52" fillId="0" borderId="50" xfId="0" applyNumberFormat="1" applyFont="1" applyFill="1" applyBorder="1" applyAlignment="1" applyProtection="1">
      <alignment horizontal="center" vertical="center" wrapText="1"/>
      <protection hidden="1"/>
    </xf>
    <xf numFmtId="1" fontId="63" fillId="0" borderId="50" xfId="0" applyNumberFormat="1" applyFont="1" applyBorder="1" applyAlignment="1" applyProtection="1">
      <alignment horizontal="center" vertical="center" wrapText="1"/>
      <protection hidden="1"/>
    </xf>
    <xf numFmtId="0" fontId="120" fillId="20" borderId="50" xfId="0" applyFont="1" applyFill="1" applyBorder="1" applyAlignment="1" applyProtection="1">
      <alignment horizontal="center" vertical="center" wrapText="1"/>
      <protection locked="0"/>
    </xf>
    <xf numFmtId="0" fontId="120" fillId="2" borderId="50" xfId="0" applyFont="1" applyFill="1" applyBorder="1" applyAlignment="1" applyProtection="1">
      <alignment horizontal="center" vertical="center" wrapText="1"/>
      <protection locked="0"/>
    </xf>
    <xf numFmtId="0" fontId="110" fillId="0" borderId="0" xfId="0" applyFont="1" applyProtection="1">
      <protection hidden="1"/>
    </xf>
    <xf numFmtId="0" fontId="120" fillId="20" borderId="50" xfId="0" applyFont="1" applyFill="1" applyBorder="1" applyAlignment="1" applyProtection="1">
      <alignment horizontal="center" vertical="center" wrapText="1"/>
      <protection hidden="1"/>
    </xf>
    <xf numFmtId="0" fontId="110" fillId="20" borderId="50" xfId="0" applyFont="1" applyFill="1" applyBorder="1" applyProtection="1">
      <protection hidden="1"/>
    </xf>
    <xf numFmtId="0" fontId="12" fillId="20" borderId="50" xfId="0" applyFont="1" applyFill="1" applyBorder="1" applyAlignment="1" applyProtection="1">
      <alignment horizontal="center" vertical="center" wrapText="1"/>
      <protection hidden="1"/>
    </xf>
    <xf numFmtId="2" fontId="46" fillId="0" borderId="50" xfId="0" applyNumberFormat="1" applyFont="1" applyFill="1" applyBorder="1" applyAlignment="1" applyProtection="1">
      <alignment horizontal="center" vertical="center" wrapText="1"/>
      <protection hidden="1"/>
    </xf>
    <xf numFmtId="1" fontId="63" fillId="0" borderId="50" xfId="0" applyNumberFormat="1" applyFont="1" applyFill="1" applyBorder="1" applyAlignment="1" applyProtection="1">
      <alignment horizontal="center" vertical="center" wrapText="1"/>
      <protection hidden="1"/>
    </xf>
    <xf numFmtId="0" fontId="125" fillId="0" borderId="50" xfId="0" applyFont="1" applyFill="1" applyBorder="1" applyAlignment="1" applyProtection="1">
      <alignment horizontal="center" vertical="center"/>
      <protection hidden="1"/>
    </xf>
    <xf numFmtId="0" fontId="63" fillId="0" borderId="50" xfId="0" applyNumberFormat="1" applyFont="1" applyBorder="1" applyAlignment="1" applyProtection="1">
      <alignment horizontal="center" wrapText="1"/>
      <protection hidden="1"/>
    </xf>
    <xf numFmtId="0" fontId="63" fillId="0" borderId="50" xfId="0" applyFont="1" applyBorder="1" applyAlignment="1" applyProtection="1">
      <alignment horizontal="center" vertical="center" wrapText="1"/>
      <protection hidden="1"/>
    </xf>
    <xf numFmtId="2" fontId="63" fillId="0" borderId="50" xfId="0" applyNumberFormat="1" applyFont="1" applyBorder="1" applyAlignment="1" applyProtection="1">
      <alignment horizontal="center" vertical="center" wrapText="1"/>
      <protection hidden="1"/>
    </xf>
    <xf numFmtId="0" fontId="5" fillId="0" borderId="0" xfId="0" applyFont="1" applyProtection="1">
      <protection hidden="1"/>
    </xf>
    <xf numFmtId="0" fontId="111" fillId="0" borderId="153" xfId="0" applyFont="1" applyFill="1" applyBorder="1" applyAlignment="1" applyProtection="1">
      <alignment vertical="center" wrapText="1"/>
      <protection hidden="1"/>
    </xf>
    <xf numFmtId="0" fontId="79" fillId="0" borderId="155" xfId="0" applyFont="1" applyFill="1" applyBorder="1" applyAlignment="1" applyProtection="1">
      <alignment vertical="center" wrapText="1"/>
      <protection hidden="1"/>
    </xf>
    <xf numFmtId="0" fontId="79" fillId="0" borderId="156" xfId="0" applyFont="1" applyFill="1" applyBorder="1" applyAlignment="1" applyProtection="1">
      <alignment vertical="center" wrapText="1"/>
      <protection hidden="1"/>
    </xf>
    <xf numFmtId="0" fontId="111" fillId="0" borderId="157" xfId="0" applyFont="1" applyFill="1" applyBorder="1" applyAlignment="1" applyProtection="1">
      <alignment vertical="center" wrapText="1"/>
      <protection hidden="1"/>
    </xf>
    <xf numFmtId="0" fontId="49" fillId="0" borderId="50" xfId="0" applyFont="1" applyBorder="1" applyAlignment="1" applyProtection="1">
      <alignment horizontal="center" vertical="center" wrapText="1"/>
      <protection hidden="1"/>
    </xf>
    <xf numFmtId="0" fontId="49" fillId="0" borderId="50" xfId="0" applyFont="1" applyFill="1" applyBorder="1" applyAlignment="1" applyProtection="1">
      <alignment horizontal="center" vertical="center" wrapText="1"/>
      <protection hidden="1"/>
    </xf>
    <xf numFmtId="1" fontId="49" fillId="0" borderId="50" xfId="0" applyNumberFormat="1" applyFont="1" applyFill="1" applyBorder="1" applyAlignment="1" applyProtection="1">
      <alignment horizontal="center" vertical="center" wrapText="1"/>
      <protection hidden="1"/>
    </xf>
    <xf numFmtId="0" fontId="79" fillId="0" borderId="0" xfId="0" applyFont="1" applyFill="1" applyBorder="1" applyAlignment="1" applyProtection="1">
      <alignment vertical="center" wrapText="1"/>
      <protection hidden="1"/>
    </xf>
    <xf numFmtId="0" fontId="79" fillId="0" borderId="158" xfId="0" applyFont="1" applyFill="1" applyBorder="1" applyAlignment="1" applyProtection="1">
      <alignment vertical="center" wrapText="1"/>
      <protection hidden="1"/>
    </xf>
    <xf numFmtId="1" fontId="49" fillId="0" borderId="50" xfId="0" applyNumberFormat="1" applyFont="1" applyBorder="1" applyAlignment="1" applyProtection="1">
      <alignment horizontal="center" vertical="center"/>
      <protection hidden="1"/>
    </xf>
    <xf numFmtId="1" fontId="49" fillId="0" borderId="50" xfId="0" applyNumberFormat="1" applyFont="1" applyBorder="1" applyAlignment="1" applyProtection="1">
      <alignment horizontal="center" vertical="center" wrapText="1"/>
      <protection hidden="1"/>
    </xf>
    <xf numFmtId="0" fontId="49" fillId="0" borderId="50" xfId="0" applyFont="1" applyFill="1" applyBorder="1" applyAlignment="1" applyProtection="1">
      <alignment horizontal="center" vertical="center"/>
      <protection hidden="1"/>
    </xf>
    <xf numFmtId="0" fontId="107" fillId="0" borderId="157" xfId="0" applyFont="1" applyBorder="1" applyProtection="1">
      <protection hidden="1"/>
    </xf>
    <xf numFmtId="0" fontId="108" fillId="0" borderId="157" xfId="0" applyFont="1" applyBorder="1" applyProtection="1">
      <protection hidden="1"/>
    </xf>
    <xf numFmtId="0" fontId="49" fillId="0" borderId="147" xfId="0" applyFont="1" applyFill="1" applyBorder="1" applyAlignment="1" applyProtection="1">
      <alignment horizontal="center" vertical="center" wrapText="1"/>
      <protection hidden="1"/>
    </xf>
    <xf numFmtId="1" fontId="49" fillId="0" borderId="50" xfId="0" applyNumberFormat="1" applyFont="1" applyFill="1" applyBorder="1" applyAlignment="1" applyProtection="1">
      <alignment horizontal="center" vertical="center"/>
      <protection hidden="1"/>
    </xf>
    <xf numFmtId="0" fontId="0" fillId="0" borderId="157" xfId="0" applyBorder="1" applyProtection="1">
      <protection hidden="1"/>
    </xf>
    <xf numFmtId="0" fontId="49" fillId="0" borderId="50" xfId="0" applyFont="1" applyBorder="1" applyAlignment="1" applyProtection="1">
      <alignment horizontal="center" vertical="center"/>
      <protection hidden="1"/>
    </xf>
    <xf numFmtId="172" fontId="121" fillId="0" borderId="50" xfId="0" applyNumberFormat="1" applyFont="1" applyBorder="1" applyAlignment="1" applyProtection="1">
      <alignment horizontal="center" vertical="center" wrapText="1"/>
      <protection hidden="1"/>
    </xf>
    <xf numFmtId="2" fontId="38" fillId="0" borderId="50" xfId="0" applyNumberFormat="1" applyFont="1" applyFill="1" applyBorder="1" applyAlignment="1" applyProtection="1">
      <alignment horizontal="center" vertical="center" textRotation="90"/>
      <protection hidden="1"/>
    </xf>
    <xf numFmtId="0" fontId="121" fillId="0" borderId="147" xfId="0" applyFont="1" applyFill="1" applyBorder="1" applyAlignment="1" applyProtection="1">
      <alignment horizontal="center" vertical="center" wrapText="1"/>
      <protection hidden="1"/>
    </xf>
    <xf numFmtId="0" fontId="20" fillId="0" borderId="147" xfId="0" applyFont="1" applyFill="1" applyBorder="1" applyAlignment="1" applyProtection="1">
      <alignment horizontal="center" vertical="center" wrapText="1"/>
      <protection hidden="1"/>
    </xf>
    <xf numFmtId="1" fontId="20" fillId="0" borderId="50" xfId="0" applyNumberFormat="1" applyFont="1" applyBorder="1" applyAlignment="1" applyProtection="1">
      <alignment horizontal="center" vertical="center" wrapText="1"/>
      <protection hidden="1"/>
    </xf>
    <xf numFmtId="0" fontId="20" fillId="0" borderId="50" xfId="0" applyFont="1" applyFill="1" applyBorder="1" applyAlignment="1" applyProtection="1">
      <alignment horizontal="center" vertical="center"/>
      <protection hidden="1"/>
    </xf>
    <xf numFmtId="0" fontId="121" fillId="0" borderId="152" xfId="0" applyFont="1" applyFill="1" applyBorder="1" applyAlignment="1" applyProtection="1">
      <alignment horizontal="center" vertical="center" wrapText="1"/>
      <protection hidden="1"/>
    </xf>
    <xf numFmtId="0" fontId="20" fillId="0" borderId="152" xfId="0" applyFont="1" applyFill="1" applyBorder="1" applyAlignment="1" applyProtection="1">
      <alignment horizontal="center" vertical="center" wrapText="1"/>
      <protection hidden="1"/>
    </xf>
    <xf numFmtId="0" fontId="0" fillId="0" borderId="158" xfId="0" applyBorder="1" applyProtection="1">
      <protection hidden="1"/>
    </xf>
    <xf numFmtId="0" fontId="0" fillId="0" borderId="159" xfId="0" applyBorder="1" applyProtection="1">
      <protection hidden="1"/>
    </xf>
    <xf numFmtId="0" fontId="0" fillId="0" borderId="160" xfId="0" applyBorder="1" applyProtection="1">
      <protection hidden="1"/>
    </xf>
    <xf numFmtId="0" fontId="0" fillId="0" borderId="161" xfId="0" applyBorder="1" applyProtection="1">
      <protection hidden="1"/>
    </xf>
    <xf numFmtId="0" fontId="111" fillId="0" borderId="48" xfId="0" applyFont="1" applyFill="1" applyBorder="1" applyAlignment="1" applyProtection="1">
      <alignment vertical="center" wrapText="1"/>
      <protection hidden="1"/>
    </xf>
    <xf numFmtId="0" fontId="111" fillId="0" borderId="49" xfId="0" applyFont="1" applyFill="1" applyBorder="1" applyAlignment="1" applyProtection="1">
      <alignment vertical="center" wrapText="1"/>
      <protection hidden="1"/>
    </xf>
    <xf numFmtId="0" fontId="63" fillId="0" borderId="133" xfId="0" applyFont="1" applyFill="1" applyBorder="1" applyAlignment="1" applyProtection="1">
      <alignment horizontal="center" vertical="center" wrapText="1"/>
      <protection hidden="1"/>
    </xf>
    <xf numFmtId="0" fontId="257" fillId="0" borderId="1" xfId="0" applyFont="1" applyBorder="1" applyAlignment="1" applyProtection="1">
      <alignment horizontal="left" vertical="center" wrapText="1"/>
      <protection hidden="1"/>
    </xf>
    <xf numFmtId="0" fontId="63" fillId="0" borderId="1" xfId="0" applyFont="1" applyBorder="1" applyAlignment="1" applyProtection="1">
      <alignment horizontal="center" vertical="center" wrapText="1"/>
      <protection hidden="1"/>
    </xf>
    <xf numFmtId="2" fontId="63" fillId="0" borderId="1" xfId="0" applyNumberFormat="1" applyFont="1" applyBorder="1" applyAlignment="1" applyProtection="1">
      <alignment horizontal="center" vertical="center" wrapText="1"/>
      <protection hidden="1"/>
    </xf>
    <xf numFmtId="0" fontId="63" fillId="0" borderId="1" xfId="0" applyFont="1" applyFill="1" applyBorder="1" applyAlignment="1" applyProtection="1">
      <alignment horizontal="center" vertical="center" wrapText="1"/>
      <protection hidden="1"/>
    </xf>
    <xf numFmtId="0" fontId="63" fillId="0" borderId="129" xfId="0" applyFont="1" applyFill="1" applyBorder="1" applyAlignment="1" applyProtection="1">
      <alignment horizontal="center" vertical="center" wrapText="1"/>
      <protection hidden="1"/>
    </xf>
    <xf numFmtId="0" fontId="183" fillId="0" borderId="23" xfId="0" applyFont="1" applyFill="1" applyBorder="1" applyAlignment="1" applyProtection="1">
      <alignment horizontal="left" vertical="center" wrapText="1"/>
      <protection hidden="1"/>
    </xf>
    <xf numFmtId="0" fontId="257" fillId="0" borderId="1" xfId="0" applyFont="1" applyFill="1" applyBorder="1" applyAlignment="1" applyProtection="1">
      <alignment horizontal="left" vertical="center" wrapText="1"/>
      <protection hidden="1"/>
    </xf>
    <xf numFmtId="1" fontId="63" fillId="0" borderId="1" xfId="0" applyNumberFormat="1" applyFont="1" applyFill="1" applyBorder="1" applyAlignment="1" applyProtection="1">
      <alignment horizontal="center" vertical="center" wrapText="1"/>
      <protection hidden="1"/>
    </xf>
    <xf numFmtId="1" fontId="63" fillId="0" borderId="1" xfId="0" applyNumberFormat="1" applyFont="1" applyBorder="1" applyAlignment="1" applyProtection="1">
      <alignment horizontal="center" vertical="center" wrapText="1"/>
      <protection hidden="1"/>
    </xf>
    <xf numFmtId="0" fontId="183" fillId="0" borderId="191" xfId="0" applyFont="1" applyFill="1" applyBorder="1" applyAlignment="1" applyProtection="1">
      <alignment horizontal="left" vertical="center" wrapText="1"/>
      <protection hidden="1"/>
    </xf>
    <xf numFmtId="0" fontId="257" fillId="0" borderId="129" xfId="0" applyFont="1" applyFill="1" applyBorder="1" applyAlignment="1" applyProtection="1">
      <alignment horizontal="left" vertical="center" wrapText="1"/>
      <protection hidden="1"/>
    </xf>
    <xf numFmtId="0" fontId="63" fillId="0" borderId="129" xfId="0" applyFont="1" applyBorder="1" applyAlignment="1" applyProtection="1">
      <alignment horizontal="center" vertical="center" wrapText="1"/>
      <protection hidden="1"/>
    </xf>
    <xf numFmtId="2" fontId="63" fillId="0" borderId="129" xfId="0" applyNumberFormat="1" applyFont="1" applyBorder="1" applyAlignment="1" applyProtection="1">
      <alignment horizontal="center" vertical="center" wrapText="1"/>
      <protection hidden="1"/>
    </xf>
    <xf numFmtId="1" fontId="63" fillId="0" borderId="129" xfId="0" applyNumberFormat="1" applyFont="1" applyFill="1" applyBorder="1" applyAlignment="1" applyProtection="1">
      <alignment horizontal="center" vertical="center" wrapText="1"/>
      <protection hidden="1"/>
    </xf>
    <xf numFmtId="0" fontId="183" fillId="0" borderId="25" xfId="0" applyFont="1" applyBorder="1" applyAlignment="1" applyProtection="1">
      <alignment horizontal="left" vertical="center" wrapText="1"/>
      <protection hidden="1"/>
    </xf>
    <xf numFmtId="0" fontId="63" fillId="0" borderId="26" xfId="0" applyFont="1" applyBorder="1" applyAlignment="1" applyProtection="1">
      <alignment horizontal="center" vertical="center" wrapText="1"/>
      <protection hidden="1"/>
    </xf>
    <xf numFmtId="1" fontId="63" fillId="0" borderId="26" xfId="0" applyNumberFormat="1" applyFont="1" applyBorder="1" applyAlignment="1" applyProtection="1">
      <alignment horizontal="center" vertical="center" wrapText="1"/>
      <protection hidden="1"/>
    </xf>
    <xf numFmtId="2" fontId="63" fillId="0" borderId="26" xfId="0" applyNumberFormat="1" applyFont="1" applyBorder="1" applyAlignment="1" applyProtection="1">
      <alignment horizontal="center" vertical="center" wrapText="1"/>
      <protection hidden="1"/>
    </xf>
    <xf numFmtId="0" fontId="63" fillId="0" borderId="26" xfId="0" applyFont="1" applyFill="1" applyBorder="1" applyAlignment="1" applyProtection="1">
      <alignment horizontal="center" vertical="center" wrapText="1"/>
      <protection hidden="1"/>
    </xf>
    <xf numFmtId="0" fontId="63" fillId="0" borderId="165"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9" fillId="0" borderId="0" xfId="0" applyFont="1" applyBorder="1" applyAlignment="1" applyProtection="1">
      <alignment horizontal="left" vertical="center" wrapText="1"/>
      <protection hidden="1"/>
    </xf>
    <xf numFmtId="0" fontId="63" fillId="0" borderId="0" xfId="0" applyFont="1" applyBorder="1" applyAlignment="1" applyProtection="1">
      <alignment horizontal="center" vertical="center" wrapText="1"/>
      <protection hidden="1"/>
    </xf>
    <xf numFmtId="1" fontId="63" fillId="0" borderId="0" xfId="0" applyNumberFormat="1" applyFont="1" applyBorder="1" applyAlignment="1" applyProtection="1">
      <alignment horizontal="center" vertical="center" wrapText="1"/>
      <protection hidden="1"/>
    </xf>
    <xf numFmtId="2" fontId="63" fillId="0" borderId="0" xfId="0" applyNumberFormat="1" applyFont="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1" fontId="52" fillId="0" borderId="0" xfId="0" applyNumberFormat="1" applyFont="1" applyBorder="1" applyAlignment="1" applyProtection="1">
      <alignment horizontal="center" vertical="center" wrapText="1"/>
      <protection hidden="1"/>
    </xf>
    <xf numFmtId="2" fontId="52" fillId="0" borderId="0" xfId="0" applyNumberFormat="1" applyFont="1" applyBorder="1" applyAlignment="1" applyProtection="1">
      <alignment horizontal="center" vertical="center" wrapText="1"/>
      <protection hidden="1"/>
    </xf>
    <xf numFmtId="0" fontId="52" fillId="0" borderId="0"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center" wrapText="1"/>
      <protection hidden="1"/>
    </xf>
    <xf numFmtId="0" fontId="44" fillId="0" borderId="0" xfId="0" applyFont="1" applyBorder="1" applyAlignment="1" applyProtection="1">
      <alignment horizontal="left" wrapText="1"/>
      <protection hidden="1"/>
    </xf>
    <xf numFmtId="0" fontId="114" fillId="0" borderId="0" xfId="0" applyFont="1" applyFill="1" applyBorder="1" applyAlignment="1" applyProtection="1">
      <alignment vertical="center" wrapText="1"/>
      <protection hidden="1"/>
    </xf>
    <xf numFmtId="0" fontId="62" fillId="0" borderId="0" xfId="0" applyFont="1" applyAlignment="1" applyProtection="1">
      <alignment vertical="center"/>
      <protection hidden="1"/>
    </xf>
    <xf numFmtId="0" fontId="62" fillId="0" borderId="0" xfId="0" applyFont="1" applyBorder="1" applyAlignment="1" applyProtection="1">
      <alignment vertical="center"/>
      <protection hidden="1"/>
    </xf>
    <xf numFmtId="0" fontId="46" fillId="0" borderId="135" xfId="0" applyFont="1" applyFill="1" applyBorder="1" applyAlignment="1" applyProtection="1">
      <alignment horizontal="center" vertical="center" wrapText="1"/>
      <protection hidden="1"/>
    </xf>
    <xf numFmtId="0" fontId="46" fillId="0" borderId="135" xfId="0" applyFont="1" applyFill="1" applyBorder="1" applyAlignment="1" applyProtection="1">
      <alignment horizontal="center" vertical="center"/>
      <protection hidden="1"/>
    </xf>
    <xf numFmtId="0" fontId="64" fillId="0" borderId="18" xfId="0" applyFont="1" applyFill="1" applyBorder="1" applyAlignment="1" applyProtection="1">
      <alignment horizontal="center" vertical="center"/>
      <protection hidden="1"/>
    </xf>
    <xf numFmtId="0" fontId="64" fillId="0" borderId="133"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protection hidden="1"/>
    </xf>
    <xf numFmtId="0" fontId="68" fillId="0" borderId="0" xfId="0" applyFont="1" applyFill="1" applyBorder="1" applyAlignment="1" applyProtection="1">
      <alignment horizontal="center" vertical="center"/>
      <protection hidden="1"/>
    </xf>
    <xf numFmtId="0" fontId="69" fillId="0" borderId="0" xfId="0" applyFont="1" applyFill="1" applyBorder="1" applyAlignment="1" applyProtection="1">
      <alignment horizontal="center" vertical="center"/>
      <protection hidden="1"/>
    </xf>
    <xf numFmtId="0" fontId="70" fillId="0" borderId="0" xfId="0" applyFont="1" applyFill="1" applyBorder="1" applyAlignment="1" applyProtection="1">
      <alignment horizontal="center" vertical="center"/>
      <protection hidden="1"/>
    </xf>
    <xf numFmtId="165" fontId="23"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10" fillId="0" borderId="0" xfId="0" applyFont="1" applyAlignment="1" applyProtection="1">
      <alignment vertical="center"/>
      <protection hidden="1"/>
    </xf>
    <xf numFmtId="0" fontId="39" fillId="0" borderId="34" xfId="0" applyFont="1" applyFill="1" applyBorder="1" applyAlignment="1" applyProtection="1">
      <alignment horizontal="left" vertical="center" wrapText="1"/>
      <protection hidden="1"/>
    </xf>
    <xf numFmtId="0" fontId="55" fillId="0" borderId="35" xfId="0" applyFont="1" applyFill="1" applyBorder="1" applyAlignment="1" applyProtection="1">
      <alignment horizontal="center" vertical="center" wrapText="1"/>
      <protection hidden="1"/>
    </xf>
    <xf numFmtId="0" fontId="55" fillId="0" borderId="36" xfId="0" applyFont="1" applyFill="1" applyBorder="1" applyAlignment="1" applyProtection="1">
      <alignment horizontal="center" vertical="center"/>
      <protection hidden="1"/>
    </xf>
    <xf numFmtId="0" fontId="49" fillId="0" borderId="142" xfId="0" applyFont="1" applyFill="1" applyBorder="1" applyAlignment="1" applyProtection="1">
      <alignment horizontal="center" vertical="center" wrapText="1"/>
      <protection hidden="1"/>
    </xf>
    <xf numFmtId="0" fontId="47" fillId="0" borderId="142" xfId="0" applyFont="1" applyFill="1" applyBorder="1" applyAlignment="1" applyProtection="1">
      <alignment horizontal="center" vertical="center" wrapText="1"/>
      <protection hidden="1"/>
    </xf>
    <xf numFmtId="0" fontId="266" fillId="0" borderId="142" xfId="0" applyFont="1" applyFill="1" applyBorder="1" applyAlignment="1" applyProtection="1">
      <alignment horizontal="center" vertical="center" wrapText="1"/>
      <protection hidden="1"/>
    </xf>
    <xf numFmtId="0" fontId="124" fillId="0" borderId="142" xfId="0" applyFont="1" applyFill="1" applyBorder="1" applyAlignment="1" applyProtection="1">
      <alignment horizontal="left" vertical="center" wrapText="1"/>
      <protection hidden="1"/>
    </xf>
    <xf numFmtId="0" fontId="124" fillId="0" borderId="180" xfId="0" applyFont="1" applyFill="1" applyBorder="1" applyAlignment="1" applyProtection="1">
      <alignment horizontal="center" vertical="center" wrapText="1"/>
      <protection hidden="1"/>
    </xf>
    <xf numFmtId="1" fontId="46" fillId="0" borderId="142" xfId="0" applyNumberFormat="1" applyFont="1" applyFill="1" applyBorder="1" applyAlignment="1" applyProtection="1">
      <alignment horizontal="center" vertical="center" wrapText="1"/>
      <protection hidden="1"/>
    </xf>
    <xf numFmtId="172" fontId="124" fillId="0" borderId="142" xfId="0" applyNumberFormat="1" applyFont="1" applyFill="1" applyBorder="1" applyAlignment="1" applyProtection="1">
      <alignment horizontal="center" vertical="center" wrapText="1"/>
      <protection hidden="1"/>
    </xf>
    <xf numFmtId="2" fontId="123" fillId="0" borderId="142" xfId="0" applyNumberFormat="1" applyFont="1" applyFill="1" applyBorder="1" applyAlignment="1" applyProtection="1">
      <alignment horizontal="center" vertical="center" wrapText="1"/>
      <protection hidden="1"/>
    </xf>
    <xf numFmtId="0" fontId="123" fillId="0" borderId="142" xfId="0" applyFont="1" applyBorder="1" applyAlignment="1" applyProtection="1">
      <alignment horizontal="center" vertical="center" wrapText="1"/>
      <protection hidden="1"/>
    </xf>
    <xf numFmtId="167" fontId="46" fillId="0" borderId="142" xfId="0" applyNumberFormat="1" applyFont="1" applyBorder="1" applyAlignment="1" applyProtection="1">
      <alignment horizontal="center" vertical="center" wrapText="1"/>
      <protection hidden="1"/>
    </xf>
    <xf numFmtId="0" fontId="76" fillId="0" borderId="142" xfId="0" applyFont="1" applyBorder="1" applyAlignment="1" applyProtection="1">
      <alignment horizontal="center" vertical="center" wrapText="1"/>
      <protection hidden="1"/>
    </xf>
    <xf numFmtId="0" fontId="46" fillId="0" borderId="142" xfId="0" applyFont="1" applyFill="1" applyBorder="1" applyAlignment="1" applyProtection="1">
      <alignment horizontal="center" vertical="center" wrapText="1"/>
      <protection hidden="1"/>
    </xf>
    <xf numFmtId="0" fontId="38" fillId="0" borderId="34" xfId="0" applyFont="1" applyFill="1" applyBorder="1" applyAlignment="1" applyProtection="1">
      <alignment horizontal="left" vertical="center" wrapText="1"/>
      <protection hidden="1"/>
    </xf>
    <xf numFmtId="0" fontId="46" fillId="0" borderId="15" xfId="0" applyFont="1" applyBorder="1" applyAlignment="1" applyProtection="1">
      <alignment horizontal="center" vertical="center" wrapText="1"/>
      <protection hidden="1"/>
    </xf>
    <xf numFmtId="0" fontId="46" fillId="0" borderId="16"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wrapText="1"/>
      <protection hidden="1"/>
    </xf>
    <xf numFmtId="0" fontId="115" fillId="0" borderId="41" xfId="0" applyFont="1" applyBorder="1" applyAlignment="1" applyProtection="1">
      <alignment vertical="center"/>
      <protection hidden="1"/>
    </xf>
    <xf numFmtId="0" fontId="31" fillId="0" borderId="142" xfId="0" applyFont="1" applyBorder="1" applyAlignment="1" applyProtection="1">
      <alignment horizontal="center" vertical="center" wrapText="1"/>
      <protection hidden="1"/>
    </xf>
    <xf numFmtId="0" fontId="31" fillId="0" borderId="142" xfId="0" applyFont="1" applyFill="1" applyBorder="1" applyAlignment="1" applyProtection="1">
      <alignment horizontal="center" vertical="center" wrapText="1"/>
      <protection hidden="1"/>
    </xf>
    <xf numFmtId="0" fontId="35" fillId="0" borderId="34" xfId="0" applyFont="1" applyBorder="1" applyAlignment="1" applyProtection="1">
      <alignment vertical="center"/>
      <protection hidden="1"/>
    </xf>
    <xf numFmtId="0" fontId="116" fillId="0" borderId="35" xfId="0" applyFont="1" applyFill="1" applyBorder="1" applyAlignment="1" applyProtection="1">
      <alignment horizontal="center" vertical="center" wrapText="1"/>
      <protection hidden="1"/>
    </xf>
    <xf numFmtId="0" fontId="117" fillId="0" borderId="36" xfId="0" applyFont="1" applyBorder="1" applyAlignment="1" applyProtection="1">
      <alignment horizontal="center" vertical="center" wrapText="1"/>
      <protection hidden="1"/>
    </xf>
    <xf numFmtId="1" fontId="31" fillId="0" borderId="142" xfId="0" applyNumberFormat="1" applyFont="1" applyBorder="1" applyAlignment="1" applyProtection="1">
      <alignment horizontal="center" vertical="center"/>
      <protection hidden="1"/>
    </xf>
    <xf numFmtId="0" fontId="49" fillId="0" borderId="35" xfId="0" applyFont="1" applyFill="1" applyBorder="1" applyAlignment="1" applyProtection="1">
      <alignment horizontal="center" vertical="center"/>
      <protection hidden="1"/>
    </xf>
    <xf numFmtId="0" fontId="49" fillId="0" borderId="36" xfId="0" applyFont="1" applyBorder="1" applyAlignment="1" applyProtection="1">
      <alignment horizontal="center" vertical="center"/>
      <protection hidden="1"/>
    </xf>
    <xf numFmtId="1" fontId="31" fillId="0" borderId="142" xfId="0" applyNumberFormat="1" applyFont="1" applyFill="1" applyBorder="1" applyAlignment="1" applyProtection="1">
      <alignment horizontal="center" vertical="center" wrapText="1"/>
      <protection hidden="1"/>
    </xf>
    <xf numFmtId="0" fontId="31" fillId="0" borderId="142" xfId="0" applyFont="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167" fontId="31" fillId="0" borderId="142" xfId="0" applyNumberFormat="1" applyFont="1" applyBorder="1" applyAlignment="1" applyProtection="1">
      <alignment horizontal="center" vertical="center" wrapText="1"/>
      <protection hidden="1"/>
    </xf>
    <xf numFmtId="167" fontId="31" fillId="0" borderId="142" xfId="0" applyNumberFormat="1" applyFont="1" applyBorder="1" applyAlignment="1" applyProtection="1">
      <alignment horizontal="center" vertical="center"/>
      <protection hidden="1"/>
    </xf>
    <xf numFmtId="0" fontId="11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15" fillId="0" borderId="0" xfId="0" applyFont="1" applyAlignment="1" applyProtection="1">
      <alignment vertical="center"/>
      <protection hidden="1"/>
    </xf>
    <xf numFmtId="0" fontId="35" fillId="0" borderId="0" xfId="0" applyFont="1" applyAlignment="1" applyProtection="1">
      <alignment vertical="center"/>
      <protection hidden="1"/>
    </xf>
    <xf numFmtId="2" fontId="46" fillId="0" borderId="35" xfId="0" applyNumberFormat="1" applyFont="1" applyFill="1" applyBorder="1" applyAlignment="1" applyProtection="1">
      <alignment horizontal="center" vertical="center"/>
      <protection hidden="1"/>
    </xf>
    <xf numFmtId="2" fontId="46" fillId="0" borderId="36" xfId="0" applyNumberFormat="1" applyFont="1" applyFill="1" applyBorder="1" applyAlignment="1" applyProtection="1">
      <alignment horizontal="center" vertical="center"/>
      <protection hidden="1"/>
    </xf>
    <xf numFmtId="0" fontId="119" fillId="0" borderId="46" xfId="0" applyFont="1" applyFill="1" applyBorder="1" applyAlignment="1" applyProtection="1">
      <alignment horizontal="center" vertical="center"/>
      <protection hidden="1"/>
    </xf>
    <xf numFmtId="0" fontId="49" fillId="0" borderId="47" xfId="0" applyFont="1" applyBorder="1" applyAlignment="1" applyProtection="1">
      <alignment horizontal="center" vertical="center"/>
      <protection hidden="1"/>
    </xf>
    <xf numFmtId="171" fontId="283" fillId="0" borderId="142" xfId="0" applyNumberFormat="1" applyFont="1" applyFill="1" applyBorder="1" applyAlignment="1" applyProtection="1">
      <alignment horizontal="center" vertical="center" wrapText="1"/>
      <protection hidden="1"/>
    </xf>
    <xf numFmtId="2" fontId="38" fillId="0" borderId="50" xfId="0" applyNumberFormat="1" applyFont="1" applyFill="1" applyBorder="1" applyAlignment="1" applyProtection="1">
      <alignment horizontal="center" vertical="center" textRotation="90" wrapText="1"/>
      <protection hidden="1"/>
    </xf>
    <xf numFmtId="2" fontId="38" fillId="0" borderId="148" xfId="0" applyNumberFormat="1" applyFont="1" applyFill="1" applyBorder="1" applyAlignment="1" applyProtection="1">
      <alignment horizontal="center" vertical="center" textRotation="90" wrapText="1"/>
      <protection hidden="1"/>
    </xf>
    <xf numFmtId="2" fontId="63" fillId="0" borderId="162" xfId="0" applyNumberFormat="1" applyFont="1" applyFill="1" applyBorder="1" applyAlignment="1" applyProtection="1">
      <alignment horizontal="center" vertical="center" textRotation="90" wrapText="1"/>
      <protection hidden="1"/>
    </xf>
    <xf numFmtId="171" fontId="123" fillId="0" borderId="50" xfId="0" applyNumberFormat="1" applyFont="1" applyFill="1" applyBorder="1" applyAlignment="1" applyProtection="1">
      <alignment horizontal="center" vertical="center" wrapText="1"/>
      <protection hidden="1"/>
    </xf>
    <xf numFmtId="0" fontId="123" fillId="0" borderId="50" xfId="0" applyFont="1" applyFill="1" applyBorder="1" applyAlignment="1" applyProtection="1">
      <alignment horizontal="left" vertical="center" wrapText="1"/>
      <protection hidden="1"/>
    </xf>
    <xf numFmtId="0" fontId="284" fillId="0" borderId="50" xfId="0" applyFont="1" applyFill="1" applyBorder="1" applyAlignment="1" applyProtection="1">
      <alignment horizontal="center" vertical="center" wrapText="1"/>
      <protection hidden="1"/>
    </xf>
    <xf numFmtId="172" fontId="52" fillId="0" borderId="50" xfId="0" applyNumberFormat="1" applyFont="1" applyFill="1" applyBorder="1" applyAlignment="1" applyProtection="1">
      <alignment horizontal="center" vertical="center" wrapText="1"/>
      <protection hidden="1"/>
    </xf>
    <xf numFmtId="2" fontId="284" fillId="0" borderId="50" xfId="0" applyNumberFormat="1" applyFont="1" applyFill="1" applyBorder="1" applyAlignment="1" applyProtection="1">
      <alignment horizontal="left" vertical="center" wrapText="1"/>
      <protection hidden="1"/>
    </xf>
    <xf numFmtId="2" fontId="123" fillId="0" borderId="50" xfId="0" applyNumberFormat="1" applyFont="1" applyFill="1" applyBorder="1" applyAlignment="1" applyProtection="1">
      <alignment horizontal="center" vertical="center" wrapText="1"/>
      <protection hidden="1"/>
    </xf>
    <xf numFmtId="0" fontId="17" fillId="0" borderId="170" xfId="0" applyFont="1" applyBorder="1" applyAlignment="1" applyProtection="1">
      <alignment horizontal="center" vertical="center" wrapText="1"/>
      <protection hidden="1"/>
    </xf>
    <xf numFmtId="0" fontId="111" fillId="0" borderId="58" xfId="0" applyFont="1" applyFill="1" applyBorder="1" applyAlignment="1" applyProtection="1">
      <alignment vertical="center" wrapText="1"/>
      <protection hidden="1"/>
    </xf>
    <xf numFmtId="0" fontId="121" fillId="0" borderId="50" xfId="0" applyFont="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0" fontId="107" fillId="0" borderId="58" xfId="0" applyFont="1" applyBorder="1" applyProtection="1">
      <protection hidden="1"/>
    </xf>
    <xf numFmtId="0" fontId="108" fillId="0" borderId="58" xfId="0" applyFont="1" applyBorder="1" applyProtection="1">
      <protection hidden="1"/>
    </xf>
    <xf numFmtId="0" fontId="0" fillId="0" borderId="58" xfId="0" applyBorder="1" applyProtection="1">
      <protection hidden="1"/>
    </xf>
    <xf numFmtId="167" fontId="20" fillId="0" borderId="0"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68" fontId="20" fillId="0" borderId="0" xfId="0" applyNumberFormat="1" applyFont="1" applyFill="1" applyBorder="1" applyAlignment="1" applyProtection="1">
      <alignment horizontal="center" vertical="center" wrapText="1"/>
      <protection hidden="1"/>
    </xf>
    <xf numFmtId="1" fontId="20" fillId="0" borderId="50" xfId="0" applyNumberFormat="1" applyFont="1" applyFill="1" applyBorder="1" applyAlignment="1" applyProtection="1">
      <alignment horizontal="center" vertical="center"/>
      <protection hidden="1"/>
    </xf>
    <xf numFmtId="0" fontId="111" fillId="0" borderId="0" xfId="0" applyFont="1" applyFill="1" applyBorder="1" applyAlignment="1" applyProtection="1">
      <alignment vertical="center" wrapText="1"/>
      <protection hidden="1"/>
    </xf>
    <xf numFmtId="0" fontId="0" fillId="0" borderId="59" xfId="0" applyBorder="1" applyProtection="1">
      <protection hidden="1"/>
    </xf>
    <xf numFmtId="0" fontId="0" fillId="0" borderId="60" xfId="0" applyBorder="1" applyProtection="1">
      <protection hidden="1"/>
    </xf>
    <xf numFmtId="0" fontId="0" fillId="0" borderId="60" xfId="0" applyBorder="1" applyAlignment="1" applyProtection="1">
      <alignment horizontal="left"/>
      <protection hidden="1"/>
    </xf>
    <xf numFmtId="0" fontId="0" fillId="0" borderId="169" xfId="0" applyBorder="1" applyProtection="1">
      <protection hidden="1"/>
    </xf>
    <xf numFmtId="0" fontId="0" fillId="0" borderId="0" xfId="0" applyAlignment="1" applyProtection="1">
      <alignment horizontal="left"/>
      <protection hidden="1"/>
    </xf>
    <xf numFmtId="0" fontId="128" fillId="0" borderId="0" xfId="0" applyFont="1" applyBorder="1" applyAlignment="1" applyProtection="1">
      <protection hidden="1"/>
    </xf>
    <xf numFmtId="0" fontId="93" fillId="0" borderId="0" xfId="0" applyNumberFormat="1" applyFont="1" applyFill="1" applyBorder="1" applyAlignment="1" applyProtection="1">
      <alignment vertical="top" wrapText="1"/>
      <protection hidden="1"/>
    </xf>
    <xf numFmtId="0" fontId="6" fillId="0" borderId="0" xfId="0" applyFont="1" applyBorder="1" applyAlignment="1" applyProtection="1">
      <alignment vertical="center"/>
      <protection hidden="1"/>
    </xf>
    <xf numFmtId="0" fontId="180" fillId="0" borderId="0" xfId="0" applyFont="1" applyBorder="1" applyAlignment="1" applyProtection="1">
      <protection hidden="1"/>
    </xf>
    <xf numFmtId="0" fontId="93"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93" fillId="0" borderId="0" xfId="0" applyFont="1" applyBorder="1" applyAlignment="1" applyProtection="1">
      <alignment horizontal="right" vertical="center" wrapText="1"/>
      <protection hidden="1"/>
    </xf>
    <xf numFmtId="170" fontId="129" fillId="0" borderId="0" xfId="0" applyNumberFormat="1" applyFont="1" applyBorder="1" applyAlignment="1" applyProtection="1">
      <alignment horizontal="center"/>
      <protection hidden="1"/>
    </xf>
    <xf numFmtId="0" fontId="106" fillId="0" borderId="171" xfId="0" applyFont="1" applyFill="1" applyBorder="1" applyAlignment="1" applyProtection="1">
      <alignment horizontal="center" vertical="center" wrapText="1"/>
      <protection hidden="1"/>
    </xf>
    <xf numFmtId="0" fontId="126" fillId="0" borderId="171" xfId="0" applyNumberFormat="1" applyFont="1" applyFill="1" applyBorder="1" applyAlignment="1" applyProtection="1">
      <alignment horizontal="center" vertical="center" wrapText="1"/>
      <protection hidden="1"/>
    </xf>
    <xf numFmtId="0" fontId="183" fillId="0" borderId="171" xfId="0" applyNumberFormat="1" applyFont="1" applyFill="1" applyBorder="1" applyAlignment="1" applyProtection="1">
      <alignment horizontal="center" vertical="center" wrapText="1"/>
      <protection hidden="1"/>
    </xf>
    <xf numFmtId="1" fontId="183" fillId="0" borderId="171" xfId="0" applyNumberFormat="1" applyFont="1" applyFill="1" applyBorder="1" applyAlignment="1" applyProtection="1">
      <alignment horizontal="center" vertical="center" wrapText="1"/>
      <protection hidden="1"/>
    </xf>
    <xf numFmtId="0" fontId="127" fillId="0" borderId="171" xfId="0" applyNumberFormat="1" applyFont="1" applyFill="1" applyBorder="1" applyAlignment="1" applyProtection="1">
      <alignment horizontal="center" vertical="center" wrapText="1"/>
      <protection hidden="1"/>
    </xf>
    <xf numFmtId="1" fontId="125" fillId="0" borderId="171" xfId="0" applyNumberFormat="1" applyFont="1" applyFill="1" applyBorder="1" applyAlignment="1" applyProtection="1">
      <alignment horizontal="center" vertical="center" wrapText="1"/>
      <protection hidden="1"/>
    </xf>
    <xf numFmtId="0" fontId="272" fillId="0" borderId="0" xfId="0" applyFont="1" applyBorder="1" applyAlignment="1" applyProtection="1">
      <protection hidden="1"/>
    </xf>
    <xf numFmtId="0" fontId="278" fillId="0" borderId="0" xfId="0" applyNumberFormat="1" applyFont="1" applyProtection="1">
      <protection hidden="1"/>
    </xf>
    <xf numFmtId="0" fontId="238" fillId="0" borderId="0" xfId="0" applyNumberFormat="1" applyFont="1" applyBorder="1" applyAlignment="1" applyProtection="1">
      <alignment horizontal="right" vertical="top" wrapText="1"/>
      <protection hidden="1"/>
    </xf>
    <xf numFmtId="0" fontId="0" fillId="0" borderId="0" xfId="0" applyNumberFormat="1" applyFont="1" applyProtection="1">
      <protection hidden="1"/>
    </xf>
    <xf numFmtId="0" fontId="63" fillId="0" borderId="0" xfId="0" applyNumberFormat="1" applyFont="1" applyBorder="1" applyAlignment="1" applyProtection="1">
      <alignment horizontal="left" vertical="center" wrapText="1"/>
      <protection hidden="1"/>
    </xf>
    <xf numFmtId="0" fontId="0" fillId="0" borderId="0" xfId="0" applyNumberFormat="1" applyProtection="1">
      <protection hidden="1"/>
    </xf>
    <xf numFmtId="0" fontId="278"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72" fillId="0" borderId="194" xfId="0" applyNumberFormat="1" applyFont="1" applyFill="1" applyBorder="1" applyAlignment="1" applyProtection="1">
      <alignment horizontal="center" vertical="center" wrapText="1"/>
      <protection hidden="1"/>
    </xf>
    <xf numFmtId="0" fontId="52" fillId="0" borderId="194" xfId="0" applyNumberFormat="1" applyFont="1" applyFill="1" applyBorder="1" applyAlignment="1" applyProtection="1">
      <alignment horizontal="center" vertical="center" wrapText="1"/>
      <protection hidden="1"/>
    </xf>
    <xf numFmtId="0" fontId="255" fillId="0" borderId="194" xfId="0" applyNumberFormat="1" applyFont="1" applyFill="1" applyBorder="1" applyAlignment="1" applyProtection="1">
      <alignment horizontal="center" vertical="center" wrapText="1"/>
      <protection hidden="1"/>
    </xf>
    <xf numFmtId="0" fontId="110" fillId="9"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hidden="1"/>
    </xf>
    <xf numFmtId="0" fontId="286" fillId="9" borderId="0" xfId="0" applyFont="1" applyFill="1" applyBorder="1" applyAlignment="1" applyProtection="1">
      <alignment horizontal="center"/>
    </xf>
    <xf numFmtId="171" fontId="287" fillId="9" borderId="0" xfId="0" applyNumberFormat="1" applyFont="1" applyFill="1" applyBorder="1" applyAlignment="1" applyProtection="1">
      <alignment horizontal="center" vertical="top"/>
    </xf>
    <xf numFmtId="0" fontId="10" fillId="29" borderId="0" xfId="0" applyFont="1" applyFill="1" applyBorder="1" applyAlignment="1" applyProtection="1">
      <alignment vertical="center" wrapText="1"/>
      <protection hidden="1"/>
    </xf>
    <xf numFmtId="0" fontId="168" fillId="29" borderId="0" xfId="0" applyFont="1" applyFill="1" applyBorder="1" applyAlignment="1" applyProtection="1">
      <alignment vertical="center" wrapText="1"/>
      <protection hidden="1"/>
    </xf>
    <xf numFmtId="0" fontId="11" fillId="29" borderId="0" xfId="0" applyFont="1" applyFill="1" applyBorder="1" applyAlignment="1" applyProtection="1">
      <alignment vertical="center"/>
      <protection hidden="1"/>
    </xf>
    <xf numFmtId="0" fontId="228" fillId="30" borderId="211" xfId="0" applyFont="1" applyFill="1" applyBorder="1" applyAlignment="1" applyProtection="1">
      <alignment horizontal="right"/>
      <protection hidden="1"/>
    </xf>
    <xf numFmtId="0" fontId="8" fillId="32" borderId="212" xfId="0" applyFont="1" applyFill="1" applyBorder="1" applyAlignment="1" applyProtection="1">
      <alignment vertical="center"/>
      <protection locked="0"/>
    </xf>
    <xf numFmtId="0" fontId="228" fillId="30" borderId="213" xfId="0" applyFont="1" applyFill="1" applyBorder="1" applyAlignment="1" applyProtection="1">
      <alignment horizontal="right" vertical="center"/>
      <protection hidden="1"/>
    </xf>
    <xf numFmtId="0" fontId="229" fillId="32" borderId="214" xfId="0" applyFont="1" applyFill="1" applyBorder="1" applyAlignment="1" applyProtection="1">
      <alignment vertical="center"/>
      <protection locked="0"/>
    </xf>
    <xf numFmtId="0" fontId="8" fillId="32" borderId="214" xfId="0" applyFont="1" applyFill="1" applyBorder="1" applyAlignment="1" applyProtection="1">
      <alignment horizontal="left" vertical="center"/>
      <protection locked="0"/>
    </xf>
    <xf numFmtId="0" fontId="229" fillId="32" borderId="214" xfId="0" applyFont="1" applyFill="1" applyBorder="1" applyAlignment="1" applyProtection="1">
      <alignment horizontal="left" vertical="center"/>
      <protection locked="0"/>
    </xf>
    <xf numFmtId="171" fontId="194" fillId="32" borderId="214" xfId="0" applyNumberFormat="1" applyFont="1" applyFill="1" applyBorder="1" applyAlignment="1" applyProtection="1">
      <alignment horizontal="left" vertical="center"/>
      <protection locked="0"/>
    </xf>
    <xf numFmtId="0" fontId="289" fillId="30" borderId="213" xfId="0" applyFont="1" applyFill="1" applyBorder="1" applyAlignment="1" applyProtection="1">
      <alignment horizontal="right" vertical="center"/>
      <protection hidden="1"/>
    </xf>
    <xf numFmtId="0" fontId="290" fillId="32" borderId="214" xfId="0" applyFont="1" applyFill="1" applyBorder="1" applyAlignment="1" applyProtection="1">
      <alignment horizontal="left" vertical="center"/>
      <protection locked="0"/>
    </xf>
    <xf numFmtId="0" fontId="229" fillId="3" borderId="214" xfId="0" applyFont="1" applyFill="1" applyBorder="1" applyAlignment="1" applyProtection="1">
      <alignment horizontal="left" vertical="center"/>
      <protection locked="0"/>
    </xf>
    <xf numFmtId="171" fontId="194" fillId="32" borderId="215" xfId="0" applyNumberFormat="1" applyFont="1" applyFill="1" applyBorder="1" applyAlignment="1" applyProtection="1">
      <alignment horizontal="left" vertical="center"/>
      <protection locked="0"/>
    </xf>
    <xf numFmtId="0" fontId="228" fillId="31" borderId="216" xfId="0" applyFont="1" applyFill="1" applyBorder="1" applyAlignment="1" applyProtection="1">
      <alignment horizontal="right" vertical="center"/>
      <protection hidden="1"/>
    </xf>
    <xf numFmtId="171" fontId="190" fillId="32" borderId="217" xfId="0" applyNumberFormat="1" applyFont="1" applyFill="1" applyBorder="1" applyAlignment="1" applyProtection="1">
      <alignment horizontal="left" vertical="center"/>
      <protection locked="0"/>
    </xf>
    <xf numFmtId="0" fontId="25" fillId="10" borderId="223" xfId="0" applyFont="1" applyFill="1" applyBorder="1" applyAlignment="1" applyProtection="1">
      <alignment vertical="center"/>
      <protection locked="0"/>
    </xf>
    <xf numFmtId="0" fontId="25" fillId="10" borderId="224" xfId="0" applyFont="1" applyFill="1" applyBorder="1" applyAlignment="1" applyProtection="1">
      <alignment vertical="center"/>
      <protection locked="0"/>
    </xf>
    <xf numFmtId="0" fontId="25" fillId="10" borderId="225" xfId="0" applyFont="1" applyFill="1" applyBorder="1" applyAlignment="1" applyProtection="1">
      <alignment vertical="center"/>
      <protection locked="0"/>
    </xf>
    <xf numFmtId="0" fontId="280" fillId="6" borderId="222" xfId="0" applyFont="1" applyFill="1" applyBorder="1" applyAlignment="1" applyProtection="1">
      <alignment vertical="center"/>
      <protection hidden="1"/>
    </xf>
    <xf numFmtId="0" fontId="291" fillId="15" borderId="227" xfId="4" applyFont="1" applyFill="1" applyBorder="1" applyAlignment="1" applyProtection="1">
      <protection locked="0"/>
    </xf>
    <xf numFmtId="0" fontId="292" fillId="26" borderId="0" xfId="0" applyFont="1" applyFill="1" applyAlignment="1" applyProtection="1">
      <alignment horizontal="center" vertical="center"/>
      <protection hidden="1"/>
    </xf>
    <xf numFmtId="0" fontId="293" fillId="26" borderId="0" xfId="0" applyFont="1" applyFill="1" applyBorder="1" applyAlignment="1" applyProtection="1">
      <alignment horizontal="center" vertical="center"/>
      <protection hidden="1"/>
    </xf>
    <xf numFmtId="0" fontId="294" fillId="6" borderId="226" xfId="0" applyFont="1" applyFill="1" applyBorder="1" applyAlignment="1" applyProtection="1">
      <alignment vertical="center"/>
      <protection hidden="1"/>
    </xf>
    <xf numFmtId="0" fontId="295" fillId="26" borderId="0" xfId="0" applyFont="1" applyFill="1" applyBorder="1" applyAlignment="1" applyProtection="1">
      <alignment horizontal="center" vertical="center"/>
      <protection hidden="1"/>
    </xf>
    <xf numFmtId="0" fontId="296" fillId="7" borderId="218" xfId="0" applyFont="1" applyFill="1" applyBorder="1" applyAlignment="1" applyProtection="1">
      <alignment horizontal="left" vertical="center"/>
      <protection locked="0"/>
    </xf>
    <xf numFmtId="0" fontId="296" fillId="7" borderId="219" xfId="0" applyFont="1" applyFill="1" applyBorder="1" applyAlignment="1" applyProtection="1">
      <alignment horizontal="left" vertical="center"/>
      <protection locked="0"/>
    </xf>
    <xf numFmtId="0" fontId="296" fillId="7" borderId="220" xfId="0" applyFont="1" applyFill="1" applyBorder="1" applyAlignment="1" applyProtection="1">
      <alignment horizontal="left" vertical="center"/>
      <protection locked="0"/>
    </xf>
    <xf numFmtId="0" fontId="235" fillId="35" borderId="50" xfId="0" applyFont="1" applyFill="1" applyBorder="1" applyAlignment="1" applyProtection="1">
      <alignment horizontal="center" vertical="center"/>
      <protection hidden="1"/>
    </xf>
    <xf numFmtId="0" fontId="297" fillId="34" borderId="50" xfId="0" applyFont="1" applyFill="1" applyBorder="1" applyAlignment="1" applyProtection="1">
      <alignment horizontal="center" vertical="center"/>
      <protection hidden="1"/>
    </xf>
    <xf numFmtId="0" fontId="0" fillId="36" borderId="0" xfId="0" applyFill="1" applyProtection="1">
      <protection hidden="1"/>
    </xf>
    <xf numFmtId="0" fontId="0" fillId="37" borderId="0" xfId="0" applyFill="1" applyProtection="1">
      <protection hidden="1"/>
    </xf>
    <xf numFmtId="0" fontId="268" fillId="33" borderId="229" xfId="0" applyFont="1" applyFill="1" applyBorder="1" applyAlignment="1" applyProtection="1">
      <alignment vertical="center"/>
      <protection hidden="1"/>
    </xf>
    <xf numFmtId="0" fontId="28" fillId="12" borderId="232" xfId="0" applyFont="1" applyFill="1" applyBorder="1" applyAlignment="1" applyProtection="1">
      <alignment horizontal="center" vertical="center" wrapText="1"/>
      <protection hidden="1"/>
    </xf>
    <xf numFmtId="0" fontId="28" fillId="12" borderId="233" xfId="0" applyFont="1" applyFill="1" applyBorder="1" applyAlignment="1" applyProtection="1">
      <alignment horizontal="center" vertical="center" wrapText="1"/>
      <protection hidden="1"/>
    </xf>
    <xf numFmtId="0" fontId="276" fillId="12" borderId="233" xfId="0" applyFont="1" applyFill="1" applyBorder="1" applyAlignment="1" applyProtection="1">
      <alignment horizontal="left" vertical="center" wrapText="1"/>
      <protection hidden="1"/>
    </xf>
    <xf numFmtId="0" fontId="28" fillId="12" borderId="234" xfId="0" applyFont="1" applyFill="1" applyBorder="1" applyAlignment="1" applyProtection="1">
      <alignment horizontal="center" vertical="center" wrapText="1"/>
      <protection hidden="1"/>
    </xf>
    <xf numFmtId="0" fontId="28" fillId="12" borderId="235" xfId="0" applyFont="1" applyFill="1" applyBorder="1" applyAlignment="1" applyProtection="1">
      <alignment horizontal="center" vertical="center" wrapText="1"/>
      <protection hidden="1"/>
    </xf>
    <xf numFmtId="0" fontId="38" fillId="13" borderId="238" xfId="0" applyFont="1" applyFill="1" applyBorder="1" applyAlignment="1" applyProtection="1">
      <alignment horizontal="center" vertical="center" textRotation="90" wrapText="1"/>
      <protection hidden="1"/>
    </xf>
    <xf numFmtId="0" fontId="38" fillId="24" borderId="239" xfId="0" applyFont="1" applyFill="1" applyBorder="1" applyAlignment="1" applyProtection="1">
      <alignment horizontal="center" vertical="center" textRotation="90" wrapText="1"/>
      <protection hidden="1"/>
    </xf>
    <xf numFmtId="1" fontId="30" fillId="0" borderId="3" xfId="0" applyNumberFormat="1" applyFont="1" applyBorder="1" applyAlignment="1" applyProtection="1">
      <alignment horizontal="center" vertical="center" wrapText="1"/>
      <protection locked="0"/>
    </xf>
    <xf numFmtId="0" fontId="63" fillId="0" borderId="1" xfId="0" applyFont="1" applyFill="1" applyBorder="1" applyAlignment="1" applyProtection="1">
      <alignment horizontal="center" vertical="center"/>
      <protection locked="0"/>
    </xf>
    <xf numFmtId="0" fontId="276" fillId="12" borderId="233" xfId="0" applyFont="1" applyFill="1" applyBorder="1" applyAlignment="1" applyProtection="1">
      <alignment horizontal="center" vertical="center" wrapText="1"/>
      <protection hidden="1"/>
    </xf>
    <xf numFmtId="0" fontId="276" fillId="12" borderId="179" xfId="0" applyFont="1" applyFill="1" applyBorder="1" applyAlignment="1" applyProtection="1">
      <alignment horizontal="center" vertical="center" wrapText="1"/>
      <protection hidden="1"/>
    </xf>
    <xf numFmtId="0" fontId="30" fillId="12" borderId="233" xfId="0" applyFont="1" applyFill="1" applyBorder="1" applyAlignment="1" applyProtection="1">
      <alignment horizontal="center" vertical="center" wrapText="1"/>
      <protection hidden="1"/>
    </xf>
    <xf numFmtId="0" fontId="30" fillId="12" borderId="179" xfId="0" applyFont="1" applyFill="1" applyBorder="1" applyAlignment="1" applyProtection="1">
      <alignment horizontal="center" vertical="center" wrapText="1"/>
      <protection hidden="1"/>
    </xf>
    <xf numFmtId="0" fontId="302" fillId="12" borderId="233" xfId="0" applyFont="1" applyFill="1" applyBorder="1" applyAlignment="1" applyProtection="1">
      <alignment horizontal="center" vertical="center" wrapText="1"/>
      <protection hidden="1"/>
    </xf>
    <xf numFmtId="0" fontId="302" fillId="12" borderId="179" xfId="0" applyFont="1" applyFill="1" applyBorder="1" applyAlignment="1" applyProtection="1">
      <alignment horizontal="center" vertical="center" wrapText="1"/>
      <protection hidden="1"/>
    </xf>
    <xf numFmtId="166" fontId="303" fillId="12" borderId="233" xfId="0" applyNumberFormat="1" applyFont="1" applyFill="1" applyBorder="1" applyAlignment="1" applyProtection="1">
      <alignment horizontal="center" vertical="center" wrapText="1"/>
      <protection hidden="1"/>
    </xf>
    <xf numFmtId="166" fontId="303" fillId="12" borderId="179" xfId="0" applyNumberFormat="1" applyFont="1" applyFill="1" applyBorder="1" applyAlignment="1" applyProtection="1">
      <alignment horizontal="center" vertical="center" wrapText="1"/>
      <protection hidden="1"/>
    </xf>
    <xf numFmtId="0" fontId="258" fillId="0" borderId="1" xfId="0" applyFont="1" applyFill="1" applyBorder="1" applyAlignment="1" applyProtection="1">
      <alignment horizontal="center" vertical="center"/>
      <protection locked="0"/>
    </xf>
    <xf numFmtId="0" fontId="38" fillId="24" borderId="238" xfId="0" applyFont="1" applyFill="1" applyBorder="1" applyAlignment="1" applyProtection="1">
      <alignment horizontal="center" vertical="center" textRotation="90" wrapText="1"/>
      <protection hidden="1"/>
    </xf>
    <xf numFmtId="0" fontId="273" fillId="20" borderId="85" xfId="0" applyFont="1" applyFill="1" applyBorder="1" applyAlignment="1" applyProtection="1">
      <alignment horizontal="center" vertical="center" textRotation="90" wrapText="1"/>
    </xf>
    <xf numFmtId="0" fontId="22" fillId="2" borderId="88" xfId="0" applyFont="1" applyFill="1" applyBorder="1" applyAlignment="1" applyProtection="1">
      <alignment horizontal="center" vertical="center" wrapText="1"/>
      <protection locked="0"/>
    </xf>
    <xf numFmtId="0" fontId="63" fillId="20" borderId="92" xfId="0" applyFont="1" applyFill="1" applyBorder="1" applyAlignment="1" applyProtection="1">
      <alignment horizontal="center" vertical="center" textRotation="90" wrapText="1"/>
    </xf>
    <xf numFmtId="0" fontId="273" fillId="20" borderId="92" xfId="0" applyFont="1" applyFill="1" applyBorder="1" applyAlignment="1" applyProtection="1">
      <alignment horizontal="center" vertical="center" textRotation="90" wrapText="1"/>
    </xf>
    <xf numFmtId="0" fontId="273" fillId="12" borderId="85" xfId="0" applyFont="1" applyFill="1" applyBorder="1" applyAlignment="1" applyProtection="1">
      <alignment horizontal="center" vertical="center" textRotation="90" wrapText="1"/>
    </xf>
    <xf numFmtId="0" fontId="63" fillId="12" borderId="92" xfId="0" applyFont="1" applyFill="1" applyBorder="1" applyAlignment="1" applyProtection="1">
      <alignment horizontal="center" vertical="center" textRotation="90" wrapText="1"/>
    </xf>
    <xf numFmtId="0" fontId="273" fillId="12" borderId="92" xfId="0" applyFont="1" applyFill="1" applyBorder="1" applyAlignment="1" applyProtection="1">
      <alignment horizontal="center" vertical="center" textRotation="90" wrapText="1"/>
    </xf>
    <xf numFmtId="0" fontId="273" fillId="17" borderId="85" xfId="0" applyFont="1" applyFill="1" applyBorder="1" applyAlignment="1" applyProtection="1">
      <alignment horizontal="center" vertical="center" textRotation="90" wrapText="1"/>
    </xf>
    <xf numFmtId="0" fontId="63" fillId="17" borderId="92" xfId="0" applyFont="1" applyFill="1" applyBorder="1" applyAlignment="1" applyProtection="1">
      <alignment horizontal="center" vertical="center" textRotation="90" wrapText="1"/>
    </xf>
    <xf numFmtId="0" fontId="273" fillId="17" borderId="92" xfId="0" applyFont="1" applyFill="1" applyBorder="1" applyAlignment="1" applyProtection="1">
      <alignment horizontal="center" vertical="center" textRotation="90" wrapText="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307" fillId="0" borderId="0" xfId="0" applyFont="1" applyFill="1" applyBorder="1" applyAlignment="1" applyProtection="1">
      <alignment vertical="center" wrapText="1"/>
    </xf>
    <xf numFmtId="0" fontId="9" fillId="38" borderId="184" xfId="0" applyFont="1" applyFill="1" applyBorder="1" applyAlignment="1" applyProtection="1">
      <alignment horizontal="center" vertical="center" wrapText="1"/>
      <protection locked="0"/>
    </xf>
    <xf numFmtId="0" fontId="31" fillId="38" borderId="9" xfId="0" applyFont="1" applyFill="1" applyBorder="1" applyAlignment="1" applyProtection="1">
      <alignment horizontal="center" vertical="center" wrapText="1"/>
      <protection locked="0"/>
    </xf>
    <xf numFmtId="0" fontId="9" fillId="38" borderId="190" xfId="0" applyFont="1" applyFill="1" applyBorder="1" applyAlignment="1" applyProtection="1">
      <alignment horizontal="center" vertical="center" wrapText="1"/>
      <protection locked="0"/>
    </xf>
    <xf numFmtId="0" fontId="31" fillId="38" borderId="77" xfId="0" applyFont="1" applyFill="1" applyBorder="1" applyAlignment="1" applyProtection="1">
      <alignment horizontal="center" vertical="center" wrapText="1"/>
      <protection locked="0"/>
    </xf>
    <xf numFmtId="0" fontId="9" fillId="38" borderId="185" xfId="0" applyFont="1" applyFill="1" applyBorder="1" applyAlignment="1" applyProtection="1">
      <alignment horizontal="center" vertical="center" wrapText="1"/>
      <protection locked="0"/>
    </xf>
    <xf numFmtId="0" fontId="31" fillId="38" borderId="83" xfId="0" applyFont="1" applyFill="1" applyBorder="1" applyAlignment="1" applyProtection="1">
      <alignment horizontal="center" vertical="center" wrapText="1"/>
      <protection locked="0"/>
    </xf>
    <xf numFmtId="0" fontId="41" fillId="20" borderId="97" xfId="0" applyFont="1" applyFill="1" applyBorder="1" applyAlignment="1" applyProtection="1">
      <alignment vertical="center"/>
      <protection hidden="1"/>
    </xf>
    <xf numFmtId="0" fontId="306" fillId="0" borderId="0" xfId="0" applyFont="1" applyFill="1" applyBorder="1" applyAlignment="1" applyProtection="1">
      <alignment vertical="center" wrapText="1"/>
      <protection locked="0"/>
    </xf>
    <xf numFmtId="0" fontId="9" fillId="38" borderId="183" xfId="0" applyFont="1" applyFill="1" applyBorder="1" applyAlignment="1" applyProtection="1">
      <alignment horizontal="center" vertical="center" wrapText="1"/>
      <protection locked="0"/>
    </xf>
    <xf numFmtId="0" fontId="31" fillId="38" borderId="79" xfId="0" applyFont="1" applyFill="1" applyBorder="1" applyAlignment="1" applyProtection="1">
      <alignment horizontal="center" vertical="center" wrapText="1"/>
      <protection locked="0"/>
    </xf>
    <xf numFmtId="0" fontId="304" fillId="12" borderId="245" xfId="0" applyFont="1" applyFill="1" applyBorder="1" applyAlignment="1" applyProtection="1">
      <alignment horizontal="center" vertical="center" wrapText="1"/>
      <protection hidden="1"/>
    </xf>
    <xf numFmtId="0" fontId="304" fillId="12" borderId="246" xfId="0" applyFont="1" applyFill="1" applyBorder="1" applyAlignment="1" applyProtection="1">
      <alignment horizontal="center" vertical="center" wrapText="1"/>
      <protection hidden="1"/>
    </xf>
    <xf numFmtId="0" fontId="9" fillId="3" borderId="190" xfId="0" applyFont="1" applyFill="1" applyBorder="1" applyAlignment="1" applyProtection="1">
      <alignment horizontal="center" vertical="center" wrapText="1"/>
      <protection locked="0"/>
    </xf>
    <xf numFmtId="0" fontId="173" fillId="3" borderId="247" xfId="0" applyFont="1" applyFill="1" applyBorder="1" applyAlignment="1" applyProtection="1">
      <alignment horizontal="center" vertical="center" wrapText="1"/>
      <protection locked="0"/>
    </xf>
    <xf numFmtId="0" fontId="174" fillId="3" borderId="80" xfId="0" applyFont="1" applyFill="1" applyBorder="1" applyAlignment="1" applyProtection="1">
      <alignment horizontal="center" vertical="center" wrapText="1"/>
      <protection locked="0"/>
    </xf>
    <xf numFmtId="0" fontId="174" fillId="3" borderId="81" xfId="0" applyFont="1" applyFill="1" applyBorder="1" applyAlignment="1" applyProtection="1">
      <alignment horizontal="center" vertical="center" wrapText="1"/>
      <protection locked="0"/>
    </xf>
    <xf numFmtId="0" fontId="174" fillId="3" borderId="247" xfId="0" applyFont="1" applyFill="1" applyBorder="1" applyAlignment="1" applyProtection="1">
      <alignment horizontal="center" vertical="center" wrapText="1"/>
      <protection locked="0"/>
    </xf>
    <xf numFmtId="0" fontId="174" fillId="3" borderId="84" xfId="0" applyFont="1" applyFill="1" applyBorder="1" applyAlignment="1" applyProtection="1">
      <alignment horizontal="center" vertical="center" wrapText="1"/>
      <protection locked="0"/>
    </xf>
    <xf numFmtId="0" fontId="172" fillId="12" borderId="6" xfId="0" applyFont="1" applyFill="1" applyBorder="1" applyAlignment="1" applyProtection="1">
      <alignment horizontal="center" vertical="center"/>
      <protection hidden="1"/>
    </xf>
    <xf numFmtId="0" fontId="172" fillId="12" borderId="20" xfId="0" applyFont="1" applyFill="1" applyBorder="1" applyAlignment="1" applyProtection="1">
      <alignment horizontal="center" vertical="center"/>
      <protection hidden="1"/>
    </xf>
    <xf numFmtId="0" fontId="183" fillId="12" borderId="178" xfId="0" applyFont="1" applyFill="1" applyBorder="1" applyAlignment="1" applyProtection="1">
      <alignment horizontal="center" wrapText="1"/>
      <protection hidden="1"/>
    </xf>
    <xf numFmtId="0" fontId="183" fillId="12" borderId="203" xfId="0" applyFont="1" applyFill="1" applyBorder="1" applyAlignment="1" applyProtection="1">
      <alignment horizontal="center" wrapText="1"/>
      <protection hidden="1"/>
    </xf>
    <xf numFmtId="0" fontId="38" fillId="0" borderId="115" xfId="0" applyFont="1" applyFill="1" applyBorder="1" applyAlignment="1" applyProtection="1">
      <alignment horizontal="center" vertical="center" textRotation="90" wrapText="1"/>
      <protection hidden="1"/>
    </xf>
    <xf numFmtId="0" fontId="249" fillId="0" borderId="115"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314" fillId="0" borderId="118"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236" fillId="0" borderId="115" xfId="0" applyFont="1" applyFill="1" applyBorder="1" applyAlignment="1" applyProtection="1">
      <alignment horizontal="center" vertical="center" textRotation="90" wrapText="1"/>
      <protection hidden="1"/>
    </xf>
    <xf numFmtId="0" fontId="38" fillId="0" borderId="115" xfId="0" applyFont="1" applyFill="1" applyBorder="1" applyAlignment="1" applyProtection="1">
      <alignment horizontal="center" vertical="center" textRotation="90" wrapText="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36"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248" fillId="0" borderId="115" xfId="0" applyFont="1" applyFill="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49"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wrapText="1"/>
      <protection hidden="1"/>
    </xf>
    <xf numFmtId="0" fontId="29" fillId="0" borderId="118" xfId="0" applyFont="1" applyBorder="1" applyAlignment="1" applyProtection="1">
      <alignment horizontal="center" wrapText="1"/>
      <protection hidden="1"/>
    </xf>
    <xf numFmtId="0" fontId="38" fillId="18"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textRotation="90" wrapText="1"/>
      <protection hidden="1"/>
    </xf>
    <xf numFmtId="0" fontId="236" fillId="0" borderId="115" xfId="0" applyFont="1" applyFill="1" applyBorder="1" applyAlignment="1" applyProtection="1">
      <alignment horizontal="center" vertical="center" textRotation="90" wrapText="1"/>
      <protection hidden="1"/>
    </xf>
    <xf numFmtId="0" fontId="106" fillId="0" borderId="115" xfId="0" applyFont="1" applyFill="1" applyBorder="1" applyAlignment="1" applyProtection="1">
      <alignment horizontal="center" vertical="center" textRotation="90" wrapText="1"/>
      <protection hidden="1"/>
    </xf>
    <xf numFmtId="0" fontId="84" fillId="0" borderId="118" xfId="0" applyFont="1" applyFill="1" applyBorder="1" applyAlignment="1" applyProtection="1">
      <alignment horizontal="center" vertical="center" wrapText="1"/>
      <protection hidden="1"/>
    </xf>
    <xf numFmtId="0" fontId="49" fillId="22"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41" fillId="0" borderId="115" xfId="0" applyFont="1" applyFill="1" applyBorder="1" applyAlignment="1" applyProtection="1">
      <alignment horizontal="center" vertical="center" wrapText="1"/>
      <protection hidden="1"/>
    </xf>
    <xf numFmtId="0" fontId="5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textRotation="90" wrapText="1"/>
      <protection hidden="1"/>
    </xf>
    <xf numFmtId="0" fontId="49" fillId="0" borderId="115" xfId="0" applyFont="1" applyFill="1" applyBorder="1" applyAlignment="1" applyProtection="1">
      <alignment horizontal="center" vertical="center" textRotation="90" wrapText="1"/>
      <protection hidden="1"/>
    </xf>
    <xf numFmtId="0" fontId="23" fillId="0" borderId="115" xfId="0" applyFont="1" applyFill="1" applyBorder="1" applyAlignment="1" applyProtection="1">
      <alignment horizontal="center" vertical="center" wrapText="1"/>
      <protection hidden="1"/>
    </xf>
    <xf numFmtId="0" fontId="240" fillId="0" borderId="115" xfId="0" applyFont="1" applyFill="1" applyBorder="1" applyAlignment="1" applyProtection="1">
      <alignment horizontal="center" vertical="center" wrapText="1"/>
      <protection hidden="1"/>
    </xf>
    <xf numFmtId="0" fontId="29" fillId="0" borderId="115" xfId="0" applyFont="1" applyFill="1" applyBorder="1" applyAlignment="1" applyProtection="1">
      <alignment horizontal="center" vertical="center" wrapText="1"/>
      <protection hidden="1"/>
    </xf>
    <xf numFmtId="0" fontId="24" fillId="0" borderId="115" xfId="0" applyFont="1" applyFill="1" applyBorder="1" applyAlignment="1" applyProtection="1">
      <alignment horizontal="center" vertical="center" wrapText="1"/>
      <protection hidden="1"/>
    </xf>
    <xf numFmtId="0" fontId="242" fillId="0" borderId="115" xfId="0" applyFont="1" applyFill="1" applyBorder="1" applyAlignment="1" applyProtection="1">
      <alignment horizontal="center" vertical="center" wrapText="1"/>
      <protection hidden="1"/>
    </xf>
    <xf numFmtId="0" fontId="315" fillId="0" borderId="115" xfId="0" applyFont="1" applyFill="1" applyBorder="1" applyAlignment="1" applyProtection="1">
      <alignment horizontal="center" vertical="center" wrapText="1"/>
      <protection hidden="1"/>
    </xf>
    <xf numFmtId="0" fontId="316" fillId="0" borderId="0" xfId="0" applyFont="1" applyBorder="1" applyAlignment="1" applyProtection="1">
      <alignment horizontal="center" wrapText="1"/>
      <protection hidden="1"/>
    </xf>
    <xf numFmtId="0" fontId="317" fillId="0" borderId="0" xfId="0" applyFont="1" applyBorder="1" applyAlignment="1" applyProtection="1">
      <alignment horizontal="center" wrapText="1"/>
      <protection hidden="1"/>
    </xf>
    <xf numFmtId="172" fontId="318" fillId="3" borderId="118" xfId="0" applyNumberFormat="1" applyFont="1" applyFill="1" applyBorder="1" applyAlignment="1" applyProtection="1">
      <alignment horizontal="center" vertical="center" shrinkToFit="1"/>
      <protection hidden="1"/>
    </xf>
    <xf numFmtId="0" fontId="319" fillId="3" borderId="115" xfId="0" applyFont="1" applyFill="1" applyBorder="1" applyAlignment="1" applyProtection="1">
      <alignment horizontal="center" vertical="center"/>
      <protection hidden="1"/>
    </xf>
    <xf numFmtId="0" fontId="320" fillId="0" borderId="115" xfId="0"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2" fontId="52" fillId="0" borderId="115" xfId="0" applyNumberFormat="1" applyFont="1" applyBorder="1" applyAlignment="1" applyProtection="1">
      <alignment horizontal="center" vertical="center"/>
      <protection hidden="1"/>
    </xf>
    <xf numFmtId="0" fontId="86" fillId="0" borderId="0" xfId="0" applyFont="1" applyFill="1" applyBorder="1" applyAlignment="1" applyProtection="1">
      <alignment horizontal="center" vertical="center" wrapText="1"/>
      <protection hidden="1"/>
    </xf>
    <xf numFmtId="0" fontId="9" fillId="0" borderId="149" xfId="0" applyFont="1" applyFill="1" applyBorder="1" applyAlignment="1" applyProtection="1">
      <alignment horizontal="left" vertical="center" wrapText="1"/>
      <protection hidden="1"/>
    </xf>
    <xf numFmtId="0" fontId="38" fillId="0" borderId="50" xfId="0" applyFont="1" applyFill="1" applyBorder="1" applyAlignment="1" applyProtection="1">
      <alignment horizontal="center" vertical="center" wrapText="1"/>
      <protection hidden="1"/>
    </xf>
    <xf numFmtId="2" fontId="38" fillId="0" borderId="50" xfId="0" applyNumberFormat="1" applyFont="1" applyFill="1" applyBorder="1" applyAlignment="1" applyProtection="1">
      <alignment horizontal="center" vertical="center" textRotation="90" wrapText="1"/>
      <protection hidden="1"/>
    </xf>
    <xf numFmtId="0" fontId="239" fillId="18" borderId="115" xfId="0" applyFont="1" applyFill="1" applyBorder="1" applyAlignment="1" applyProtection="1">
      <alignment horizontal="center" vertical="center" shrinkToFit="1"/>
      <protection hidden="1"/>
    </xf>
    <xf numFmtId="0" fontId="322" fillId="18" borderId="115" xfId="0" applyFont="1" applyFill="1" applyBorder="1" applyAlignment="1" applyProtection="1">
      <alignment horizontal="center" vertical="center" wrapText="1"/>
      <protection hidden="1"/>
    </xf>
    <xf numFmtId="0" fontId="273" fillId="18" borderId="115" xfId="0" applyFont="1" applyFill="1" applyBorder="1" applyAlignment="1" applyProtection="1">
      <alignment horizontal="center" vertical="center" wrapText="1"/>
      <protection hidden="1"/>
    </xf>
    <xf numFmtId="0" fontId="273" fillId="18" borderId="116" xfId="0" applyFont="1" applyFill="1" applyBorder="1" applyAlignment="1" applyProtection="1">
      <alignment horizontal="center" vertical="center" wrapText="1"/>
      <protection hidden="1"/>
    </xf>
    <xf numFmtId="0" fontId="273" fillId="18" borderId="120" xfId="0" applyFont="1" applyFill="1" applyBorder="1" applyAlignment="1" applyProtection="1">
      <alignment horizontal="center" vertical="center" wrapText="1"/>
      <protection hidden="1"/>
    </xf>
    <xf numFmtId="0" fontId="323" fillId="18" borderId="115" xfId="0" applyFont="1" applyFill="1" applyBorder="1" applyAlignment="1" applyProtection="1">
      <alignment horizontal="center" vertical="center" wrapText="1"/>
      <protection hidden="1"/>
    </xf>
    <xf numFmtId="0" fontId="324" fillId="18" borderId="119" xfId="0" applyFont="1" applyFill="1" applyBorder="1" applyAlignment="1" applyProtection="1">
      <alignment horizontal="center" vertical="center" wrapText="1"/>
      <protection hidden="1"/>
    </xf>
    <xf numFmtId="0" fontId="324" fillId="18" borderId="115" xfId="0" applyFont="1" applyFill="1" applyBorder="1" applyAlignment="1" applyProtection="1">
      <alignment horizontal="center" vertical="center" wrapText="1"/>
      <protection hidden="1"/>
    </xf>
    <xf numFmtId="0" fontId="273" fillId="18" borderId="115" xfId="0" applyFont="1" applyFill="1" applyBorder="1" applyAlignment="1" applyProtection="1">
      <alignment horizontal="center" wrapText="1"/>
      <protection hidden="1"/>
    </xf>
    <xf numFmtId="0" fontId="327" fillId="18" borderId="115" xfId="0" applyFont="1" applyFill="1" applyBorder="1" applyAlignment="1" applyProtection="1">
      <alignment wrapText="1"/>
      <protection hidden="1"/>
    </xf>
    <xf numFmtId="0" fontId="273" fillId="18" borderId="115" xfId="0" applyFont="1" applyFill="1" applyBorder="1" applyAlignment="1" applyProtection="1">
      <alignment vertical="center" wrapText="1"/>
      <protection hidden="1"/>
    </xf>
    <xf numFmtId="0" fontId="322" fillId="18" borderId="115" xfId="0" applyFont="1" applyFill="1" applyBorder="1" applyAlignment="1" applyProtection="1">
      <alignment horizontal="center" vertical="center" shrinkToFit="1"/>
      <protection hidden="1"/>
    </xf>
    <xf numFmtId="0" fontId="263" fillId="19" borderId="149" xfId="0" applyFont="1" applyFill="1" applyBorder="1" applyAlignment="1" applyProtection="1">
      <alignment vertical="center" wrapText="1"/>
      <protection hidden="1"/>
    </xf>
    <xf numFmtId="0" fontId="42" fillId="0" borderId="119" xfId="0" applyFont="1" applyFill="1" applyBorder="1" applyAlignment="1" applyProtection="1">
      <alignment vertical="center" wrapText="1"/>
      <protection hidden="1"/>
    </xf>
    <xf numFmtId="0" fontId="12" fillId="0" borderId="119" xfId="0" applyFont="1" applyFill="1" applyBorder="1" applyAlignment="1" applyProtection="1">
      <alignment vertical="center" wrapText="1"/>
      <protection hidden="1"/>
    </xf>
    <xf numFmtId="0" fontId="77" fillId="0" borderId="119" xfId="0" applyFont="1" applyFill="1" applyBorder="1" applyAlignment="1" applyProtection="1">
      <alignment vertical="center" wrapText="1"/>
      <protection hidden="1"/>
    </xf>
    <xf numFmtId="0" fontId="79" fillId="0" borderId="119" xfId="0" applyFont="1" applyFill="1" applyBorder="1" applyAlignment="1" applyProtection="1">
      <alignment vertical="center" wrapText="1"/>
      <protection hidden="1"/>
    </xf>
    <xf numFmtId="0" fontId="82" fillId="0" borderId="119" xfId="0" applyFont="1" applyFill="1" applyBorder="1" applyAlignment="1" applyProtection="1">
      <alignment vertical="center" wrapText="1"/>
      <protection hidden="1"/>
    </xf>
    <xf numFmtId="0" fontId="85" fillId="0" borderId="119" xfId="0" applyFont="1" applyFill="1" applyBorder="1" applyAlignment="1" applyProtection="1">
      <alignment vertical="center" wrapText="1"/>
      <protection hidden="1"/>
    </xf>
    <xf numFmtId="14" fontId="73" fillId="0" borderId="0" xfId="0" applyNumberFormat="1" applyFont="1" applyFill="1" applyBorder="1" applyAlignment="1" applyProtection="1">
      <alignment vertical="center" wrapText="1"/>
      <protection hidden="1"/>
    </xf>
    <xf numFmtId="0" fontId="23" fillId="0" borderId="257" xfId="0" applyFont="1" applyFill="1" applyBorder="1" applyAlignment="1" applyProtection="1">
      <alignment horizontal="center" vertical="center" wrapText="1"/>
      <protection hidden="1"/>
    </xf>
    <xf numFmtId="0" fontId="9" fillId="0" borderId="257" xfId="0" applyFont="1" applyFill="1" applyBorder="1" applyAlignment="1" applyProtection="1">
      <alignment horizontal="center" vertical="center" wrapText="1"/>
      <protection hidden="1"/>
    </xf>
    <xf numFmtId="0" fontId="242" fillId="0" borderId="257" xfId="0" applyFont="1" applyFill="1" applyBorder="1" applyAlignment="1" applyProtection="1">
      <alignment horizontal="center" vertical="center" wrapText="1"/>
      <protection hidden="1"/>
    </xf>
    <xf numFmtId="172" fontId="241" fillId="0" borderId="257" xfId="0" applyNumberFormat="1" applyFont="1" applyFill="1" applyBorder="1" applyAlignment="1" applyProtection="1">
      <alignment horizontal="center" vertical="center" wrapText="1"/>
      <protection hidden="1"/>
    </xf>
    <xf numFmtId="0" fontId="30" fillId="0" borderId="257" xfId="0" applyFont="1" applyFill="1" applyBorder="1" applyAlignment="1" applyProtection="1">
      <alignment horizontal="center" vertical="center" wrapText="1"/>
      <protection hidden="1"/>
    </xf>
    <xf numFmtId="0" fontId="29" fillId="0" borderId="251" xfId="0" applyFont="1" applyBorder="1" applyAlignment="1" applyProtection="1">
      <alignment horizontal="center" vertical="center" wrapText="1"/>
      <protection hidden="1"/>
    </xf>
    <xf numFmtId="0" fontId="264" fillId="0" borderId="258" xfId="0" applyFont="1" applyFill="1" applyBorder="1" applyAlignment="1" applyProtection="1">
      <alignment horizontal="center" vertical="center" wrapText="1"/>
      <protection hidden="1"/>
    </xf>
    <xf numFmtId="0" fontId="23" fillId="9" borderId="259" xfId="0" applyFont="1" applyFill="1" applyBorder="1" applyAlignment="1" applyProtection="1">
      <alignment horizontal="center" vertical="center" shrinkToFit="1"/>
      <protection hidden="1"/>
    </xf>
    <xf numFmtId="2" fontId="38" fillId="0" borderId="50" xfId="0" applyNumberFormat="1" applyFont="1" applyFill="1" applyBorder="1" applyAlignment="1" applyProtection="1">
      <alignment horizontal="center" vertical="center" textRotation="90" wrapText="1"/>
      <protection hidden="1"/>
    </xf>
    <xf numFmtId="0" fontId="38" fillId="0" borderId="148" xfId="0" applyFont="1" applyFill="1" applyBorder="1" applyAlignment="1" applyProtection="1">
      <alignment horizontal="center" vertical="center" wrapText="1"/>
      <protection hidden="1"/>
    </xf>
    <xf numFmtId="0" fontId="123" fillId="0" borderId="142" xfId="0" applyFont="1" applyFill="1" applyBorder="1" applyAlignment="1" applyProtection="1">
      <alignment horizontal="center" vertical="center" wrapText="1"/>
      <protection hidden="1"/>
    </xf>
    <xf numFmtId="0" fontId="38" fillId="0" borderId="50" xfId="0" applyFont="1" applyFill="1" applyBorder="1" applyAlignment="1" applyProtection="1">
      <alignment horizontal="center" vertical="center" textRotation="90" wrapText="1"/>
      <protection hidden="1"/>
    </xf>
    <xf numFmtId="0" fontId="185" fillId="0" borderId="63" xfId="0" applyFont="1" applyFill="1" applyBorder="1" applyAlignment="1" applyProtection="1">
      <alignment horizontal="center" vertical="center" wrapText="1"/>
      <protection hidden="1"/>
    </xf>
    <xf numFmtId="0" fontId="273" fillId="0" borderId="61" xfId="0" applyFont="1" applyFill="1" applyBorder="1" applyAlignment="1" applyProtection="1">
      <alignment horizontal="right" vertical="center" wrapText="1"/>
      <protection hidden="1"/>
    </xf>
    <xf numFmtId="0" fontId="265" fillId="0" borderId="63" xfId="0" applyFont="1" applyBorder="1" applyAlignment="1" applyProtection="1">
      <alignment vertical="center"/>
      <protection hidden="1"/>
    </xf>
    <xf numFmtId="0" fontId="63" fillId="0" borderId="154" xfId="0" applyFont="1" applyFill="1" applyBorder="1" applyAlignment="1" applyProtection="1">
      <alignment horizontal="center" vertical="center" wrapText="1"/>
      <protection hidden="1"/>
    </xf>
    <xf numFmtId="168" fontId="122" fillId="0" borderId="50" xfId="0" applyNumberFormat="1" applyFont="1" applyFill="1" applyBorder="1" applyAlignment="1" applyProtection="1">
      <alignment horizontal="center" vertical="center" wrapText="1"/>
      <protection hidden="1"/>
    </xf>
    <xf numFmtId="1" fontId="50" fillId="0" borderId="154" xfId="0" applyNumberFormat="1" applyFont="1" applyFill="1" applyBorder="1" applyAlignment="1" applyProtection="1">
      <alignment horizontal="center" vertical="center" wrapText="1"/>
      <protection hidden="1"/>
    </xf>
    <xf numFmtId="0" fontId="41" fillId="0" borderId="52" xfId="0" applyFont="1" applyBorder="1" applyAlignment="1" applyProtection="1">
      <alignment vertical="center"/>
      <protection hidden="1"/>
    </xf>
    <xf numFmtId="0" fontId="41" fillId="0" borderId="53" xfId="0" applyFont="1" applyBorder="1" applyAlignment="1" applyProtection="1">
      <alignment vertical="center"/>
      <protection hidden="1"/>
    </xf>
    <xf numFmtId="0" fontId="41" fillId="0" borderId="0" xfId="0" applyFont="1" applyBorder="1" applyAlignment="1" applyProtection="1">
      <alignment vertical="center"/>
      <protection hidden="1"/>
    </xf>
    <xf numFmtId="0" fontId="41" fillId="0" borderId="151" xfId="0" applyFont="1" applyBorder="1" applyAlignment="1" applyProtection="1">
      <alignment vertical="center"/>
      <protection hidden="1"/>
    </xf>
    <xf numFmtId="0" fontId="41" fillId="0" borderId="55" xfId="0" applyFont="1" applyBorder="1" applyAlignment="1" applyProtection="1">
      <alignment vertical="center"/>
      <protection hidden="1"/>
    </xf>
    <xf numFmtId="0" fontId="41" fillId="0" borderId="56" xfId="0" applyFont="1" applyBorder="1" applyAlignment="1" applyProtection="1">
      <alignment vertical="center"/>
      <protection hidden="1"/>
    </xf>
    <xf numFmtId="0" fontId="8" fillId="0" borderId="0" xfId="0" applyFont="1" applyFill="1" applyBorder="1" applyAlignment="1" applyProtection="1">
      <alignment horizontal="left" vertical="center" wrapText="1"/>
      <protection hidden="1"/>
    </xf>
    <xf numFmtId="0" fontId="268" fillId="0" borderId="0" xfId="0" applyFont="1" applyFill="1" applyBorder="1" applyAlignment="1" applyProtection="1">
      <alignment horizontal="right" vertical="top" wrapText="1"/>
      <protection hidden="1"/>
    </xf>
    <xf numFmtId="0" fontId="258" fillId="0" borderId="135" xfId="0" applyFont="1" applyBorder="1" applyAlignment="1" applyProtection="1">
      <alignment horizontal="center" vertical="center" wrapText="1"/>
      <protection hidden="1"/>
    </xf>
    <xf numFmtId="0" fontId="334" fillId="0" borderId="135" xfId="0" applyFont="1" applyFill="1" applyBorder="1" applyAlignment="1" applyProtection="1">
      <alignment horizontal="center" vertical="center" wrapText="1"/>
      <protection hidden="1"/>
    </xf>
    <xf numFmtId="0" fontId="171" fillId="0" borderId="135" xfId="0" applyFont="1" applyFill="1" applyBorder="1" applyAlignment="1" applyProtection="1">
      <alignment horizontal="center" vertical="center" textRotation="90" wrapText="1"/>
      <protection hidden="1"/>
    </xf>
    <xf numFmtId="0" fontId="258" fillId="0" borderId="135" xfId="0" applyFont="1" applyFill="1" applyBorder="1" applyAlignment="1" applyProtection="1">
      <alignment horizontal="center" vertical="center" textRotation="90" wrapText="1"/>
      <protection hidden="1"/>
    </xf>
    <xf numFmtId="0" fontId="335" fillId="0" borderId="23" xfId="0" applyFont="1" applyBorder="1" applyAlignment="1" applyProtection="1">
      <alignment horizontal="left" vertical="center" wrapText="1"/>
      <protection hidden="1"/>
    </xf>
    <xf numFmtId="0" fontId="335" fillId="0" borderId="23" xfId="0" applyFont="1" applyFill="1" applyBorder="1" applyAlignment="1" applyProtection="1">
      <alignment horizontal="left" vertical="center" wrapText="1"/>
      <protection hidden="1"/>
    </xf>
    <xf numFmtId="0" fontId="336" fillId="0" borderId="129" xfId="0" applyFont="1" applyFill="1" applyBorder="1" applyAlignment="1" applyProtection="1">
      <alignment horizontal="left" vertical="center" wrapText="1"/>
      <protection hidden="1"/>
    </xf>
    <xf numFmtId="0" fontId="336" fillId="0" borderId="26" xfId="0" applyFont="1" applyBorder="1" applyAlignment="1" applyProtection="1">
      <alignment horizontal="left" vertical="center" wrapText="1"/>
      <protection hidden="1"/>
    </xf>
    <xf numFmtId="0" fontId="171" fillId="0" borderId="137" xfId="0" applyFont="1" applyFill="1" applyBorder="1" applyAlignment="1" applyProtection="1">
      <alignment horizontal="center" vertical="center" textRotation="90" wrapText="1"/>
      <protection hidden="1"/>
    </xf>
    <xf numFmtId="0" fontId="171" fillId="0" borderId="139" xfId="0" applyFont="1" applyFill="1" applyBorder="1" applyAlignment="1" applyProtection="1">
      <alignment horizontal="center" vertical="center" textRotation="90" wrapText="1"/>
      <protection hidden="1"/>
    </xf>
    <xf numFmtId="0" fontId="171" fillId="0" borderId="134" xfId="0" applyFont="1" applyFill="1" applyBorder="1" applyAlignment="1" applyProtection="1">
      <alignment horizontal="right" vertical="center" textRotation="90" wrapText="1"/>
      <protection hidden="1"/>
    </xf>
    <xf numFmtId="0" fontId="171" fillId="0" borderId="140" xfId="0" applyFont="1" applyFill="1" applyBorder="1" applyAlignment="1" applyProtection="1">
      <alignment horizontal="left" vertical="center" textRotation="90" wrapText="1"/>
      <protection hidden="1"/>
    </xf>
    <xf numFmtId="0" fontId="63" fillId="0" borderId="2" xfId="0" applyFont="1" applyFill="1" applyBorder="1" applyAlignment="1" applyProtection="1">
      <alignment horizontal="center" vertical="center" wrapText="1"/>
      <protection hidden="1"/>
    </xf>
    <xf numFmtId="0" fontId="63" fillId="0" borderId="3" xfId="0" applyFont="1" applyBorder="1" applyAlignment="1" applyProtection="1">
      <alignment horizontal="center" vertical="center" wrapText="1"/>
      <protection hidden="1"/>
    </xf>
    <xf numFmtId="1" fontId="63" fillId="0" borderId="3" xfId="0" applyNumberFormat="1" applyFont="1" applyFill="1" applyBorder="1" applyAlignment="1" applyProtection="1">
      <alignment horizontal="center" vertical="center" wrapText="1"/>
      <protection hidden="1"/>
    </xf>
    <xf numFmtId="0" fontId="63" fillId="0" borderId="3" xfId="0" applyFont="1" applyFill="1" applyBorder="1" applyAlignment="1" applyProtection="1">
      <alignment horizontal="center" vertical="center" wrapText="1"/>
      <protection hidden="1"/>
    </xf>
    <xf numFmtId="1" fontId="63" fillId="0" borderId="261" xfId="0" applyNumberFormat="1" applyFont="1" applyFill="1" applyBorder="1" applyAlignment="1" applyProtection="1">
      <alignment horizontal="center" vertical="center" wrapText="1"/>
      <protection hidden="1"/>
    </xf>
    <xf numFmtId="0" fontId="63" fillId="0" borderId="262" xfId="0" applyFont="1" applyFill="1" applyBorder="1" applyAlignment="1" applyProtection="1">
      <alignment horizontal="center" vertical="center" wrapText="1"/>
      <protection hidden="1"/>
    </xf>
    <xf numFmtId="0" fontId="63" fillId="0" borderId="2" xfId="0" applyFont="1" applyFill="1" applyBorder="1" applyAlignment="1" applyProtection="1">
      <alignment horizontal="right" vertical="center" wrapText="1"/>
      <protection hidden="1"/>
    </xf>
    <xf numFmtId="0" fontId="335" fillId="0" borderId="263" xfId="0" applyFont="1" applyBorder="1" applyAlignment="1" applyProtection="1">
      <alignment horizontal="left" vertical="center" wrapText="1"/>
      <protection hidden="1"/>
    </xf>
    <xf numFmtId="0" fontId="257" fillId="0" borderId="264" xfId="0" applyFont="1" applyBorder="1" applyAlignment="1" applyProtection="1">
      <alignment horizontal="left" vertical="center" wrapText="1"/>
      <protection hidden="1"/>
    </xf>
    <xf numFmtId="0" fontId="63" fillId="0" borderId="264" xfId="0" applyFont="1" applyBorder="1" applyAlignment="1" applyProtection="1">
      <alignment horizontal="center" vertical="center" wrapText="1"/>
      <protection hidden="1"/>
    </xf>
    <xf numFmtId="2" fontId="63" fillId="0" borderId="264" xfId="0" applyNumberFormat="1" applyFont="1" applyBorder="1" applyAlignment="1" applyProtection="1">
      <alignment horizontal="center" vertical="center" wrapText="1"/>
      <protection hidden="1"/>
    </xf>
    <xf numFmtId="0" fontId="63" fillId="0" borderId="264" xfId="0" applyFont="1" applyFill="1" applyBorder="1" applyAlignment="1" applyProtection="1">
      <alignment horizontal="center" vertical="center" wrapText="1"/>
      <protection hidden="1"/>
    </xf>
    <xf numFmtId="0" fontId="63" fillId="0" borderId="265" xfId="0" applyFont="1" applyFill="1" applyBorder="1" applyAlignment="1" applyProtection="1">
      <alignment horizontal="center" vertical="center" wrapText="1"/>
      <protection hidden="1"/>
    </xf>
    <xf numFmtId="0" fontId="63" fillId="0" borderId="267" xfId="0" applyFont="1" applyFill="1" applyBorder="1" applyAlignment="1" applyProtection="1">
      <alignment horizontal="center" vertical="center" wrapText="1"/>
      <protection hidden="1"/>
    </xf>
    <xf numFmtId="0" fontId="63" fillId="0" borderId="268" xfId="0" applyFont="1" applyBorder="1" applyAlignment="1" applyProtection="1">
      <alignment horizontal="center" vertical="center" wrapText="1"/>
      <protection hidden="1"/>
    </xf>
    <xf numFmtId="0" fontId="63" fillId="0" borderId="269" xfId="0" applyFont="1" applyFill="1" applyBorder="1" applyAlignment="1" applyProtection="1">
      <alignment horizontal="center" vertical="center" wrapText="1"/>
      <protection hidden="1"/>
    </xf>
    <xf numFmtId="0" fontId="63" fillId="0" borderId="270" xfId="0" applyFont="1" applyFill="1" applyBorder="1" applyAlignment="1" applyProtection="1">
      <alignment horizontal="center" vertical="center" wrapText="1"/>
      <protection hidden="1"/>
    </xf>
    <xf numFmtId="0" fontId="63" fillId="0" borderId="266" xfId="0" applyFont="1" applyFill="1" applyBorder="1" applyAlignment="1" applyProtection="1">
      <alignment horizontal="right" vertical="center" wrapText="1"/>
      <protection hidden="1"/>
    </xf>
    <xf numFmtId="0" fontId="52" fillId="0" borderId="118" xfId="0" applyFont="1" applyBorder="1" applyAlignment="1" applyProtection="1">
      <alignment horizontal="right" vertical="center"/>
      <protection hidden="1"/>
    </xf>
    <xf numFmtId="0" fontId="52" fillId="0" borderId="180" xfId="0" applyFont="1" applyFill="1" applyBorder="1" applyAlignment="1" applyProtection="1">
      <alignment horizontal="center" vertical="center" textRotation="90" wrapText="1"/>
      <protection hidden="1"/>
    </xf>
    <xf numFmtId="0" fontId="52" fillId="0" borderId="181" xfId="0" applyFont="1" applyBorder="1" applyAlignment="1" applyProtection="1">
      <alignment horizontal="center" vertical="center" textRotation="90" wrapText="1"/>
      <protection hidden="1"/>
    </xf>
    <xf numFmtId="0" fontId="38" fillId="0" borderId="163" xfId="0" applyFont="1" applyFill="1" applyBorder="1" applyAlignment="1" applyProtection="1">
      <alignment horizontal="center" vertical="center" wrapText="1"/>
      <protection hidden="1"/>
    </xf>
    <xf numFmtId="0" fontId="282" fillId="0" borderId="148" xfId="0" applyFont="1" applyFill="1" applyBorder="1" applyAlignment="1" applyProtection="1">
      <alignment horizontal="center" vertical="center" textRotation="90" wrapText="1"/>
      <protection hidden="1"/>
    </xf>
    <xf numFmtId="0" fontId="24" fillId="19" borderId="52" xfId="0" applyFont="1" applyFill="1" applyBorder="1" applyAlignment="1" applyProtection="1">
      <alignment vertical="center" wrapText="1"/>
      <protection hidden="1"/>
    </xf>
    <xf numFmtId="0" fontId="64" fillId="19" borderId="274" xfId="0" applyFont="1" applyFill="1" applyBorder="1" applyAlignment="1" applyProtection="1">
      <alignment vertical="center" wrapText="1"/>
      <protection hidden="1"/>
    </xf>
    <xf numFmtId="0" fontId="46" fillId="0" borderId="147" xfId="0" applyFont="1" applyFill="1" applyBorder="1" applyAlignment="1" applyProtection="1">
      <alignment horizontal="center" vertical="center" wrapText="1"/>
      <protection hidden="1"/>
    </xf>
    <xf numFmtId="0" fontId="24" fillId="19" borderId="276" xfId="0" applyFont="1" applyFill="1" applyBorder="1" applyAlignment="1" applyProtection="1">
      <alignment vertical="center" wrapText="1"/>
      <protection hidden="1"/>
    </xf>
    <xf numFmtId="166" fontId="173" fillId="0" borderId="50" xfId="0" applyNumberFormat="1" applyFont="1" applyFill="1" applyBorder="1" applyAlignment="1" applyProtection="1">
      <alignment horizontal="center" vertical="center" wrapText="1"/>
      <protection hidden="1"/>
    </xf>
    <xf numFmtId="1" fontId="50" fillId="0" borderId="148" xfId="0" applyNumberFormat="1" applyFont="1" applyFill="1" applyBorder="1" applyAlignment="1" applyProtection="1">
      <alignment horizontal="center" vertical="center" wrapText="1"/>
      <protection hidden="1"/>
    </xf>
    <xf numFmtId="2" fontId="52" fillId="0" borderId="50" xfId="0" applyNumberFormat="1" applyFont="1" applyFill="1" applyBorder="1" applyAlignment="1" applyProtection="1">
      <alignment horizontal="center" vertical="center" textRotation="90" shrinkToFit="1"/>
      <protection hidden="1"/>
    </xf>
    <xf numFmtId="0" fontId="129" fillId="0" borderId="171" xfId="0" applyNumberFormat="1" applyFont="1" applyFill="1" applyBorder="1" applyAlignment="1" applyProtection="1">
      <alignment horizontal="center" vertical="center" wrapText="1"/>
      <protection hidden="1"/>
    </xf>
    <xf numFmtId="1" fontId="30" fillId="7" borderId="171" xfId="0" applyNumberFormat="1" applyFont="1" applyFill="1" applyBorder="1" applyAlignment="1" applyProtection="1">
      <alignment horizontal="center" vertical="center" wrapText="1"/>
      <protection hidden="1"/>
    </xf>
    <xf numFmtId="0" fontId="270" fillId="0" borderId="171" xfId="0" applyNumberFormat="1" applyFont="1" applyFill="1" applyBorder="1" applyAlignment="1" applyProtection="1">
      <alignment horizontal="center" vertical="center" wrapText="1"/>
      <protection hidden="1"/>
    </xf>
    <xf numFmtId="0" fontId="187" fillId="0" borderId="0" xfId="0" applyNumberFormat="1" applyFont="1" applyFill="1" applyBorder="1" applyAlignment="1" applyProtection="1">
      <alignment horizontal="center" vertical="top" wrapText="1"/>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342" fillId="0" borderId="0" xfId="0" applyFont="1" applyBorder="1" applyAlignment="1" applyProtection="1">
      <alignment horizontal="center" vertical="center"/>
      <protection hidden="1"/>
    </xf>
    <xf numFmtId="0" fontId="314" fillId="0" borderId="171" xfId="0" applyFont="1" applyFill="1" applyBorder="1" applyAlignment="1" applyProtection="1">
      <alignment horizontal="center" vertical="center" textRotation="90" wrapText="1"/>
      <protection hidden="1"/>
    </xf>
    <xf numFmtId="0" fontId="275" fillId="0" borderId="0" xfId="0" applyNumberFormat="1" applyFont="1" applyAlignment="1" applyProtection="1">
      <alignment horizontal="center" vertical="top" wrapText="1"/>
      <protection hidden="1"/>
    </xf>
    <xf numFmtId="0" fontId="63" fillId="0" borderId="0" xfId="0" applyNumberFormat="1" applyFont="1" applyBorder="1" applyAlignment="1" applyProtection="1">
      <alignment horizontal="center" wrapText="1"/>
      <protection hidden="1"/>
    </xf>
    <xf numFmtId="0" fontId="38" fillId="0" borderId="194" xfId="0" applyNumberFormat="1" applyFont="1" applyFill="1" applyBorder="1" applyAlignment="1" applyProtection="1">
      <alignment horizontal="center" vertical="center" wrapText="1"/>
      <protection hidden="1"/>
    </xf>
    <xf numFmtId="0" fontId="186" fillId="0" borderId="0" xfId="0" applyNumberFormat="1" applyFont="1" applyFill="1" applyBorder="1" applyAlignment="1" applyProtection="1">
      <alignment horizontal="left" vertical="center" wrapText="1"/>
      <protection hidden="1"/>
    </xf>
    <xf numFmtId="0" fontId="187" fillId="0" borderId="0" xfId="0" applyNumberFormat="1" applyFont="1" applyFill="1" applyBorder="1" applyAlignment="1" applyProtection="1">
      <alignment horizontal="center" vertical="top" wrapText="1"/>
      <protection hidden="1"/>
    </xf>
    <xf numFmtId="0" fontId="277" fillId="0" borderId="0" xfId="0" applyFont="1" applyBorder="1" applyAlignment="1" applyProtection="1">
      <alignment horizontal="center" vertical="center"/>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184" fillId="0" borderId="0" xfId="0" applyNumberFormat="1" applyFont="1" applyBorder="1" applyAlignment="1" applyProtection="1">
      <alignment horizontal="left" vertical="center" wrapText="1"/>
      <protection hidden="1"/>
    </xf>
    <xf numFmtId="0" fontId="274" fillId="0" borderId="194" xfId="0" applyNumberFormat="1" applyFont="1" applyFill="1" applyBorder="1" applyAlignment="1" applyProtection="1">
      <alignment horizontal="center" vertical="center" wrapText="1"/>
      <protection hidden="1"/>
    </xf>
    <xf numFmtId="0" fontId="267" fillId="0" borderId="0" xfId="0" applyFont="1" applyBorder="1" applyAlignment="1" applyProtection="1">
      <alignment horizontal="center" vertical="center"/>
      <protection hidden="1"/>
    </xf>
    <xf numFmtId="0" fontId="129" fillId="0" borderId="171" xfId="0" applyFont="1" applyFill="1" applyBorder="1" applyAlignment="1" applyProtection="1">
      <alignment horizontal="center" vertical="center" wrapText="1"/>
      <protection hidden="1"/>
    </xf>
    <xf numFmtId="0" fontId="129" fillId="0" borderId="176" xfId="0" applyNumberFormat="1" applyFont="1" applyFill="1" applyBorder="1" applyAlignment="1" applyProtection="1">
      <alignment horizontal="center" vertical="center" wrapText="1"/>
      <protection hidden="1"/>
    </xf>
    <xf numFmtId="1" fontId="63" fillId="0" borderId="176" xfId="0" applyNumberFormat="1" applyFont="1" applyFill="1" applyBorder="1" applyAlignment="1" applyProtection="1">
      <alignment horizontal="center" vertical="center" wrapText="1"/>
      <protection hidden="1"/>
    </xf>
    <xf numFmtId="1" fontId="125" fillId="0" borderId="193" xfId="0" applyNumberFormat="1" applyFont="1" applyFill="1" applyBorder="1" applyAlignment="1" applyProtection="1">
      <alignment horizontal="center" vertical="center" wrapText="1"/>
      <protection hidden="1"/>
    </xf>
    <xf numFmtId="0" fontId="38" fillId="0" borderId="171" xfId="0" applyFont="1" applyFill="1" applyBorder="1" applyAlignment="1" applyProtection="1">
      <alignment horizontal="center" vertical="center" textRotation="90" wrapText="1"/>
      <protection hidden="1"/>
    </xf>
    <xf numFmtId="0" fontId="335" fillId="0" borderId="171" xfId="0" applyNumberFormat="1" applyFont="1" applyFill="1" applyBorder="1" applyAlignment="1" applyProtection="1">
      <alignment horizontal="center" vertical="center" wrapText="1"/>
      <protection hidden="1"/>
    </xf>
    <xf numFmtId="1" fontId="335" fillId="0" borderId="171" xfId="0" applyNumberFormat="1" applyFont="1" applyFill="1" applyBorder="1" applyAlignment="1" applyProtection="1">
      <alignment horizontal="center" vertical="center" wrapText="1"/>
      <protection hidden="1"/>
    </xf>
    <xf numFmtId="1" fontId="0" fillId="0" borderId="0" xfId="0" applyNumberFormat="1" applyProtection="1">
      <protection hidden="1"/>
    </xf>
    <xf numFmtId="0" fontId="0" fillId="2" borderId="0" xfId="0" applyFill="1" applyProtection="1">
      <protection hidden="1"/>
    </xf>
    <xf numFmtId="1" fontId="348" fillId="7" borderId="171" xfId="0" applyNumberFormat="1" applyFont="1" applyFill="1" applyBorder="1" applyAlignment="1" applyProtection="1">
      <alignment horizontal="center" vertical="center" wrapText="1"/>
      <protection hidden="1"/>
    </xf>
    <xf numFmtId="172" fontId="30" fillId="3" borderId="118" xfId="0" applyNumberFormat="1" applyFont="1" applyFill="1" applyBorder="1" applyAlignment="1" applyProtection="1">
      <alignment horizontal="center" vertical="center" shrinkToFit="1"/>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70" fillId="0" borderId="171"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right" vertical="top" wrapText="1"/>
      <protection hidden="1"/>
    </xf>
    <xf numFmtId="0" fontId="273" fillId="0" borderId="0" xfId="0" applyNumberFormat="1" applyFont="1" applyBorder="1" applyAlignment="1" applyProtection="1">
      <alignment horizontal="right" vertical="center" wrapText="1"/>
      <protection hidden="1"/>
    </xf>
    <xf numFmtId="0" fontId="174" fillId="0" borderId="194" xfId="0" applyNumberFormat="1" applyFont="1" applyFill="1" applyBorder="1" applyAlignment="1" applyProtection="1">
      <alignment horizontal="center" vertical="center" wrapText="1"/>
      <protection hidden="1"/>
    </xf>
    <xf numFmtId="0" fontId="331" fillId="0" borderId="194" xfId="0" applyNumberFormat="1" applyFont="1" applyFill="1" applyBorder="1" applyAlignment="1" applyProtection="1">
      <alignment horizontal="center" vertical="center" wrapText="1"/>
      <protection hidden="1"/>
    </xf>
    <xf numFmtId="0" fontId="353" fillId="0" borderId="194" xfId="0" applyNumberFormat="1" applyFont="1" applyFill="1" applyBorder="1" applyAlignment="1" applyProtection="1">
      <alignment horizontal="center" vertical="center" wrapText="1"/>
      <protection hidden="1"/>
    </xf>
    <xf numFmtId="0" fontId="237" fillId="0" borderId="194" xfId="0" applyNumberFormat="1" applyFont="1" applyFill="1" applyBorder="1" applyAlignment="1" applyProtection="1">
      <alignment horizontal="center" vertical="center" wrapText="1"/>
      <protection hidden="1"/>
    </xf>
    <xf numFmtId="0" fontId="38" fillId="0" borderId="194" xfId="0" applyFont="1" applyFill="1" applyBorder="1" applyAlignment="1" applyProtection="1">
      <alignment horizontal="center" vertical="center" textRotation="90" wrapText="1"/>
      <protection hidden="1"/>
    </xf>
    <xf numFmtId="0" fontId="314" fillId="0" borderId="194" xfId="0" applyFont="1" applyFill="1" applyBorder="1" applyAlignment="1" applyProtection="1">
      <alignment horizontal="center" vertical="center" textRotation="90" wrapText="1"/>
      <protection hidden="1"/>
    </xf>
    <xf numFmtId="0" fontId="236" fillId="0" borderId="194" xfId="0" applyFont="1" applyFill="1" applyBorder="1" applyAlignment="1" applyProtection="1">
      <alignment horizontal="center" vertical="center" textRotation="90" wrapText="1"/>
      <protection hidden="1"/>
    </xf>
    <xf numFmtId="1" fontId="127" fillId="0" borderId="194" xfId="0" applyNumberFormat="1" applyFont="1" applyFill="1" applyBorder="1" applyAlignment="1" applyProtection="1">
      <alignment horizontal="center" vertical="center" wrapText="1"/>
      <protection hidden="1"/>
    </xf>
    <xf numFmtId="0" fontId="129" fillId="0" borderId="194" xfId="0" applyNumberFormat="1" applyFont="1" applyFill="1" applyBorder="1" applyAlignment="1" applyProtection="1">
      <alignment horizontal="center" vertical="center" wrapText="1"/>
      <protection hidden="1"/>
    </xf>
    <xf numFmtId="1" fontId="63" fillId="0" borderId="194" xfId="0" applyNumberFormat="1" applyFont="1" applyFill="1" applyBorder="1" applyAlignment="1" applyProtection="1">
      <alignment horizontal="center" vertical="center" wrapText="1"/>
      <protection hidden="1"/>
    </xf>
    <xf numFmtId="0" fontId="183" fillId="0" borderId="194" xfId="0" applyNumberFormat="1" applyFont="1" applyFill="1" applyBorder="1" applyAlignment="1" applyProtection="1">
      <alignment horizontal="center" vertical="center" wrapText="1"/>
      <protection hidden="1"/>
    </xf>
    <xf numFmtId="0" fontId="270" fillId="0" borderId="194" xfId="0" applyNumberFormat="1" applyFont="1" applyFill="1" applyBorder="1" applyAlignment="1" applyProtection="1">
      <alignment horizontal="center" vertical="center" wrapText="1"/>
      <protection hidden="1"/>
    </xf>
    <xf numFmtId="1" fontId="125" fillId="0" borderId="194" xfId="0" applyNumberFormat="1" applyFont="1" applyFill="1" applyBorder="1" applyAlignment="1" applyProtection="1">
      <alignment horizontal="center" vertical="center" wrapText="1"/>
      <protection hidden="1"/>
    </xf>
    <xf numFmtId="1" fontId="183" fillId="0" borderId="194" xfId="0" applyNumberFormat="1" applyFont="1" applyFill="1" applyBorder="1" applyAlignment="1" applyProtection="1">
      <alignment horizontal="center" vertical="center" wrapText="1"/>
      <protection hidden="1"/>
    </xf>
    <xf numFmtId="0" fontId="195" fillId="0" borderId="194" xfId="0" applyNumberFormat="1" applyFont="1" applyFill="1" applyBorder="1" applyAlignment="1" applyProtection="1">
      <alignment horizontal="center" vertical="center" wrapText="1"/>
      <protection hidden="1"/>
    </xf>
    <xf numFmtId="172" fontId="271" fillId="3" borderId="194" xfId="0" applyNumberFormat="1" applyFont="1" applyFill="1" applyBorder="1" applyAlignment="1" applyProtection="1">
      <alignment horizontal="center" vertical="center" shrinkToFit="1"/>
      <protection hidden="1"/>
    </xf>
    <xf numFmtId="0" fontId="355" fillId="0" borderId="196" xfId="0" applyNumberFormat="1" applyFont="1" applyFill="1" applyBorder="1" applyAlignment="1" applyProtection="1">
      <alignment horizontal="center" vertical="center" wrapText="1"/>
      <protection hidden="1"/>
    </xf>
    <xf numFmtId="0" fontId="271" fillId="0" borderId="199" xfId="0" applyNumberFormat="1" applyFont="1" applyFill="1" applyBorder="1" applyAlignment="1" applyProtection="1">
      <alignment horizontal="center" vertical="center" wrapText="1"/>
      <protection hidden="1"/>
    </xf>
    <xf numFmtId="171" fontId="257" fillId="0" borderId="194" xfId="0" applyNumberFormat="1" applyFont="1" applyFill="1" applyBorder="1" applyAlignment="1" applyProtection="1">
      <alignment horizontal="center" vertical="center" wrapText="1"/>
      <protection hidden="1"/>
    </xf>
    <xf numFmtId="0" fontId="273" fillId="0" borderId="195" xfId="0" applyNumberFormat="1" applyFont="1" applyFill="1" applyBorder="1" applyAlignment="1" applyProtection="1">
      <alignment horizontal="center" vertical="center" wrapText="1"/>
      <protection hidden="1"/>
    </xf>
    <xf numFmtId="0" fontId="9" fillId="0" borderId="199" xfId="0" applyNumberFormat="1"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267" fillId="0" borderId="0" xfId="0" applyFont="1" applyBorder="1" applyAlignment="1" applyProtection="1">
      <alignment vertical="center"/>
      <protection hidden="1"/>
    </xf>
    <xf numFmtId="0" fontId="129" fillId="0" borderId="171" xfId="0" applyNumberFormat="1" applyFont="1" applyFill="1" applyBorder="1" applyAlignment="1" applyProtection="1">
      <alignment horizontal="center" vertical="center" wrapText="1"/>
      <protection hidden="1"/>
    </xf>
    <xf numFmtId="1" fontId="30" fillId="7" borderId="171" xfId="0" applyNumberFormat="1"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231" fillId="0" borderId="171" xfId="0" applyFont="1" applyFill="1" applyBorder="1" applyAlignment="1" applyProtection="1">
      <alignment horizontal="center" vertical="center" wrapText="1"/>
      <protection hidden="1"/>
    </xf>
    <xf numFmtId="1" fontId="52" fillId="0" borderId="171" xfId="0" applyNumberFormat="1" applyFont="1" applyFill="1" applyBorder="1" applyAlignment="1" applyProtection="1">
      <alignment horizontal="center" vertical="center" wrapText="1"/>
      <protection hidden="1"/>
    </xf>
    <xf numFmtId="172" fontId="30" fillId="3" borderId="171" xfId="0" applyNumberFormat="1" applyFont="1" applyFill="1" applyBorder="1" applyAlignment="1" applyProtection="1">
      <alignment horizontal="center" vertical="center" shrinkToFit="1"/>
      <protection hidden="1"/>
    </xf>
    <xf numFmtId="0" fontId="231" fillId="0" borderId="283" xfId="0" applyFont="1" applyFill="1" applyBorder="1" applyAlignment="1" applyProtection="1">
      <alignment horizontal="center" vertical="center" wrapText="1"/>
      <protection hidden="1"/>
    </xf>
    <xf numFmtId="1" fontId="52" fillId="0" borderId="283" xfId="0" applyNumberFormat="1" applyFont="1" applyFill="1" applyBorder="1" applyAlignment="1" applyProtection="1">
      <alignment horizontal="center" vertical="center" wrapText="1"/>
      <protection hidden="1"/>
    </xf>
    <xf numFmtId="171" fontId="362" fillId="26" borderId="0" xfId="0" applyNumberFormat="1" applyFont="1" applyFill="1" applyAlignment="1" applyProtection="1">
      <alignment horizontal="center" vertical="center"/>
      <protection hidden="1"/>
    </xf>
    <xf numFmtId="0" fontId="39" fillId="0" borderId="34" xfId="0" applyFont="1" applyBorder="1" applyAlignment="1" applyProtection="1">
      <alignment vertical="center"/>
      <protection hidden="1"/>
    </xf>
    <xf numFmtId="2" fontId="46" fillId="0" borderId="1" xfId="0" applyNumberFormat="1" applyFont="1" applyFill="1" applyBorder="1" applyAlignment="1" applyProtection="1">
      <alignment horizontal="center" vertical="center"/>
      <protection hidden="1"/>
    </xf>
    <xf numFmtId="0" fontId="64" fillId="0" borderId="264" xfId="0" applyFont="1" applyFill="1" applyBorder="1" applyAlignment="1" applyProtection="1">
      <alignment horizontal="center" vertical="center"/>
      <protection hidden="1"/>
    </xf>
    <xf numFmtId="0" fontId="64" fillId="0" borderId="270" xfId="0" applyFont="1" applyFill="1" applyBorder="1" applyAlignment="1" applyProtection="1">
      <alignment horizontal="center" vertical="center"/>
      <protection hidden="1"/>
    </xf>
    <xf numFmtId="2" fontId="46" fillId="0" borderId="24" xfId="0" applyNumberFormat="1" applyFont="1" applyFill="1" applyBorder="1" applyAlignment="1" applyProtection="1">
      <alignment horizontal="center" vertical="center"/>
      <protection hidden="1"/>
    </xf>
    <xf numFmtId="0" fontId="64" fillId="0" borderId="303" xfId="0" applyFont="1" applyFill="1" applyBorder="1" applyAlignment="1" applyProtection="1">
      <alignment horizontal="center" vertical="center"/>
      <protection hidden="1"/>
    </xf>
    <xf numFmtId="0" fontId="64" fillId="0" borderId="165" xfId="0" applyFont="1" applyFill="1" applyBorder="1" applyAlignment="1" applyProtection="1">
      <alignment horizontal="center" vertical="center"/>
      <protection hidden="1"/>
    </xf>
    <xf numFmtId="0" fontId="285" fillId="9" borderId="0" xfId="4" applyFont="1" applyFill="1" applyBorder="1" applyAlignment="1" applyProtection="1">
      <alignment horizontal="center" vertical="center"/>
    </xf>
    <xf numFmtId="171" fontId="257" fillId="0" borderId="194" xfId="0" applyNumberFormat="1" applyFont="1" applyFill="1" applyBorder="1" applyAlignment="1" applyProtection="1">
      <alignment horizontal="center" vertical="center" wrapText="1" shrinkToFit="1"/>
      <protection hidden="1"/>
    </xf>
    <xf numFmtId="0" fontId="365" fillId="0" borderId="0" xfId="0" applyFont="1" applyProtection="1">
      <protection hidden="1"/>
    </xf>
    <xf numFmtId="0" fontId="365" fillId="0" borderId="0" xfId="0" applyFont="1" applyBorder="1" applyProtection="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366" fillId="20" borderId="6" xfId="0" applyFont="1" applyFill="1" applyBorder="1" applyAlignment="1" applyProtection="1">
      <alignment vertical="center"/>
      <protection hidden="1"/>
    </xf>
    <xf numFmtId="0" fontId="367" fillId="0" borderId="0" xfId="0" applyFont="1" applyFill="1" applyBorder="1" applyAlignment="1" applyProtection="1">
      <alignment vertical="center" wrapText="1"/>
    </xf>
    <xf numFmtId="0" fontId="106" fillId="0" borderId="171" xfId="0" applyFont="1" applyFill="1" applyBorder="1" applyAlignment="1" applyProtection="1">
      <alignment horizontal="center" vertical="center" textRotation="90" wrapText="1"/>
      <protection hidden="1"/>
    </xf>
    <xf numFmtId="0" fontId="368" fillId="6" borderId="221" xfId="0" applyFont="1" applyFill="1" applyBorder="1" applyAlignment="1" applyProtection="1">
      <alignment vertical="center"/>
      <protection hidden="1"/>
    </xf>
    <xf numFmtId="0" fontId="368" fillId="6" borderId="222" xfId="0" applyFont="1" applyFill="1" applyBorder="1" applyAlignment="1" applyProtection="1">
      <alignment vertical="center"/>
      <protection hidden="1"/>
    </xf>
    <xf numFmtId="0" fontId="369" fillId="0" borderId="171" xfId="0" applyNumberFormat="1" applyFont="1" applyFill="1" applyBorder="1" applyAlignment="1" applyProtection="1">
      <alignment horizontal="center" vertical="center" wrapText="1"/>
      <protection hidden="1"/>
    </xf>
    <xf numFmtId="1" fontId="369" fillId="0" borderId="171" xfId="0" applyNumberFormat="1" applyFont="1" applyFill="1" applyBorder="1" applyAlignment="1" applyProtection="1">
      <alignment horizontal="center" vertical="center" wrapText="1"/>
      <protection hidden="1"/>
    </xf>
    <xf numFmtId="0" fontId="308" fillId="0" borderId="194" xfId="0" applyNumberFormat="1" applyFont="1" applyFill="1" applyBorder="1" applyAlignment="1" applyProtection="1">
      <alignment horizontal="center" vertical="center" wrapText="1"/>
      <protection hidden="1"/>
    </xf>
    <xf numFmtId="0" fontId="290" fillId="0" borderId="0" xfId="0" applyFont="1" applyBorder="1" applyAlignment="1" applyProtection="1">
      <alignment horizontal="center" vertical="center"/>
      <protection hidden="1"/>
    </xf>
    <xf numFmtId="0" fontId="9" fillId="0" borderId="0" xfId="0" applyFont="1" applyBorder="1" applyAlignment="1" applyProtection="1">
      <alignment horizontal="right" vertical="center"/>
      <protection hidden="1"/>
    </xf>
    <xf numFmtId="0" fontId="372" fillId="0" borderId="0" xfId="0" applyFont="1" applyBorder="1" applyAlignment="1" applyProtection="1">
      <alignment horizontal="right" vertical="center"/>
      <protection hidden="1"/>
    </xf>
    <xf numFmtId="0" fontId="371" fillId="0" borderId="0" xfId="0" applyFont="1" applyBorder="1" applyAlignment="1" applyProtection="1">
      <alignment horizontal="center" vertical="center"/>
      <protection hidden="1"/>
    </xf>
    <xf numFmtId="0" fontId="38" fillId="0" borderId="304" xfId="0" applyFont="1" applyFill="1" applyBorder="1" applyAlignment="1" applyProtection="1">
      <alignment horizontal="center" vertical="center" textRotation="90" wrapText="1"/>
      <protection hidden="1"/>
    </xf>
    <xf numFmtId="0" fontId="374" fillId="3" borderId="304" xfId="0" applyFont="1" applyFill="1" applyBorder="1" applyAlignment="1" applyProtection="1">
      <alignment horizontal="center" vertical="center" textRotation="90" wrapText="1" shrinkToFit="1"/>
      <protection hidden="1"/>
    </xf>
    <xf numFmtId="0" fontId="59" fillId="40" borderId="304" xfId="0" applyFont="1" applyFill="1" applyBorder="1" applyAlignment="1" applyProtection="1">
      <alignment horizontal="center" vertical="center" wrapText="1"/>
      <protection hidden="1"/>
    </xf>
    <xf numFmtId="0" fontId="375" fillId="40" borderId="304" xfId="0" applyFont="1" applyFill="1" applyBorder="1" applyAlignment="1" applyProtection="1">
      <alignment horizontal="center" vertical="center" wrapText="1"/>
      <protection hidden="1"/>
    </xf>
    <xf numFmtId="0" fontId="281" fillId="40" borderId="304" xfId="0" applyFont="1" applyFill="1" applyBorder="1" applyAlignment="1" applyProtection="1">
      <alignment horizontal="center" vertical="center" wrapText="1"/>
      <protection hidden="1"/>
    </xf>
    <xf numFmtId="0" fontId="97" fillId="40" borderId="304" xfId="0" applyFont="1" applyFill="1" applyBorder="1" applyAlignment="1" applyProtection="1">
      <alignment horizontal="center" vertical="center" wrapText="1"/>
      <protection hidden="1"/>
    </xf>
    <xf numFmtId="0" fontId="8" fillId="40" borderId="304" xfId="0" applyFont="1" applyFill="1" applyBorder="1" applyAlignment="1" applyProtection="1">
      <alignment horizontal="center"/>
      <protection hidden="1"/>
    </xf>
    <xf numFmtId="0" fontId="49" fillId="0" borderId="304" xfId="0" applyFont="1" applyFill="1" applyBorder="1" applyAlignment="1" applyProtection="1">
      <alignment horizontal="center" vertical="center" wrapText="1"/>
      <protection hidden="1"/>
    </xf>
    <xf numFmtId="0" fontId="47" fillId="0" borderId="304" xfId="0" applyFont="1" applyFill="1" applyBorder="1" applyAlignment="1" applyProtection="1">
      <alignment horizontal="center" vertical="center" wrapText="1"/>
      <protection hidden="1"/>
    </xf>
    <xf numFmtId="0" fontId="266" fillId="0" borderId="304" xfId="0" applyFont="1" applyFill="1" applyBorder="1" applyAlignment="1" applyProtection="1">
      <alignment horizontal="center" vertical="center" wrapText="1"/>
      <protection hidden="1"/>
    </xf>
    <xf numFmtId="171" fontId="47" fillId="0" borderId="304" xfId="0" applyNumberFormat="1" applyFont="1" applyFill="1" applyBorder="1" applyAlignment="1" applyProtection="1">
      <alignment horizontal="center" vertical="center" wrapText="1"/>
      <protection hidden="1"/>
    </xf>
    <xf numFmtId="0" fontId="124" fillId="0" borderId="304" xfId="0" applyFont="1" applyFill="1" applyBorder="1" applyAlignment="1" applyProtection="1">
      <alignment horizontal="left" vertical="center" wrapText="1"/>
      <protection hidden="1"/>
    </xf>
    <xf numFmtId="0" fontId="124" fillId="0" borderId="304" xfId="0" applyFont="1" applyFill="1" applyBorder="1" applyAlignment="1" applyProtection="1">
      <alignment horizontal="center" vertical="center" wrapText="1"/>
      <protection hidden="1"/>
    </xf>
    <xf numFmtId="0" fontId="59" fillId="3" borderId="304" xfId="0" applyFont="1" applyFill="1" applyBorder="1" applyAlignment="1" applyProtection="1">
      <alignment horizontal="center" vertical="center" wrapText="1"/>
      <protection hidden="1"/>
    </xf>
    <xf numFmtId="0" fontId="375" fillId="0" borderId="304" xfId="0" applyFont="1" applyFill="1" applyBorder="1" applyAlignment="1" applyProtection="1">
      <alignment horizontal="center" vertical="center" wrapText="1"/>
      <protection hidden="1"/>
    </xf>
    <xf numFmtId="0" fontId="97" fillId="3" borderId="304" xfId="0" applyFont="1" applyFill="1" applyBorder="1" applyAlignment="1" applyProtection="1">
      <alignment horizontal="center" vertical="center" wrapText="1"/>
      <protection hidden="1"/>
    </xf>
    <xf numFmtId="0" fontId="376" fillId="3" borderId="304" xfId="0" applyFont="1" applyFill="1" applyBorder="1" applyAlignment="1" applyProtection="1">
      <alignment horizontal="center" vertical="center" wrapText="1"/>
      <protection hidden="1"/>
    </xf>
    <xf numFmtId="0" fontId="46" fillId="0" borderId="304" xfId="0" applyFont="1" applyFill="1" applyBorder="1" applyAlignment="1" applyProtection="1">
      <alignment horizontal="center" vertical="center" wrapText="1"/>
      <protection hidden="1"/>
    </xf>
    <xf numFmtId="0" fontId="377" fillId="3" borderId="304" xfId="0" applyFont="1" applyFill="1" applyBorder="1" applyAlignment="1" applyProtection="1">
      <alignment horizontal="center" vertical="center" wrapText="1"/>
      <protection hidden="1"/>
    </xf>
    <xf numFmtId="0" fontId="341" fillId="3" borderId="304" xfId="0" applyFont="1" applyFill="1" applyBorder="1" applyAlignment="1" applyProtection="1">
      <alignment horizontal="center" vertical="center"/>
      <protection hidden="1"/>
    </xf>
    <xf numFmtId="0" fontId="282" fillId="3" borderId="319" xfId="0" applyFont="1" applyFill="1" applyBorder="1" applyAlignment="1" applyProtection="1">
      <alignment vertical="center" textRotation="90" wrapText="1" shrinkToFit="1"/>
      <protection hidden="1"/>
    </xf>
    <xf numFmtId="0" fontId="282" fillId="3" borderId="319" xfId="0" applyFont="1" applyFill="1" applyBorder="1" applyAlignment="1" applyProtection="1">
      <alignment horizontal="center" vertical="center" textRotation="90" wrapText="1" shrinkToFit="1"/>
      <protection hidden="1"/>
    </xf>
    <xf numFmtId="0" fontId="382" fillId="40" borderId="304" xfId="0" applyFont="1" applyFill="1" applyBorder="1" applyAlignment="1" applyProtection="1">
      <alignment horizontal="center" vertical="center" wrapText="1"/>
      <protection hidden="1"/>
    </xf>
    <xf numFmtId="0" fontId="383" fillId="3" borderId="319" xfId="0" applyFont="1" applyFill="1" applyBorder="1" applyAlignment="1" applyProtection="1">
      <alignment horizontal="center" vertical="center" textRotation="90" wrapText="1" shrinkToFit="1"/>
      <protection hidden="1"/>
    </xf>
    <xf numFmtId="0" fontId="281" fillId="0" borderId="304" xfId="0" applyFont="1" applyFill="1" applyBorder="1" applyAlignment="1" applyProtection="1">
      <alignment horizontal="center" vertical="center" wrapText="1"/>
      <protection hidden="1"/>
    </xf>
    <xf numFmtId="0" fontId="382" fillId="3" borderId="304" xfId="0" applyFont="1" applyFill="1" applyBorder="1" applyAlignment="1" applyProtection="1">
      <alignment horizontal="center" vertical="center" wrapText="1"/>
      <protection hidden="1"/>
    </xf>
    <xf numFmtId="0" fontId="381" fillId="0" borderId="309" xfId="0" applyFont="1" applyFill="1" applyBorder="1" applyAlignment="1" applyProtection="1">
      <alignment horizontal="center" vertical="center" wrapText="1"/>
      <protection hidden="1"/>
    </xf>
    <xf numFmtId="0" fontId="380" fillId="0" borderId="309" xfId="0" applyFont="1" applyFill="1" applyBorder="1" applyAlignment="1" applyProtection="1">
      <alignment horizontal="center" vertical="center" wrapText="1"/>
      <protection hidden="1"/>
    </xf>
    <xf numFmtId="0" fontId="172" fillId="0" borderId="0" xfId="0" applyFont="1" applyBorder="1" applyAlignment="1" applyProtection="1">
      <alignment horizontal="right" vertical="center"/>
      <protection hidden="1"/>
    </xf>
    <xf numFmtId="0" fontId="290" fillId="0" borderId="0" xfId="0" applyFont="1" applyBorder="1" applyAlignment="1" applyProtection="1">
      <alignment horizontal="left" vertical="center"/>
      <protection hidden="1"/>
    </xf>
    <xf numFmtId="0" fontId="38" fillId="3" borderId="304" xfId="0" applyFont="1" applyFill="1" applyBorder="1" applyAlignment="1" applyProtection="1">
      <alignment horizontal="center" vertical="center" textRotation="90" wrapText="1"/>
      <protection hidden="1"/>
    </xf>
    <xf numFmtId="0" fontId="337" fillId="0" borderId="0" xfId="0" applyFont="1" applyBorder="1" applyAlignment="1" applyProtection="1">
      <alignment horizontal="center" vertical="center"/>
      <protection hidden="1"/>
    </xf>
    <xf numFmtId="0" fontId="8" fillId="3" borderId="18" xfId="0" applyFont="1" applyFill="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17" xfId="0" applyFont="1" applyBorder="1" applyAlignment="1" applyProtection="1">
      <alignment horizontal="left" vertical="center" wrapText="1"/>
      <protection locked="0"/>
    </xf>
    <xf numFmtId="171" fontId="8" fillId="0" borderId="17" xfId="0" applyNumberFormat="1" applyFont="1" applyBorder="1" applyAlignment="1" applyProtection="1">
      <alignment horizontal="center" vertical="center" wrapText="1"/>
      <protection locked="0"/>
    </xf>
    <xf numFmtId="0" fontId="0" fillId="12" borderId="324" xfId="0" applyFill="1" applyBorder="1" applyAlignment="1" applyProtection="1">
      <alignment wrapText="1"/>
      <protection hidden="1"/>
    </xf>
    <xf numFmtId="0" fontId="223" fillId="12" borderId="326" xfId="0" applyFont="1" applyFill="1" applyBorder="1" applyAlignment="1" applyProtection="1">
      <alignment vertical="center" wrapText="1"/>
      <protection hidden="1"/>
    </xf>
    <xf numFmtId="0" fontId="230" fillId="28" borderId="327" xfId="2" applyFont="1" applyFill="1" applyBorder="1" applyAlignment="1" applyProtection="1">
      <alignment horizontal="center" vertical="center" wrapText="1"/>
      <protection hidden="1"/>
    </xf>
    <xf numFmtId="0" fontId="231" fillId="10" borderId="327" xfId="0" applyFont="1" applyFill="1" applyBorder="1" applyAlignment="1" applyProtection="1">
      <alignment horizontal="center" vertical="center" wrapText="1"/>
      <protection hidden="1"/>
    </xf>
    <xf numFmtId="0" fontId="232" fillId="9" borderId="329" xfId="0" applyFont="1" applyFill="1" applyBorder="1" applyAlignment="1" applyProtection="1">
      <alignment horizontal="center" vertical="center" wrapText="1"/>
      <protection hidden="1"/>
    </xf>
    <xf numFmtId="0" fontId="8" fillId="3" borderId="330" xfId="0" applyFont="1" applyFill="1" applyBorder="1" applyAlignment="1" applyProtection="1">
      <alignment horizontal="center" vertical="center" wrapText="1"/>
      <protection hidden="1"/>
    </xf>
    <xf numFmtId="1" fontId="172" fillId="0" borderId="329" xfId="0" applyNumberFormat="1" applyFont="1" applyBorder="1" applyAlignment="1" applyProtection="1">
      <alignment horizontal="center" vertical="center" wrapText="1"/>
      <protection locked="0"/>
    </xf>
    <xf numFmtId="0" fontId="8" fillId="3" borderId="331" xfId="0" applyFont="1" applyFill="1" applyBorder="1" applyAlignment="1" applyProtection="1">
      <alignment horizontal="center" vertical="center" wrapText="1"/>
      <protection hidden="1"/>
    </xf>
    <xf numFmtId="0" fontId="8" fillId="3" borderId="332" xfId="0" applyFont="1" applyFill="1" applyBorder="1" applyAlignment="1" applyProtection="1">
      <alignment horizontal="center" vertical="center" wrapText="1"/>
      <protection locked="0"/>
    </xf>
    <xf numFmtId="0" fontId="8" fillId="0" borderId="333" xfId="0" applyFont="1" applyBorder="1" applyAlignment="1" applyProtection="1">
      <alignment horizontal="center" vertical="center" wrapText="1"/>
      <protection locked="0"/>
    </xf>
    <xf numFmtId="0" fontId="8" fillId="0" borderId="333" xfId="0" applyFont="1" applyBorder="1" applyAlignment="1" applyProtection="1">
      <alignment horizontal="left" vertical="center" wrapText="1"/>
      <protection locked="0"/>
    </xf>
    <xf numFmtId="171" fontId="8" fillId="0" borderId="333" xfId="0" applyNumberFormat="1" applyFont="1" applyBorder="1" applyAlignment="1" applyProtection="1">
      <alignment horizontal="center" vertical="center" wrapText="1"/>
      <protection locked="0"/>
    </xf>
    <xf numFmtId="0" fontId="258" fillId="0" borderId="334" xfId="0" applyFont="1" applyFill="1" applyBorder="1" applyAlignment="1" applyProtection="1">
      <alignment horizontal="center" vertical="center"/>
      <protection locked="0"/>
    </xf>
    <xf numFmtId="0" fontId="63" fillId="0" borderId="334" xfId="0" applyFont="1" applyFill="1" applyBorder="1" applyAlignment="1" applyProtection="1">
      <alignment horizontal="center" vertical="center"/>
      <protection locked="0"/>
    </xf>
    <xf numFmtId="1" fontId="30" fillId="0" borderId="334" xfId="0" applyNumberFormat="1" applyFont="1" applyBorder="1" applyAlignment="1" applyProtection="1">
      <alignment horizontal="center" vertical="center" wrapText="1"/>
      <protection locked="0"/>
    </xf>
    <xf numFmtId="1" fontId="172" fillId="0" borderId="335" xfId="0" applyNumberFormat="1" applyFont="1" applyBorder="1" applyAlignment="1" applyProtection="1">
      <alignment horizontal="center" vertical="center" wrapText="1"/>
      <protection locked="0"/>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363" fillId="9" borderId="0" xfId="4" applyFont="1" applyFill="1" applyBorder="1" applyAlignment="1" applyProtection="1">
      <alignment horizontal="center" vertical="center"/>
    </xf>
    <xf numFmtId="0" fontId="343" fillId="0" borderId="0" xfId="0" applyFont="1" applyBorder="1" applyAlignment="1" applyProtection="1">
      <alignment vertical="center"/>
      <protection hidden="1"/>
    </xf>
    <xf numFmtId="0" fontId="231" fillId="0" borderId="0" xfId="0" applyFont="1" applyBorder="1" applyAlignment="1" applyProtection="1">
      <alignment vertical="center" wrapText="1"/>
      <protection hidden="1"/>
    </xf>
    <xf numFmtId="0" fontId="138" fillId="21" borderId="110" xfId="4" applyFont="1" applyFill="1" applyBorder="1" applyAlignment="1" applyProtection="1">
      <alignment horizontal="center" vertical="center"/>
      <protection hidden="1"/>
    </xf>
    <xf numFmtId="0" fontId="138" fillId="21" borderId="111" xfId="4" applyFont="1" applyFill="1" applyBorder="1" applyAlignment="1" applyProtection="1">
      <alignment horizontal="center" vertical="center"/>
      <protection hidden="1"/>
    </xf>
    <xf numFmtId="0" fontId="138" fillId="21" borderId="112" xfId="4" applyFont="1" applyFill="1" applyBorder="1" applyAlignment="1" applyProtection="1">
      <alignment horizontal="center" vertical="center"/>
      <protection hidden="1"/>
    </xf>
    <xf numFmtId="0" fontId="194" fillId="2" borderId="104" xfId="0" applyFont="1" applyFill="1" applyBorder="1" applyAlignment="1" applyProtection="1">
      <alignment horizontal="left" vertical="center" wrapText="1"/>
    </xf>
    <xf numFmtId="0" fontId="194" fillId="2" borderId="105" xfId="0" applyFont="1" applyFill="1" applyBorder="1" applyAlignment="1" applyProtection="1">
      <alignment horizontal="left" vertical="center" wrapText="1"/>
    </xf>
    <xf numFmtId="0" fontId="194" fillId="2" borderId="106" xfId="0" applyFont="1" applyFill="1" applyBorder="1" applyAlignment="1" applyProtection="1">
      <alignment horizontal="left" vertical="center" wrapText="1"/>
    </xf>
    <xf numFmtId="0" fontId="191" fillId="5" borderId="104" xfId="0" applyFont="1" applyFill="1" applyBorder="1" applyAlignment="1">
      <alignment horizontal="center" vertical="center" wrapText="1"/>
    </xf>
    <xf numFmtId="0" fontId="191" fillId="5" borderId="105" xfId="0" applyFont="1" applyFill="1" applyBorder="1" applyAlignment="1">
      <alignment horizontal="center" vertical="center" wrapText="1"/>
    </xf>
    <xf numFmtId="0" fontId="191" fillId="5" borderId="106" xfId="0" applyFont="1" applyFill="1" applyBorder="1" applyAlignment="1">
      <alignment horizontal="center" vertical="center" wrapText="1"/>
    </xf>
    <xf numFmtId="0" fontId="192" fillId="20" borderId="72" xfId="0" applyFont="1" applyFill="1" applyBorder="1" applyAlignment="1" applyProtection="1">
      <alignment horizontal="center" vertical="center"/>
    </xf>
    <xf numFmtId="0" fontId="192" fillId="20" borderId="0" xfId="0" applyFont="1" applyFill="1" applyBorder="1" applyAlignment="1" applyProtection="1">
      <alignment horizontal="center" vertical="center"/>
    </xf>
    <xf numFmtId="0" fontId="193" fillId="4" borderId="104" xfId="0" applyFont="1" applyFill="1" applyBorder="1" applyAlignment="1" applyProtection="1">
      <alignment horizontal="left" vertical="center" wrapText="1"/>
    </xf>
    <xf numFmtId="0" fontId="193" fillId="4" borderId="105" xfId="0" applyFont="1" applyFill="1" applyBorder="1" applyAlignment="1" applyProtection="1">
      <alignment horizontal="left" vertical="center" wrapText="1"/>
    </xf>
    <xf numFmtId="0" fontId="193" fillId="4" borderId="106" xfId="0" applyFont="1" applyFill="1" applyBorder="1" applyAlignment="1" applyProtection="1">
      <alignment horizontal="left" vertical="center" wrapText="1"/>
    </xf>
    <xf numFmtId="0" fontId="213" fillId="23" borderId="72" xfId="0" applyFont="1" applyFill="1" applyBorder="1" applyAlignment="1">
      <alignment horizontal="center" vertical="center" wrapText="1"/>
    </xf>
    <xf numFmtId="0" fontId="213" fillId="23" borderId="0" xfId="0" applyFont="1" applyFill="1" applyBorder="1" applyAlignment="1">
      <alignment horizontal="center" vertical="center" wrapText="1"/>
    </xf>
    <xf numFmtId="0" fontId="152" fillId="5" borderId="107" xfId="0" applyFont="1" applyFill="1" applyBorder="1" applyAlignment="1">
      <alignment horizontal="left" vertical="center" wrapText="1"/>
    </xf>
    <xf numFmtId="0" fontId="152" fillId="5" borderId="108" xfId="0" applyFont="1" applyFill="1" applyBorder="1" applyAlignment="1">
      <alignment horizontal="left" vertical="center" wrapText="1"/>
    </xf>
    <xf numFmtId="0" fontId="152" fillId="5" borderId="109" xfId="0" applyFont="1" applyFill="1" applyBorder="1" applyAlignment="1">
      <alignment horizontal="left" vertical="center" wrapText="1"/>
    </xf>
    <xf numFmtId="0" fontId="153" fillId="5" borderId="110" xfId="0" applyFont="1" applyFill="1" applyBorder="1" applyAlignment="1">
      <alignment horizontal="left" vertical="center" wrapText="1"/>
    </xf>
    <xf numFmtId="0" fontId="153" fillId="5" borderId="111" xfId="0" applyFont="1" applyFill="1" applyBorder="1" applyAlignment="1">
      <alignment horizontal="left" vertical="center" wrapText="1"/>
    </xf>
    <xf numFmtId="0" fontId="153" fillId="5" borderId="112" xfId="0" applyFont="1" applyFill="1" applyBorder="1" applyAlignment="1">
      <alignment horizontal="left" vertical="center" wrapText="1"/>
    </xf>
    <xf numFmtId="0" fontId="210" fillId="23" borderId="72" xfId="0" applyFont="1" applyFill="1" applyBorder="1" applyAlignment="1">
      <alignment horizontal="center" vertical="center" wrapText="1"/>
    </xf>
    <xf numFmtId="0" fontId="210" fillId="23" borderId="0" xfId="0" applyFont="1" applyFill="1" applyBorder="1" applyAlignment="1">
      <alignment horizontal="center" vertical="center" wrapText="1"/>
    </xf>
    <xf numFmtId="0" fontId="155" fillId="5" borderId="110" xfId="0" applyFont="1" applyFill="1" applyBorder="1" applyAlignment="1">
      <alignment horizontal="left" vertical="center" wrapText="1"/>
    </xf>
    <xf numFmtId="0" fontId="155" fillId="5" borderId="111" xfId="0" applyFont="1" applyFill="1" applyBorder="1" applyAlignment="1">
      <alignment horizontal="left" vertical="center" wrapText="1"/>
    </xf>
    <xf numFmtId="0" fontId="155" fillId="5" borderId="112" xfId="0" applyFont="1" applyFill="1" applyBorder="1" applyAlignment="1">
      <alignment horizontal="left" vertical="center" wrapText="1"/>
    </xf>
    <xf numFmtId="0" fontId="193" fillId="24" borderId="110" xfId="0" applyFont="1" applyFill="1" applyBorder="1" applyAlignment="1" applyProtection="1">
      <alignment horizontal="left" vertical="center" wrapText="1"/>
    </xf>
    <xf numFmtId="0" fontId="193" fillId="24" borderId="111" xfId="0" applyFont="1" applyFill="1" applyBorder="1" applyAlignment="1" applyProtection="1">
      <alignment horizontal="left" vertical="center" wrapText="1"/>
    </xf>
    <xf numFmtId="0" fontId="193" fillId="24" borderId="112" xfId="0" applyFont="1" applyFill="1" applyBorder="1" applyAlignment="1" applyProtection="1">
      <alignment horizontal="left" vertical="center" wrapText="1"/>
    </xf>
    <xf numFmtId="0" fontId="198" fillId="25" borderId="110" xfId="4" applyFont="1" applyFill="1" applyBorder="1" applyAlignment="1" applyProtection="1">
      <alignment horizontal="left" vertical="center" wrapText="1"/>
    </xf>
    <xf numFmtId="0" fontId="198" fillId="25" borderId="111" xfId="4" applyFont="1" applyFill="1" applyBorder="1" applyAlignment="1" applyProtection="1">
      <alignment horizontal="left" vertical="center" wrapText="1"/>
    </xf>
    <xf numFmtId="0" fontId="198" fillId="25" borderId="112" xfId="4" applyFont="1" applyFill="1" applyBorder="1" applyAlignment="1" applyProtection="1">
      <alignment horizontal="left" vertical="center" wrapText="1"/>
    </xf>
    <xf numFmtId="0" fontId="138" fillId="21" borderId="113" xfId="4" applyFont="1" applyFill="1" applyBorder="1" applyAlignment="1" applyProtection="1">
      <alignment horizontal="center" vertical="center"/>
      <protection hidden="1"/>
    </xf>
    <xf numFmtId="0" fontId="138" fillId="21" borderId="0" xfId="4" applyFont="1" applyFill="1" applyBorder="1" applyAlignment="1" applyProtection="1">
      <alignment horizontal="center" vertical="center"/>
      <protection hidden="1"/>
    </xf>
    <xf numFmtId="0" fontId="138" fillId="21" borderId="114" xfId="4" applyFont="1" applyFill="1" applyBorder="1" applyAlignment="1" applyProtection="1">
      <alignment horizontal="center" vertical="center"/>
      <protection hidden="1"/>
    </xf>
    <xf numFmtId="0" fontId="224" fillId="21" borderId="72" xfId="0" applyFont="1" applyFill="1" applyBorder="1" applyAlignment="1">
      <alignment horizontal="center" vertical="center" wrapText="1"/>
    </xf>
    <xf numFmtId="0" fontId="224" fillId="21" borderId="0" xfId="0" applyFont="1" applyFill="1" applyBorder="1" applyAlignment="1">
      <alignment horizontal="center" vertical="center" wrapText="1"/>
    </xf>
    <xf numFmtId="0" fontId="151" fillId="24" borderId="107" xfId="0" applyFont="1" applyFill="1" applyBorder="1" applyAlignment="1">
      <alignment horizontal="left" vertical="center" wrapText="1"/>
    </xf>
    <xf numFmtId="0" fontId="151" fillId="24" borderId="108" xfId="0" applyFont="1" applyFill="1" applyBorder="1" applyAlignment="1">
      <alignment horizontal="left" vertical="center" wrapText="1"/>
    </xf>
    <xf numFmtId="0" fontId="151" fillId="24" borderId="109" xfId="0" applyFont="1" applyFill="1" applyBorder="1" applyAlignment="1">
      <alignment horizontal="left" vertical="center" wrapText="1"/>
    </xf>
    <xf numFmtId="0" fontId="221" fillId="17" borderId="104" xfId="0" applyFont="1" applyFill="1" applyBorder="1" applyAlignment="1" applyProtection="1">
      <alignment horizontal="center" vertical="center" wrapText="1"/>
      <protection hidden="1"/>
    </xf>
    <xf numFmtId="0" fontId="221" fillId="17" borderId="105" xfId="0" applyFont="1" applyFill="1" applyBorder="1" applyAlignment="1" applyProtection="1">
      <alignment horizontal="center" vertical="center" wrapText="1"/>
      <protection hidden="1"/>
    </xf>
    <xf numFmtId="0" fontId="221" fillId="17" borderId="106" xfId="0" applyFont="1" applyFill="1" applyBorder="1" applyAlignment="1" applyProtection="1">
      <alignment horizontal="center" vertical="center" wrapText="1"/>
      <protection hidden="1"/>
    </xf>
    <xf numFmtId="0" fontId="222" fillId="21" borderId="72" xfId="0" applyFont="1" applyFill="1" applyBorder="1" applyAlignment="1">
      <alignment horizontal="center" vertical="center" wrapText="1"/>
    </xf>
    <xf numFmtId="0" fontId="222" fillId="21" borderId="0" xfId="0" applyFont="1" applyFill="1" applyBorder="1" applyAlignment="1">
      <alignment horizontal="center" vertical="center" wrapText="1"/>
    </xf>
    <xf numFmtId="0" fontId="196" fillId="5" borderId="107" xfId="0" applyFont="1" applyFill="1" applyBorder="1" applyAlignment="1">
      <alignment horizontal="left" vertical="center" wrapText="1"/>
    </xf>
    <xf numFmtId="0" fontId="196" fillId="5" borderId="108" xfId="0" applyFont="1" applyFill="1" applyBorder="1" applyAlignment="1">
      <alignment horizontal="left" vertical="center" wrapText="1"/>
    </xf>
    <xf numFmtId="0" fontId="196" fillId="5" borderId="109" xfId="0" applyFont="1" applyFill="1" applyBorder="1" applyAlignment="1">
      <alignment horizontal="left" vertical="center" wrapText="1"/>
    </xf>
    <xf numFmtId="0" fontId="204" fillId="5" borderId="113" xfId="0" applyFont="1" applyFill="1" applyBorder="1" applyAlignment="1">
      <alignment horizontal="left" vertical="center" wrapText="1"/>
    </xf>
    <xf numFmtId="0" fontId="204" fillId="5" borderId="0" xfId="0" applyFont="1" applyFill="1" applyBorder="1" applyAlignment="1">
      <alignment horizontal="left" vertical="center" wrapText="1"/>
    </xf>
    <xf numFmtId="0" fontId="204" fillId="5" borderId="114" xfId="0" applyFont="1" applyFill="1" applyBorder="1" applyAlignment="1">
      <alignment horizontal="left" vertical="center" wrapText="1"/>
    </xf>
    <xf numFmtId="0" fontId="9" fillId="5" borderId="110" xfId="0" applyFont="1" applyFill="1" applyBorder="1" applyAlignment="1">
      <alignment horizontal="left" vertical="center" wrapText="1"/>
    </xf>
    <xf numFmtId="0" fontId="163" fillId="5" borderId="111" xfId="0" applyFont="1" applyFill="1" applyBorder="1" applyAlignment="1">
      <alignment horizontal="left" vertical="center" wrapText="1"/>
    </xf>
    <xf numFmtId="0" fontId="163" fillId="5" borderId="112" xfId="0" applyFont="1" applyFill="1" applyBorder="1" applyAlignment="1">
      <alignment horizontal="left" vertical="center" wrapText="1"/>
    </xf>
    <xf numFmtId="0" fontId="152" fillId="5" borderId="113" xfId="0" applyFont="1" applyFill="1" applyBorder="1" applyAlignment="1">
      <alignment horizontal="left" vertical="center" wrapText="1"/>
    </xf>
    <xf numFmtId="0" fontId="152" fillId="5" borderId="0" xfId="0" applyFont="1" applyFill="1" applyBorder="1" applyAlignment="1">
      <alignment horizontal="left" vertical="center" wrapText="1"/>
    </xf>
    <xf numFmtId="0" fontId="152" fillId="5" borderId="114" xfId="0" applyFont="1" applyFill="1" applyBorder="1" applyAlignment="1">
      <alignment horizontal="left" vertical="center" wrapText="1"/>
    </xf>
    <xf numFmtId="0" fontId="155" fillId="5" borderId="113" xfId="0" applyFont="1" applyFill="1" applyBorder="1" applyAlignment="1">
      <alignment horizontal="left" vertical="center" wrapText="1"/>
    </xf>
    <xf numFmtId="0" fontId="155" fillId="5" borderId="0" xfId="0" applyFont="1" applyFill="1" applyBorder="1" applyAlignment="1">
      <alignment horizontal="left" vertical="center" wrapText="1"/>
    </xf>
    <xf numFmtId="0" fontId="155" fillId="5" borderId="114" xfId="0" applyFont="1" applyFill="1" applyBorder="1" applyAlignment="1">
      <alignment horizontal="left" vertical="center" wrapText="1"/>
    </xf>
    <xf numFmtId="0" fontId="162" fillId="23" borderId="72" xfId="0" applyFont="1" applyFill="1" applyBorder="1" applyAlignment="1">
      <alignment horizontal="center" vertical="center" wrapText="1"/>
    </xf>
    <xf numFmtId="0" fontId="162" fillId="23" borderId="0" xfId="0" applyFont="1" applyFill="1" applyBorder="1" applyAlignment="1">
      <alignment horizontal="center" vertical="center" wrapText="1"/>
    </xf>
    <xf numFmtId="0" fontId="198" fillId="25" borderId="107" xfId="4" applyFont="1" applyFill="1" applyBorder="1" applyAlignment="1" applyProtection="1">
      <alignment horizontal="left" vertical="center" wrapText="1"/>
    </xf>
    <xf numFmtId="0" fontId="198" fillId="25" borderId="108" xfId="4" applyFont="1" applyFill="1" applyBorder="1" applyAlignment="1" applyProtection="1">
      <alignment horizontal="left" vertical="center" wrapText="1"/>
    </xf>
    <xf numFmtId="0" fontId="198" fillId="25" borderId="109" xfId="4" applyFont="1" applyFill="1" applyBorder="1" applyAlignment="1" applyProtection="1">
      <alignment horizontal="left" vertical="center" wrapText="1"/>
    </xf>
    <xf numFmtId="0" fontId="198" fillId="25" borderId="113" xfId="4" applyFont="1" applyFill="1" applyBorder="1" applyAlignment="1" applyProtection="1">
      <alignment horizontal="left" vertical="center" wrapText="1"/>
    </xf>
    <xf numFmtId="0" fontId="198" fillId="25" borderId="0" xfId="4" applyFont="1" applyFill="1" applyBorder="1" applyAlignment="1" applyProtection="1">
      <alignment horizontal="left" vertical="center" wrapText="1"/>
    </xf>
    <xf numFmtId="0" fontId="198" fillId="25" borderId="114" xfId="4" applyFont="1" applyFill="1" applyBorder="1" applyAlignment="1" applyProtection="1">
      <alignment horizontal="left" vertical="center" wrapText="1"/>
    </xf>
    <xf numFmtId="0" fontId="200" fillId="25" borderId="113" xfId="4" applyFont="1" applyFill="1" applyBorder="1" applyAlignment="1" applyProtection="1">
      <alignment horizontal="left" vertical="center" wrapText="1"/>
    </xf>
    <xf numFmtId="0" fontId="200" fillId="25" borderId="0" xfId="4" applyFont="1" applyFill="1" applyBorder="1" applyAlignment="1" applyProtection="1">
      <alignment horizontal="left" vertical="center" wrapText="1"/>
    </xf>
    <xf numFmtId="0" fontId="200" fillId="25" borderId="114" xfId="4" applyFont="1" applyFill="1" applyBorder="1" applyAlignment="1" applyProtection="1">
      <alignment horizontal="left" vertical="center" wrapText="1"/>
    </xf>
    <xf numFmtId="0" fontId="195" fillId="24" borderId="107" xfId="0" applyFont="1" applyFill="1" applyBorder="1" applyAlignment="1" applyProtection="1">
      <alignment horizontal="left" vertical="center" wrapText="1"/>
    </xf>
    <xf numFmtId="0" fontId="195" fillId="24" borderId="108" xfId="0" applyFont="1" applyFill="1" applyBorder="1" applyAlignment="1" applyProtection="1">
      <alignment horizontal="left" vertical="center" wrapText="1"/>
    </xf>
    <xf numFmtId="0" fontId="195" fillId="24" borderId="109" xfId="0" applyFont="1" applyFill="1" applyBorder="1" applyAlignment="1" applyProtection="1">
      <alignment horizontal="left" vertical="center" wrapText="1"/>
    </xf>
    <xf numFmtId="0" fontId="197" fillId="23" borderId="72" xfId="0" applyFont="1" applyFill="1" applyBorder="1" applyAlignment="1">
      <alignment horizontal="center" vertical="center" wrapText="1"/>
    </xf>
    <xf numFmtId="0" fontId="197" fillId="23" borderId="0" xfId="0" applyFont="1" applyFill="1" applyBorder="1" applyAlignment="1">
      <alignment horizontal="center" vertical="center" wrapText="1"/>
    </xf>
    <xf numFmtId="0" fontId="136" fillId="21" borderId="113" xfId="0" applyFont="1" applyFill="1" applyBorder="1" applyAlignment="1" applyProtection="1">
      <alignment horizontal="center" vertical="center"/>
      <protection hidden="1"/>
    </xf>
    <xf numFmtId="0" fontId="136" fillId="21" borderId="0" xfId="0" applyFont="1" applyFill="1" applyBorder="1" applyAlignment="1" applyProtection="1">
      <alignment horizontal="center" vertical="center"/>
      <protection hidden="1"/>
    </xf>
    <xf numFmtId="0" fontId="136" fillId="21" borderId="114" xfId="0" applyFont="1" applyFill="1" applyBorder="1" applyAlignment="1" applyProtection="1">
      <alignment horizontal="center" vertical="center"/>
      <protection hidden="1"/>
    </xf>
    <xf numFmtId="0" fontId="164" fillId="24" borderId="110" xfId="0" applyFont="1" applyFill="1" applyBorder="1" applyAlignment="1">
      <alignment horizontal="left" vertical="center" wrapText="1"/>
    </xf>
    <xf numFmtId="0" fontId="164" fillId="24" borderId="111" xfId="0" applyFont="1" applyFill="1" applyBorder="1" applyAlignment="1">
      <alignment horizontal="left" vertical="center" wrapText="1"/>
    </xf>
    <xf numFmtId="0" fontId="164" fillId="24" borderId="112" xfId="0" applyFont="1" applyFill="1" applyBorder="1" applyAlignment="1">
      <alignment horizontal="left" vertical="center" wrapText="1"/>
    </xf>
    <xf numFmtId="0" fontId="30" fillId="12" borderId="104" xfId="0" applyFont="1" applyFill="1" applyBorder="1" applyAlignment="1" applyProtection="1">
      <alignment horizontal="center" vertical="center"/>
    </xf>
    <xf numFmtId="0" fontId="30" fillId="12" borderId="105" xfId="0" applyFont="1" applyFill="1" applyBorder="1" applyAlignment="1" applyProtection="1">
      <alignment horizontal="center" vertical="center"/>
    </xf>
    <xf numFmtId="0" fontId="30" fillId="12" borderId="106" xfId="0" applyFont="1" applyFill="1" applyBorder="1" applyAlignment="1" applyProtection="1">
      <alignment horizontal="center" vertical="center"/>
    </xf>
    <xf numFmtId="0" fontId="165" fillId="21" borderId="107" xfId="0" applyFont="1" applyFill="1" applyBorder="1" applyAlignment="1" applyProtection="1">
      <alignment horizontal="center" vertical="center"/>
      <protection hidden="1"/>
    </xf>
    <xf numFmtId="0" fontId="165" fillId="21" borderId="108" xfId="0" applyFont="1" applyFill="1" applyBorder="1" applyAlignment="1" applyProtection="1">
      <alignment horizontal="center" vertical="center"/>
      <protection hidden="1"/>
    </xf>
    <xf numFmtId="0" fontId="165" fillId="21" borderId="109" xfId="0" applyFont="1" applyFill="1" applyBorder="1" applyAlignment="1" applyProtection="1">
      <alignment horizontal="center" vertical="center"/>
      <protection hidden="1"/>
    </xf>
    <xf numFmtId="0" fontId="226" fillId="21" borderId="113" xfId="0" applyFont="1" applyFill="1" applyBorder="1" applyAlignment="1" applyProtection="1">
      <alignment horizontal="center" vertical="center"/>
      <protection hidden="1"/>
    </xf>
    <xf numFmtId="0" fontId="226" fillId="21" borderId="0" xfId="0" applyFont="1" applyFill="1" applyBorder="1" applyAlignment="1" applyProtection="1">
      <alignment horizontal="center" vertical="center"/>
      <protection hidden="1"/>
    </xf>
    <xf numFmtId="0" fontId="226" fillId="21" borderId="114" xfId="0" applyFont="1" applyFill="1" applyBorder="1" applyAlignment="1" applyProtection="1">
      <alignment horizontal="center" vertical="center"/>
      <protection hidden="1"/>
    </xf>
    <xf numFmtId="0" fontId="135" fillId="21" borderId="113" xfId="0" applyFont="1" applyFill="1" applyBorder="1" applyAlignment="1" applyProtection="1">
      <alignment horizontal="center" vertical="center"/>
      <protection hidden="1"/>
    </xf>
    <xf numFmtId="0" fontId="135" fillId="21" borderId="0" xfId="0" applyFont="1" applyFill="1" applyBorder="1" applyAlignment="1" applyProtection="1">
      <alignment horizontal="center" vertical="center"/>
      <protection hidden="1"/>
    </xf>
    <xf numFmtId="0" fontId="135" fillId="21" borderId="114" xfId="0" applyFont="1" applyFill="1" applyBorder="1" applyAlignment="1" applyProtection="1">
      <alignment horizontal="center" vertical="center"/>
      <protection hidden="1"/>
    </xf>
    <xf numFmtId="0" fontId="137" fillId="21" borderId="75" xfId="0" applyFont="1" applyFill="1" applyBorder="1" applyAlignment="1" applyProtection="1">
      <alignment horizontal="center" vertical="center"/>
      <protection hidden="1"/>
    </xf>
    <xf numFmtId="0" fontId="137" fillId="21" borderId="74" xfId="0" applyFont="1" applyFill="1" applyBorder="1" applyAlignment="1" applyProtection="1">
      <alignment horizontal="center" vertical="center"/>
      <protection hidden="1"/>
    </xf>
    <xf numFmtId="0" fontId="138" fillId="21" borderId="75" xfId="4" applyFont="1" applyFill="1" applyBorder="1" applyAlignment="1" applyProtection="1">
      <alignment horizontal="center" vertical="center"/>
      <protection hidden="1"/>
    </xf>
    <xf numFmtId="0" fontId="138" fillId="21" borderId="76" xfId="4" applyFont="1" applyFill="1" applyBorder="1" applyAlignment="1" applyProtection="1">
      <alignment horizontal="center" vertical="center"/>
      <protection hidden="1"/>
    </xf>
    <xf numFmtId="0" fontId="299" fillId="21" borderId="73" xfId="0" applyFont="1" applyFill="1" applyBorder="1" applyAlignment="1" applyProtection="1">
      <alignment horizontal="center" vertical="center"/>
      <protection hidden="1"/>
    </xf>
    <xf numFmtId="0" fontId="299" fillId="21" borderId="74" xfId="0" applyFont="1" applyFill="1" applyBorder="1" applyAlignment="1" applyProtection="1">
      <alignment horizontal="center" vertical="center"/>
      <protection hidden="1"/>
    </xf>
    <xf numFmtId="0" fontId="361" fillId="26" borderId="0" xfId="0" applyFont="1" applyFill="1" applyAlignment="1" applyProtection="1">
      <alignment horizontal="center"/>
      <protection hidden="1"/>
    </xf>
    <xf numFmtId="0" fontId="279" fillId="21" borderId="75" xfId="0" applyFont="1" applyFill="1" applyBorder="1" applyAlignment="1" applyProtection="1">
      <alignment horizontal="center" vertical="center"/>
      <protection hidden="1"/>
    </xf>
    <xf numFmtId="0" fontId="279" fillId="21" borderId="74" xfId="0" applyFont="1" applyFill="1" applyBorder="1" applyAlignment="1" applyProtection="1">
      <alignment horizontal="center" vertical="center"/>
      <protection hidden="1"/>
    </xf>
    <xf numFmtId="0" fontId="135" fillId="21" borderId="75" xfId="0" applyFont="1" applyFill="1" applyBorder="1" applyAlignment="1" applyProtection="1">
      <alignment horizontal="center" vertical="center"/>
      <protection hidden="1"/>
    </xf>
    <xf numFmtId="0" fontId="135" fillId="21" borderId="74" xfId="0" applyFont="1" applyFill="1" applyBorder="1" applyAlignment="1" applyProtection="1">
      <alignment horizontal="center" vertical="center"/>
      <protection hidden="1"/>
    </xf>
    <xf numFmtId="0" fontId="298" fillId="21" borderId="75" xfId="0" applyFont="1" applyFill="1" applyBorder="1" applyAlignment="1" applyProtection="1">
      <alignment horizontal="center" vertical="center"/>
      <protection hidden="1"/>
    </xf>
    <xf numFmtId="0" fontId="298" fillId="21" borderId="74" xfId="0" applyFont="1" applyFill="1" applyBorder="1" applyAlignment="1" applyProtection="1">
      <alignment horizontal="center" vertical="center"/>
      <protection hidden="1"/>
    </xf>
    <xf numFmtId="0" fontId="268" fillId="33" borderId="50" xfId="0" applyFont="1" applyFill="1" applyBorder="1" applyAlignment="1" applyProtection="1">
      <alignment horizontal="center" vertical="center"/>
      <protection hidden="1"/>
    </xf>
    <xf numFmtId="0" fontId="363" fillId="26" borderId="0" xfId="4" applyFont="1" applyFill="1" applyAlignment="1" applyProtection="1">
      <alignment horizontal="center" vertical="center"/>
      <protection hidden="1"/>
    </xf>
    <xf numFmtId="0" fontId="364" fillId="26" borderId="0" xfId="0" applyFont="1" applyFill="1" applyAlignment="1" applyProtection="1">
      <alignment horizontal="center"/>
      <protection hidden="1"/>
    </xf>
    <xf numFmtId="0" fontId="268" fillId="33" borderId="228" xfId="0" applyFont="1" applyFill="1" applyBorder="1" applyAlignment="1" applyProtection="1">
      <alignment horizontal="center" vertical="center"/>
      <protection hidden="1"/>
    </xf>
    <xf numFmtId="0" fontId="268" fillId="33" borderId="230" xfId="0" applyFont="1" applyFill="1" applyBorder="1" applyAlignment="1" applyProtection="1">
      <alignment horizontal="center" vertical="center"/>
      <protection hidden="1"/>
    </xf>
    <xf numFmtId="0" fontId="6" fillId="26" borderId="0" xfId="0" applyFont="1" applyFill="1" applyBorder="1" applyAlignment="1" applyProtection="1">
      <alignment horizontal="center" vertical="center"/>
      <protection hidden="1"/>
    </xf>
    <xf numFmtId="0" fontId="25" fillId="9" borderId="2" xfId="0" applyFont="1" applyFill="1" applyBorder="1" applyAlignment="1" applyProtection="1">
      <alignment horizontal="center" vertical="center" wrapText="1"/>
      <protection hidden="1"/>
    </xf>
    <xf numFmtId="0" fontId="25" fillId="9" borderId="328" xfId="0" applyFont="1" applyFill="1" applyBorder="1" applyAlignment="1" applyProtection="1">
      <alignment horizontal="center" vertical="center" wrapText="1"/>
      <protection hidden="1"/>
    </xf>
    <xf numFmtId="0" fontId="190" fillId="12" borderId="325" xfId="0" applyFont="1" applyFill="1" applyBorder="1" applyAlignment="1" applyProtection="1">
      <alignment horizontal="center" vertical="center" wrapText="1"/>
      <protection hidden="1"/>
    </xf>
    <xf numFmtId="0" fontId="223" fillId="12" borderId="325" xfId="0" applyFont="1" applyFill="1" applyBorder="1" applyAlignment="1" applyProtection="1">
      <alignment horizontal="center" vertical="center" wrapText="1"/>
      <protection hidden="1"/>
    </xf>
    <xf numFmtId="0" fontId="171" fillId="38" borderId="93" xfId="0" applyFont="1" applyFill="1" applyBorder="1" applyAlignment="1" applyProtection="1">
      <alignment horizontal="center" vertical="center" wrapText="1"/>
      <protection locked="0"/>
    </xf>
    <xf numFmtId="0" fontId="171" fillId="38" borderId="95" xfId="0" applyFont="1" applyFill="1" applyBorder="1" applyAlignment="1" applyProtection="1">
      <alignment horizontal="center" vertical="center" wrapText="1"/>
      <protection locked="0"/>
    </xf>
    <xf numFmtId="0" fontId="171" fillId="38" borderId="94" xfId="0" applyFont="1" applyFill="1" applyBorder="1" applyAlignment="1" applyProtection="1">
      <alignment horizontal="center" vertical="center" wrapText="1"/>
      <protection locked="0"/>
    </xf>
    <xf numFmtId="0" fontId="171" fillId="20" borderId="91" xfId="0" applyFont="1" applyFill="1" applyBorder="1" applyAlignment="1" applyProtection="1">
      <alignment horizontal="center" vertical="center" wrapText="1"/>
      <protection locked="0"/>
    </xf>
    <xf numFmtId="0" fontId="171" fillId="20" borderId="89" xfId="0" applyFont="1" applyFill="1" applyBorder="1" applyAlignment="1" applyProtection="1">
      <alignment horizontal="center" vertical="center" wrapText="1"/>
      <protection locked="0"/>
    </xf>
    <xf numFmtId="0" fontId="171" fillId="20" borderId="90" xfId="0" applyFont="1" applyFill="1" applyBorder="1" applyAlignment="1" applyProtection="1">
      <alignment horizontal="center" vertical="center" wrapText="1"/>
      <protection locked="0"/>
    </xf>
    <xf numFmtId="0" fontId="63" fillId="20" borderId="92" xfId="0" applyFont="1" applyFill="1" applyBorder="1" applyAlignment="1" applyProtection="1">
      <alignment horizontal="center" vertical="center" wrapText="1"/>
    </xf>
    <xf numFmtId="0" fontId="169" fillId="2" borderId="11" xfId="0" applyFont="1" applyFill="1" applyBorder="1" applyAlignment="1" applyProtection="1">
      <alignment horizontal="center" vertical="center" wrapText="1"/>
      <protection locked="0"/>
    </xf>
    <xf numFmtId="0" fontId="170" fillId="2" borderId="14" xfId="0" applyFont="1" applyFill="1" applyBorder="1" applyProtection="1">
      <protection locked="0"/>
    </xf>
    <xf numFmtId="0" fontId="63" fillId="12" borderId="92" xfId="0" applyFont="1" applyFill="1" applyBorder="1" applyAlignment="1" applyProtection="1">
      <alignment horizontal="center" vertical="center" wrapText="1"/>
    </xf>
    <xf numFmtId="0" fontId="304" fillId="38" borderId="93" xfId="0" applyFont="1" applyFill="1" applyBorder="1" applyAlignment="1" applyProtection="1">
      <alignment horizontal="center" vertical="center" wrapText="1"/>
      <protection locked="0"/>
    </xf>
    <xf numFmtId="0" fontId="304" fillId="38" borderId="95" xfId="0" applyFont="1" applyFill="1" applyBorder="1" applyAlignment="1" applyProtection="1">
      <alignment horizontal="center" vertical="center" wrapText="1"/>
      <protection locked="0"/>
    </xf>
    <xf numFmtId="0" fontId="304" fillId="38" borderId="94" xfId="0" applyFont="1" applyFill="1" applyBorder="1" applyAlignment="1" applyProtection="1">
      <alignment horizontal="center" vertical="center" wrapText="1"/>
      <protection locked="0"/>
    </xf>
    <xf numFmtId="0" fontId="304" fillId="12" borderId="91" xfId="0" applyFont="1" applyFill="1" applyBorder="1" applyAlignment="1" applyProtection="1">
      <alignment horizontal="center" vertical="center" wrapText="1"/>
      <protection locked="0"/>
    </xf>
    <xf numFmtId="0" fontId="304" fillId="12" borderId="89" xfId="0" applyFont="1" applyFill="1" applyBorder="1" applyAlignment="1" applyProtection="1">
      <alignment horizontal="center" vertical="center" wrapText="1"/>
      <protection locked="0"/>
    </xf>
    <xf numFmtId="0" fontId="304" fillId="12" borderId="90" xfId="0" applyFont="1" applyFill="1" applyBorder="1" applyAlignment="1" applyProtection="1">
      <alignment horizontal="center" vertical="center" wrapText="1"/>
      <protection locked="0"/>
    </xf>
    <xf numFmtId="0" fontId="63" fillId="17" borderId="92" xfId="0" applyFont="1" applyFill="1" applyBorder="1" applyAlignment="1" applyProtection="1">
      <alignment horizontal="center" vertical="center" wrapText="1"/>
    </xf>
    <xf numFmtId="0" fontId="305" fillId="38" borderId="93" xfId="0" applyFont="1" applyFill="1" applyBorder="1" applyAlignment="1" applyProtection="1">
      <alignment horizontal="center" vertical="center" wrapText="1"/>
      <protection locked="0"/>
    </xf>
    <xf numFmtId="0" fontId="305" fillId="38" borderId="95" xfId="0" applyFont="1" applyFill="1" applyBorder="1" applyAlignment="1" applyProtection="1">
      <alignment horizontal="center" vertical="center" wrapText="1"/>
      <protection locked="0"/>
    </xf>
    <xf numFmtId="0" fontId="305" fillId="38" borderId="94" xfId="0" applyFont="1" applyFill="1" applyBorder="1" applyAlignment="1" applyProtection="1">
      <alignment horizontal="center" vertical="center" wrapText="1"/>
      <protection locked="0"/>
    </xf>
    <xf numFmtId="0" fontId="305" fillId="17" borderId="91" xfId="0" applyFont="1" applyFill="1" applyBorder="1" applyAlignment="1" applyProtection="1">
      <alignment horizontal="center" vertical="center" wrapText="1"/>
      <protection locked="0"/>
    </xf>
    <xf numFmtId="0" fontId="305" fillId="17" borderId="89" xfId="0" applyFont="1" applyFill="1" applyBorder="1" applyAlignment="1" applyProtection="1">
      <alignment horizontal="center" vertical="center" wrapText="1"/>
      <protection locked="0"/>
    </xf>
    <xf numFmtId="0" fontId="305" fillId="17" borderId="90" xfId="0" applyFont="1" applyFill="1" applyBorder="1" applyAlignment="1" applyProtection="1">
      <alignment horizontal="center" vertical="center" wrapText="1"/>
      <protection locked="0"/>
    </xf>
    <xf numFmtId="0" fontId="301" fillId="12" borderId="92" xfId="0" applyFont="1" applyFill="1" applyBorder="1" applyAlignment="1" applyProtection="1">
      <alignment horizontal="center" vertical="center" wrapText="1"/>
      <protection hidden="1"/>
    </xf>
    <xf numFmtId="0" fontId="301" fillId="12" borderId="178" xfId="0" applyFont="1" applyFill="1" applyBorder="1" applyAlignment="1" applyProtection="1">
      <alignment horizontal="center" vertical="center" wrapText="1"/>
      <protection hidden="1"/>
    </xf>
    <xf numFmtId="0" fontId="27" fillId="12" borderId="7" xfId="0" applyFont="1" applyFill="1" applyBorder="1" applyAlignment="1" applyProtection="1">
      <alignment horizontal="center" vertical="center"/>
      <protection hidden="1"/>
    </xf>
    <xf numFmtId="0" fontId="27" fillId="12" borderId="8" xfId="0" applyFont="1" applyFill="1" applyBorder="1" applyAlignment="1" applyProtection="1">
      <alignment horizontal="center" vertical="center"/>
      <protection hidden="1"/>
    </xf>
    <xf numFmtId="0" fontId="27" fillId="12" borderId="12" xfId="0" applyFont="1" applyFill="1" applyBorder="1" applyAlignment="1" applyProtection="1">
      <alignment horizontal="center" vertical="center"/>
      <protection hidden="1"/>
    </xf>
    <xf numFmtId="0" fontId="27" fillId="12" borderId="13" xfId="0" applyFont="1" applyFill="1" applyBorder="1" applyAlignment="1" applyProtection="1">
      <alignment horizontal="center" vertical="center"/>
      <protection hidden="1"/>
    </xf>
    <xf numFmtId="0" fontId="166" fillId="12" borderId="205" xfId="0" applyFont="1" applyFill="1" applyBorder="1" applyAlignment="1" applyProtection="1">
      <alignment horizontal="center" vertical="top" wrapText="1"/>
      <protection hidden="1"/>
    </xf>
    <xf numFmtId="0" fontId="166" fillId="12" borderId="204" xfId="0" applyFont="1" applyFill="1" applyBorder="1" applyAlignment="1" applyProtection="1">
      <alignment horizontal="center" vertical="top" wrapText="1"/>
      <protection hidden="1"/>
    </xf>
    <xf numFmtId="0" fontId="311" fillId="12" borderId="178" xfId="0" applyFont="1" applyFill="1" applyBorder="1" applyAlignment="1" applyProtection="1">
      <alignment horizontal="center" vertical="center"/>
      <protection hidden="1"/>
    </xf>
    <xf numFmtId="0" fontId="63" fillId="24" borderId="240" xfId="0" applyFont="1" applyFill="1" applyBorder="1" applyAlignment="1" applyProtection="1">
      <alignment horizontal="center" vertical="center" wrapText="1"/>
      <protection hidden="1"/>
    </xf>
    <xf numFmtId="0" fontId="63" fillId="24" borderId="241" xfId="0" applyFont="1" applyFill="1" applyBorder="1" applyAlignment="1" applyProtection="1">
      <alignment horizontal="center" vertical="center" wrapText="1"/>
      <protection hidden="1"/>
    </xf>
    <xf numFmtId="0" fontId="63" fillId="24" borderId="92" xfId="0" applyFont="1" applyFill="1" applyBorder="1" applyAlignment="1" applyProtection="1">
      <alignment horizontal="center" vertical="center" textRotation="90" wrapText="1"/>
      <protection hidden="1"/>
    </xf>
    <xf numFmtId="0" fontId="122" fillId="2" borderId="11" xfId="0" applyFont="1" applyFill="1" applyBorder="1" applyAlignment="1" applyProtection="1">
      <alignment horizontal="center" vertical="center" wrapText="1"/>
      <protection locked="0"/>
    </xf>
    <xf numFmtId="0" fontId="131" fillId="2" borderId="14" xfId="0" applyFont="1" applyFill="1" applyBorder="1" applyProtection="1">
      <protection locked="0"/>
    </xf>
    <xf numFmtId="0" fontId="172" fillId="12" borderId="92" xfId="0" applyFont="1" applyFill="1" applyBorder="1" applyAlignment="1" applyProtection="1">
      <alignment horizontal="center" vertical="center" textRotation="90" wrapText="1"/>
      <protection hidden="1"/>
    </xf>
    <xf numFmtId="0" fontId="172" fillId="12" borderId="178" xfId="0" applyFont="1" applyFill="1" applyBorder="1" applyAlignment="1" applyProtection="1">
      <alignment horizontal="center" vertical="center" textRotation="90" wrapText="1"/>
      <protection hidden="1"/>
    </xf>
    <xf numFmtId="0" fontId="172" fillId="12" borderId="202" xfId="0" applyFont="1" applyFill="1" applyBorder="1" applyAlignment="1" applyProtection="1">
      <alignment horizontal="center" vertical="center" textRotation="90" wrapText="1"/>
      <protection hidden="1"/>
    </xf>
    <xf numFmtId="0" fontId="172" fillId="12" borderId="231" xfId="0" applyFont="1" applyFill="1" applyBorder="1" applyAlignment="1" applyProtection="1">
      <alignment horizontal="center" vertical="center" textRotation="90" wrapText="1"/>
      <protection hidden="1"/>
    </xf>
    <xf numFmtId="0" fontId="122" fillId="2" borderId="88" xfId="0" applyFont="1" applyFill="1" applyBorder="1" applyAlignment="1" applyProtection="1">
      <alignment horizontal="center" vertical="center" wrapText="1"/>
      <protection locked="0"/>
    </xf>
    <xf numFmtId="0" fontId="63" fillId="20" borderId="86" xfId="0" applyFont="1" applyFill="1" applyBorder="1" applyAlignment="1" applyProtection="1">
      <alignment horizontal="center" vertical="center" wrapText="1"/>
    </xf>
    <xf numFmtId="0" fontId="63" fillId="13" borderId="236" xfId="0" applyFont="1" applyFill="1" applyBorder="1" applyAlignment="1" applyProtection="1">
      <alignment horizontal="center" vertical="center" wrapText="1"/>
      <protection hidden="1"/>
    </xf>
    <xf numFmtId="0" fontId="63" fillId="13" borderId="237" xfId="0" applyFont="1" applyFill="1" applyBorder="1" applyAlignment="1" applyProtection="1">
      <alignment horizontal="center" vertical="center" wrapText="1"/>
      <protection hidden="1"/>
    </xf>
    <xf numFmtId="0" fontId="63" fillId="13" borderId="4" xfId="0" applyFont="1" applyFill="1" applyBorder="1" applyAlignment="1" applyProtection="1">
      <alignment horizontal="center" vertical="center" textRotation="90" wrapText="1"/>
      <protection hidden="1"/>
    </xf>
    <xf numFmtId="0" fontId="309" fillId="12" borderId="11" xfId="0" applyFont="1" applyFill="1" applyBorder="1" applyAlignment="1" applyProtection="1">
      <alignment horizontal="center" vertical="center" wrapText="1"/>
      <protection locked="0"/>
    </xf>
    <xf numFmtId="0" fontId="310" fillId="12" borderId="14" xfId="0" applyFont="1" applyFill="1" applyBorder="1" applyProtection="1">
      <protection locked="0"/>
    </xf>
    <xf numFmtId="0" fontId="166" fillId="12" borderId="87" xfId="0" applyFont="1" applyFill="1" applyBorder="1" applyAlignment="1" applyProtection="1">
      <alignment horizontal="center" vertical="center" textRotation="90" wrapText="1"/>
      <protection hidden="1"/>
    </xf>
    <xf numFmtId="0" fontId="166" fillId="12" borderId="90" xfId="0" applyFont="1" applyFill="1" applyBorder="1" applyAlignment="1" applyProtection="1">
      <alignment horizontal="center" vertical="center" textRotation="90" wrapText="1"/>
      <protection hidden="1"/>
    </xf>
    <xf numFmtId="0" fontId="20" fillId="12" borderId="11" xfId="0" applyFont="1" applyFill="1" applyBorder="1" applyAlignment="1" applyProtection="1">
      <alignment horizontal="center" vertical="center" wrapText="1"/>
      <protection locked="0"/>
    </xf>
    <xf numFmtId="0" fontId="18" fillId="12" borderId="14" xfId="0" applyFont="1" applyFill="1" applyBorder="1" applyProtection="1">
      <protection locked="0"/>
    </xf>
    <xf numFmtId="0" fontId="166" fillId="12" borderId="11" xfId="0" applyFont="1" applyFill="1" applyBorder="1" applyAlignment="1" applyProtection="1">
      <alignment horizontal="center" vertical="center" textRotation="90" wrapText="1"/>
      <protection hidden="1"/>
    </xf>
    <xf numFmtId="0" fontId="166" fillId="12" borderId="14" xfId="0" applyFont="1" applyFill="1" applyBorder="1" applyAlignment="1" applyProtection="1">
      <alignment horizontal="center" vertical="center" textRotation="90" wrapText="1"/>
      <protection hidden="1"/>
    </xf>
    <xf numFmtId="0" fontId="308" fillId="12" borderId="11" xfId="0" applyFont="1" applyFill="1" applyBorder="1" applyAlignment="1" applyProtection="1">
      <alignment horizontal="center" vertical="center" textRotation="90" wrapText="1"/>
    </xf>
    <xf numFmtId="0" fontId="180" fillId="12" borderId="99" xfId="0" applyFont="1" applyFill="1" applyBorder="1" applyAlignment="1" applyProtection="1">
      <alignment horizontal="center" vertical="center" textRotation="90" wrapText="1"/>
    </xf>
    <xf numFmtId="0" fontId="180" fillId="12" borderId="98" xfId="0" applyFont="1" applyFill="1" applyBorder="1" applyAlignment="1" applyProtection="1">
      <alignment horizontal="center" vertical="center" textRotation="90" wrapText="1"/>
    </xf>
    <xf numFmtId="0" fontId="180" fillId="12" borderId="100" xfId="0" applyFont="1" applyFill="1" applyBorder="1" applyAlignment="1" applyProtection="1">
      <alignment horizontal="center" vertical="center" textRotation="90" wrapText="1"/>
    </xf>
    <xf numFmtId="0" fontId="63" fillId="12" borderId="86" xfId="0" applyFont="1" applyFill="1" applyBorder="1" applyAlignment="1" applyProtection="1">
      <alignment horizontal="center" vertical="center" wrapText="1"/>
    </xf>
    <xf numFmtId="0" fontId="180" fillId="20" borderId="20" xfId="0" applyFont="1" applyFill="1" applyBorder="1" applyAlignment="1" applyProtection="1">
      <alignment horizontal="center" vertical="center" textRotation="90" wrapText="1"/>
    </xf>
    <xf numFmtId="0" fontId="180" fillId="20" borderId="98" xfId="0" applyFont="1" applyFill="1" applyBorder="1" applyAlignment="1" applyProtection="1">
      <alignment horizontal="center" vertical="center" textRotation="90" wrapText="1"/>
    </xf>
    <xf numFmtId="0" fontId="180" fillId="20" borderId="100" xfId="0" applyFont="1" applyFill="1" applyBorder="1" applyAlignment="1" applyProtection="1">
      <alignment horizontal="center" vertical="center" textRotation="90" wrapText="1"/>
    </xf>
    <xf numFmtId="0" fontId="273" fillId="12" borderId="92" xfId="0" applyFont="1" applyFill="1" applyBorder="1" applyAlignment="1" applyProtection="1">
      <alignment horizontal="center" vertical="center" textRotation="90" wrapText="1"/>
      <protection hidden="1"/>
    </xf>
    <xf numFmtId="0" fontId="14" fillId="12" borderId="4" xfId="0" applyFont="1" applyFill="1" applyBorder="1" applyAlignment="1" applyProtection="1">
      <alignment horizontal="center" vertical="center"/>
      <protection locked="0"/>
    </xf>
    <xf numFmtId="0" fontId="308" fillId="12" borderId="5" xfId="0" applyFont="1" applyFill="1" applyBorder="1" applyAlignment="1" applyProtection="1">
      <alignment horizontal="center" vertical="center" wrapText="1"/>
      <protection locked="0"/>
    </xf>
    <xf numFmtId="0" fontId="166" fillId="13" borderId="7" xfId="0" applyFont="1" applyFill="1" applyBorder="1" applyAlignment="1" applyProtection="1">
      <alignment horizontal="center" vertical="center"/>
      <protection hidden="1"/>
    </xf>
    <xf numFmtId="0" fontId="166" fillId="13" borderId="20" xfId="0" applyFont="1" applyFill="1" applyBorder="1" applyAlignment="1" applyProtection="1">
      <alignment horizontal="center" vertical="center"/>
      <protection hidden="1"/>
    </xf>
    <xf numFmtId="0" fontId="166" fillId="13" borderId="21" xfId="0" applyFont="1" applyFill="1" applyBorder="1" applyAlignment="1" applyProtection="1">
      <alignment horizontal="center" vertical="center"/>
      <protection hidden="1"/>
    </xf>
    <xf numFmtId="0" fontId="166" fillId="13" borderId="22" xfId="0" applyFont="1" applyFill="1" applyBorder="1" applyAlignment="1" applyProtection="1">
      <alignment horizontal="center" vertical="center"/>
      <protection hidden="1"/>
    </xf>
    <xf numFmtId="0" fontId="224" fillId="13" borderId="91" xfId="0" applyFont="1" applyFill="1" applyBorder="1" applyAlignment="1" applyProtection="1">
      <alignment horizontal="center" vertical="center" wrapText="1"/>
      <protection hidden="1"/>
    </xf>
    <xf numFmtId="0" fontId="224" fillId="13" borderId="89" xfId="0" applyFont="1" applyFill="1" applyBorder="1" applyAlignment="1" applyProtection="1">
      <alignment horizontal="center" vertical="center" wrapText="1"/>
      <protection hidden="1"/>
    </xf>
    <xf numFmtId="0" fontId="166" fillId="24" borderId="7" xfId="0" applyFont="1" applyFill="1" applyBorder="1" applyAlignment="1" applyProtection="1">
      <alignment horizontal="center" vertical="center"/>
      <protection hidden="1"/>
    </xf>
    <xf numFmtId="0" fontId="166" fillId="24" borderId="20" xfId="0" applyFont="1" applyFill="1" applyBorder="1" applyAlignment="1" applyProtection="1">
      <alignment horizontal="center" vertical="center"/>
      <protection hidden="1"/>
    </xf>
    <xf numFmtId="0" fontId="166" fillId="24" borderId="21" xfId="0" applyFont="1" applyFill="1" applyBorder="1" applyAlignment="1" applyProtection="1">
      <alignment horizontal="center" vertical="center"/>
      <protection hidden="1"/>
    </xf>
    <xf numFmtId="0" fontId="166" fillId="24" borderId="22" xfId="0" applyFont="1" applyFill="1" applyBorder="1" applyAlignment="1" applyProtection="1">
      <alignment horizontal="center" vertical="center"/>
      <protection hidden="1"/>
    </xf>
    <xf numFmtId="0" fontId="224" fillId="24" borderId="85" xfId="0" applyFont="1" applyFill="1" applyBorder="1" applyAlignment="1" applyProtection="1">
      <alignment horizontal="center" vertical="center" wrapText="1"/>
      <protection hidden="1"/>
    </xf>
    <xf numFmtId="0" fontId="224" fillId="24" borderId="86" xfId="0" applyFont="1" applyFill="1" applyBorder="1" applyAlignment="1" applyProtection="1">
      <alignment horizontal="center" vertical="center" wrapText="1"/>
      <protection hidden="1"/>
    </xf>
    <xf numFmtId="0" fontId="224" fillId="24" borderId="89" xfId="0" applyFont="1" applyFill="1" applyBorder="1" applyAlignment="1" applyProtection="1">
      <alignment horizontal="center" vertical="center" wrapText="1"/>
      <protection hidden="1"/>
    </xf>
    <xf numFmtId="0" fontId="41" fillId="20" borderId="96" xfId="0" applyFont="1" applyFill="1" applyBorder="1" applyAlignment="1" applyProtection="1">
      <alignment horizontal="center" vertical="center"/>
      <protection locked="0"/>
    </xf>
    <xf numFmtId="0" fontId="41" fillId="20" borderId="97" xfId="0" applyFont="1" applyFill="1" applyBorder="1" applyAlignment="1" applyProtection="1">
      <alignment horizontal="center" vertical="center"/>
      <protection locked="0"/>
    </xf>
    <xf numFmtId="0" fontId="41" fillId="12" borderId="96" xfId="0" applyFont="1" applyFill="1" applyBorder="1" applyAlignment="1" applyProtection="1">
      <alignment horizontal="center" vertical="center"/>
      <protection locked="0"/>
    </xf>
    <xf numFmtId="0" fontId="41" fillId="12" borderId="97" xfId="0" applyFont="1" applyFill="1" applyBorder="1" applyAlignment="1" applyProtection="1">
      <alignment horizontal="center" vertical="center"/>
      <protection locked="0"/>
    </xf>
    <xf numFmtId="0" fontId="304" fillId="12" borderId="11" xfId="0" applyFont="1" applyFill="1" applyBorder="1" applyAlignment="1" applyProtection="1">
      <alignment horizontal="center" vertical="center" wrapText="1"/>
      <protection locked="0"/>
    </xf>
    <xf numFmtId="0" fontId="171" fillId="20" borderId="85" xfId="0" applyFont="1" applyFill="1" applyBorder="1" applyAlignment="1" applyProtection="1">
      <alignment horizontal="center" vertical="center" wrapText="1"/>
      <protection locked="0"/>
    </xf>
    <xf numFmtId="0" fontId="171" fillId="20" borderId="86" xfId="0" applyFont="1" applyFill="1" applyBorder="1" applyAlignment="1" applyProtection="1">
      <alignment horizontal="center" vertical="center" wrapText="1"/>
      <protection locked="0"/>
    </xf>
    <xf numFmtId="0" fontId="171" fillId="12" borderId="85" xfId="0" applyFont="1" applyFill="1" applyBorder="1" applyAlignment="1" applyProtection="1">
      <alignment horizontal="center" vertical="center" wrapText="1"/>
      <protection locked="0"/>
    </xf>
    <xf numFmtId="0" fontId="171" fillId="12" borderId="86" xfId="0" applyFont="1" applyFill="1" applyBorder="1" applyAlignment="1" applyProtection="1">
      <alignment horizontal="center" vertical="center" wrapText="1"/>
      <protection locked="0"/>
    </xf>
    <xf numFmtId="0" fontId="130" fillId="38" borderId="93" xfId="0" applyFont="1" applyFill="1" applyBorder="1" applyAlignment="1" applyProtection="1">
      <alignment horizontal="center" vertical="center" wrapText="1"/>
      <protection locked="0"/>
    </xf>
    <xf numFmtId="0" fontId="130" fillId="38" borderId="95" xfId="0" applyFont="1" applyFill="1" applyBorder="1" applyAlignment="1" applyProtection="1">
      <alignment horizontal="center" vertical="center" wrapText="1"/>
      <protection locked="0"/>
    </xf>
    <xf numFmtId="0" fontId="130" fillId="17" borderId="85" xfId="0" applyFont="1" applyFill="1" applyBorder="1" applyAlignment="1" applyProtection="1">
      <alignment horizontal="center" vertical="center" wrapText="1"/>
      <protection locked="0"/>
    </xf>
    <xf numFmtId="0" fontId="130" fillId="17" borderId="86" xfId="0" applyFont="1" applyFill="1" applyBorder="1" applyAlignment="1" applyProtection="1">
      <alignment horizontal="center" vertical="center" wrapText="1"/>
      <protection locked="0"/>
    </xf>
    <xf numFmtId="0" fontId="41" fillId="17" borderId="96" xfId="0" applyFont="1" applyFill="1" applyBorder="1" applyAlignment="1" applyProtection="1">
      <alignment horizontal="center" vertical="center"/>
      <protection locked="0"/>
    </xf>
    <xf numFmtId="0" fontId="41" fillId="17" borderId="97" xfId="0" applyFont="1" applyFill="1" applyBorder="1" applyAlignment="1" applyProtection="1">
      <alignment horizontal="center" vertical="center"/>
      <protection locked="0"/>
    </xf>
    <xf numFmtId="0" fontId="130" fillId="38" borderId="94" xfId="0" applyFont="1" applyFill="1" applyBorder="1" applyAlignment="1" applyProtection="1">
      <alignment horizontal="center" vertical="center" wrapText="1"/>
      <protection locked="0"/>
    </xf>
    <xf numFmtId="0" fontId="130" fillId="20" borderId="85" xfId="0" applyFont="1" applyFill="1" applyBorder="1" applyAlignment="1" applyProtection="1">
      <alignment horizontal="center" vertical="center" wrapText="1"/>
      <protection locked="0"/>
    </xf>
    <xf numFmtId="0" fontId="130" fillId="20" borderId="86" xfId="0" applyFont="1" applyFill="1" applyBorder="1" applyAlignment="1" applyProtection="1">
      <alignment horizontal="center" vertical="center" wrapText="1"/>
      <protection locked="0"/>
    </xf>
    <xf numFmtId="0" fontId="130" fillId="20" borderId="87" xfId="0" applyFont="1" applyFill="1" applyBorder="1" applyAlignment="1" applyProtection="1">
      <alignment horizontal="center" vertical="center" wrapText="1"/>
      <protection locked="0"/>
    </xf>
    <xf numFmtId="0" fontId="180" fillId="38" borderId="99" xfId="0" applyFont="1" applyFill="1" applyBorder="1" applyAlignment="1" applyProtection="1">
      <alignment horizontal="center" vertical="center" textRotation="90" wrapText="1"/>
    </xf>
    <xf numFmtId="0" fontId="180" fillId="38" borderId="98" xfId="0" applyFont="1" applyFill="1" applyBorder="1" applyAlignment="1" applyProtection="1">
      <alignment horizontal="center" vertical="center" textRotation="90" wrapText="1"/>
    </xf>
    <xf numFmtId="0" fontId="180" fillId="38" borderId="100" xfId="0" applyFont="1" applyFill="1" applyBorder="1" applyAlignment="1" applyProtection="1">
      <alignment horizontal="center" vertical="center" textRotation="90" wrapText="1"/>
    </xf>
    <xf numFmtId="0" fontId="180" fillId="17" borderId="99" xfId="0" applyFont="1" applyFill="1" applyBorder="1" applyAlignment="1" applyProtection="1">
      <alignment horizontal="center" vertical="center" textRotation="90" wrapText="1"/>
    </xf>
    <xf numFmtId="0" fontId="180" fillId="17" borderId="98" xfId="0" applyFont="1" applyFill="1" applyBorder="1" applyAlignment="1" applyProtection="1">
      <alignment horizontal="center" vertical="center" textRotation="90" wrapText="1"/>
    </xf>
    <xf numFmtId="0" fontId="180" fillId="17" borderId="100" xfId="0" applyFont="1" applyFill="1" applyBorder="1" applyAlignment="1" applyProtection="1">
      <alignment horizontal="center" vertical="center" textRotation="90" wrapText="1"/>
    </xf>
    <xf numFmtId="0" fontId="63" fillId="17" borderId="86" xfId="0" applyFont="1" applyFill="1" applyBorder="1" applyAlignment="1" applyProtection="1">
      <alignment horizontal="center" vertical="center" wrapText="1"/>
    </xf>
    <xf numFmtId="0" fontId="41" fillId="20" borderId="96" xfId="0" applyFont="1" applyFill="1" applyBorder="1" applyAlignment="1" applyProtection="1">
      <alignment horizontal="center" vertical="center"/>
      <protection hidden="1"/>
    </xf>
    <xf numFmtId="0" fontId="41" fillId="20" borderId="97" xfId="0" applyFont="1" applyFill="1" applyBorder="1" applyAlignment="1" applyProtection="1">
      <alignment horizontal="center" vertical="center"/>
      <protection hidden="1"/>
    </xf>
    <xf numFmtId="0" fontId="130" fillId="20" borderId="91" xfId="0" applyFont="1" applyFill="1" applyBorder="1" applyAlignment="1" applyProtection="1">
      <alignment horizontal="center" vertical="center" wrapText="1"/>
      <protection locked="0"/>
    </xf>
    <xf numFmtId="0" fontId="130" fillId="20" borderId="89" xfId="0" applyFont="1" applyFill="1" applyBorder="1" applyAlignment="1" applyProtection="1">
      <alignment horizontal="center" vertical="center" wrapText="1"/>
      <protection locked="0"/>
    </xf>
    <xf numFmtId="0" fontId="130" fillId="20" borderId="90" xfId="0" applyFont="1" applyFill="1" applyBorder="1" applyAlignment="1" applyProtection="1">
      <alignment horizontal="center" vertical="center" wrapText="1"/>
      <protection locked="0"/>
    </xf>
    <xf numFmtId="0" fontId="182" fillId="24" borderId="85" xfId="0" applyFont="1" applyFill="1" applyBorder="1" applyAlignment="1" applyProtection="1">
      <alignment horizontal="center" vertical="center" wrapText="1"/>
      <protection locked="0"/>
    </xf>
    <xf numFmtId="0" fontId="182" fillId="24" borderId="86" xfId="0" applyFont="1" applyFill="1" applyBorder="1" applyAlignment="1" applyProtection="1">
      <alignment horizontal="center" vertical="center" wrapText="1"/>
      <protection locked="0"/>
    </xf>
    <xf numFmtId="0" fontId="273" fillId="24" borderId="182" xfId="0" applyFont="1" applyFill="1" applyBorder="1" applyAlignment="1" applyProtection="1">
      <alignment horizontal="center" vertical="center" textRotation="90" wrapText="1"/>
    </xf>
    <xf numFmtId="0" fontId="273" fillId="24" borderId="88" xfId="0" applyFont="1" applyFill="1" applyBorder="1" applyAlignment="1" applyProtection="1">
      <alignment horizontal="center" vertical="center" textRotation="90" wrapText="1"/>
    </xf>
    <xf numFmtId="0" fontId="38" fillId="24" borderId="182" xfId="0" applyFont="1" applyFill="1" applyBorder="1" applyAlignment="1" applyProtection="1">
      <alignment horizontal="center" vertical="center" textRotation="90" wrapText="1"/>
    </xf>
    <xf numFmtId="0" fontId="38" fillId="24" borderId="88" xfId="0" applyFont="1" applyFill="1" applyBorder="1" applyAlignment="1" applyProtection="1">
      <alignment horizontal="center" vertical="center" textRotation="90" wrapText="1"/>
    </xf>
    <xf numFmtId="0" fontId="190" fillId="24" borderId="85" xfId="0" applyFont="1" applyFill="1" applyBorder="1" applyAlignment="1" applyProtection="1">
      <alignment horizontal="center" vertical="center" wrapText="1"/>
      <protection locked="0"/>
    </xf>
    <xf numFmtId="0" fontId="190" fillId="24" borderId="86" xfId="0" applyFont="1" applyFill="1" applyBorder="1" applyAlignment="1" applyProtection="1">
      <alignment horizontal="center" vertical="center" wrapText="1"/>
      <protection locked="0"/>
    </xf>
    <xf numFmtId="0" fontId="190" fillId="24" borderId="89" xfId="0" applyFont="1" applyFill="1" applyBorder="1" applyAlignment="1" applyProtection="1">
      <alignment horizontal="center" vertical="center" wrapText="1"/>
      <protection locked="0"/>
    </xf>
    <xf numFmtId="0" fontId="38" fillId="24" borderId="242" xfId="0" applyFont="1" applyFill="1" applyBorder="1" applyAlignment="1" applyProtection="1">
      <alignment horizontal="center" vertical="center" textRotation="90" wrapText="1"/>
    </xf>
    <xf numFmtId="0" fontId="38" fillId="24" borderId="238" xfId="0" applyFont="1" applyFill="1" applyBorder="1" applyAlignment="1" applyProtection="1">
      <alignment horizontal="center" vertical="center" textRotation="90" wrapText="1"/>
    </xf>
    <xf numFmtId="0" fontId="273" fillId="24" borderId="243" xfId="0" applyFont="1" applyFill="1" applyBorder="1" applyAlignment="1" applyProtection="1">
      <alignment horizontal="center" vertical="center" wrapText="1"/>
    </xf>
    <xf numFmtId="0" fontId="273" fillId="24" borderId="241" xfId="0" applyFont="1" applyFill="1" applyBorder="1" applyAlignment="1" applyProtection="1">
      <alignment horizontal="center" vertical="center" wrapText="1"/>
    </xf>
    <xf numFmtId="0" fontId="273" fillId="24" borderId="244" xfId="0" applyFont="1" applyFill="1" applyBorder="1" applyAlignment="1" applyProtection="1">
      <alignment horizontal="center" vertical="center" wrapText="1"/>
    </xf>
    <xf numFmtId="0" fontId="312" fillId="0" borderId="149" xfId="0" applyFont="1" applyBorder="1" applyAlignment="1" applyProtection="1">
      <alignment horizontal="center" vertical="center"/>
      <protection hidden="1"/>
    </xf>
    <xf numFmtId="0" fontId="312" fillId="0" borderId="119" xfId="0" applyFont="1" applyBorder="1" applyAlignment="1" applyProtection="1">
      <alignment horizontal="center" vertical="center"/>
      <protection hidden="1"/>
    </xf>
    <xf numFmtId="0" fontId="9" fillId="0" borderId="118" xfId="0" applyFont="1" applyFill="1" applyBorder="1" applyAlignment="1" applyProtection="1">
      <alignment horizontal="center" vertical="center" wrapText="1"/>
      <protection hidden="1"/>
    </xf>
    <xf numFmtId="0" fontId="9" fillId="0" borderId="149" xfId="0" applyFont="1" applyFill="1" applyBorder="1" applyAlignment="1" applyProtection="1">
      <alignment horizontal="center" vertical="center" wrapText="1"/>
      <protection hidden="1"/>
    </xf>
    <xf numFmtId="0" fontId="9" fillId="0" borderId="119" xfId="0" applyFont="1" applyFill="1" applyBorder="1" applyAlignment="1" applyProtection="1">
      <alignment horizontal="center" vertical="center" wrapText="1"/>
      <protection hidden="1"/>
    </xf>
    <xf numFmtId="0" fontId="41" fillId="0" borderId="120" xfId="0" applyFont="1" applyFill="1" applyBorder="1" applyAlignment="1" applyProtection="1">
      <alignment horizontal="center" vertical="center" wrapText="1"/>
      <protection hidden="1"/>
    </xf>
    <xf numFmtId="0" fontId="41" fillId="0" borderId="121" xfId="0" applyFont="1" applyFill="1" applyBorder="1" applyAlignment="1" applyProtection="1">
      <alignment horizontal="center" vertical="center" wrapText="1"/>
      <protection hidden="1"/>
    </xf>
    <xf numFmtId="0" fontId="41" fillId="0" borderId="122" xfId="0" applyFont="1" applyFill="1" applyBorder="1" applyAlignment="1" applyProtection="1">
      <alignment horizontal="center" vertical="center" wrapText="1"/>
      <protection hidden="1"/>
    </xf>
    <xf numFmtId="0" fontId="41" fillId="0" borderId="125" xfId="0" applyFont="1" applyFill="1" applyBorder="1" applyAlignment="1" applyProtection="1">
      <alignment horizontal="center" vertical="center" wrapText="1"/>
      <protection hidden="1"/>
    </xf>
    <xf numFmtId="0" fontId="41" fillId="0" borderId="126" xfId="0" applyFont="1" applyFill="1" applyBorder="1" applyAlignment="1" applyProtection="1">
      <alignment horizontal="center" vertical="center" wrapText="1"/>
      <protection hidden="1"/>
    </xf>
    <xf numFmtId="0" fontId="41" fillId="0" borderId="127"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textRotation="90" wrapText="1"/>
      <protection hidden="1"/>
    </xf>
    <xf numFmtId="0" fontId="38" fillId="0" borderId="128" xfId="0" applyFont="1" applyFill="1" applyBorder="1" applyAlignment="1" applyProtection="1">
      <alignment horizontal="center" vertical="center" textRotation="90" wrapText="1"/>
      <protection hidden="1"/>
    </xf>
    <xf numFmtId="0" fontId="38" fillId="0" borderId="117" xfId="0" applyFont="1" applyFill="1" applyBorder="1" applyAlignment="1" applyProtection="1">
      <alignment horizontal="center" vertical="center" textRotation="90" wrapText="1"/>
      <protection hidden="1"/>
    </xf>
    <xf numFmtId="0" fontId="184" fillId="16" borderId="120" xfId="4" applyFont="1" applyFill="1" applyBorder="1" applyAlignment="1" applyProtection="1">
      <alignment horizontal="center" vertical="center" wrapText="1"/>
      <protection hidden="1"/>
    </xf>
    <xf numFmtId="0" fontId="184" fillId="16" borderId="121" xfId="4" applyFont="1" applyFill="1" applyBorder="1" applyAlignment="1" applyProtection="1">
      <alignment horizontal="center" vertical="center" wrapText="1"/>
      <protection hidden="1"/>
    </xf>
    <xf numFmtId="0" fontId="184" fillId="16" borderId="122" xfId="4" applyFont="1" applyFill="1" applyBorder="1" applyAlignment="1" applyProtection="1">
      <alignment horizontal="center" vertical="center" wrapText="1"/>
      <protection hidden="1"/>
    </xf>
    <xf numFmtId="0" fontId="184" fillId="16" borderId="125" xfId="4" applyFont="1" applyFill="1" applyBorder="1" applyAlignment="1" applyProtection="1">
      <alignment horizontal="center" vertical="center" wrapText="1"/>
      <protection hidden="1"/>
    </xf>
    <xf numFmtId="0" fontId="184" fillId="16" borderId="126" xfId="4" applyFont="1" applyFill="1" applyBorder="1" applyAlignment="1" applyProtection="1">
      <alignment horizontal="center" vertical="center" wrapText="1"/>
      <protection hidden="1"/>
    </xf>
    <xf numFmtId="0" fontId="184" fillId="16" borderId="127" xfId="4" applyFont="1" applyFill="1" applyBorder="1" applyAlignment="1" applyProtection="1">
      <alignment horizontal="center" vertical="center" wrapText="1"/>
      <protection hidden="1"/>
    </xf>
    <xf numFmtId="0" fontId="183" fillId="13" borderId="120" xfId="0" applyFont="1" applyFill="1" applyBorder="1" applyAlignment="1" applyProtection="1">
      <alignment horizontal="center" vertical="center" wrapText="1"/>
      <protection hidden="1"/>
    </xf>
    <xf numFmtId="0" fontId="183" fillId="13" borderId="121" xfId="0" applyFont="1" applyFill="1" applyBorder="1" applyAlignment="1" applyProtection="1">
      <alignment horizontal="center" vertical="center" wrapText="1"/>
      <protection hidden="1"/>
    </xf>
    <xf numFmtId="0" fontId="183" fillId="13" borderId="122" xfId="0" applyFont="1" applyFill="1" applyBorder="1" applyAlignment="1" applyProtection="1">
      <alignment horizontal="center" vertical="center" wrapText="1"/>
      <protection hidden="1"/>
    </xf>
    <xf numFmtId="0" fontId="183" fillId="13" borderId="125" xfId="0" applyFont="1" applyFill="1" applyBorder="1" applyAlignment="1" applyProtection="1">
      <alignment horizontal="center" vertical="center" wrapText="1"/>
      <protection hidden="1"/>
    </xf>
    <xf numFmtId="0" fontId="183" fillId="13" borderId="126" xfId="0" applyFont="1" applyFill="1" applyBorder="1" applyAlignment="1" applyProtection="1">
      <alignment horizontal="center" vertical="center" wrapText="1"/>
      <protection hidden="1"/>
    </xf>
    <xf numFmtId="0" fontId="183" fillId="13" borderId="127"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wrapText="1"/>
      <protection hidden="1"/>
    </xf>
    <xf numFmtId="0" fontId="38" fillId="0" borderId="118" xfId="0" applyFont="1" applyFill="1" applyBorder="1" applyAlignment="1" applyProtection="1">
      <alignment horizontal="center" vertical="center" wrapText="1"/>
      <protection hidden="1"/>
    </xf>
    <xf numFmtId="0" fontId="38" fillId="0" borderId="149" xfId="0" applyFont="1" applyFill="1" applyBorder="1" applyAlignment="1" applyProtection="1">
      <alignment horizontal="center" vertical="center" wrapText="1"/>
      <protection hidden="1"/>
    </xf>
    <xf numFmtId="0" fontId="38" fillId="0" borderId="119" xfId="0" applyFont="1" applyFill="1" applyBorder="1" applyAlignment="1" applyProtection="1">
      <alignment horizontal="center" vertical="center" wrapText="1"/>
      <protection hidden="1"/>
    </xf>
    <xf numFmtId="0" fontId="98" fillId="0" borderId="122" xfId="0" applyFont="1" applyFill="1" applyBorder="1" applyAlignment="1" applyProtection="1">
      <alignment horizontal="center" vertical="center" wrapText="1"/>
      <protection hidden="1"/>
    </xf>
    <xf numFmtId="0" fontId="98" fillId="0" borderId="127" xfId="0" applyFont="1" applyFill="1" applyBorder="1" applyAlignment="1" applyProtection="1">
      <alignment horizontal="center" vertical="center" wrapText="1"/>
      <protection hidden="1"/>
    </xf>
    <xf numFmtId="0" fontId="183" fillId="0" borderId="115" xfId="0" applyFont="1" applyFill="1" applyBorder="1" applyAlignment="1" applyProtection="1">
      <alignment horizontal="center" vertical="center" textRotation="90" wrapText="1"/>
      <protection hidden="1"/>
    </xf>
    <xf numFmtId="0" fontId="41" fillId="0" borderId="115" xfId="0" applyFont="1" applyFill="1" applyBorder="1" applyAlignment="1" applyProtection="1">
      <alignment horizontal="center" vertical="center" wrapText="1"/>
      <protection hidden="1"/>
    </xf>
    <xf numFmtId="0" fontId="63" fillId="0" borderId="115"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vertical="center" textRotation="90" wrapText="1"/>
      <protection hidden="1"/>
    </xf>
    <xf numFmtId="0" fontId="9" fillId="0" borderId="128" xfId="0" applyFont="1" applyFill="1" applyBorder="1" applyAlignment="1" applyProtection="1">
      <alignment horizontal="center" vertical="center" textRotation="90" wrapText="1"/>
      <protection hidden="1"/>
    </xf>
    <xf numFmtId="0" fontId="9" fillId="0" borderId="117" xfId="0" applyFont="1" applyFill="1" applyBorder="1" applyAlignment="1" applyProtection="1">
      <alignment horizontal="center" vertical="center" textRotation="90" wrapText="1"/>
      <protection hidden="1"/>
    </xf>
    <xf numFmtId="0" fontId="63" fillId="0" borderId="115" xfId="0" applyFont="1" applyFill="1" applyBorder="1" applyAlignment="1" applyProtection="1">
      <alignment horizontal="center" vertical="center" textRotation="90" wrapText="1"/>
      <protection hidden="1"/>
    </xf>
    <xf numFmtId="0" fontId="63" fillId="0" borderId="116" xfId="0" applyFont="1" applyFill="1" applyBorder="1" applyAlignment="1" applyProtection="1">
      <alignment horizontal="center" vertical="center" textRotation="90" wrapText="1"/>
      <protection hidden="1"/>
    </xf>
    <xf numFmtId="0" fontId="38" fillId="0" borderId="115" xfId="0" applyFont="1" applyFill="1" applyBorder="1" applyAlignment="1" applyProtection="1">
      <alignment horizontal="center" vertical="center" wrapText="1"/>
      <protection hidden="1"/>
    </xf>
    <xf numFmtId="0" fontId="9" fillId="0" borderId="115" xfId="0" applyFont="1" applyFill="1" applyBorder="1" applyAlignment="1" applyProtection="1">
      <alignment horizontal="center" vertical="center" textRotation="90" wrapText="1"/>
      <protection hidden="1"/>
    </xf>
    <xf numFmtId="0" fontId="38"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wrapText="1"/>
      <protection hidden="1"/>
    </xf>
    <xf numFmtId="0" fontId="273" fillId="0" borderId="118" xfId="0" applyFont="1" applyFill="1" applyBorder="1" applyAlignment="1" applyProtection="1">
      <alignment horizontal="center" vertical="center" wrapText="1"/>
      <protection hidden="1"/>
    </xf>
    <xf numFmtId="0" fontId="73" fillId="0" borderId="115" xfId="0" applyFont="1" applyFill="1" applyBorder="1" applyAlignment="1" applyProtection="1">
      <alignment horizontal="center" vertical="center" textRotation="90" wrapText="1"/>
      <protection hidden="1"/>
    </xf>
    <xf numFmtId="0" fontId="249" fillId="0" borderId="115" xfId="0" applyFont="1" applyFill="1" applyBorder="1" applyAlignment="1" applyProtection="1">
      <alignment horizontal="center" vertical="center" wrapText="1"/>
      <protection hidden="1"/>
    </xf>
    <xf numFmtId="0" fontId="248" fillId="0" borderId="117"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36" fillId="0" borderId="122" xfId="0" applyFont="1" applyFill="1" applyBorder="1" applyAlignment="1" applyProtection="1">
      <alignment horizontal="center" vertical="center" textRotation="90" wrapText="1"/>
      <protection hidden="1"/>
    </xf>
    <xf numFmtId="0" fontId="236" fillId="0" borderId="127"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textRotation="90" wrapText="1"/>
      <protection hidden="1"/>
    </xf>
    <xf numFmtId="0" fontId="273" fillId="0" borderId="117" xfId="0" applyFont="1" applyFill="1" applyBorder="1" applyAlignment="1" applyProtection="1">
      <alignment horizontal="center" vertical="center" textRotation="90" wrapText="1"/>
      <protection hidden="1"/>
    </xf>
    <xf numFmtId="0" fontId="288" fillId="10" borderId="254" xfId="0" applyFont="1" applyFill="1" applyBorder="1" applyAlignment="1" applyProtection="1">
      <alignment horizontal="center" vertical="center" wrapText="1"/>
      <protection hidden="1"/>
    </xf>
    <xf numFmtId="0" fontId="288" fillId="10" borderId="255" xfId="0" applyFont="1" applyFill="1" applyBorder="1" applyAlignment="1" applyProtection="1">
      <alignment horizontal="center" vertical="center" wrapText="1"/>
      <protection hidden="1"/>
    </xf>
    <xf numFmtId="0" fontId="288" fillId="10" borderId="256" xfId="0" applyFont="1" applyFill="1" applyBorder="1" applyAlignment="1" applyProtection="1">
      <alignment horizontal="center" vertical="center" wrapText="1"/>
      <protection hidden="1"/>
    </xf>
    <xf numFmtId="0" fontId="129" fillId="0" borderId="252" xfId="0" applyFont="1" applyFill="1" applyBorder="1" applyAlignment="1" applyProtection="1">
      <alignment horizontal="center" vertical="center" wrapText="1"/>
      <protection hidden="1"/>
    </xf>
    <xf numFmtId="0" fontId="129" fillId="0" borderId="253" xfId="0" applyFont="1" applyFill="1" applyBorder="1" applyAlignment="1" applyProtection="1">
      <alignment horizontal="center" vertical="center" wrapText="1"/>
      <protection hidden="1"/>
    </xf>
    <xf numFmtId="0" fontId="39" fillId="22" borderId="115" xfId="0" applyFont="1" applyFill="1" applyBorder="1" applyAlignment="1" applyProtection="1">
      <alignment horizontal="center" vertical="center" textRotation="90" wrapText="1"/>
      <protection hidden="1"/>
    </xf>
    <xf numFmtId="0" fontId="43" fillId="22" borderId="115" xfId="0" applyFont="1" applyFill="1" applyBorder="1" applyAlignment="1" applyProtection="1">
      <alignment horizontal="center" vertical="center" textRotation="90" wrapText="1"/>
      <protection hidden="1"/>
    </xf>
    <xf numFmtId="0" fontId="248" fillId="0" borderId="115" xfId="0" applyFont="1" applyFill="1" applyBorder="1" applyAlignment="1" applyProtection="1">
      <alignment horizontal="center" vertical="center" textRotation="90" wrapText="1"/>
      <protection hidden="1"/>
    </xf>
    <xf numFmtId="0" fontId="63" fillId="0" borderId="250" xfId="0" applyFont="1" applyFill="1" applyBorder="1" applyAlignment="1" applyProtection="1">
      <alignment horizontal="center" vertical="center" wrapText="1"/>
      <protection hidden="1"/>
    </xf>
    <xf numFmtId="0" fontId="63" fillId="0" borderId="251" xfId="0" applyFont="1" applyFill="1" applyBorder="1" applyAlignment="1" applyProtection="1">
      <alignment horizontal="center" vertical="center" wrapText="1"/>
      <protection hidden="1"/>
    </xf>
    <xf numFmtId="0" fontId="63" fillId="0" borderId="249" xfId="0" applyFont="1" applyFill="1" applyBorder="1" applyAlignment="1" applyProtection="1">
      <alignment horizontal="center" vertical="center" wrapText="1"/>
      <protection hidden="1"/>
    </xf>
    <xf numFmtId="0" fontId="9" fillId="0" borderId="115" xfId="0" applyFont="1" applyFill="1" applyBorder="1" applyAlignment="1" applyProtection="1">
      <alignment horizontal="center" vertical="center" wrapText="1"/>
      <protection hidden="1"/>
    </xf>
    <xf numFmtId="0" fontId="9" fillId="0" borderId="257" xfId="0" applyFont="1" applyFill="1" applyBorder="1" applyAlignment="1" applyProtection="1">
      <alignment horizontal="center" vertical="center" wrapText="1"/>
      <protection hidden="1"/>
    </xf>
    <xf numFmtId="0" fontId="242" fillId="0" borderId="115" xfId="0" applyFont="1" applyFill="1" applyBorder="1" applyAlignment="1" applyProtection="1">
      <alignment horizontal="center" vertical="center" wrapText="1"/>
      <protection hidden="1"/>
    </xf>
    <xf numFmtId="0" fontId="242" fillId="0" borderId="257" xfId="0" applyFont="1" applyFill="1" applyBorder="1" applyAlignment="1" applyProtection="1">
      <alignment horizontal="center" vertical="center" wrapText="1"/>
      <protection hidden="1"/>
    </xf>
    <xf numFmtId="0" fontId="321" fillId="0" borderId="249" xfId="0" applyFont="1" applyFill="1" applyBorder="1" applyAlignment="1" applyProtection="1">
      <alignment horizontal="center" vertical="center" wrapText="1"/>
      <protection hidden="1"/>
    </xf>
    <xf numFmtId="0" fontId="321" fillId="0" borderId="115" xfId="0" applyFont="1" applyFill="1" applyBorder="1" applyAlignment="1" applyProtection="1">
      <alignment horizontal="center" vertical="center" wrapText="1"/>
      <protection hidden="1"/>
    </xf>
    <xf numFmtId="1" fontId="64" fillId="18" borderId="115" xfId="0" applyNumberFormat="1" applyFont="1" applyFill="1" applyBorder="1" applyAlignment="1" applyProtection="1">
      <alignment horizontal="center" vertical="center" wrapText="1"/>
      <protection hidden="1"/>
    </xf>
    <xf numFmtId="172" fontId="64" fillId="18" borderId="115" xfId="0" applyNumberFormat="1" applyFont="1" applyFill="1" applyBorder="1" applyAlignment="1" applyProtection="1">
      <alignment horizontal="center" vertical="center" wrapText="1"/>
      <protection hidden="1"/>
    </xf>
    <xf numFmtId="0" fontId="64" fillId="18" borderId="115" xfId="0" applyFont="1" applyFill="1" applyBorder="1" applyAlignment="1" applyProtection="1">
      <alignment horizontal="center" vertical="center" wrapText="1"/>
      <protection hidden="1"/>
    </xf>
    <xf numFmtId="172" fontId="64" fillId="18" borderId="118" xfId="0" applyNumberFormat="1" applyFont="1" applyFill="1" applyBorder="1" applyAlignment="1" applyProtection="1">
      <alignment horizontal="center" vertical="center" wrapText="1"/>
      <protection hidden="1"/>
    </xf>
    <xf numFmtId="172" fontId="64" fillId="18" borderId="149" xfId="0" applyNumberFormat="1" applyFont="1" applyFill="1" applyBorder="1" applyAlignment="1" applyProtection="1">
      <alignment horizontal="center" vertical="center" wrapText="1"/>
      <protection hidden="1"/>
    </xf>
    <xf numFmtId="172" fontId="64" fillId="18" borderId="119" xfId="0" applyNumberFormat="1" applyFont="1" applyFill="1" applyBorder="1" applyAlignment="1" applyProtection="1">
      <alignment horizontal="center" vertical="center" wrapText="1"/>
      <protection hidden="1"/>
    </xf>
    <xf numFmtId="0" fontId="24" fillId="0" borderId="115" xfId="0" applyFont="1" applyFill="1" applyBorder="1" applyAlignment="1" applyProtection="1">
      <alignment horizontal="center" vertical="center" wrapText="1"/>
      <protection hidden="1"/>
    </xf>
    <xf numFmtId="0" fontId="24" fillId="0" borderId="257" xfId="0" applyFont="1" applyFill="1" applyBorder="1" applyAlignment="1" applyProtection="1">
      <alignment horizontal="center" vertical="center" wrapText="1"/>
      <protection hidden="1"/>
    </xf>
    <xf numFmtId="0" fontId="9" fillId="0" borderId="115" xfId="0" applyFont="1" applyFill="1" applyBorder="1" applyAlignment="1" applyProtection="1">
      <alignment horizontal="center" wrapText="1"/>
      <protection hidden="1"/>
    </xf>
    <xf numFmtId="0" fontId="29" fillId="0" borderId="115" xfId="0" applyFont="1" applyFill="1" applyBorder="1" applyAlignment="1" applyProtection="1">
      <alignment horizontal="center" vertical="center" wrapText="1"/>
      <protection hidden="1"/>
    </xf>
    <xf numFmtId="0" fontId="29" fillId="0" borderId="257" xfId="0" applyFont="1" applyFill="1" applyBorder="1" applyAlignment="1" applyProtection="1">
      <alignment horizontal="center" vertical="center" wrapText="1"/>
      <protection hidden="1"/>
    </xf>
    <xf numFmtId="0" fontId="29" fillId="0" borderId="251" xfId="0" applyFont="1" applyBorder="1" applyAlignment="1" applyProtection="1">
      <alignment horizontal="center" vertical="center" wrapText="1"/>
      <protection hidden="1"/>
    </xf>
    <xf numFmtId="0" fontId="29" fillId="0" borderId="258" xfId="0" applyFont="1" applyBorder="1" applyAlignment="1" applyProtection="1">
      <alignment horizontal="center" vertical="center" wrapText="1"/>
      <protection hidden="1"/>
    </xf>
    <xf numFmtId="0" fontId="93" fillId="0" borderId="51" xfId="0" applyFont="1" applyBorder="1" applyAlignment="1" applyProtection="1">
      <alignment horizontal="center" vertical="center" wrapText="1"/>
      <protection hidden="1"/>
    </xf>
    <xf numFmtId="0" fontId="93" fillId="0" borderId="52" xfId="0" applyFont="1" applyBorder="1" applyAlignment="1" applyProtection="1">
      <alignment horizontal="center" vertical="center" wrapText="1"/>
      <protection hidden="1"/>
    </xf>
    <xf numFmtId="0" fontId="93" fillId="0" borderId="53" xfId="0" applyFont="1" applyBorder="1" applyAlignment="1" applyProtection="1">
      <alignment horizontal="center" vertical="center" wrapText="1"/>
      <protection hidden="1"/>
    </xf>
    <xf numFmtId="0" fontId="93" fillId="0" borderId="54" xfId="0" applyFont="1" applyBorder="1" applyAlignment="1" applyProtection="1">
      <alignment horizontal="center" vertical="center" wrapText="1"/>
      <protection hidden="1"/>
    </xf>
    <xf numFmtId="0" fontId="93" fillId="0" borderId="55" xfId="0" applyFont="1" applyBorder="1" applyAlignment="1" applyProtection="1">
      <alignment horizontal="center" vertical="center" wrapText="1"/>
      <protection hidden="1"/>
    </xf>
    <xf numFmtId="0" fontId="93" fillId="0" borderId="56" xfId="0" applyFont="1" applyBorder="1" applyAlignment="1" applyProtection="1">
      <alignment horizontal="center" vertical="center" wrapText="1"/>
      <protection hidden="1"/>
    </xf>
    <xf numFmtId="0" fontId="17" fillId="0" borderId="51" xfId="0" applyFont="1" applyFill="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14" fillId="0" borderId="50" xfId="0" applyFont="1" applyFill="1" applyBorder="1" applyAlignment="1" applyProtection="1">
      <alignment horizontal="center" vertical="center" wrapText="1"/>
      <protection hidden="1"/>
    </xf>
    <xf numFmtId="0" fontId="61" fillId="0" borderId="51" xfId="0" applyFont="1" applyFill="1" applyBorder="1" applyAlignment="1" applyProtection="1">
      <alignment horizontal="center" vertical="center" wrapText="1"/>
      <protection hidden="1"/>
    </xf>
    <xf numFmtId="0" fontId="61" fillId="0" borderId="52" xfId="0" applyFont="1" applyFill="1" applyBorder="1" applyAlignment="1" applyProtection="1">
      <alignment horizontal="center" vertical="center" wrapText="1"/>
      <protection hidden="1"/>
    </xf>
    <xf numFmtId="0" fontId="61" fillId="0" borderId="53" xfId="0" applyFont="1" applyFill="1" applyBorder="1" applyAlignment="1" applyProtection="1">
      <alignment horizontal="center" vertical="center" wrapText="1"/>
      <protection hidden="1"/>
    </xf>
    <xf numFmtId="0" fontId="61" fillId="0" borderId="54" xfId="0" applyFont="1" applyFill="1" applyBorder="1" applyAlignment="1" applyProtection="1">
      <alignment horizontal="center" vertical="center" wrapText="1"/>
      <protection hidden="1"/>
    </xf>
    <xf numFmtId="0" fontId="61" fillId="0" borderId="55" xfId="0" applyFont="1" applyFill="1" applyBorder="1" applyAlignment="1" applyProtection="1">
      <alignment horizontal="center" vertical="center" wrapText="1"/>
      <protection hidden="1"/>
    </xf>
    <xf numFmtId="0" fontId="61" fillId="0" borderId="56" xfId="0" applyFont="1" applyFill="1" applyBorder="1" applyAlignment="1" applyProtection="1">
      <alignment horizontal="center" vertical="center" wrapText="1"/>
      <protection hidden="1"/>
    </xf>
    <xf numFmtId="0" fontId="63" fillId="0" borderId="128" xfId="0" applyFont="1" applyFill="1" applyBorder="1" applyAlignment="1" applyProtection="1">
      <alignment horizontal="center" vertical="center" textRotation="90" wrapText="1"/>
      <protection hidden="1"/>
    </xf>
    <xf numFmtId="0" fontId="52" fillId="0" borderId="142" xfId="0" applyFont="1" applyFill="1" applyBorder="1" applyAlignment="1" applyProtection="1">
      <alignment horizontal="center" vertical="center" wrapText="1"/>
      <protection hidden="1"/>
    </xf>
    <xf numFmtId="0" fontId="106" fillId="0" borderId="115" xfId="0" applyFont="1" applyFill="1" applyBorder="1" applyAlignment="1" applyProtection="1">
      <alignment horizontal="center" vertical="center" wrapText="1"/>
      <protection hidden="1"/>
    </xf>
    <xf numFmtId="0" fontId="106" fillId="0" borderId="115" xfId="0" applyFont="1" applyFill="1" applyBorder="1" applyAlignment="1" applyProtection="1">
      <alignment horizontal="center" vertical="center" textRotation="90" wrapText="1"/>
      <protection hidden="1"/>
    </xf>
    <xf numFmtId="0" fontId="38" fillId="0" borderId="119" xfId="0" applyFont="1" applyFill="1" applyBorder="1" applyAlignment="1" applyProtection="1">
      <alignment horizontal="center" vertical="center" textRotation="90" wrapText="1"/>
      <protection hidden="1"/>
    </xf>
    <xf numFmtId="0" fontId="9" fillId="0" borderId="251" xfId="0" applyFont="1" applyFill="1" applyBorder="1" applyAlignment="1" applyProtection="1">
      <alignment horizontal="center" wrapText="1"/>
      <protection hidden="1"/>
    </xf>
    <xf numFmtId="0" fontId="129" fillId="0" borderId="117" xfId="0" applyFont="1" applyFill="1" applyBorder="1" applyAlignment="1" applyProtection="1">
      <alignment horizontal="center" vertical="center" wrapText="1"/>
      <protection hidden="1"/>
    </xf>
    <xf numFmtId="0" fontId="273" fillId="0" borderId="128" xfId="0" applyFont="1" applyFill="1" applyBorder="1" applyAlignment="1" applyProtection="1">
      <alignment horizontal="center" vertical="center" textRotation="90" wrapText="1"/>
      <protection hidden="1"/>
    </xf>
    <xf numFmtId="0" fontId="9" fillId="0" borderId="116" xfId="0" applyFont="1" applyFill="1" applyBorder="1" applyAlignment="1" applyProtection="1">
      <alignment horizontal="center" wrapText="1"/>
      <protection hidden="1"/>
    </xf>
    <xf numFmtId="0" fontId="9" fillId="0" borderId="117" xfId="0" applyFont="1" applyFill="1" applyBorder="1" applyAlignment="1" applyProtection="1">
      <alignment horizontal="center" wrapText="1"/>
      <protection hidden="1"/>
    </xf>
    <xf numFmtId="0" fontId="9" fillId="0" borderId="116" xfId="0" applyFont="1" applyFill="1" applyBorder="1" applyAlignment="1" applyProtection="1">
      <alignment horizontal="left" vertical="center" wrapText="1"/>
      <protection hidden="1"/>
    </xf>
    <xf numFmtId="0" fontId="9" fillId="0" borderId="115" xfId="0" applyFont="1" applyFill="1" applyBorder="1" applyAlignment="1" applyProtection="1">
      <alignment horizontal="left" vertical="center" wrapText="1"/>
      <protection hidden="1"/>
    </xf>
    <xf numFmtId="0" fontId="313" fillId="0" borderId="115" xfId="0" applyFont="1" applyFill="1" applyBorder="1" applyAlignment="1" applyProtection="1">
      <alignment horizontal="center" vertical="center" wrapText="1"/>
      <protection hidden="1"/>
    </xf>
    <xf numFmtId="0" fontId="235" fillId="0" borderId="115" xfId="0" applyFont="1" applyFill="1" applyBorder="1" applyAlignment="1" applyProtection="1">
      <alignment horizontal="center" vertical="center" wrapText="1"/>
      <protection hidden="1"/>
    </xf>
    <xf numFmtId="0" fontId="63" fillId="0" borderId="118" xfId="0" applyFont="1" applyFill="1" applyBorder="1" applyAlignment="1" applyProtection="1">
      <alignment horizontal="right" vertical="center" wrapText="1"/>
      <protection hidden="1"/>
    </xf>
    <xf numFmtId="0" fontId="63" fillId="0" borderId="149" xfId="0" applyFont="1" applyFill="1" applyBorder="1" applyAlignment="1" applyProtection="1">
      <alignment horizontal="right" vertical="center" wrapText="1"/>
      <protection hidden="1"/>
    </xf>
    <xf numFmtId="0" fontId="63" fillId="0" borderId="116" xfId="0" applyFont="1" applyFill="1" applyBorder="1" applyAlignment="1" applyProtection="1">
      <alignment horizontal="center" vertical="center" wrapText="1"/>
      <protection hidden="1"/>
    </xf>
    <xf numFmtId="0" fontId="63" fillId="0" borderId="149" xfId="0" applyFont="1" applyFill="1" applyBorder="1" applyAlignment="1" applyProtection="1">
      <alignment horizontal="center" vertical="center" wrapText="1"/>
      <protection hidden="1"/>
    </xf>
    <xf numFmtId="0" fontId="63" fillId="0" borderId="119"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wrapText="1"/>
      <protection hidden="1"/>
    </xf>
    <xf numFmtId="0" fontId="63" fillId="0" borderId="118" xfId="0" applyFont="1" applyFill="1" applyBorder="1" applyAlignment="1" applyProtection="1">
      <alignment horizontal="center" vertical="center" wrapText="1"/>
      <protection hidden="1"/>
    </xf>
    <xf numFmtId="0" fontId="39" fillId="22" borderId="115" xfId="0" applyFont="1" applyFill="1" applyBorder="1" applyAlignment="1" applyProtection="1">
      <alignment horizontal="center" vertical="center" wrapText="1"/>
      <protection hidden="1"/>
    </xf>
    <xf numFmtId="0" fontId="49" fillId="22" borderId="115" xfId="0" applyFont="1" applyFill="1" applyBorder="1" applyAlignment="1" applyProtection="1">
      <alignment horizontal="center" vertical="center" wrapText="1"/>
      <protection hidden="1"/>
    </xf>
    <xf numFmtId="0" fontId="39" fillId="24" borderId="115" xfId="0" applyFont="1" applyFill="1" applyBorder="1" applyAlignment="1" applyProtection="1">
      <alignment horizontal="center" vertical="center" textRotation="90" wrapText="1"/>
      <protection hidden="1"/>
    </xf>
    <xf numFmtId="0" fontId="130" fillId="0" borderId="115" xfId="0" applyFont="1" applyFill="1" applyBorder="1" applyAlignment="1" applyProtection="1">
      <alignment horizontal="center" vertical="center" textRotation="90" wrapText="1"/>
      <protection hidden="1"/>
    </xf>
    <xf numFmtId="0" fontId="39" fillId="27" borderId="115" xfId="0" applyFont="1" applyFill="1" applyBorder="1" applyAlignment="1" applyProtection="1">
      <alignment horizontal="center" vertical="center" wrapText="1"/>
      <protection hidden="1"/>
    </xf>
    <xf numFmtId="0" fontId="328" fillId="0" borderId="248" xfId="0" applyFont="1" applyFill="1" applyBorder="1" applyAlignment="1" applyProtection="1">
      <alignment horizontal="center" vertical="center" wrapText="1"/>
      <protection hidden="1"/>
    </xf>
    <xf numFmtId="0" fontId="328" fillId="0" borderId="117" xfId="0" applyFont="1" applyFill="1" applyBorder="1" applyAlignment="1" applyProtection="1">
      <alignment horizontal="center" vertical="center" wrapText="1"/>
      <protection hidden="1"/>
    </xf>
    <xf numFmtId="0" fontId="273" fillId="18" borderId="115" xfId="0" applyFont="1" applyFill="1" applyBorder="1" applyAlignment="1" applyProtection="1">
      <alignment horizontal="center" vertical="center" wrapText="1"/>
      <protection hidden="1"/>
    </xf>
    <xf numFmtId="0" fontId="288" fillId="19" borderId="254" xfId="0" applyFont="1" applyFill="1" applyBorder="1" applyAlignment="1" applyProtection="1">
      <alignment horizontal="center" vertical="center" wrapText="1"/>
      <protection hidden="1"/>
    </xf>
    <xf numFmtId="0" fontId="288" fillId="19" borderId="255" xfId="0" applyFont="1" applyFill="1" applyBorder="1" applyAlignment="1" applyProtection="1">
      <alignment horizontal="center" vertical="center" wrapText="1"/>
      <protection hidden="1"/>
    </xf>
    <xf numFmtId="0" fontId="288" fillId="19" borderId="256" xfId="0" applyFont="1" applyFill="1" applyBorder="1" applyAlignment="1" applyProtection="1">
      <alignment horizontal="center" vertical="center" wrapText="1"/>
      <protection hidden="1"/>
    </xf>
    <xf numFmtId="0" fontId="38" fillId="18" borderId="115" xfId="0" applyFont="1" applyFill="1" applyBorder="1" applyAlignment="1" applyProtection="1">
      <alignment horizontal="center" vertical="center" wrapText="1"/>
      <protection hidden="1"/>
    </xf>
    <xf numFmtId="0" fontId="97" fillId="0" borderId="122" xfId="0" applyFont="1" applyFill="1" applyBorder="1" applyAlignment="1" applyProtection="1">
      <alignment horizontal="center" vertical="center" wrapText="1"/>
      <protection hidden="1"/>
    </xf>
    <xf numFmtId="0" fontId="97" fillId="0" borderId="127" xfId="0" applyFont="1" applyFill="1" applyBorder="1" applyAlignment="1" applyProtection="1">
      <alignment horizontal="center" vertical="center" wrapText="1"/>
      <protection hidden="1"/>
    </xf>
    <xf numFmtId="0" fontId="71" fillId="7" borderId="120" xfId="0" applyFont="1" applyFill="1" applyBorder="1" applyAlignment="1" applyProtection="1">
      <alignment horizontal="center" vertical="center" wrapText="1"/>
      <protection hidden="1"/>
    </xf>
    <xf numFmtId="0" fontId="71" fillId="7" borderId="121" xfId="0" applyFont="1" applyFill="1" applyBorder="1" applyAlignment="1" applyProtection="1">
      <alignment horizontal="center" vertical="center" wrapText="1"/>
      <protection hidden="1"/>
    </xf>
    <xf numFmtId="0" fontId="71" fillId="7" borderId="149" xfId="0" applyFont="1" applyFill="1" applyBorder="1" applyAlignment="1" applyProtection="1">
      <alignment horizontal="center" vertical="center" wrapText="1"/>
      <protection hidden="1"/>
    </xf>
    <xf numFmtId="0" fontId="177" fillId="0" borderId="120" xfId="0" applyFont="1" applyFill="1" applyBorder="1" applyAlignment="1" applyProtection="1">
      <alignment horizontal="center" vertical="center" textRotation="45" wrapText="1"/>
      <protection hidden="1"/>
    </xf>
    <xf numFmtId="0" fontId="177" fillId="0" borderId="121" xfId="0" applyFont="1" applyFill="1" applyBorder="1" applyAlignment="1" applyProtection="1">
      <alignment horizontal="center" vertical="center" textRotation="45" wrapText="1"/>
      <protection hidden="1"/>
    </xf>
    <xf numFmtId="0" fontId="177" fillId="0" borderId="122" xfId="0" applyFont="1" applyFill="1" applyBorder="1" applyAlignment="1" applyProtection="1">
      <alignment horizontal="center" vertical="center" textRotation="45" wrapText="1"/>
      <protection hidden="1"/>
    </xf>
    <xf numFmtId="0" fontId="177" fillId="0" borderId="123" xfId="0" applyFont="1" applyFill="1" applyBorder="1" applyAlignment="1" applyProtection="1">
      <alignment horizontal="center" vertical="center" textRotation="45" wrapText="1"/>
      <protection hidden="1"/>
    </xf>
    <xf numFmtId="0" fontId="177" fillId="0" borderId="0" xfId="0" applyFont="1" applyFill="1" applyBorder="1" applyAlignment="1" applyProtection="1">
      <alignment horizontal="center" vertical="center" textRotation="45" wrapText="1"/>
      <protection hidden="1"/>
    </xf>
    <xf numFmtId="0" fontId="177" fillId="0" borderId="124" xfId="0" applyFont="1" applyFill="1" applyBorder="1" applyAlignment="1" applyProtection="1">
      <alignment horizontal="center" vertical="center" textRotation="45" wrapText="1"/>
      <protection hidden="1"/>
    </xf>
    <xf numFmtId="0" fontId="177" fillId="0" borderId="125" xfId="0" applyFont="1" applyFill="1" applyBorder="1" applyAlignment="1" applyProtection="1">
      <alignment horizontal="center" vertical="center" textRotation="45" wrapText="1"/>
      <protection hidden="1"/>
    </xf>
    <xf numFmtId="0" fontId="177" fillId="0" borderId="126" xfId="0" applyFont="1" applyFill="1" applyBorder="1" applyAlignment="1" applyProtection="1">
      <alignment horizontal="center" vertical="center" textRotation="45" wrapText="1"/>
      <protection hidden="1"/>
    </xf>
    <xf numFmtId="0" fontId="177" fillId="0" borderId="127" xfId="0" applyFont="1" applyFill="1" applyBorder="1" applyAlignment="1" applyProtection="1">
      <alignment horizontal="center" vertical="center" textRotation="45" wrapText="1"/>
      <protection hidden="1"/>
    </xf>
    <xf numFmtId="0" fontId="321" fillId="0" borderId="1" xfId="0" applyFont="1" applyFill="1" applyBorder="1" applyAlignment="1" applyProtection="1">
      <alignment horizontal="right" wrapText="1"/>
      <protection hidden="1"/>
    </xf>
    <xf numFmtId="0" fontId="24" fillId="18" borderId="115" xfId="0" applyFont="1" applyFill="1" applyBorder="1" applyAlignment="1" applyProtection="1">
      <alignment horizontal="center" vertical="center" wrapText="1"/>
      <protection hidden="1"/>
    </xf>
    <xf numFmtId="0" fontId="95" fillId="0" borderId="115" xfId="0" applyFont="1" applyFill="1" applyBorder="1" applyAlignment="1" applyProtection="1">
      <alignment horizontal="center" vertical="center" wrapText="1"/>
      <protection hidden="1"/>
    </xf>
    <xf numFmtId="0" fontId="9" fillId="18" borderId="115" xfId="0" applyFont="1" applyFill="1" applyBorder="1" applyAlignment="1" applyProtection="1">
      <alignment horizontal="center" vertical="center" wrapText="1"/>
      <protection hidden="1"/>
    </xf>
    <xf numFmtId="0" fontId="52" fillId="18" borderId="115" xfId="0" applyFont="1" applyFill="1" applyBorder="1" applyAlignment="1" applyProtection="1">
      <alignment horizontal="center" vertical="center" wrapText="1"/>
      <protection hidden="1"/>
    </xf>
    <xf numFmtId="0" fontId="63" fillId="18" borderId="115" xfId="0" applyFont="1" applyFill="1" applyBorder="1" applyAlignment="1" applyProtection="1">
      <alignment horizontal="center" vertical="center" wrapText="1"/>
      <protection hidden="1"/>
    </xf>
    <xf numFmtId="0" fontId="273" fillId="0" borderId="1" xfId="0" applyFont="1" applyFill="1" applyBorder="1" applyAlignment="1" applyProtection="1">
      <alignment horizontal="right" wrapText="1"/>
      <protection hidden="1"/>
    </xf>
    <xf numFmtId="0" fontId="97" fillId="18" borderId="118" xfId="0" applyFont="1" applyFill="1" applyBorder="1" applyAlignment="1" applyProtection="1">
      <alignment horizontal="center" vertical="center" wrapText="1"/>
      <protection hidden="1"/>
    </xf>
    <xf numFmtId="0" fontId="97" fillId="18" borderId="119" xfId="0" applyFont="1" applyFill="1" applyBorder="1" applyAlignment="1" applyProtection="1">
      <alignment horizontal="center" vertical="center" wrapText="1"/>
      <protection hidden="1"/>
    </xf>
    <xf numFmtId="0" fontId="326" fillId="18" borderId="118" xfId="0" applyNumberFormat="1" applyFont="1" applyFill="1" applyBorder="1" applyAlignment="1" applyProtection="1">
      <alignment horizontal="center" vertical="center" wrapText="1"/>
      <protection hidden="1"/>
    </xf>
    <xf numFmtId="0" fontId="326" fillId="18" borderId="119" xfId="0" applyNumberFormat="1" applyFont="1" applyFill="1" applyBorder="1" applyAlignment="1" applyProtection="1">
      <alignment horizontal="center" vertical="center" wrapText="1"/>
      <protection hidden="1"/>
    </xf>
    <xf numFmtId="0" fontId="97" fillId="18" borderId="115" xfId="0" applyFont="1" applyFill="1" applyBorder="1" applyAlignment="1" applyProtection="1">
      <alignment horizontal="center" vertical="center" wrapText="1"/>
      <protection hidden="1"/>
    </xf>
    <xf numFmtId="0" fontId="325" fillId="18" borderId="115" xfId="0" applyFont="1" applyFill="1" applyBorder="1" applyAlignment="1" applyProtection="1">
      <alignment horizontal="center" vertical="center" wrapText="1"/>
      <protection hidden="1"/>
    </xf>
    <xf numFmtId="0" fontId="326" fillId="18" borderId="115" xfId="0" applyNumberFormat="1" applyFont="1" applyFill="1" applyBorder="1" applyAlignment="1" applyProtection="1">
      <alignment horizontal="center" vertical="center" wrapText="1"/>
      <protection hidden="1"/>
    </xf>
    <xf numFmtId="0" fontId="96" fillId="18" borderId="115" xfId="0" applyFont="1" applyFill="1" applyBorder="1" applyAlignment="1" applyProtection="1">
      <alignment horizontal="center" wrapText="1"/>
      <protection hidden="1"/>
    </xf>
    <xf numFmtId="0" fontId="9" fillId="0" borderId="117" xfId="0" applyFont="1" applyFill="1" applyBorder="1" applyAlignment="1" applyProtection="1">
      <alignment horizontal="center" vertical="center" wrapText="1"/>
      <protection hidden="1"/>
    </xf>
    <xf numFmtId="0" fontId="23" fillId="0" borderId="115" xfId="0" applyFont="1" applyFill="1" applyBorder="1" applyAlignment="1" applyProtection="1">
      <alignment horizontal="center" vertical="center" wrapText="1"/>
      <protection hidden="1"/>
    </xf>
    <xf numFmtId="0" fontId="23" fillId="0" borderId="257" xfId="0" applyFont="1" applyFill="1" applyBorder="1" applyAlignment="1" applyProtection="1">
      <alignment horizontal="center" vertical="center" wrapText="1"/>
      <protection hidden="1"/>
    </xf>
    <xf numFmtId="0" fontId="315" fillId="0" borderId="115" xfId="0" applyFont="1" applyFill="1" applyBorder="1" applyAlignment="1" applyProtection="1">
      <alignment horizontal="center" vertical="center" textRotation="90" wrapText="1"/>
      <protection hidden="1"/>
    </xf>
    <xf numFmtId="0" fontId="39" fillId="0" borderId="115" xfId="0" applyFont="1" applyFill="1" applyBorder="1" applyAlignment="1" applyProtection="1">
      <alignment horizontal="center" vertical="center" textRotation="90" wrapText="1"/>
      <protection hidden="1"/>
    </xf>
    <xf numFmtId="0" fontId="38" fillId="0" borderId="118" xfId="0" applyFont="1" applyBorder="1" applyAlignment="1" applyProtection="1">
      <alignment horizontal="center" vertical="center" wrapText="1"/>
      <protection hidden="1"/>
    </xf>
    <xf numFmtId="0" fontId="38" fillId="0" borderId="149" xfId="0" applyFont="1" applyBorder="1" applyAlignment="1" applyProtection="1">
      <alignment horizontal="center" vertical="center" wrapText="1"/>
      <protection hidden="1"/>
    </xf>
    <xf numFmtId="0" fontId="63" fillId="0" borderId="118" xfId="0" applyFont="1" applyBorder="1" applyAlignment="1" applyProtection="1">
      <alignment horizontal="center" vertical="center" wrapText="1"/>
      <protection hidden="1"/>
    </xf>
    <xf numFmtId="0" fontId="63" fillId="0" borderId="149" xfId="0" applyFont="1" applyBorder="1" applyAlignment="1" applyProtection="1">
      <alignment horizontal="center" vertical="center" wrapText="1"/>
      <protection hidden="1"/>
    </xf>
    <xf numFmtId="0" fontId="9" fillId="0" borderId="118" xfId="0" applyFont="1" applyBorder="1" applyAlignment="1" applyProtection="1">
      <alignment horizontal="center" vertical="center" wrapText="1"/>
      <protection hidden="1"/>
    </xf>
    <xf numFmtId="0" fontId="9" fillId="0" borderId="149" xfId="0" applyFont="1" applyBorder="1" applyAlignment="1" applyProtection="1">
      <alignment horizontal="center" vertical="center" wrapText="1"/>
      <protection hidden="1"/>
    </xf>
    <xf numFmtId="0" fontId="72" fillId="0" borderId="120" xfId="0" applyFont="1" applyBorder="1" applyAlignment="1" applyProtection="1">
      <alignment horizontal="center" wrapText="1"/>
      <protection hidden="1"/>
    </xf>
    <xf numFmtId="0" fontId="72" fillId="0" borderId="121" xfId="0" applyFont="1" applyBorder="1" applyAlignment="1" applyProtection="1">
      <alignment horizontal="center" wrapText="1"/>
      <protection hidden="1"/>
    </xf>
    <xf numFmtId="0" fontId="72" fillId="0" borderId="123" xfId="0" applyFont="1" applyBorder="1" applyAlignment="1" applyProtection="1">
      <alignment horizontal="center" wrapText="1"/>
      <protection hidden="1"/>
    </xf>
    <xf numFmtId="0" fontId="72" fillId="0" borderId="0" xfId="0" applyFont="1" applyBorder="1" applyAlignment="1" applyProtection="1">
      <alignment horizontal="center" wrapText="1"/>
      <protection hidden="1"/>
    </xf>
    <xf numFmtId="0" fontId="72" fillId="0" borderId="125" xfId="0" applyFont="1" applyBorder="1" applyAlignment="1" applyProtection="1">
      <alignment horizontal="center" wrapText="1"/>
      <protection hidden="1"/>
    </xf>
    <xf numFmtId="0" fontId="72" fillId="0" borderId="126" xfId="0" applyFont="1" applyBorder="1" applyAlignment="1" applyProtection="1">
      <alignment horizontal="center" wrapText="1"/>
      <protection hidden="1"/>
    </xf>
    <xf numFmtId="172" fontId="64" fillId="0" borderId="118" xfId="0" applyNumberFormat="1" applyFont="1" applyFill="1" applyBorder="1" applyAlignment="1" applyProtection="1">
      <alignment horizontal="center" vertical="center" wrapText="1"/>
      <protection hidden="1"/>
    </xf>
    <xf numFmtId="172" fontId="64" fillId="0" borderId="149" xfId="0" applyNumberFormat="1" applyFont="1" applyFill="1" applyBorder="1" applyAlignment="1" applyProtection="1">
      <alignment horizontal="center" vertical="center" wrapText="1"/>
      <protection hidden="1"/>
    </xf>
    <xf numFmtId="0" fontId="63" fillId="0" borderId="118" xfId="0" applyFont="1" applyBorder="1" applyAlignment="1" applyProtection="1">
      <alignment horizontal="center" wrapText="1"/>
      <protection hidden="1"/>
    </xf>
    <xf numFmtId="0" fontId="63" fillId="0" borderId="149" xfId="0" applyFont="1" applyBorder="1" applyAlignment="1" applyProtection="1">
      <alignment horizontal="center" wrapText="1"/>
      <protection hidden="1"/>
    </xf>
    <xf numFmtId="0" fontId="281" fillId="0" borderId="121" xfId="0" applyFont="1" applyFill="1" applyBorder="1" applyAlignment="1" applyProtection="1">
      <alignment horizontal="center" vertical="center" wrapText="1"/>
      <protection hidden="1"/>
    </xf>
    <xf numFmtId="0" fontId="281" fillId="0" borderId="126" xfId="0" applyFont="1" applyFill="1" applyBorder="1" applyAlignment="1" applyProtection="1">
      <alignment horizontal="center" vertical="center" wrapText="1"/>
      <protection hidden="1"/>
    </xf>
    <xf numFmtId="0" fontId="45" fillId="18" borderId="115" xfId="0" applyNumberFormat="1" applyFont="1" applyFill="1" applyBorder="1" applyAlignment="1" applyProtection="1">
      <alignment horizontal="center" vertical="center" wrapText="1"/>
      <protection hidden="1"/>
    </xf>
    <xf numFmtId="0" fontId="327" fillId="18" borderId="115" xfId="0" applyFont="1" applyFill="1" applyBorder="1" applyAlignment="1" applyProtection="1">
      <alignment horizontal="center" wrapText="1"/>
      <protection hidden="1"/>
    </xf>
    <xf numFmtId="172" fontId="241" fillId="0" borderId="115" xfId="0" applyNumberFormat="1" applyFont="1" applyFill="1" applyBorder="1" applyAlignment="1" applyProtection="1">
      <alignment horizontal="center" vertical="center" wrapText="1"/>
      <protection hidden="1"/>
    </xf>
    <xf numFmtId="172" fontId="241" fillId="0" borderId="257" xfId="0" applyNumberFormat="1" applyFont="1" applyFill="1" applyBorder="1" applyAlignment="1" applyProtection="1">
      <alignment horizontal="center" vertical="center" wrapText="1"/>
      <protection hidden="1"/>
    </xf>
    <xf numFmtId="0" fontId="240" fillId="0" borderId="115" xfId="0" applyFont="1" applyFill="1" applyBorder="1" applyAlignment="1" applyProtection="1">
      <alignment horizontal="center" vertical="center" wrapText="1"/>
      <protection hidden="1"/>
    </xf>
    <xf numFmtId="0" fontId="240" fillId="0" borderId="257" xfId="0" applyFont="1" applyFill="1" applyBorder="1" applyAlignment="1" applyProtection="1">
      <alignment horizontal="center" vertical="center" wrapText="1"/>
      <protection hidden="1"/>
    </xf>
    <xf numFmtId="0" fontId="321" fillId="0" borderId="250" xfId="0" applyFont="1" applyFill="1" applyBorder="1" applyAlignment="1" applyProtection="1">
      <alignment horizontal="center" vertical="center" wrapText="1"/>
      <protection hidden="1"/>
    </xf>
    <xf numFmtId="0" fontId="321" fillId="0" borderId="251" xfId="0" applyFont="1" applyFill="1" applyBorder="1" applyAlignment="1" applyProtection="1">
      <alignment horizontal="center" vertical="center" wrapText="1"/>
      <protection hidden="1"/>
    </xf>
    <xf numFmtId="0" fontId="321" fillId="0" borderId="309" xfId="0" applyFont="1" applyFill="1" applyBorder="1" applyAlignment="1" applyProtection="1">
      <alignment horizontal="right" wrapText="1"/>
      <protection hidden="1"/>
    </xf>
    <xf numFmtId="0" fontId="273" fillId="0" borderId="309" xfId="0" applyFont="1" applyFill="1" applyBorder="1" applyAlignment="1" applyProtection="1">
      <alignment horizontal="right" wrapText="1"/>
      <protection hidden="1"/>
    </xf>
    <xf numFmtId="0" fontId="38" fillId="0" borderId="305" xfId="0" applyFont="1" applyFill="1" applyBorder="1" applyAlignment="1" applyProtection="1">
      <alignment horizontal="center" vertical="center" wrapText="1"/>
      <protection hidden="1"/>
    </xf>
    <xf numFmtId="0" fontId="38" fillId="0" borderId="318" xfId="0" applyFont="1" applyFill="1" applyBorder="1" applyAlignment="1" applyProtection="1">
      <alignment horizontal="center" vertical="center" wrapText="1"/>
      <protection hidden="1"/>
    </xf>
    <xf numFmtId="0" fontId="38" fillId="0" borderId="319" xfId="0" applyFont="1" applyFill="1" applyBorder="1" applyAlignment="1" applyProtection="1">
      <alignment horizontal="center" vertical="center" wrapText="1"/>
      <protection hidden="1"/>
    </xf>
    <xf numFmtId="0" fontId="49" fillId="9" borderId="305" xfId="0" applyFont="1" applyFill="1" applyBorder="1" applyAlignment="1" applyProtection="1">
      <alignment horizontal="center" vertical="center" wrapText="1"/>
      <protection hidden="1"/>
    </xf>
    <xf numFmtId="0" fontId="20" fillId="0" borderId="306" xfId="0" applyFont="1" applyFill="1" applyBorder="1" applyAlignment="1" applyProtection="1">
      <alignment horizontal="center" vertical="center" wrapText="1"/>
      <protection hidden="1"/>
    </xf>
    <xf numFmtId="0" fontId="20" fillId="0" borderId="307" xfId="0" applyFont="1" applyFill="1" applyBorder="1" applyAlignment="1" applyProtection="1">
      <alignment horizontal="center" vertical="center" wrapText="1"/>
      <protection hidden="1"/>
    </xf>
    <xf numFmtId="0" fontId="20" fillId="0" borderId="308" xfId="0" applyFont="1" applyFill="1" applyBorder="1" applyAlignment="1" applyProtection="1">
      <alignment horizontal="center" vertical="center" wrapText="1"/>
      <protection hidden="1"/>
    </xf>
    <xf numFmtId="0" fontId="20" fillId="0" borderId="311" xfId="0" applyFont="1" applyFill="1" applyBorder="1" applyAlignment="1" applyProtection="1">
      <alignment horizontal="center" vertical="center" wrapText="1"/>
      <protection hidden="1"/>
    </xf>
    <xf numFmtId="0" fontId="20" fillId="0" borderId="312" xfId="0" applyFont="1" applyFill="1" applyBorder="1" applyAlignment="1" applyProtection="1">
      <alignment horizontal="center" vertical="center" wrapText="1"/>
      <protection hidden="1"/>
    </xf>
    <xf numFmtId="0" fontId="20" fillId="0" borderId="313" xfId="0" applyFont="1" applyFill="1" applyBorder="1" applyAlignment="1" applyProtection="1">
      <alignment horizontal="center" vertical="center" wrapText="1"/>
      <protection hidden="1"/>
    </xf>
    <xf numFmtId="0" fontId="20" fillId="0" borderId="315" xfId="0" applyFont="1" applyFill="1" applyBorder="1" applyAlignment="1" applyProtection="1">
      <alignment horizontal="center" vertical="center" wrapText="1"/>
      <protection hidden="1"/>
    </xf>
    <xf numFmtId="0" fontId="20" fillId="0" borderId="316" xfId="0" applyFont="1" applyFill="1" applyBorder="1" applyAlignment="1" applyProtection="1">
      <alignment horizontal="center" vertical="center" wrapText="1"/>
      <protection hidden="1"/>
    </xf>
    <xf numFmtId="0" fontId="124" fillId="3" borderId="310" xfId="0" applyFont="1" applyFill="1" applyBorder="1" applyAlignment="1" applyProtection="1">
      <alignment horizontal="center" vertical="center" wrapText="1"/>
      <protection hidden="1"/>
    </xf>
    <xf numFmtId="0" fontId="124" fillId="3" borderId="314" xfId="0" applyFont="1" applyFill="1" applyBorder="1" applyAlignment="1" applyProtection="1">
      <alignment horizontal="center" vertical="center" wrapText="1"/>
      <protection hidden="1"/>
    </xf>
    <xf numFmtId="0" fontId="124" fillId="3" borderId="317" xfId="0" applyFont="1" applyFill="1" applyBorder="1" applyAlignment="1" applyProtection="1">
      <alignment horizontal="center" vertical="center" wrapText="1"/>
      <protection hidden="1"/>
    </xf>
    <xf numFmtId="0" fontId="321" fillId="0" borderId="323" xfId="0" applyFont="1" applyFill="1" applyBorder="1" applyAlignment="1" applyProtection="1">
      <alignment horizontal="right" wrapText="1"/>
      <protection hidden="1"/>
    </xf>
    <xf numFmtId="0" fontId="380" fillId="0" borderId="309" xfId="0" applyFont="1" applyFill="1" applyBorder="1" applyAlignment="1" applyProtection="1">
      <alignment horizontal="center" vertical="center" wrapText="1"/>
      <protection hidden="1"/>
    </xf>
    <xf numFmtId="0" fontId="384" fillId="0" borderId="309" xfId="0" applyFont="1" applyFill="1" applyBorder="1" applyAlignment="1" applyProtection="1">
      <alignment horizontal="center" vertical="center" wrapText="1"/>
      <protection hidden="1"/>
    </xf>
    <xf numFmtId="172" fontId="121" fillId="0" borderId="309" xfId="0" applyNumberFormat="1" applyFont="1" applyFill="1" applyBorder="1" applyAlignment="1" applyProtection="1">
      <alignment horizontal="center" vertical="center" wrapText="1"/>
      <protection hidden="1"/>
    </xf>
    <xf numFmtId="0" fontId="378" fillId="0" borderId="0" xfId="0" applyFont="1" applyAlignment="1" applyProtection="1">
      <alignment horizontal="center"/>
      <protection hidden="1"/>
    </xf>
    <xf numFmtId="0" fontId="373" fillId="3" borderId="322" xfId="0" applyFont="1" applyFill="1" applyBorder="1" applyAlignment="1" applyProtection="1">
      <alignment horizontal="center" vertical="center" textRotation="90" wrapText="1" shrinkToFit="1"/>
      <protection hidden="1"/>
    </xf>
    <xf numFmtId="0" fontId="373" fillId="3" borderId="304" xfId="0" applyFont="1" applyFill="1" applyBorder="1" applyAlignment="1" applyProtection="1">
      <alignment horizontal="center" vertical="center" textRotation="90" wrapText="1" shrinkToFit="1"/>
      <protection hidden="1"/>
    </xf>
    <xf numFmtId="0" fontId="73" fillId="3" borderId="321" xfId="0" applyFont="1" applyFill="1" applyBorder="1" applyAlignment="1" applyProtection="1">
      <alignment horizontal="center" vertical="center" textRotation="90" wrapText="1"/>
      <protection hidden="1"/>
    </xf>
    <xf numFmtId="0" fontId="73" fillId="3" borderId="304" xfId="0" applyFont="1" applyFill="1" applyBorder="1" applyAlignment="1" applyProtection="1">
      <alignment horizontal="center" vertical="center" textRotation="90" wrapText="1"/>
      <protection hidden="1"/>
    </xf>
    <xf numFmtId="0" fontId="38" fillId="3" borderId="304" xfId="0" applyFont="1" applyFill="1" applyBorder="1" applyAlignment="1" applyProtection="1">
      <alignment horizontal="center" vertical="center" textRotation="90" wrapText="1"/>
      <protection hidden="1"/>
    </xf>
    <xf numFmtId="0" fontId="282" fillId="3" borderId="309" xfId="0" applyFont="1" applyFill="1" applyBorder="1" applyAlignment="1" applyProtection="1">
      <alignment horizontal="center" vertical="center" wrapText="1" shrinkToFit="1"/>
      <protection hidden="1"/>
    </xf>
    <xf numFmtId="0" fontId="261" fillId="3" borderId="304" xfId="0" applyFont="1" applyFill="1" applyBorder="1" applyAlignment="1" applyProtection="1">
      <alignment horizontal="center" vertical="center" textRotation="90"/>
      <protection hidden="1"/>
    </xf>
    <xf numFmtId="0" fontId="261" fillId="3" borderId="304" xfId="0" applyFont="1" applyFill="1" applyBorder="1" applyAlignment="1" applyProtection="1">
      <alignment vertical="center"/>
      <protection hidden="1"/>
    </xf>
    <xf numFmtId="0" fontId="30" fillId="0" borderId="0" xfId="0" applyFont="1" applyAlignment="1" applyProtection="1">
      <alignment horizontal="center" vertical="center" wrapText="1"/>
      <protection hidden="1"/>
    </xf>
    <xf numFmtId="0" fontId="6" fillId="41" borderId="0" xfId="0" applyFont="1" applyFill="1" applyBorder="1" applyAlignment="1" applyProtection="1">
      <alignment horizontal="center" vertical="center" wrapText="1"/>
      <protection hidden="1"/>
    </xf>
    <xf numFmtId="0" fontId="273" fillId="0" borderId="304" xfId="0" applyFont="1" applyFill="1" applyBorder="1" applyAlignment="1" applyProtection="1">
      <alignment horizontal="center" vertical="center" wrapText="1"/>
      <protection hidden="1"/>
    </xf>
    <xf numFmtId="0" fontId="273" fillId="0" borderId="320" xfId="0" applyFont="1" applyFill="1" applyBorder="1" applyAlignment="1" applyProtection="1">
      <alignment horizontal="center" vertical="center" wrapText="1"/>
      <protection hidden="1"/>
    </xf>
    <xf numFmtId="0" fontId="38" fillId="0" borderId="305" xfId="0" applyFont="1" applyBorder="1" applyAlignment="1" applyProtection="1">
      <alignment horizontal="center" vertical="center" textRotation="90" wrapText="1"/>
      <protection hidden="1"/>
    </xf>
    <xf numFmtId="0" fontId="38" fillId="0" borderId="318" xfId="0" applyFont="1" applyBorder="1" applyAlignment="1" applyProtection="1">
      <alignment horizontal="center" vertical="center" textRotation="90" wrapText="1"/>
      <protection hidden="1"/>
    </xf>
    <xf numFmtId="0" fontId="38" fillId="0" borderId="319" xfId="0" applyFont="1" applyBorder="1" applyAlignment="1" applyProtection="1">
      <alignment horizontal="center" vertical="center" textRotation="90" wrapText="1"/>
      <protection hidden="1"/>
    </xf>
    <xf numFmtId="0" fontId="370" fillId="0" borderId="0" xfId="0" applyFont="1" applyBorder="1" applyAlignment="1" applyProtection="1">
      <alignment horizontal="center" vertical="center"/>
      <protection hidden="1"/>
    </xf>
    <xf numFmtId="0" fontId="192" fillId="0" borderId="0" xfId="0" applyFont="1" applyBorder="1" applyAlignment="1" applyProtection="1">
      <alignment horizontal="center" vertical="center"/>
      <protection hidden="1"/>
    </xf>
    <xf numFmtId="0" fontId="172" fillId="0" borderId="0" xfId="0" applyFont="1" applyBorder="1" applyAlignment="1" applyProtection="1">
      <alignment horizontal="right" vertical="center"/>
      <protection hidden="1"/>
    </xf>
    <xf numFmtId="0" fontId="38" fillId="0" borderId="305" xfId="0" applyFont="1" applyFill="1" applyBorder="1" applyAlignment="1" applyProtection="1">
      <alignment horizontal="center" vertical="center" textRotation="90" wrapText="1"/>
      <protection hidden="1"/>
    </xf>
    <xf numFmtId="0" fontId="38" fillId="0" borderId="318" xfId="0" applyFont="1" applyFill="1" applyBorder="1" applyAlignment="1" applyProtection="1">
      <alignment horizontal="center" vertical="center" textRotation="90" wrapText="1"/>
      <protection hidden="1"/>
    </xf>
    <xf numFmtId="0" fontId="38" fillId="0" borderId="319" xfId="0" applyFont="1" applyFill="1" applyBorder="1" applyAlignment="1" applyProtection="1">
      <alignment horizontal="center" vertical="center" textRotation="90" wrapText="1"/>
      <protection hidden="1"/>
    </xf>
    <xf numFmtId="0" fontId="290" fillId="0" borderId="0" xfId="0" applyFont="1" applyBorder="1" applyAlignment="1" applyProtection="1">
      <alignment horizontal="left" vertical="center"/>
      <protection hidden="1"/>
    </xf>
    <xf numFmtId="0" fontId="371" fillId="12" borderId="0" xfId="0" applyFont="1" applyFill="1" applyBorder="1" applyAlignment="1" applyProtection="1">
      <alignment horizontal="center" vertical="center"/>
      <protection locked="0"/>
    </xf>
    <xf numFmtId="0" fontId="49" fillId="0" borderId="309" xfId="0" applyFont="1" applyFill="1" applyBorder="1" applyAlignment="1" applyProtection="1">
      <alignment horizontal="center" vertical="center" wrapText="1"/>
      <protection hidden="1"/>
    </xf>
    <xf numFmtId="0" fontId="121" fillId="0" borderId="309" xfId="0" applyFont="1" applyFill="1" applyBorder="1" applyAlignment="1" applyProtection="1">
      <alignment horizontal="center" vertical="center" wrapText="1"/>
      <protection hidden="1"/>
    </xf>
    <xf numFmtId="0" fontId="288" fillId="3" borderId="309" xfId="0" applyFont="1" applyFill="1" applyBorder="1" applyAlignment="1" applyProtection="1">
      <alignment horizontal="center" vertical="center" wrapText="1"/>
      <protection hidden="1"/>
    </xf>
    <xf numFmtId="0" fontId="234" fillId="0" borderId="52" xfId="0" applyFont="1" applyBorder="1" applyAlignment="1" applyProtection="1">
      <alignment horizontal="left" vertical="center"/>
      <protection hidden="1"/>
    </xf>
    <xf numFmtId="0" fontId="234" fillId="0" borderId="0" xfId="0" applyFont="1" applyBorder="1" applyAlignment="1" applyProtection="1">
      <alignment horizontal="left" vertical="center"/>
      <protection hidden="1"/>
    </xf>
    <xf numFmtId="0" fontId="234" fillId="0" borderId="55" xfId="0" applyFont="1" applyBorder="1" applyAlignment="1" applyProtection="1">
      <alignment horizontal="left" vertical="center"/>
      <protection hidden="1"/>
    </xf>
    <xf numFmtId="0" fontId="234" fillId="0" borderId="52" xfId="0" applyFont="1" applyBorder="1" applyAlignment="1" applyProtection="1">
      <alignment horizontal="center" vertical="center"/>
      <protection hidden="1"/>
    </xf>
    <xf numFmtId="0" fontId="234" fillId="0" borderId="0" xfId="0" applyFont="1" applyBorder="1" applyAlignment="1" applyProtection="1">
      <alignment horizontal="center" vertical="center"/>
      <protection hidden="1"/>
    </xf>
    <xf numFmtId="0" fontId="234" fillId="0" borderId="55" xfId="0" applyFont="1" applyBorder="1" applyAlignment="1" applyProtection="1">
      <alignment horizontal="center" vertical="center"/>
      <protection hidden="1"/>
    </xf>
    <xf numFmtId="0" fontId="9" fillId="0" borderId="52"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55" xfId="0" applyFont="1" applyBorder="1" applyAlignment="1" applyProtection="1">
      <alignment horizontal="center" vertical="center"/>
      <protection hidden="1"/>
    </xf>
    <xf numFmtId="0" fontId="41" fillId="0" borderId="53" xfId="0" applyFont="1" applyBorder="1" applyAlignment="1" applyProtection="1">
      <alignment horizontal="left" vertical="center"/>
      <protection hidden="1"/>
    </xf>
    <xf numFmtId="0" fontId="41" fillId="0" borderId="151" xfId="0" applyFont="1" applyBorder="1" applyAlignment="1" applyProtection="1">
      <alignment horizontal="left" vertical="center"/>
      <protection hidden="1"/>
    </xf>
    <xf numFmtId="0" fontId="41" fillId="0" borderId="56" xfId="0" applyFont="1" applyBorder="1" applyAlignment="1" applyProtection="1">
      <alignment horizontal="left" vertical="center"/>
      <protection hidden="1"/>
    </xf>
    <xf numFmtId="0" fontId="330" fillId="0" borderId="0" xfId="0" applyFont="1" applyBorder="1" applyAlignment="1" applyProtection="1">
      <alignment horizontal="center" vertical="center"/>
      <protection hidden="1"/>
    </xf>
    <xf numFmtId="0" fontId="173" fillId="0" borderId="147" xfId="0" applyFont="1" applyBorder="1" applyAlignment="1" applyProtection="1">
      <alignment horizontal="center" vertical="center"/>
      <protection hidden="1"/>
    </xf>
    <xf numFmtId="0" fontId="12" fillId="0" borderId="50" xfId="0" applyFont="1" applyBorder="1" applyAlignment="1" applyProtection="1">
      <alignment horizontal="center" vertical="center"/>
      <protection hidden="1"/>
    </xf>
    <xf numFmtId="0" fontId="63" fillId="0" borderId="51" xfId="0" applyFont="1" applyBorder="1" applyAlignment="1" applyProtection="1">
      <alignment horizontal="right" vertical="center"/>
      <protection hidden="1"/>
    </xf>
    <xf numFmtId="0" fontId="63" fillId="0" borderId="52" xfId="0" applyFont="1" applyBorder="1" applyAlignment="1" applyProtection="1">
      <alignment horizontal="right" vertical="center"/>
      <protection hidden="1"/>
    </xf>
    <xf numFmtId="0" fontId="63" fillId="0" borderId="150" xfId="0" applyFont="1" applyBorder="1" applyAlignment="1" applyProtection="1">
      <alignment horizontal="right" vertical="center"/>
      <protection hidden="1"/>
    </xf>
    <xf numFmtId="0" fontId="63" fillId="0" borderId="0" xfId="0" applyFont="1" applyBorder="1" applyAlignment="1" applyProtection="1">
      <alignment horizontal="right" vertical="center"/>
      <protection hidden="1"/>
    </xf>
    <xf numFmtId="0" fontId="63" fillId="0" borderId="54" xfId="0" applyFont="1" applyBorder="1" applyAlignment="1" applyProtection="1">
      <alignment horizontal="right" vertical="center"/>
      <protection hidden="1"/>
    </xf>
    <xf numFmtId="0" fontId="63" fillId="0" borderId="55" xfId="0" applyFont="1" applyBorder="1" applyAlignment="1" applyProtection="1">
      <alignment horizontal="right" vertical="center"/>
      <protection hidden="1"/>
    </xf>
    <xf numFmtId="0" fontId="63" fillId="0" borderId="50" xfId="0" applyFont="1" applyFill="1" applyBorder="1" applyAlignment="1" applyProtection="1">
      <alignment horizontal="center" vertical="center" wrapText="1"/>
      <protection hidden="1"/>
    </xf>
    <xf numFmtId="0" fontId="261" fillId="0" borderId="147" xfId="0" applyFont="1" applyBorder="1" applyAlignment="1" applyProtection="1">
      <alignment horizontal="center" vertical="center" textRotation="90" wrapText="1"/>
      <protection hidden="1"/>
    </xf>
    <xf numFmtId="0" fontId="261" fillId="0" borderId="162" xfId="0" applyFont="1" applyBorder="1" applyAlignment="1" applyProtection="1">
      <alignment horizontal="center" vertical="center" textRotation="90" wrapText="1"/>
      <protection hidden="1"/>
    </xf>
    <xf numFmtId="0" fontId="261" fillId="0" borderId="148" xfId="0" applyFont="1" applyBorder="1" applyAlignment="1" applyProtection="1">
      <alignment horizontal="center" vertical="center" textRotation="90" wrapText="1"/>
      <protection hidden="1"/>
    </xf>
    <xf numFmtId="0" fontId="38" fillId="0" borderId="51" xfId="0" applyFont="1" applyFill="1" applyBorder="1" applyAlignment="1" applyProtection="1">
      <alignment horizontal="center" vertical="center" wrapText="1"/>
      <protection hidden="1"/>
    </xf>
    <xf numFmtId="0" fontId="38" fillId="0" borderId="52" xfId="0" applyFont="1" applyFill="1" applyBorder="1" applyAlignment="1" applyProtection="1">
      <alignment horizontal="center" vertical="center" wrapText="1"/>
      <protection hidden="1"/>
    </xf>
    <xf numFmtId="0" fontId="38" fillId="0" borderId="150"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0" fontId="38" fillId="0" borderId="54" xfId="0" applyFont="1" applyFill="1" applyBorder="1" applyAlignment="1" applyProtection="1">
      <alignment horizontal="center" vertical="center" wrapText="1"/>
      <protection hidden="1"/>
    </xf>
    <xf numFmtId="0" fontId="38" fillId="0" borderId="55" xfId="0" applyFont="1" applyFill="1" applyBorder="1" applyAlignment="1" applyProtection="1">
      <alignment horizontal="center" vertical="center" wrapText="1"/>
      <protection hidden="1"/>
    </xf>
    <xf numFmtId="2" fontId="38" fillId="0" borderId="50" xfId="0" applyNumberFormat="1" applyFont="1" applyFill="1" applyBorder="1" applyAlignment="1" applyProtection="1">
      <alignment horizontal="center" vertical="center" wrapText="1"/>
      <protection hidden="1"/>
    </xf>
    <xf numFmtId="0" fontId="38" fillId="0" borderId="50" xfId="0" applyFont="1" applyFill="1" applyBorder="1" applyAlignment="1" applyProtection="1">
      <alignment horizontal="center" vertical="center" wrapText="1"/>
      <protection hidden="1"/>
    </xf>
    <xf numFmtId="0" fontId="79" fillId="0" borderId="0" xfId="0" applyFont="1" applyFill="1" applyBorder="1" applyAlignment="1" applyProtection="1">
      <alignment horizontal="center" vertical="center" wrapText="1"/>
      <protection hidden="1"/>
    </xf>
    <xf numFmtId="0" fontId="38" fillId="0" borderId="50" xfId="0" applyFont="1" applyFill="1" applyBorder="1" applyAlignment="1" applyProtection="1">
      <alignment horizontal="right" vertical="center" wrapText="1"/>
      <protection hidden="1"/>
    </xf>
    <xf numFmtId="0" fontId="31" fillId="0" borderId="50" xfId="0" applyFont="1" applyFill="1" applyBorder="1" applyAlignment="1" applyProtection="1">
      <alignment horizontal="center" wrapText="1"/>
      <protection hidden="1"/>
    </xf>
    <xf numFmtId="0" fontId="183" fillId="0" borderId="61" xfId="0" applyFont="1" applyFill="1" applyBorder="1" applyAlignment="1" applyProtection="1">
      <alignment horizontal="right" vertical="center" wrapText="1"/>
      <protection hidden="1"/>
    </xf>
    <xf numFmtId="0" fontId="183" fillId="0" borderId="62" xfId="0" applyFont="1" applyFill="1" applyBorder="1" applyAlignment="1" applyProtection="1">
      <alignment horizontal="right" vertical="center" wrapText="1"/>
      <protection hidden="1"/>
    </xf>
    <xf numFmtId="0" fontId="183" fillId="0" borderId="55" xfId="0" applyFont="1" applyFill="1" applyBorder="1" applyAlignment="1" applyProtection="1">
      <alignment horizontal="right" vertical="center" wrapText="1"/>
      <protection hidden="1"/>
    </xf>
    <xf numFmtId="0" fontId="183" fillId="0" borderId="56" xfId="0" applyFont="1" applyFill="1" applyBorder="1" applyAlignment="1" applyProtection="1">
      <alignment horizontal="right" vertical="center" wrapText="1"/>
      <protection hidden="1"/>
    </xf>
    <xf numFmtId="0" fontId="38" fillId="0" borderId="61" xfId="0" applyFont="1" applyFill="1" applyBorder="1" applyAlignment="1" applyProtection="1">
      <alignment horizontal="right" vertical="center" wrapText="1"/>
      <protection hidden="1"/>
    </xf>
    <xf numFmtId="0" fontId="111" fillId="0" borderId="61" xfId="0" applyFont="1" applyFill="1" applyBorder="1" applyAlignment="1" applyProtection="1">
      <alignment horizontal="center" vertical="center" wrapText="1"/>
      <protection hidden="1"/>
    </xf>
    <xf numFmtId="0" fontId="111" fillId="0" borderId="62" xfId="0" applyFont="1" applyFill="1" applyBorder="1" applyAlignment="1" applyProtection="1">
      <alignment horizontal="center" vertical="center" wrapText="1"/>
      <protection hidden="1"/>
    </xf>
    <xf numFmtId="0" fontId="111" fillId="0" borderId="63" xfId="0" applyFont="1" applyFill="1" applyBorder="1" applyAlignment="1" applyProtection="1">
      <alignment horizontal="center" vertical="center" wrapText="1"/>
      <protection hidden="1"/>
    </xf>
    <xf numFmtId="0" fontId="20" fillId="0" borderId="164" xfId="0" applyFont="1" applyBorder="1" applyAlignment="1" applyProtection="1">
      <alignment horizontal="center" vertical="center" wrapText="1"/>
      <protection hidden="1"/>
    </xf>
    <xf numFmtId="0" fontId="20" fillId="0" borderId="151" xfId="0" applyFont="1" applyBorder="1" applyAlignment="1" applyProtection="1">
      <alignment horizontal="center" vertical="center" wrapText="1"/>
      <protection hidden="1"/>
    </xf>
    <xf numFmtId="0" fontId="20" fillId="0" borderId="56" xfId="0" applyFont="1" applyBorder="1" applyAlignment="1" applyProtection="1">
      <alignment horizontal="center" vertical="center" wrapText="1"/>
      <protection hidden="1"/>
    </xf>
    <xf numFmtId="0" fontId="331" fillId="0" borderId="154" xfId="0" applyFont="1" applyFill="1" applyBorder="1" applyAlignment="1" applyProtection="1">
      <alignment horizontal="right" vertical="center" wrapText="1"/>
      <protection hidden="1"/>
    </xf>
    <xf numFmtId="0" fontId="63" fillId="0" borderId="154" xfId="0" applyFont="1" applyFill="1" applyBorder="1" applyAlignment="1" applyProtection="1">
      <alignment horizontal="right" vertical="center" wrapText="1"/>
      <protection hidden="1"/>
    </xf>
    <xf numFmtId="2" fontId="38" fillId="0" borderId="50" xfId="0" applyNumberFormat="1" applyFont="1" applyFill="1" applyBorder="1" applyAlignment="1" applyProtection="1">
      <alignment horizontal="center" vertical="center" textRotation="90" wrapText="1"/>
      <protection hidden="1"/>
    </xf>
    <xf numFmtId="0" fontId="273" fillId="0" borderId="50" xfId="0" applyFont="1" applyFill="1" applyBorder="1" applyAlignment="1" applyProtection="1">
      <alignment horizontal="center" vertical="center" textRotation="90" wrapText="1"/>
      <protection hidden="1"/>
    </xf>
    <xf numFmtId="0" fontId="273" fillId="0" borderId="147" xfId="0" applyFont="1" applyFill="1" applyBorder="1" applyAlignment="1" applyProtection="1">
      <alignment horizontal="center" vertical="center" wrapText="1"/>
      <protection hidden="1"/>
    </xf>
    <xf numFmtId="0" fontId="273" fillId="0" borderId="148" xfId="0" applyFont="1" applyFill="1" applyBorder="1" applyAlignment="1" applyProtection="1">
      <alignment horizontal="center" vertical="center" wrapText="1"/>
      <protection hidden="1"/>
    </xf>
    <xf numFmtId="0" fontId="273" fillId="0" borderId="50" xfId="0" applyFont="1" applyFill="1" applyBorder="1" applyAlignment="1" applyProtection="1">
      <alignment horizontal="center" vertical="center" wrapText="1"/>
      <protection hidden="1"/>
    </xf>
    <xf numFmtId="0" fontId="38" fillId="0" borderId="147" xfId="0" applyFont="1" applyFill="1" applyBorder="1" applyAlignment="1" applyProtection="1">
      <alignment horizontal="center" vertical="center" textRotation="90" wrapText="1"/>
      <protection hidden="1"/>
    </xf>
    <xf numFmtId="0" fontId="38" fillId="0" borderId="148" xfId="0" applyFont="1" applyFill="1" applyBorder="1" applyAlignment="1" applyProtection="1">
      <alignment horizontal="center" vertical="center" textRotation="90" wrapText="1"/>
      <protection hidden="1"/>
    </xf>
    <xf numFmtId="0" fontId="38" fillId="0" borderId="147" xfId="0" applyFont="1" applyFill="1" applyBorder="1" applyAlignment="1" applyProtection="1">
      <alignment horizontal="center" vertical="center" wrapText="1"/>
      <protection hidden="1"/>
    </xf>
    <xf numFmtId="0" fontId="38" fillId="0" borderId="148" xfId="0" applyFont="1" applyFill="1" applyBorder="1" applyAlignment="1" applyProtection="1">
      <alignment horizontal="center" vertical="center" wrapText="1"/>
      <protection hidden="1"/>
    </xf>
    <xf numFmtId="0" fontId="273" fillId="0" borderId="51" xfId="0" applyFont="1" applyBorder="1" applyAlignment="1" applyProtection="1">
      <alignment horizontal="center" vertical="center" wrapText="1"/>
      <protection hidden="1"/>
    </xf>
    <xf numFmtId="0" fontId="273" fillId="0" borderId="52" xfId="0" applyFont="1" applyBorder="1" applyAlignment="1" applyProtection="1">
      <alignment horizontal="center" vertical="center" wrapText="1"/>
      <protection hidden="1"/>
    </xf>
    <xf numFmtId="0" fontId="273" fillId="0" borderId="53" xfId="0" applyFont="1" applyBorder="1" applyAlignment="1" applyProtection="1">
      <alignment horizontal="center" vertical="center" wrapText="1"/>
      <protection hidden="1"/>
    </xf>
    <xf numFmtId="0" fontId="273" fillId="0" borderId="150" xfId="0" applyFont="1" applyBorder="1" applyAlignment="1" applyProtection="1">
      <alignment horizontal="center" vertical="center" wrapText="1"/>
      <protection hidden="1"/>
    </xf>
    <xf numFmtId="0" fontId="273" fillId="0" borderId="0" xfId="0" applyFont="1" applyBorder="1" applyAlignment="1" applyProtection="1">
      <alignment horizontal="center" vertical="center" wrapText="1"/>
      <protection hidden="1"/>
    </xf>
    <xf numFmtId="0" fontId="273" fillId="0" borderId="151" xfId="0" applyFont="1" applyBorder="1" applyAlignment="1" applyProtection="1">
      <alignment horizontal="center" vertical="center" wrapText="1"/>
      <protection hidden="1"/>
    </xf>
    <xf numFmtId="0" fontId="273" fillId="0" borderId="54" xfId="0" applyFont="1" applyBorder="1" applyAlignment="1" applyProtection="1">
      <alignment horizontal="center" vertical="center" wrapText="1"/>
      <protection hidden="1"/>
    </xf>
    <xf numFmtId="0" fontId="273" fillId="0" borderId="55" xfId="0" applyFont="1" applyBorder="1" applyAlignment="1" applyProtection="1">
      <alignment horizontal="center" vertical="center" wrapText="1"/>
      <protection hidden="1"/>
    </xf>
    <xf numFmtId="0" fontId="273" fillId="0" borderId="56" xfId="0" applyFont="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wrapText="1"/>
      <protection hidden="1"/>
    </xf>
    <xf numFmtId="2" fontId="38" fillId="0" borderId="53" xfId="0" applyNumberFormat="1" applyFont="1" applyFill="1" applyBorder="1" applyAlignment="1" applyProtection="1">
      <alignment horizontal="center" vertical="center" wrapText="1"/>
      <protection hidden="1"/>
    </xf>
    <xf numFmtId="2" fontId="38" fillId="0" borderId="150" xfId="0" applyNumberFormat="1" applyFont="1" applyFill="1" applyBorder="1" applyAlignment="1" applyProtection="1">
      <alignment horizontal="center" vertical="center" wrapText="1"/>
      <protection hidden="1"/>
    </xf>
    <xf numFmtId="2" fontId="38" fillId="0" borderId="151" xfId="0" applyNumberFormat="1" applyFont="1" applyFill="1" applyBorder="1" applyAlignment="1" applyProtection="1">
      <alignment horizontal="center" vertical="center" wrapText="1"/>
      <protection hidden="1"/>
    </xf>
    <xf numFmtId="2" fontId="38" fillId="0" borderId="54" xfId="0" applyNumberFormat="1" applyFont="1" applyFill="1" applyBorder="1" applyAlignment="1" applyProtection="1">
      <alignment horizontal="center" vertical="center" wrapText="1"/>
      <protection hidden="1"/>
    </xf>
    <xf numFmtId="2" fontId="38" fillId="0" borderId="56" xfId="0" applyNumberFormat="1" applyFont="1" applyFill="1" applyBorder="1" applyAlignment="1" applyProtection="1">
      <alignment horizontal="center" vertical="center" wrapText="1"/>
      <protection hidden="1"/>
    </xf>
    <xf numFmtId="0" fontId="329" fillId="0" borderId="147" xfId="0" applyFont="1" applyBorder="1" applyAlignment="1" applyProtection="1">
      <alignment horizontal="center" vertical="center" textRotation="90" wrapText="1"/>
      <protection hidden="1"/>
    </xf>
    <xf numFmtId="0" fontId="329" fillId="0" borderId="162" xfId="0" applyFont="1" applyBorder="1" applyAlignment="1" applyProtection="1">
      <alignment horizontal="center" vertical="center" textRotation="90" wrapText="1"/>
      <protection hidden="1"/>
    </xf>
    <xf numFmtId="0" fontId="329" fillId="0" borderId="148" xfId="0" applyFont="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9" fillId="0" borderId="150" xfId="0" applyFont="1" applyFill="1" applyBorder="1" applyAlignment="1" applyProtection="1">
      <alignment horizontal="right" vertical="center" wrapText="1"/>
      <protection hidden="1"/>
    </xf>
    <xf numFmtId="0" fontId="9" fillId="0" borderId="54" xfId="0" applyFont="1" applyFill="1" applyBorder="1" applyAlignment="1" applyProtection="1">
      <alignment horizontal="right" vertical="center" wrapText="1"/>
      <protection hidden="1"/>
    </xf>
    <xf numFmtId="0" fontId="38" fillId="0" borderId="154" xfId="0" applyFont="1" applyFill="1" applyBorder="1" applyAlignment="1" applyProtection="1">
      <alignment horizontal="center" vertical="center" wrapText="1"/>
      <protection hidden="1"/>
    </xf>
    <xf numFmtId="0" fontId="63" fillId="0" borderId="51" xfId="0" applyFont="1" applyFill="1" applyBorder="1" applyAlignment="1" applyProtection="1">
      <alignment horizontal="center" vertical="center" wrapText="1"/>
      <protection hidden="1"/>
    </xf>
    <xf numFmtId="0" fontId="63" fillId="0" borderId="52" xfId="0" applyFont="1" applyFill="1" applyBorder="1" applyAlignment="1" applyProtection="1">
      <alignment horizontal="center" vertical="center" wrapText="1"/>
      <protection hidden="1"/>
    </xf>
    <xf numFmtId="0" fontId="63" fillId="0" borderId="53" xfId="0" applyFont="1" applyFill="1" applyBorder="1" applyAlignment="1" applyProtection="1">
      <alignment horizontal="center" vertical="center" wrapText="1"/>
      <protection hidden="1"/>
    </xf>
    <xf numFmtId="0" fontId="63" fillId="0" borderId="150" xfId="0"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63" fillId="0" borderId="151" xfId="0" applyFont="1" applyFill="1" applyBorder="1" applyAlignment="1" applyProtection="1">
      <alignment horizontal="center" vertical="center" wrapText="1"/>
      <protection hidden="1"/>
    </xf>
    <xf numFmtId="0" fontId="63" fillId="0" borderId="54" xfId="0" applyFont="1" applyFill="1" applyBorder="1" applyAlignment="1" applyProtection="1">
      <alignment horizontal="center" vertical="center" wrapText="1"/>
      <protection hidden="1"/>
    </xf>
    <xf numFmtId="0" fontId="63" fillId="0" borderId="55" xfId="0" applyFont="1" applyFill="1" applyBorder="1" applyAlignment="1" applyProtection="1">
      <alignment horizontal="center" vertical="center" wrapText="1"/>
      <protection hidden="1"/>
    </xf>
    <xf numFmtId="0" fontId="63" fillId="0" borderId="56" xfId="0" applyFont="1" applyFill="1" applyBorder="1" applyAlignment="1" applyProtection="1">
      <alignment horizontal="center" vertical="center" wrapText="1"/>
      <protection hidden="1"/>
    </xf>
    <xf numFmtId="2" fontId="38" fillId="0" borderId="147" xfId="0" applyNumberFormat="1" applyFont="1" applyFill="1" applyBorder="1" applyAlignment="1" applyProtection="1">
      <alignment horizontal="center" vertical="center" textRotation="90" wrapText="1"/>
      <protection hidden="1"/>
    </xf>
    <xf numFmtId="2" fontId="38" fillId="0" borderId="148" xfId="0" applyNumberFormat="1" applyFont="1" applyFill="1" applyBorder="1" applyAlignment="1" applyProtection="1">
      <alignment horizontal="center" vertical="center" textRotation="90" wrapText="1"/>
      <protection hidden="1"/>
    </xf>
    <xf numFmtId="0" fontId="31" fillId="0" borderId="154" xfId="0" applyFont="1" applyFill="1" applyBorder="1" applyAlignment="1" applyProtection="1">
      <alignment horizontal="center" wrapText="1"/>
      <protection hidden="1"/>
    </xf>
    <xf numFmtId="0" fontId="24" fillId="19" borderId="57" xfId="0" applyFont="1" applyFill="1" applyBorder="1" applyAlignment="1" applyProtection="1">
      <alignment horizontal="center" vertical="center" wrapText="1"/>
      <protection hidden="1"/>
    </xf>
    <xf numFmtId="0" fontId="24" fillId="19" borderId="33" xfId="0" applyFont="1" applyFill="1" applyBorder="1" applyAlignment="1" applyProtection="1">
      <alignment horizontal="center" vertical="center" wrapText="1"/>
      <protection hidden="1"/>
    </xf>
    <xf numFmtId="0" fontId="313" fillId="0" borderId="0" xfId="0" applyFont="1" applyFill="1" applyBorder="1" applyAlignment="1" applyProtection="1">
      <alignment horizontal="center" vertical="center" wrapText="1"/>
      <protection hidden="1"/>
    </xf>
    <xf numFmtId="0" fontId="9" fillId="0" borderId="134" xfId="0" applyFont="1" applyFill="1" applyBorder="1" applyAlignment="1" applyProtection="1">
      <alignment horizontal="center" vertical="center"/>
      <protection hidden="1"/>
    </xf>
    <xf numFmtId="0" fontId="9" fillId="0" borderId="141" xfId="0" applyFont="1" applyFill="1" applyBorder="1" applyAlignment="1" applyProtection="1">
      <alignment horizontal="center" vertical="center"/>
      <protection hidden="1"/>
    </xf>
    <xf numFmtId="0" fontId="9" fillId="0" borderId="135" xfId="0" applyFont="1" applyBorder="1" applyAlignment="1" applyProtection="1">
      <alignment horizontal="center" vertical="center" wrapText="1"/>
      <protection hidden="1"/>
    </xf>
    <xf numFmtId="0" fontId="63" fillId="0" borderId="263" xfId="0" applyFont="1" applyBorder="1" applyAlignment="1" applyProtection="1">
      <alignment horizontal="center" vertical="center"/>
      <protection hidden="1"/>
    </xf>
    <xf numFmtId="0" fontId="63" fillId="0" borderId="264" xfId="0" applyFont="1" applyBorder="1" applyAlignment="1" applyProtection="1">
      <alignment horizontal="center" vertical="center"/>
      <protection hidden="1"/>
    </xf>
    <xf numFmtId="0" fontId="63" fillId="0" borderId="132" xfId="0" applyFont="1" applyBorder="1" applyAlignment="1" applyProtection="1">
      <alignment horizontal="center" vertical="center"/>
      <protection hidden="1"/>
    </xf>
    <xf numFmtId="0" fontId="63" fillId="0" borderId="18" xfId="0" applyFont="1" applyBorder="1" applyAlignment="1" applyProtection="1">
      <alignment horizontal="center" vertical="center"/>
      <protection hidden="1"/>
    </xf>
    <xf numFmtId="0" fontId="332" fillId="0" borderId="0" xfId="0" applyFont="1" applyFill="1" applyBorder="1" applyAlignment="1" applyProtection="1">
      <alignment horizontal="center" vertical="center" wrapText="1"/>
      <protection hidden="1"/>
    </xf>
    <xf numFmtId="0" fontId="333" fillId="0" borderId="136" xfId="0" applyFont="1" applyBorder="1" applyAlignment="1" applyProtection="1">
      <alignment horizontal="center" vertical="center" wrapText="1"/>
      <protection hidden="1"/>
    </xf>
    <xf numFmtId="0" fontId="333" fillId="0" borderId="130" xfId="0" applyFont="1" applyBorder="1" applyAlignment="1" applyProtection="1">
      <alignment horizontal="center" vertical="center" wrapText="1"/>
      <protection hidden="1"/>
    </xf>
    <xf numFmtId="0" fontId="333" fillId="0" borderId="137" xfId="0" applyFont="1" applyBorder="1" applyAlignment="1" applyProtection="1">
      <alignment horizontal="center" vertical="center" wrapText="1"/>
      <protection hidden="1"/>
    </xf>
    <xf numFmtId="0" fontId="333" fillId="0" borderId="138" xfId="0" applyFont="1" applyBorder="1" applyAlignment="1" applyProtection="1">
      <alignment horizontal="center" vertical="center" wrapText="1"/>
      <protection hidden="1"/>
    </xf>
    <xf numFmtId="0" fontId="41" fillId="0" borderId="130" xfId="0" applyFont="1" applyBorder="1" applyAlignment="1" applyProtection="1">
      <alignment horizontal="left" vertical="center" wrapText="1"/>
      <protection hidden="1"/>
    </xf>
    <xf numFmtId="0" fontId="41" fillId="0" borderId="131" xfId="0" applyFont="1" applyBorder="1" applyAlignment="1" applyProtection="1">
      <alignment horizontal="left" vertical="center" wrapText="1"/>
      <protection hidden="1"/>
    </xf>
    <xf numFmtId="0" fontId="41" fillId="0" borderId="0" xfId="0" applyFont="1" applyBorder="1" applyAlignment="1" applyProtection="1">
      <alignment horizontal="left" vertical="center" wrapText="1"/>
      <protection hidden="1"/>
    </xf>
    <xf numFmtId="0" fontId="41" fillId="0" borderId="260" xfId="0" applyFont="1" applyBorder="1" applyAlignment="1" applyProtection="1">
      <alignment horizontal="left" vertical="center" wrapText="1"/>
      <protection hidden="1"/>
    </xf>
    <xf numFmtId="0" fontId="333" fillId="0" borderId="136" xfId="0" applyFont="1" applyBorder="1" applyAlignment="1" applyProtection="1">
      <alignment horizontal="right" vertical="center" wrapText="1"/>
      <protection hidden="1"/>
    </xf>
    <xf numFmtId="0" fontId="333" fillId="0" borderId="130" xfId="0" applyFont="1" applyBorder="1" applyAlignment="1" applyProtection="1">
      <alignment horizontal="right" vertical="center" wrapText="1"/>
      <protection hidden="1"/>
    </xf>
    <xf numFmtId="0" fontId="333" fillId="0" borderId="137" xfId="0" applyFont="1" applyBorder="1" applyAlignment="1" applyProtection="1">
      <alignment horizontal="right" vertical="center" wrapText="1"/>
      <protection hidden="1"/>
    </xf>
    <xf numFmtId="0" fontId="333" fillId="0" borderId="138" xfId="0" applyFont="1" applyBorder="1" applyAlignment="1" applyProtection="1">
      <alignment horizontal="right" vertical="center" wrapText="1"/>
      <protection hidden="1"/>
    </xf>
    <xf numFmtId="0" fontId="41" fillId="0" borderId="138" xfId="0" applyFont="1" applyBorder="1" applyAlignment="1" applyProtection="1">
      <alignment horizontal="left" vertical="center" wrapText="1"/>
      <protection hidden="1"/>
    </xf>
    <xf numFmtId="0" fontId="41" fillId="0" borderId="139" xfId="0" applyFont="1" applyBorder="1" applyAlignment="1" applyProtection="1">
      <alignment horizontal="left" vertical="center" wrapText="1"/>
      <protection hidden="1"/>
    </xf>
    <xf numFmtId="0" fontId="183" fillId="0" borderId="0" xfId="0" applyFont="1" applyFill="1" applyBorder="1" applyAlignment="1" applyProtection="1">
      <alignment horizontal="center" vertical="center" wrapText="1"/>
      <protection hidden="1"/>
    </xf>
    <xf numFmtId="0" fontId="125" fillId="0" borderId="0" xfId="0" applyFont="1" applyFill="1" applyBorder="1" applyAlignment="1" applyProtection="1">
      <alignment horizontal="center" vertical="center" wrapText="1"/>
      <protection hidden="1"/>
    </xf>
    <xf numFmtId="0" fontId="63" fillId="0" borderId="0" xfId="0" applyFont="1" applyBorder="1" applyAlignment="1" applyProtection="1">
      <alignment horizontal="center" wrapText="1"/>
      <protection hidden="1"/>
    </xf>
    <xf numFmtId="0" fontId="63" fillId="0" borderId="0" xfId="0" applyFont="1" applyFill="1" applyBorder="1" applyAlignment="1" applyProtection="1">
      <alignment horizontal="center" wrapText="1"/>
      <protection hidden="1"/>
    </xf>
    <xf numFmtId="0" fontId="41" fillId="0" borderId="141" xfId="0" applyFont="1" applyFill="1" applyBorder="1" applyAlignment="1" applyProtection="1">
      <alignment horizontal="left" vertical="center" wrapText="1"/>
      <protection hidden="1"/>
    </xf>
    <xf numFmtId="0" fontId="333" fillId="0" borderId="141" xfId="0" applyFont="1" applyFill="1" applyBorder="1" applyAlignment="1" applyProtection="1">
      <alignment horizontal="right" vertical="center"/>
      <protection hidden="1"/>
    </xf>
    <xf numFmtId="0" fontId="41" fillId="0" borderId="140" xfId="0" applyFont="1" applyFill="1" applyBorder="1" applyAlignment="1" applyProtection="1">
      <alignment horizontal="left" vertical="center" wrapText="1"/>
      <protection hidden="1"/>
    </xf>
    <xf numFmtId="0" fontId="63" fillId="0" borderId="302" xfId="0" applyFont="1" applyBorder="1" applyAlignment="1" applyProtection="1">
      <alignment horizontal="center" vertical="center"/>
      <protection hidden="1"/>
    </xf>
    <xf numFmtId="0" fontId="63" fillId="0" borderId="303" xfId="0" applyFont="1" applyBorder="1" applyAlignment="1" applyProtection="1">
      <alignment horizontal="center" vertical="center"/>
      <protection hidden="1"/>
    </xf>
    <xf numFmtId="0" fontId="256" fillId="0" borderId="0" xfId="0" applyFont="1" applyAlignment="1" applyProtection="1">
      <alignment horizontal="center" vertical="center"/>
      <protection hidden="1"/>
    </xf>
    <xf numFmtId="0" fontId="38" fillId="0" borderId="167" xfId="0" applyFont="1" applyFill="1" applyBorder="1" applyAlignment="1" applyProtection="1">
      <alignment horizontal="center" vertical="center" wrapText="1"/>
      <protection hidden="1"/>
    </xf>
    <xf numFmtId="0" fontId="38" fillId="0" borderId="142" xfId="0" applyFont="1" applyFill="1" applyBorder="1" applyAlignment="1" applyProtection="1">
      <alignment horizontal="center" vertical="center" wrapText="1"/>
      <protection hidden="1"/>
    </xf>
    <xf numFmtId="0" fontId="236" fillId="0" borderId="142" xfId="0" applyFont="1" applyFill="1" applyBorder="1" applyAlignment="1" applyProtection="1">
      <alignment horizontal="right" vertical="center" wrapText="1"/>
      <protection hidden="1"/>
    </xf>
    <xf numFmtId="167" fontId="31" fillId="0" borderId="142" xfId="0" applyNumberFormat="1" applyFont="1" applyBorder="1" applyAlignment="1" applyProtection="1">
      <alignment horizontal="center" vertical="center" wrapText="1"/>
      <protection hidden="1"/>
    </xf>
    <xf numFmtId="0" fontId="339" fillId="0" borderId="142" xfId="0" applyFont="1" applyFill="1" applyBorder="1" applyAlignment="1" applyProtection="1">
      <alignment horizontal="center" wrapText="1"/>
      <protection hidden="1"/>
    </xf>
    <xf numFmtId="0" fontId="338" fillId="0" borderId="142" xfId="0" applyFont="1" applyFill="1" applyBorder="1" applyAlignment="1" applyProtection="1">
      <alignment horizontal="right" vertical="center" wrapText="1"/>
      <protection hidden="1"/>
    </xf>
    <xf numFmtId="1" fontId="31" fillId="0" borderId="142" xfId="0" applyNumberFormat="1" applyFont="1" applyBorder="1" applyAlignment="1" applyProtection="1">
      <alignment horizontal="center" vertical="center" wrapText="1"/>
      <protection hidden="1"/>
    </xf>
    <xf numFmtId="0" fontId="31" fillId="0" borderId="142" xfId="0" applyFont="1" applyBorder="1" applyAlignment="1" applyProtection="1">
      <alignment horizontal="center" vertical="center" wrapText="1"/>
      <protection hidden="1"/>
    </xf>
    <xf numFmtId="1" fontId="31" fillId="0" borderId="166" xfId="0" applyNumberFormat="1" applyFont="1" applyBorder="1" applyAlignment="1" applyProtection="1">
      <alignment horizontal="center" vertical="center"/>
      <protection hidden="1"/>
    </xf>
    <xf numFmtId="1" fontId="31" fillId="0" borderId="167" xfId="0" applyNumberFormat="1" applyFont="1" applyBorder="1" applyAlignment="1" applyProtection="1">
      <alignment horizontal="center" vertical="center"/>
      <protection hidden="1"/>
    </xf>
    <xf numFmtId="0" fontId="24" fillId="19" borderId="39" xfId="0" applyFont="1" applyFill="1" applyBorder="1" applyAlignment="1" applyProtection="1">
      <alignment horizontal="center" vertical="center" wrapText="1"/>
      <protection hidden="1"/>
    </xf>
    <xf numFmtId="0" fontId="24" fillId="19" borderId="0" xfId="0" applyFont="1" applyFill="1" applyBorder="1" applyAlignment="1" applyProtection="1">
      <alignment horizontal="center" vertical="center" wrapText="1"/>
      <protection hidden="1"/>
    </xf>
    <xf numFmtId="0" fontId="24" fillId="19" borderId="40" xfId="0" applyFont="1" applyFill="1" applyBorder="1" applyAlignment="1" applyProtection="1">
      <alignment horizontal="center" vertical="center" wrapText="1"/>
      <protection hidden="1"/>
    </xf>
    <xf numFmtId="0" fontId="261" fillId="0" borderId="142" xfId="0" applyFont="1" applyBorder="1" applyAlignment="1" applyProtection="1">
      <alignment horizontal="center"/>
      <protection hidden="1"/>
    </xf>
    <xf numFmtId="0" fontId="339" fillId="0" borderId="37" xfId="0" applyFont="1" applyFill="1" applyBorder="1" applyAlignment="1" applyProtection="1">
      <alignment horizontal="center" wrapText="1"/>
      <protection hidden="1"/>
    </xf>
    <xf numFmtId="0" fontId="339" fillId="0" borderId="38" xfId="0" applyFont="1" applyFill="1" applyBorder="1" applyAlignment="1" applyProtection="1">
      <alignment horizontal="center" wrapText="1"/>
      <protection hidden="1"/>
    </xf>
    <xf numFmtId="0" fontId="339" fillId="0" borderId="44" xfId="0" applyFont="1" applyFill="1" applyBorder="1" applyAlignment="1" applyProtection="1">
      <alignment horizontal="center" wrapText="1"/>
      <protection hidden="1"/>
    </xf>
    <xf numFmtId="0" fontId="339" fillId="0" borderId="45" xfId="0" applyFont="1" applyFill="1" applyBorder="1" applyAlignment="1" applyProtection="1">
      <alignment horizontal="center" wrapText="1"/>
      <protection hidden="1"/>
    </xf>
    <xf numFmtId="0" fontId="261" fillId="0" borderId="144" xfId="0" applyFont="1" applyBorder="1" applyAlignment="1" applyProtection="1">
      <alignment horizontal="center"/>
      <protection hidden="1"/>
    </xf>
    <xf numFmtId="0" fontId="261" fillId="0" borderId="37" xfId="0" applyFont="1" applyBorder="1" applyAlignment="1" applyProtection="1">
      <alignment horizontal="center"/>
      <protection hidden="1"/>
    </xf>
    <xf numFmtId="0" fontId="261" fillId="0" borderId="38" xfId="0" applyFont="1" applyBorder="1" applyAlignment="1" applyProtection="1">
      <alignment horizontal="center"/>
      <protection hidden="1"/>
    </xf>
    <xf numFmtId="0" fontId="261" fillId="0" borderId="145" xfId="0" applyFont="1" applyBorder="1" applyAlignment="1" applyProtection="1">
      <alignment horizontal="center"/>
      <protection hidden="1"/>
    </xf>
    <xf numFmtId="0" fontId="261" fillId="0" borderId="0" xfId="0" applyFont="1" applyBorder="1" applyAlignment="1" applyProtection="1">
      <alignment horizontal="center"/>
      <protection hidden="1"/>
    </xf>
    <xf numFmtId="0" fontId="261" fillId="0" borderId="40" xfId="0" applyFont="1" applyBorder="1" applyAlignment="1" applyProtection="1">
      <alignment horizontal="center"/>
      <protection hidden="1"/>
    </xf>
    <xf numFmtId="0" fontId="261" fillId="0" borderId="146" xfId="0" applyFont="1" applyBorder="1" applyAlignment="1" applyProtection="1">
      <alignment horizontal="center"/>
      <protection hidden="1"/>
    </xf>
    <xf numFmtId="0" fontId="261" fillId="0" borderId="48" xfId="0" applyFont="1" applyBorder="1" applyAlignment="1" applyProtection="1">
      <alignment horizontal="center"/>
      <protection hidden="1"/>
    </xf>
    <xf numFmtId="0" fontId="261" fillId="0" borderId="143" xfId="0" applyFont="1" applyBorder="1" applyAlignment="1" applyProtection="1">
      <alignment horizontal="center"/>
      <protection hidden="1"/>
    </xf>
    <xf numFmtId="0" fontId="38" fillId="19" borderId="39" xfId="0" applyFont="1" applyFill="1" applyBorder="1" applyAlignment="1" applyProtection="1">
      <alignment horizontal="center" vertical="center" wrapText="1"/>
      <protection hidden="1"/>
    </xf>
    <xf numFmtId="0" fontId="38" fillId="19" borderId="0" xfId="0" applyFont="1" applyFill="1" applyBorder="1" applyAlignment="1" applyProtection="1">
      <alignment horizontal="center" vertical="center" wrapText="1"/>
      <protection hidden="1"/>
    </xf>
    <xf numFmtId="0" fontId="38" fillId="19" borderId="40" xfId="0" applyFont="1" applyFill="1" applyBorder="1" applyAlignment="1" applyProtection="1">
      <alignment horizontal="center" vertical="center" wrapText="1"/>
      <protection hidden="1"/>
    </xf>
    <xf numFmtId="0" fontId="260" fillId="0" borderId="142" xfId="0" applyFont="1" applyFill="1" applyBorder="1" applyAlignment="1" applyProtection="1">
      <alignment horizontal="right" vertical="center" wrapText="1"/>
      <protection hidden="1"/>
    </xf>
    <xf numFmtId="0" fontId="259" fillId="0" borderId="142" xfId="0" applyFont="1" applyFill="1" applyBorder="1" applyAlignment="1" applyProtection="1">
      <alignment horizontal="center" wrapText="1"/>
      <protection hidden="1"/>
    </xf>
    <xf numFmtId="0" fontId="37" fillId="0" borderId="42" xfId="0" applyFont="1" applyFill="1" applyBorder="1" applyAlignment="1" applyProtection="1">
      <alignment horizontal="center" vertical="center"/>
      <protection hidden="1"/>
    </xf>
    <xf numFmtId="0" fontId="37" fillId="0" borderId="43" xfId="0" applyFont="1" applyFill="1" applyBorder="1" applyAlignment="1" applyProtection="1">
      <alignment horizontal="center" vertical="center"/>
      <protection hidden="1"/>
    </xf>
    <xf numFmtId="0" fontId="98" fillId="0" borderId="0" xfId="0" applyFont="1" applyBorder="1" applyAlignment="1" applyProtection="1">
      <alignment horizontal="center" vertical="center"/>
      <protection hidden="1"/>
    </xf>
    <xf numFmtId="0" fontId="337" fillId="0" borderId="0" xfId="0" applyFont="1" applyBorder="1" applyAlignment="1" applyProtection="1">
      <alignment horizontal="center" vertical="center"/>
      <protection hidden="1"/>
    </xf>
    <xf numFmtId="0" fontId="52" fillId="0" borderId="142" xfId="0" applyFont="1" applyFill="1" applyBorder="1" applyAlignment="1" applyProtection="1">
      <alignment horizontal="center" vertical="center" textRotation="90" wrapText="1"/>
      <protection hidden="1"/>
    </xf>
    <xf numFmtId="0" fontId="109" fillId="0" borderId="27" xfId="0" applyFont="1" applyFill="1" applyBorder="1" applyAlignment="1" applyProtection="1">
      <alignment horizontal="center" vertical="center" wrapText="1"/>
      <protection hidden="1"/>
    </xf>
    <xf numFmtId="0" fontId="109" fillId="0" borderId="28" xfId="0" applyFont="1" applyFill="1" applyBorder="1" applyAlignment="1" applyProtection="1">
      <alignment horizontal="center" vertical="center" wrapText="1"/>
      <protection hidden="1"/>
    </xf>
    <xf numFmtId="0" fontId="109" fillId="0" borderId="29" xfId="0" applyFont="1" applyFill="1" applyBorder="1" applyAlignment="1" applyProtection="1">
      <alignment horizontal="center" vertical="center" wrapText="1"/>
      <protection hidden="1"/>
    </xf>
    <xf numFmtId="0" fontId="109" fillId="0" borderId="30" xfId="0" applyFont="1" applyFill="1" applyBorder="1" applyAlignment="1" applyProtection="1">
      <alignment horizontal="center" vertical="center" wrapText="1"/>
      <protection hidden="1"/>
    </xf>
    <xf numFmtId="0" fontId="109" fillId="0" borderId="31" xfId="0" applyFont="1" applyFill="1" applyBorder="1" applyAlignment="1" applyProtection="1">
      <alignment horizontal="center" vertical="center" wrapText="1"/>
      <protection hidden="1"/>
    </xf>
    <xf numFmtId="0" fontId="109" fillId="0" borderId="32" xfId="0" applyFont="1" applyFill="1" applyBorder="1" applyAlignment="1" applyProtection="1">
      <alignment horizontal="center" vertical="center" wrapText="1"/>
      <protection hidden="1"/>
    </xf>
    <xf numFmtId="0" fontId="63" fillId="0" borderId="149" xfId="0" applyFont="1" applyBorder="1" applyAlignment="1" applyProtection="1">
      <alignment horizontal="left" vertical="center"/>
      <protection hidden="1"/>
    </xf>
    <xf numFmtId="0" fontId="63" fillId="0" borderId="119" xfId="0" applyFont="1" applyBorder="1" applyAlignment="1" applyProtection="1">
      <alignment horizontal="left" vertical="center"/>
      <protection hidden="1"/>
    </xf>
    <xf numFmtId="0" fontId="52" fillId="0" borderId="167" xfId="0" applyFont="1" applyFill="1" applyBorder="1" applyAlignment="1" applyProtection="1">
      <alignment horizontal="center" vertical="center" textRotation="90" wrapText="1"/>
      <protection hidden="1"/>
    </xf>
    <xf numFmtId="0" fontId="38" fillId="0" borderId="118" xfId="0" applyFont="1" applyBorder="1" applyAlignment="1" applyProtection="1">
      <alignment horizontal="right" vertical="center" wrapText="1"/>
      <protection hidden="1"/>
    </xf>
    <xf numFmtId="0" fontId="38" fillId="0" borderId="149" xfId="0" applyFont="1" applyBorder="1" applyAlignment="1" applyProtection="1">
      <alignment horizontal="right" vertical="center" wrapText="1"/>
      <protection hidden="1"/>
    </xf>
    <xf numFmtId="0" fontId="38" fillId="0" borderId="62" xfId="0" applyFont="1" applyFill="1" applyBorder="1" applyAlignment="1" applyProtection="1">
      <alignment horizontal="right" vertical="center" wrapText="1"/>
      <protection hidden="1"/>
    </xf>
    <xf numFmtId="0" fontId="38" fillId="0" borderId="63" xfId="0" applyFont="1" applyFill="1" applyBorder="1" applyAlignment="1" applyProtection="1">
      <alignment horizontal="right" vertical="center" wrapText="1"/>
      <protection hidden="1"/>
    </xf>
    <xf numFmtId="0" fontId="106" fillId="0" borderId="61" xfId="0" applyFont="1" applyFill="1" applyBorder="1" applyAlignment="1" applyProtection="1">
      <alignment horizontal="right" vertical="center" wrapText="1"/>
      <protection hidden="1"/>
    </xf>
    <xf numFmtId="0" fontId="106" fillId="0" borderId="62" xfId="0" applyFont="1" applyFill="1" applyBorder="1" applyAlignment="1" applyProtection="1">
      <alignment horizontal="right" vertical="center" wrapText="1"/>
      <protection hidden="1"/>
    </xf>
    <xf numFmtId="0" fontId="106" fillId="0" borderId="63" xfId="0" applyFont="1" applyFill="1" applyBorder="1" applyAlignment="1" applyProtection="1">
      <alignment horizontal="right" vertical="center" wrapText="1"/>
      <protection hidden="1"/>
    </xf>
    <xf numFmtId="0" fontId="38" fillId="0" borderId="50" xfId="0" applyFont="1" applyBorder="1" applyAlignment="1" applyProtection="1">
      <alignment horizontal="center" vertical="center"/>
      <protection hidden="1"/>
    </xf>
    <xf numFmtId="0" fontId="340" fillId="19" borderId="271" xfId="0" applyFont="1" applyFill="1" applyBorder="1" applyAlignment="1" applyProtection="1">
      <alignment horizontal="center" vertical="center" wrapText="1"/>
      <protection hidden="1"/>
    </xf>
    <xf numFmtId="0" fontId="340" fillId="19" borderId="272" xfId="0" applyFont="1" applyFill="1" applyBorder="1" applyAlignment="1" applyProtection="1">
      <alignment horizontal="center" vertical="center" wrapText="1"/>
      <protection hidden="1"/>
    </xf>
    <xf numFmtId="0" fontId="340" fillId="19" borderId="273" xfId="0" applyFont="1" applyFill="1" applyBorder="1" applyAlignment="1" applyProtection="1">
      <alignment horizontal="center" vertical="center" wrapText="1"/>
      <protection hidden="1"/>
    </xf>
    <xf numFmtId="0" fontId="320" fillId="19" borderId="271" xfId="0" applyFont="1" applyFill="1" applyBorder="1" applyAlignment="1" applyProtection="1">
      <alignment horizontal="center" vertical="center" wrapText="1"/>
      <protection hidden="1"/>
    </xf>
    <xf numFmtId="0" fontId="320" fillId="19" borderId="272" xfId="0" applyFont="1" applyFill="1" applyBorder="1" applyAlignment="1" applyProtection="1">
      <alignment horizontal="center" vertical="center" wrapText="1"/>
      <protection hidden="1"/>
    </xf>
    <xf numFmtId="0" fontId="320" fillId="19" borderId="273" xfId="0" applyFont="1" applyFill="1" applyBorder="1" applyAlignment="1" applyProtection="1">
      <alignment horizontal="center" vertical="center" wrapText="1"/>
      <protection hidden="1"/>
    </xf>
    <xf numFmtId="0" fontId="173" fillId="0" borderId="0" xfId="0" applyFont="1" applyBorder="1" applyAlignment="1" applyProtection="1">
      <alignment horizontal="center" vertical="center"/>
      <protection hidden="1"/>
    </xf>
    <xf numFmtId="0" fontId="9" fillId="0" borderId="52" xfId="0" applyFont="1" applyFill="1" applyBorder="1" applyAlignment="1" applyProtection="1">
      <alignment horizontal="right" vertical="center" wrapText="1"/>
      <protection hidden="1"/>
    </xf>
    <xf numFmtId="0" fontId="9" fillId="0" borderId="55" xfId="0" applyFont="1" applyFill="1" applyBorder="1" applyAlignment="1" applyProtection="1">
      <alignment horizontal="right" vertical="center" wrapText="1"/>
      <protection hidden="1"/>
    </xf>
    <xf numFmtId="0" fontId="9" fillId="0" borderId="52" xfId="0" applyFont="1" applyBorder="1" applyAlignment="1" applyProtection="1">
      <alignment horizontal="left" vertical="center"/>
      <protection hidden="1"/>
    </xf>
    <xf numFmtId="0" fontId="9" fillId="0" borderId="53" xfId="0" applyFont="1" applyBorder="1" applyAlignment="1" applyProtection="1">
      <alignment horizontal="left" vertical="center"/>
      <protection hidden="1"/>
    </xf>
    <xf numFmtId="0" fontId="9" fillId="0" borderId="55"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63" fillId="0" borderId="147" xfId="0" applyFont="1" applyFill="1" applyBorder="1" applyAlignment="1" applyProtection="1">
      <alignment horizontal="center" vertical="center" wrapText="1"/>
      <protection hidden="1"/>
    </xf>
    <xf numFmtId="0" fontId="63" fillId="0" borderId="162" xfId="0" applyFont="1" applyFill="1" applyBorder="1" applyAlignment="1" applyProtection="1">
      <alignment horizontal="center" vertical="center" wrapText="1"/>
      <protection hidden="1"/>
    </xf>
    <xf numFmtId="2" fontId="63" fillId="0" borderId="147" xfId="0" applyNumberFormat="1" applyFont="1" applyFill="1" applyBorder="1" applyAlignment="1" applyProtection="1">
      <alignment horizontal="center" vertical="center" wrapText="1"/>
      <protection hidden="1"/>
    </xf>
    <xf numFmtId="2" fontId="63" fillId="0" borderId="162" xfId="0" applyNumberFormat="1" applyFont="1" applyFill="1" applyBorder="1" applyAlignment="1" applyProtection="1">
      <alignment horizontal="center" vertical="center" wrapText="1"/>
      <protection hidden="1"/>
    </xf>
    <xf numFmtId="2" fontId="63" fillId="0" borderId="148" xfId="0" applyNumberFormat="1" applyFont="1" applyFill="1" applyBorder="1" applyAlignment="1" applyProtection="1">
      <alignment horizontal="center" vertical="center" wrapText="1"/>
      <protection hidden="1"/>
    </xf>
    <xf numFmtId="0" fontId="182" fillId="0" borderId="54" xfId="0" applyFont="1" applyFill="1" applyBorder="1" applyAlignment="1" applyProtection="1">
      <alignment horizontal="right" vertical="center" wrapText="1"/>
      <protection hidden="1"/>
    </xf>
    <xf numFmtId="0" fontId="182" fillId="0" borderId="55" xfId="0" applyFont="1" applyFill="1" applyBorder="1" applyAlignment="1" applyProtection="1">
      <alignment horizontal="right" vertical="center" wrapText="1"/>
      <protection hidden="1"/>
    </xf>
    <xf numFmtId="0" fontId="38" fillId="0" borderId="275" xfId="0" applyFont="1" applyFill="1" applyBorder="1" applyAlignment="1" applyProtection="1">
      <alignment horizontal="center" wrapText="1"/>
      <protection hidden="1"/>
    </xf>
    <xf numFmtId="0" fontId="38" fillId="0" borderId="168" xfId="0" applyFont="1" applyFill="1" applyBorder="1" applyAlignment="1" applyProtection="1">
      <alignment horizontal="center" wrapText="1"/>
      <protection hidden="1"/>
    </xf>
    <xf numFmtId="0" fontId="182" fillId="0" borderId="55" xfId="0" applyFont="1" applyFill="1" applyBorder="1" applyAlignment="1" applyProtection="1">
      <alignment horizontal="center" vertical="center" wrapText="1"/>
      <protection hidden="1"/>
    </xf>
    <xf numFmtId="0" fontId="182" fillId="0" borderId="56" xfId="0" applyFont="1" applyFill="1" applyBorder="1" applyAlignment="1" applyProtection="1">
      <alignment horizontal="center" vertical="center" wrapText="1"/>
      <protection hidden="1"/>
    </xf>
    <xf numFmtId="0" fontId="273" fillId="0" borderId="154" xfId="0" applyFont="1" applyFill="1" applyBorder="1" applyAlignment="1" applyProtection="1">
      <alignment horizontal="center" vertical="center" wrapText="1"/>
      <protection hidden="1"/>
    </xf>
    <xf numFmtId="0" fontId="38" fillId="0" borderId="206" xfId="0" applyFont="1" applyFill="1" applyBorder="1" applyAlignment="1" applyProtection="1">
      <alignment horizontal="center" wrapText="1"/>
      <protection hidden="1"/>
    </xf>
    <xf numFmtId="0" fontId="38" fillId="0" borderId="207" xfId="0" applyFont="1" applyFill="1" applyBorder="1" applyAlignment="1" applyProtection="1">
      <alignment horizontal="center" wrapText="1"/>
      <protection hidden="1"/>
    </xf>
    <xf numFmtId="0" fontId="38" fillId="0" borderId="208" xfId="0" applyFont="1" applyFill="1" applyBorder="1" applyAlignment="1" applyProtection="1">
      <alignment horizontal="center" wrapText="1"/>
      <protection hidden="1"/>
    </xf>
    <xf numFmtId="0" fontId="129" fillId="0" borderId="148" xfId="0" applyFont="1" applyFill="1" applyBorder="1" applyAlignment="1" applyProtection="1">
      <alignment horizontal="center" vertical="center" wrapText="1"/>
      <protection hidden="1"/>
    </xf>
    <xf numFmtId="0" fontId="344" fillId="0" borderId="0" xfId="0" applyFont="1" applyBorder="1" applyAlignment="1" applyProtection="1">
      <alignment horizontal="center"/>
      <protection hidden="1"/>
    </xf>
    <xf numFmtId="0" fontId="341" fillId="0" borderId="0" xfId="0" applyFont="1" applyBorder="1" applyAlignment="1" applyProtection="1">
      <alignment horizontal="center"/>
      <protection hidden="1"/>
    </xf>
    <xf numFmtId="1" fontId="52" fillId="0" borderId="171" xfId="0" applyNumberFormat="1" applyFont="1" applyFill="1" applyBorder="1" applyAlignment="1" applyProtection="1">
      <alignment horizontal="center" vertical="center" wrapText="1"/>
      <protection hidden="1"/>
    </xf>
    <xf numFmtId="1" fontId="308" fillId="0" borderId="176" xfId="0" applyNumberFormat="1" applyFont="1" applyFill="1" applyBorder="1" applyAlignment="1" applyProtection="1">
      <alignment horizontal="center" vertical="center" wrapText="1"/>
      <protection hidden="1"/>
    </xf>
    <xf numFmtId="1" fontId="308" fillId="0" borderId="193" xfId="0" applyNumberFormat="1" applyFont="1" applyFill="1" applyBorder="1" applyAlignment="1" applyProtection="1">
      <alignment horizontal="center" vertical="center" wrapText="1"/>
      <protection hidden="1"/>
    </xf>
    <xf numFmtId="0" fontId="180" fillId="0" borderId="0" xfId="0" applyFont="1" applyBorder="1" applyAlignment="1" applyProtection="1">
      <alignment horizontal="left" vertical="center"/>
      <protection hidden="1"/>
    </xf>
    <xf numFmtId="171" fontId="101" fillId="0" borderId="0" xfId="0" applyNumberFormat="1" applyFont="1" applyBorder="1" applyAlignment="1" applyProtection="1">
      <alignment horizontal="left" vertical="center"/>
      <protection hidden="1"/>
    </xf>
    <xf numFmtId="170" fontId="308" fillId="0" borderId="0" xfId="0" applyNumberFormat="1" applyFont="1" applyBorder="1" applyAlignment="1" applyProtection="1">
      <alignment horizontal="left" vertical="center"/>
      <protection hidden="1"/>
    </xf>
    <xf numFmtId="0" fontId="231" fillId="0" borderId="0" xfId="0" applyFont="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261" fillId="0" borderId="280" xfId="0" applyFont="1" applyFill="1" applyBorder="1" applyAlignment="1" applyProtection="1">
      <alignment horizontal="center" vertical="center" wrapText="1"/>
      <protection hidden="1"/>
    </xf>
    <xf numFmtId="0" fontId="261" fillId="0" borderId="171" xfId="0" applyFont="1" applyFill="1" applyBorder="1" applyAlignment="1" applyProtection="1">
      <alignment horizontal="center" vertical="center" wrapText="1"/>
      <protection hidden="1"/>
    </xf>
    <xf numFmtId="0" fontId="229" fillId="0" borderId="0" xfId="0" applyFont="1" applyBorder="1" applyAlignment="1" applyProtection="1">
      <alignment horizontal="left" vertical="center"/>
      <protection hidden="1"/>
    </xf>
    <xf numFmtId="0" fontId="269" fillId="2" borderId="0" xfId="3" applyFont="1" applyFill="1" applyBorder="1" applyAlignment="1" applyProtection="1">
      <alignment horizontal="left" vertical="center" wrapText="1"/>
      <protection locked="0"/>
    </xf>
    <xf numFmtId="1" fontId="123" fillId="0" borderId="171" xfId="0" applyNumberFormat="1" applyFont="1" applyFill="1" applyBorder="1" applyAlignment="1" applyProtection="1">
      <alignment horizontal="center" vertical="center" wrapText="1"/>
      <protection hidden="1"/>
    </xf>
    <xf numFmtId="0" fontId="30" fillId="0" borderId="64" xfId="0" applyFont="1" applyBorder="1" applyAlignment="1" applyProtection="1">
      <alignment horizontal="center" vertical="center" wrapText="1"/>
      <protection hidden="1"/>
    </xf>
    <xf numFmtId="0" fontId="30" fillId="0" borderId="65" xfId="0" applyFont="1" applyBorder="1" applyAlignment="1" applyProtection="1">
      <alignment horizontal="center" vertical="center" wrapText="1"/>
      <protection hidden="1"/>
    </xf>
    <xf numFmtId="0" fontId="30" fillId="0" borderId="66" xfId="0" applyFont="1" applyBorder="1" applyAlignment="1" applyProtection="1">
      <alignment horizontal="center" vertical="center" wrapText="1"/>
      <protection hidden="1"/>
    </xf>
    <xf numFmtId="0" fontId="30" fillId="0" borderId="67"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68" xfId="0" applyFont="1" applyBorder="1" applyAlignment="1" applyProtection="1">
      <alignment horizontal="center" vertical="center" wrapText="1"/>
      <protection hidden="1"/>
    </xf>
    <xf numFmtId="0" fontId="30" fillId="0" borderId="69" xfId="0" applyFont="1" applyBorder="1" applyAlignment="1" applyProtection="1">
      <alignment horizontal="center" vertical="center" wrapText="1"/>
      <protection hidden="1"/>
    </xf>
    <xf numFmtId="0" fontId="30" fillId="0" borderId="70" xfId="0" applyFont="1" applyBorder="1" applyAlignment="1" applyProtection="1">
      <alignment horizontal="center" vertical="center" wrapText="1"/>
      <protection hidden="1"/>
    </xf>
    <xf numFmtId="0" fontId="30" fillId="0" borderId="71" xfId="0" applyFont="1" applyBorder="1" applyAlignment="1" applyProtection="1">
      <alignment horizontal="center" vertical="center" wrapText="1"/>
      <protection hidden="1"/>
    </xf>
    <xf numFmtId="0" fontId="345" fillId="0" borderId="0" xfId="0" applyFont="1" applyBorder="1" applyAlignment="1" applyProtection="1">
      <alignment horizontal="center" vertical="center"/>
      <protection hidden="1"/>
    </xf>
    <xf numFmtId="0" fontId="346" fillId="0" borderId="0" xfId="0" applyFont="1" applyBorder="1" applyAlignment="1" applyProtection="1">
      <alignment horizontal="center" vertical="center"/>
      <protection hidden="1"/>
    </xf>
    <xf numFmtId="0" fontId="231" fillId="0" borderId="0" xfId="0" applyFont="1" applyFill="1" applyBorder="1" applyAlignment="1" applyProtection="1">
      <alignment horizontal="right" vertical="top" wrapText="1"/>
      <protection hidden="1"/>
    </xf>
    <xf numFmtId="0" fontId="231" fillId="0" borderId="0" xfId="0" applyNumberFormat="1" applyFont="1" applyFill="1" applyBorder="1" applyAlignment="1" applyProtection="1">
      <alignment horizontal="right" vertical="center" wrapText="1"/>
      <protection hidden="1"/>
    </xf>
    <xf numFmtId="0" fontId="261" fillId="0" borderId="281" xfId="0" applyFont="1" applyFill="1" applyBorder="1" applyAlignment="1" applyProtection="1">
      <alignment horizontal="center" vertical="center" wrapText="1"/>
      <protection hidden="1"/>
    </xf>
    <xf numFmtId="0" fontId="261" fillId="0" borderId="283" xfId="0" applyFont="1" applyFill="1" applyBorder="1" applyAlignment="1" applyProtection="1">
      <alignment horizontal="center" vertical="center" wrapText="1"/>
      <protection hidden="1"/>
    </xf>
    <xf numFmtId="0" fontId="8" fillId="0" borderId="0" xfId="0" applyNumberFormat="1" applyFont="1" applyFill="1" applyBorder="1" applyAlignment="1" applyProtection="1">
      <alignment horizontal="left" vertical="center" wrapText="1"/>
      <protection hidden="1"/>
    </xf>
    <xf numFmtId="0" fontId="261" fillId="0" borderId="280" xfId="0" applyFont="1" applyFill="1" applyBorder="1" applyAlignment="1" applyProtection="1">
      <alignment horizontal="center" vertical="center" textRotation="90" wrapText="1"/>
      <protection hidden="1"/>
    </xf>
    <xf numFmtId="0" fontId="261" fillId="0" borderId="171" xfId="0" applyFont="1" applyFill="1" applyBorder="1" applyAlignment="1" applyProtection="1">
      <alignment horizontal="center" vertical="center" textRotation="90" wrapText="1"/>
      <protection hidden="1"/>
    </xf>
    <xf numFmtId="0" fontId="261" fillId="0" borderId="193" xfId="0" applyFont="1" applyFill="1" applyBorder="1" applyAlignment="1" applyProtection="1">
      <alignment horizontal="center" vertical="center" textRotation="90" wrapText="1"/>
      <protection hidden="1"/>
    </xf>
    <xf numFmtId="0" fontId="178" fillId="0" borderId="284" xfId="0" applyFont="1" applyFill="1" applyBorder="1" applyAlignment="1" applyProtection="1">
      <alignment horizontal="left" vertical="center" wrapText="1"/>
      <protection hidden="1"/>
    </xf>
    <xf numFmtId="0" fontId="178" fillId="0" borderId="171" xfId="0" applyFont="1" applyFill="1" applyBorder="1" applyAlignment="1" applyProtection="1">
      <alignment horizontal="left" vertical="center" wrapText="1"/>
      <protection hidden="1"/>
    </xf>
    <xf numFmtId="0" fontId="349" fillId="0" borderId="284" xfId="0" applyFont="1" applyFill="1" applyBorder="1" applyAlignment="1" applyProtection="1">
      <alignment horizontal="right" vertical="center" shrinkToFit="1"/>
      <protection hidden="1"/>
    </xf>
    <xf numFmtId="0" fontId="349" fillId="0" borderId="171" xfId="0" applyFont="1" applyFill="1" applyBorder="1" applyAlignment="1" applyProtection="1">
      <alignment horizontal="right" vertical="center" shrinkToFit="1"/>
      <protection hidden="1"/>
    </xf>
    <xf numFmtId="0" fontId="39" fillId="0" borderId="284" xfId="0" applyFont="1" applyFill="1" applyBorder="1" applyAlignment="1" applyProtection="1">
      <alignment horizontal="right" vertical="center" wrapText="1"/>
      <protection hidden="1"/>
    </xf>
    <xf numFmtId="0" fontId="39" fillId="0" borderId="171" xfId="0" applyFont="1" applyFill="1" applyBorder="1" applyAlignment="1" applyProtection="1">
      <alignment horizontal="right" vertical="center" wrapText="1"/>
      <protection hidden="1"/>
    </xf>
    <xf numFmtId="0" fontId="231" fillId="0" borderId="0" xfId="0" applyNumberFormat="1" applyFont="1" applyFill="1" applyBorder="1" applyAlignment="1" applyProtection="1">
      <alignment horizontal="center" vertical="center" wrapText="1"/>
      <protection hidden="1"/>
    </xf>
    <xf numFmtId="0" fontId="355" fillId="0" borderId="279" xfId="0" applyFont="1" applyFill="1" applyBorder="1" applyAlignment="1" applyProtection="1">
      <alignment horizontal="center" vertical="center" textRotation="90" wrapText="1"/>
      <protection hidden="1"/>
    </xf>
    <xf numFmtId="0" fontId="355" fillId="0" borderId="175" xfId="0" applyFont="1" applyFill="1" applyBorder="1" applyAlignment="1" applyProtection="1">
      <alignment horizontal="center" vertical="center" textRotation="90" wrapText="1"/>
      <protection hidden="1"/>
    </xf>
    <xf numFmtId="0" fontId="127" fillId="0" borderId="278" xfId="0" applyFont="1" applyFill="1" applyBorder="1" applyAlignment="1" applyProtection="1">
      <alignment horizontal="center" vertical="center" wrapText="1"/>
      <protection hidden="1"/>
    </xf>
    <xf numFmtId="0" fontId="127" fillId="0" borderId="279" xfId="0" applyFont="1" applyFill="1" applyBorder="1" applyAlignment="1" applyProtection="1">
      <alignment horizontal="center" vertical="center" wrapText="1"/>
      <protection hidden="1"/>
    </xf>
    <xf numFmtId="0" fontId="127" fillId="0" borderId="282" xfId="0" applyFont="1" applyFill="1" applyBorder="1" applyAlignment="1" applyProtection="1">
      <alignment horizontal="center" vertical="center" wrapText="1"/>
      <protection hidden="1"/>
    </xf>
    <xf numFmtId="0" fontId="127" fillId="0" borderId="175" xfId="0" applyFont="1" applyFill="1" applyBorder="1" applyAlignment="1" applyProtection="1">
      <alignment horizontal="center" vertical="center" wrapText="1"/>
      <protection hidden="1"/>
    </xf>
    <xf numFmtId="0" fontId="236" fillId="0" borderId="280" xfId="0" applyFont="1" applyFill="1" applyBorder="1" applyAlignment="1" applyProtection="1">
      <alignment horizontal="center" vertical="center" textRotation="90" wrapText="1"/>
      <protection hidden="1"/>
    </xf>
    <xf numFmtId="0" fontId="236" fillId="0" borderId="171" xfId="0" applyFont="1" applyFill="1" applyBorder="1" applyAlignment="1" applyProtection="1">
      <alignment horizontal="center" vertical="center" textRotation="90" wrapText="1"/>
      <protection hidden="1"/>
    </xf>
    <xf numFmtId="0" fontId="127" fillId="0" borderId="280" xfId="0" applyFont="1" applyFill="1" applyBorder="1" applyAlignment="1" applyProtection="1">
      <alignment horizontal="center" vertical="center" wrapText="1"/>
      <protection hidden="1"/>
    </xf>
    <xf numFmtId="0" fontId="323" fillId="0" borderId="284" xfId="0" applyFont="1" applyFill="1" applyBorder="1" applyAlignment="1" applyProtection="1">
      <alignment horizontal="right" vertical="center" wrapText="1"/>
      <protection hidden="1"/>
    </xf>
    <xf numFmtId="0" fontId="323" fillId="0" borderId="171" xfId="0" applyFont="1" applyFill="1" applyBorder="1" applyAlignment="1" applyProtection="1">
      <alignment horizontal="right" vertical="center" wrapText="1"/>
      <protection hidden="1"/>
    </xf>
    <xf numFmtId="1" fontId="258" fillId="7" borderId="176" xfId="0" applyNumberFormat="1" applyFont="1" applyFill="1" applyBorder="1" applyAlignment="1" applyProtection="1">
      <alignment horizontal="center" vertical="center" wrapText="1"/>
      <protection hidden="1"/>
    </xf>
    <xf numFmtId="1" fontId="258" fillId="7" borderId="192" xfId="0" applyNumberFormat="1" applyFont="1" applyFill="1" applyBorder="1" applyAlignment="1" applyProtection="1">
      <alignment horizontal="center" vertical="center" wrapText="1"/>
      <protection hidden="1"/>
    </xf>
    <xf numFmtId="1" fontId="258" fillId="7" borderId="289" xfId="0" applyNumberFormat="1" applyFont="1" applyFill="1" applyBorder="1" applyAlignment="1" applyProtection="1">
      <alignment horizontal="center" vertical="center" wrapText="1"/>
      <protection hidden="1"/>
    </xf>
    <xf numFmtId="0" fontId="133" fillId="0" borderId="284" xfId="0" applyFont="1" applyFill="1" applyBorder="1" applyAlignment="1" applyProtection="1">
      <alignment vertical="center" wrapText="1"/>
      <protection hidden="1"/>
    </xf>
    <xf numFmtId="0" fontId="133" fillId="0" borderId="171" xfId="0" applyFont="1" applyFill="1" applyBorder="1" applyAlignment="1" applyProtection="1">
      <alignment vertical="center" wrapText="1"/>
      <protection hidden="1"/>
    </xf>
    <xf numFmtId="0" fontId="260" fillId="0" borderId="171" xfId="0" applyFont="1" applyFill="1" applyBorder="1" applyAlignment="1" applyProtection="1">
      <alignment horizontal="center" wrapText="1"/>
      <protection hidden="1"/>
    </xf>
    <xf numFmtId="0" fontId="260" fillId="0" borderId="176" xfId="0" applyFont="1" applyFill="1" applyBorder="1" applyAlignment="1" applyProtection="1">
      <alignment horizontal="center" wrapText="1"/>
      <protection hidden="1"/>
    </xf>
    <xf numFmtId="0" fontId="231" fillId="0" borderId="171" xfId="0" applyFont="1" applyFill="1" applyBorder="1" applyAlignment="1" applyProtection="1">
      <alignment horizontal="center" vertical="center" wrapText="1"/>
      <protection hidden="1"/>
    </xf>
    <xf numFmtId="1" fontId="172" fillId="0" borderId="176" xfId="0" applyNumberFormat="1" applyFont="1" applyFill="1" applyBorder="1" applyAlignment="1" applyProtection="1">
      <alignment horizontal="center" vertical="center" wrapText="1"/>
      <protection hidden="1"/>
    </xf>
    <xf numFmtId="1" fontId="172" fillId="0" borderId="193" xfId="0" applyNumberFormat="1" applyFont="1" applyFill="1" applyBorder="1" applyAlignment="1" applyProtection="1">
      <alignment horizontal="center" vertical="center" wrapText="1"/>
      <protection hidden="1"/>
    </xf>
    <xf numFmtId="0" fontId="174" fillId="0" borderId="176" xfId="0" applyNumberFormat="1" applyFont="1" applyFill="1" applyBorder="1" applyAlignment="1" applyProtection="1">
      <alignment horizontal="center" vertical="center" wrapText="1"/>
      <protection hidden="1"/>
    </xf>
    <xf numFmtId="0" fontId="174" fillId="0" borderId="192" xfId="0" applyNumberFormat="1" applyFont="1" applyFill="1" applyBorder="1" applyAlignment="1" applyProtection="1">
      <alignment horizontal="center" vertical="center" wrapText="1"/>
      <protection hidden="1"/>
    </xf>
    <xf numFmtId="0" fontId="174" fillId="0" borderId="193" xfId="0" applyNumberFormat="1" applyFont="1" applyFill="1" applyBorder="1" applyAlignment="1" applyProtection="1">
      <alignment horizontal="center" vertical="center" wrapText="1"/>
      <protection hidden="1"/>
    </xf>
    <xf numFmtId="0" fontId="347" fillId="0" borderId="284" xfId="0" applyFont="1" applyFill="1" applyBorder="1" applyAlignment="1" applyProtection="1">
      <alignment horizontal="left" vertical="center" wrapText="1"/>
      <protection hidden="1"/>
    </xf>
    <xf numFmtId="0" fontId="347" fillId="0" borderId="171" xfId="0" applyFont="1" applyFill="1" applyBorder="1" applyAlignment="1" applyProtection="1">
      <alignment horizontal="left" vertical="center" wrapText="1"/>
      <protection hidden="1"/>
    </xf>
    <xf numFmtId="0" fontId="347" fillId="0" borderId="277" xfId="0" applyFont="1" applyFill="1" applyBorder="1" applyAlignment="1" applyProtection="1">
      <alignment horizontal="left" vertical="center" wrapText="1"/>
      <protection hidden="1"/>
    </xf>
    <xf numFmtId="0" fontId="347" fillId="0" borderId="283" xfId="0" applyFont="1" applyFill="1" applyBorder="1" applyAlignment="1" applyProtection="1">
      <alignment horizontal="left" vertical="center" wrapText="1"/>
      <protection hidden="1"/>
    </xf>
    <xf numFmtId="1" fontId="52" fillId="0" borderId="172" xfId="0" applyNumberFormat="1" applyFont="1" applyFill="1" applyBorder="1" applyAlignment="1" applyProtection="1">
      <alignment horizontal="center" vertical="center" wrapText="1"/>
      <protection hidden="1"/>
    </xf>
    <xf numFmtId="1" fontId="52" fillId="0" borderId="285" xfId="0" applyNumberFormat="1" applyFont="1" applyFill="1" applyBorder="1" applyAlignment="1" applyProtection="1">
      <alignment horizontal="center" vertical="center" wrapText="1"/>
      <protection hidden="1"/>
    </xf>
    <xf numFmtId="1" fontId="52" fillId="0" borderId="177" xfId="0" applyNumberFormat="1" applyFont="1" applyFill="1" applyBorder="1" applyAlignment="1" applyProtection="1">
      <alignment horizontal="center" vertical="center" wrapText="1"/>
      <protection hidden="1"/>
    </xf>
    <xf numFmtId="1" fontId="52" fillId="0" borderId="286" xfId="0" applyNumberFormat="1" applyFont="1" applyFill="1" applyBorder="1" applyAlignment="1" applyProtection="1">
      <alignment horizontal="center" vertical="center" wrapText="1"/>
      <protection hidden="1"/>
    </xf>
    <xf numFmtId="1" fontId="52" fillId="0" borderId="174" xfId="0" applyNumberFormat="1" applyFont="1" applyFill="1" applyBorder="1" applyAlignment="1" applyProtection="1">
      <alignment horizontal="center" vertical="center" wrapText="1"/>
      <protection hidden="1"/>
    </xf>
    <xf numFmtId="1" fontId="52" fillId="0" borderId="287" xfId="0" applyNumberFormat="1" applyFont="1" applyFill="1" applyBorder="1" applyAlignment="1" applyProtection="1">
      <alignment horizontal="center" vertical="center" wrapText="1"/>
      <protection hidden="1"/>
    </xf>
    <xf numFmtId="1" fontId="38" fillId="0" borderId="171" xfId="0" applyNumberFormat="1" applyFont="1" applyFill="1" applyBorder="1" applyAlignment="1" applyProtection="1">
      <alignment horizontal="center" vertical="center" wrapText="1"/>
      <protection hidden="1"/>
    </xf>
    <xf numFmtId="1" fontId="38" fillId="0" borderId="283" xfId="0" applyNumberFormat="1" applyFont="1" applyFill="1" applyBorder="1" applyAlignment="1" applyProtection="1">
      <alignment horizontal="center" vertical="center" wrapText="1"/>
      <protection hidden="1"/>
    </xf>
    <xf numFmtId="0" fontId="63" fillId="0" borderId="295" xfId="0" applyNumberFormat="1" applyFont="1" applyFill="1" applyBorder="1" applyAlignment="1" applyProtection="1">
      <alignment horizontal="center" vertical="top" wrapText="1"/>
      <protection hidden="1"/>
    </xf>
    <xf numFmtId="0" fontId="63" fillId="0" borderId="296" xfId="0" applyNumberFormat="1" applyFont="1" applyFill="1" applyBorder="1" applyAlignment="1" applyProtection="1">
      <alignment horizontal="center" vertical="top" wrapText="1"/>
      <protection hidden="1"/>
    </xf>
    <xf numFmtId="0" fontId="63" fillId="0" borderId="297" xfId="0" applyNumberFormat="1" applyFont="1" applyFill="1" applyBorder="1" applyAlignment="1" applyProtection="1">
      <alignment horizontal="center" vertical="top" wrapText="1"/>
      <protection hidden="1"/>
    </xf>
    <xf numFmtId="0" fontId="182" fillId="0" borderId="172" xfId="0" applyNumberFormat="1" applyFont="1" applyFill="1" applyBorder="1" applyAlignment="1" applyProtection="1">
      <alignment horizontal="center" wrapText="1"/>
      <protection hidden="1"/>
    </xf>
    <xf numFmtId="0" fontId="182" fillId="0" borderId="173" xfId="0" applyNumberFormat="1" applyFont="1" applyFill="1" applyBorder="1" applyAlignment="1" applyProtection="1">
      <alignment horizontal="center" wrapText="1"/>
      <protection hidden="1"/>
    </xf>
    <xf numFmtId="0" fontId="182" fillId="0" borderId="285" xfId="0" applyNumberFormat="1" applyFont="1" applyFill="1" applyBorder="1" applyAlignment="1" applyProtection="1">
      <alignment horizontal="center" wrapText="1"/>
      <protection hidden="1"/>
    </xf>
    <xf numFmtId="0" fontId="8" fillId="0" borderId="171" xfId="0" applyFont="1" applyBorder="1" applyAlignment="1" applyProtection="1">
      <alignment horizontal="center" vertical="center"/>
      <protection hidden="1"/>
    </xf>
    <xf numFmtId="0" fontId="8" fillId="0" borderId="283" xfId="0" applyFont="1" applyBorder="1" applyAlignment="1" applyProtection="1">
      <alignment horizontal="center" vertical="center"/>
      <protection hidden="1"/>
    </xf>
    <xf numFmtId="0" fontId="172" fillId="0" borderId="171" xfId="0" applyFont="1" applyFill="1" applyBorder="1" applyAlignment="1" applyProtection="1">
      <alignment horizontal="center" vertical="center" wrapText="1"/>
      <protection hidden="1"/>
    </xf>
    <xf numFmtId="0" fontId="282" fillId="0" borderId="171" xfId="0" applyFont="1" applyFill="1" applyBorder="1" applyAlignment="1" applyProtection="1">
      <alignment horizontal="center" vertical="center" wrapText="1"/>
      <protection hidden="1"/>
    </xf>
    <xf numFmtId="2" fontId="305" fillId="0" borderId="192" xfId="0" applyNumberFormat="1" applyFont="1" applyFill="1" applyBorder="1" applyAlignment="1" applyProtection="1">
      <alignment horizontal="center" vertical="center" wrapText="1"/>
      <protection hidden="1"/>
    </xf>
    <xf numFmtId="2" fontId="305" fillId="0" borderId="193" xfId="0" applyNumberFormat="1" applyFont="1" applyFill="1" applyBorder="1" applyAlignment="1" applyProtection="1">
      <alignment horizontal="center" vertical="center" wrapText="1"/>
      <protection hidden="1"/>
    </xf>
    <xf numFmtId="0" fontId="231" fillId="0" borderId="290" xfId="0" applyFont="1" applyFill="1" applyBorder="1" applyAlignment="1" applyProtection="1">
      <alignment horizontal="center" vertical="center" wrapText="1"/>
      <protection hidden="1"/>
    </xf>
    <xf numFmtId="0" fontId="231" fillId="0" borderId="291" xfId="0" applyFont="1" applyFill="1" applyBorder="1" applyAlignment="1" applyProtection="1">
      <alignment horizontal="center" vertical="center" wrapText="1"/>
      <protection hidden="1"/>
    </xf>
    <xf numFmtId="0" fontId="231" fillId="0" borderId="292" xfId="0" applyFont="1" applyFill="1" applyBorder="1" applyAlignment="1" applyProtection="1">
      <alignment horizontal="center" vertical="center" wrapText="1"/>
      <protection hidden="1"/>
    </xf>
    <xf numFmtId="2" fontId="38" fillId="0" borderId="176" xfId="0" applyNumberFormat="1" applyFont="1" applyFill="1" applyBorder="1" applyAlignment="1" applyProtection="1">
      <alignment horizontal="center" vertical="center" wrapText="1"/>
      <protection hidden="1"/>
    </xf>
    <xf numFmtId="2" fontId="38" fillId="0" borderId="289" xfId="0" applyNumberFormat="1" applyFont="1" applyFill="1" applyBorder="1" applyAlignment="1" applyProtection="1">
      <alignment horizontal="center" vertical="center" wrapText="1"/>
      <protection hidden="1"/>
    </xf>
    <xf numFmtId="2" fontId="270" fillId="0" borderId="176" xfId="0" applyNumberFormat="1" applyFont="1" applyFill="1" applyBorder="1" applyAlignment="1" applyProtection="1">
      <alignment horizontal="center" vertical="center" wrapText="1"/>
      <protection hidden="1"/>
    </xf>
    <xf numFmtId="2" fontId="270" fillId="0" borderId="289" xfId="0" applyNumberFormat="1" applyFont="1" applyFill="1" applyBorder="1" applyAlignment="1" applyProtection="1">
      <alignment horizontal="center" vertical="center" wrapText="1"/>
      <protection hidden="1"/>
    </xf>
    <xf numFmtId="0" fontId="260" fillId="0" borderId="293" xfId="0" applyFont="1" applyFill="1" applyBorder="1" applyAlignment="1" applyProtection="1">
      <alignment horizontal="center" wrapText="1"/>
      <protection hidden="1"/>
    </xf>
    <xf numFmtId="0" fontId="260" fillId="0" borderId="294" xfId="0" applyFont="1" applyFill="1" applyBorder="1" applyAlignment="1" applyProtection="1">
      <alignment horizontal="center" wrapText="1"/>
      <protection hidden="1"/>
    </xf>
    <xf numFmtId="0" fontId="282" fillId="0" borderId="288" xfId="0" applyFont="1" applyFill="1" applyBorder="1" applyAlignment="1" applyProtection="1">
      <alignment horizontal="center" vertical="center" wrapText="1"/>
      <protection hidden="1"/>
    </xf>
    <xf numFmtId="0" fontId="282" fillId="0" borderId="192" xfId="0" applyFont="1" applyFill="1" applyBorder="1" applyAlignment="1" applyProtection="1">
      <alignment horizontal="center" vertical="center" wrapText="1"/>
      <protection hidden="1"/>
    </xf>
    <xf numFmtId="0" fontId="282" fillId="0" borderId="193" xfId="0" applyFont="1" applyFill="1" applyBorder="1" applyAlignment="1" applyProtection="1">
      <alignment horizontal="center" vertical="center" wrapText="1"/>
      <protection hidden="1"/>
    </xf>
    <xf numFmtId="2" fontId="270" fillId="0" borderId="193" xfId="0" applyNumberFormat="1" applyFont="1" applyFill="1" applyBorder="1" applyAlignment="1" applyProtection="1">
      <alignment horizontal="center" vertical="center" wrapText="1"/>
      <protection hidden="1"/>
    </xf>
    <xf numFmtId="0" fontId="174" fillId="0" borderId="171" xfId="0" applyFont="1" applyFill="1" applyBorder="1" applyAlignment="1" applyProtection="1">
      <alignment horizontal="center" vertical="center" wrapText="1"/>
      <protection hidden="1"/>
    </xf>
    <xf numFmtId="2" fontId="38" fillId="0" borderId="193" xfId="0" applyNumberFormat="1" applyFont="1" applyFill="1" applyBorder="1" applyAlignment="1" applyProtection="1">
      <alignment horizontal="center" vertical="center" wrapText="1"/>
      <protection hidden="1"/>
    </xf>
    <xf numFmtId="0" fontId="231" fillId="0" borderId="288" xfId="0" applyFont="1" applyFill="1" applyBorder="1" applyAlignment="1" applyProtection="1">
      <alignment horizontal="center" vertical="center" wrapText="1"/>
      <protection hidden="1"/>
    </xf>
    <xf numFmtId="0" fontId="231" fillId="0" borderId="192" xfId="0" applyFont="1" applyFill="1" applyBorder="1" applyAlignment="1" applyProtection="1">
      <alignment horizontal="center" vertical="center" wrapText="1"/>
      <protection hidden="1"/>
    </xf>
    <xf numFmtId="0" fontId="231" fillId="0" borderId="193" xfId="0" applyFont="1" applyFill="1" applyBorder="1" applyAlignment="1" applyProtection="1">
      <alignment horizontal="center" vertical="center" wrapText="1"/>
      <protection hidden="1"/>
    </xf>
    <xf numFmtId="2" fontId="305" fillId="0" borderId="176" xfId="0" applyNumberFormat="1" applyFont="1" applyFill="1" applyBorder="1" applyAlignment="1" applyProtection="1">
      <alignment horizontal="center" vertical="center" wrapText="1"/>
      <protection hidden="1"/>
    </xf>
    <xf numFmtId="171" fontId="179" fillId="7" borderId="171" xfId="0" applyNumberFormat="1" applyFont="1" applyFill="1" applyBorder="1" applyAlignment="1" applyProtection="1">
      <alignment horizontal="center" vertical="center" wrapText="1"/>
      <protection hidden="1"/>
    </xf>
    <xf numFmtId="0" fontId="63" fillId="0" borderId="0" xfId="0" applyNumberFormat="1" applyFont="1" applyBorder="1" applyAlignment="1" applyProtection="1">
      <alignment horizontal="center" wrapText="1"/>
      <protection hidden="1"/>
    </xf>
    <xf numFmtId="0" fontId="63" fillId="0" borderId="0" xfId="0" applyNumberFormat="1" applyFont="1" applyBorder="1" applyAlignment="1" applyProtection="1">
      <alignment horizontal="center"/>
      <protection hidden="1"/>
    </xf>
    <xf numFmtId="0" fontId="63" fillId="0" borderId="200" xfId="0" applyNumberFormat="1" applyFont="1" applyBorder="1" applyAlignment="1" applyProtection="1">
      <alignment horizontal="center"/>
      <protection hidden="1"/>
    </xf>
    <xf numFmtId="0" fontId="38" fillId="0" borderId="0" xfId="0" applyNumberFormat="1" applyFont="1" applyAlignment="1" applyProtection="1">
      <alignment horizontal="center" vertical="top" wrapText="1"/>
      <protection hidden="1"/>
    </xf>
    <xf numFmtId="0" fontId="273" fillId="0" borderId="197" xfId="0" applyNumberFormat="1" applyFont="1" applyFill="1" applyBorder="1" applyAlignment="1" applyProtection="1">
      <alignment horizontal="center" vertical="center" wrapText="1"/>
      <protection hidden="1"/>
    </xf>
    <xf numFmtId="0" fontId="273" fillId="0" borderId="198" xfId="0" applyNumberFormat="1" applyFont="1" applyFill="1" applyBorder="1" applyAlignment="1" applyProtection="1">
      <alignment horizontal="center" vertical="center" wrapText="1"/>
      <protection hidden="1"/>
    </xf>
    <xf numFmtId="0" fontId="273" fillId="0" borderId="199" xfId="0" applyNumberFormat="1" applyFont="1" applyFill="1" applyBorder="1" applyAlignment="1" applyProtection="1">
      <alignment horizontal="center" vertical="center" wrapText="1"/>
      <protection hidden="1"/>
    </xf>
    <xf numFmtId="0" fontId="273" fillId="0" borderId="196" xfId="0" applyNumberFormat="1" applyFont="1" applyFill="1" applyBorder="1" applyAlignment="1" applyProtection="1">
      <alignment horizontal="center" vertical="center" wrapText="1"/>
      <protection hidden="1"/>
    </xf>
    <xf numFmtId="0" fontId="273" fillId="0" borderId="209" xfId="0" applyNumberFormat="1" applyFont="1" applyFill="1" applyBorder="1" applyAlignment="1" applyProtection="1">
      <alignment horizontal="center" vertical="center" wrapText="1"/>
      <protection hidden="1"/>
    </xf>
    <xf numFmtId="0" fontId="273" fillId="0" borderId="210" xfId="0" applyNumberFormat="1" applyFont="1" applyFill="1" applyBorder="1" applyAlignment="1" applyProtection="1">
      <alignment horizontal="center" vertical="center" wrapText="1"/>
      <protection hidden="1"/>
    </xf>
    <xf numFmtId="0" fontId="258" fillId="0" borderId="197" xfId="0" applyNumberFormat="1" applyFont="1" applyFill="1" applyBorder="1" applyAlignment="1" applyProtection="1">
      <alignment horizontal="center" vertical="center" wrapText="1"/>
      <protection hidden="1"/>
    </xf>
    <xf numFmtId="0" fontId="258" fillId="0" borderId="198" xfId="0" applyNumberFormat="1" applyFont="1" applyFill="1" applyBorder="1" applyAlignment="1" applyProtection="1">
      <alignment horizontal="center" vertical="center" wrapText="1"/>
      <protection hidden="1"/>
    </xf>
    <xf numFmtId="0" fontId="258" fillId="0" borderId="199" xfId="0" applyNumberFormat="1" applyFont="1" applyFill="1" applyBorder="1" applyAlignment="1" applyProtection="1">
      <alignment horizontal="center" vertical="center" wrapText="1"/>
      <protection hidden="1"/>
    </xf>
    <xf numFmtId="0" fontId="38" fillId="0" borderId="194" xfId="0" applyNumberFormat="1" applyFont="1" applyFill="1" applyBorder="1" applyAlignment="1" applyProtection="1">
      <alignment horizontal="center" vertical="center" wrapText="1"/>
      <protection hidden="1"/>
    </xf>
    <xf numFmtId="0" fontId="274" fillId="0" borderId="197" xfId="0" applyNumberFormat="1" applyFont="1" applyFill="1" applyBorder="1" applyAlignment="1" applyProtection="1">
      <alignment horizontal="center" vertical="center" wrapText="1"/>
      <protection hidden="1"/>
    </xf>
    <xf numFmtId="0" fontId="274" fillId="0" borderId="198" xfId="0" applyNumberFormat="1" applyFont="1" applyFill="1" applyBorder="1" applyAlignment="1" applyProtection="1">
      <alignment horizontal="center" vertical="center" wrapText="1"/>
      <protection hidden="1"/>
    </xf>
    <xf numFmtId="0" fontId="274" fillId="0" borderId="199" xfId="0" applyNumberFormat="1" applyFont="1" applyFill="1" applyBorder="1" applyAlignment="1" applyProtection="1">
      <alignment horizontal="center" vertical="center" wrapText="1"/>
      <protection hidden="1"/>
    </xf>
    <xf numFmtId="0" fontId="38" fillId="0" borderId="201" xfId="0" applyNumberFormat="1" applyFont="1" applyFill="1" applyBorder="1" applyAlignment="1" applyProtection="1">
      <alignment horizontal="center" vertical="center" wrapText="1"/>
      <protection hidden="1"/>
    </xf>
    <xf numFmtId="0" fontId="38" fillId="0" borderId="200" xfId="0" applyNumberFormat="1" applyFont="1" applyFill="1" applyBorder="1" applyAlignment="1" applyProtection="1">
      <alignment horizontal="center" vertical="center" wrapText="1"/>
      <protection hidden="1"/>
    </xf>
    <xf numFmtId="0" fontId="38" fillId="0" borderId="298" xfId="0" applyNumberFormat="1" applyFont="1" applyFill="1" applyBorder="1" applyAlignment="1" applyProtection="1">
      <alignment horizontal="center" vertical="center" wrapText="1"/>
      <protection hidden="1"/>
    </xf>
    <xf numFmtId="0" fontId="357" fillId="0" borderId="195" xfId="0" applyNumberFormat="1" applyFont="1" applyFill="1" applyBorder="1" applyAlignment="1" applyProtection="1">
      <alignment horizontal="center" vertical="center" wrapText="1"/>
      <protection hidden="1"/>
    </xf>
    <xf numFmtId="0" fontId="335" fillId="0" borderId="194" xfId="0" applyNumberFormat="1" applyFont="1" applyFill="1" applyBorder="1" applyAlignment="1" applyProtection="1">
      <alignment horizontal="center" vertical="center" wrapText="1"/>
      <protection hidden="1"/>
    </xf>
    <xf numFmtId="0" fontId="127" fillId="0" borderId="194" xfId="0" applyNumberFormat="1" applyFont="1" applyFill="1" applyBorder="1" applyAlignment="1" applyProtection="1">
      <alignment horizontal="center" vertical="center" wrapText="1"/>
      <protection hidden="1"/>
    </xf>
    <xf numFmtId="0" fontId="231" fillId="0" borderId="194" xfId="0" applyFont="1" applyFill="1" applyBorder="1" applyAlignment="1" applyProtection="1">
      <alignment horizontal="center" vertical="center" wrapText="1"/>
      <protection hidden="1"/>
    </xf>
    <xf numFmtId="0" fontId="335" fillId="0" borderId="195" xfId="0" applyNumberFormat="1" applyFont="1" applyFill="1" applyBorder="1" applyAlignment="1" applyProtection="1">
      <alignment horizontal="center" vertical="center" wrapText="1"/>
      <protection hidden="1"/>
    </xf>
    <xf numFmtId="0" fontId="356" fillId="0" borderId="195" xfId="0" applyNumberFormat="1" applyFont="1" applyFill="1" applyBorder="1" applyAlignment="1" applyProtection="1">
      <alignment horizontal="center" vertical="center" wrapText="1"/>
      <protection hidden="1"/>
    </xf>
    <xf numFmtId="0" fontId="261" fillId="0" borderId="194" xfId="0" applyFont="1" applyFill="1" applyBorder="1" applyAlignment="1" applyProtection="1">
      <alignment horizontal="center" vertical="center" textRotation="90" wrapText="1"/>
      <protection hidden="1"/>
    </xf>
    <xf numFmtId="0" fontId="258" fillId="0" borderId="194" xfId="0" applyNumberFormat="1" applyFont="1" applyFill="1" applyBorder="1" applyAlignment="1" applyProtection="1">
      <alignment horizontal="left" vertical="center" wrapText="1"/>
      <protection hidden="1"/>
    </xf>
    <xf numFmtId="0" fontId="188" fillId="0" borderId="194" xfId="0" applyNumberFormat="1" applyFont="1" applyFill="1" applyBorder="1" applyAlignment="1" applyProtection="1">
      <alignment horizontal="center" vertical="top" wrapText="1"/>
      <protection hidden="1"/>
    </xf>
    <xf numFmtId="0" fontId="333" fillId="0" borderId="194" xfId="0" applyNumberFormat="1" applyFont="1" applyFill="1" applyBorder="1" applyAlignment="1" applyProtection="1">
      <alignment horizontal="right" vertical="center" wrapText="1"/>
      <protection hidden="1"/>
    </xf>
    <xf numFmtId="0" fontId="354" fillId="0" borderId="194" xfId="0" applyNumberFormat="1" applyFont="1" applyFill="1" applyBorder="1" applyAlignment="1" applyProtection="1">
      <alignment horizontal="right" vertical="center" wrapText="1"/>
      <protection hidden="1"/>
    </xf>
    <xf numFmtId="0" fontId="130" fillId="0" borderId="194" xfId="0" applyNumberFormat="1" applyFont="1" applyFill="1" applyBorder="1" applyAlignment="1" applyProtection="1">
      <alignment horizontal="center" vertical="center" wrapText="1"/>
      <protection hidden="1"/>
    </xf>
    <xf numFmtId="0" fontId="232" fillId="0" borderId="194" xfId="0" applyNumberFormat="1" applyFont="1" applyFill="1" applyBorder="1" applyAlignment="1" applyProtection="1">
      <alignment horizontal="center" vertical="center" wrapText="1"/>
      <protection hidden="1"/>
    </xf>
    <xf numFmtId="0" fontId="355" fillId="0" borderId="194" xfId="0" applyNumberFormat="1" applyFont="1" applyFill="1" applyBorder="1" applyAlignment="1" applyProtection="1">
      <alignment horizontal="center" vertical="center" wrapText="1"/>
      <protection hidden="1"/>
    </xf>
    <xf numFmtId="0" fontId="115" fillId="0" borderId="197" xfId="0" applyNumberFormat="1" applyFont="1" applyFill="1" applyBorder="1" applyAlignment="1" applyProtection="1">
      <alignment horizontal="center" vertical="center" wrapText="1"/>
      <protection hidden="1"/>
    </xf>
    <xf numFmtId="0" fontId="115" fillId="0" borderId="198" xfId="0" applyNumberFormat="1" applyFont="1" applyFill="1" applyBorder="1" applyAlignment="1" applyProtection="1">
      <alignment horizontal="center" vertical="center" wrapText="1"/>
      <protection hidden="1"/>
    </xf>
    <xf numFmtId="0" fontId="187" fillId="0" borderId="0" xfId="0" applyNumberFormat="1" applyFont="1" applyBorder="1" applyAlignment="1" applyProtection="1">
      <alignment horizontal="center" vertical="top" wrapText="1"/>
      <protection hidden="1"/>
    </xf>
    <xf numFmtId="0" fontId="187" fillId="0" borderId="0" xfId="0" applyNumberFormat="1" applyFont="1" applyFill="1" applyBorder="1" applyAlignment="1" applyProtection="1">
      <alignment horizontal="center" vertical="top" wrapText="1"/>
      <protection hidden="1"/>
    </xf>
    <xf numFmtId="0" fontId="63" fillId="0" borderId="194" xfId="0" applyNumberFormat="1" applyFont="1" applyFill="1" applyBorder="1" applyAlignment="1" applyProtection="1">
      <alignment horizontal="center" vertical="center" wrapText="1"/>
      <protection hidden="1"/>
    </xf>
    <xf numFmtId="0" fontId="127" fillId="0" borderId="194" xfId="0" applyFont="1" applyFill="1" applyBorder="1" applyAlignment="1" applyProtection="1">
      <alignment horizontal="center" vertical="center" wrapText="1"/>
      <protection hidden="1"/>
    </xf>
    <xf numFmtId="0" fontId="236" fillId="0" borderId="194" xfId="0" applyFont="1" applyFill="1" applyBorder="1" applyAlignment="1" applyProtection="1">
      <alignment horizontal="center" vertical="center" textRotation="90" wrapText="1"/>
      <protection hidden="1"/>
    </xf>
    <xf numFmtId="0" fontId="106" fillId="0" borderId="194" xfId="0" applyFont="1" applyFill="1" applyBorder="1" applyAlignment="1" applyProtection="1">
      <alignment horizontal="center" vertical="center" textRotation="90" wrapText="1"/>
      <protection hidden="1"/>
    </xf>
    <xf numFmtId="0" fontId="273" fillId="0" borderId="0" xfId="0" applyNumberFormat="1" applyFont="1" applyBorder="1" applyAlignment="1" applyProtection="1">
      <alignment horizontal="left" vertical="center" wrapText="1"/>
      <protection hidden="1"/>
    </xf>
    <xf numFmtId="0" fontId="273" fillId="0" borderId="0" xfId="0" applyNumberFormat="1" applyFont="1" applyBorder="1" applyAlignment="1" applyProtection="1">
      <alignment horizontal="right" vertical="center" wrapText="1"/>
      <protection hidden="1"/>
    </xf>
    <xf numFmtId="171" fontId="30" fillId="0" borderId="0" xfId="0" applyNumberFormat="1" applyFont="1" applyBorder="1" applyAlignment="1" applyProtection="1">
      <alignment horizontal="left" vertical="center" wrapText="1"/>
      <protection hidden="1"/>
    </xf>
    <xf numFmtId="0" fontId="183" fillId="0" borderId="0" xfId="0" applyNumberFormat="1" applyFont="1" applyFill="1" applyBorder="1" applyAlignment="1" applyProtection="1">
      <alignment horizontal="left" vertical="center" wrapText="1"/>
      <protection hidden="1"/>
    </xf>
    <xf numFmtId="0" fontId="184" fillId="0" borderId="0" xfId="0" applyNumberFormat="1" applyFont="1" applyBorder="1" applyAlignment="1" applyProtection="1">
      <alignment horizontal="left" vertical="center" wrapText="1"/>
      <protection hidden="1"/>
    </xf>
    <xf numFmtId="0" fontId="270" fillId="0" borderId="0" xfId="0" applyNumberFormat="1" applyFont="1" applyFill="1" applyBorder="1" applyAlignment="1" applyProtection="1">
      <alignment horizontal="left" vertical="center" wrapText="1"/>
      <protection hidden="1"/>
    </xf>
    <xf numFmtId="0" fontId="350" fillId="0" borderId="0" xfId="0" applyFont="1" applyBorder="1" applyAlignment="1" applyProtection="1">
      <alignment horizontal="center"/>
      <protection hidden="1"/>
    </xf>
    <xf numFmtId="0" fontId="351" fillId="0" borderId="0" xfId="0" applyFont="1" applyBorder="1" applyAlignment="1" applyProtection="1">
      <alignment horizontal="center" vertical="center"/>
      <protection hidden="1"/>
    </xf>
    <xf numFmtId="0" fontId="352" fillId="0" borderId="0" xfId="0" applyFont="1" applyBorder="1" applyAlignment="1" applyProtection="1">
      <alignment horizontal="center" vertical="center"/>
      <protection hidden="1"/>
    </xf>
    <xf numFmtId="0" fontId="9" fillId="0" borderId="0" xfId="0" applyNumberFormat="1" applyFont="1" applyBorder="1" applyAlignment="1" applyProtection="1">
      <alignment horizontal="left" vertical="top" wrapText="1"/>
      <protection hidden="1"/>
    </xf>
    <xf numFmtId="0" fontId="9" fillId="0" borderId="0" xfId="0" applyNumberFormat="1" applyFont="1" applyBorder="1" applyAlignment="1" applyProtection="1">
      <alignment horizontal="left" vertical="center" wrapText="1"/>
      <protection hidden="1"/>
    </xf>
    <xf numFmtId="0" fontId="41" fillId="39" borderId="64" xfId="0" applyFont="1" applyFill="1" applyBorder="1" applyAlignment="1" applyProtection="1">
      <alignment horizontal="center" vertical="center" wrapText="1"/>
      <protection hidden="1"/>
    </xf>
    <xf numFmtId="0" fontId="41" fillId="39" borderId="65" xfId="0" applyFont="1" applyFill="1" applyBorder="1" applyAlignment="1" applyProtection="1">
      <alignment horizontal="center" vertical="center" wrapText="1"/>
      <protection hidden="1"/>
    </xf>
    <xf numFmtId="0" fontId="41" fillId="39" borderId="66" xfId="0" applyFont="1" applyFill="1" applyBorder="1" applyAlignment="1" applyProtection="1">
      <alignment horizontal="center" vertical="center" wrapText="1"/>
      <protection hidden="1"/>
    </xf>
    <xf numFmtId="0" fontId="41" fillId="39" borderId="67" xfId="0" applyFont="1" applyFill="1" applyBorder="1" applyAlignment="1" applyProtection="1">
      <alignment horizontal="center" vertical="center" wrapText="1"/>
      <protection hidden="1"/>
    </xf>
    <xf numFmtId="0" fontId="41" fillId="39" borderId="0" xfId="0" applyFont="1" applyFill="1" applyBorder="1" applyAlignment="1" applyProtection="1">
      <alignment horizontal="center" vertical="center" wrapText="1"/>
      <protection hidden="1"/>
    </xf>
    <xf numFmtId="0" fontId="41" fillId="39" borderId="68" xfId="0" applyFont="1" applyFill="1" applyBorder="1" applyAlignment="1" applyProtection="1">
      <alignment horizontal="center" vertical="center" wrapText="1"/>
      <protection hidden="1"/>
    </xf>
    <xf numFmtId="0" fontId="41" fillId="39" borderId="69" xfId="0" applyFont="1" applyFill="1" applyBorder="1" applyAlignment="1" applyProtection="1">
      <alignment horizontal="center" vertical="center" wrapText="1"/>
      <protection hidden="1"/>
    </xf>
    <xf numFmtId="0" fontId="41" fillId="39" borderId="70" xfId="0" applyFont="1" applyFill="1" applyBorder="1" applyAlignment="1" applyProtection="1">
      <alignment horizontal="center" vertical="center" wrapText="1"/>
      <protection hidden="1"/>
    </xf>
    <xf numFmtId="0" fontId="41" fillId="39" borderId="71" xfId="0" applyFont="1" applyFill="1" applyBorder="1" applyAlignment="1" applyProtection="1">
      <alignment horizontal="center" vertical="center" wrapText="1"/>
      <protection hidden="1"/>
    </xf>
    <xf numFmtId="0" fontId="6" fillId="14" borderId="0" xfId="0" applyFont="1" applyFill="1" applyAlignment="1" applyProtection="1">
      <alignment horizontal="center" vertical="center" wrapText="1"/>
      <protection hidden="1"/>
    </xf>
    <xf numFmtId="0" fontId="189" fillId="0" borderId="0" xfId="0" applyFont="1" applyAlignment="1" applyProtection="1">
      <alignment horizontal="center" vertical="center" textRotation="90"/>
      <protection hidden="1"/>
    </xf>
    <xf numFmtId="2" fontId="270" fillId="0" borderId="171" xfId="0" applyNumberFormat="1" applyFont="1" applyFill="1" applyBorder="1" applyAlignment="1" applyProtection="1">
      <alignment horizontal="center" vertical="center" wrapText="1"/>
      <protection hidden="1"/>
    </xf>
    <xf numFmtId="2" fontId="270" fillId="0" borderId="283" xfId="0" applyNumberFormat="1" applyFont="1" applyFill="1" applyBorder="1" applyAlignment="1" applyProtection="1">
      <alignment horizontal="center" vertical="center" wrapText="1"/>
      <protection hidden="1"/>
    </xf>
    <xf numFmtId="1" fontId="172" fillId="0" borderId="171" xfId="0" applyNumberFormat="1" applyFont="1" applyFill="1" applyBorder="1" applyAlignment="1" applyProtection="1">
      <alignment horizontal="center" vertical="center" wrapText="1"/>
      <protection hidden="1"/>
    </xf>
    <xf numFmtId="0" fontId="174" fillId="0" borderId="171" xfId="0" applyNumberFormat="1" applyFont="1" applyFill="1" applyBorder="1" applyAlignment="1" applyProtection="1">
      <alignment horizontal="center" vertical="center" wrapText="1"/>
      <protection hidden="1"/>
    </xf>
    <xf numFmtId="2" fontId="38" fillId="0" borderId="171" xfId="0" applyNumberFormat="1" applyFont="1" applyFill="1" applyBorder="1" applyAlignment="1" applyProtection="1">
      <alignment horizontal="center" vertical="center" wrapText="1"/>
      <protection hidden="1"/>
    </xf>
    <xf numFmtId="2" fontId="305" fillId="0" borderId="171" xfId="0" applyNumberFormat="1" applyFont="1" applyFill="1" applyBorder="1" applyAlignment="1" applyProtection="1">
      <alignment horizontal="center" vertical="center" wrapText="1"/>
      <protection hidden="1"/>
    </xf>
    <xf numFmtId="0" fontId="358" fillId="0" borderId="284" xfId="0" applyFont="1" applyFill="1" applyBorder="1" applyAlignment="1" applyProtection="1">
      <alignment horizontal="left" vertical="center" wrapText="1"/>
      <protection hidden="1"/>
    </xf>
    <xf numFmtId="0" fontId="358" fillId="0" borderId="171" xfId="0" applyFont="1" applyFill="1" applyBorder="1" applyAlignment="1" applyProtection="1">
      <alignment horizontal="left" vertical="center" wrapText="1"/>
      <protection hidden="1"/>
    </xf>
    <xf numFmtId="0" fontId="358" fillId="0" borderId="283" xfId="0" applyFont="1" applyFill="1" applyBorder="1" applyAlignment="1" applyProtection="1">
      <alignment horizontal="left" vertical="center" wrapText="1"/>
      <protection hidden="1"/>
    </xf>
    <xf numFmtId="0" fontId="282" fillId="0" borderId="284" xfId="0" applyFont="1" applyFill="1" applyBorder="1" applyAlignment="1" applyProtection="1">
      <alignment horizontal="center" vertical="center" wrapText="1"/>
      <protection hidden="1"/>
    </xf>
    <xf numFmtId="1" fontId="308" fillId="0" borderId="171" xfId="0" applyNumberFormat="1" applyFont="1" applyFill="1" applyBorder="1" applyAlignment="1" applyProtection="1">
      <alignment horizontal="center" vertical="center" wrapText="1"/>
      <protection hidden="1"/>
    </xf>
    <xf numFmtId="2" fontId="38" fillId="0" borderId="283" xfId="0" applyNumberFormat="1" applyFont="1" applyFill="1" applyBorder="1" applyAlignment="1" applyProtection="1">
      <alignment horizontal="center" vertical="center" wrapText="1"/>
      <protection hidden="1"/>
    </xf>
    <xf numFmtId="0" fontId="101" fillId="0" borderId="64" xfId="0" applyFont="1" applyBorder="1" applyAlignment="1" applyProtection="1">
      <alignment horizontal="center" vertical="center" wrapText="1"/>
      <protection hidden="1"/>
    </xf>
    <xf numFmtId="0" fontId="101" fillId="0" borderId="65" xfId="0" applyFont="1" applyBorder="1" applyAlignment="1" applyProtection="1">
      <alignment horizontal="center" vertical="center" wrapText="1"/>
      <protection hidden="1"/>
    </xf>
    <xf numFmtId="0" fontId="101" fillId="0" borderId="66" xfId="0" applyFont="1" applyBorder="1" applyAlignment="1" applyProtection="1">
      <alignment horizontal="center" vertical="center" wrapText="1"/>
      <protection hidden="1"/>
    </xf>
    <xf numFmtId="0" fontId="101" fillId="0" borderId="67" xfId="0" applyFont="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1" fillId="0" borderId="68" xfId="0" applyFont="1" applyBorder="1" applyAlignment="1" applyProtection="1">
      <alignment horizontal="center" vertical="center" wrapText="1"/>
      <protection hidden="1"/>
    </xf>
    <xf numFmtId="0" fontId="101" fillId="0" borderId="69" xfId="0" applyFont="1" applyBorder="1" applyAlignment="1" applyProtection="1">
      <alignment horizontal="center" vertical="center" wrapText="1"/>
      <protection hidden="1"/>
    </xf>
    <xf numFmtId="0" fontId="101" fillId="0" borderId="70" xfId="0" applyFont="1" applyBorder="1" applyAlignment="1" applyProtection="1">
      <alignment horizontal="center" vertical="center" wrapText="1"/>
      <protection hidden="1"/>
    </xf>
    <xf numFmtId="0" fontId="101" fillId="0" borderId="71"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6" fillId="0" borderId="0" xfId="0" applyFont="1" applyBorder="1" applyAlignment="1" applyProtection="1">
      <alignment horizontal="left" vertical="center"/>
      <protection hidden="1"/>
    </xf>
    <xf numFmtId="0" fontId="231" fillId="0" borderId="280" xfId="0" applyFont="1" applyFill="1" applyBorder="1" applyAlignment="1" applyProtection="1">
      <alignment horizontal="center" vertical="center" wrapText="1"/>
      <protection hidden="1"/>
    </xf>
    <xf numFmtId="0" fontId="231" fillId="0" borderId="281" xfId="0" applyFont="1" applyFill="1" applyBorder="1" applyAlignment="1" applyProtection="1">
      <alignment horizontal="center" vertical="center" wrapText="1"/>
      <protection hidden="1"/>
    </xf>
    <xf numFmtId="0" fontId="231" fillId="0" borderId="283" xfId="0" applyFont="1" applyFill="1" applyBorder="1" applyAlignment="1" applyProtection="1">
      <alignment horizontal="center" vertical="center" wrapText="1"/>
      <protection hidden="1"/>
    </xf>
    <xf numFmtId="0" fontId="182" fillId="0" borderId="171" xfId="0" applyNumberFormat="1" applyFont="1" applyFill="1" applyBorder="1" applyAlignment="1" applyProtection="1">
      <alignment horizontal="center" wrapText="1"/>
      <protection hidden="1"/>
    </xf>
    <xf numFmtId="0" fontId="182" fillId="0" borderId="283" xfId="0" applyNumberFormat="1" applyFont="1" applyFill="1" applyBorder="1" applyAlignment="1" applyProtection="1">
      <alignment horizontal="center" wrapText="1"/>
      <protection hidden="1"/>
    </xf>
    <xf numFmtId="0" fontId="63" fillId="0" borderId="293" xfId="0" applyNumberFormat="1" applyFont="1" applyFill="1" applyBorder="1" applyAlignment="1" applyProtection="1">
      <alignment horizontal="center" vertical="top" wrapText="1"/>
      <protection hidden="1"/>
    </xf>
    <xf numFmtId="0" fontId="63" fillId="0" borderId="301" xfId="0" applyNumberFormat="1" applyFont="1" applyFill="1" applyBorder="1" applyAlignment="1" applyProtection="1">
      <alignment horizontal="center" vertical="top" wrapText="1"/>
      <protection hidden="1"/>
    </xf>
    <xf numFmtId="0" fontId="231" fillId="0" borderId="284" xfId="0" applyFont="1" applyFill="1" applyBorder="1" applyAlignment="1" applyProtection="1">
      <alignment horizontal="center" vertical="center" wrapText="1"/>
      <protection hidden="1"/>
    </xf>
    <xf numFmtId="0" fontId="231" fillId="0" borderId="300" xfId="0" applyFont="1" applyFill="1" applyBorder="1" applyAlignment="1" applyProtection="1">
      <alignment horizontal="center" vertical="center" wrapText="1"/>
      <protection hidden="1"/>
    </xf>
    <xf numFmtId="0" fontId="231" fillId="0" borderId="293" xfId="0" applyFont="1" applyFill="1" applyBorder="1" applyAlignment="1" applyProtection="1">
      <alignment horizontal="center" vertical="center" wrapText="1"/>
      <protection hidden="1"/>
    </xf>
    <xf numFmtId="0" fontId="359" fillId="0" borderId="284" xfId="0" applyFont="1" applyFill="1" applyBorder="1" applyAlignment="1" applyProtection="1">
      <alignment horizontal="right" vertical="center" shrinkToFit="1"/>
      <protection hidden="1"/>
    </xf>
    <xf numFmtId="0" fontId="359" fillId="0" borderId="171" xfId="0" applyFont="1" applyFill="1" applyBorder="1" applyAlignment="1" applyProtection="1">
      <alignment horizontal="right" vertical="center" shrinkToFit="1"/>
      <protection hidden="1"/>
    </xf>
    <xf numFmtId="0" fontId="355" fillId="0" borderId="280" xfId="0" applyFont="1" applyFill="1" applyBorder="1" applyAlignment="1" applyProtection="1">
      <alignment horizontal="center" vertical="center" textRotation="90" wrapText="1"/>
      <protection hidden="1"/>
    </xf>
    <xf numFmtId="0" fontId="355" fillId="0" borderId="171" xfId="0" applyFont="1" applyFill="1" applyBorder="1" applyAlignment="1" applyProtection="1">
      <alignment horizontal="center" vertical="center" textRotation="90" wrapText="1"/>
      <protection hidden="1"/>
    </xf>
    <xf numFmtId="0" fontId="127" fillId="0" borderId="299" xfId="0" applyFont="1" applyFill="1" applyBorder="1" applyAlignment="1" applyProtection="1">
      <alignment horizontal="center" vertical="center" wrapText="1"/>
      <protection hidden="1"/>
    </xf>
    <xf numFmtId="0" fontId="127" fillId="0" borderId="284" xfId="0" applyFont="1" applyFill="1" applyBorder="1" applyAlignment="1" applyProtection="1">
      <alignment horizontal="center" vertical="center" wrapText="1"/>
      <protection hidden="1"/>
    </xf>
    <xf numFmtId="0" fontId="127" fillId="0" borderId="171" xfId="0" applyFont="1" applyFill="1" applyBorder="1" applyAlignment="1" applyProtection="1">
      <alignment horizontal="center" vertical="center" wrapText="1"/>
      <protection hidden="1"/>
    </xf>
    <xf numFmtId="1" fontId="258" fillId="7" borderId="171" xfId="0" applyNumberFormat="1" applyFont="1" applyFill="1" applyBorder="1" applyAlignment="1" applyProtection="1">
      <alignment horizontal="center" vertical="center" wrapText="1"/>
      <protection hidden="1"/>
    </xf>
    <xf numFmtId="1" fontId="258" fillId="7" borderId="283" xfId="0" applyNumberFormat="1" applyFont="1" applyFill="1" applyBorder="1" applyAlignment="1" applyProtection="1">
      <alignment horizontal="center" vertical="center" wrapText="1"/>
      <protection hidden="1"/>
    </xf>
  </cellXfs>
  <cellStyles count="6">
    <cellStyle name="Hyperlink" xfId="4" builtinId="8"/>
    <cellStyle name="Normal" xfId="0" builtinId="0"/>
    <cellStyle name="Normal 2" xfId="3"/>
    <cellStyle name="Normal 3" xfId="5"/>
    <cellStyle name="Normal_Sheet1" xfId="1"/>
    <cellStyle name="Normal_Sheet2" xfId="2"/>
  </cellStyles>
  <dxfs count="203">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lor theme="0"/>
      </font>
    </dxf>
    <dxf>
      <fill>
        <patternFill>
          <bgColor rgb="FFE0C1FF"/>
        </patternFill>
      </fill>
    </dxf>
    <dxf>
      <fill>
        <patternFill>
          <bgColor rgb="FFFFD3A7"/>
        </patternFill>
      </fill>
    </dxf>
    <dxf>
      <font>
        <color theme="0"/>
      </font>
    </dxf>
    <dxf>
      <fill>
        <patternFill>
          <bgColor theme="0"/>
        </patternFill>
      </fill>
    </dxf>
    <dxf>
      <font>
        <b/>
        <i val="0"/>
        <color rgb="FF0000CC"/>
      </font>
      <fill>
        <patternFill>
          <bgColor theme="8" tint="0.59996337778862885"/>
        </patternFill>
      </fill>
    </dxf>
    <dxf>
      <font>
        <b/>
        <i val="0"/>
        <color rgb="FF0000CC"/>
      </font>
      <fill>
        <patternFill>
          <bgColor theme="8" tint="0.59996337778862885"/>
        </patternFill>
      </fill>
    </dxf>
    <dxf>
      <font>
        <b/>
        <i val="0"/>
        <color rgb="FFD60093"/>
      </font>
    </dxf>
    <dxf>
      <font>
        <b/>
        <i val="0"/>
        <color rgb="FF0000CC"/>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fill>
        <patternFill patternType="none">
          <fgColor indexed="64"/>
          <bgColor auto="1"/>
        </patternFill>
      </fill>
    </dxf>
    <dxf>
      <font>
        <condense val="0"/>
        <extend val="0"/>
        <color rgb="FF9C0006"/>
      </font>
      <fill>
        <patternFill>
          <bgColor rgb="FFFFC7CE"/>
        </patternFill>
      </fill>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color theme="0"/>
      </font>
    </dxf>
    <dxf>
      <font>
        <b/>
        <i val="0"/>
        <color rgb="FF004620"/>
      </font>
    </dxf>
    <dxf>
      <font>
        <b/>
        <i val="0"/>
        <color rgb="FF9900FF"/>
      </font>
    </dxf>
    <dxf>
      <font>
        <color rgb="FFFF0000"/>
      </font>
    </dxf>
    <dxf>
      <font>
        <b/>
        <i val="0"/>
        <color rgb="FF0000CC"/>
      </font>
    </dxf>
    <dxf>
      <font>
        <b/>
        <i val="0"/>
        <color rgb="FFD60093"/>
      </font>
    </dxf>
    <dxf>
      <font>
        <b/>
        <i val="0"/>
        <color rgb="FF9900FF"/>
      </font>
    </dxf>
    <dxf>
      <font>
        <b/>
        <i val="0"/>
        <color rgb="FFC00000"/>
      </font>
    </dxf>
    <dxf>
      <font>
        <b/>
        <i val="0"/>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b/>
        <i val="0"/>
        <color rgb="FF006100"/>
      </font>
      <fill>
        <patternFill>
          <bgColor rgb="FFC6EFCE"/>
        </patternFill>
      </fill>
    </dxf>
    <dxf>
      <fill>
        <patternFill>
          <bgColor rgb="FFE4ED8F"/>
        </patternFill>
      </fill>
    </dxf>
    <dxf>
      <fill>
        <patternFill>
          <bgColor rgb="FFE4ED8F"/>
        </patternFill>
      </fill>
    </dxf>
    <dxf>
      <fill>
        <patternFill>
          <bgColor rgb="FFE4ED8F"/>
        </patternFill>
      </fill>
    </dxf>
    <dxf>
      <fill>
        <patternFill>
          <bgColor rgb="FFE9E987"/>
        </patternFill>
      </fill>
    </dxf>
    <dxf>
      <font>
        <color rgb="FF0000FF"/>
      </font>
    </dxf>
    <dxf>
      <font>
        <color rgb="FFFF0000"/>
      </font>
    </dxf>
    <dxf>
      <font>
        <color rgb="FF339933"/>
      </font>
    </dxf>
    <dxf>
      <font>
        <color theme="0"/>
      </font>
    </dxf>
    <dxf>
      <font>
        <color auto="1"/>
      </font>
    </dxf>
    <dxf>
      <font>
        <color theme="0"/>
      </font>
    </dxf>
    <dxf>
      <font>
        <color theme="0"/>
      </font>
    </dxf>
    <dxf>
      <font>
        <color theme="0"/>
      </font>
    </dxf>
    <dxf>
      <fill>
        <patternFill>
          <bgColor theme="5" tint="0.79998168889431442"/>
        </patternFill>
      </fill>
    </dxf>
    <dxf>
      <font>
        <color rgb="FFFF0000"/>
      </font>
    </dxf>
    <dxf>
      <fill>
        <patternFill>
          <bgColor rgb="FFFFFF99"/>
        </patternFill>
      </fill>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6" tint="0.59996337778862885"/>
      </font>
      <fill>
        <patternFill>
          <bgColor theme="6" tint="0.59996337778862885"/>
        </patternFill>
      </fill>
    </dxf>
    <dxf>
      <font>
        <color theme="0"/>
      </font>
    </dxf>
    <dxf>
      <font>
        <color rgb="FFFFFFCC"/>
      </font>
    </dxf>
  </dxfs>
  <tableStyles count="0" defaultTableStyle="TableStyleMedium9" defaultPivotStyle="PivotStyleLight16"/>
  <colors>
    <mruColors>
      <color rgb="FF9900FF"/>
      <color rgb="FF004620"/>
      <color rgb="FFCC0099"/>
      <color rgb="FF0000CC"/>
      <color rgb="FFE4ED8F"/>
      <color rgb="FFD60093"/>
      <color rgb="FF008E40"/>
      <color rgb="FFE9E987"/>
      <color rgb="FFE2E6BA"/>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1" Type="http://schemas.openxmlformats.org/officeDocument/2006/relationships/hyperlink" Target="#'Master Sheet'!A1"/></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hyperlink" Target="#'Master Sheet'!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1257300</xdr:colOff>
      <xdr:row>31</xdr:row>
      <xdr:rowOff>276225</xdr:rowOff>
    </xdr:from>
    <xdr:to>
      <xdr:col>0</xdr:col>
      <xdr:colOff>2800350</xdr:colOff>
      <xdr:row>36</xdr:row>
      <xdr:rowOff>22226</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257300" y="17192625"/>
          <a:ext cx="1543050" cy="1422401"/>
        </a:xfrm>
        <a:prstGeom prst="rect">
          <a:avLst/>
        </a:prstGeom>
        <a:ln>
          <a:noFill/>
        </a:ln>
        <a:effectLst>
          <a:softEdge rad="112500"/>
        </a:effectLst>
      </xdr:spPr>
    </xdr:pic>
    <xdr:clientData/>
  </xdr:twoCellAnchor>
  <xdr:twoCellAnchor editAs="oneCell">
    <xdr:from>
      <xdr:col>2</xdr:col>
      <xdr:colOff>2714626</xdr:colOff>
      <xdr:row>31</xdr:row>
      <xdr:rowOff>228600</xdr:rowOff>
    </xdr:from>
    <xdr:to>
      <xdr:col>3</xdr:col>
      <xdr:colOff>1333501</xdr:colOff>
      <xdr:row>36</xdr:row>
      <xdr:rowOff>116245</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486776" y="17440275"/>
          <a:ext cx="1504950" cy="156404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3352799</xdr:colOff>
      <xdr:row>21</xdr:row>
      <xdr:rowOff>114300</xdr:rowOff>
    </xdr:from>
    <xdr:to>
      <xdr:col>6</xdr:col>
      <xdr:colOff>57150</xdr:colOff>
      <xdr:row>23</xdr:row>
      <xdr:rowOff>200025</xdr:rowOff>
    </xdr:to>
    <xdr:sp macro="" textlink="">
      <xdr:nvSpPr>
        <xdr:cNvPr id="2" name="Bevel 1">
          <a:hlinkClick xmlns:r="http://schemas.openxmlformats.org/officeDocument/2006/relationships" r:id="rId1"/>
        </xdr:cNvPr>
        <xdr:cNvSpPr/>
      </xdr:nvSpPr>
      <xdr:spPr>
        <a:xfrm>
          <a:off x="7477124" y="6667500"/>
          <a:ext cx="2505076" cy="6381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276225</xdr:colOff>
      <xdr:row>21</xdr:row>
      <xdr:rowOff>66674</xdr:rowOff>
    </xdr:from>
    <xdr:to>
      <xdr:col>3</xdr:col>
      <xdr:colOff>2809875</xdr:colOff>
      <xdr:row>23</xdr:row>
      <xdr:rowOff>238125</xdr:rowOff>
    </xdr:to>
    <xdr:sp macro="" textlink="">
      <xdr:nvSpPr>
        <xdr:cNvPr id="3" name="Bevel 2">
          <a:hlinkClick xmlns:r="http://schemas.openxmlformats.org/officeDocument/2006/relationships" r:id="rId2"/>
        </xdr:cNvPr>
        <xdr:cNvSpPr/>
      </xdr:nvSpPr>
      <xdr:spPr>
        <a:xfrm>
          <a:off x="4400550" y="6619874"/>
          <a:ext cx="2533650" cy="723901"/>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704850</xdr:colOff>
      <xdr:row>20</xdr:row>
      <xdr:rowOff>304799</xdr:rowOff>
    </xdr:from>
    <xdr:to>
      <xdr:col>2</xdr:col>
      <xdr:colOff>3190875</xdr:colOff>
      <xdr:row>23</xdr:row>
      <xdr:rowOff>180975</xdr:rowOff>
    </xdr:to>
    <xdr:sp macro="" textlink="">
      <xdr:nvSpPr>
        <xdr:cNvPr id="4" name="Bevel 3">
          <a:hlinkClick xmlns:r="http://schemas.openxmlformats.org/officeDocument/2006/relationships" r:id="rId3"/>
        </xdr:cNvPr>
        <xdr:cNvSpPr/>
      </xdr:nvSpPr>
      <xdr:spPr>
        <a:xfrm>
          <a:off x="1352550" y="6543674"/>
          <a:ext cx="2486025" cy="742951"/>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a:t>
          </a:r>
          <a:r>
            <a:rPr lang="hi-IN" sz="1800" b="1">
              <a:solidFill>
                <a:schemeClr val="lt1"/>
              </a:solidFill>
              <a:latin typeface="+mn-lt"/>
              <a:ea typeface="+mn-ea"/>
              <a:cs typeface="+mn-cs"/>
            </a:rPr>
            <a:t> Entry</a:t>
          </a:r>
          <a:r>
            <a:rPr lang="en-US" sz="1800" b="1">
              <a:solidFill>
                <a:schemeClr val="lt1"/>
              </a:solidFill>
              <a:latin typeface="+mn-lt"/>
              <a:ea typeface="+mn-ea"/>
              <a:cs typeface="+mn-cs"/>
            </a:rPr>
            <a:t> </a:t>
          </a:r>
        </a:p>
      </xdr:txBody>
    </xdr:sp>
    <xdr:clientData/>
  </xdr:twoCellAnchor>
  <xdr:twoCellAnchor editAs="oneCell">
    <xdr:from>
      <xdr:col>22</xdr:col>
      <xdr:colOff>466726</xdr:colOff>
      <xdr:row>3</xdr:row>
      <xdr:rowOff>114299</xdr:rowOff>
    </xdr:from>
    <xdr:to>
      <xdr:col>22</xdr:col>
      <xdr:colOff>1762126</xdr:colOff>
      <xdr:row>8</xdr:row>
      <xdr:rowOff>180974</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29413201" y="990599"/>
          <a:ext cx="1295400" cy="1609725"/>
        </a:xfrm>
        <a:prstGeom prst="rect">
          <a:avLst/>
        </a:prstGeom>
        <a:noFill/>
      </xdr:spPr>
    </xdr:pic>
    <xdr:clientData/>
  </xdr:twoCellAnchor>
  <xdr:twoCellAnchor editAs="oneCell">
    <xdr:from>
      <xdr:col>19</xdr:col>
      <xdr:colOff>0</xdr:colOff>
      <xdr:row>2</xdr:row>
      <xdr:rowOff>114300</xdr:rowOff>
    </xdr:from>
    <xdr:to>
      <xdr:col>19</xdr:col>
      <xdr:colOff>0</xdr:colOff>
      <xdr:row>6</xdr:row>
      <xdr:rowOff>57150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16</xdr:col>
      <xdr:colOff>523874</xdr:colOff>
      <xdr:row>2</xdr:row>
      <xdr:rowOff>114300</xdr:rowOff>
    </xdr:from>
    <xdr:to>
      <xdr:col>16</xdr:col>
      <xdr:colOff>523874</xdr:colOff>
      <xdr:row>6</xdr:row>
      <xdr:rowOff>85725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6</xdr:col>
      <xdr:colOff>276226</xdr:colOff>
      <xdr:row>1</xdr:row>
      <xdr:rowOff>190500</xdr:rowOff>
    </xdr:from>
    <xdr:to>
      <xdr:col>7</xdr:col>
      <xdr:colOff>1914526</xdr:colOff>
      <xdr:row>2</xdr:row>
      <xdr:rowOff>371475</xdr:rowOff>
    </xdr:to>
    <xdr:sp macro="" textlink="">
      <xdr:nvSpPr>
        <xdr:cNvPr id="9" name="Rectangle 8"/>
        <xdr:cNvSpPr/>
      </xdr:nvSpPr>
      <xdr:spPr>
        <a:xfrm>
          <a:off x="10201276" y="381000"/>
          <a:ext cx="38862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11th Subject Teacher Name</a:t>
          </a:r>
        </a:p>
      </xdr:txBody>
    </xdr:sp>
    <xdr:clientData/>
  </xdr:twoCellAnchor>
  <xdr:twoCellAnchor>
    <xdr:from>
      <xdr:col>3</xdr:col>
      <xdr:colOff>752476</xdr:colOff>
      <xdr:row>1</xdr:row>
      <xdr:rowOff>238125</xdr:rowOff>
    </xdr:from>
    <xdr:to>
      <xdr:col>3</xdr:col>
      <xdr:colOff>2847976</xdr:colOff>
      <xdr:row>3</xdr:row>
      <xdr:rowOff>38100</xdr:rowOff>
    </xdr:to>
    <xdr:sp macro="" textlink="">
      <xdr:nvSpPr>
        <xdr:cNvPr id="10" name="Rectangle 9"/>
        <xdr:cNvSpPr/>
      </xdr:nvSpPr>
      <xdr:spPr>
        <a:xfrm>
          <a:off x="4876801" y="42862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1885949</xdr:colOff>
      <xdr:row>21</xdr:row>
      <xdr:rowOff>180975</xdr:rowOff>
    </xdr:from>
    <xdr:to>
      <xdr:col>9</xdr:col>
      <xdr:colOff>314325</xdr:colOff>
      <xdr:row>23</xdr:row>
      <xdr:rowOff>76200</xdr:rowOff>
    </xdr:to>
    <xdr:sp macro="" textlink="">
      <xdr:nvSpPr>
        <xdr:cNvPr id="11" name="Rectangle 10"/>
        <xdr:cNvSpPr/>
      </xdr:nvSpPr>
      <xdr:spPr>
        <a:xfrm>
          <a:off x="14058899" y="6686550"/>
          <a:ext cx="1962151"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8</xdr:col>
      <xdr:colOff>47625</xdr:colOff>
      <xdr:row>24</xdr:row>
      <xdr:rowOff>28575</xdr:rowOff>
    </xdr:from>
    <xdr:to>
      <xdr:col>8</xdr:col>
      <xdr:colOff>1362074</xdr:colOff>
      <xdr:row>24</xdr:row>
      <xdr:rowOff>762001</xdr:rowOff>
    </xdr:to>
    <xdr:pic>
      <xdr:nvPicPr>
        <xdr:cNvPr id="12" name="Picture 11" descr="download.jpg"/>
        <xdr:cNvPicPr>
          <a:picLocks noChangeAspect="1"/>
        </xdr:cNvPicPr>
      </xdr:nvPicPr>
      <xdr:blipFill>
        <a:blip xmlns:r="http://schemas.openxmlformats.org/officeDocument/2006/relationships" r:embed="rId6"/>
        <a:stretch>
          <a:fillRect/>
        </a:stretch>
      </xdr:blipFill>
      <xdr:spPr>
        <a:xfrm>
          <a:off x="14373225" y="7410450"/>
          <a:ext cx="1314449" cy="733426"/>
        </a:xfrm>
        <a:prstGeom prst="rect">
          <a:avLst/>
        </a:prstGeom>
      </xdr:spPr>
    </xdr:pic>
    <xdr:clientData/>
  </xdr:twoCellAnchor>
  <xdr:twoCellAnchor>
    <xdr:from>
      <xdr:col>2</xdr:col>
      <xdr:colOff>619125</xdr:colOff>
      <xdr:row>24</xdr:row>
      <xdr:rowOff>190500</xdr:rowOff>
    </xdr:from>
    <xdr:to>
      <xdr:col>2</xdr:col>
      <xdr:colOff>3362325</xdr:colOff>
      <xdr:row>24</xdr:row>
      <xdr:rowOff>609600</xdr:rowOff>
    </xdr:to>
    <xdr:sp macro="" textlink="">
      <xdr:nvSpPr>
        <xdr:cNvPr id="13" name="Rectangle 12">
          <a:hlinkClick xmlns:r="http://schemas.openxmlformats.org/officeDocument/2006/relationships" r:id="rId7"/>
        </xdr:cNvPr>
        <xdr:cNvSpPr/>
      </xdr:nvSpPr>
      <xdr:spPr>
        <a:xfrm>
          <a:off x="1266825" y="7572375"/>
          <a:ext cx="2743200" cy="419100"/>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200025</xdr:colOff>
      <xdr:row>24</xdr:row>
      <xdr:rowOff>209550</xdr:rowOff>
    </xdr:from>
    <xdr:to>
      <xdr:col>3</xdr:col>
      <xdr:colOff>2686050</xdr:colOff>
      <xdr:row>24</xdr:row>
      <xdr:rowOff>581025</xdr:rowOff>
    </xdr:to>
    <xdr:sp macro="" textlink="">
      <xdr:nvSpPr>
        <xdr:cNvPr id="14" name="Rectangle 13">
          <a:hlinkClick xmlns:r="http://schemas.openxmlformats.org/officeDocument/2006/relationships" r:id="rId8"/>
        </xdr:cNvPr>
        <xdr:cNvSpPr/>
      </xdr:nvSpPr>
      <xdr:spPr>
        <a:xfrm>
          <a:off x="4324350" y="7591425"/>
          <a:ext cx="2486025" cy="371475"/>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3238500</xdr:colOff>
      <xdr:row>24</xdr:row>
      <xdr:rowOff>219075</xdr:rowOff>
    </xdr:from>
    <xdr:to>
      <xdr:col>6</xdr:col>
      <xdr:colOff>19050</xdr:colOff>
      <xdr:row>24</xdr:row>
      <xdr:rowOff>638175</xdr:rowOff>
    </xdr:to>
    <xdr:sp macro="" textlink="">
      <xdr:nvSpPr>
        <xdr:cNvPr id="15" name="Rectangle 14">
          <a:hlinkClick xmlns:r="http://schemas.openxmlformats.org/officeDocument/2006/relationships" r:id="rId9"/>
        </xdr:cNvPr>
        <xdr:cNvSpPr/>
      </xdr:nvSpPr>
      <xdr:spPr>
        <a:xfrm>
          <a:off x="7362825" y="7600950"/>
          <a:ext cx="2581275" cy="419100"/>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228600</xdr:colOff>
      <xdr:row>0</xdr:row>
      <xdr:rowOff>0</xdr:rowOff>
    </xdr:from>
    <xdr:to>
      <xdr:col>15</xdr:col>
      <xdr:colOff>446809</xdr:colOff>
      <xdr:row>1</xdr:row>
      <xdr:rowOff>361949</xdr:rowOff>
    </xdr:to>
    <xdr:sp macro="" textlink="">
      <xdr:nvSpPr>
        <xdr:cNvPr id="14" name="Bevel 13">
          <a:hlinkClick xmlns:r="http://schemas.openxmlformats.org/officeDocument/2006/relationships" r:id="rId1"/>
        </xdr:cNvPr>
        <xdr:cNvSpPr/>
      </xdr:nvSpPr>
      <xdr:spPr>
        <a:xfrm>
          <a:off x="12077700" y="0"/>
          <a:ext cx="1608859" cy="752474"/>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xdr:colOff>
      <xdr:row>0</xdr:row>
      <xdr:rowOff>1</xdr:rowOff>
    </xdr:from>
    <xdr:to>
      <xdr:col>9</xdr:col>
      <xdr:colOff>361950</xdr:colOff>
      <xdr:row>1</xdr:row>
      <xdr:rowOff>359618</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8982075" y="1"/>
          <a:ext cx="790575" cy="673942"/>
        </a:xfrm>
        <a:prstGeom prst="rect">
          <a:avLst/>
        </a:prstGeom>
        <a:noFill/>
        <a:ln w="9525">
          <a:noFill/>
          <a:miter lim="800000"/>
          <a:headEnd/>
          <a:tailEnd/>
        </a:ln>
      </xdr:spPr>
    </xdr:pic>
    <xdr:clientData/>
  </xdr:twoCellAnchor>
  <xdr:twoCellAnchor>
    <xdr:from>
      <xdr:col>5</xdr:col>
      <xdr:colOff>333374</xdr:colOff>
      <xdr:row>218</xdr:row>
      <xdr:rowOff>142875</xdr:rowOff>
    </xdr:from>
    <xdr:to>
      <xdr:col>6</xdr:col>
      <xdr:colOff>647699</xdr:colOff>
      <xdr:row>220</xdr:row>
      <xdr:rowOff>247650</xdr:rowOff>
    </xdr:to>
    <xdr:sp macro="" textlink="">
      <xdr:nvSpPr>
        <xdr:cNvPr id="3" name="Bevel 2">
          <a:hlinkClick xmlns:r="http://schemas.openxmlformats.org/officeDocument/2006/relationships" r:id="rId2"/>
        </xdr:cNvPr>
        <xdr:cNvSpPr/>
      </xdr:nvSpPr>
      <xdr:spPr>
        <a:xfrm>
          <a:off x="3143249" y="55483125"/>
          <a:ext cx="214312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1104900</xdr:colOff>
      <xdr:row>219</xdr:row>
      <xdr:rowOff>304800</xdr:rowOff>
    </xdr:from>
    <xdr:to>
      <xdr:col>6</xdr:col>
      <xdr:colOff>942975</xdr:colOff>
      <xdr:row>221</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5</xdr:col>
      <xdr:colOff>0</xdr:colOff>
      <xdr:row>0</xdr:row>
      <xdr:rowOff>38101</xdr:rowOff>
    </xdr:from>
    <xdr:to>
      <xdr:col>6</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459910</xdr:colOff>
      <xdr:row>0</xdr:row>
      <xdr:rowOff>51954</xdr:rowOff>
    </xdr:from>
    <xdr:to>
      <xdr:col>19</xdr:col>
      <xdr:colOff>222554</xdr:colOff>
      <xdr:row>1</xdr:row>
      <xdr:rowOff>199159</xdr:rowOff>
    </xdr:to>
    <xdr:pic>
      <xdr:nvPicPr>
        <xdr:cNvPr id="6" name="Picture 5" descr="download.jpg"/>
        <xdr:cNvPicPr>
          <a:picLocks noChangeAspect="1"/>
        </xdr:cNvPicPr>
      </xdr:nvPicPr>
      <xdr:blipFill>
        <a:blip xmlns:r="http://schemas.openxmlformats.org/officeDocument/2006/relationships" r:embed="rId2" cstate="print"/>
        <a:stretch>
          <a:fillRect/>
        </a:stretch>
      </xdr:blipFill>
      <xdr:spPr>
        <a:xfrm>
          <a:off x="9370115" y="51954"/>
          <a:ext cx="419869" cy="4069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466725</xdr:colOff>
      <xdr:row>0</xdr:row>
      <xdr:rowOff>85725</xdr:rowOff>
    </xdr:from>
    <xdr:to>
      <xdr:col>15</xdr:col>
      <xdr:colOff>457564</xdr:colOff>
      <xdr:row>1</xdr:row>
      <xdr:rowOff>142875</xdr:rowOff>
    </xdr:to>
    <xdr:pic>
      <xdr:nvPicPr>
        <xdr:cNvPr id="4" name="Picture 3" descr="download.jpg"/>
        <xdr:cNvPicPr>
          <a:picLocks noChangeAspect="1"/>
        </xdr:cNvPicPr>
      </xdr:nvPicPr>
      <xdr:blipFill>
        <a:blip xmlns:r="http://schemas.openxmlformats.org/officeDocument/2006/relationships" r:embed="rId1" cstate="print"/>
        <a:stretch>
          <a:fillRect/>
        </a:stretch>
      </xdr:blipFill>
      <xdr:spPr>
        <a:xfrm>
          <a:off x="6315075" y="85725"/>
          <a:ext cx="353761" cy="342900"/>
        </a:xfrm>
        <a:prstGeom prst="rect">
          <a:avLst/>
        </a:prstGeom>
      </xdr:spPr>
    </xdr:pic>
    <xdr:clientData/>
  </xdr:twoCellAnchor>
  <xdr:twoCellAnchor editAs="oneCell">
    <xdr:from>
      <xdr:col>30</xdr:col>
      <xdr:colOff>428625</xdr:colOff>
      <xdr:row>0</xdr:row>
      <xdr:rowOff>47625</xdr:rowOff>
    </xdr:from>
    <xdr:to>
      <xdr:col>31</xdr:col>
      <xdr:colOff>457564</xdr:colOff>
      <xdr:row>1</xdr:row>
      <xdr:rowOff>104775</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13182600" y="47625"/>
          <a:ext cx="353761" cy="342900"/>
        </a:xfrm>
        <a:prstGeom prst="rect">
          <a:avLst/>
        </a:prstGeom>
      </xdr:spPr>
    </xdr:pic>
    <xdr:clientData/>
  </xdr:twoCellAnchor>
  <xdr:twoCellAnchor editAs="oneCell">
    <xdr:from>
      <xdr:col>14</xdr:col>
      <xdr:colOff>466725</xdr:colOff>
      <xdr:row>29</xdr:row>
      <xdr:rowOff>85725</xdr:rowOff>
    </xdr:from>
    <xdr:to>
      <xdr:col>15</xdr:col>
      <xdr:colOff>457564</xdr:colOff>
      <xdr:row>30</xdr:row>
      <xdr:rowOff>142875</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46227" y="85725"/>
          <a:ext cx="456592" cy="339012"/>
        </a:xfrm>
        <a:prstGeom prst="rect">
          <a:avLst/>
        </a:prstGeom>
      </xdr:spPr>
    </xdr:pic>
    <xdr:clientData/>
  </xdr:twoCellAnchor>
  <xdr:twoCellAnchor editAs="oneCell">
    <xdr:from>
      <xdr:col>30</xdr:col>
      <xdr:colOff>428625</xdr:colOff>
      <xdr:row>29</xdr:row>
      <xdr:rowOff>47625</xdr:rowOff>
    </xdr:from>
    <xdr:to>
      <xdr:col>31</xdr:col>
      <xdr:colOff>457564</xdr:colOff>
      <xdr:row>30</xdr:row>
      <xdr:rowOff>104775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14074645" y="47625"/>
          <a:ext cx="456592" cy="339012"/>
        </a:xfrm>
        <a:prstGeom prst="rect">
          <a:avLst/>
        </a:prstGeom>
      </xdr:spPr>
    </xdr:pic>
    <xdr:clientData/>
  </xdr:twoCellAnchor>
  <xdr:twoCellAnchor editAs="oneCell">
    <xdr:from>
      <xdr:col>14</xdr:col>
      <xdr:colOff>466725</xdr:colOff>
      <xdr:row>58</xdr:row>
      <xdr:rowOff>85725</xdr:rowOff>
    </xdr:from>
    <xdr:to>
      <xdr:col>15</xdr:col>
      <xdr:colOff>457564</xdr:colOff>
      <xdr:row>59</xdr:row>
      <xdr:rowOff>142875</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58</xdr:row>
      <xdr:rowOff>47625</xdr:rowOff>
    </xdr:from>
    <xdr:to>
      <xdr:col>31</xdr:col>
      <xdr:colOff>457564</xdr:colOff>
      <xdr:row>59</xdr:row>
      <xdr:rowOff>104775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87</xdr:row>
      <xdr:rowOff>85725</xdr:rowOff>
    </xdr:from>
    <xdr:to>
      <xdr:col>15</xdr:col>
      <xdr:colOff>457564</xdr:colOff>
      <xdr:row>88</xdr:row>
      <xdr:rowOff>142875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87</xdr:row>
      <xdr:rowOff>47625</xdr:rowOff>
    </xdr:from>
    <xdr:to>
      <xdr:col>31</xdr:col>
      <xdr:colOff>457564</xdr:colOff>
      <xdr:row>88</xdr:row>
      <xdr:rowOff>104775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116</xdr:row>
      <xdr:rowOff>85725</xdr:rowOff>
    </xdr:from>
    <xdr:to>
      <xdr:col>15</xdr:col>
      <xdr:colOff>457564</xdr:colOff>
      <xdr:row>117</xdr:row>
      <xdr:rowOff>142875</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116</xdr:row>
      <xdr:rowOff>47625</xdr:rowOff>
    </xdr:from>
    <xdr:to>
      <xdr:col>31</xdr:col>
      <xdr:colOff>457564</xdr:colOff>
      <xdr:row>117</xdr:row>
      <xdr:rowOff>104775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1113299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400050</xdr:colOff>
      <xdr:row>1</xdr:row>
      <xdr:rowOff>1</xdr:rowOff>
    </xdr:from>
    <xdr:to>
      <xdr:col>19</xdr:col>
      <xdr:colOff>300231</xdr:colOff>
      <xdr:row>2</xdr:row>
      <xdr:rowOff>219076</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115425" y="190501"/>
          <a:ext cx="471681"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eeralaljatchandawal@gmail.com" TargetMode="External"/><Relationship Id="rId2" Type="http://schemas.openxmlformats.org/officeDocument/2006/relationships/hyperlink" Target="https://youtu.be/5tJOXnI2VpI" TargetMode="External"/><Relationship Id="rId1" Type="http://schemas.openxmlformats.org/officeDocument/2006/relationships/hyperlink" Target="https://youtu.be/aJjzQ4EcoqQ"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eeralaljatchandawal@gmail.com" TargetMode="External"/><Relationship Id="rId1" Type="http://schemas.openxmlformats.org/officeDocument/2006/relationships/hyperlink" Target="https://youtu.be/aJjzQ4EcoqQ"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R63"/>
  <sheetViews>
    <sheetView showGridLines="0" showRowColHeaders="0" tabSelected="1" workbookViewId="0">
      <selection activeCell="E11" sqref="E11"/>
    </sheetView>
  </sheetViews>
  <sheetFormatPr defaultColWidth="0" defaultRowHeight="27.95" customHeight="1" zeroHeight="1"/>
  <cols>
    <col min="1" max="5" width="37.875" style="21" customWidth="1"/>
    <col min="6" max="16384" width="37.875" style="21" hidden="1"/>
  </cols>
  <sheetData>
    <row r="1" spans="1:18" ht="60.75" customHeight="1" thickBot="1">
      <c r="A1" s="897" t="s">
        <v>164</v>
      </c>
      <c r="B1" s="898"/>
      <c r="C1" s="898"/>
      <c r="D1" s="899"/>
      <c r="E1" s="79"/>
      <c r="F1" s="22"/>
      <c r="G1" s="22"/>
      <c r="H1" s="22"/>
      <c r="I1" s="22"/>
      <c r="J1" s="23"/>
      <c r="K1" s="24"/>
      <c r="L1" s="24"/>
    </row>
    <row r="2" spans="1:18" ht="87.75" customHeight="1" thickBot="1">
      <c r="A2" s="862" t="s">
        <v>238</v>
      </c>
      <c r="B2" s="863"/>
      <c r="C2" s="863"/>
      <c r="D2" s="864"/>
      <c r="E2" s="80" t="s">
        <v>146</v>
      </c>
      <c r="F2" s="27"/>
      <c r="G2" s="27"/>
      <c r="H2" s="27"/>
      <c r="I2" s="27"/>
      <c r="J2" s="26"/>
      <c r="K2" s="25"/>
      <c r="L2" s="25"/>
      <c r="M2" s="25"/>
      <c r="N2" s="25"/>
      <c r="O2" s="25"/>
      <c r="P2" s="25"/>
      <c r="Q2" s="25"/>
      <c r="R2" s="25"/>
    </row>
    <row r="3" spans="1:18" ht="36" customHeight="1" thickBot="1">
      <c r="A3" s="865" t="s">
        <v>147</v>
      </c>
      <c r="B3" s="866"/>
      <c r="C3" s="866"/>
      <c r="D3" s="866"/>
      <c r="E3" s="81" t="s">
        <v>174</v>
      </c>
      <c r="F3" s="27"/>
      <c r="G3" s="27"/>
      <c r="H3" s="27"/>
      <c r="I3" s="27"/>
      <c r="J3" s="26"/>
      <c r="K3" s="25"/>
      <c r="L3" s="25"/>
      <c r="M3" s="25"/>
      <c r="N3" s="25"/>
      <c r="O3" s="25"/>
      <c r="P3" s="25"/>
      <c r="Q3" s="25"/>
      <c r="R3" s="25"/>
    </row>
    <row r="4" spans="1:18" ht="63.75" customHeight="1" thickBot="1">
      <c r="A4" s="867" t="s">
        <v>148</v>
      </c>
      <c r="B4" s="868"/>
      <c r="C4" s="868"/>
      <c r="D4" s="869"/>
      <c r="E4" s="481" t="s">
        <v>237</v>
      </c>
      <c r="F4" s="27"/>
      <c r="G4" s="27"/>
      <c r="H4" s="27"/>
      <c r="I4" s="27"/>
      <c r="J4" s="26"/>
      <c r="K4" s="25"/>
      <c r="L4" s="25"/>
      <c r="M4" s="25"/>
      <c r="N4" s="25"/>
      <c r="O4" s="25"/>
      <c r="P4" s="25"/>
      <c r="Q4" s="25"/>
      <c r="R4" s="25"/>
    </row>
    <row r="5" spans="1:18" ht="36.75" customHeight="1" thickBot="1">
      <c r="A5" s="859"/>
      <c r="B5" s="860"/>
      <c r="C5" s="860"/>
      <c r="D5" s="861"/>
      <c r="E5" s="482">
        <v>45412</v>
      </c>
      <c r="F5" s="27"/>
      <c r="G5" s="27"/>
      <c r="H5" s="27"/>
      <c r="I5" s="27"/>
      <c r="J5" s="26"/>
      <c r="K5" s="25"/>
      <c r="L5" s="25"/>
      <c r="M5" s="25"/>
      <c r="N5" s="25"/>
      <c r="O5" s="25"/>
      <c r="P5" s="25"/>
      <c r="Q5" s="25"/>
      <c r="R5" s="25"/>
    </row>
    <row r="6" spans="1:18" ht="33.75" customHeight="1">
      <c r="A6" s="928" t="s">
        <v>149</v>
      </c>
      <c r="B6" s="929"/>
      <c r="C6" s="929"/>
      <c r="D6" s="930"/>
      <c r="E6" s="479" t="s">
        <v>235</v>
      </c>
      <c r="F6" s="27"/>
      <c r="G6" s="27"/>
      <c r="H6" s="27"/>
      <c r="I6" s="27"/>
      <c r="J6" s="26"/>
      <c r="K6" s="25"/>
      <c r="L6" s="25"/>
      <c r="M6" s="25"/>
      <c r="N6" s="25"/>
      <c r="O6" s="25"/>
      <c r="P6" s="25"/>
      <c r="Q6" s="25"/>
      <c r="R6" s="25"/>
    </row>
    <row r="7" spans="1:18" ht="37.5" customHeight="1" thickBot="1">
      <c r="A7" s="883" t="s">
        <v>150</v>
      </c>
      <c r="B7" s="884"/>
      <c r="C7" s="884"/>
      <c r="D7" s="885"/>
      <c r="E7" s="781" t="s">
        <v>293</v>
      </c>
      <c r="F7" s="27"/>
      <c r="G7" s="27"/>
      <c r="H7" s="27"/>
      <c r="I7" s="27"/>
      <c r="J7" s="26"/>
      <c r="K7" s="25"/>
      <c r="L7" s="25"/>
      <c r="M7" s="25"/>
      <c r="N7" s="25"/>
      <c r="O7" s="25"/>
      <c r="P7" s="25"/>
      <c r="Q7" s="25"/>
      <c r="R7" s="25"/>
    </row>
    <row r="8" spans="1:18" ht="27.95" customHeight="1" thickBot="1">
      <c r="A8" s="931" t="s">
        <v>151</v>
      </c>
      <c r="B8" s="932"/>
      <c r="C8" s="932"/>
      <c r="D8" s="932"/>
      <c r="E8" s="80"/>
      <c r="F8" s="28"/>
      <c r="G8" s="28"/>
      <c r="H8" s="28"/>
      <c r="I8" s="28"/>
      <c r="J8" s="25"/>
      <c r="K8" s="25"/>
      <c r="L8" s="25"/>
      <c r="M8" s="25"/>
      <c r="N8" s="25"/>
      <c r="O8" s="25"/>
      <c r="P8" s="25"/>
      <c r="Q8" s="25"/>
      <c r="R8" s="25"/>
    </row>
    <row r="9" spans="1:18" ht="27.95" customHeight="1">
      <c r="A9" s="919" t="s">
        <v>152</v>
      </c>
      <c r="B9" s="920"/>
      <c r="C9" s="920"/>
      <c r="D9" s="921"/>
      <c r="E9" s="853" t="s">
        <v>308</v>
      </c>
      <c r="F9" s="29"/>
      <c r="G9" s="29"/>
      <c r="H9" s="29"/>
      <c r="I9" s="29"/>
      <c r="J9" s="25"/>
      <c r="K9" s="25"/>
      <c r="L9" s="25"/>
      <c r="M9" s="25"/>
      <c r="N9" s="25"/>
      <c r="O9" s="25"/>
      <c r="P9" s="25"/>
      <c r="Q9" s="25"/>
      <c r="R9" s="25"/>
    </row>
    <row r="10" spans="1:18" ht="45.75" customHeight="1">
      <c r="A10" s="922" t="s">
        <v>153</v>
      </c>
      <c r="B10" s="923"/>
      <c r="C10" s="923"/>
      <c r="D10" s="924"/>
      <c r="E10" s="80"/>
      <c r="F10" s="29"/>
      <c r="G10" s="29"/>
      <c r="H10" s="29"/>
      <c r="I10" s="29"/>
      <c r="J10" s="25"/>
      <c r="K10" s="25"/>
      <c r="L10" s="25"/>
      <c r="M10" s="25"/>
      <c r="N10" s="25"/>
      <c r="O10" s="25"/>
      <c r="P10" s="25"/>
      <c r="Q10" s="25"/>
      <c r="R10" s="25"/>
    </row>
    <row r="11" spans="1:18" ht="81.75" customHeight="1">
      <c r="A11" s="925" t="s">
        <v>154</v>
      </c>
      <c r="B11" s="926"/>
      <c r="C11" s="926"/>
      <c r="D11" s="927"/>
      <c r="E11" s="80"/>
      <c r="F11" s="29"/>
      <c r="G11" s="29"/>
      <c r="H11" s="29"/>
      <c r="I11" s="29"/>
      <c r="J11" s="25"/>
      <c r="K11" s="25"/>
      <c r="L11" s="25"/>
      <c r="M11" s="25"/>
      <c r="N11" s="25"/>
      <c r="O11" s="25"/>
      <c r="P11" s="25"/>
      <c r="Q11" s="25"/>
      <c r="R11" s="25"/>
    </row>
    <row r="12" spans="1:18" ht="66.75" customHeight="1" thickBot="1">
      <c r="A12" s="886" t="s">
        <v>155</v>
      </c>
      <c r="B12" s="887"/>
      <c r="C12" s="887"/>
      <c r="D12" s="888"/>
      <c r="E12" s="80"/>
      <c r="F12" s="29"/>
      <c r="G12" s="29"/>
      <c r="H12" s="29"/>
      <c r="I12" s="29"/>
      <c r="J12" s="25"/>
      <c r="K12" s="25"/>
      <c r="L12" s="25"/>
      <c r="M12" s="25"/>
      <c r="N12" s="25"/>
      <c r="O12" s="25"/>
      <c r="P12" s="25"/>
      <c r="Q12" s="25"/>
      <c r="R12" s="25"/>
    </row>
    <row r="13" spans="1:18" ht="27.95" customHeight="1" thickBot="1">
      <c r="A13" s="870" t="s">
        <v>169</v>
      </c>
      <c r="B13" s="871"/>
      <c r="C13" s="871"/>
      <c r="D13" s="871"/>
      <c r="E13" s="80"/>
      <c r="F13" s="30"/>
      <c r="G13" s="30"/>
      <c r="H13" s="30"/>
      <c r="I13" s="30"/>
      <c r="J13" s="25"/>
      <c r="K13" s="25"/>
      <c r="L13" s="25"/>
      <c r="M13" s="25"/>
      <c r="N13" s="25"/>
      <c r="O13" s="25"/>
      <c r="P13" s="25"/>
      <c r="Q13" s="25"/>
      <c r="R13" s="25"/>
    </row>
    <row r="14" spans="1:18" ht="43.5" customHeight="1">
      <c r="A14" s="872" t="s">
        <v>156</v>
      </c>
      <c r="B14" s="873"/>
      <c r="C14" s="873"/>
      <c r="D14" s="874"/>
      <c r="E14" s="80"/>
      <c r="F14" s="31"/>
      <c r="G14" s="31"/>
      <c r="H14" s="31"/>
      <c r="I14" s="31"/>
      <c r="J14" s="25"/>
      <c r="K14" s="25"/>
      <c r="L14" s="25"/>
      <c r="M14" s="25"/>
      <c r="N14" s="25"/>
      <c r="O14" s="25"/>
      <c r="P14" s="25"/>
      <c r="Q14" s="25"/>
      <c r="R14" s="25"/>
    </row>
    <row r="15" spans="1:18" ht="39" customHeight="1" thickBot="1">
      <c r="A15" s="875" t="s">
        <v>157</v>
      </c>
      <c r="B15" s="876"/>
      <c r="C15" s="876"/>
      <c r="D15" s="877"/>
      <c r="E15" s="80"/>
      <c r="F15" s="31"/>
      <c r="G15" s="31"/>
      <c r="H15" s="31"/>
      <c r="I15" s="31"/>
      <c r="J15" s="25"/>
      <c r="K15" s="25"/>
      <c r="L15" s="25"/>
      <c r="M15" s="25"/>
      <c r="N15" s="25"/>
      <c r="O15" s="25"/>
      <c r="P15" s="25"/>
      <c r="Q15" s="25"/>
      <c r="R15" s="25"/>
    </row>
    <row r="16" spans="1:18" ht="27.95" customHeight="1" thickBot="1">
      <c r="A16" s="878" t="s">
        <v>158</v>
      </c>
      <c r="B16" s="879"/>
      <c r="C16" s="879"/>
      <c r="D16" s="879"/>
      <c r="E16" s="80"/>
      <c r="F16" s="27"/>
      <c r="G16" s="27"/>
      <c r="H16" s="27"/>
      <c r="I16" s="27"/>
      <c r="J16" s="25"/>
      <c r="K16" s="25"/>
      <c r="L16" s="25"/>
      <c r="M16" s="25"/>
      <c r="N16" s="25"/>
      <c r="O16" s="25"/>
      <c r="P16" s="25"/>
      <c r="Q16" s="25"/>
      <c r="R16" s="25"/>
    </row>
    <row r="17" spans="1:18" ht="33" customHeight="1">
      <c r="A17" s="872" t="s">
        <v>309</v>
      </c>
      <c r="B17" s="873"/>
      <c r="C17" s="873"/>
      <c r="D17" s="874"/>
      <c r="E17" s="82"/>
      <c r="F17" s="27"/>
      <c r="G17" s="27"/>
      <c r="H17" s="27"/>
      <c r="I17" s="27"/>
      <c r="J17" s="25"/>
      <c r="K17" s="25"/>
      <c r="L17" s="25"/>
      <c r="M17" s="25"/>
      <c r="N17" s="25"/>
      <c r="O17" s="25"/>
      <c r="P17" s="25"/>
      <c r="Q17" s="25"/>
      <c r="R17" s="25"/>
    </row>
    <row r="18" spans="1:18" ht="27.95" customHeight="1" thickBot="1">
      <c r="A18" s="880" t="s">
        <v>159</v>
      </c>
      <c r="B18" s="881"/>
      <c r="C18" s="881"/>
      <c r="D18" s="882"/>
      <c r="E18" s="82"/>
      <c r="F18" s="27"/>
      <c r="G18" s="27"/>
      <c r="H18" s="27"/>
      <c r="I18" s="27"/>
      <c r="J18" s="25"/>
      <c r="K18" s="25"/>
      <c r="L18" s="25"/>
      <c r="M18" s="25"/>
      <c r="N18" s="25"/>
      <c r="O18" s="25"/>
      <c r="P18" s="25"/>
      <c r="Q18" s="25"/>
      <c r="R18" s="25"/>
    </row>
    <row r="19" spans="1:18" ht="28.5" thickBot="1">
      <c r="A19" s="917" t="s">
        <v>160</v>
      </c>
      <c r="B19" s="918"/>
      <c r="C19" s="918"/>
      <c r="D19" s="918"/>
      <c r="E19" s="79"/>
      <c r="F19" s="27"/>
      <c r="G19" s="27"/>
      <c r="H19" s="27"/>
      <c r="I19" s="27"/>
    </row>
    <row r="20" spans="1:18" ht="27.75" customHeight="1">
      <c r="A20" s="872" t="s">
        <v>161</v>
      </c>
      <c r="B20" s="873"/>
      <c r="C20" s="873"/>
      <c r="D20" s="874"/>
      <c r="E20" s="79"/>
      <c r="F20" s="33"/>
      <c r="G20" s="33"/>
      <c r="H20" s="33"/>
      <c r="I20" s="33"/>
    </row>
    <row r="21" spans="1:18" ht="63" customHeight="1">
      <c r="A21" s="911" t="s">
        <v>310</v>
      </c>
      <c r="B21" s="912"/>
      <c r="C21" s="912"/>
      <c r="D21" s="913"/>
      <c r="E21" s="79"/>
      <c r="F21" s="33"/>
      <c r="G21" s="33"/>
      <c r="H21" s="33"/>
      <c r="I21" s="33"/>
    </row>
    <row r="22" spans="1:18" ht="21.75" customHeight="1">
      <c r="A22" s="914" t="s">
        <v>162</v>
      </c>
      <c r="B22" s="915"/>
      <c r="C22" s="915"/>
      <c r="D22" s="916"/>
      <c r="E22" s="79"/>
      <c r="F22" s="32"/>
      <c r="G22" s="32"/>
      <c r="H22" s="32"/>
      <c r="I22" s="32"/>
    </row>
    <row r="23" spans="1:18" ht="23.25" customHeight="1" thickBot="1">
      <c r="A23" s="880" t="s">
        <v>163</v>
      </c>
      <c r="B23" s="881"/>
      <c r="C23" s="881"/>
      <c r="D23" s="882"/>
      <c r="E23" s="79"/>
      <c r="F23" s="34"/>
      <c r="G23" s="34"/>
      <c r="H23" s="34"/>
      <c r="I23" s="34"/>
    </row>
    <row r="24" spans="1:18" ht="34.5" thickBot="1">
      <c r="A24" s="900" t="s">
        <v>165</v>
      </c>
      <c r="B24" s="901"/>
      <c r="C24" s="901"/>
      <c r="D24" s="901"/>
      <c r="E24" s="79"/>
      <c r="F24" s="35"/>
      <c r="G24" s="35"/>
      <c r="H24" s="35"/>
      <c r="I24" s="35"/>
    </row>
    <row r="25" spans="1:18" ht="46.5" customHeight="1">
      <c r="A25" s="902" t="s">
        <v>166</v>
      </c>
      <c r="B25" s="903"/>
      <c r="C25" s="903"/>
      <c r="D25" s="904"/>
      <c r="E25" s="79"/>
      <c r="F25" s="36"/>
      <c r="G25" s="36"/>
      <c r="H25" s="36"/>
      <c r="I25" s="36"/>
    </row>
    <row r="26" spans="1:18" ht="39.75" customHeight="1">
      <c r="A26" s="905" t="s">
        <v>167</v>
      </c>
      <c r="B26" s="906"/>
      <c r="C26" s="906"/>
      <c r="D26" s="907"/>
      <c r="E26" s="79"/>
      <c r="F26" s="36"/>
      <c r="G26" s="36"/>
      <c r="H26" s="36"/>
      <c r="I26" s="36"/>
    </row>
    <row r="27" spans="1:18" ht="96.75" customHeight="1" thickBot="1">
      <c r="A27" s="908" t="s">
        <v>170</v>
      </c>
      <c r="B27" s="909"/>
      <c r="C27" s="909"/>
      <c r="D27" s="910"/>
      <c r="E27" s="79"/>
      <c r="F27" s="37"/>
      <c r="G27" s="37"/>
      <c r="H27" s="37"/>
      <c r="I27" s="37"/>
    </row>
    <row r="28" spans="1:18" ht="34.5" thickBot="1">
      <c r="A28" s="892" t="s">
        <v>168</v>
      </c>
      <c r="B28" s="893"/>
      <c r="C28" s="893"/>
      <c r="D28" s="893"/>
      <c r="E28" s="79"/>
      <c r="F28" s="35"/>
      <c r="G28" s="35"/>
      <c r="H28" s="35"/>
      <c r="I28" s="35"/>
    </row>
    <row r="29" spans="1:18" ht="23.25" customHeight="1">
      <c r="A29" s="894" t="s">
        <v>171</v>
      </c>
      <c r="B29" s="895"/>
      <c r="C29" s="895"/>
      <c r="D29" s="896"/>
      <c r="E29" s="79"/>
    </row>
    <row r="30" spans="1:18" ht="72.75" customHeight="1" thickBot="1">
      <c r="A30" s="936" t="s">
        <v>172</v>
      </c>
      <c r="B30" s="937"/>
      <c r="C30" s="937"/>
      <c r="D30" s="938"/>
      <c r="E30" s="79"/>
    </row>
    <row r="31" spans="1:18" ht="38.25" customHeight="1" thickBot="1">
      <c r="A31" s="939" t="s">
        <v>173</v>
      </c>
      <c r="B31" s="940"/>
      <c r="C31" s="940"/>
      <c r="D31" s="941"/>
      <c r="E31" s="79"/>
    </row>
    <row r="32" spans="1:18" ht="27.95" customHeight="1">
      <c r="A32" s="942" t="s">
        <v>106</v>
      </c>
      <c r="B32" s="943"/>
      <c r="C32" s="943"/>
      <c r="D32" s="944"/>
      <c r="E32" s="79"/>
    </row>
    <row r="33" spans="1:5" ht="27.95" customHeight="1">
      <c r="A33" s="945" t="s">
        <v>103</v>
      </c>
      <c r="B33" s="946"/>
      <c r="C33" s="946"/>
      <c r="D33" s="947"/>
      <c r="E33" s="79"/>
    </row>
    <row r="34" spans="1:5" ht="21">
      <c r="A34" s="948" t="s">
        <v>107</v>
      </c>
      <c r="B34" s="949"/>
      <c r="C34" s="949"/>
      <c r="D34" s="950"/>
      <c r="E34" s="79"/>
    </row>
    <row r="35" spans="1:5" ht="27.95" customHeight="1">
      <c r="A35" s="933" t="s">
        <v>104</v>
      </c>
      <c r="B35" s="934"/>
      <c r="C35" s="934"/>
      <c r="D35" s="935"/>
      <c r="E35" s="79"/>
    </row>
    <row r="36" spans="1:5" ht="27.95" customHeight="1">
      <c r="A36" s="889" t="s">
        <v>105</v>
      </c>
      <c r="B36" s="890"/>
      <c r="C36" s="890"/>
      <c r="D36" s="891"/>
      <c r="E36" s="79"/>
    </row>
    <row r="37" spans="1:5" ht="27.95" customHeight="1">
      <c r="A37" s="889" t="s">
        <v>311</v>
      </c>
      <c r="B37" s="890"/>
      <c r="C37" s="890"/>
      <c r="D37" s="891"/>
      <c r="E37" s="79"/>
    </row>
    <row r="38" spans="1:5" ht="27.95" customHeight="1" thickBot="1">
      <c r="A38" s="856"/>
      <c r="B38" s="857"/>
      <c r="C38" s="857"/>
      <c r="D38" s="858"/>
      <c r="E38" s="79"/>
    </row>
    <row r="39" spans="1:5" ht="27.95" customHeight="1">
      <c r="A39" s="79"/>
      <c r="B39" s="79"/>
      <c r="C39" s="79"/>
      <c r="D39" s="79"/>
      <c r="E39" s="79"/>
    </row>
    <row r="40" spans="1:5" ht="27.95" customHeight="1">
      <c r="A40" s="79"/>
      <c r="B40" s="79"/>
      <c r="C40" s="79"/>
      <c r="D40" s="79"/>
      <c r="E40" s="79"/>
    </row>
    <row r="41" spans="1:5" ht="27.95" hidden="1" customHeight="1">
      <c r="E41" s="79"/>
    </row>
    <row r="42" spans="1:5" ht="27.95" hidden="1" customHeight="1">
      <c r="E42" s="79"/>
    </row>
    <row r="43" spans="1:5" ht="27.95" hidden="1" customHeight="1">
      <c r="E43" s="79"/>
    </row>
    <row r="44" spans="1:5" ht="27.95" hidden="1" customHeight="1">
      <c r="E44" s="79"/>
    </row>
    <row r="45" spans="1:5" ht="27.95" hidden="1" customHeight="1">
      <c r="E45" s="79"/>
    </row>
    <row r="46" spans="1:5" ht="27.95" hidden="1" customHeight="1">
      <c r="E46" s="79"/>
    </row>
    <row r="47" spans="1:5" ht="27.95" hidden="1" customHeight="1">
      <c r="E47" s="79"/>
    </row>
    <row r="48" spans="1:5" ht="27.95" hidden="1" customHeight="1">
      <c r="E48" s="79"/>
    </row>
    <row r="49" spans="5:5" ht="27.95" hidden="1" customHeight="1">
      <c r="E49" s="79"/>
    </row>
    <row r="50" spans="5:5" ht="27.95" hidden="1" customHeight="1">
      <c r="E50" s="79"/>
    </row>
    <row r="51" spans="5:5" ht="27.95" hidden="1" customHeight="1">
      <c r="E51" s="79"/>
    </row>
    <row r="52" spans="5:5" ht="27.95" hidden="1" customHeight="1">
      <c r="E52" s="79"/>
    </row>
    <row r="53" spans="5:5" ht="27.95" hidden="1" customHeight="1">
      <c r="E53" s="79"/>
    </row>
    <row r="54" spans="5:5" ht="27.95" hidden="1" customHeight="1">
      <c r="E54" s="79"/>
    </row>
    <row r="55" spans="5:5" ht="27.95" hidden="1" customHeight="1">
      <c r="E55" s="79"/>
    </row>
    <row r="56" spans="5:5" ht="27.95" hidden="1" customHeight="1">
      <c r="E56" s="79"/>
    </row>
    <row r="57" spans="5:5" ht="27.95" hidden="1" customHeight="1">
      <c r="E57" s="79"/>
    </row>
    <row r="58" spans="5:5" ht="27.95" hidden="1" customHeight="1">
      <c r="E58" s="79"/>
    </row>
    <row r="59" spans="5:5" ht="27.95" hidden="1" customHeight="1">
      <c r="E59" s="79"/>
    </row>
    <row r="60" spans="5:5" ht="27.95" hidden="1" customHeight="1">
      <c r="E60" s="79"/>
    </row>
    <row r="61" spans="5:5" ht="27.95" hidden="1" customHeight="1">
      <c r="E61" s="79"/>
    </row>
    <row r="62" spans="5:5" ht="27.95" hidden="1" customHeight="1">
      <c r="E62" s="79"/>
    </row>
    <row r="63" spans="5:5" ht="27.95" customHeight="1"/>
  </sheetData>
  <sheetProtection password="C1FB" sheet="1" objects="1" scenarios="1" selectLockedCells="1"/>
  <mergeCells count="38">
    <mergeCell ref="A35:D35"/>
    <mergeCell ref="A36:D36"/>
    <mergeCell ref="A30:D30"/>
    <mergeCell ref="A31:D31"/>
    <mergeCell ref="A32:D32"/>
    <mergeCell ref="A33:D33"/>
    <mergeCell ref="A34:D34"/>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s>
  <hyperlinks>
    <hyperlink ref="E7" r:id="rId1"/>
    <hyperlink ref="E9" r:id="rId2"/>
    <hyperlink ref="A36" r:id="rId3"/>
  </hyperlink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sheetPr codeName="Sheet9">
    <pageSetUpPr fitToPage="1"/>
  </sheetPr>
  <dimension ref="A1:BJ218"/>
  <sheetViews>
    <sheetView showGridLines="0" workbookViewId="0">
      <selection activeCell="U10" sqref="U10"/>
    </sheetView>
  </sheetViews>
  <sheetFormatPr defaultColWidth="0" defaultRowHeight="0" customHeight="1" zeroHeight="1"/>
  <cols>
    <col min="1" max="1" width="4" style="17" customWidth="1"/>
    <col min="2" max="2" width="6.625" style="17" customWidth="1"/>
    <col min="3" max="3" width="5.75" style="17" customWidth="1"/>
    <col min="4" max="4" width="8.875" style="17" customWidth="1"/>
    <col min="5" max="5" width="17.375" style="17" customWidth="1"/>
    <col min="6" max="6" width="16.5" style="17" customWidth="1"/>
    <col min="7" max="7" width="15.875" style="17" customWidth="1"/>
    <col min="8" max="8" width="12.5" style="17" customWidth="1"/>
    <col min="9" max="9" width="4.375" style="17" customWidth="1"/>
    <col min="10" max="10" width="8.25" style="17" customWidth="1"/>
    <col min="11" max="18" width="4.625" style="17" customWidth="1"/>
    <col min="19" max="19" width="27.25" style="453" customWidth="1"/>
    <col min="20" max="20" width="19.375" style="17" customWidth="1"/>
    <col min="21" max="21" width="8.75" style="17" customWidth="1"/>
    <col min="22" max="16384" width="9.125" style="17" hidden="1"/>
  </cols>
  <sheetData>
    <row r="1" spans="1:62" ht="23.25" customHeight="1">
      <c r="A1" s="1528" t="str">
        <f>IF('Master Sheet'!D11="Hindi",CONCATENATE("विद्यालय का नाम :-","  ",'Master Sheet'!D8),CONCATENATE("School Name :-","  ",'Master Sheet'!D7))</f>
        <v xml:space="preserve">विद्यालय का नाम :-  महात्मा गाँधी राजकीय विद्यालय (अंग्रेजी माध्यम) बर, पाली </v>
      </c>
      <c r="B1" s="1528"/>
      <c r="C1" s="1528"/>
      <c r="D1" s="1528"/>
      <c r="E1" s="1528"/>
      <c r="F1" s="1528"/>
      <c r="G1" s="1528"/>
      <c r="H1" s="1528"/>
      <c r="I1" s="1528"/>
      <c r="J1" s="1528"/>
      <c r="K1" s="1348" t="str">
        <f>IF('Master Sheet'!D11="Hindi","विषयवार परीक्षा परिणाम कक्षा -11th","Subject-wise Result Class 11th")</f>
        <v>विषयवार परीक्षा परिणाम कक्षा -11th</v>
      </c>
      <c r="L1" s="1348"/>
      <c r="M1" s="1348"/>
      <c r="N1" s="1348"/>
      <c r="O1" s="1348"/>
      <c r="P1" s="1348"/>
      <c r="Q1" s="1348"/>
      <c r="R1" s="1348"/>
      <c r="S1" s="1348"/>
      <c r="T1" s="1348"/>
    </row>
    <row r="2" spans="1:62" ht="17.25" customHeight="1">
      <c r="A2" s="1356" t="str">
        <f>'Supp. Result Entry'!A2</f>
        <v>कक्षा :-</v>
      </c>
      <c r="B2" s="1357"/>
      <c r="C2" s="1341" t="str">
        <f>CONCATENATE('Marks Entry'!H2," '",'Marks Entry'!H3,"'")</f>
        <v>11 'Arts'</v>
      </c>
      <c r="D2" s="1341"/>
      <c r="E2" s="1341"/>
      <c r="F2" s="1341"/>
      <c r="G2" s="1529" t="str">
        <f>'Supp. Result Entry'!F2</f>
        <v>सत्र :-</v>
      </c>
      <c r="H2" s="1531" t="str">
        <f>'Marks Entry'!H1</f>
        <v>2023-2024</v>
      </c>
      <c r="I2" s="1531"/>
      <c r="J2" s="1532"/>
      <c r="K2" s="1421" t="str">
        <f>IF('Master Sheet'!D11="Hindi","मुख्य परीक्षा विषयवार परिणाम ","Main Exam Subject wise Result")</f>
        <v xml:space="preserve">मुख्य परीक्षा विषयवार परिणाम </v>
      </c>
      <c r="L2" s="1422"/>
      <c r="M2" s="1422"/>
      <c r="N2" s="1422"/>
      <c r="O2" s="1422"/>
      <c r="P2" s="1422"/>
      <c r="Q2" s="1422"/>
      <c r="R2" s="1423"/>
      <c r="S2" s="1537" t="str">
        <f>IF('Master Sheet'!D11="Hindi","वैकल्पिक विषय","Optional Subjects ")</f>
        <v>वैकल्पिक विषय</v>
      </c>
      <c r="T2" s="1535" t="str">
        <f>IF('Master Sheet'!D11="Hindi","पूरक / पुनः परीक्षा / सानुग्रह उतीर्ण के विषय","Subjects of Supp. / Re-exam /  By Grace Pass")</f>
        <v>पूरक / पुनः परीक्षा / सानुग्रह उतीर्ण के विषय</v>
      </c>
    </row>
    <row r="3" spans="1:62" s="291" customFormat="1" ht="18" customHeight="1">
      <c r="A3" s="1360"/>
      <c r="B3" s="1361"/>
      <c r="C3" s="1343"/>
      <c r="D3" s="1343"/>
      <c r="E3" s="1343"/>
      <c r="F3" s="1343"/>
      <c r="G3" s="1530"/>
      <c r="H3" s="1533"/>
      <c r="I3" s="1533"/>
      <c r="J3" s="1534"/>
      <c r="K3" s="1427"/>
      <c r="L3" s="1428"/>
      <c r="M3" s="1428"/>
      <c r="N3" s="1428"/>
      <c r="O3" s="1428"/>
      <c r="P3" s="1428"/>
      <c r="Q3" s="1428"/>
      <c r="R3" s="1429"/>
      <c r="S3" s="1538"/>
      <c r="T3" s="1536"/>
    </row>
    <row r="4" spans="1:62" s="291" customFormat="1" ht="102.75" customHeight="1">
      <c r="A4" s="698" t="str">
        <f>'Supp. Result Entry'!A5</f>
        <v xml:space="preserve">क्रमांक </v>
      </c>
      <c r="B4" s="698" t="str">
        <f>'Supp. Result Entry'!B5</f>
        <v xml:space="preserve">नामांक
Roll No. </v>
      </c>
      <c r="C4" s="698" t="str">
        <f>'Supp. Result Entry'!C5</f>
        <v xml:space="preserve">प्रवेशांक
SR. No. </v>
      </c>
      <c r="D4" s="698" t="str">
        <f>'Supp. Result Entry'!D5</f>
        <v>जन्मतिथि 
Date of Birth</v>
      </c>
      <c r="E4" s="647" t="str">
        <f>'Supp. Result Entry'!E5</f>
        <v>विद्यार्थी का नाम   Name of student</v>
      </c>
      <c r="F4" s="647" t="str">
        <f>'Supp. Result Entry'!F5</f>
        <v>पिता का नाम   Father's Name</v>
      </c>
      <c r="G4" s="647" t="str">
        <f>'Supp. Result Entry'!G5</f>
        <v>माता का नाम   Mother's Name</v>
      </c>
      <c r="H4" s="647" t="str">
        <f>'Supp. Result Entry'!H5</f>
        <v xml:space="preserve">मुख्य परीक्षा परिणाम </v>
      </c>
      <c r="I4" s="647" t="str">
        <f>'Supp. Result Entry'!I5</f>
        <v>श्रेणी</v>
      </c>
      <c r="J4" s="647" t="str">
        <f>'Supp. Result Entry'!J5</f>
        <v>प्राप्तांक प्रतिशत</v>
      </c>
      <c r="K4" s="427" t="str">
        <f>'Statement of Marks'!J3</f>
        <v>Com. Hindi</v>
      </c>
      <c r="L4" s="427" t="str">
        <f>'Statement of Marks'!X3</f>
        <v>Com. English</v>
      </c>
      <c r="M4" s="427" t="str">
        <f>'Statement of Marks'!AL2</f>
        <v>Optional Subject - 01</v>
      </c>
      <c r="N4" s="427" t="str">
        <f>'Statement of Marks'!BI2</f>
        <v>Optional Subject - 02</v>
      </c>
      <c r="O4" s="427" t="str">
        <f>'Statement of Marks'!CF2</f>
        <v>Optional Subject - 03</v>
      </c>
      <c r="P4" s="428" t="str">
        <f>'Statement of Marks'!DD2</f>
        <v>Additional Sub. / Vocational  Subject</v>
      </c>
      <c r="Q4" s="429" t="str">
        <f>'Statement of Marks'!DS209</f>
        <v>जीवन कौशल</v>
      </c>
      <c r="R4" s="646" t="str">
        <f>'Statement of Marks'!EY209</f>
        <v xml:space="preserve">आजादी के बाद का स्वर्णिम भारत </v>
      </c>
      <c r="S4" s="1539"/>
      <c r="T4" s="1536"/>
    </row>
    <row r="5" spans="1:62" ht="24.95" customHeight="1">
      <c r="A5" s="283">
        <f>IF('Statement of Marks'!A8="","",'Statement of Marks'!A8)</f>
        <v>1</v>
      </c>
      <c r="B5" s="283">
        <f>IF('Statement of Marks'!B8="","",'Statement of Marks'!B8)</f>
        <v>1101</v>
      </c>
      <c r="C5" s="283">
        <f>IF('Statement of Marks'!C8="","",'Statement of Marks'!C8)</f>
        <v>230</v>
      </c>
      <c r="D5" s="430">
        <f>IF('Statement of Marks'!D8="","",'Statement of Marks'!D8)</f>
        <v>37622</v>
      </c>
      <c r="E5" s="431" t="str">
        <f>IF('Statement of Marks'!E8="","",'Statement of Marks'!E8)</f>
        <v>A</v>
      </c>
      <c r="F5" s="431" t="str">
        <f>IF('Statement of Marks'!F8="","",'Statement of Marks'!F8)</f>
        <v>X</v>
      </c>
      <c r="G5" s="431" t="str">
        <f>IF('Statement of Marks'!G8="","",'Statement of Marks'!G8)</f>
        <v>M</v>
      </c>
      <c r="H5" s="432" t="str">
        <f>IF(B5="","",IF('Statement of Marks'!GY8="","",'Statement of Marks'!GY8))</f>
        <v>PASS</v>
      </c>
      <c r="I5" s="286" t="str">
        <f>IF(B5="","",IF('Statement of Marks'!HB8="","",'Statement of Marks'!HB8))</f>
        <v>I</v>
      </c>
      <c r="J5" s="433">
        <f>IF(B5="","",IF('Statement of Marks'!HC8="","",'Statement of Marks'!HC8))</f>
        <v>70.7</v>
      </c>
      <c r="K5" s="295" t="str">
        <f>IF(B5="","",'Statement of Marks'!FJ8)</f>
        <v>I</v>
      </c>
      <c r="L5" s="295" t="str">
        <f>IF(B5="","",'Statement of Marks'!FM8)</f>
        <v>I</v>
      </c>
      <c r="M5" s="295" t="str">
        <f>IF(B5="","",'Statement of Marks'!FP8)</f>
        <v>I</v>
      </c>
      <c r="N5" s="295" t="str">
        <f>IF(B5="","",'Statement of Marks'!FW8)</f>
        <v>D</v>
      </c>
      <c r="O5" s="295" t="str">
        <f>IF(B5="","",'Statement of Marks'!GD8)</f>
        <v>I</v>
      </c>
      <c r="P5" s="295" t="str">
        <f>IF(B5="","",'Statement of Marks'!GK8)</f>
        <v/>
      </c>
      <c r="Q5" s="295" t="str">
        <f>IF(B5="","",'Statement of Marks'!GR8)</f>
        <v>A</v>
      </c>
      <c r="R5" s="295" t="str">
        <f>IF(B5="","",'Statement of Marks'!FF8)</f>
        <v>A</v>
      </c>
      <c r="S5" s="434" t="str">
        <f>IFERROR(IF(B5="","",CONCATENATE(IF(AND('Marks Entry'!U8="A"),'Marks Entry'!$U$2,IF(AND('Marks Entry'!U8="B"),'Marks Entry'!$Y$2,IF(AND('Marks Entry'!U8="C"),'Marks Entry'!$AA$2,""))),", ",IF(AND('Marks Entry'!AC8="A"),'Marks Entry'!$AC$2,IF(AND('Marks Entry'!AC8="B"),'Marks Entry'!$AG$2,IF(AND('Marks Entry'!AC8="C"),'Marks Entry'!$AI$2,""))),", ",IF(AND('Marks Entry'!AK8="A"),'Marks Entry'!$AK$2,IF(AND('Marks Entry'!AK8="B"),'Marks Entry'!$AO$2,IF(AND('Marks Entry'!AK8="C"),'Marks Entry'!$AQ$2,""))),", ",IF(AND('Statement of Marks'!DD8=""),"",IF(AND('Statement of Marks'!DD8="A"),'Marks Entry'!$AS$2,IF(AND('Statement of Marks'!DD8="B"),'Marks Entry'!$AW$2,IF(AND('Statement of Marks'!DD8="C"),'Marks Entry'!$AY$2,"")))))),"")</f>
        <v xml:space="preserve">POLITICAL SCIENCE, HISTORY, GEOGRAPHY, </v>
      </c>
      <c r="T5" s="435" t="str">
        <f>IF(COUNTIF(K5:R5,"F")&gt;0,"",CONCATENATE('Statement of Marks'!GU8,'Statement of Marks'!GW8))</f>
        <v xml:space="preserve">           </v>
      </c>
      <c r="BG5" s="17">
        <f>IFERROR(VLOOKUP(B5,'Statement of Marks'!$B$8:'Statement of Marks'!$HI$207,41,0),"")</f>
        <v>27</v>
      </c>
      <c r="BH5" s="17" t="str">
        <f>IFERROR(VLOOKUP(B5,'Statement of Marks'!$B$8:'Statement of Marks'!$HI$207,66,0),"")</f>
        <v/>
      </c>
      <c r="BI5" s="17">
        <f>IFERROR(VLOOKUP(B5,'Statement of Marks'!$B$8:'Statement of Marks'!$HI$207,91,0),"")</f>
        <v>69</v>
      </c>
      <c r="BJ5" s="17" t="str">
        <f>IFERROR(VLOOKUP(B5,'Statement of Marks'!$B$8:'Statement of Marks'!$HI$207,117,0),"")</f>
        <v/>
      </c>
    </row>
    <row r="6" spans="1:62" ht="24.95" customHeight="1">
      <c r="A6" s="283">
        <f>IF('Statement of Marks'!A9="","",'Statement of Marks'!A9)</f>
        <v>2</v>
      </c>
      <c r="B6" s="283">
        <f>IF('Statement of Marks'!B9="","",'Statement of Marks'!B9)</f>
        <v>1102</v>
      </c>
      <c r="C6" s="283">
        <f>IF('Statement of Marks'!C9="","",'Statement of Marks'!C9)</f>
        <v>231</v>
      </c>
      <c r="D6" s="430">
        <f>IF('Statement of Marks'!D9="","",'Statement of Marks'!D9)</f>
        <v>38090</v>
      </c>
      <c r="E6" s="431" t="str">
        <f>IF('Statement of Marks'!E9="","",'Statement of Marks'!E9)</f>
        <v>B</v>
      </c>
      <c r="F6" s="431" t="str">
        <f>IF('Statement of Marks'!F9="","",'Statement of Marks'!F9)</f>
        <v>Y</v>
      </c>
      <c r="G6" s="431" t="str">
        <f>IF('Statement of Marks'!G9="","",'Statement of Marks'!G9)</f>
        <v>N</v>
      </c>
      <c r="H6" s="432" t="str">
        <f>IF(B6="","",IF('Statement of Marks'!GY9="","",'Statement of Marks'!GY9))</f>
        <v>PASS</v>
      </c>
      <c r="I6" s="286" t="str">
        <f>IF(B6="","",IF('Statement of Marks'!HB9="","",'Statement of Marks'!HB9))</f>
        <v>I</v>
      </c>
      <c r="J6" s="433">
        <f>IF(B6="","",IF('Statement of Marks'!HC9="","",'Statement of Marks'!HC9))</f>
        <v>64.2</v>
      </c>
      <c r="K6" s="295" t="str">
        <f>IF(B6="","",'Statement of Marks'!FJ9)</f>
        <v>II</v>
      </c>
      <c r="L6" s="295" t="str">
        <f>IF(B6="","",'Statement of Marks'!FM9)</f>
        <v>I</v>
      </c>
      <c r="M6" s="295" t="str">
        <f>IF(B6="","",'Statement of Marks'!FP9)</f>
        <v>I</v>
      </c>
      <c r="N6" s="295" t="str">
        <f>IF(B6="","",'Statement of Marks'!FW9)</f>
        <v>D</v>
      </c>
      <c r="O6" s="295" t="str">
        <f>IF(B6="","",'Statement of Marks'!GD9)</f>
        <v>II</v>
      </c>
      <c r="P6" s="295" t="str">
        <f>IF(B6="","",'Statement of Marks'!GK9)</f>
        <v>I</v>
      </c>
      <c r="Q6" s="295" t="str">
        <f>IF(B6="","",'Statement of Marks'!GR9)</f>
        <v>A</v>
      </c>
      <c r="R6" s="295" t="str">
        <f>IF(B6="","",'Statement of Marks'!FF9)</f>
        <v>B</v>
      </c>
      <c r="S6" s="434" t="str">
        <f>IFERROR(IF(B6="","",CONCATENATE(IF(AND('Marks Entry'!U9="A"),'Marks Entry'!$U$2,IF(AND('Marks Entry'!U9="B"),'Marks Entry'!$Y$2,IF(AND('Marks Entry'!U9="C"),'Marks Entry'!$AA$2,""))),", ",IF(AND('Marks Entry'!AC9="A"),'Marks Entry'!$AC$2,IF(AND('Marks Entry'!AC9="B"),'Marks Entry'!$AG$2,IF(AND('Marks Entry'!AC9="C"),'Marks Entry'!$AI$2,""))),", ",IF(AND('Marks Entry'!AK9="A"),'Marks Entry'!$AK$2,IF(AND('Marks Entry'!AK9="B"),'Marks Entry'!$AO$2,IF(AND('Marks Entry'!AK9="C"),'Marks Entry'!$AQ$2,""))),", ",IF(AND('Statement of Marks'!DD9=""),"",IF(AND('Statement of Marks'!DD9="A"),'Marks Entry'!$AS$2,IF(AND('Statement of Marks'!DD9="B"),'Marks Entry'!$AW$2,IF(AND('Statement of Marks'!DD9="C"),'Marks Entry'!$AY$2,"")))))),"")</f>
        <v>BIOLOGY, ACCOUNTANCY, HOME SCIENCE, MATHEMATICS</v>
      </c>
      <c r="T6" s="435" t="str">
        <f>IF(COUNTIF(K6:R6,"F")&gt;0,"",CONCATENATE('Statement of Marks'!GU9,'Statement of Marks'!GW9))</f>
        <v xml:space="preserve">           </v>
      </c>
      <c r="BG6" s="17">
        <f>IFERROR(VLOOKUP(B6,'Statement of Marks'!$B$8:'Statement of Marks'!$HI$207,41,0),"")</f>
        <v>27</v>
      </c>
      <c r="BH6" s="17">
        <f>IFERROR(VLOOKUP(B6,'Statement of Marks'!$B$8:'Statement of Marks'!$HI$207,66,0),"")</f>
        <v>16</v>
      </c>
      <c r="BI6" s="17">
        <f>IFERROR(VLOOKUP(B6,'Statement of Marks'!$B$8:'Statement of Marks'!$HI$207,91,0),"")</f>
        <v>47</v>
      </c>
      <c r="BJ6" s="17" t="str">
        <f>IFERROR(VLOOKUP(B6,'Statement of Marks'!$B$8:'Statement of Marks'!$HI$207,117,0),"")</f>
        <v/>
      </c>
    </row>
    <row r="7" spans="1:62" ht="24.95" customHeight="1">
      <c r="A7" s="283">
        <f>IF('Statement of Marks'!A10="","",'Statement of Marks'!A10)</f>
        <v>3</v>
      </c>
      <c r="B7" s="283">
        <f>IF('Statement of Marks'!B10="","",'Statement of Marks'!B10)</f>
        <v>1103</v>
      </c>
      <c r="C7" s="283">
        <f>IF('Statement of Marks'!C10="","",'Statement of Marks'!C10)</f>
        <v>555</v>
      </c>
      <c r="D7" s="430">
        <f>IF('Statement of Marks'!D10="","",'Statement of Marks'!D10)</f>
        <v>38414</v>
      </c>
      <c r="E7" s="431" t="str">
        <f>IF('Statement of Marks'!E10="","",'Statement of Marks'!E10)</f>
        <v>C</v>
      </c>
      <c r="F7" s="431" t="str">
        <f>IF('Statement of Marks'!F10="","",'Statement of Marks'!F10)</f>
        <v>Z</v>
      </c>
      <c r="G7" s="431" t="str">
        <f>IF('Statement of Marks'!G10="","",'Statement of Marks'!G10)</f>
        <v>O</v>
      </c>
      <c r="H7" s="432" t="str">
        <f>IF(B7="","",IF('Statement of Marks'!GY10="","",'Statement of Marks'!GY10))</f>
        <v>PASS</v>
      </c>
      <c r="I7" s="286" t="str">
        <f>IF(B7="","",IF('Statement of Marks'!HB10="","",'Statement of Marks'!HB10))</f>
        <v>I</v>
      </c>
      <c r="J7" s="433">
        <f>IF(B7="","",IF('Statement of Marks'!HC10="","",'Statement of Marks'!HC10))</f>
        <v>64.099999999999994</v>
      </c>
      <c r="K7" s="295" t="str">
        <f>IF(B7="","",'Statement of Marks'!FJ10)</f>
        <v>I</v>
      </c>
      <c r="L7" s="295" t="str">
        <f>IF(B7="","",'Statement of Marks'!FM10)</f>
        <v>I</v>
      </c>
      <c r="M7" s="295" t="str">
        <f>IF(B7="","",'Statement of Marks'!FP10)</f>
        <v>II</v>
      </c>
      <c r="N7" s="295" t="str">
        <f>IF(B7="","",'Statement of Marks'!FW10)</f>
        <v>I</v>
      </c>
      <c r="O7" s="295" t="str">
        <f>IF(B7="","",'Statement of Marks'!GD10)</f>
        <v>II</v>
      </c>
      <c r="P7" s="295" t="str">
        <f>IF(B7="","",'Statement of Marks'!GK10)</f>
        <v/>
      </c>
      <c r="Q7" s="295" t="str">
        <f>IF(B7="","",'Statement of Marks'!GR10)</f>
        <v>A</v>
      </c>
      <c r="R7" s="295" t="str">
        <f>IF(B7="","",'Statement of Marks'!FF10)</f>
        <v>B</v>
      </c>
      <c r="S7" s="434" t="str">
        <f>IFERROR(IF(B7="","",CONCATENATE(IF(AND('Marks Entry'!U10="A"),'Marks Entry'!$U$2,IF(AND('Marks Entry'!U10="B"),'Marks Entry'!$Y$2,IF(AND('Marks Entry'!U10="C"),'Marks Entry'!$AA$2,""))),", ",IF(AND('Marks Entry'!AC10="A"),'Marks Entry'!$AC$2,IF(AND('Marks Entry'!AC10="B"),'Marks Entry'!$AG$2,IF(AND('Marks Entry'!AC10="C"),'Marks Entry'!$AI$2,""))),", ",IF(AND('Marks Entry'!AK10="A"),'Marks Entry'!$AK$2,IF(AND('Marks Entry'!AK10="B"),'Marks Entry'!$AO$2,IF(AND('Marks Entry'!AK10="C"),'Marks Entry'!$AQ$2,""))),", ",IF(AND('Statement of Marks'!DD10=""),"",IF(AND('Statement of Marks'!DD10="A"),'Marks Entry'!$AS$2,IF(AND('Statement of Marks'!DD10="B"),'Marks Entry'!$AW$2,IF(AND('Statement of Marks'!DD10="C"),'Marks Entry'!$AY$2,"")))))),"")</f>
        <v xml:space="preserve">POLITICAL SCIENCE, ACCOUNTANCY, GEOGRAPHY, </v>
      </c>
      <c r="T7" s="435" t="str">
        <f>IF(COUNTIF(K7:R7,"F")&gt;0,"",CONCATENATE('Statement of Marks'!GU10,'Statement of Marks'!GW10))</f>
        <v xml:space="preserve">           </v>
      </c>
      <c r="BG7" s="17">
        <f>IFERROR(VLOOKUP(B7,'Statement of Marks'!$B$8:'Statement of Marks'!$HI$207,41,0),"")</f>
        <v>27</v>
      </c>
      <c r="BH7" s="17">
        <f>IFERROR(VLOOKUP(B7,'Statement of Marks'!$B$8:'Statement of Marks'!$HI$207,66,0),"")</f>
        <v>11</v>
      </c>
      <c r="BI7" s="17">
        <f>IFERROR(VLOOKUP(B7,'Statement of Marks'!$B$8:'Statement of Marks'!$HI$207,91,0),"")</f>
        <v>63</v>
      </c>
      <c r="BJ7" s="17" t="str">
        <f>IFERROR(VLOOKUP(B7,'Statement of Marks'!$B$8:'Statement of Marks'!$HI$207,117,0),"")</f>
        <v/>
      </c>
    </row>
    <row r="8" spans="1:62" ht="24.95" customHeight="1">
      <c r="A8" s="283">
        <f>IF('Statement of Marks'!A11="","",'Statement of Marks'!A11)</f>
        <v>4</v>
      </c>
      <c r="B8" s="283">
        <f>IF('Statement of Marks'!B11="","",'Statement of Marks'!B11)</f>
        <v>1104</v>
      </c>
      <c r="C8" s="283">
        <f>IF('Statement of Marks'!C11="","",'Statement of Marks'!C11)</f>
        <v>444</v>
      </c>
      <c r="D8" s="430">
        <f>IF('Statement of Marks'!D11="","",'Statement of Marks'!D11)</f>
        <v>38874</v>
      </c>
      <c r="E8" s="431" t="str">
        <f>IF('Statement of Marks'!E11="","",'Statement of Marks'!E11)</f>
        <v>D</v>
      </c>
      <c r="F8" s="431" t="str">
        <f>IF('Statement of Marks'!F11="","",'Statement of Marks'!F11)</f>
        <v>W</v>
      </c>
      <c r="G8" s="431" t="str">
        <f>IF('Statement of Marks'!G11="","",'Statement of Marks'!G11)</f>
        <v>P</v>
      </c>
      <c r="H8" s="432" t="str">
        <f>IF(B8="","",IF('Statement of Marks'!GY11="","",'Statement of Marks'!GY11))</f>
        <v>PASS</v>
      </c>
      <c r="I8" s="286" t="str">
        <f>IF(B8="","",IF('Statement of Marks'!HB11="","",'Statement of Marks'!HB11))</f>
        <v>I</v>
      </c>
      <c r="J8" s="433">
        <f>IF(B8="","",IF('Statement of Marks'!HC11="","",'Statement of Marks'!HC11))</f>
        <v>64.7</v>
      </c>
      <c r="K8" s="295" t="str">
        <f>IF(B8="","",'Statement of Marks'!FJ11)</f>
        <v>II</v>
      </c>
      <c r="L8" s="295" t="str">
        <f>IF(B8="","",'Statement of Marks'!FM11)</f>
        <v>I</v>
      </c>
      <c r="M8" s="295" t="str">
        <f>IF(B8="","",'Statement of Marks'!FP11)</f>
        <v>I</v>
      </c>
      <c r="N8" s="295" t="str">
        <f>IF(B8="","",'Statement of Marks'!FW11)</f>
        <v>II</v>
      </c>
      <c r="O8" s="295" t="str">
        <f>IF(B8="","",'Statement of Marks'!GD11)</f>
        <v>D</v>
      </c>
      <c r="P8" s="295" t="str">
        <f>IF(B8="","",'Statement of Marks'!GK11)</f>
        <v>III</v>
      </c>
      <c r="Q8" s="295" t="str">
        <f>IF(B8="","",'Statement of Marks'!GR11)</f>
        <v>A</v>
      </c>
      <c r="R8" s="295" t="str">
        <f>IF(B8="","",'Statement of Marks'!FF11)</f>
        <v>B</v>
      </c>
      <c r="S8" s="434" t="str">
        <f>IFERROR(IF(B8="","",CONCATENATE(IF(AND('Marks Entry'!U11="A"),'Marks Entry'!$U$2,IF(AND('Marks Entry'!U11="B"),'Marks Entry'!$Y$2,IF(AND('Marks Entry'!U11="C"),'Marks Entry'!$AA$2,""))),", ",IF(AND('Marks Entry'!AC11="A"),'Marks Entry'!$AC$2,IF(AND('Marks Entry'!AC11="B"),'Marks Entry'!$AG$2,IF(AND('Marks Entry'!AC11="C"),'Marks Entry'!$AI$2,""))),", ",IF(AND('Marks Entry'!AK11="A"),'Marks Entry'!$AK$2,IF(AND('Marks Entry'!AK11="B"),'Marks Entry'!$AO$2,IF(AND('Marks Entry'!AK11="C"),'Marks Entry'!$AQ$2,""))),", ",IF(AND('Statement of Marks'!DD11=""),"",IF(AND('Statement of Marks'!DD11="A"),'Marks Entry'!$AS$2,IF(AND('Statement of Marks'!DD11="B"),'Marks Entry'!$AW$2,IF(AND('Statement of Marks'!DD11="C"),'Marks Entry'!$AY$2,"")))))),"")</f>
        <v>BIOLOGY, HISTORY, GEOGRAPHY, TOURISM AND TRAVEL</v>
      </c>
      <c r="T8" s="435" t="str">
        <f>IF(COUNTIF(K8:R8,"F")&gt;0,"",CONCATENATE('Statement of Marks'!GU11,'Statement of Marks'!GW11))</f>
        <v xml:space="preserve">           </v>
      </c>
      <c r="BG8" s="17">
        <f>IFERROR(VLOOKUP(B8,'Statement of Marks'!$B$8:'Statement of Marks'!$HI$207,41,0),"")</f>
        <v>24</v>
      </c>
      <c r="BH8" s="17" t="str">
        <f>IFERROR(VLOOKUP(B8,'Statement of Marks'!$B$8:'Statement of Marks'!$HI$207,66,0),"")</f>
        <v/>
      </c>
      <c r="BI8" s="17">
        <f>IFERROR(VLOOKUP(B8,'Statement of Marks'!$B$8:'Statement of Marks'!$HI$207,91,0),"")</f>
        <v>79</v>
      </c>
      <c r="BJ8" s="17">
        <f>IFERROR(VLOOKUP(B8,'Statement of Marks'!$B$8:'Statement of Marks'!$HI$207,117,0),"")</f>
        <v>18</v>
      </c>
    </row>
    <row r="9" spans="1:62" ht="24.95" customHeight="1">
      <c r="A9" s="283">
        <f>IF('Statement of Marks'!A12="","",'Statement of Marks'!A12)</f>
        <v>5</v>
      </c>
      <c r="B9" s="283">
        <f>IF('Statement of Marks'!B12="","",'Statement of Marks'!B12)</f>
        <v>1105</v>
      </c>
      <c r="C9" s="283">
        <f>IF('Statement of Marks'!C12="","",'Statement of Marks'!C12)</f>
        <v>333</v>
      </c>
      <c r="D9" s="430">
        <f>IF('Statement of Marks'!D12="","",'Statement of Marks'!D12)</f>
        <v>39270</v>
      </c>
      <c r="E9" s="431" t="str">
        <f>IF('Statement of Marks'!E12="","",'Statement of Marks'!E12)</f>
        <v>E</v>
      </c>
      <c r="F9" s="431" t="str">
        <f>IF('Statement of Marks'!F12="","",'Statement of Marks'!F12)</f>
        <v>V</v>
      </c>
      <c r="G9" s="431" t="str">
        <f>IF('Statement of Marks'!G12="","",'Statement of Marks'!G12)</f>
        <v>Q</v>
      </c>
      <c r="H9" s="432" t="str">
        <f>IF(B9="","",IF('Statement of Marks'!GY12="","",'Statement of Marks'!GY12))</f>
        <v>PASS</v>
      </c>
      <c r="I9" s="286" t="str">
        <f>IF(B9="","",IF('Statement of Marks'!HB12="","",'Statement of Marks'!HB12))</f>
        <v>I</v>
      </c>
      <c r="J9" s="433">
        <f>IF(B9="","",IF('Statement of Marks'!HC12="","",'Statement of Marks'!HC12))</f>
        <v>68.600000000000009</v>
      </c>
      <c r="K9" s="295" t="str">
        <f>IF(B9="","",'Statement of Marks'!FJ12)</f>
        <v>I</v>
      </c>
      <c r="L9" s="295" t="str">
        <f>IF(B9="","",'Statement of Marks'!FM12)</f>
        <v>I</v>
      </c>
      <c r="M9" s="295" t="str">
        <f>IF(B9="","",'Statement of Marks'!FP12)</f>
        <v>I</v>
      </c>
      <c r="N9" s="295" t="str">
        <f>IF(B9="","",'Statement of Marks'!FW12)</f>
        <v>I</v>
      </c>
      <c r="O9" s="295" t="str">
        <f>IF(B9="","",'Statement of Marks'!GD12)</f>
        <v>D</v>
      </c>
      <c r="P9" s="295" t="str">
        <f>IF(B9="","",'Statement of Marks'!GK12)</f>
        <v>III</v>
      </c>
      <c r="Q9" s="295" t="str">
        <f>IF(B9="","",'Statement of Marks'!GR12)</f>
        <v>A</v>
      </c>
      <c r="R9" s="295" t="str">
        <f>IF(B9="","",'Statement of Marks'!FF12)</f>
        <v>B</v>
      </c>
      <c r="S9" s="434" t="str">
        <f>IFERROR(IF(B9="","",CONCATENATE(IF(AND('Marks Entry'!U12="A"),'Marks Entry'!$U$2,IF(AND('Marks Entry'!U12="B"),'Marks Entry'!$Y$2,IF(AND('Marks Entry'!U12="C"),'Marks Entry'!$AA$2,""))),", ",IF(AND('Marks Entry'!AC12="A"),'Marks Entry'!$AC$2,IF(AND('Marks Entry'!AC12="B"),'Marks Entry'!$AG$2,IF(AND('Marks Entry'!AC12="C"),'Marks Entry'!$AI$2,""))),", ",IF(AND('Marks Entry'!AK12="A"),'Marks Entry'!$AK$2,IF(AND('Marks Entry'!AK12="B"),'Marks Entry'!$AO$2,IF(AND('Marks Entry'!AK12="C"),'Marks Entry'!$AQ$2,""))),", ",IF(AND('Statement of Marks'!DD12=""),"",IF(AND('Statement of Marks'!DD12="A"),'Marks Entry'!$AS$2,IF(AND('Statement of Marks'!DD12="B"),'Marks Entry'!$AW$2,IF(AND('Statement of Marks'!DD12="C"),'Marks Entry'!$AY$2,"")))))),"")</f>
        <v>BIOLOGY, ACCOUNTANCY, GEOGRAPHY, TOURISM AND TRAVEL</v>
      </c>
      <c r="T9" s="435" t="str">
        <f>IF(COUNTIF(K9:R9,"F")&gt;0,"",CONCATENATE('Statement of Marks'!GU12,'Statement of Marks'!GW12))</f>
        <v xml:space="preserve">           </v>
      </c>
      <c r="BG9" s="17">
        <f>IFERROR(VLOOKUP(B9,'Statement of Marks'!$B$8:'Statement of Marks'!$HI$207,41,0),"")</f>
        <v>23</v>
      </c>
      <c r="BH9" s="17">
        <f>IFERROR(VLOOKUP(B9,'Statement of Marks'!$B$8:'Statement of Marks'!$HI$207,66,0),"")</f>
        <v>12</v>
      </c>
      <c r="BI9" s="17">
        <f>IFERROR(VLOOKUP(B9,'Statement of Marks'!$B$8:'Statement of Marks'!$HI$207,91,0),"")</f>
        <v>84</v>
      </c>
      <c r="BJ9" s="17">
        <f>IFERROR(VLOOKUP(B9,'Statement of Marks'!$B$8:'Statement of Marks'!$HI$207,117,0),"")</f>
        <v>18</v>
      </c>
    </row>
    <row r="10" spans="1:62" ht="24.95" customHeight="1">
      <c r="A10" s="283">
        <f>IF('Statement of Marks'!A13="","",'Statement of Marks'!A13)</f>
        <v>6</v>
      </c>
      <c r="B10" s="283">
        <f>IF('Statement of Marks'!B13="","",'Statement of Marks'!B13)</f>
        <v>1106</v>
      </c>
      <c r="C10" s="283">
        <f>IF('Statement of Marks'!C13="","",'Statement of Marks'!C13)</f>
        <v>666</v>
      </c>
      <c r="D10" s="430">
        <f>IF('Statement of Marks'!D13="","",'Statement of Marks'!D13)</f>
        <v>39668</v>
      </c>
      <c r="E10" s="431" t="str">
        <f>IF('Statement of Marks'!E13="","",'Statement of Marks'!E13)</f>
        <v>F</v>
      </c>
      <c r="F10" s="431" t="str">
        <f>IF('Statement of Marks'!F13="","",'Statement of Marks'!F13)</f>
        <v>U</v>
      </c>
      <c r="G10" s="431" t="str">
        <f>IF('Statement of Marks'!G13="","",'Statement of Marks'!G13)</f>
        <v>R</v>
      </c>
      <c r="H10" s="432" t="str">
        <f>IF(B10="","",IF('Statement of Marks'!GY13="","",'Statement of Marks'!GY13))</f>
        <v>PASS</v>
      </c>
      <c r="I10" s="286" t="str">
        <f>IF(B10="","",IF('Statement of Marks'!HB13="","",'Statement of Marks'!HB13))</f>
        <v>II</v>
      </c>
      <c r="J10" s="433">
        <f>IF(B10="","",IF('Statement of Marks'!HC13="","",'Statement of Marks'!HC13))</f>
        <v>56.100000000000009</v>
      </c>
      <c r="K10" s="295" t="str">
        <f>IF(B10="","",'Statement of Marks'!FJ13)</f>
        <v>II</v>
      </c>
      <c r="L10" s="295" t="str">
        <f>IF(B10="","",'Statement of Marks'!FM13)</f>
        <v>I</v>
      </c>
      <c r="M10" s="295" t="str">
        <f>IF(B10="","",'Statement of Marks'!FP13)</f>
        <v>III</v>
      </c>
      <c r="N10" s="295" t="str">
        <f>IF(B10="","",'Statement of Marks'!FW13)</f>
        <v>I</v>
      </c>
      <c r="O10" s="295" t="str">
        <f>IF(B10="","",'Statement of Marks'!GD13)</f>
        <v>II</v>
      </c>
      <c r="P10" s="295" t="str">
        <f>IF(B10="","",'Statement of Marks'!GK13)</f>
        <v>III</v>
      </c>
      <c r="Q10" s="295" t="str">
        <f>IF(B10="","",'Statement of Marks'!GR13)</f>
        <v>A</v>
      </c>
      <c r="R10" s="295" t="str">
        <f>IF(B10="","",'Statement of Marks'!FF13)</f>
        <v>B</v>
      </c>
      <c r="S10" s="434" t="str">
        <f>IFERROR(IF(B10="","",CONCATENATE(IF(AND('Marks Entry'!U13="A"),'Marks Entry'!$U$2,IF(AND('Marks Entry'!U13="B"),'Marks Entry'!$Y$2,IF(AND('Marks Entry'!U13="C"),'Marks Entry'!$AA$2,""))),", ",IF(AND('Marks Entry'!AC13="A"),'Marks Entry'!$AC$2,IF(AND('Marks Entry'!AC13="B"),'Marks Entry'!$AG$2,IF(AND('Marks Entry'!AC13="C"),'Marks Entry'!$AI$2,""))),", ",IF(AND('Marks Entry'!AK13="A"),'Marks Entry'!$AK$2,IF(AND('Marks Entry'!AK13="B"),'Marks Entry'!$AO$2,IF(AND('Marks Entry'!AK13="C"),'Marks Entry'!$AQ$2,""))),", ",IF(AND('Statement of Marks'!DD13=""),"",IF(AND('Statement of Marks'!DD13="A"),'Marks Entry'!$AS$2,IF(AND('Statement of Marks'!DD13="B"),'Marks Entry'!$AW$2,IF(AND('Statement of Marks'!DD13="C"),'Marks Entry'!$AY$2,"")))))),"")</f>
        <v>POLITICAL SCIENCE, ECONOMICS, GEOGRAPHY, TOURISM AND TRAVEL</v>
      </c>
      <c r="T10" s="435" t="str">
        <f>IF(COUNTIF(K10:R10,"F")&gt;0,"",CONCATENATE('Statement of Marks'!GU13,'Statement of Marks'!GW13))</f>
        <v xml:space="preserve">           </v>
      </c>
      <c r="U10" s="301"/>
      <c r="BG10" s="17">
        <f>IFERROR(VLOOKUP(B10,'Statement of Marks'!$B$8:'Statement of Marks'!$HI$207,41,0),"")</f>
        <v>27</v>
      </c>
      <c r="BH10" s="17" t="str">
        <f>IFERROR(VLOOKUP(B10,'Statement of Marks'!$B$8:'Statement of Marks'!$HI$207,66,0),"")</f>
        <v/>
      </c>
      <c r="BI10" s="17">
        <f>IFERROR(VLOOKUP(B10,'Statement of Marks'!$B$8:'Statement of Marks'!$HI$207,91,0),"")</f>
        <v>55</v>
      </c>
      <c r="BJ10" s="17">
        <f>IFERROR(VLOOKUP(B10,'Statement of Marks'!$B$8:'Statement of Marks'!$HI$207,117,0),"")</f>
        <v>15</v>
      </c>
    </row>
    <row r="11" spans="1:62" ht="24.95" customHeight="1">
      <c r="A11" s="283">
        <f>IF('Statement of Marks'!A14="","",'Statement of Marks'!A14)</f>
        <v>7</v>
      </c>
      <c r="B11" s="283">
        <f>IF('Statement of Marks'!B14="","",'Statement of Marks'!B14)</f>
        <v>1107</v>
      </c>
      <c r="C11" s="283">
        <f>IF('Statement of Marks'!C14="","",'Statement of Marks'!C14)</f>
        <v>222</v>
      </c>
      <c r="D11" s="430">
        <f>IF('Statement of Marks'!D14="","",'Statement of Marks'!D14)</f>
        <v>40065</v>
      </c>
      <c r="E11" s="431" t="str">
        <f>IF('Statement of Marks'!E14="","",'Statement of Marks'!E14)</f>
        <v>G</v>
      </c>
      <c r="F11" s="431" t="str">
        <f>IF('Statement of Marks'!F14="","",'Statement of Marks'!F14)</f>
        <v>T</v>
      </c>
      <c r="G11" s="431" t="str">
        <f>IF('Statement of Marks'!G14="","",'Statement of Marks'!G14)</f>
        <v>S</v>
      </c>
      <c r="H11" s="432" t="str">
        <f>IF(B11="","",IF('Statement of Marks'!GY14="","",'Statement of Marks'!GY14))</f>
        <v>SUPPLEMENTARY</v>
      </c>
      <c r="I11" s="286" t="str">
        <f>IF(B11="","",IF('Statement of Marks'!HB14="","",'Statement of Marks'!HB14))</f>
        <v/>
      </c>
      <c r="J11" s="433" t="str">
        <f>IF(B11="","",IF('Statement of Marks'!HC14="","",'Statement of Marks'!HC14))</f>
        <v/>
      </c>
      <c r="K11" s="295" t="str">
        <f>IF(B11="","",'Statement of Marks'!FJ14)</f>
        <v>II</v>
      </c>
      <c r="L11" s="295" t="str">
        <f>IF(B11="","",'Statement of Marks'!FM14)</f>
        <v>I</v>
      </c>
      <c r="M11" s="295" t="str">
        <f>IF(B11="","",'Statement of Marks'!FP14)</f>
        <v>S</v>
      </c>
      <c r="N11" s="295" t="str">
        <f>IF(B11="","",'Statement of Marks'!FW14)</f>
        <v>I</v>
      </c>
      <c r="O11" s="295" t="str">
        <f>IF(B11="","",'Statement of Marks'!GD14)</f>
        <v/>
      </c>
      <c r="P11" s="295" t="str">
        <f>IF(B11="","",'Statement of Marks'!GK14)</f>
        <v/>
      </c>
      <c r="Q11" s="295" t="str">
        <f>IF(B11="","",'Statement of Marks'!GR14)</f>
        <v>A</v>
      </c>
      <c r="R11" s="295" t="str">
        <f>IF(B11="","",'Statement of Marks'!FF14)</f>
        <v>B</v>
      </c>
      <c r="S11" s="434" t="str">
        <f>IFERROR(IF(B11="","",CONCATENATE(IF(AND('Marks Entry'!U14="A"),'Marks Entry'!$U$2,IF(AND('Marks Entry'!U14="B"),'Marks Entry'!$Y$2,IF(AND('Marks Entry'!U14="C"),'Marks Entry'!$AA$2,""))),", ",IF(AND('Marks Entry'!AC14="A"),'Marks Entry'!$AC$2,IF(AND('Marks Entry'!AC14="B"),'Marks Entry'!$AG$2,IF(AND('Marks Entry'!AC14="C"),'Marks Entry'!$AI$2,""))),", ",IF(AND('Marks Entry'!AK14="A"),'Marks Entry'!$AK$2,IF(AND('Marks Entry'!AK14="B"),'Marks Entry'!$AO$2,IF(AND('Marks Entry'!AK14="C"),'Marks Entry'!$AQ$2,""))),", ",IF(AND('Statement of Marks'!DD14=""),"",IF(AND('Statement of Marks'!DD14="A"),'Marks Entry'!$AS$2,IF(AND('Statement of Marks'!DD14="B"),'Marks Entry'!$AW$2,IF(AND('Statement of Marks'!DD14="C"),'Marks Entry'!$AY$2,"")))))),"")</f>
        <v xml:space="preserve">POLITICAL SCIENCE, HISTORY, HOME SCIENCE, </v>
      </c>
      <c r="T11" s="435" t="str">
        <f>IF(COUNTIF(K11:R11,"F")&gt;0,"",CONCATENATE('Statement of Marks'!GU14,'Statement of Marks'!GW14))</f>
        <v xml:space="preserve">  POLITICAL SCIENCE         </v>
      </c>
      <c r="BG11" s="17">
        <f>IFERROR(VLOOKUP(B11,'Statement of Marks'!$B$8:'Statement of Marks'!$HI$207,41,0),"")</f>
        <v>17</v>
      </c>
      <c r="BH11" s="17" t="str">
        <f>IFERROR(VLOOKUP(B11,'Statement of Marks'!$B$8:'Statement of Marks'!$HI$207,66,0),"")</f>
        <v/>
      </c>
      <c r="BI11" s="17">
        <f>IFERROR(VLOOKUP(B11,'Statement of Marks'!$B$8:'Statement of Marks'!$HI$207,91,0),"")</f>
        <v>49</v>
      </c>
      <c r="BJ11" s="17" t="str">
        <f>IFERROR(VLOOKUP(B11,'Statement of Marks'!$B$8:'Statement of Marks'!$HI$207,117,0),"")</f>
        <v/>
      </c>
    </row>
    <row r="12" spans="1:62" ht="24.95" customHeight="1">
      <c r="A12" s="283">
        <f>IF('Statement of Marks'!A15="","",'Statement of Marks'!A15)</f>
        <v>8</v>
      </c>
      <c r="B12" s="283">
        <f>IF('Statement of Marks'!B15="","",'Statement of Marks'!B15)</f>
        <v>1108</v>
      </c>
      <c r="C12" s="283">
        <f>IF('Statement of Marks'!C15="","",'Statement of Marks'!C15)</f>
        <v>123</v>
      </c>
      <c r="D12" s="430">
        <f>IF('Statement of Marks'!D15="","",'Statement of Marks'!D15)</f>
        <v>39763</v>
      </c>
      <c r="E12" s="431" t="str">
        <f>IF('Statement of Marks'!E15="","",'Statement of Marks'!E15)</f>
        <v>O</v>
      </c>
      <c r="F12" s="431" t="str">
        <f>IF('Statement of Marks'!F15="","",'Statement of Marks'!F15)</f>
        <v>R</v>
      </c>
      <c r="G12" s="431" t="str">
        <f>IF('Statement of Marks'!G15="","",'Statement of Marks'!G15)</f>
        <v>I</v>
      </c>
      <c r="H12" s="432" t="str">
        <f>IF(B12="","",IF('Statement of Marks'!GY15="","",'Statement of Marks'!GY15))</f>
        <v>BY GRACE PASS</v>
      </c>
      <c r="I12" s="286" t="str">
        <f>IF(B12="","",IF('Statement of Marks'!HB15="","",'Statement of Marks'!HB15))</f>
        <v>III</v>
      </c>
      <c r="J12" s="433">
        <f>IF(B12="","",IF('Statement of Marks'!HC15="","",'Statement of Marks'!HC15))</f>
        <v>43.7</v>
      </c>
      <c r="K12" s="295" t="str">
        <f>IF(B12="","",'Statement of Marks'!FJ15)</f>
        <v>II</v>
      </c>
      <c r="L12" s="295" t="str">
        <f>IF(B12="","",'Statement of Marks'!FM15)</f>
        <v>I</v>
      </c>
      <c r="M12" s="295" t="str">
        <f>IF(B12="","",'Statement of Marks'!FP15)</f>
        <v>G</v>
      </c>
      <c r="N12" s="295" t="str">
        <f>IF(B12="","",'Statement of Marks'!FW15)</f>
        <v>I</v>
      </c>
      <c r="O12" s="295" t="str">
        <f>IF(B12="","",'Statement of Marks'!GD15)</f>
        <v/>
      </c>
      <c r="P12" s="295" t="str">
        <f>IF(B12="","",'Statement of Marks'!GK15)</f>
        <v/>
      </c>
      <c r="Q12" s="295" t="str">
        <f>IF(B12="","",'Statement of Marks'!GR15)</f>
        <v>A</v>
      </c>
      <c r="R12" s="295" t="str">
        <f>IF(B12="","",'Statement of Marks'!FF15)</f>
        <v>B</v>
      </c>
      <c r="S12" s="434" t="str">
        <f>IFERROR(IF(B12="","",CONCATENATE(IF(AND('Marks Entry'!U15="A"),'Marks Entry'!$U$2,IF(AND('Marks Entry'!U15="B"),'Marks Entry'!$Y$2,IF(AND('Marks Entry'!U15="C"),'Marks Entry'!$AA$2,""))),", ",IF(AND('Marks Entry'!AC15="A"),'Marks Entry'!$AC$2,IF(AND('Marks Entry'!AC15="B"),'Marks Entry'!$AG$2,IF(AND('Marks Entry'!AC15="C"),'Marks Entry'!$AI$2,""))),", ",IF(AND('Marks Entry'!AK15="A"),'Marks Entry'!$AK$2,IF(AND('Marks Entry'!AK15="B"),'Marks Entry'!$AO$2,IF(AND('Marks Entry'!AK15="C"),'Marks Entry'!$AQ$2,""))),", ",IF(AND('Statement of Marks'!DD15=""),"",IF(AND('Statement of Marks'!DD15="A"),'Marks Entry'!$AS$2,IF(AND('Statement of Marks'!DD15="B"),'Marks Entry'!$AW$2,IF(AND('Statement of Marks'!DD15="C"),'Marks Entry'!$AY$2,"")))))),"")</f>
        <v xml:space="preserve">POLITICAL SCIENCE, HISTORY, HOME SCIENCE, </v>
      </c>
      <c r="T12" s="435" t="str">
        <f>IF(COUNTIF(K12:R12,"F")&gt;0,"",CONCATENATE('Statement of Marks'!GU15,'Statement of Marks'!GW15))</f>
        <v xml:space="preserve">           </v>
      </c>
      <c r="BG12" s="17">
        <f>IFERROR(VLOOKUP(B12,'Statement of Marks'!$B$8:'Statement of Marks'!$HI$207,41,0),"")</f>
        <v>22</v>
      </c>
      <c r="BH12" s="17" t="str">
        <f>IFERROR(VLOOKUP(B12,'Statement of Marks'!$B$8:'Statement of Marks'!$HI$207,66,0),"")</f>
        <v/>
      </c>
      <c r="BI12" s="17">
        <f>IFERROR(VLOOKUP(B12,'Statement of Marks'!$B$8:'Statement of Marks'!$HI$207,91,0),"")</f>
        <v>23</v>
      </c>
      <c r="BJ12" s="17" t="str">
        <f>IFERROR(VLOOKUP(B12,'Statement of Marks'!$B$8:'Statement of Marks'!$HI$207,117,0),"")</f>
        <v/>
      </c>
    </row>
    <row r="13" spans="1:62" ht="24.95" customHeight="1">
      <c r="A13" s="283">
        <f>IF('Statement of Marks'!A16="","",'Statement of Marks'!A16)</f>
        <v>9</v>
      </c>
      <c r="B13" s="283">
        <f>IF('Statement of Marks'!B16="","",'Statement of Marks'!B16)</f>
        <v>1109</v>
      </c>
      <c r="C13" s="283">
        <f>IF('Statement of Marks'!C16="","",'Statement of Marks'!C16)</f>
        <v>345</v>
      </c>
      <c r="D13" s="430">
        <f>IF('Statement of Marks'!D16="","",'Statement of Marks'!D16)</f>
        <v>40795</v>
      </c>
      <c r="E13" s="431" t="str">
        <f>IF('Statement of Marks'!E16="","",'Statement of Marks'!E16)</f>
        <v>P</v>
      </c>
      <c r="F13" s="431" t="str">
        <f>IF('Statement of Marks'!F16="","",'Statement of Marks'!F16)</f>
        <v>P</v>
      </c>
      <c r="G13" s="431" t="str">
        <f>IF('Statement of Marks'!G16="","",'Statement of Marks'!G16)</f>
        <v>N</v>
      </c>
      <c r="H13" s="432" t="str">
        <f>IF(B13="","",IF('Statement of Marks'!GY16="","",'Statement of Marks'!GY16))</f>
        <v>FAIL</v>
      </c>
      <c r="I13" s="286" t="str">
        <f>IF(B13="","",IF('Statement of Marks'!HB16="","",'Statement of Marks'!HB16))</f>
        <v/>
      </c>
      <c r="J13" s="433" t="str">
        <f>IF(B13="","",IF('Statement of Marks'!HC16="","",'Statement of Marks'!HC16))</f>
        <v/>
      </c>
      <c r="K13" s="295" t="str">
        <f>IF(B13="","",'Statement of Marks'!FJ16)</f>
        <v>II</v>
      </c>
      <c r="L13" s="295" t="str">
        <f>IF(B13="","",'Statement of Marks'!FM16)</f>
        <v>II</v>
      </c>
      <c r="M13" s="295" t="str">
        <f>IF(B13="","",'Statement of Marks'!FP16)</f>
        <v>F</v>
      </c>
      <c r="N13" s="295" t="str">
        <f>IF(B13="","",'Statement of Marks'!FW16)</f>
        <v>II</v>
      </c>
      <c r="O13" s="295" t="str">
        <f>IF(B13="","",'Statement of Marks'!GD16)</f>
        <v/>
      </c>
      <c r="P13" s="295" t="str">
        <f>IF(B13="","",'Statement of Marks'!GK16)</f>
        <v/>
      </c>
      <c r="Q13" s="295" t="str">
        <f>IF(B13="","",'Statement of Marks'!GR16)</f>
        <v>A</v>
      </c>
      <c r="R13" s="295" t="str">
        <f>IF(B13="","",'Statement of Marks'!FF16)</f>
        <v>B</v>
      </c>
      <c r="S13" s="434" t="str">
        <f>IFERROR(IF(B13="","",CONCATENATE(IF(AND('Marks Entry'!U16="A"),'Marks Entry'!$U$2,IF(AND('Marks Entry'!U16="B"),'Marks Entry'!$Y$2,IF(AND('Marks Entry'!U16="C"),'Marks Entry'!$AA$2,""))),", ",IF(AND('Marks Entry'!AC16="A"),'Marks Entry'!$AC$2,IF(AND('Marks Entry'!AC16="B"),'Marks Entry'!$AG$2,IF(AND('Marks Entry'!AC16="C"),'Marks Entry'!$AI$2,""))),", ",IF(AND('Marks Entry'!AK16="A"),'Marks Entry'!$AK$2,IF(AND('Marks Entry'!AK16="B"),'Marks Entry'!$AO$2,IF(AND('Marks Entry'!AK16="C"),'Marks Entry'!$AQ$2,""))),", ",IF(AND('Statement of Marks'!DD16=""),"",IF(AND('Statement of Marks'!DD16="A"),'Marks Entry'!$AS$2,IF(AND('Statement of Marks'!DD16="B"),'Marks Entry'!$AW$2,IF(AND('Statement of Marks'!DD16="C"),'Marks Entry'!$AY$2,"")))))),"")</f>
        <v xml:space="preserve">POLITICAL SCIENCE, HISTORY, HOME SCIENCE, </v>
      </c>
      <c r="T13" s="435" t="str">
        <f>IF(COUNTIF(K13:R13,"F")&gt;0,"",CONCATENATE('Statement of Marks'!GU16,'Statement of Marks'!GW16))</f>
        <v/>
      </c>
      <c r="BG13" s="17">
        <f>IFERROR(VLOOKUP(B13,'Statement of Marks'!$B$8:'Statement of Marks'!$HI$207,41,0),"")</f>
        <v>23</v>
      </c>
      <c r="BH13" s="17" t="str">
        <f>IFERROR(VLOOKUP(B13,'Statement of Marks'!$B$8:'Statement of Marks'!$HI$207,66,0),"")</f>
        <v/>
      </c>
      <c r="BI13" s="17">
        <f>IFERROR(VLOOKUP(B13,'Statement of Marks'!$B$8:'Statement of Marks'!$HI$207,91,0),"")</f>
        <v>60</v>
      </c>
      <c r="BJ13" s="17" t="str">
        <f>IFERROR(VLOOKUP(B13,'Statement of Marks'!$B$8:'Statement of Marks'!$HI$207,117,0),"")</f>
        <v/>
      </c>
    </row>
    <row r="14" spans="1:62" ht="24.95" customHeight="1">
      <c r="A14" s="283">
        <f>IF('Statement of Marks'!A17="","",'Statement of Marks'!A17)</f>
        <v>10</v>
      </c>
      <c r="B14" s="283">
        <f>IF('Statement of Marks'!B17="","",'Statement of Marks'!B17)</f>
        <v>1110</v>
      </c>
      <c r="C14" s="283">
        <f>IF('Statement of Marks'!C17="","",'Statement of Marks'!C17)</f>
        <v>678</v>
      </c>
      <c r="D14" s="430">
        <f>IF('Statement of Marks'!D17="","",'Statement of Marks'!D17)</f>
        <v>38841</v>
      </c>
      <c r="E14" s="431" t="str">
        <f>IF('Statement of Marks'!E17="","",'Statement of Marks'!E17)</f>
        <v>S</v>
      </c>
      <c r="F14" s="431" t="str">
        <f>IF('Statement of Marks'!F17="","",'Statement of Marks'!F17)</f>
        <v>M</v>
      </c>
      <c r="G14" s="431" t="str">
        <f>IF('Statement of Marks'!G17="","",'Statement of Marks'!G17)</f>
        <v>B</v>
      </c>
      <c r="H14" s="432" t="str">
        <f>IF(B14="","",IF('Statement of Marks'!GY17="","",'Statement of Marks'!GY17))</f>
        <v>BY GRACE PASS</v>
      </c>
      <c r="I14" s="286" t="str">
        <f>IF(B14="","",IF('Statement of Marks'!HB17="","",'Statement of Marks'!HB17))</f>
        <v>III</v>
      </c>
      <c r="J14" s="433">
        <f>IF(B14="","",IF('Statement of Marks'!HC17="","",'Statement of Marks'!HC17))</f>
        <v>41.616161616161619</v>
      </c>
      <c r="K14" s="295" t="str">
        <f>IF(B14="","",'Statement of Marks'!FJ17)</f>
        <v>II</v>
      </c>
      <c r="L14" s="295" t="str">
        <f>IF(B14="","",'Statement of Marks'!FM17)</f>
        <v>II</v>
      </c>
      <c r="M14" s="295" t="str">
        <f>IF(B14="","",'Statement of Marks'!FP17)</f>
        <v>G</v>
      </c>
      <c r="N14" s="295" t="str">
        <f>IF(B14="","",'Statement of Marks'!FW17)</f>
        <v>III</v>
      </c>
      <c r="O14" s="295" t="str">
        <f>IF(B14="","",'Statement of Marks'!GD17)</f>
        <v/>
      </c>
      <c r="P14" s="295" t="str">
        <f>IF(B14="","",'Statement of Marks'!GK17)</f>
        <v/>
      </c>
      <c r="Q14" s="295" t="str">
        <f>IF(B14="","",'Statement of Marks'!GR17)</f>
        <v>A</v>
      </c>
      <c r="R14" s="295" t="str">
        <f>IF(B14="","",'Statement of Marks'!FF17)</f>
        <v>B</v>
      </c>
      <c r="S14" s="434" t="str">
        <f>IFERROR(IF(B14="","",CONCATENATE(IF(AND('Marks Entry'!U17="A"),'Marks Entry'!$U$2,IF(AND('Marks Entry'!U17="B"),'Marks Entry'!$Y$2,IF(AND('Marks Entry'!U17="C"),'Marks Entry'!$AA$2,""))),", ",IF(AND('Marks Entry'!AC17="A"),'Marks Entry'!$AC$2,IF(AND('Marks Entry'!AC17="B"),'Marks Entry'!$AG$2,IF(AND('Marks Entry'!AC17="C"),'Marks Entry'!$AI$2,""))),", ",IF(AND('Marks Entry'!AK17="A"),'Marks Entry'!$AK$2,IF(AND('Marks Entry'!AK17="B"),'Marks Entry'!$AO$2,IF(AND('Marks Entry'!AK17="C"),'Marks Entry'!$AQ$2,""))),", ",IF(AND('Statement of Marks'!DD17=""),"",IF(AND('Statement of Marks'!DD17="A"),'Marks Entry'!$AS$2,IF(AND('Statement of Marks'!DD17="B"),'Marks Entry'!$AW$2,IF(AND('Statement of Marks'!DD17="C"),'Marks Entry'!$AY$2,"")))))),"")</f>
        <v xml:space="preserve">POLITICAL SCIENCE, HISTORY, TYPING, </v>
      </c>
      <c r="T14" s="435" t="str">
        <f>IF(COUNTIF(K14:R14,"F")&gt;0,"",CONCATENATE('Statement of Marks'!GU17,'Statement of Marks'!GW17))</f>
        <v xml:space="preserve">           </v>
      </c>
      <c r="BG14" s="17">
        <f>IFERROR(VLOOKUP(B14,'Statement of Marks'!$B$8:'Statement of Marks'!$HI$207,41,0),"")</f>
        <v>14</v>
      </c>
      <c r="BH14" s="17" t="str">
        <f>IFERROR(VLOOKUP(B14,'Statement of Marks'!$B$8:'Statement of Marks'!$HI$207,66,0),"")</f>
        <v/>
      </c>
      <c r="BI14" s="17">
        <f>IFERROR(VLOOKUP(B14,'Statement of Marks'!$B$8:'Statement of Marks'!$HI$207,91,0),"")</f>
        <v>60</v>
      </c>
      <c r="BJ14" s="17" t="str">
        <f>IFERROR(VLOOKUP(B14,'Statement of Marks'!$B$8:'Statement of Marks'!$HI$207,117,0),"")</f>
        <v/>
      </c>
    </row>
    <row r="15" spans="1:62" ht="24.95" customHeight="1">
      <c r="A15" s="283">
        <f>IF('Statement of Marks'!A18="","",'Statement of Marks'!A18)</f>
        <v>11</v>
      </c>
      <c r="B15" s="283">
        <f>IF('Statement of Marks'!B18="","",'Statement of Marks'!B18)</f>
        <v>1111</v>
      </c>
      <c r="C15" s="283">
        <f>IF('Statement of Marks'!C18="","",'Statement of Marks'!C18)</f>
        <v>654</v>
      </c>
      <c r="D15" s="430">
        <f>IF('Statement of Marks'!D18="","",'Statement of Marks'!D18)</f>
        <v>39635</v>
      </c>
      <c r="E15" s="431" t="str">
        <f>IF('Statement of Marks'!E18="","",'Statement of Marks'!E18)</f>
        <v>M</v>
      </c>
      <c r="F15" s="431" t="str">
        <f>IF('Statement of Marks'!F18="","",'Statement of Marks'!F18)</f>
        <v>N</v>
      </c>
      <c r="G15" s="431" t="str">
        <f>IF('Statement of Marks'!G18="","",'Statement of Marks'!G18)</f>
        <v>A</v>
      </c>
      <c r="H15" s="432" t="str">
        <f>IF(B15="","",IF('Statement of Marks'!GY18="","",'Statement of Marks'!GY18))</f>
        <v>PASS</v>
      </c>
      <c r="I15" s="286" t="str">
        <f>IF(B15="","",IF('Statement of Marks'!HB18="","",'Statement of Marks'!HB18))</f>
        <v>III</v>
      </c>
      <c r="J15" s="433">
        <f>IF(B15="","",IF('Statement of Marks'!HC18="","",'Statement of Marks'!HC18))</f>
        <v>46.632653061224488</v>
      </c>
      <c r="K15" s="295" t="str">
        <f>IF(B15="","",'Statement of Marks'!FJ18)</f>
        <v>III</v>
      </c>
      <c r="L15" s="295" t="str">
        <f>IF(B15="","",'Statement of Marks'!FM18)</f>
        <v>II</v>
      </c>
      <c r="M15" s="295" t="str">
        <f>IF(B15="","",'Statement of Marks'!FP18)</f>
        <v>III</v>
      </c>
      <c r="N15" s="295" t="str">
        <f>IF(B15="","",'Statement of Marks'!FW18)</f>
        <v>III</v>
      </c>
      <c r="O15" s="295" t="str">
        <f>IF(B15="","",'Statement of Marks'!GD18)</f>
        <v>II</v>
      </c>
      <c r="P15" s="295" t="str">
        <f>IF(B15="","",'Statement of Marks'!GK18)</f>
        <v/>
      </c>
      <c r="Q15" s="295" t="str">
        <f>IF(B15="","",'Statement of Marks'!GR18)</f>
        <v>A</v>
      </c>
      <c r="R15" s="295" t="str">
        <f>IF(B15="","",'Statement of Marks'!FF18)</f>
        <v>B</v>
      </c>
      <c r="S15" s="434" t="str">
        <f>IFERROR(IF(B15="","",CONCATENATE(IF(AND('Marks Entry'!U18="A"),'Marks Entry'!$U$2,IF(AND('Marks Entry'!U18="B"),'Marks Entry'!$Y$2,IF(AND('Marks Entry'!U18="C"),'Marks Entry'!$AA$2,""))),", ",IF(AND('Marks Entry'!AC18="A"),'Marks Entry'!$AC$2,IF(AND('Marks Entry'!AC18="B"),'Marks Entry'!$AG$2,IF(AND('Marks Entry'!AC18="C"),'Marks Entry'!$AI$2,""))),", ",IF(AND('Marks Entry'!AK18="A"),'Marks Entry'!$AK$2,IF(AND('Marks Entry'!AK18="B"),'Marks Entry'!$AO$2,IF(AND('Marks Entry'!AK18="C"),'Marks Entry'!$AQ$2,""))),", ",IF(AND('Statement of Marks'!DD18=""),"",IF(AND('Statement of Marks'!DD18="A"),'Marks Entry'!$AS$2,IF(AND('Statement of Marks'!DD18="B"),'Marks Entry'!$AW$2,IF(AND('Statement of Marks'!DD18="C"),'Marks Entry'!$AY$2,"")))))),"")</f>
        <v xml:space="preserve">POLITICAL SCIENCE, HISTORY, GEOGRAPHY, </v>
      </c>
      <c r="T15" s="435" t="str">
        <f>IF(COUNTIF(K15:R15,"F")&gt;0,"",CONCATENATE('Statement of Marks'!GU18,'Statement of Marks'!GW18))</f>
        <v xml:space="preserve">           </v>
      </c>
      <c r="BG15" s="17">
        <f>IFERROR(VLOOKUP(B15,'Statement of Marks'!$B$8:'Statement of Marks'!$HI$207,41,0),"")</f>
        <v>16</v>
      </c>
      <c r="BH15" s="17" t="str">
        <f>IFERROR(VLOOKUP(B15,'Statement of Marks'!$B$8:'Statement of Marks'!$HI$207,66,0),"")</f>
        <v/>
      </c>
      <c r="BI15" s="17">
        <f>IFERROR(VLOOKUP(B15,'Statement of Marks'!$B$8:'Statement of Marks'!$HI$207,91,0),"")</f>
        <v>45</v>
      </c>
      <c r="BJ15" s="17" t="str">
        <f>IFERROR(VLOOKUP(B15,'Statement of Marks'!$B$8:'Statement of Marks'!$HI$207,117,0),"")</f>
        <v/>
      </c>
    </row>
    <row r="16" spans="1:62" ht="24.95" customHeight="1">
      <c r="A16" s="283">
        <f>IF('Statement of Marks'!A19="","",'Statement of Marks'!A19)</f>
        <v>12</v>
      </c>
      <c r="B16" s="283" t="str">
        <f>IF('Statement of Marks'!B19="","",'Statement of Marks'!B19)</f>
        <v/>
      </c>
      <c r="C16" s="283" t="str">
        <f>IF('Statement of Marks'!C19="","",'Statement of Marks'!C19)</f>
        <v/>
      </c>
      <c r="D16" s="430" t="str">
        <f>IF('Statement of Marks'!D19="","",'Statement of Marks'!D19)</f>
        <v/>
      </c>
      <c r="E16" s="431" t="str">
        <f>IF('Statement of Marks'!E19="","",'Statement of Marks'!E19)</f>
        <v/>
      </c>
      <c r="F16" s="431" t="str">
        <f>IF('Statement of Marks'!F19="","",'Statement of Marks'!F19)</f>
        <v/>
      </c>
      <c r="G16" s="431" t="str">
        <f>IF('Statement of Marks'!G19="","",'Statement of Marks'!G19)</f>
        <v/>
      </c>
      <c r="H16" s="432" t="str">
        <f>IF(B16="","",IF('Statement of Marks'!GY19="","",'Statement of Marks'!GY19))</f>
        <v/>
      </c>
      <c r="I16" s="286" t="str">
        <f>IF(B16="","",IF('Statement of Marks'!HB19="","",'Statement of Marks'!HB19))</f>
        <v/>
      </c>
      <c r="J16" s="433" t="str">
        <f>IF(B16="","",IF('Statement of Marks'!HC19="","",'Statement of Marks'!HC19))</f>
        <v/>
      </c>
      <c r="K16" s="295" t="str">
        <f>IF(B16="","",'Statement of Marks'!FJ19)</f>
        <v/>
      </c>
      <c r="L16" s="295" t="str">
        <f>IF(B16="","",'Statement of Marks'!FM19)</f>
        <v/>
      </c>
      <c r="M16" s="295" t="str">
        <f>IF(B16="","",'Statement of Marks'!FP19)</f>
        <v/>
      </c>
      <c r="N16" s="295" t="str">
        <f>IF(B16="","",'Statement of Marks'!FW19)</f>
        <v/>
      </c>
      <c r="O16" s="295" t="str">
        <f>IF(B16="","",'Statement of Marks'!GD19)</f>
        <v/>
      </c>
      <c r="P16" s="295" t="str">
        <f>IF(B16="","",'Statement of Marks'!GK19)</f>
        <v/>
      </c>
      <c r="Q16" s="295" t="str">
        <f>IF(B16="","",'Statement of Marks'!GR19)</f>
        <v/>
      </c>
      <c r="R16" s="295" t="str">
        <f>IF(B16="","",'Statement of Marks'!FF19)</f>
        <v/>
      </c>
      <c r="S16" s="434" t="str">
        <f>IFERROR(IF(B16="","",CONCATENATE(IF(AND('Marks Entry'!U19="A"),'Marks Entry'!$U$2,IF(AND('Marks Entry'!U19="B"),'Marks Entry'!$Y$2,IF(AND('Marks Entry'!U19="C"),'Marks Entry'!$AA$2,""))),", ",IF(AND('Marks Entry'!AC19="A"),'Marks Entry'!$AC$2,IF(AND('Marks Entry'!AC19="B"),'Marks Entry'!$AG$2,IF(AND('Marks Entry'!AC19="C"),'Marks Entry'!$AI$2,""))),", ",IF(AND('Marks Entry'!AK19="A"),'Marks Entry'!$AK$2,IF(AND('Marks Entry'!AK19="B"),'Marks Entry'!$AO$2,IF(AND('Marks Entry'!AK19="C"),'Marks Entry'!$AQ$2,""))),", ",IF(AND('Statement of Marks'!DD19=""),"",IF(AND('Statement of Marks'!DD19="A"),'Marks Entry'!$AS$2,IF(AND('Statement of Marks'!DD19="B"),'Marks Entry'!$AW$2,IF(AND('Statement of Marks'!DD19="C"),'Marks Entry'!$AY$2,"")))))),"")</f>
        <v/>
      </c>
      <c r="T16" s="435" t="str">
        <f>IF(COUNTIF(K16:R16,"F")&gt;0,"",CONCATENATE('Statement of Marks'!GU19,'Statement of Marks'!GW19))</f>
        <v xml:space="preserve">           </v>
      </c>
      <c r="BG16" s="17">
        <f>IFERROR(VLOOKUP(B16,'Statement of Marks'!$B$8:'Statement of Marks'!$HI$207,41,0),"")</f>
        <v>15</v>
      </c>
      <c r="BH16" s="17" t="str">
        <f>IFERROR(VLOOKUP(B16,'Statement of Marks'!$B$8:'Statement of Marks'!$HI$207,66,0),"")</f>
        <v/>
      </c>
      <c r="BI16" s="17">
        <f>IFERROR(VLOOKUP(B16,'Statement of Marks'!$B$8:'Statement of Marks'!$HI$207,91,0),"")</f>
        <v>60</v>
      </c>
      <c r="BJ16" s="17" t="str">
        <f>IFERROR(VLOOKUP(B16,'Statement of Marks'!$B$8:'Statement of Marks'!$HI$207,117,0),"")</f>
        <v/>
      </c>
    </row>
    <row r="17" spans="1:62" ht="24.95" customHeight="1">
      <c r="A17" s="283">
        <f>IF('Statement of Marks'!A20="","",'Statement of Marks'!A20)</f>
        <v>13</v>
      </c>
      <c r="B17" s="283" t="str">
        <f>IF('Statement of Marks'!B20="","",'Statement of Marks'!B20)</f>
        <v/>
      </c>
      <c r="C17" s="283" t="str">
        <f>IF('Statement of Marks'!C20="","",'Statement of Marks'!C20)</f>
        <v/>
      </c>
      <c r="D17" s="430" t="str">
        <f>IF('Statement of Marks'!D20="","",'Statement of Marks'!D20)</f>
        <v/>
      </c>
      <c r="E17" s="431" t="str">
        <f>IF('Statement of Marks'!E20="","",'Statement of Marks'!E20)</f>
        <v/>
      </c>
      <c r="F17" s="431" t="str">
        <f>IF('Statement of Marks'!F20="","",'Statement of Marks'!F20)</f>
        <v/>
      </c>
      <c r="G17" s="431" t="str">
        <f>IF('Statement of Marks'!G20="","",'Statement of Marks'!G20)</f>
        <v/>
      </c>
      <c r="H17" s="432" t="str">
        <f>IF(B17="","",IF('Statement of Marks'!GY20="","",'Statement of Marks'!GY20))</f>
        <v/>
      </c>
      <c r="I17" s="286" t="str">
        <f>IF(B17="","",IF('Statement of Marks'!HB20="","",'Statement of Marks'!HB20))</f>
        <v/>
      </c>
      <c r="J17" s="433" t="str">
        <f>IF(B17="","",IF('Statement of Marks'!HC20="","",'Statement of Marks'!HC20))</f>
        <v/>
      </c>
      <c r="K17" s="295" t="str">
        <f>IF(B17="","",'Statement of Marks'!FJ20)</f>
        <v/>
      </c>
      <c r="L17" s="295" t="str">
        <f>IF(B17="","",'Statement of Marks'!FM20)</f>
        <v/>
      </c>
      <c r="M17" s="295" t="str">
        <f>IF(B17="","",'Statement of Marks'!FP20)</f>
        <v/>
      </c>
      <c r="N17" s="295" t="str">
        <f>IF(B17="","",'Statement of Marks'!FW20)</f>
        <v/>
      </c>
      <c r="O17" s="295" t="str">
        <f>IF(B17="","",'Statement of Marks'!GD20)</f>
        <v/>
      </c>
      <c r="P17" s="295" t="str">
        <f>IF(B17="","",'Statement of Marks'!GK20)</f>
        <v/>
      </c>
      <c r="Q17" s="295" t="str">
        <f>IF(B17="","",'Statement of Marks'!GR20)</f>
        <v/>
      </c>
      <c r="R17" s="295" t="str">
        <f>IF(B17="","",'Statement of Marks'!FF20)</f>
        <v/>
      </c>
      <c r="S17" s="434" t="str">
        <f>IFERROR(IF(B17="","",CONCATENATE(IF(AND('Marks Entry'!U20="A"),'Marks Entry'!$U$2,IF(AND('Marks Entry'!U20="B"),'Marks Entry'!$Y$2,IF(AND('Marks Entry'!U20="C"),'Marks Entry'!$AA$2,""))),", ",IF(AND('Marks Entry'!AC20="A"),'Marks Entry'!$AC$2,IF(AND('Marks Entry'!AC20="B"),'Marks Entry'!$AG$2,IF(AND('Marks Entry'!AC20="C"),'Marks Entry'!$AI$2,""))),", ",IF(AND('Marks Entry'!AK20="A"),'Marks Entry'!$AK$2,IF(AND('Marks Entry'!AK20="B"),'Marks Entry'!$AO$2,IF(AND('Marks Entry'!AK20="C"),'Marks Entry'!$AQ$2,""))),", ",IF(AND('Statement of Marks'!DD20=""),"",IF(AND('Statement of Marks'!DD20="A"),'Marks Entry'!$AS$2,IF(AND('Statement of Marks'!DD20="B"),'Marks Entry'!$AW$2,IF(AND('Statement of Marks'!DD20="C"),'Marks Entry'!$AY$2,"")))))),"")</f>
        <v/>
      </c>
      <c r="T17" s="435" t="str">
        <f>IF(COUNTIF(K17:R17,"F")&gt;0,"",CONCATENATE('Statement of Marks'!GU20,'Statement of Marks'!GW20))</f>
        <v xml:space="preserve">           </v>
      </c>
      <c r="BG17" s="17">
        <f>IFERROR(VLOOKUP(B17,'Statement of Marks'!$B$8:'Statement of Marks'!$HI$207,41,0),"")</f>
        <v>15</v>
      </c>
      <c r="BH17" s="17" t="str">
        <f>IFERROR(VLOOKUP(B17,'Statement of Marks'!$B$8:'Statement of Marks'!$HI$207,66,0),"")</f>
        <v/>
      </c>
      <c r="BI17" s="17">
        <f>IFERROR(VLOOKUP(B17,'Statement of Marks'!$B$8:'Statement of Marks'!$HI$207,91,0),"")</f>
        <v>60</v>
      </c>
      <c r="BJ17" s="17" t="str">
        <f>IFERROR(VLOOKUP(B17,'Statement of Marks'!$B$8:'Statement of Marks'!$HI$207,117,0),"")</f>
        <v/>
      </c>
    </row>
    <row r="18" spans="1:62" ht="24.95" customHeight="1">
      <c r="A18" s="283">
        <f>IF('Statement of Marks'!A21="","",'Statement of Marks'!A21)</f>
        <v>14</v>
      </c>
      <c r="B18" s="283" t="str">
        <f>IF('Statement of Marks'!B21="","",'Statement of Marks'!B21)</f>
        <v/>
      </c>
      <c r="C18" s="283" t="str">
        <f>IF('Statement of Marks'!C21="","",'Statement of Marks'!C21)</f>
        <v/>
      </c>
      <c r="D18" s="430" t="str">
        <f>IF('Statement of Marks'!D21="","",'Statement of Marks'!D21)</f>
        <v/>
      </c>
      <c r="E18" s="431" t="str">
        <f>IF('Statement of Marks'!E21="","",'Statement of Marks'!E21)</f>
        <v/>
      </c>
      <c r="F18" s="431" t="str">
        <f>IF('Statement of Marks'!F21="","",'Statement of Marks'!F21)</f>
        <v/>
      </c>
      <c r="G18" s="431" t="str">
        <f>IF('Statement of Marks'!G21="","",'Statement of Marks'!G21)</f>
        <v/>
      </c>
      <c r="H18" s="432" t="str">
        <f>IF(B18="","",IF('Statement of Marks'!GY21="","",'Statement of Marks'!GY21))</f>
        <v/>
      </c>
      <c r="I18" s="286" t="str">
        <f>IF(B18="","",IF('Statement of Marks'!HB21="","",'Statement of Marks'!HB21))</f>
        <v/>
      </c>
      <c r="J18" s="433" t="str">
        <f>IF(B18="","",IF('Statement of Marks'!HC21="","",'Statement of Marks'!HC21))</f>
        <v/>
      </c>
      <c r="K18" s="295" t="str">
        <f>IF(B18="","",'Statement of Marks'!FJ21)</f>
        <v/>
      </c>
      <c r="L18" s="295" t="str">
        <f>IF(B18="","",'Statement of Marks'!FM21)</f>
        <v/>
      </c>
      <c r="M18" s="295" t="str">
        <f>IF(B18="","",'Statement of Marks'!FP21)</f>
        <v/>
      </c>
      <c r="N18" s="295" t="str">
        <f>IF(B18="","",'Statement of Marks'!FW21)</f>
        <v/>
      </c>
      <c r="O18" s="295" t="str">
        <f>IF(B18="","",'Statement of Marks'!GD21)</f>
        <v/>
      </c>
      <c r="P18" s="295" t="str">
        <f>IF(B18="","",'Statement of Marks'!GK21)</f>
        <v/>
      </c>
      <c r="Q18" s="295" t="str">
        <f>IF(B18="","",'Statement of Marks'!GR21)</f>
        <v/>
      </c>
      <c r="R18" s="295" t="str">
        <f>IF(B18="","",'Statement of Marks'!FF21)</f>
        <v/>
      </c>
      <c r="S18" s="434" t="str">
        <f>IFERROR(IF(B18="","",CONCATENATE(IF(AND('Marks Entry'!U21="A"),'Marks Entry'!$U$2,IF(AND('Marks Entry'!U21="B"),'Marks Entry'!$Y$2,IF(AND('Marks Entry'!U21="C"),'Marks Entry'!$AA$2,""))),", ",IF(AND('Marks Entry'!AC21="A"),'Marks Entry'!$AC$2,IF(AND('Marks Entry'!AC21="B"),'Marks Entry'!$AG$2,IF(AND('Marks Entry'!AC21="C"),'Marks Entry'!$AI$2,""))),", ",IF(AND('Marks Entry'!AK21="A"),'Marks Entry'!$AK$2,IF(AND('Marks Entry'!AK21="B"),'Marks Entry'!$AO$2,IF(AND('Marks Entry'!AK21="C"),'Marks Entry'!$AQ$2,""))),", ",IF(AND('Statement of Marks'!DD21=""),"",IF(AND('Statement of Marks'!DD21="A"),'Marks Entry'!$AS$2,IF(AND('Statement of Marks'!DD21="B"),'Marks Entry'!$AW$2,IF(AND('Statement of Marks'!DD21="C"),'Marks Entry'!$AY$2,"")))))),"")</f>
        <v/>
      </c>
      <c r="T18" s="435" t="str">
        <f>IF(COUNTIF(K18:R18,"F")&gt;0,"",CONCATENATE('Statement of Marks'!GU21,'Statement of Marks'!GW21))</f>
        <v xml:space="preserve">           </v>
      </c>
      <c r="BG18" s="17">
        <f>IFERROR(VLOOKUP(B18,'Statement of Marks'!$B$8:'Statement of Marks'!$HI$207,41,0),"")</f>
        <v>15</v>
      </c>
      <c r="BH18" s="17" t="str">
        <f>IFERROR(VLOOKUP(B18,'Statement of Marks'!$B$8:'Statement of Marks'!$HI$207,66,0),"")</f>
        <v/>
      </c>
      <c r="BI18" s="17">
        <f>IFERROR(VLOOKUP(B18,'Statement of Marks'!$B$8:'Statement of Marks'!$HI$207,91,0),"")</f>
        <v>60</v>
      </c>
      <c r="BJ18" s="17" t="str">
        <f>IFERROR(VLOOKUP(B18,'Statement of Marks'!$B$8:'Statement of Marks'!$HI$207,117,0),"")</f>
        <v/>
      </c>
    </row>
    <row r="19" spans="1:62" ht="24.95" customHeight="1">
      <c r="A19" s="283">
        <f>IF('Statement of Marks'!A22="","",'Statement of Marks'!A22)</f>
        <v>15</v>
      </c>
      <c r="B19" s="283" t="str">
        <f>IF('Statement of Marks'!B22="","",'Statement of Marks'!B22)</f>
        <v/>
      </c>
      <c r="C19" s="283" t="str">
        <f>IF('Statement of Marks'!C22="","",'Statement of Marks'!C22)</f>
        <v/>
      </c>
      <c r="D19" s="430" t="str">
        <f>IF('Statement of Marks'!D22="","",'Statement of Marks'!D22)</f>
        <v/>
      </c>
      <c r="E19" s="431" t="str">
        <f>IF('Statement of Marks'!E22="","",'Statement of Marks'!E22)</f>
        <v/>
      </c>
      <c r="F19" s="431" t="str">
        <f>IF('Statement of Marks'!F22="","",'Statement of Marks'!F22)</f>
        <v/>
      </c>
      <c r="G19" s="431" t="str">
        <f>IF('Statement of Marks'!G22="","",'Statement of Marks'!G22)</f>
        <v/>
      </c>
      <c r="H19" s="432" t="str">
        <f>IF(B19="","",IF('Statement of Marks'!GY22="","",'Statement of Marks'!GY22))</f>
        <v/>
      </c>
      <c r="I19" s="286" t="str">
        <f>IF(B19="","",IF('Statement of Marks'!HB22="","",'Statement of Marks'!HB22))</f>
        <v/>
      </c>
      <c r="J19" s="433" t="str">
        <f>IF(B19="","",IF('Statement of Marks'!HC22="","",'Statement of Marks'!HC22))</f>
        <v/>
      </c>
      <c r="K19" s="295" t="str">
        <f>IF(B19="","",'Statement of Marks'!FJ22)</f>
        <v/>
      </c>
      <c r="L19" s="295" t="str">
        <f>IF(B19="","",'Statement of Marks'!FM22)</f>
        <v/>
      </c>
      <c r="M19" s="295" t="str">
        <f>IF(B19="","",'Statement of Marks'!FP22)</f>
        <v/>
      </c>
      <c r="N19" s="295" t="str">
        <f>IF(B19="","",'Statement of Marks'!FW22)</f>
        <v/>
      </c>
      <c r="O19" s="295" t="str">
        <f>IF(B19="","",'Statement of Marks'!GD22)</f>
        <v/>
      </c>
      <c r="P19" s="295" t="str">
        <f>IF(B19="","",'Statement of Marks'!GK22)</f>
        <v/>
      </c>
      <c r="Q19" s="295" t="str">
        <f>IF(B19="","",'Statement of Marks'!GR22)</f>
        <v/>
      </c>
      <c r="R19" s="295" t="str">
        <f>IF(B19="","",'Statement of Marks'!FF22)</f>
        <v/>
      </c>
      <c r="S19" s="434" t="str">
        <f>IFERROR(IF(B19="","",CONCATENATE(IF(AND('Marks Entry'!U22="A"),'Marks Entry'!$U$2,IF(AND('Marks Entry'!U22="B"),'Marks Entry'!$Y$2,IF(AND('Marks Entry'!U22="C"),'Marks Entry'!$AA$2,""))),", ",IF(AND('Marks Entry'!AC22="A"),'Marks Entry'!$AC$2,IF(AND('Marks Entry'!AC22="B"),'Marks Entry'!$AG$2,IF(AND('Marks Entry'!AC22="C"),'Marks Entry'!$AI$2,""))),", ",IF(AND('Marks Entry'!AK22="A"),'Marks Entry'!$AK$2,IF(AND('Marks Entry'!AK22="B"),'Marks Entry'!$AO$2,IF(AND('Marks Entry'!AK22="C"),'Marks Entry'!$AQ$2,""))),", ",IF(AND('Statement of Marks'!DD22=""),"",IF(AND('Statement of Marks'!DD22="A"),'Marks Entry'!$AS$2,IF(AND('Statement of Marks'!DD22="B"),'Marks Entry'!$AW$2,IF(AND('Statement of Marks'!DD22="C"),'Marks Entry'!$AY$2,"")))))),"")</f>
        <v/>
      </c>
      <c r="T19" s="435" t="str">
        <f>IF(COUNTIF(K19:R19,"F")&gt;0,"",CONCATENATE('Statement of Marks'!GU22,'Statement of Marks'!GW22))</f>
        <v xml:space="preserve">           </v>
      </c>
      <c r="BG19" s="17">
        <f>IFERROR(VLOOKUP(B19,'Statement of Marks'!$B$8:'Statement of Marks'!$HI$207,41,0),"")</f>
        <v>15</v>
      </c>
      <c r="BH19" s="17" t="str">
        <f>IFERROR(VLOOKUP(B19,'Statement of Marks'!$B$8:'Statement of Marks'!$HI$207,66,0),"")</f>
        <v/>
      </c>
      <c r="BI19" s="17">
        <f>IFERROR(VLOOKUP(B19,'Statement of Marks'!$B$8:'Statement of Marks'!$HI$207,91,0),"")</f>
        <v>60</v>
      </c>
      <c r="BJ19" s="17" t="str">
        <f>IFERROR(VLOOKUP(B19,'Statement of Marks'!$B$8:'Statement of Marks'!$HI$207,117,0),"")</f>
        <v/>
      </c>
    </row>
    <row r="20" spans="1:62" ht="24.95" customHeight="1">
      <c r="A20" s="283">
        <f>IF('Statement of Marks'!A23="","",'Statement of Marks'!A23)</f>
        <v>16</v>
      </c>
      <c r="B20" s="283" t="str">
        <f>IF('Statement of Marks'!B23="","",'Statement of Marks'!B23)</f>
        <v/>
      </c>
      <c r="C20" s="283" t="str">
        <f>IF('Statement of Marks'!C23="","",'Statement of Marks'!C23)</f>
        <v/>
      </c>
      <c r="D20" s="430" t="str">
        <f>IF('Statement of Marks'!D23="","",'Statement of Marks'!D23)</f>
        <v/>
      </c>
      <c r="E20" s="431" t="str">
        <f>IF('Statement of Marks'!E23="","",'Statement of Marks'!E23)</f>
        <v/>
      </c>
      <c r="F20" s="431" t="str">
        <f>IF('Statement of Marks'!F23="","",'Statement of Marks'!F23)</f>
        <v/>
      </c>
      <c r="G20" s="431" t="str">
        <f>IF('Statement of Marks'!G23="","",'Statement of Marks'!G23)</f>
        <v/>
      </c>
      <c r="H20" s="432" t="str">
        <f>IF(B20="","",IF('Statement of Marks'!GY23="","",'Statement of Marks'!GY23))</f>
        <v/>
      </c>
      <c r="I20" s="286" t="str">
        <f>IF(B20="","",IF('Statement of Marks'!HB23="","",'Statement of Marks'!HB23))</f>
        <v/>
      </c>
      <c r="J20" s="433" t="str">
        <f>IF(B20="","",IF('Statement of Marks'!HC23="","",'Statement of Marks'!HC23))</f>
        <v/>
      </c>
      <c r="K20" s="295" t="str">
        <f>IF(B20="","",'Statement of Marks'!FJ23)</f>
        <v/>
      </c>
      <c r="L20" s="295" t="str">
        <f>IF(B20="","",'Statement of Marks'!FM23)</f>
        <v/>
      </c>
      <c r="M20" s="295" t="str">
        <f>IF(B20="","",'Statement of Marks'!FP23)</f>
        <v/>
      </c>
      <c r="N20" s="295" t="str">
        <f>IF(B20="","",'Statement of Marks'!FW23)</f>
        <v/>
      </c>
      <c r="O20" s="295" t="str">
        <f>IF(B20="","",'Statement of Marks'!GD23)</f>
        <v/>
      </c>
      <c r="P20" s="295" t="str">
        <f>IF(B20="","",'Statement of Marks'!GK23)</f>
        <v/>
      </c>
      <c r="Q20" s="295" t="str">
        <f>IF(B20="","",'Statement of Marks'!GR23)</f>
        <v/>
      </c>
      <c r="R20" s="295" t="str">
        <f>IF(B20="","",'Statement of Marks'!FF23)</f>
        <v/>
      </c>
      <c r="S20" s="434" t="str">
        <f>IFERROR(IF(B20="","",CONCATENATE(IF(AND('Marks Entry'!U23="A"),'Marks Entry'!$U$2,IF(AND('Marks Entry'!U23="B"),'Marks Entry'!$Y$2,IF(AND('Marks Entry'!U23="C"),'Marks Entry'!$AA$2,""))),", ",IF(AND('Marks Entry'!AC23="A"),'Marks Entry'!$AC$2,IF(AND('Marks Entry'!AC23="B"),'Marks Entry'!$AG$2,IF(AND('Marks Entry'!AC23="C"),'Marks Entry'!$AI$2,""))),", ",IF(AND('Marks Entry'!AK23="A"),'Marks Entry'!$AK$2,IF(AND('Marks Entry'!AK23="B"),'Marks Entry'!$AO$2,IF(AND('Marks Entry'!AK23="C"),'Marks Entry'!$AQ$2,""))),", ",IF(AND('Statement of Marks'!DD23=""),"",IF(AND('Statement of Marks'!DD23="A"),'Marks Entry'!$AS$2,IF(AND('Statement of Marks'!DD23="B"),'Marks Entry'!$AW$2,IF(AND('Statement of Marks'!DD23="C"),'Marks Entry'!$AY$2,"")))))),"")</f>
        <v/>
      </c>
      <c r="T20" s="435" t="str">
        <f>IF(COUNTIF(K20:R20,"F")&gt;0,"",CONCATENATE('Statement of Marks'!GU23,'Statement of Marks'!GW23))</f>
        <v xml:space="preserve">           </v>
      </c>
      <c r="BG20" s="17">
        <f>IFERROR(VLOOKUP(B20,'Statement of Marks'!$B$8:'Statement of Marks'!$HI$207,41,0),"")</f>
        <v>15</v>
      </c>
      <c r="BH20" s="17" t="str">
        <f>IFERROR(VLOOKUP(B20,'Statement of Marks'!$B$8:'Statement of Marks'!$HI$207,66,0),"")</f>
        <v/>
      </c>
      <c r="BI20" s="17">
        <f>IFERROR(VLOOKUP(B20,'Statement of Marks'!$B$8:'Statement of Marks'!$HI$207,91,0),"")</f>
        <v>60</v>
      </c>
      <c r="BJ20" s="17" t="str">
        <f>IFERROR(VLOOKUP(B20,'Statement of Marks'!$B$8:'Statement of Marks'!$HI$207,117,0),"")</f>
        <v/>
      </c>
    </row>
    <row r="21" spans="1:62" ht="24.95" customHeight="1">
      <c r="A21" s="283">
        <f>IF('Statement of Marks'!A24="","",'Statement of Marks'!A24)</f>
        <v>17</v>
      </c>
      <c r="B21" s="283" t="str">
        <f>IF('Statement of Marks'!B24="","",'Statement of Marks'!B24)</f>
        <v/>
      </c>
      <c r="C21" s="283" t="str">
        <f>IF('Statement of Marks'!C24="","",'Statement of Marks'!C24)</f>
        <v/>
      </c>
      <c r="D21" s="430" t="str">
        <f>IF('Statement of Marks'!D24="","",'Statement of Marks'!D24)</f>
        <v/>
      </c>
      <c r="E21" s="431" t="str">
        <f>IF('Statement of Marks'!E24="","",'Statement of Marks'!E24)</f>
        <v/>
      </c>
      <c r="F21" s="431" t="str">
        <f>IF('Statement of Marks'!F24="","",'Statement of Marks'!F24)</f>
        <v/>
      </c>
      <c r="G21" s="431" t="str">
        <f>IF('Statement of Marks'!G24="","",'Statement of Marks'!G24)</f>
        <v/>
      </c>
      <c r="H21" s="432" t="str">
        <f>IF(B21="","",IF('Statement of Marks'!GY24="","",'Statement of Marks'!GY24))</f>
        <v/>
      </c>
      <c r="I21" s="286" t="str">
        <f>IF(B21="","",IF('Statement of Marks'!HB24="","",'Statement of Marks'!HB24))</f>
        <v/>
      </c>
      <c r="J21" s="433" t="str">
        <f>IF(B21="","",IF('Statement of Marks'!HC24="","",'Statement of Marks'!HC24))</f>
        <v/>
      </c>
      <c r="K21" s="295" t="str">
        <f>IF(B21="","",'Statement of Marks'!FJ24)</f>
        <v/>
      </c>
      <c r="L21" s="295" t="str">
        <f>IF(B21="","",'Statement of Marks'!FM24)</f>
        <v/>
      </c>
      <c r="M21" s="295" t="str">
        <f>IF(B21="","",'Statement of Marks'!FP24)</f>
        <v/>
      </c>
      <c r="N21" s="295" t="str">
        <f>IF(B21="","",'Statement of Marks'!FW24)</f>
        <v/>
      </c>
      <c r="O21" s="295" t="str">
        <f>IF(B21="","",'Statement of Marks'!GD24)</f>
        <v/>
      </c>
      <c r="P21" s="295" t="str">
        <f>IF(B21="","",'Statement of Marks'!GK24)</f>
        <v/>
      </c>
      <c r="Q21" s="295" t="str">
        <f>IF(B21="","",'Statement of Marks'!GR24)</f>
        <v/>
      </c>
      <c r="R21" s="295" t="str">
        <f>IF(B21="","",'Statement of Marks'!FF24)</f>
        <v/>
      </c>
      <c r="S21" s="434" t="str">
        <f>IFERROR(IF(B21="","",CONCATENATE(IF(AND('Marks Entry'!U24="A"),'Marks Entry'!$U$2,IF(AND('Marks Entry'!U24="B"),'Marks Entry'!$Y$2,IF(AND('Marks Entry'!U24="C"),'Marks Entry'!$AA$2,""))),", ",IF(AND('Marks Entry'!AC24="A"),'Marks Entry'!$AC$2,IF(AND('Marks Entry'!AC24="B"),'Marks Entry'!$AG$2,IF(AND('Marks Entry'!AC24="C"),'Marks Entry'!$AI$2,""))),", ",IF(AND('Marks Entry'!AK24="A"),'Marks Entry'!$AK$2,IF(AND('Marks Entry'!AK24="B"),'Marks Entry'!$AO$2,IF(AND('Marks Entry'!AK24="C"),'Marks Entry'!$AQ$2,""))),", ",IF(AND('Statement of Marks'!DD24=""),"",IF(AND('Statement of Marks'!DD24="A"),'Marks Entry'!$AS$2,IF(AND('Statement of Marks'!DD24="B"),'Marks Entry'!$AW$2,IF(AND('Statement of Marks'!DD24="C"),'Marks Entry'!$AY$2,"")))))),"")</f>
        <v/>
      </c>
      <c r="T21" s="435" t="str">
        <f>IF(COUNTIF(K21:R21,"F")&gt;0,"",CONCATENATE('Statement of Marks'!GU24,'Statement of Marks'!GW24))</f>
        <v xml:space="preserve">           </v>
      </c>
      <c r="BG21" s="17">
        <f>IFERROR(VLOOKUP(B21,'Statement of Marks'!$B$8:'Statement of Marks'!$HI$207,41,0),"")</f>
        <v>15</v>
      </c>
      <c r="BH21" s="17" t="str">
        <f>IFERROR(VLOOKUP(B21,'Statement of Marks'!$B$8:'Statement of Marks'!$HI$207,66,0),"")</f>
        <v/>
      </c>
      <c r="BI21" s="17">
        <f>IFERROR(VLOOKUP(B21,'Statement of Marks'!$B$8:'Statement of Marks'!$HI$207,91,0),"")</f>
        <v>60</v>
      </c>
      <c r="BJ21" s="17" t="str">
        <f>IFERROR(VLOOKUP(B21,'Statement of Marks'!$B$8:'Statement of Marks'!$HI$207,117,0),"")</f>
        <v/>
      </c>
    </row>
    <row r="22" spans="1:62" ht="24.95" customHeight="1">
      <c r="A22" s="283">
        <f>IF('Statement of Marks'!A25="","",'Statement of Marks'!A25)</f>
        <v>18</v>
      </c>
      <c r="B22" s="283" t="str">
        <f>IF('Statement of Marks'!B25="","",'Statement of Marks'!B25)</f>
        <v/>
      </c>
      <c r="C22" s="283" t="str">
        <f>IF('Statement of Marks'!C25="","",'Statement of Marks'!C25)</f>
        <v/>
      </c>
      <c r="D22" s="430" t="str">
        <f>IF('Statement of Marks'!D25="","",'Statement of Marks'!D25)</f>
        <v/>
      </c>
      <c r="E22" s="431" t="str">
        <f>IF('Statement of Marks'!E25="","",'Statement of Marks'!E25)</f>
        <v/>
      </c>
      <c r="F22" s="431" t="str">
        <f>IF('Statement of Marks'!F25="","",'Statement of Marks'!F25)</f>
        <v/>
      </c>
      <c r="G22" s="431" t="str">
        <f>IF('Statement of Marks'!G25="","",'Statement of Marks'!G25)</f>
        <v/>
      </c>
      <c r="H22" s="432" t="str">
        <f>IF(B22="","",IF('Statement of Marks'!GY25="","",'Statement of Marks'!GY25))</f>
        <v/>
      </c>
      <c r="I22" s="286" t="str">
        <f>IF(B22="","",IF('Statement of Marks'!HB25="","",'Statement of Marks'!HB25))</f>
        <v/>
      </c>
      <c r="J22" s="433" t="str">
        <f>IF(B22="","",IF('Statement of Marks'!HC25="","",'Statement of Marks'!HC25))</f>
        <v/>
      </c>
      <c r="K22" s="295" t="str">
        <f>IF(B22="","",'Statement of Marks'!FJ25)</f>
        <v/>
      </c>
      <c r="L22" s="295" t="str">
        <f>IF(B22="","",'Statement of Marks'!FM25)</f>
        <v/>
      </c>
      <c r="M22" s="295" t="str">
        <f>IF(B22="","",'Statement of Marks'!FP25)</f>
        <v/>
      </c>
      <c r="N22" s="295" t="str">
        <f>IF(B22="","",'Statement of Marks'!FW25)</f>
        <v/>
      </c>
      <c r="O22" s="295" t="str">
        <f>IF(B22="","",'Statement of Marks'!GD25)</f>
        <v/>
      </c>
      <c r="P22" s="295" t="str">
        <f>IF(B22="","",'Statement of Marks'!GK25)</f>
        <v/>
      </c>
      <c r="Q22" s="295" t="str">
        <f>IF(B22="","",'Statement of Marks'!GR25)</f>
        <v/>
      </c>
      <c r="R22" s="295" t="str">
        <f>IF(B22="","",'Statement of Marks'!FF25)</f>
        <v/>
      </c>
      <c r="S22" s="434" t="str">
        <f>IFERROR(IF(B22="","",CONCATENATE(IF(AND('Marks Entry'!U25="A"),'Marks Entry'!$U$2,IF(AND('Marks Entry'!U25="B"),'Marks Entry'!$Y$2,IF(AND('Marks Entry'!U25="C"),'Marks Entry'!$AA$2,""))),", ",IF(AND('Marks Entry'!AC25="A"),'Marks Entry'!$AC$2,IF(AND('Marks Entry'!AC25="B"),'Marks Entry'!$AG$2,IF(AND('Marks Entry'!AC25="C"),'Marks Entry'!$AI$2,""))),", ",IF(AND('Marks Entry'!AK25="A"),'Marks Entry'!$AK$2,IF(AND('Marks Entry'!AK25="B"),'Marks Entry'!$AO$2,IF(AND('Marks Entry'!AK25="C"),'Marks Entry'!$AQ$2,""))),", ",IF(AND('Statement of Marks'!DD25=""),"",IF(AND('Statement of Marks'!DD25="A"),'Marks Entry'!$AS$2,IF(AND('Statement of Marks'!DD25="B"),'Marks Entry'!$AW$2,IF(AND('Statement of Marks'!DD25="C"),'Marks Entry'!$AY$2,"")))))),"")</f>
        <v/>
      </c>
      <c r="T22" s="435" t="str">
        <f>IF(COUNTIF(K22:R22,"F")&gt;0,"",CONCATENATE('Statement of Marks'!GU25,'Statement of Marks'!GW25))</f>
        <v xml:space="preserve">           </v>
      </c>
      <c r="BG22" s="17">
        <f>IFERROR(VLOOKUP(B22,'Statement of Marks'!$B$8:'Statement of Marks'!$HI$207,41,0),"")</f>
        <v>15</v>
      </c>
      <c r="BH22" s="17" t="str">
        <f>IFERROR(VLOOKUP(B22,'Statement of Marks'!$B$8:'Statement of Marks'!$HI$207,66,0),"")</f>
        <v/>
      </c>
      <c r="BI22" s="17">
        <f>IFERROR(VLOOKUP(B22,'Statement of Marks'!$B$8:'Statement of Marks'!$HI$207,91,0),"")</f>
        <v>60</v>
      </c>
      <c r="BJ22" s="17" t="str">
        <f>IFERROR(VLOOKUP(B22,'Statement of Marks'!$B$8:'Statement of Marks'!$HI$207,117,0),"")</f>
        <v/>
      </c>
    </row>
    <row r="23" spans="1:62" ht="24.95" customHeight="1">
      <c r="A23" s="283">
        <f>IF('Statement of Marks'!A26="","",'Statement of Marks'!A26)</f>
        <v>19</v>
      </c>
      <c r="B23" s="283" t="str">
        <f>IF('Statement of Marks'!B26="","",'Statement of Marks'!B26)</f>
        <v/>
      </c>
      <c r="C23" s="283" t="str">
        <f>IF('Statement of Marks'!C26="","",'Statement of Marks'!C26)</f>
        <v/>
      </c>
      <c r="D23" s="430" t="str">
        <f>IF('Statement of Marks'!D26="","",'Statement of Marks'!D26)</f>
        <v/>
      </c>
      <c r="E23" s="431" t="str">
        <f>IF('Statement of Marks'!E26="","",'Statement of Marks'!E26)</f>
        <v/>
      </c>
      <c r="F23" s="431" t="str">
        <f>IF('Statement of Marks'!F26="","",'Statement of Marks'!F26)</f>
        <v/>
      </c>
      <c r="G23" s="431" t="str">
        <f>IF('Statement of Marks'!G26="","",'Statement of Marks'!G26)</f>
        <v/>
      </c>
      <c r="H23" s="432" t="str">
        <f>IF(B23="","",IF('Statement of Marks'!GY26="","",'Statement of Marks'!GY26))</f>
        <v/>
      </c>
      <c r="I23" s="286" t="str">
        <f>IF(B23="","",IF('Statement of Marks'!HB26="","",'Statement of Marks'!HB26))</f>
        <v/>
      </c>
      <c r="J23" s="433" t="str">
        <f>IF(B23="","",IF('Statement of Marks'!HC26="","",'Statement of Marks'!HC26))</f>
        <v/>
      </c>
      <c r="K23" s="295" t="str">
        <f>IF(B23="","",'Statement of Marks'!FJ26)</f>
        <v/>
      </c>
      <c r="L23" s="295" t="str">
        <f>IF(B23="","",'Statement of Marks'!FM26)</f>
        <v/>
      </c>
      <c r="M23" s="295" t="str">
        <f>IF(B23="","",'Statement of Marks'!FP26)</f>
        <v/>
      </c>
      <c r="N23" s="295" t="str">
        <f>IF(B23="","",'Statement of Marks'!FW26)</f>
        <v/>
      </c>
      <c r="O23" s="295" t="str">
        <f>IF(B23="","",'Statement of Marks'!GD26)</f>
        <v/>
      </c>
      <c r="P23" s="295" t="str">
        <f>IF(B23="","",'Statement of Marks'!GK26)</f>
        <v/>
      </c>
      <c r="Q23" s="295" t="str">
        <f>IF(B23="","",'Statement of Marks'!GR26)</f>
        <v/>
      </c>
      <c r="R23" s="295" t="str">
        <f>IF(B23="","",'Statement of Marks'!FF26)</f>
        <v/>
      </c>
      <c r="S23" s="434" t="str">
        <f>IFERROR(IF(B23="","",CONCATENATE(IF(AND('Marks Entry'!U26="A"),'Marks Entry'!$U$2,IF(AND('Marks Entry'!U26="B"),'Marks Entry'!$Y$2,IF(AND('Marks Entry'!U26="C"),'Marks Entry'!$AA$2,""))),", ",IF(AND('Marks Entry'!AC26="A"),'Marks Entry'!$AC$2,IF(AND('Marks Entry'!AC26="B"),'Marks Entry'!$AG$2,IF(AND('Marks Entry'!AC26="C"),'Marks Entry'!$AI$2,""))),", ",IF(AND('Marks Entry'!AK26="A"),'Marks Entry'!$AK$2,IF(AND('Marks Entry'!AK26="B"),'Marks Entry'!$AO$2,IF(AND('Marks Entry'!AK26="C"),'Marks Entry'!$AQ$2,""))),", ",IF(AND('Statement of Marks'!DD26=""),"",IF(AND('Statement of Marks'!DD26="A"),'Marks Entry'!$AS$2,IF(AND('Statement of Marks'!DD26="B"),'Marks Entry'!$AW$2,IF(AND('Statement of Marks'!DD26="C"),'Marks Entry'!$AY$2,"")))))),"")</f>
        <v/>
      </c>
      <c r="T23" s="435" t="str">
        <f>IF(COUNTIF(K23:R23,"F")&gt;0,"",CONCATENATE('Statement of Marks'!GU26,'Statement of Marks'!GW26))</f>
        <v xml:space="preserve">           </v>
      </c>
      <c r="BG23" s="17">
        <f>IFERROR(VLOOKUP(B23,'Statement of Marks'!$B$8:'Statement of Marks'!$HI$207,41,0),"")</f>
        <v>15</v>
      </c>
      <c r="BH23" s="17" t="str">
        <f>IFERROR(VLOOKUP(B23,'Statement of Marks'!$B$8:'Statement of Marks'!$HI$207,66,0),"")</f>
        <v/>
      </c>
      <c r="BI23" s="17">
        <f>IFERROR(VLOOKUP(B23,'Statement of Marks'!$B$8:'Statement of Marks'!$HI$207,91,0),"")</f>
        <v>60</v>
      </c>
      <c r="BJ23" s="17" t="str">
        <f>IFERROR(VLOOKUP(B23,'Statement of Marks'!$B$8:'Statement of Marks'!$HI$207,117,0),"")</f>
        <v/>
      </c>
    </row>
    <row r="24" spans="1:62" ht="24.95" customHeight="1">
      <c r="A24" s="283">
        <f>IF('Statement of Marks'!A27="","",'Statement of Marks'!A27)</f>
        <v>20</v>
      </c>
      <c r="B24" s="283" t="str">
        <f>IF('Statement of Marks'!B27="","",'Statement of Marks'!B27)</f>
        <v/>
      </c>
      <c r="C24" s="283" t="str">
        <f>IF('Statement of Marks'!C27="","",'Statement of Marks'!C27)</f>
        <v/>
      </c>
      <c r="D24" s="430" t="str">
        <f>IF('Statement of Marks'!D27="","",'Statement of Marks'!D27)</f>
        <v/>
      </c>
      <c r="E24" s="431" t="str">
        <f>IF('Statement of Marks'!E27="","",'Statement of Marks'!E27)</f>
        <v/>
      </c>
      <c r="F24" s="431" t="str">
        <f>IF('Statement of Marks'!F27="","",'Statement of Marks'!F27)</f>
        <v/>
      </c>
      <c r="G24" s="431" t="str">
        <f>IF('Statement of Marks'!G27="","",'Statement of Marks'!G27)</f>
        <v/>
      </c>
      <c r="H24" s="432" t="str">
        <f>IF(B24="","",IF('Statement of Marks'!GY27="","",'Statement of Marks'!GY27))</f>
        <v/>
      </c>
      <c r="I24" s="286" t="str">
        <f>IF(B24="","",IF('Statement of Marks'!HB27="","",'Statement of Marks'!HB27))</f>
        <v/>
      </c>
      <c r="J24" s="433" t="str">
        <f>IF(B24="","",IF('Statement of Marks'!HC27="","",'Statement of Marks'!HC27))</f>
        <v/>
      </c>
      <c r="K24" s="295" t="str">
        <f>IF(B24="","",'Statement of Marks'!FJ27)</f>
        <v/>
      </c>
      <c r="L24" s="295" t="str">
        <f>IF(B24="","",'Statement of Marks'!FM27)</f>
        <v/>
      </c>
      <c r="M24" s="295" t="str">
        <f>IF(B24="","",'Statement of Marks'!FP27)</f>
        <v/>
      </c>
      <c r="N24" s="295" t="str">
        <f>IF(B24="","",'Statement of Marks'!FW27)</f>
        <v/>
      </c>
      <c r="O24" s="295" t="str">
        <f>IF(B24="","",'Statement of Marks'!GD27)</f>
        <v/>
      </c>
      <c r="P24" s="295" t="str">
        <f>IF(B24="","",'Statement of Marks'!GK27)</f>
        <v/>
      </c>
      <c r="Q24" s="295" t="str">
        <f>IF(B24="","",'Statement of Marks'!GR27)</f>
        <v/>
      </c>
      <c r="R24" s="295" t="str">
        <f>IF(B24="","",'Statement of Marks'!FF27)</f>
        <v/>
      </c>
      <c r="S24" s="434" t="str">
        <f>IFERROR(IF(B24="","",CONCATENATE(IF(AND('Marks Entry'!U27="A"),'Marks Entry'!$U$2,IF(AND('Marks Entry'!U27="B"),'Marks Entry'!$Y$2,IF(AND('Marks Entry'!U27="C"),'Marks Entry'!$AA$2,""))),", ",IF(AND('Marks Entry'!AC27="A"),'Marks Entry'!$AC$2,IF(AND('Marks Entry'!AC27="B"),'Marks Entry'!$AG$2,IF(AND('Marks Entry'!AC27="C"),'Marks Entry'!$AI$2,""))),", ",IF(AND('Marks Entry'!AK27="A"),'Marks Entry'!$AK$2,IF(AND('Marks Entry'!AK27="B"),'Marks Entry'!$AO$2,IF(AND('Marks Entry'!AK27="C"),'Marks Entry'!$AQ$2,""))),", ",IF(AND('Statement of Marks'!DD27=""),"",IF(AND('Statement of Marks'!DD27="A"),'Marks Entry'!$AS$2,IF(AND('Statement of Marks'!DD27="B"),'Marks Entry'!$AW$2,IF(AND('Statement of Marks'!DD27="C"),'Marks Entry'!$AY$2,"")))))),"")</f>
        <v/>
      </c>
      <c r="T24" s="435" t="str">
        <f>IF(COUNTIF(K24:R24,"F")&gt;0,"",CONCATENATE('Statement of Marks'!GU27,'Statement of Marks'!GW27))</f>
        <v xml:space="preserve">           </v>
      </c>
      <c r="BG24" s="17">
        <f>IFERROR(VLOOKUP(B24,'Statement of Marks'!$B$8:'Statement of Marks'!$HI$207,41,0),"")</f>
        <v>15</v>
      </c>
      <c r="BH24" s="17" t="str">
        <f>IFERROR(VLOOKUP(B24,'Statement of Marks'!$B$8:'Statement of Marks'!$HI$207,66,0),"")</f>
        <v/>
      </c>
      <c r="BI24" s="17">
        <f>IFERROR(VLOOKUP(B24,'Statement of Marks'!$B$8:'Statement of Marks'!$HI$207,91,0),"")</f>
        <v>60</v>
      </c>
      <c r="BJ24" s="17" t="str">
        <f>IFERROR(VLOOKUP(B24,'Statement of Marks'!$B$8:'Statement of Marks'!$HI$207,117,0),"")</f>
        <v/>
      </c>
    </row>
    <row r="25" spans="1:62" ht="24.95" customHeight="1">
      <c r="A25" s="283">
        <f>IF('Statement of Marks'!A28="","",'Statement of Marks'!A28)</f>
        <v>21</v>
      </c>
      <c r="B25" s="283" t="str">
        <f>IF('Statement of Marks'!B28="","",'Statement of Marks'!B28)</f>
        <v/>
      </c>
      <c r="C25" s="283" t="str">
        <f>IF('Statement of Marks'!C28="","",'Statement of Marks'!C28)</f>
        <v/>
      </c>
      <c r="D25" s="430" t="str">
        <f>IF('Statement of Marks'!D28="","",'Statement of Marks'!D28)</f>
        <v/>
      </c>
      <c r="E25" s="431" t="str">
        <f>IF('Statement of Marks'!E28="","",'Statement of Marks'!E28)</f>
        <v/>
      </c>
      <c r="F25" s="431" t="str">
        <f>IF('Statement of Marks'!F28="","",'Statement of Marks'!F28)</f>
        <v/>
      </c>
      <c r="G25" s="431" t="str">
        <f>IF('Statement of Marks'!G28="","",'Statement of Marks'!G28)</f>
        <v/>
      </c>
      <c r="H25" s="432" t="str">
        <f>IF(B25="","",IF('Statement of Marks'!GY28="","",'Statement of Marks'!GY28))</f>
        <v/>
      </c>
      <c r="I25" s="286" t="str">
        <f>IF(B25="","",IF('Statement of Marks'!HB28="","",'Statement of Marks'!HB28))</f>
        <v/>
      </c>
      <c r="J25" s="433" t="str">
        <f>IF(B25="","",IF('Statement of Marks'!HC28="","",'Statement of Marks'!HC28))</f>
        <v/>
      </c>
      <c r="K25" s="295" t="str">
        <f>IF(B25="","",'Statement of Marks'!FJ28)</f>
        <v/>
      </c>
      <c r="L25" s="295" t="str">
        <f>IF(B25="","",'Statement of Marks'!FM28)</f>
        <v/>
      </c>
      <c r="M25" s="295" t="str">
        <f>IF(B25="","",'Statement of Marks'!FP28)</f>
        <v/>
      </c>
      <c r="N25" s="295" t="str">
        <f>IF(B25="","",'Statement of Marks'!FW28)</f>
        <v/>
      </c>
      <c r="O25" s="295" t="str">
        <f>IF(B25="","",'Statement of Marks'!GD28)</f>
        <v/>
      </c>
      <c r="P25" s="295" t="str">
        <f>IF(B25="","",'Statement of Marks'!GK28)</f>
        <v/>
      </c>
      <c r="Q25" s="295" t="str">
        <f>IF(B25="","",'Statement of Marks'!GR28)</f>
        <v/>
      </c>
      <c r="R25" s="295" t="str">
        <f>IF(B25="","",'Statement of Marks'!FF28)</f>
        <v/>
      </c>
      <c r="S25" s="434" t="str">
        <f>IFERROR(IF(B25="","",CONCATENATE(IF(AND('Marks Entry'!U28="A"),'Marks Entry'!$U$2,IF(AND('Marks Entry'!U28="B"),'Marks Entry'!$Y$2,IF(AND('Marks Entry'!U28="C"),'Marks Entry'!$AA$2,""))),", ",IF(AND('Marks Entry'!AC28="A"),'Marks Entry'!$AC$2,IF(AND('Marks Entry'!AC28="B"),'Marks Entry'!$AG$2,IF(AND('Marks Entry'!AC28="C"),'Marks Entry'!$AI$2,""))),", ",IF(AND('Marks Entry'!AK28="A"),'Marks Entry'!$AK$2,IF(AND('Marks Entry'!AK28="B"),'Marks Entry'!$AO$2,IF(AND('Marks Entry'!AK28="C"),'Marks Entry'!$AQ$2,""))),", ",IF(AND('Statement of Marks'!DD28=""),"",IF(AND('Statement of Marks'!DD28="A"),'Marks Entry'!$AS$2,IF(AND('Statement of Marks'!DD28="B"),'Marks Entry'!$AW$2,IF(AND('Statement of Marks'!DD28="C"),'Marks Entry'!$AY$2,"")))))),"")</f>
        <v/>
      </c>
      <c r="T25" s="435" t="str">
        <f>IF(COUNTIF(K25:R25,"F")&gt;0,"",CONCATENATE('Statement of Marks'!GU28,'Statement of Marks'!GW28))</f>
        <v xml:space="preserve">           </v>
      </c>
      <c r="BG25" s="17">
        <f>IFERROR(VLOOKUP(B25,'Statement of Marks'!$B$8:'Statement of Marks'!$HI$207,41,0),"")</f>
        <v>15</v>
      </c>
      <c r="BH25" s="17" t="str">
        <f>IFERROR(VLOOKUP(B25,'Statement of Marks'!$B$8:'Statement of Marks'!$HI$207,66,0),"")</f>
        <v/>
      </c>
      <c r="BI25" s="17">
        <f>IFERROR(VLOOKUP(B25,'Statement of Marks'!$B$8:'Statement of Marks'!$HI$207,91,0),"")</f>
        <v>60</v>
      </c>
      <c r="BJ25" s="17" t="str">
        <f>IFERROR(VLOOKUP(B25,'Statement of Marks'!$B$8:'Statement of Marks'!$HI$207,117,0),"")</f>
        <v/>
      </c>
    </row>
    <row r="26" spans="1:62" ht="24.95" customHeight="1">
      <c r="A26" s="283">
        <f>IF('Statement of Marks'!A29="","",'Statement of Marks'!A29)</f>
        <v>22</v>
      </c>
      <c r="B26" s="283" t="str">
        <f>IF('Statement of Marks'!B29="","",'Statement of Marks'!B29)</f>
        <v/>
      </c>
      <c r="C26" s="283" t="str">
        <f>IF('Statement of Marks'!C29="","",'Statement of Marks'!C29)</f>
        <v/>
      </c>
      <c r="D26" s="430" t="str">
        <f>IF('Statement of Marks'!D29="","",'Statement of Marks'!D29)</f>
        <v/>
      </c>
      <c r="E26" s="431" t="str">
        <f>IF('Statement of Marks'!E29="","",'Statement of Marks'!E29)</f>
        <v/>
      </c>
      <c r="F26" s="431" t="str">
        <f>IF('Statement of Marks'!F29="","",'Statement of Marks'!F29)</f>
        <v/>
      </c>
      <c r="G26" s="431" t="str">
        <f>IF('Statement of Marks'!G29="","",'Statement of Marks'!G29)</f>
        <v/>
      </c>
      <c r="H26" s="432" t="str">
        <f>IF(B26="","",IF('Statement of Marks'!GY29="","",'Statement of Marks'!GY29))</f>
        <v/>
      </c>
      <c r="I26" s="286" t="str">
        <f>IF(B26="","",IF('Statement of Marks'!HB29="","",'Statement of Marks'!HB29))</f>
        <v/>
      </c>
      <c r="J26" s="433" t="str">
        <f>IF(B26="","",IF('Statement of Marks'!HC29="","",'Statement of Marks'!HC29))</f>
        <v/>
      </c>
      <c r="K26" s="295" t="str">
        <f>IF(B26="","",'Statement of Marks'!FJ29)</f>
        <v/>
      </c>
      <c r="L26" s="295" t="str">
        <f>IF(B26="","",'Statement of Marks'!FM29)</f>
        <v/>
      </c>
      <c r="M26" s="295" t="str">
        <f>IF(B26="","",'Statement of Marks'!FP29)</f>
        <v/>
      </c>
      <c r="N26" s="295" t="str">
        <f>IF(B26="","",'Statement of Marks'!FW29)</f>
        <v/>
      </c>
      <c r="O26" s="295" t="str">
        <f>IF(B26="","",'Statement of Marks'!GD29)</f>
        <v/>
      </c>
      <c r="P26" s="295" t="str">
        <f>IF(B26="","",'Statement of Marks'!GK29)</f>
        <v/>
      </c>
      <c r="Q26" s="295" t="str">
        <f>IF(B26="","",'Statement of Marks'!GR29)</f>
        <v/>
      </c>
      <c r="R26" s="295" t="str">
        <f>IF(B26="","",'Statement of Marks'!FF29)</f>
        <v/>
      </c>
      <c r="S26" s="434" t="str">
        <f>IFERROR(IF(B26="","",CONCATENATE(IF(AND('Marks Entry'!U29="A"),'Marks Entry'!$U$2,IF(AND('Marks Entry'!U29="B"),'Marks Entry'!$Y$2,IF(AND('Marks Entry'!U29="C"),'Marks Entry'!$AA$2,""))),", ",IF(AND('Marks Entry'!AC29="A"),'Marks Entry'!$AC$2,IF(AND('Marks Entry'!AC29="B"),'Marks Entry'!$AG$2,IF(AND('Marks Entry'!AC29="C"),'Marks Entry'!$AI$2,""))),", ",IF(AND('Marks Entry'!AK29="A"),'Marks Entry'!$AK$2,IF(AND('Marks Entry'!AK29="B"),'Marks Entry'!$AO$2,IF(AND('Marks Entry'!AK29="C"),'Marks Entry'!$AQ$2,""))),", ",IF(AND('Statement of Marks'!DD29=""),"",IF(AND('Statement of Marks'!DD29="A"),'Marks Entry'!$AS$2,IF(AND('Statement of Marks'!DD29="B"),'Marks Entry'!$AW$2,IF(AND('Statement of Marks'!DD29="C"),'Marks Entry'!$AY$2,"")))))),"")</f>
        <v/>
      </c>
      <c r="T26" s="435" t="str">
        <f>IF(COUNTIF(K26:R26,"F")&gt;0,"",CONCATENATE('Statement of Marks'!GU29,'Statement of Marks'!GW29))</f>
        <v xml:space="preserve">           </v>
      </c>
      <c r="BG26" s="17">
        <f>IFERROR(VLOOKUP(B26,'Statement of Marks'!$B$8:'Statement of Marks'!$HI$207,41,0),"")</f>
        <v>15</v>
      </c>
      <c r="BH26" s="17" t="str">
        <f>IFERROR(VLOOKUP(B26,'Statement of Marks'!$B$8:'Statement of Marks'!$HI$207,66,0),"")</f>
        <v/>
      </c>
      <c r="BI26" s="17">
        <f>IFERROR(VLOOKUP(B26,'Statement of Marks'!$B$8:'Statement of Marks'!$HI$207,91,0),"")</f>
        <v>60</v>
      </c>
      <c r="BJ26" s="17" t="str">
        <f>IFERROR(VLOOKUP(B26,'Statement of Marks'!$B$8:'Statement of Marks'!$HI$207,117,0),"")</f>
        <v/>
      </c>
    </row>
    <row r="27" spans="1:62" ht="24.95" customHeight="1">
      <c r="A27" s="283">
        <f>IF('Statement of Marks'!A30="","",'Statement of Marks'!A30)</f>
        <v>23</v>
      </c>
      <c r="B27" s="283" t="str">
        <f>IF('Statement of Marks'!B30="","",'Statement of Marks'!B30)</f>
        <v/>
      </c>
      <c r="C27" s="283" t="str">
        <f>IF('Statement of Marks'!C30="","",'Statement of Marks'!C30)</f>
        <v/>
      </c>
      <c r="D27" s="430" t="str">
        <f>IF('Statement of Marks'!D30="","",'Statement of Marks'!D30)</f>
        <v/>
      </c>
      <c r="E27" s="431" t="str">
        <f>IF('Statement of Marks'!E30="","",'Statement of Marks'!E30)</f>
        <v/>
      </c>
      <c r="F27" s="431" t="str">
        <f>IF('Statement of Marks'!F30="","",'Statement of Marks'!F30)</f>
        <v/>
      </c>
      <c r="G27" s="431" t="str">
        <f>IF('Statement of Marks'!G30="","",'Statement of Marks'!G30)</f>
        <v/>
      </c>
      <c r="H27" s="432" t="str">
        <f>IF(B27="","",IF('Statement of Marks'!GY30="","",'Statement of Marks'!GY30))</f>
        <v/>
      </c>
      <c r="I27" s="286" t="str">
        <f>IF(B27="","",IF('Statement of Marks'!HB30="","",'Statement of Marks'!HB30))</f>
        <v/>
      </c>
      <c r="J27" s="433" t="str">
        <f>IF(B27="","",IF('Statement of Marks'!HC30="","",'Statement of Marks'!HC30))</f>
        <v/>
      </c>
      <c r="K27" s="295" t="str">
        <f>IF(B27="","",'Statement of Marks'!FJ30)</f>
        <v/>
      </c>
      <c r="L27" s="295" t="str">
        <f>IF(B27="","",'Statement of Marks'!FM30)</f>
        <v/>
      </c>
      <c r="M27" s="295" t="str">
        <f>IF(B27="","",'Statement of Marks'!FP30)</f>
        <v/>
      </c>
      <c r="N27" s="295" t="str">
        <f>IF(B27="","",'Statement of Marks'!FW30)</f>
        <v/>
      </c>
      <c r="O27" s="295" t="str">
        <f>IF(B27="","",'Statement of Marks'!GD30)</f>
        <v/>
      </c>
      <c r="P27" s="295" t="str">
        <f>IF(B27="","",'Statement of Marks'!GK30)</f>
        <v/>
      </c>
      <c r="Q27" s="295" t="str">
        <f>IF(B27="","",'Statement of Marks'!GR30)</f>
        <v/>
      </c>
      <c r="R27" s="295" t="str">
        <f>IF(B27="","",'Statement of Marks'!FF30)</f>
        <v/>
      </c>
      <c r="S27" s="434" t="str">
        <f>IFERROR(IF(B27="","",CONCATENATE(IF(AND('Marks Entry'!U30="A"),'Marks Entry'!$U$2,IF(AND('Marks Entry'!U30="B"),'Marks Entry'!$Y$2,IF(AND('Marks Entry'!U30="C"),'Marks Entry'!$AA$2,""))),", ",IF(AND('Marks Entry'!AC30="A"),'Marks Entry'!$AC$2,IF(AND('Marks Entry'!AC30="B"),'Marks Entry'!$AG$2,IF(AND('Marks Entry'!AC30="C"),'Marks Entry'!$AI$2,""))),", ",IF(AND('Marks Entry'!AK30="A"),'Marks Entry'!$AK$2,IF(AND('Marks Entry'!AK30="B"),'Marks Entry'!$AO$2,IF(AND('Marks Entry'!AK30="C"),'Marks Entry'!$AQ$2,""))),", ",IF(AND('Statement of Marks'!DD30=""),"",IF(AND('Statement of Marks'!DD30="A"),'Marks Entry'!$AS$2,IF(AND('Statement of Marks'!DD30="B"),'Marks Entry'!$AW$2,IF(AND('Statement of Marks'!DD30="C"),'Marks Entry'!$AY$2,"")))))),"")</f>
        <v/>
      </c>
      <c r="T27" s="435" t="str">
        <f>IF(COUNTIF(K27:R27,"F")&gt;0,"",CONCATENATE('Statement of Marks'!GU30,'Statement of Marks'!GW30))</f>
        <v xml:space="preserve">           </v>
      </c>
      <c r="BG27" s="17">
        <f>IFERROR(VLOOKUP(B27,'Statement of Marks'!$B$8:'Statement of Marks'!$HI$207,41,0),"")</f>
        <v>15</v>
      </c>
      <c r="BH27" s="17" t="str">
        <f>IFERROR(VLOOKUP(B27,'Statement of Marks'!$B$8:'Statement of Marks'!$HI$207,66,0),"")</f>
        <v/>
      </c>
      <c r="BI27" s="17">
        <f>IFERROR(VLOOKUP(B27,'Statement of Marks'!$B$8:'Statement of Marks'!$HI$207,91,0),"")</f>
        <v>60</v>
      </c>
      <c r="BJ27" s="17" t="str">
        <f>IFERROR(VLOOKUP(B27,'Statement of Marks'!$B$8:'Statement of Marks'!$HI$207,117,0),"")</f>
        <v/>
      </c>
    </row>
    <row r="28" spans="1:62" ht="24.95" customHeight="1">
      <c r="A28" s="283">
        <f>IF('Statement of Marks'!A31="","",'Statement of Marks'!A31)</f>
        <v>24</v>
      </c>
      <c r="B28" s="283" t="str">
        <f>IF('Statement of Marks'!B31="","",'Statement of Marks'!B31)</f>
        <v/>
      </c>
      <c r="C28" s="283" t="str">
        <f>IF('Statement of Marks'!C31="","",'Statement of Marks'!C31)</f>
        <v/>
      </c>
      <c r="D28" s="430" t="str">
        <f>IF('Statement of Marks'!D31="","",'Statement of Marks'!D31)</f>
        <v/>
      </c>
      <c r="E28" s="431" t="str">
        <f>IF('Statement of Marks'!E31="","",'Statement of Marks'!E31)</f>
        <v/>
      </c>
      <c r="F28" s="431" t="str">
        <f>IF('Statement of Marks'!F31="","",'Statement of Marks'!F31)</f>
        <v/>
      </c>
      <c r="G28" s="431" t="str">
        <f>IF('Statement of Marks'!G31="","",'Statement of Marks'!G31)</f>
        <v/>
      </c>
      <c r="H28" s="432" t="str">
        <f>IF(B28="","",IF('Statement of Marks'!GY31="","",'Statement of Marks'!GY31))</f>
        <v/>
      </c>
      <c r="I28" s="286" t="str">
        <f>IF(B28="","",IF('Statement of Marks'!HB31="","",'Statement of Marks'!HB31))</f>
        <v/>
      </c>
      <c r="J28" s="433" t="str">
        <f>IF(B28="","",IF('Statement of Marks'!HC31="","",'Statement of Marks'!HC31))</f>
        <v/>
      </c>
      <c r="K28" s="295" t="str">
        <f>IF(B28="","",'Statement of Marks'!FJ31)</f>
        <v/>
      </c>
      <c r="L28" s="295" t="str">
        <f>IF(B28="","",'Statement of Marks'!FM31)</f>
        <v/>
      </c>
      <c r="M28" s="295" t="str">
        <f>IF(B28="","",'Statement of Marks'!FP31)</f>
        <v/>
      </c>
      <c r="N28" s="295" t="str">
        <f>IF(B28="","",'Statement of Marks'!FW31)</f>
        <v/>
      </c>
      <c r="O28" s="295" t="str">
        <f>IF(B28="","",'Statement of Marks'!GD31)</f>
        <v/>
      </c>
      <c r="P28" s="295" t="str">
        <f>IF(B28="","",'Statement of Marks'!GK31)</f>
        <v/>
      </c>
      <c r="Q28" s="295" t="str">
        <f>IF(B28="","",'Statement of Marks'!GR31)</f>
        <v/>
      </c>
      <c r="R28" s="295" t="str">
        <f>IF(B28="","",'Statement of Marks'!FF31)</f>
        <v/>
      </c>
      <c r="S28" s="434" t="str">
        <f>IFERROR(IF(B28="","",CONCATENATE(IF(AND('Marks Entry'!U31="A"),'Marks Entry'!$U$2,IF(AND('Marks Entry'!U31="B"),'Marks Entry'!$Y$2,IF(AND('Marks Entry'!U31="C"),'Marks Entry'!$AA$2,""))),", ",IF(AND('Marks Entry'!AC31="A"),'Marks Entry'!$AC$2,IF(AND('Marks Entry'!AC31="B"),'Marks Entry'!$AG$2,IF(AND('Marks Entry'!AC31="C"),'Marks Entry'!$AI$2,""))),", ",IF(AND('Marks Entry'!AK31="A"),'Marks Entry'!$AK$2,IF(AND('Marks Entry'!AK31="B"),'Marks Entry'!$AO$2,IF(AND('Marks Entry'!AK31="C"),'Marks Entry'!$AQ$2,""))),", ",IF(AND('Statement of Marks'!DD31=""),"",IF(AND('Statement of Marks'!DD31="A"),'Marks Entry'!$AS$2,IF(AND('Statement of Marks'!DD31="B"),'Marks Entry'!$AW$2,IF(AND('Statement of Marks'!DD31="C"),'Marks Entry'!$AY$2,"")))))),"")</f>
        <v/>
      </c>
      <c r="T28" s="435" t="str">
        <f>IF(COUNTIF(K28:R28,"F")&gt;0,"",CONCATENATE('Statement of Marks'!GU31,'Statement of Marks'!GW31))</f>
        <v xml:space="preserve">           </v>
      </c>
      <c r="BG28" s="17">
        <f>IFERROR(VLOOKUP(B28,'Statement of Marks'!$B$8:'Statement of Marks'!$HI$207,41,0),"")</f>
        <v>15</v>
      </c>
      <c r="BH28" s="17" t="str">
        <f>IFERROR(VLOOKUP(B28,'Statement of Marks'!$B$8:'Statement of Marks'!$HI$207,66,0),"")</f>
        <v/>
      </c>
      <c r="BI28" s="17">
        <f>IFERROR(VLOOKUP(B28,'Statement of Marks'!$B$8:'Statement of Marks'!$HI$207,91,0),"")</f>
        <v>60</v>
      </c>
      <c r="BJ28" s="17" t="str">
        <f>IFERROR(VLOOKUP(B28,'Statement of Marks'!$B$8:'Statement of Marks'!$HI$207,117,0),"")</f>
        <v/>
      </c>
    </row>
    <row r="29" spans="1:62" ht="24.95" customHeight="1">
      <c r="A29" s="283">
        <f>IF('Statement of Marks'!A32="","",'Statement of Marks'!A32)</f>
        <v>25</v>
      </c>
      <c r="B29" s="283" t="str">
        <f>IF('Statement of Marks'!B32="","",'Statement of Marks'!B32)</f>
        <v/>
      </c>
      <c r="C29" s="283" t="str">
        <f>IF('Statement of Marks'!C32="","",'Statement of Marks'!C32)</f>
        <v/>
      </c>
      <c r="D29" s="430" t="str">
        <f>IF('Statement of Marks'!D32="","",'Statement of Marks'!D32)</f>
        <v/>
      </c>
      <c r="E29" s="431" t="str">
        <f>IF('Statement of Marks'!E32="","",'Statement of Marks'!E32)</f>
        <v/>
      </c>
      <c r="F29" s="431" t="str">
        <f>IF('Statement of Marks'!F32="","",'Statement of Marks'!F32)</f>
        <v/>
      </c>
      <c r="G29" s="431" t="str">
        <f>IF('Statement of Marks'!G32="","",'Statement of Marks'!G32)</f>
        <v/>
      </c>
      <c r="H29" s="432" t="str">
        <f>IF(B29="","",IF('Statement of Marks'!GY32="","",'Statement of Marks'!GY32))</f>
        <v/>
      </c>
      <c r="I29" s="286" t="str">
        <f>IF(B29="","",IF('Statement of Marks'!HB32="","",'Statement of Marks'!HB32))</f>
        <v/>
      </c>
      <c r="J29" s="433" t="str">
        <f>IF(B29="","",IF('Statement of Marks'!HC32="","",'Statement of Marks'!HC32))</f>
        <v/>
      </c>
      <c r="K29" s="295" t="str">
        <f>IF(B29="","",'Statement of Marks'!FJ32)</f>
        <v/>
      </c>
      <c r="L29" s="295" t="str">
        <f>IF(B29="","",'Statement of Marks'!FM32)</f>
        <v/>
      </c>
      <c r="M29" s="295" t="str">
        <f>IF(B29="","",'Statement of Marks'!FP32)</f>
        <v/>
      </c>
      <c r="N29" s="295" t="str">
        <f>IF(B29="","",'Statement of Marks'!FW32)</f>
        <v/>
      </c>
      <c r="O29" s="295" t="str">
        <f>IF(B29="","",'Statement of Marks'!GD32)</f>
        <v/>
      </c>
      <c r="P29" s="295" t="str">
        <f>IF(B29="","",'Statement of Marks'!GK32)</f>
        <v/>
      </c>
      <c r="Q29" s="295" t="str">
        <f>IF(B29="","",'Statement of Marks'!GR32)</f>
        <v/>
      </c>
      <c r="R29" s="295" t="str">
        <f>IF(B29="","",'Statement of Marks'!FF32)</f>
        <v/>
      </c>
      <c r="S29" s="434" t="str">
        <f>IFERROR(IF(B29="","",CONCATENATE(IF(AND('Marks Entry'!U32="A"),'Marks Entry'!$U$2,IF(AND('Marks Entry'!U32="B"),'Marks Entry'!$Y$2,IF(AND('Marks Entry'!U32="C"),'Marks Entry'!$AA$2,""))),", ",IF(AND('Marks Entry'!AC32="A"),'Marks Entry'!$AC$2,IF(AND('Marks Entry'!AC32="B"),'Marks Entry'!$AG$2,IF(AND('Marks Entry'!AC32="C"),'Marks Entry'!$AI$2,""))),", ",IF(AND('Marks Entry'!AK32="A"),'Marks Entry'!$AK$2,IF(AND('Marks Entry'!AK32="B"),'Marks Entry'!$AO$2,IF(AND('Marks Entry'!AK32="C"),'Marks Entry'!$AQ$2,""))),", ",IF(AND('Statement of Marks'!DD32=""),"",IF(AND('Statement of Marks'!DD32="A"),'Marks Entry'!$AS$2,IF(AND('Statement of Marks'!DD32="B"),'Marks Entry'!$AW$2,IF(AND('Statement of Marks'!DD32="C"),'Marks Entry'!$AY$2,"")))))),"")</f>
        <v/>
      </c>
      <c r="T29" s="435" t="str">
        <f>IF(COUNTIF(K29:R29,"F")&gt;0,"",CONCATENATE('Statement of Marks'!GU32,'Statement of Marks'!GW32))</f>
        <v xml:space="preserve">           </v>
      </c>
      <c r="BG29" s="17">
        <f>IFERROR(VLOOKUP(B29,'Statement of Marks'!$B$8:'Statement of Marks'!$HI$207,41,0),"")</f>
        <v>15</v>
      </c>
      <c r="BH29" s="17" t="str">
        <f>IFERROR(VLOOKUP(B29,'Statement of Marks'!$B$8:'Statement of Marks'!$HI$207,66,0),"")</f>
        <v/>
      </c>
      <c r="BI29" s="17">
        <f>IFERROR(VLOOKUP(B29,'Statement of Marks'!$B$8:'Statement of Marks'!$HI$207,91,0),"")</f>
        <v>60</v>
      </c>
      <c r="BJ29" s="17" t="str">
        <f>IFERROR(VLOOKUP(B29,'Statement of Marks'!$B$8:'Statement of Marks'!$HI$207,117,0),"")</f>
        <v/>
      </c>
    </row>
    <row r="30" spans="1:62" ht="24.95" customHeight="1">
      <c r="A30" s="283">
        <f>IF('Statement of Marks'!A33="","",'Statement of Marks'!A33)</f>
        <v>26</v>
      </c>
      <c r="B30" s="283" t="str">
        <f>IF('Statement of Marks'!B33="","",'Statement of Marks'!B33)</f>
        <v/>
      </c>
      <c r="C30" s="283" t="str">
        <f>IF('Statement of Marks'!C33="","",'Statement of Marks'!C33)</f>
        <v/>
      </c>
      <c r="D30" s="430" t="str">
        <f>IF('Statement of Marks'!D33="","",'Statement of Marks'!D33)</f>
        <v/>
      </c>
      <c r="E30" s="431" t="str">
        <f>IF('Statement of Marks'!E33="","",'Statement of Marks'!E33)</f>
        <v/>
      </c>
      <c r="F30" s="431" t="str">
        <f>IF('Statement of Marks'!F33="","",'Statement of Marks'!F33)</f>
        <v/>
      </c>
      <c r="G30" s="431" t="str">
        <f>IF('Statement of Marks'!G33="","",'Statement of Marks'!G33)</f>
        <v/>
      </c>
      <c r="H30" s="432" t="str">
        <f>IF(B30="","",IF('Statement of Marks'!GY33="","",'Statement of Marks'!GY33))</f>
        <v/>
      </c>
      <c r="I30" s="286" t="str">
        <f>IF(B30="","",IF('Statement of Marks'!HB33="","",'Statement of Marks'!HB33))</f>
        <v/>
      </c>
      <c r="J30" s="433" t="str">
        <f>IF(B30="","",IF('Statement of Marks'!HC33="","",'Statement of Marks'!HC33))</f>
        <v/>
      </c>
      <c r="K30" s="295" t="str">
        <f>IF(B30="","",'Statement of Marks'!FJ33)</f>
        <v/>
      </c>
      <c r="L30" s="295" t="str">
        <f>IF(B30="","",'Statement of Marks'!FM33)</f>
        <v/>
      </c>
      <c r="M30" s="295" t="str">
        <f>IF(B30="","",'Statement of Marks'!FP33)</f>
        <v/>
      </c>
      <c r="N30" s="295" t="str">
        <f>IF(B30="","",'Statement of Marks'!FW33)</f>
        <v/>
      </c>
      <c r="O30" s="295" t="str">
        <f>IF(B30="","",'Statement of Marks'!GD33)</f>
        <v/>
      </c>
      <c r="P30" s="295" t="str">
        <f>IF(B30="","",'Statement of Marks'!GK33)</f>
        <v/>
      </c>
      <c r="Q30" s="295" t="str">
        <f>IF(B30="","",'Statement of Marks'!GR33)</f>
        <v/>
      </c>
      <c r="R30" s="295" t="str">
        <f>IF(B30="","",'Statement of Marks'!FF33)</f>
        <v/>
      </c>
      <c r="S30" s="434" t="str">
        <f>IFERROR(IF(B30="","",CONCATENATE(IF(AND('Marks Entry'!U33="A"),'Marks Entry'!$U$2,IF(AND('Marks Entry'!U33="B"),'Marks Entry'!$Y$2,IF(AND('Marks Entry'!U33="C"),'Marks Entry'!$AA$2,""))),", ",IF(AND('Marks Entry'!AC33="A"),'Marks Entry'!$AC$2,IF(AND('Marks Entry'!AC33="B"),'Marks Entry'!$AG$2,IF(AND('Marks Entry'!AC33="C"),'Marks Entry'!$AI$2,""))),", ",IF(AND('Marks Entry'!AK33="A"),'Marks Entry'!$AK$2,IF(AND('Marks Entry'!AK33="B"),'Marks Entry'!$AO$2,IF(AND('Marks Entry'!AK33="C"),'Marks Entry'!$AQ$2,""))),", ",IF(AND('Statement of Marks'!DD33=""),"",IF(AND('Statement of Marks'!DD33="A"),'Marks Entry'!$AS$2,IF(AND('Statement of Marks'!DD33="B"),'Marks Entry'!$AW$2,IF(AND('Statement of Marks'!DD33="C"),'Marks Entry'!$AY$2,"")))))),"")</f>
        <v/>
      </c>
      <c r="T30" s="435" t="str">
        <f>IF(COUNTIF(K30:R30,"F")&gt;0,"",CONCATENATE('Statement of Marks'!GU33,'Statement of Marks'!GW33))</f>
        <v xml:space="preserve">           </v>
      </c>
      <c r="BG30" s="17">
        <f>IFERROR(VLOOKUP(B30,'Statement of Marks'!$B$8:'Statement of Marks'!$HI$207,41,0),"")</f>
        <v>15</v>
      </c>
      <c r="BH30" s="17" t="str">
        <f>IFERROR(VLOOKUP(B30,'Statement of Marks'!$B$8:'Statement of Marks'!$HI$207,66,0),"")</f>
        <v/>
      </c>
      <c r="BI30" s="17">
        <f>IFERROR(VLOOKUP(B30,'Statement of Marks'!$B$8:'Statement of Marks'!$HI$207,91,0),"")</f>
        <v>60</v>
      </c>
      <c r="BJ30" s="17" t="str">
        <f>IFERROR(VLOOKUP(B30,'Statement of Marks'!$B$8:'Statement of Marks'!$HI$207,117,0),"")</f>
        <v/>
      </c>
    </row>
    <row r="31" spans="1:62" ht="24.95" customHeight="1">
      <c r="A31" s="283">
        <f>IF('Statement of Marks'!A34="","",'Statement of Marks'!A34)</f>
        <v>27</v>
      </c>
      <c r="B31" s="283" t="str">
        <f>IF('Statement of Marks'!B34="","",'Statement of Marks'!B34)</f>
        <v/>
      </c>
      <c r="C31" s="283" t="str">
        <f>IF('Statement of Marks'!C34="","",'Statement of Marks'!C34)</f>
        <v/>
      </c>
      <c r="D31" s="430" t="str">
        <f>IF('Statement of Marks'!D34="","",'Statement of Marks'!D34)</f>
        <v/>
      </c>
      <c r="E31" s="431" t="str">
        <f>IF('Statement of Marks'!E34="","",'Statement of Marks'!E34)</f>
        <v/>
      </c>
      <c r="F31" s="431" t="str">
        <f>IF('Statement of Marks'!F34="","",'Statement of Marks'!F34)</f>
        <v/>
      </c>
      <c r="G31" s="431" t="str">
        <f>IF('Statement of Marks'!G34="","",'Statement of Marks'!G34)</f>
        <v/>
      </c>
      <c r="H31" s="432" t="str">
        <f>IF(B31="","",IF('Statement of Marks'!GY34="","",'Statement of Marks'!GY34))</f>
        <v/>
      </c>
      <c r="I31" s="286" t="str">
        <f>IF(B31="","",IF('Statement of Marks'!HB34="","",'Statement of Marks'!HB34))</f>
        <v/>
      </c>
      <c r="J31" s="433" t="str">
        <f>IF(B31="","",IF('Statement of Marks'!HC34="","",'Statement of Marks'!HC34))</f>
        <v/>
      </c>
      <c r="K31" s="295" t="str">
        <f>IF(B31="","",'Statement of Marks'!FJ34)</f>
        <v/>
      </c>
      <c r="L31" s="295" t="str">
        <f>IF(B31="","",'Statement of Marks'!FM34)</f>
        <v/>
      </c>
      <c r="M31" s="295" t="str">
        <f>IF(B31="","",'Statement of Marks'!FP34)</f>
        <v/>
      </c>
      <c r="N31" s="295" t="str">
        <f>IF(B31="","",'Statement of Marks'!FW34)</f>
        <v/>
      </c>
      <c r="O31" s="295" t="str">
        <f>IF(B31="","",'Statement of Marks'!GD34)</f>
        <v/>
      </c>
      <c r="P31" s="295" t="str">
        <f>IF(B31="","",'Statement of Marks'!GK34)</f>
        <v/>
      </c>
      <c r="Q31" s="295" t="str">
        <f>IF(B31="","",'Statement of Marks'!GR34)</f>
        <v/>
      </c>
      <c r="R31" s="295" t="str">
        <f>IF(B31="","",'Statement of Marks'!FF34)</f>
        <v/>
      </c>
      <c r="S31" s="434" t="str">
        <f>IFERROR(IF(B31="","",CONCATENATE(IF(AND('Marks Entry'!U34="A"),'Marks Entry'!$U$2,IF(AND('Marks Entry'!U34="B"),'Marks Entry'!$Y$2,IF(AND('Marks Entry'!U34="C"),'Marks Entry'!$AA$2,""))),", ",IF(AND('Marks Entry'!AC34="A"),'Marks Entry'!$AC$2,IF(AND('Marks Entry'!AC34="B"),'Marks Entry'!$AG$2,IF(AND('Marks Entry'!AC34="C"),'Marks Entry'!$AI$2,""))),", ",IF(AND('Marks Entry'!AK34="A"),'Marks Entry'!$AK$2,IF(AND('Marks Entry'!AK34="B"),'Marks Entry'!$AO$2,IF(AND('Marks Entry'!AK34="C"),'Marks Entry'!$AQ$2,""))),", ",IF(AND('Statement of Marks'!DD34=""),"",IF(AND('Statement of Marks'!DD34="A"),'Marks Entry'!$AS$2,IF(AND('Statement of Marks'!DD34="B"),'Marks Entry'!$AW$2,IF(AND('Statement of Marks'!DD34="C"),'Marks Entry'!$AY$2,"")))))),"")</f>
        <v/>
      </c>
      <c r="T31" s="435" t="str">
        <f>IF(COUNTIF(K31:R31,"F")&gt;0,"",CONCATENATE('Statement of Marks'!GU34,'Statement of Marks'!GW34))</f>
        <v xml:space="preserve">           </v>
      </c>
      <c r="BG31" s="17">
        <f>IFERROR(VLOOKUP(B31,'Statement of Marks'!$B$8:'Statement of Marks'!$HI$207,41,0),"")</f>
        <v>15</v>
      </c>
      <c r="BH31" s="17" t="str">
        <f>IFERROR(VLOOKUP(B31,'Statement of Marks'!$B$8:'Statement of Marks'!$HI$207,66,0),"")</f>
        <v/>
      </c>
      <c r="BI31" s="17">
        <f>IFERROR(VLOOKUP(B31,'Statement of Marks'!$B$8:'Statement of Marks'!$HI$207,91,0),"")</f>
        <v>60</v>
      </c>
      <c r="BJ31" s="17" t="str">
        <f>IFERROR(VLOOKUP(B31,'Statement of Marks'!$B$8:'Statement of Marks'!$HI$207,117,0),"")</f>
        <v/>
      </c>
    </row>
    <row r="32" spans="1:62" ht="24.95" customHeight="1">
      <c r="A32" s="283">
        <f>IF('Statement of Marks'!A35="","",'Statement of Marks'!A35)</f>
        <v>28</v>
      </c>
      <c r="B32" s="283" t="str">
        <f>IF('Statement of Marks'!B35="","",'Statement of Marks'!B35)</f>
        <v/>
      </c>
      <c r="C32" s="283" t="str">
        <f>IF('Statement of Marks'!C35="","",'Statement of Marks'!C35)</f>
        <v/>
      </c>
      <c r="D32" s="430" t="str">
        <f>IF('Statement of Marks'!D35="","",'Statement of Marks'!D35)</f>
        <v/>
      </c>
      <c r="E32" s="431" t="str">
        <f>IF('Statement of Marks'!E35="","",'Statement of Marks'!E35)</f>
        <v/>
      </c>
      <c r="F32" s="431" t="str">
        <f>IF('Statement of Marks'!F35="","",'Statement of Marks'!F35)</f>
        <v/>
      </c>
      <c r="G32" s="431" t="str">
        <f>IF('Statement of Marks'!G35="","",'Statement of Marks'!G35)</f>
        <v/>
      </c>
      <c r="H32" s="432" t="str">
        <f>IF(B32="","",IF('Statement of Marks'!GY35="","",'Statement of Marks'!GY35))</f>
        <v/>
      </c>
      <c r="I32" s="286" t="str">
        <f>IF(B32="","",IF('Statement of Marks'!HB35="","",'Statement of Marks'!HB35))</f>
        <v/>
      </c>
      <c r="J32" s="433" t="str">
        <f>IF(B32="","",IF('Statement of Marks'!HC35="","",'Statement of Marks'!HC35))</f>
        <v/>
      </c>
      <c r="K32" s="295" t="str">
        <f>IF(B32="","",'Statement of Marks'!FJ35)</f>
        <v/>
      </c>
      <c r="L32" s="295" t="str">
        <f>IF(B32="","",'Statement of Marks'!FM35)</f>
        <v/>
      </c>
      <c r="M32" s="295" t="str">
        <f>IF(B32="","",'Statement of Marks'!FP35)</f>
        <v/>
      </c>
      <c r="N32" s="295" t="str">
        <f>IF(B32="","",'Statement of Marks'!FW35)</f>
        <v/>
      </c>
      <c r="O32" s="295" t="str">
        <f>IF(B32="","",'Statement of Marks'!GD35)</f>
        <v/>
      </c>
      <c r="P32" s="295" t="str">
        <f>IF(B32="","",'Statement of Marks'!GK35)</f>
        <v/>
      </c>
      <c r="Q32" s="295" t="str">
        <f>IF(B32="","",'Statement of Marks'!GR35)</f>
        <v/>
      </c>
      <c r="R32" s="295" t="str">
        <f>IF(B32="","",'Statement of Marks'!FF35)</f>
        <v/>
      </c>
      <c r="S32" s="434" t="str">
        <f>IFERROR(IF(B32="","",CONCATENATE(IF(AND('Marks Entry'!U35="A"),'Marks Entry'!$U$2,IF(AND('Marks Entry'!U35="B"),'Marks Entry'!$Y$2,IF(AND('Marks Entry'!U35="C"),'Marks Entry'!$AA$2,""))),", ",IF(AND('Marks Entry'!AC35="A"),'Marks Entry'!$AC$2,IF(AND('Marks Entry'!AC35="B"),'Marks Entry'!$AG$2,IF(AND('Marks Entry'!AC35="C"),'Marks Entry'!$AI$2,""))),", ",IF(AND('Marks Entry'!AK35="A"),'Marks Entry'!$AK$2,IF(AND('Marks Entry'!AK35="B"),'Marks Entry'!$AO$2,IF(AND('Marks Entry'!AK35="C"),'Marks Entry'!$AQ$2,""))),", ",IF(AND('Statement of Marks'!DD35=""),"",IF(AND('Statement of Marks'!DD35="A"),'Marks Entry'!$AS$2,IF(AND('Statement of Marks'!DD35="B"),'Marks Entry'!$AW$2,IF(AND('Statement of Marks'!DD35="C"),'Marks Entry'!$AY$2,"")))))),"")</f>
        <v/>
      </c>
      <c r="T32" s="435" t="str">
        <f>IF(COUNTIF(K32:R32,"F")&gt;0,"",CONCATENATE('Statement of Marks'!GU35,'Statement of Marks'!GW35))</f>
        <v xml:space="preserve">           </v>
      </c>
      <c r="BG32" s="17">
        <f>IFERROR(VLOOKUP(B32,'Statement of Marks'!$B$8:'Statement of Marks'!$HI$207,41,0),"")</f>
        <v>15</v>
      </c>
      <c r="BH32" s="17" t="str">
        <f>IFERROR(VLOOKUP(B32,'Statement of Marks'!$B$8:'Statement of Marks'!$HI$207,66,0),"")</f>
        <v/>
      </c>
      <c r="BI32" s="17">
        <f>IFERROR(VLOOKUP(B32,'Statement of Marks'!$B$8:'Statement of Marks'!$HI$207,91,0),"")</f>
        <v>60</v>
      </c>
      <c r="BJ32" s="17" t="str">
        <f>IFERROR(VLOOKUP(B32,'Statement of Marks'!$B$8:'Statement of Marks'!$HI$207,117,0),"")</f>
        <v/>
      </c>
    </row>
    <row r="33" spans="1:62" ht="24.95" customHeight="1">
      <c r="A33" s="283">
        <f>IF('Statement of Marks'!A36="","",'Statement of Marks'!A36)</f>
        <v>29</v>
      </c>
      <c r="B33" s="283" t="str">
        <f>IF('Statement of Marks'!B36="","",'Statement of Marks'!B36)</f>
        <v/>
      </c>
      <c r="C33" s="283" t="str">
        <f>IF('Statement of Marks'!C36="","",'Statement of Marks'!C36)</f>
        <v/>
      </c>
      <c r="D33" s="430" t="str">
        <f>IF('Statement of Marks'!D36="","",'Statement of Marks'!D36)</f>
        <v/>
      </c>
      <c r="E33" s="431" t="str">
        <f>IF('Statement of Marks'!E36="","",'Statement of Marks'!E36)</f>
        <v/>
      </c>
      <c r="F33" s="431" t="str">
        <f>IF('Statement of Marks'!F36="","",'Statement of Marks'!F36)</f>
        <v/>
      </c>
      <c r="G33" s="431" t="str">
        <f>IF('Statement of Marks'!G36="","",'Statement of Marks'!G36)</f>
        <v/>
      </c>
      <c r="H33" s="432" t="str">
        <f>IF(B33="","",IF('Statement of Marks'!GY36="","",'Statement of Marks'!GY36))</f>
        <v/>
      </c>
      <c r="I33" s="286" t="str">
        <f>IF(B33="","",IF('Statement of Marks'!HB36="","",'Statement of Marks'!HB36))</f>
        <v/>
      </c>
      <c r="J33" s="433" t="str">
        <f>IF(B33="","",IF('Statement of Marks'!HC36="","",'Statement of Marks'!HC36))</f>
        <v/>
      </c>
      <c r="K33" s="295" t="str">
        <f>IF(B33="","",'Statement of Marks'!FJ36)</f>
        <v/>
      </c>
      <c r="L33" s="295" t="str">
        <f>IF(B33="","",'Statement of Marks'!FM36)</f>
        <v/>
      </c>
      <c r="M33" s="295" t="str">
        <f>IF(B33="","",'Statement of Marks'!FP36)</f>
        <v/>
      </c>
      <c r="N33" s="295" t="str">
        <f>IF(B33="","",'Statement of Marks'!FW36)</f>
        <v/>
      </c>
      <c r="O33" s="295" t="str">
        <f>IF(B33="","",'Statement of Marks'!GD36)</f>
        <v/>
      </c>
      <c r="P33" s="295" t="str">
        <f>IF(B33="","",'Statement of Marks'!GK36)</f>
        <v/>
      </c>
      <c r="Q33" s="295" t="str">
        <f>IF(B33="","",'Statement of Marks'!GR36)</f>
        <v/>
      </c>
      <c r="R33" s="295" t="str">
        <f>IF(B33="","",'Statement of Marks'!FF36)</f>
        <v/>
      </c>
      <c r="S33" s="434" t="str">
        <f>IFERROR(IF(B33="","",CONCATENATE(IF(AND('Marks Entry'!U36="A"),'Marks Entry'!$U$2,IF(AND('Marks Entry'!U36="B"),'Marks Entry'!$Y$2,IF(AND('Marks Entry'!U36="C"),'Marks Entry'!$AA$2,""))),", ",IF(AND('Marks Entry'!AC36="A"),'Marks Entry'!$AC$2,IF(AND('Marks Entry'!AC36="B"),'Marks Entry'!$AG$2,IF(AND('Marks Entry'!AC36="C"),'Marks Entry'!$AI$2,""))),", ",IF(AND('Marks Entry'!AK36="A"),'Marks Entry'!$AK$2,IF(AND('Marks Entry'!AK36="B"),'Marks Entry'!$AO$2,IF(AND('Marks Entry'!AK36="C"),'Marks Entry'!$AQ$2,""))),", ",IF(AND('Statement of Marks'!DD36=""),"",IF(AND('Statement of Marks'!DD36="A"),'Marks Entry'!$AS$2,IF(AND('Statement of Marks'!DD36="B"),'Marks Entry'!$AW$2,IF(AND('Statement of Marks'!DD36="C"),'Marks Entry'!$AY$2,"")))))),"")</f>
        <v/>
      </c>
      <c r="T33" s="435" t="str">
        <f>IF(COUNTIF(K33:R33,"F")&gt;0,"",CONCATENATE('Statement of Marks'!GU36,'Statement of Marks'!GW36))</f>
        <v xml:space="preserve">           </v>
      </c>
      <c r="BG33" s="17">
        <f>IFERROR(VLOOKUP(B33,'Statement of Marks'!$B$8:'Statement of Marks'!$HI$207,41,0),"")</f>
        <v>15</v>
      </c>
      <c r="BH33" s="17" t="str">
        <f>IFERROR(VLOOKUP(B33,'Statement of Marks'!$B$8:'Statement of Marks'!$HI$207,66,0),"")</f>
        <v/>
      </c>
      <c r="BI33" s="17">
        <f>IFERROR(VLOOKUP(B33,'Statement of Marks'!$B$8:'Statement of Marks'!$HI$207,91,0),"")</f>
        <v>60</v>
      </c>
      <c r="BJ33" s="17" t="str">
        <f>IFERROR(VLOOKUP(B33,'Statement of Marks'!$B$8:'Statement of Marks'!$HI$207,117,0),"")</f>
        <v/>
      </c>
    </row>
    <row r="34" spans="1:62" ht="24.95" customHeight="1">
      <c r="A34" s="283">
        <f>IF('Statement of Marks'!A37="","",'Statement of Marks'!A37)</f>
        <v>30</v>
      </c>
      <c r="B34" s="283" t="str">
        <f>IF('Statement of Marks'!B37="","",'Statement of Marks'!B37)</f>
        <v/>
      </c>
      <c r="C34" s="283" t="str">
        <f>IF('Statement of Marks'!C37="","",'Statement of Marks'!C37)</f>
        <v/>
      </c>
      <c r="D34" s="430" t="str">
        <f>IF('Statement of Marks'!D37="","",'Statement of Marks'!D37)</f>
        <v/>
      </c>
      <c r="E34" s="431" t="str">
        <f>IF('Statement of Marks'!E37="","",'Statement of Marks'!E37)</f>
        <v/>
      </c>
      <c r="F34" s="431" t="str">
        <f>IF('Statement of Marks'!F37="","",'Statement of Marks'!F37)</f>
        <v/>
      </c>
      <c r="G34" s="431" t="str">
        <f>IF('Statement of Marks'!G37="","",'Statement of Marks'!G37)</f>
        <v/>
      </c>
      <c r="H34" s="432" t="str">
        <f>IF(B34="","",IF('Statement of Marks'!GY37="","",'Statement of Marks'!GY37))</f>
        <v/>
      </c>
      <c r="I34" s="286" t="str">
        <f>IF(B34="","",IF('Statement of Marks'!HB37="","",'Statement of Marks'!HB37))</f>
        <v/>
      </c>
      <c r="J34" s="433" t="str">
        <f>IF(B34="","",IF('Statement of Marks'!HC37="","",'Statement of Marks'!HC37))</f>
        <v/>
      </c>
      <c r="K34" s="295" t="str">
        <f>IF(B34="","",'Statement of Marks'!FJ37)</f>
        <v/>
      </c>
      <c r="L34" s="295" t="str">
        <f>IF(B34="","",'Statement of Marks'!FM37)</f>
        <v/>
      </c>
      <c r="M34" s="295" t="str">
        <f>IF(B34="","",'Statement of Marks'!FP37)</f>
        <v/>
      </c>
      <c r="N34" s="295" t="str">
        <f>IF(B34="","",'Statement of Marks'!FW37)</f>
        <v/>
      </c>
      <c r="O34" s="295" t="str">
        <f>IF(B34="","",'Statement of Marks'!GD37)</f>
        <v/>
      </c>
      <c r="P34" s="295" t="str">
        <f>IF(B34="","",'Statement of Marks'!GK37)</f>
        <v/>
      </c>
      <c r="Q34" s="295" t="str">
        <f>IF(B34="","",'Statement of Marks'!GR37)</f>
        <v/>
      </c>
      <c r="R34" s="295" t="str">
        <f>IF(B34="","",'Statement of Marks'!FF37)</f>
        <v/>
      </c>
      <c r="S34" s="434" t="str">
        <f>IFERROR(IF(B34="","",CONCATENATE(IF(AND('Marks Entry'!U37="A"),'Marks Entry'!$U$2,IF(AND('Marks Entry'!U37="B"),'Marks Entry'!$Y$2,IF(AND('Marks Entry'!U37="C"),'Marks Entry'!$AA$2,""))),", ",IF(AND('Marks Entry'!AC37="A"),'Marks Entry'!$AC$2,IF(AND('Marks Entry'!AC37="B"),'Marks Entry'!$AG$2,IF(AND('Marks Entry'!AC37="C"),'Marks Entry'!$AI$2,""))),", ",IF(AND('Marks Entry'!AK37="A"),'Marks Entry'!$AK$2,IF(AND('Marks Entry'!AK37="B"),'Marks Entry'!$AO$2,IF(AND('Marks Entry'!AK37="C"),'Marks Entry'!$AQ$2,""))),", ",IF(AND('Statement of Marks'!DD37=""),"",IF(AND('Statement of Marks'!DD37="A"),'Marks Entry'!$AS$2,IF(AND('Statement of Marks'!DD37="B"),'Marks Entry'!$AW$2,IF(AND('Statement of Marks'!DD37="C"),'Marks Entry'!$AY$2,"")))))),"")</f>
        <v/>
      </c>
      <c r="T34" s="435" t="str">
        <f>IF(COUNTIF(K34:R34,"F")&gt;0,"",CONCATENATE('Statement of Marks'!GU37,'Statement of Marks'!GW37))</f>
        <v xml:space="preserve">           </v>
      </c>
      <c r="BG34" s="17">
        <f>IFERROR(VLOOKUP(B34,'Statement of Marks'!$B$8:'Statement of Marks'!$HI$207,41,0),"")</f>
        <v>15</v>
      </c>
      <c r="BH34" s="17" t="str">
        <f>IFERROR(VLOOKUP(B34,'Statement of Marks'!$B$8:'Statement of Marks'!$HI$207,66,0),"")</f>
        <v/>
      </c>
      <c r="BI34" s="17">
        <f>IFERROR(VLOOKUP(B34,'Statement of Marks'!$B$8:'Statement of Marks'!$HI$207,91,0),"")</f>
        <v>60</v>
      </c>
      <c r="BJ34" s="17" t="str">
        <f>IFERROR(VLOOKUP(B34,'Statement of Marks'!$B$8:'Statement of Marks'!$HI$207,117,0),"")</f>
        <v/>
      </c>
    </row>
    <row r="35" spans="1:62" ht="24.95" customHeight="1">
      <c r="A35" s="283">
        <f>IF('Statement of Marks'!A38="","",'Statement of Marks'!A38)</f>
        <v>31</v>
      </c>
      <c r="B35" s="283" t="str">
        <f>IF('Statement of Marks'!B38="","",'Statement of Marks'!B38)</f>
        <v/>
      </c>
      <c r="C35" s="283" t="str">
        <f>IF('Statement of Marks'!C38="","",'Statement of Marks'!C38)</f>
        <v/>
      </c>
      <c r="D35" s="430" t="str">
        <f>IF('Statement of Marks'!D38="","",'Statement of Marks'!D38)</f>
        <v/>
      </c>
      <c r="E35" s="431" t="str">
        <f>IF('Statement of Marks'!E38="","",'Statement of Marks'!E38)</f>
        <v/>
      </c>
      <c r="F35" s="431" t="str">
        <f>IF('Statement of Marks'!F38="","",'Statement of Marks'!F38)</f>
        <v/>
      </c>
      <c r="G35" s="431" t="str">
        <f>IF('Statement of Marks'!G38="","",'Statement of Marks'!G38)</f>
        <v/>
      </c>
      <c r="H35" s="432" t="str">
        <f>IF(B35="","",IF('Statement of Marks'!GY38="","",'Statement of Marks'!GY38))</f>
        <v/>
      </c>
      <c r="I35" s="286" t="str">
        <f>IF(B35="","",IF('Statement of Marks'!HB38="","",'Statement of Marks'!HB38))</f>
        <v/>
      </c>
      <c r="J35" s="433" t="str">
        <f>IF(B35="","",IF('Statement of Marks'!HC38="","",'Statement of Marks'!HC38))</f>
        <v/>
      </c>
      <c r="K35" s="295" t="str">
        <f>IF(B35="","",'Statement of Marks'!FJ38)</f>
        <v/>
      </c>
      <c r="L35" s="295" t="str">
        <f>IF(B35="","",'Statement of Marks'!FM38)</f>
        <v/>
      </c>
      <c r="M35" s="295" t="str">
        <f>IF(B35="","",'Statement of Marks'!FP38)</f>
        <v/>
      </c>
      <c r="N35" s="295" t="str">
        <f>IF(B35="","",'Statement of Marks'!FW38)</f>
        <v/>
      </c>
      <c r="O35" s="295" t="str">
        <f>IF(B35="","",'Statement of Marks'!GD38)</f>
        <v/>
      </c>
      <c r="P35" s="295" t="str">
        <f>IF(B35="","",'Statement of Marks'!GK38)</f>
        <v/>
      </c>
      <c r="Q35" s="295" t="str">
        <f>IF(B35="","",'Statement of Marks'!GR38)</f>
        <v/>
      </c>
      <c r="R35" s="295" t="str">
        <f>IF(B35="","",'Statement of Marks'!FF38)</f>
        <v/>
      </c>
      <c r="S35" s="434" t="str">
        <f>IFERROR(IF(B35="","",CONCATENATE(IF(AND('Marks Entry'!U38="A"),'Marks Entry'!$U$2,IF(AND('Marks Entry'!U38="B"),'Marks Entry'!$Y$2,IF(AND('Marks Entry'!U38="C"),'Marks Entry'!$AA$2,""))),", ",IF(AND('Marks Entry'!AC38="A"),'Marks Entry'!$AC$2,IF(AND('Marks Entry'!AC38="B"),'Marks Entry'!$AG$2,IF(AND('Marks Entry'!AC38="C"),'Marks Entry'!$AI$2,""))),", ",IF(AND('Marks Entry'!AK38="A"),'Marks Entry'!$AK$2,IF(AND('Marks Entry'!AK38="B"),'Marks Entry'!$AO$2,IF(AND('Marks Entry'!AK38="C"),'Marks Entry'!$AQ$2,""))),", ",IF(AND('Statement of Marks'!DD38=""),"",IF(AND('Statement of Marks'!DD38="A"),'Marks Entry'!$AS$2,IF(AND('Statement of Marks'!DD38="B"),'Marks Entry'!$AW$2,IF(AND('Statement of Marks'!DD38="C"),'Marks Entry'!$AY$2,"")))))),"")</f>
        <v/>
      </c>
      <c r="T35" s="435" t="str">
        <f>IF(COUNTIF(K35:R35,"F")&gt;0,"",CONCATENATE('Statement of Marks'!GU38,'Statement of Marks'!GW38))</f>
        <v xml:space="preserve">           </v>
      </c>
      <c r="BG35" s="17">
        <f>IFERROR(VLOOKUP(B35,'Statement of Marks'!$B$8:'Statement of Marks'!$HI$207,41,0),"")</f>
        <v>15</v>
      </c>
      <c r="BH35" s="17" t="str">
        <f>IFERROR(VLOOKUP(B35,'Statement of Marks'!$B$8:'Statement of Marks'!$HI$207,66,0),"")</f>
        <v/>
      </c>
      <c r="BI35" s="17">
        <f>IFERROR(VLOOKUP(B35,'Statement of Marks'!$B$8:'Statement of Marks'!$HI$207,91,0),"")</f>
        <v>60</v>
      </c>
      <c r="BJ35" s="17" t="str">
        <f>IFERROR(VLOOKUP(B35,'Statement of Marks'!$B$8:'Statement of Marks'!$HI$207,117,0),"")</f>
        <v/>
      </c>
    </row>
    <row r="36" spans="1:62" ht="24.95" customHeight="1">
      <c r="A36" s="283">
        <f>IF('Statement of Marks'!A39="","",'Statement of Marks'!A39)</f>
        <v>32</v>
      </c>
      <c r="B36" s="283" t="str">
        <f>IF('Statement of Marks'!B39="","",'Statement of Marks'!B39)</f>
        <v/>
      </c>
      <c r="C36" s="283" t="str">
        <f>IF('Statement of Marks'!C39="","",'Statement of Marks'!C39)</f>
        <v/>
      </c>
      <c r="D36" s="430" t="str">
        <f>IF('Statement of Marks'!D39="","",'Statement of Marks'!D39)</f>
        <v/>
      </c>
      <c r="E36" s="431" t="str">
        <f>IF('Statement of Marks'!E39="","",'Statement of Marks'!E39)</f>
        <v/>
      </c>
      <c r="F36" s="431" t="str">
        <f>IF('Statement of Marks'!F39="","",'Statement of Marks'!F39)</f>
        <v/>
      </c>
      <c r="G36" s="431" t="str">
        <f>IF('Statement of Marks'!G39="","",'Statement of Marks'!G39)</f>
        <v/>
      </c>
      <c r="H36" s="432" t="str">
        <f>IF(B36="","",IF('Statement of Marks'!GY39="","",'Statement of Marks'!GY39))</f>
        <v/>
      </c>
      <c r="I36" s="286" t="str">
        <f>IF(B36="","",IF('Statement of Marks'!HB39="","",'Statement of Marks'!HB39))</f>
        <v/>
      </c>
      <c r="J36" s="433" t="str">
        <f>IF(B36="","",IF('Statement of Marks'!HC39="","",'Statement of Marks'!HC39))</f>
        <v/>
      </c>
      <c r="K36" s="295" t="str">
        <f>IF(B36="","",'Statement of Marks'!FJ39)</f>
        <v/>
      </c>
      <c r="L36" s="295" t="str">
        <f>IF(B36="","",'Statement of Marks'!FM39)</f>
        <v/>
      </c>
      <c r="M36" s="295" t="str">
        <f>IF(B36="","",'Statement of Marks'!FP39)</f>
        <v/>
      </c>
      <c r="N36" s="295" t="str">
        <f>IF(B36="","",'Statement of Marks'!FW39)</f>
        <v/>
      </c>
      <c r="O36" s="295" t="str">
        <f>IF(B36="","",'Statement of Marks'!GD39)</f>
        <v/>
      </c>
      <c r="P36" s="295" t="str">
        <f>IF(B36="","",'Statement of Marks'!GK39)</f>
        <v/>
      </c>
      <c r="Q36" s="295" t="str">
        <f>IF(B36="","",'Statement of Marks'!GR39)</f>
        <v/>
      </c>
      <c r="R36" s="295" t="str">
        <f>IF(B36="","",'Statement of Marks'!FF39)</f>
        <v/>
      </c>
      <c r="S36" s="434" t="str">
        <f>IFERROR(IF(B36="","",CONCATENATE(IF(AND('Marks Entry'!U39="A"),'Marks Entry'!$U$2,IF(AND('Marks Entry'!U39="B"),'Marks Entry'!$Y$2,IF(AND('Marks Entry'!U39="C"),'Marks Entry'!$AA$2,""))),", ",IF(AND('Marks Entry'!AC39="A"),'Marks Entry'!$AC$2,IF(AND('Marks Entry'!AC39="B"),'Marks Entry'!$AG$2,IF(AND('Marks Entry'!AC39="C"),'Marks Entry'!$AI$2,""))),", ",IF(AND('Marks Entry'!AK39="A"),'Marks Entry'!$AK$2,IF(AND('Marks Entry'!AK39="B"),'Marks Entry'!$AO$2,IF(AND('Marks Entry'!AK39="C"),'Marks Entry'!$AQ$2,""))),", ",IF(AND('Statement of Marks'!DD39=""),"",IF(AND('Statement of Marks'!DD39="A"),'Marks Entry'!$AS$2,IF(AND('Statement of Marks'!DD39="B"),'Marks Entry'!$AW$2,IF(AND('Statement of Marks'!DD39="C"),'Marks Entry'!$AY$2,"")))))),"")</f>
        <v/>
      </c>
      <c r="T36" s="435" t="str">
        <f>IF(COUNTIF(K36:R36,"F")&gt;0,"",CONCATENATE('Statement of Marks'!GU39,'Statement of Marks'!GW39))</f>
        <v xml:space="preserve">           </v>
      </c>
      <c r="BG36" s="17">
        <f>IFERROR(VLOOKUP(B36,'Statement of Marks'!$B$8:'Statement of Marks'!$HI$207,41,0),"")</f>
        <v>15</v>
      </c>
      <c r="BH36" s="17" t="str">
        <f>IFERROR(VLOOKUP(B36,'Statement of Marks'!$B$8:'Statement of Marks'!$HI$207,66,0),"")</f>
        <v/>
      </c>
      <c r="BI36" s="17">
        <f>IFERROR(VLOOKUP(B36,'Statement of Marks'!$B$8:'Statement of Marks'!$HI$207,91,0),"")</f>
        <v>60</v>
      </c>
      <c r="BJ36" s="17" t="str">
        <f>IFERROR(VLOOKUP(B36,'Statement of Marks'!$B$8:'Statement of Marks'!$HI$207,117,0),"")</f>
        <v/>
      </c>
    </row>
    <row r="37" spans="1:62" ht="24.95" customHeight="1">
      <c r="A37" s="283">
        <f>IF('Statement of Marks'!A40="","",'Statement of Marks'!A40)</f>
        <v>33</v>
      </c>
      <c r="B37" s="283" t="str">
        <f>IF('Statement of Marks'!B40="","",'Statement of Marks'!B40)</f>
        <v/>
      </c>
      <c r="C37" s="283" t="str">
        <f>IF('Statement of Marks'!C40="","",'Statement of Marks'!C40)</f>
        <v/>
      </c>
      <c r="D37" s="430" t="str">
        <f>IF('Statement of Marks'!D40="","",'Statement of Marks'!D40)</f>
        <v/>
      </c>
      <c r="E37" s="431" t="str">
        <f>IF('Statement of Marks'!E40="","",'Statement of Marks'!E40)</f>
        <v/>
      </c>
      <c r="F37" s="431" t="str">
        <f>IF('Statement of Marks'!F40="","",'Statement of Marks'!F40)</f>
        <v/>
      </c>
      <c r="G37" s="431" t="str">
        <f>IF('Statement of Marks'!G40="","",'Statement of Marks'!G40)</f>
        <v/>
      </c>
      <c r="H37" s="432" t="str">
        <f>IF(B37="","",IF('Statement of Marks'!GY40="","",'Statement of Marks'!GY40))</f>
        <v/>
      </c>
      <c r="I37" s="286" t="str">
        <f>IF(B37="","",IF('Statement of Marks'!HB40="","",'Statement of Marks'!HB40))</f>
        <v/>
      </c>
      <c r="J37" s="433" t="str">
        <f>IF(B37="","",IF('Statement of Marks'!HC40="","",'Statement of Marks'!HC40))</f>
        <v/>
      </c>
      <c r="K37" s="295" t="str">
        <f>IF(B37="","",'Statement of Marks'!FJ40)</f>
        <v/>
      </c>
      <c r="L37" s="295" t="str">
        <f>IF(B37="","",'Statement of Marks'!FM40)</f>
        <v/>
      </c>
      <c r="M37" s="295" t="str">
        <f>IF(B37="","",'Statement of Marks'!FP40)</f>
        <v/>
      </c>
      <c r="N37" s="295" t="str">
        <f>IF(B37="","",'Statement of Marks'!FW40)</f>
        <v/>
      </c>
      <c r="O37" s="295" t="str">
        <f>IF(B37="","",'Statement of Marks'!GD40)</f>
        <v/>
      </c>
      <c r="P37" s="295" t="str">
        <f>IF(B37="","",'Statement of Marks'!GK40)</f>
        <v/>
      </c>
      <c r="Q37" s="295" t="str">
        <f>IF(B37="","",'Statement of Marks'!GR40)</f>
        <v/>
      </c>
      <c r="R37" s="295" t="str">
        <f>IF(B37="","",'Statement of Marks'!FF40)</f>
        <v/>
      </c>
      <c r="S37" s="434" t="str">
        <f>IFERROR(IF(B37="","",CONCATENATE(IF(AND('Marks Entry'!U40="A"),'Marks Entry'!$U$2,IF(AND('Marks Entry'!U40="B"),'Marks Entry'!$Y$2,IF(AND('Marks Entry'!U40="C"),'Marks Entry'!$AA$2,""))),", ",IF(AND('Marks Entry'!AC40="A"),'Marks Entry'!$AC$2,IF(AND('Marks Entry'!AC40="B"),'Marks Entry'!$AG$2,IF(AND('Marks Entry'!AC40="C"),'Marks Entry'!$AI$2,""))),", ",IF(AND('Marks Entry'!AK40="A"),'Marks Entry'!$AK$2,IF(AND('Marks Entry'!AK40="B"),'Marks Entry'!$AO$2,IF(AND('Marks Entry'!AK40="C"),'Marks Entry'!$AQ$2,""))),", ",IF(AND('Statement of Marks'!DD40=""),"",IF(AND('Statement of Marks'!DD40="A"),'Marks Entry'!$AS$2,IF(AND('Statement of Marks'!DD40="B"),'Marks Entry'!$AW$2,IF(AND('Statement of Marks'!DD40="C"),'Marks Entry'!$AY$2,"")))))),"")</f>
        <v/>
      </c>
      <c r="T37" s="435" t="str">
        <f>IF(COUNTIF(K37:R37,"F")&gt;0,"",CONCATENATE('Statement of Marks'!GU40,'Statement of Marks'!GW40))</f>
        <v xml:space="preserve">           </v>
      </c>
      <c r="BG37" s="17">
        <f>IFERROR(VLOOKUP(B37,'Statement of Marks'!$B$8:'Statement of Marks'!$HI$207,41,0),"")</f>
        <v>15</v>
      </c>
      <c r="BH37" s="17" t="str">
        <f>IFERROR(VLOOKUP(B37,'Statement of Marks'!$B$8:'Statement of Marks'!$HI$207,66,0),"")</f>
        <v/>
      </c>
      <c r="BI37" s="17">
        <f>IFERROR(VLOOKUP(B37,'Statement of Marks'!$B$8:'Statement of Marks'!$HI$207,91,0),"")</f>
        <v>60</v>
      </c>
      <c r="BJ37" s="17" t="str">
        <f>IFERROR(VLOOKUP(B37,'Statement of Marks'!$B$8:'Statement of Marks'!$HI$207,117,0),"")</f>
        <v/>
      </c>
    </row>
    <row r="38" spans="1:62" ht="24.95" customHeight="1">
      <c r="A38" s="283">
        <f>IF('Statement of Marks'!A41="","",'Statement of Marks'!A41)</f>
        <v>34</v>
      </c>
      <c r="B38" s="283" t="str">
        <f>IF('Statement of Marks'!B41="","",'Statement of Marks'!B41)</f>
        <v/>
      </c>
      <c r="C38" s="283" t="str">
        <f>IF('Statement of Marks'!C41="","",'Statement of Marks'!C41)</f>
        <v/>
      </c>
      <c r="D38" s="430" t="str">
        <f>IF('Statement of Marks'!D41="","",'Statement of Marks'!D41)</f>
        <v/>
      </c>
      <c r="E38" s="431" t="str">
        <f>IF('Statement of Marks'!E41="","",'Statement of Marks'!E41)</f>
        <v/>
      </c>
      <c r="F38" s="431" t="str">
        <f>IF('Statement of Marks'!F41="","",'Statement of Marks'!F41)</f>
        <v/>
      </c>
      <c r="G38" s="431" t="str">
        <f>IF('Statement of Marks'!G41="","",'Statement of Marks'!G41)</f>
        <v/>
      </c>
      <c r="H38" s="432" t="str">
        <f>IF(B38="","",IF('Statement of Marks'!GY41="","",'Statement of Marks'!GY41))</f>
        <v/>
      </c>
      <c r="I38" s="286" t="str">
        <f>IF(B38="","",IF('Statement of Marks'!HB41="","",'Statement of Marks'!HB41))</f>
        <v/>
      </c>
      <c r="J38" s="433" t="str">
        <f>IF(B38="","",IF('Statement of Marks'!HC41="","",'Statement of Marks'!HC41))</f>
        <v/>
      </c>
      <c r="K38" s="295" t="str">
        <f>IF(B38="","",'Statement of Marks'!FJ41)</f>
        <v/>
      </c>
      <c r="L38" s="295" t="str">
        <f>IF(B38="","",'Statement of Marks'!FM41)</f>
        <v/>
      </c>
      <c r="M38" s="295" t="str">
        <f>IF(B38="","",'Statement of Marks'!FP41)</f>
        <v/>
      </c>
      <c r="N38" s="295" t="str">
        <f>IF(B38="","",'Statement of Marks'!FW41)</f>
        <v/>
      </c>
      <c r="O38" s="295" t="str">
        <f>IF(B38="","",'Statement of Marks'!GD41)</f>
        <v/>
      </c>
      <c r="P38" s="295" t="str">
        <f>IF(B38="","",'Statement of Marks'!GK41)</f>
        <v/>
      </c>
      <c r="Q38" s="295" t="str">
        <f>IF(B38="","",'Statement of Marks'!GR41)</f>
        <v/>
      </c>
      <c r="R38" s="295" t="str">
        <f>IF(B38="","",'Statement of Marks'!FF41)</f>
        <v/>
      </c>
      <c r="S38" s="434" t="str">
        <f>IFERROR(IF(B38="","",CONCATENATE(IF(AND('Marks Entry'!U41="A"),'Marks Entry'!$U$2,IF(AND('Marks Entry'!U41="B"),'Marks Entry'!$Y$2,IF(AND('Marks Entry'!U41="C"),'Marks Entry'!$AA$2,""))),", ",IF(AND('Marks Entry'!AC41="A"),'Marks Entry'!$AC$2,IF(AND('Marks Entry'!AC41="B"),'Marks Entry'!$AG$2,IF(AND('Marks Entry'!AC41="C"),'Marks Entry'!$AI$2,""))),", ",IF(AND('Marks Entry'!AK41="A"),'Marks Entry'!$AK$2,IF(AND('Marks Entry'!AK41="B"),'Marks Entry'!$AO$2,IF(AND('Marks Entry'!AK41="C"),'Marks Entry'!$AQ$2,""))),", ",IF(AND('Statement of Marks'!DD41=""),"",IF(AND('Statement of Marks'!DD41="A"),'Marks Entry'!$AS$2,IF(AND('Statement of Marks'!DD41="B"),'Marks Entry'!$AW$2,IF(AND('Statement of Marks'!DD41="C"),'Marks Entry'!$AY$2,"")))))),"")</f>
        <v/>
      </c>
      <c r="T38" s="435" t="str">
        <f>IF(COUNTIF(K38:R38,"F")&gt;0,"",CONCATENATE('Statement of Marks'!GU41,'Statement of Marks'!GW41))</f>
        <v xml:space="preserve">           </v>
      </c>
      <c r="BG38" s="17">
        <f>IFERROR(VLOOKUP(B38,'Statement of Marks'!$B$8:'Statement of Marks'!$HI$207,41,0),"")</f>
        <v>15</v>
      </c>
      <c r="BH38" s="17" t="str">
        <f>IFERROR(VLOOKUP(B38,'Statement of Marks'!$B$8:'Statement of Marks'!$HI$207,66,0),"")</f>
        <v/>
      </c>
      <c r="BI38" s="17">
        <f>IFERROR(VLOOKUP(B38,'Statement of Marks'!$B$8:'Statement of Marks'!$HI$207,91,0),"")</f>
        <v>60</v>
      </c>
      <c r="BJ38" s="17" t="str">
        <f>IFERROR(VLOOKUP(B38,'Statement of Marks'!$B$8:'Statement of Marks'!$HI$207,117,0),"")</f>
        <v/>
      </c>
    </row>
    <row r="39" spans="1:62" ht="24.95" customHeight="1">
      <c r="A39" s="283">
        <f>IF('Statement of Marks'!A42="","",'Statement of Marks'!A42)</f>
        <v>35</v>
      </c>
      <c r="B39" s="283" t="str">
        <f>IF('Statement of Marks'!B42="","",'Statement of Marks'!B42)</f>
        <v/>
      </c>
      <c r="C39" s="283" t="str">
        <f>IF('Statement of Marks'!C42="","",'Statement of Marks'!C42)</f>
        <v/>
      </c>
      <c r="D39" s="430" t="str">
        <f>IF('Statement of Marks'!D42="","",'Statement of Marks'!D42)</f>
        <v/>
      </c>
      <c r="E39" s="431" t="str">
        <f>IF('Statement of Marks'!E42="","",'Statement of Marks'!E42)</f>
        <v/>
      </c>
      <c r="F39" s="431" t="str">
        <f>IF('Statement of Marks'!F42="","",'Statement of Marks'!F42)</f>
        <v/>
      </c>
      <c r="G39" s="431" t="str">
        <f>IF('Statement of Marks'!G42="","",'Statement of Marks'!G42)</f>
        <v/>
      </c>
      <c r="H39" s="432" t="str">
        <f>IF(B39="","",IF('Statement of Marks'!GY42="","",'Statement of Marks'!GY42))</f>
        <v/>
      </c>
      <c r="I39" s="286" t="str">
        <f>IF(B39="","",IF('Statement of Marks'!HB42="","",'Statement of Marks'!HB42))</f>
        <v/>
      </c>
      <c r="J39" s="433" t="str">
        <f>IF(B39="","",IF('Statement of Marks'!HC42="","",'Statement of Marks'!HC42))</f>
        <v/>
      </c>
      <c r="K39" s="295" t="str">
        <f>IF(B39="","",'Statement of Marks'!FJ42)</f>
        <v/>
      </c>
      <c r="L39" s="295" t="str">
        <f>IF(B39="","",'Statement of Marks'!FM42)</f>
        <v/>
      </c>
      <c r="M39" s="295" t="str">
        <f>IF(B39="","",'Statement of Marks'!FP42)</f>
        <v/>
      </c>
      <c r="N39" s="295" t="str">
        <f>IF(B39="","",'Statement of Marks'!FW42)</f>
        <v/>
      </c>
      <c r="O39" s="295" t="str">
        <f>IF(B39="","",'Statement of Marks'!GD42)</f>
        <v/>
      </c>
      <c r="P39" s="295" t="str">
        <f>IF(B39="","",'Statement of Marks'!GK42)</f>
        <v/>
      </c>
      <c r="Q39" s="295" t="str">
        <f>IF(B39="","",'Statement of Marks'!GR42)</f>
        <v/>
      </c>
      <c r="R39" s="295" t="str">
        <f>IF(B39="","",'Statement of Marks'!FF42)</f>
        <v/>
      </c>
      <c r="S39" s="434" t="str">
        <f>IFERROR(IF(B39="","",CONCATENATE(IF(AND('Marks Entry'!U42="A"),'Marks Entry'!$U$2,IF(AND('Marks Entry'!U42="B"),'Marks Entry'!$Y$2,IF(AND('Marks Entry'!U42="C"),'Marks Entry'!$AA$2,""))),", ",IF(AND('Marks Entry'!AC42="A"),'Marks Entry'!$AC$2,IF(AND('Marks Entry'!AC42="B"),'Marks Entry'!$AG$2,IF(AND('Marks Entry'!AC42="C"),'Marks Entry'!$AI$2,""))),", ",IF(AND('Marks Entry'!AK42="A"),'Marks Entry'!$AK$2,IF(AND('Marks Entry'!AK42="B"),'Marks Entry'!$AO$2,IF(AND('Marks Entry'!AK42="C"),'Marks Entry'!$AQ$2,""))),", ",IF(AND('Statement of Marks'!DD42=""),"",IF(AND('Statement of Marks'!DD42="A"),'Marks Entry'!$AS$2,IF(AND('Statement of Marks'!DD42="B"),'Marks Entry'!$AW$2,IF(AND('Statement of Marks'!DD42="C"),'Marks Entry'!$AY$2,"")))))),"")</f>
        <v/>
      </c>
      <c r="T39" s="435" t="str">
        <f>IF(COUNTIF(K39:R39,"F")&gt;0,"",CONCATENATE('Statement of Marks'!GU42,'Statement of Marks'!GW42))</f>
        <v xml:space="preserve">           </v>
      </c>
      <c r="BG39" s="17">
        <f>IFERROR(VLOOKUP(B39,'Statement of Marks'!$B$8:'Statement of Marks'!$HI$207,41,0),"")</f>
        <v>15</v>
      </c>
      <c r="BH39" s="17" t="str">
        <f>IFERROR(VLOOKUP(B39,'Statement of Marks'!$B$8:'Statement of Marks'!$HI$207,66,0),"")</f>
        <v/>
      </c>
      <c r="BI39" s="17">
        <f>IFERROR(VLOOKUP(B39,'Statement of Marks'!$B$8:'Statement of Marks'!$HI$207,91,0),"")</f>
        <v>60</v>
      </c>
      <c r="BJ39" s="17" t="str">
        <f>IFERROR(VLOOKUP(B39,'Statement of Marks'!$B$8:'Statement of Marks'!$HI$207,117,0),"")</f>
        <v/>
      </c>
    </row>
    <row r="40" spans="1:62" ht="24.95" customHeight="1">
      <c r="A40" s="283">
        <f>IF('Statement of Marks'!A43="","",'Statement of Marks'!A43)</f>
        <v>36</v>
      </c>
      <c r="B40" s="283" t="str">
        <f>IF('Statement of Marks'!B43="","",'Statement of Marks'!B43)</f>
        <v/>
      </c>
      <c r="C40" s="283" t="str">
        <f>IF('Statement of Marks'!C43="","",'Statement of Marks'!C43)</f>
        <v/>
      </c>
      <c r="D40" s="430" t="str">
        <f>IF('Statement of Marks'!D43="","",'Statement of Marks'!D43)</f>
        <v/>
      </c>
      <c r="E40" s="431" t="str">
        <f>IF('Statement of Marks'!E43="","",'Statement of Marks'!E43)</f>
        <v/>
      </c>
      <c r="F40" s="431" t="str">
        <f>IF('Statement of Marks'!F43="","",'Statement of Marks'!F43)</f>
        <v/>
      </c>
      <c r="G40" s="431" t="str">
        <f>IF('Statement of Marks'!G43="","",'Statement of Marks'!G43)</f>
        <v/>
      </c>
      <c r="H40" s="432" t="str">
        <f>IF(B40="","",IF('Statement of Marks'!GY43="","",'Statement of Marks'!GY43))</f>
        <v/>
      </c>
      <c r="I40" s="286" t="str">
        <f>IF(B40="","",IF('Statement of Marks'!HB43="","",'Statement of Marks'!HB43))</f>
        <v/>
      </c>
      <c r="J40" s="433" t="str">
        <f>IF(B40="","",IF('Statement of Marks'!HC43="","",'Statement of Marks'!HC43))</f>
        <v/>
      </c>
      <c r="K40" s="295" t="str">
        <f>IF(B40="","",'Statement of Marks'!FJ43)</f>
        <v/>
      </c>
      <c r="L40" s="295" t="str">
        <f>IF(B40="","",'Statement of Marks'!FM43)</f>
        <v/>
      </c>
      <c r="M40" s="295" t="str">
        <f>IF(B40="","",'Statement of Marks'!FP43)</f>
        <v/>
      </c>
      <c r="N40" s="295" t="str">
        <f>IF(B40="","",'Statement of Marks'!FW43)</f>
        <v/>
      </c>
      <c r="O40" s="295" t="str">
        <f>IF(B40="","",'Statement of Marks'!GD43)</f>
        <v/>
      </c>
      <c r="P40" s="295" t="str">
        <f>IF(B40="","",'Statement of Marks'!GK43)</f>
        <v/>
      </c>
      <c r="Q40" s="295" t="str">
        <f>IF(B40="","",'Statement of Marks'!GR43)</f>
        <v/>
      </c>
      <c r="R40" s="295" t="str">
        <f>IF(B40="","",'Statement of Marks'!FF43)</f>
        <v/>
      </c>
      <c r="S40" s="434" t="str">
        <f>IFERROR(IF(B40="","",CONCATENATE(IF(AND('Marks Entry'!U43="A"),'Marks Entry'!$U$2,IF(AND('Marks Entry'!U43="B"),'Marks Entry'!$Y$2,IF(AND('Marks Entry'!U43="C"),'Marks Entry'!$AA$2,""))),", ",IF(AND('Marks Entry'!AC43="A"),'Marks Entry'!$AC$2,IF(AND('Marks Entry'!AC43="B"),'Marks Entry'!$AG$2,IF(AND('Marks Entry'!AC43="C"),'Marks Entry'!$AI$2,""))),", ",IF(AND('Marks Entry'!AK43="A"),'Marks Entry'!$AK$2,IF(AND('Marks Entry'!AK43="B"),'Marks Entry'!$AO$2,IF(AND('Marks Entry'!AK43="C"),'Marks Entry'!$AQ$2,""))),", ",IF(AND('Statement of Marks'!DD43=""),"",IF(AND('Statement of Marks'!DD43="A"),'Marks Entry'!$AS$2,IF(AND('Statement of Marks'!DD43="B"),'Marks Entry'!$AW$2,IF(AND('Statement of Marks'!DD43="C"),'Marks Entry'!$AY$2,"")))))),"")</f>
        <v/>
      </c>
      <c r="T40" s="435" t="str">
        <f>IF(COUNTIF(K40:R40,"F")&gt;0,"",CONCATENATE('Statement of Marks'!GU43,'Statement of Marks'!GW43))</f>
        <v xml:space="preserve">           </v>
      </c>
      <c r="BG40" s="17">
        <f>IFERROR(VLOOKUP(B40,'Statement of Marks'!$B$8:'Statement of Marks'!$HI$207,41,0),"")</f>
        <v>15</v>
      </c>
      <c r="BH40" s="17" t="str">
        <f>IFERROR(VLOOKUP(B40,'Statement of Marks'!$B$8:'Statement of Marks'!$HI$207,66,0),"")</f>
        <v/>
      </c>
      <c r="BI40" s="17">
        <f>IFERROR(VLOOKUP(B40,'Statement of Marks'!$B$8:'Statement of Marks'!$HI$207,91,0),"")</f>
        <v>60</v>
      </c>
      <c r="BJ40" s="17" t="str">
        <f>IFERROR(VLOOKUP(B40,'Statement of Marks'!$B$8:'Statement of Marks'!$HI$207,117,0),"")</f>
        <v/>
      </c>
    </row>
    <row r="41" spans="1:62" ht="24.95" customHeight="1">
      <c r="A41" s="283">
        <f>IF('Statement of Marks'!A44="","",'Statement of Marks'!A44)</f>
        <v>37</v>
      </c>
      <c r="B41" s="283" t="str">
        <f>IF('Statement of Marks'!B44="","",'Statement of Marks'!B44)</f>
        <v/>
      </c>
      <c r="C41" s="283" t="str">
        <f>IF('Statement of Marks'!C44="","",'Statement of Marks'!C44)</f>
        <v/>
      </c>
      <c r="D41" s="430" t="str">
        <f>IF('Statement of Marks'!D44="","",'Statement of Marks'!D44)</f>
        <v/>
      </c>
      <c r="E41" s="431" t="str">
        <f>IF('Statement of Marks'!E44="","",'Statement of Marks'!E44)</f>
        <v/>
      </c>
      <c r="F41" s="431" t="str">
        <f>IF('Statement of Marks'!F44="","",'Statement of Marks'!F44)</f>
        <v/>
      </c>
      <c r="G41" s="431" t="str">
        <f>IF('Statement of Marks'!G44="","",'Statement of Marks'!G44)</f>
        <v/>
      </c>
      <c r="H41" s="432" t="str">
        <f>IF(B41="","",IF('Statement of Marks'!GY44="","",'Statement of Marks'!GY44))</f>
        <v/>
      </c>
      <c r="I41" s="286" t="str">
        <f>IF(B41="","",IF('Statement of Marks'!HB44="","",'Statement of Marks'!HB44))</f>
        <v/>
      </c>
      <c r="J41" s="433" t="str">
        <f>IF(B41="","",IF('Statement of Marks'!HC44="","",'Statement of Marks'!HC44))</f>
        <v/>
      </c>
      <c r="K41" s="295" t="str">
        <f>IF(B41="","",'Statement of Marks'!FJ44)</f>
        <v/>
      </c>
      <c r="L41" s="295" t="str">
        <f>IF(B41="","",'Statement of Marks'!FM44)</f>
        <v/>
      </c>
      <c r="M41" s="295" t="str">
        <f>IF(B41="","",'Statement of Marks'!FP44)</f>
        <v/>
      </c>
      <c r="N41" s="295" t="str">
        <f>IF(B41="","",'Statement of Marks'!FW44)</f>
        <v/>
      </c>
      <c r="O41" s="295" t="str">
        <f>IF(B41="","",'Statement of Marks'!GD44)</f>
        <v/>
      </c>
      <c r="P41" s="295" t="str">
        <f>IF(B41="","",'Statement of Marks'!GK44)</f>
        <v/>
      </c>
      <c r="Q41" s="295" t="str">
        <f>IF(B41="","",'Statement of Marks'!GR44)</f>
        <v/>
      </c>
      <c r="R41" s="295" t="str">
        <f>IF(B41="","",'Statement of Marks'!FF44)</f>
        <v/>
      </c>
      <c r="S41" s="434" t="str">
        <f>IFERROR(IF(B41="","",CONCATENATE(IF(AND('Marks Entry'!U44="A"),'Marks Entry'!$U$2,IF(AND('Marks Entry'!U44="B"),'Marks Entry'!$Y$2,IF(AND('Marks Entry'!U44="C"),'Marks Entry'!$AA$2,""))),", ",IF(AND('Marks Entry'!AC44="A"),'Marks Entry'!$AC$2,IF(AND('Marks Entry'!AC44="B"),'Marks Entry'!$AG$2,IF(AND('Marks Entry'!AC44="C"),'Marks Entry'!$AI$2,""))),", ",IF(AND('Marks Entry'!AK44="A"),'Marks Entry'!$AK$2,IF(AND('Marks Entry'!AK44="B"),'Marks Entry'!$AO$2,IF(AND('Marks Entry'!AK44="C"),'Marks Entry'!$AQ$2,""))),", ",IF(AND('Statement of Marks'!DD44=""),"",IF(AND('Statement of Marks'!DD44="A"),'Marks Entry'!$AS$2,IF(AND('Statement of Marks'!DD44="B"),'Marks Entry'!$AW$2,IF(AND('Statement of Marks'!DD44="C"),'Marks Entry'!$AY$2,"")))))),"")</f>
        <v/>
      </c>
      <c r="T41" s="435" t="str">
        <f>IF(COUNTIF(K41:R41,"F")&gt;0,"",CONCATENATE('Statement of Marks'!GU44,'Statement of Marks'!GW44))</f>
        <v xml:space="preserve">           </v>
      </c>
      <c r="BG41" s="17">
        <f>IFERROR(VLOOKUP(B41,'Statement of Marks'!$B$8:'Statement of Marks'!$HI$207,41,0),"")</f>
        <v>15</v>
      </c>
      <c r="BH41" s="17" t="str">
        <f>IFERROR(VLOOKUP(B41,'Statement of Marks'!$B$8:'Statement of Marks'!$HI$207,66,0),"")</f>
        <v/>
      </c>
      <c r="BI41" s="17">
        <f>IFERROR(VLOOKUP(B41,'Statement of Marks'!$B$8:'Statement of Marks'!$HI$207,91,0),"")</f>
        <v>60</v>
      </c>
      <c r="BJ41" s="17" t="str">
        <f>IFERROR(VLOOKUP(B41,'Statement of Marks'!$B$8:'Statement of Marks'!$HI$207,117,0),"")</f>
        <v/>
      </c>
    </row>
    <row r="42" spans="1:62" ht="24.95" customHeight="1">
      <c r="A42" s="283">
        <f>IF('Statement of Marks'!A45="","",'Statement of Marks'!A45)</f>
        <v>38</v>
      </c>
      <c r="B42" s="283" t="str">
        <f>IF('Statement of Marks'!B45="","",'Statement of Marks'!B45)</f>
        <v/>
      </c>
      <c r="C42" s="283" t="str">
        <f>IF('Statement of Marks'!C45="","",'Statement of Marks'!C45)</f>
        <v/>
      </c>
      <c r="D42" s="430" t="str">
        <f>IF('Statement of Marks'!D45="","",'Statement of Marks'!D45)</f>
        <v/>
      </c>
      <c r="E42" s="431" t="str">
        <f>IF('Statement of Marks'!E45="","",'Statement of Marks'!E45)</f>
        <v/>
      </c>
      <c r="F42" s="431" t="str">
        <f>IF('Statement of Marks'!F45="","",'Statement of Marks'!F45)</f>
        <v/>
      </c>
      <c r="G42" s="431" t="str">
        <f>IF('Statement of Marks'!G45="","",'Statement of Marks'!G45)</f>
        <v/>
      </c>
      <c r="H42" s="432" t="str">
        <f>IF(B42="","",IF('Statement of Marks'!GY45="","",'Statement of Marks'!GY45))</f>
        <v/>
      </c>
      <c r="I42" s="286" t="str">
        <f>IF(B42="","",IF('Statement of Marks'!HB45="","",'Statement of Marks'!HB45))</f>
        <v/>
      </c>
      <c r="J42" s="433" t="str">
        <f>IF(B42="","",IF('Statement of Marks'!HC45="","",'Statement of Marks'!HC45))</f>
        <v/>
      </c>
      <c r="K42" s="295" t="str">
        <f>IF(B42="","",'Statement of Marks'!FJ45)</f>
        <v/>
      </c>
      <c r="L42" s="295" t="str">
        <f>IF(B42="","",'Statement of Marks'!FM45)</f>
        <v/>
      </c>
      <c r="M42" s="295" t="str">
        <f>IF(B42="","",'Statement of Marks'!FP45)</f>
        <v/>
      </c>
      <c r="N42" s="295" t="str">
        <f>IF(B42="","",'Statement of Marks'!FW45)</f>
        <v/>
      </c>
      <c r="O42" s="295" t="str">
        <f>IF(B42="","",'Statement of Marks'!GD45)</f>
        <v/>
      </c>
      <c r="P42" s="295" t="str">
        <f>IF(B42="","",'Statement of Marks'!GK45)</f>
        <v/>
      </c>
      <c r="Q42" s="295" t="str">
        <f>IF(B42="","",'Statement of Marks'!GR45)</f>
        <v/>
      </c>
      <c r="R42" s="295" t="str">
        <f>IF(B42="","",'Statement of Marks'!FF45)</f>
        <v/>
      </c>
      <c r="S42" s="434" t="str">
        <f>IFERROR(IF(B42="","",CONCATENATE(IF(AND('Marks Entry'!U45="A"),'Marks Entry'!$U$2,IF(AND('Marks Entry'!U45="B"),'Marks Entry'!$Y$2,IF(AND('Marks Entry'!U45="C"),'Marks Entry'!$AA$2,""))),", ",IF(AND('Marks Entry'!AC45="A"),'Marks Entry'!$AC$2,IF(AND('Marks Entry'!AC45="B"),'Marks Entry'!$AG$2,IF(AND('Marks Entry'!AC45="C"),'Marks Entry'!$AI$2,""))),", ",IF(AND('Marks Entry'!AK45="A"),'Marks Entry'!$AK$2,IF(AND('Marks Entry'!AK45="B"),'Marks Entry'!$AO$2,IF(AND('Marks Entry'!AK45="C"),'Marks Entry'!$AQ$2,""))),", ",IF(AND('Statement of Marks'!DD45=""),"",IF(AND('Statement of Marks'!DD45="A"),'Marks Entry'!$AS$2,IF(AND('Statement of Marks'!DD45="B"),'Marks Entry'!$AW$2,IF(AND('Statement of Marks'!DD45="C"),'Marks Entry'!$AY$2,"")))))),"")</f>
        <v/>
      </c>
      <c r="T42" s="435" t="str">
        <f>IF(COUNTIF(K42:R42,"F")&gt;0,"",CONCATENATE('Statement of Marks'!GU45,'Statement of Marks'!GW45))</f>
        <v xml:space="preserve">           </v>
      </c>
      <c r="BG42" s="17">
        <f>IFERROR(VLOOKUP(B42,'Statement of Marks'!$B$8:'Statement of Marks'!$HI$207,41,0),"")</f>
        <v>15</v>
      </c>
      <c r="BH42" s="17" t="str">
        <f>IFERROR(VLOOKUP(B42,'Statement of Marks'!$B$8:'Statement of Marks'!$HI$207,66,0),"")</f>
        <v/>
      </c>
      <c r="BI42" s="17">
        <f>IFERROR(VLOOKUP(B42,'Statement of Marks'!$B$8:'Statement of Marks'!$HI$207,91,0),"")</f>
        <v>60</v>
      </c>
      <c r="BJ42" s="17" t="str">
        <f>IFERROR(VLOOKUP(B42,'Statement of Marks'!$B$8:'Statement of Marks'!$HI$207,117,0),"")</f>
        <v/>
      </c>
    </row>
    <row r="43" spans="1:62" ht="24.95" customHeight="1">
      <c r="A43" s="283">
        <f>IF('Statement of Marks'!A46="","",'Statement of Marks'!A46)</f>
        <v>39</v>
      </c>
      <c r="B43" s="283" t="str">
        <f>IF('Statement of Marks'!B46="","",'Statement of Marks'!B46)</f>
        <v/>
      </c>
      <c r="C43" s="283" t="str">
        <f>IF('Statement of Marks'!C46="","",'Statement of Marks'!C46)</f>
        <v/>
      </c>
      <c r="D43" s="430" t="str">
        <f>IF('Statement of Marks'!D46="","",'Statement of Marks'!D46)</f>
        <v/>
      </c>
      <c r="E43" s="431" t="str">
        <f>IF('Statement of Marks'!E46="","",'Statement of Marks'!E46)</f>
        <v/>
      </c>
      <c r="F43" s="431" t="str">
        <f>IF('Statement of Marks'!F46="","",'Statement of Marks'!F46)</f>
        <v/>
      </c>
      <c r="G43" s="431" t="str">
        <f>IF('Statement of Marks'!G46="","",'Statement of Marks'!G46)</f>
        <v/>
      </c>
      <c r="H43" s="432" t="str">
        <f>IF(B43="","",IF('Statement of Marks'!GY46="","",'Statement of Marks'!GY46))</f>
        <v/>
      </c>
      <c r="I43" s="286" t="str">
        <f>IF(B43="","",IF('Statement of Marks'!HB46="","",'Statement of Marks'!HB46))</f>
        <v/>
      </c>
      <c r="J43" s="433" t="str">
        <f>IF(B43="","",IF('Statement of Marks'!HC46="","",'Statement of Marks'!HC46))</f>
        <v/>
      </c>
      <c r="K43" s="295" t="str">
        <f>IF(B43="","",'Statement of Marks'!FJ46)</f>
        <v/>
      </c>
      <c r="L43" s="295" t="str">
        <f>IF(B43="","",'Statement of Marks'!FM46)</f>
        <v/>
      </c>
      <c r="M43" s="295" t="str">
        <f>IF(B43="","",'Statement of Marks'!FP46)</f>
        <v/>
      </c>
      <c r="N43" s="295" t="str">
        <f>IF(B43="","",'Statement of Marks'!FW46)</f>
        <v/>
      </c>
      <c r="O43" s="295" t="str">
        <f>IF(B43="","",'Statement of Marks'!GD46)</f>
        <v/>
      </c>
      <c r="P43" s="295" t="str">
        <f>IF(B43="","",'Statement of Marks'!GK46)</f>
        <v/>
      </c>
      <c r="Q43" s="295" t="str">
        <f>IF(B43="","",'Statement of Marks'!GR46)</f>
        <v/>
      </c>
      <c r="R43" s="295" t="str">
        <f>IF(B43="","",'Statement of Marks'!FF46)</f>
        <v/>
      </c>
      <c r="S43" s="434" t="str">
        <f>IFERROR(IF(B43="","",CONCATENATE(IF(AND('Marks Entry'!U46="A"),'Marks Entry'!$U$2,IF(AND('Marks Entry'!U46="B"),'Marks Entry'!$Y$2,IF(AND('Marks Entry'!U46="C"),'Marks Entry'!$AA$2,""))),", ",IF(AND('Marks Entry'!AC46="A"),'Marks Entry'!$AC$2,IF(AND('Marks Entry'!AC46="B"),'Marks Entry'!$AG$2,IF(AND('Marks Entry'!AC46="C"),'Marks Entry'!$AI$2,""))),", ",IF(AND('Marks Entry'!AK46="A"),'Marks Entry'!$AK$2,IF(AND('Marks Entry'!AK46="B"),'Marks Entry'!$AO$2,IF(AND('Marks Entry'!AK46="C"),'Marks Entry'!$AQ$2,""))),", ",IF(AND('Statement of Marks'!DD46=""),"",IF(AND('Statement of Marks'!DD46="A"),'Marks Entry'!$AS$2,IF(AND('Statement of Marks'!DD46="B"),'Marks Entry'!$AW$2,IF(AND('Statement of Marks'!DD46="C"),'Marks Entry'!$AY$2,"")))))),"")</f>
        <v/>
      </c>
      <c r="T43" s="435" t="str">
        <f>IF(COUNTIF(K43:R43,"F")&gt;0,"",CONCATENATE('Statement of Marks'!GU46,'Statement of Marks'!GW46))</f>
        <v xml:space="preserve">           </v>
      </c>
      <c r="BG43" s="17">
        <f>IFERROR(VLOOKUP(B43,'Statement of Marks'!$B$8:'Statement of Marks'!$HI$207,41,0),"")</f>
        <v>15</v>
      </c>
      <c r="BH43" s="17" t="str">
        <f>IFERROR(VLOOKUP(B43,'Statement of Marks'!$B$8:'Statement of Marks'!$HI$207,66,0),"")</f>
        <v/>
      </c>
      <c r="BI43" s="17">
        <f>IFERROR(VLOOKUP(B43,'Statement of Marks'!$B$8:'Statement of Marks'!$HI$207,91,0),"")</f>
        <v>60</v>
      </c>
      <c r="BJ43" s="17" t="str">
        <f>IFERROR(VLOOKUP(B43,'Statement of Marks'!$B$8:'Statement of Marks'!$HI$207,117,0),"")</f>
        <v/>
      </c>
    </row>
    <row r="44" spans="1:62" ht="24.95" customHeight="1">
      <c r="A44" s="283">
        <f>IF('Statement of Marks'!A47="","",'Statement of Marks'!A47)</f>
        <v>40</v>
      </c>
      <c r="B44" s="283" t="str">
        <f>IF('Statement of Marks'!B47="","",'Statement of Marks'!B47)</f>
        <v/>
      </c>
      <c r="C44" s="283" t="str">
        <f>IF('Statement of Marks'!C47="","",'Statement of Marks'!C47)</f>
        <v/>
      </c>
      <c r="D44" s="430" t="str">
        <f>IF('Statement of Marks'!D47="","",'Statement of Marks'!D47)</f>
        <v/>
      </c>
      <c r="E44" s="431" t="str">
        <f>IF('Statement of Marks'!E47="","",'Statement of Marks'!E47)</f>
        <v/>
      </c>
      <c r="F44" s="431" t="str">
        <f>IF('Statement of Marks'!F47="","",'Statement of Marks'!F47)</f>
        <v/>
      </c>
      <c r="G44" s="431" t="str">
        <f>IF('Statement of Marks'!G47="","",'Statement of Marks'!G47)</f>
        <v/>
      </c>
      <c r="H44" s="432" t="str">
        <f>IF(B44="","",IF('Statement of Marks'!GY47="","",'Statement of Marks'!GY47))</f>
        <v/>
      </c>
      <c r="I44" s="286" t="str">
        <f>IF(B44="","",IF('Statement of Marks'!HB47="","",'Statement of Marks'!HB47))</f>
        <v/>
      </c>
      <c r="J44" s="433" t="str">
        <f>IF(B44="","",IF('Statement of Marks'!HC47="","",'Statement of Marks'!HC47))</f>
        <v/>
      </c>
      <c r="K44" s="295" t="str">
        <f>IF(B44="","",'Statement of Marks'!FJ47)</f>
        <v/>
      </c>
      <c r="L44" s="295" t="str">
        <f>IF(B44="","",'Statement of Marks'!FM47)</f>
        <v/>
      </c>
      <c r="M44" s="295" t="str">
        <f>IF(B44="","",'Statement of Marks'!FP47)</f>
        <v/>
      </c>
      <c r="N44" s="295" t="str">
        <f>IF(B44="","",'Statement of Marks'!FW47)</f>
        <v/>
      </c>
      <c r="O44" s="295" t="str">
        <f>IF(B44="","",'Statement of Marks'!GD47)</f>
        <v/>
      </c>
      <c r="P44" s="295" t="str">
        <f>IF(B44="","",'Statement of Marks'!GK47)</f>
        <v/>
      </c>
      <c r="Q44" s="295" t="str">
        <f>IF(B44="","",'Statement of Marks'!GR47)</f>
        <v/>
      </c>
      <c r="R44" s="295" t="str">
        <f>IF(B44="","",'Statement of Marks'!FF47)</f>
        <v/>
      </c>
      <c r="S44" s="434" t="str">
        <f>IFERROR(IF(B44="","",CONCATENATE(IF(AND('Marks Entry'!U47="A"),'Marks Entry'!$U$2,IF(AND('Marks Entry'!U47="B"),'Marks Entry'!$Y$2,IF(AND('Marks Entry'!U47="C"),'Marks Entry'!$AA$2,""))),", ",IF(AND('Marks Entry'!AC47="A"),'Marks Entry'!$AC$2,IF(AND('Marks Entry'!AC47="B"),'Marks Entry'!$AG$2,IF(AND('Marks Entry'!AC47="C"),'Marks Entry'!$AI$2,""))),", ",IF(AND('Marks Entry'!AK47="A"),'Marks Entry'!$AK$2,IF(AND('Marks Entry'!AK47="B"),'Marks Entry'!$AO$2,IF(AND('Marks Entry'!AK47="C"),'Marks Entry'!$AQ$2,""))),", ",IF(AND('Statement of Marks'!DD47=""),"",IF(AND('Statement of Marks'!DD47="A"),'Marks Entry'!$AS$2,IF(AND('Statement of Marks'!DD47="B"),'Marks Entry'!$AW$2,IF(AND('Statement of Marks'!DD47="C"),'Marks Entry'!$AY$2,"")))))),"")</f>
        <v/>
      </c>
      <c r="T44" s="435" t="str">
        <f>IF(COUNTIF(K44:R44,"F")&gt;0,"",CONCATENATE('Statement of Marks'!GU47,'Statement of Marks'!GW47))</f>
        <v xml:space="preserve">           </v>
      </c>
      <c r="BG44" s="17">
        <f>IFERROR(VLOOKUP(B44,'Statement of Marks'!$B$8:'Statement of Marks'!$HI$207,41,0),"")</f>
        <v>15</v>
      </c>
      <c r="BH44" s="17" t="str">
        <f>IFERROR(VLOOKUP(B44,'Statement of Marks'!$B$8:'Statement of Marks'!$HI$207,66,0),"")</f>
        <v/>
      </c>
      <c r="BI44" s="17">
        <f>IFERROR(VLOOKUP(B44,'Statement of Marks'!$B$8:'Statement of Marks'!$HI$207,91,0),"")</f>
        <v>60</v>
      </c>
      <c r="BJ44" s="17" t="str">
        <f>IFERROR(VLOOKUP(B44,'Statement of Marks'!$B$8:'Statement of Marks'!$HI$207,117,0),"")</f>
        <v/>
      </c>
    </row>
    <row r="45" spans="1:62" ht="24.95" customHeight="1">
      <c r="A45" s="283">
        <f>IF('Statement of Marks'!A48="","",'Statement of Marks'!A48)</f>
        <v>41</v>
      </c>
      <c r="B45" s="283" t="str">
        <f>IF('Statement of Marks'!B48="","",'Statement of Marks'!B48)</f>
        <v/>
      </c>
      <c r="C45" s="283" t="str">
        <f>IF('Statement of Marks'!C48="","",'Statement of Marks'!C48)</f>
        <v/>
      </c>
      <c r="D45" s="430" t="str">
        <f>IF('Statement of Marks'!D48="","",'Statement of Marks'!D48)</f>
        <v/>
      </c>
      <c r="E45" s="431" t="str">
        <f>IF('Statement of Marks'!E48="","",'Statement of Marks'!E48)</f>
        <v/>
      </c>
      <c r="F45" s="431" t="str">
        <f>IF('Statement of Marks'!F48="","",'Statement of Marks'!F48)</f>
        <v/>
      </c>
      <c r="G45" s="431" t="str">
        <f>IF('Statement of Marks'!G48="","",'Statement of Marks'!G48)</f>
        <v/>
      </c>
      <c r="H45" s="432" t="str">
        <f>IF(B45="","",IF('Statement of Marks'!GY48="","",'Statement of Marks'!GY48))</f>
        <v/>
      </c>
      <c r="I45" s="286" t="str">
        <f>IF(B45="","",IF('Statement of Marks'!HB48="","",'Statement of Marks'!HB48))</f>
        <v/>
      </c>
      <c r="J45" s="433" t="str">
        <f>IF(B45="","",IF('Statement of Marks'!HC48="","",'Statement of Marks'!HC48))</f>
        <v/>
      </c>
      <c r="K45" s="295" t="str">
        <f>IF(B45="","",'Statement of Marks'!FJ48)</f>
        <v/>
      </c>
      <c r="L45" s="295" t="str">
        <f>IF(B45="","",'Statement of Marks'!FM48)</f>
        <v/>
      </c>
      <c r="M45" s="295" t="str">
        <f>IF(B45="","",'Statement of Marks'!FP48)</f>
        <v/>
      </c>
      <c r="N45" s="295" t="str">
        <f>IF(B45="","",'Statement of Marks'!FW48)</f>
        <v/>
      </c>
      <c r="O45" s="295" t="str">
        <f>IF(B45="","",'Statement of Marks'!GD48)</f>
        <v/>
      </c>
      <c r="P45" s="295" t="str">
        <f>IF(B45="","",'Statement of Marks'!GK48)</f>
        <v/>
      </c>
      <c r="Q45" s="295" t="str">
        <f>IF(B45="","",'Statement of Marks'!GR48)</f>
        <v/>
      </c>
      <c r="R45" s="295" t="str">
        <f>IF(B45="","",'Statement of Marks'!FF48)</f>
        <v/>
      </c>
      <c r="S45" s="434" t="str">
        <f>IFERROR(IF(B45="","",CONCATENATE(IF(AND('Marks Entry'!U48="A"),'Marks Entry'!$U$2,IF(AND('Marks Entry'!U48="B"),'Marks Entry'!$Y$2,IF(AND('Marks Entry'!U48="C"),'Marks Entry'!$AA$2,""))),", ",IF(AND('Marks Entry'!AC48="A"),'Marks Entry'!$AC$2,IF(AND('Marks Entry'!AC48="B"),'Marks Entry'!$AG$2,IF(AND('Marks Entry'!AC48="C"),'Marks Entry'!$AI$2,""))),", ",IF(AND('Marks Entry'!AK48="A"),'Marks Entry'!$AK$2,IF(AND('Marks Entry'!AK48="B"),'Marks Entry'!$AO$2,IF(AND('Marks Entry'!AK48="C"),'Marks Entry'!$AQ$2,""))),", ",IF(AND('Statement of Marks'!DD48=""),"",IF(AND('Statement of Marks'!DD48="A"),'Marks Entry'!$AS$2,IF(AND('Statement of Marks'!DD48="B"),'Marks Entry'!$AW$2,IF(AND('Statement of Marks'!DD48="C"),'Marks Entry'!$AY$2,"")))))),"")</f>
        <v/>
      </c>
      <c r="T45" s="435" t="str">
        <f>IF(COUNTIF(K45:R45,"F")&gt;0,"",CONCATENATE('Statement of Marks'!GU48,'Statement of Marks'!GW48))</f>
        <v xml:space="preserve">           </v>
      </c>
      <c r="BG45" s="17">
        <f>IFERROR(VLOOKUP(B45,'Statement of Marks'!$B$8:'Statement of Marks'!$HI$207,41,0),"")</f>
        <v>15</v>
      </c>
      <c r="BH45" s="17" t="str">
        <f>IFERROR(VLOOKUP(B45,'Statement of Marks'!$B$8:'Statement of Marks'!$HI$207,66,0),"")</f>
        <v/>
      </c>
      <c r="BI45" s="17">
        <f>IFERROR(VLOOKUP(B45,'Statement of Marks'!$B$8:'Statement of Marks'!$HI$207,91,0),"")</f>
        <v>60</v>
      </c>
      <c r="BJ45" s="17" t="str">
        <f>IFERROR(VLOOKUP(B45,'Statement of Marks'!$B$8:'Statement of Marks'!$HI$207,117,0),"")</f>
        <v/>
      </c>
    </row>
    <row r="46" spans="1:62" ht="24.95" customHeight="1">
      <c r="A46" s="283">
        <f>IF('Statement of Marks'!A49="","",'Statement of Marks'!A49)</f>
        <v>42</v>
      </c>
      <c r="B46" s="283" t="str">
        <f>IF('Statement of Marks'!B49="","",'Statement of Marks'!B49)</f>
        <v/>
      </c>
      <c r="C46" s="283" t="str">
        <f>IF('Statement of Marks'!C49="","",'Statement of Marks'!C49)</f>
        <v/>
      </c>
      <c r="D46" s="430" t="str">
        <f>IF('Statement of Marks'!D49="","",'Statement of Marks'!D49)</f>
        <v/>
      </c>
      <c r="E46" s="431" t="str">
        <f>IF('Statement of Marks'!E49="","",'Statement of Marks'!E49)</f>
        <v/>
      </c>
      <c r="F46" s="431" t="str">
        <f>IF('Statement of Marks'!F49="","",'Statement of Marks'!F49)</f>
        <v/>
      </c>
      <c r="G46" s="431" t="str">
        <f>IF('Statement of Marks'!G49="","",'Statement of Marks'!G49)</f>
        <v/>
      </c>
      <c r="H46" s="432" t="str">
        <f>IF(B46="","",IF('Statement of Marks'!GY49="","",'Statement of Marks'!GY49))</f>
        <v/>
      </c>
      <c r="I46" s="286" t="str">
        <f>IF(B46="","",IF('Statement of Marks'!HB49="","",'Statement of Marks'!HB49))</f>
        <v/>
      </c>
      <c r="J46" s="433" t="str">
        <f>IF(B46="","",IF('Statement of Marks'!HC49="","",'Statement of Marks'!HC49))</f>
        <v/>
      </c>
      <c r="K46" s="295" t="str">
        <f>IF(B46="","",'Statement of Marks'!FJ49)</f>
        <v/>
      </c>
      <c r="L46" s="295" t="str">
        <f>IF(B46="","",'Statement of Marks'!FM49)</f>
        <v/>
      </c>
      <c r="M46" s="295" t="str">
        <f>IF(B46="","",'Statement of Marks'!FP49)</f>
        <v/>
      </c>
      <c r="N46" s="295" t="str">
        <f>IF(B46="","",'Statement of Marks'!FW49)</f>
        <v/>
      </c>
      <c r="O46" s="295" t="str">
        <f>IF(B46="","",'Statement of Marks'!GD49)</f>
        <v/>
      </c>
      <c r="P46" s="295" t="str">
        <f>IF(B46="","",'Statement of Marks'!GK49)</f>
        <v/>
      </c>
      <c r="Q46" s="295" t="str">
        <f>IF(B46="","",'Statement of Marks'!GR49)</f>
        <v/>
      </c>
      <c r="R46" s="295" t="str">
        <f>IF(B46="","",'Statement of Marks'!FF49)</f>
        <v/>
      </c>
      <c r="S46" s="434" t="str">
        <f>IFERROR(IF(B46="","",CONCATENATE(IF(AND('Marks Entry'!U49="A"),'Marks Entry'!$U$2,IF(AND('Marks Entry'!U49="B"),'Marks Entry'!$Y$2,IF(AND('Marks Entry'!U49="C"),'Marks Entry'!$AA$2,""))),", ",IF(AND('Marks Entry'!AC49="A"),'Marks Entry'!$AC$2,IF(AND('Marks Entry'!AC49="B"),'Marks Entry'!$AG$2,IF(AND('Marks Entry'!AC49="C"),'Marks Entry'!$AI$2,""))),", ",IF(AND('Marks Entry'!AK49="A"),'Marks Entry'!$AK$2,IF(AND('Marks Entry'!AK49="B"),'Marks Entry'!$AO$2,IF(AND('Marks Entry'!AK49="C"),'Marks Entry'!$AQ$2,""))),", ",IF(AND('Statement of Marks'!DD49=""),"",IF(AND('Statement of Marks'!DD49="A"),'Marks Entry'!$AS$2,IF(AND('Statement of Marks'!DD49="B"),'Marks Entry'!$AW$2,IF(AND('Statement of Marks'!DD49="C"),'Marks Entry'!$AY$2,"")))))),"")</f>
        <v/>
      </c>
      <c r="T46" s="435" t="str">
        <f>IF(COUNTIF(K46:R46,"F")&gt;0,"",CONCATENATE('Statement of Marks'!GU49,'Statement of Marks'!GW49))</f>
        <v xml:space="preserve">           </v>
      </c>
      <c r="BG46" s="17">
        <f>IFERROR(VLOOKUP(B46,'Statement of Marks'!$B$8:'Statement of Marks'!$HI$207,41,0),"")</f>
        <v>15</v>
      </c>
      <c r="BH46" s="17" t="str">
        <f>IFERROR(VLOOKUP(B46,'Statement of Marks'!$B$8:'Statement of Marks'!$HI$207,66,0),"")</f>
        <v/>
      </c>
      <c r="BI46" s="17">
        <f>IFERROR(VLOOKUP(B46,'Statement of Marks'!$B$8:'Statement of Marks'!$HI$207,91,0),"")</f>
        <v>60</v>
      </c>
      <c r="BJ46" s="17" t="str">
        <f>IFERROR(VLOOKUP(B46,'Statement of Marks'!$B$8:'Statement of Marks'!$HI$207,117,0),"")</f>
        <v/>
      </c>
    </row>
    <row r="47" spans="1:62" ht="24.95" customHeight="1">
      <c r="A47" s="283">
        <f>IF('Statement of Marks'!A50="","",'Statement of Marks'!A50)</f>
        <v>43</v>
      </c>
      <c r="B47" s="283" t="str">
        <f>IF('Statement of Marks'!B50="","",'Statement of Marks'!B50)</f>
        <v/>
      </c>
      <c r="C47" s="283" t="str">
        <f>IF('Statement of Marks'!C50="","",'Statement of Marks'!C50)</f>
        <v/>
      </c>
      <c r="D47" s="430" t="str">
        <f>IF('Statement of Marks'!D50="","",'Statement of Marks'!D50)</f>
        <v/>
      </c>
      <c r="E47" s="431" t="str">
        <f>IF('Statement of Marks'!E50="","",'Statement of Marks'!E50)</f>
        <v/>
      </c>
      <c r="F47" s="431" t="str">
        <f>IF('Statement of Marks'!F50="","",'Statement of Marks'!F50)</f>
        <v/>
      </c>
      <c r="G47" s="431" t="str">
        <f>IF('Statement of Marks'!G50="","",'Statement of Marks'!G50)</f>
        <v/>
      </c>
      <c r="H47" s="432" t="str">
        <f>IF(B47="","",IF('Statement of Marks'!GY50="","",'Statement of Marks'!GY50))</f>
        <v/>
      </c>
      <c r="I47" s="286" t="str">
        <f>IF(B47="","",IF('Statement of Marks'!HB50="","",'Statement of Marks'!HB50))</f>
        <v/>
      </c>
      <c r="J47" s="433" t="str">
        <f>IF(B47="","",IF('Statement of Marks'!HC50="","",'Statement of Marks'!HC50))</f>
        <v/>
      </c>
      <c r="K47" s="295" t="str">
        <f>IF(B47="","",'Statement of Marks'!FJ50)</f>
        <v/>
      </c>
      <c r="L47" s="295" t="str">
        <f>IF(B47="","",'Statement of Marks'!FM50)</f>
        <v/>
      </c>
      <c r="M47" s="295" t="str">
        <f>IF(B47="","",'Statement of Marks'!FP50)</f>
        <v/>
      </c>
      <c r="N47" s="295" t="str">
        <f>IF(B47="","",'Statement of Marks'!FW50)</f>
        <v/>
      </c>
      <c r="O47" s="295" t="str">
        <f>IF(B47="","",'Statement of Marks'!GD50)</f>
        <v/>
      </c>
      <c r="P47" s="295" t="str">
        <f>IF(B47="","",'Statement of Marks'!GK50)</f>
        <v/>
      </c>
      <c r="Q47" s="295" t="str">
        <f>IF(B47="","",'Statement of Marks'!GR50)</f>
        <v/>
      </c>
      <c r="R47" s="295" t="str">
        <f>IF(B47="","",'Statement of Marks'!FF50)</f>
        <v/>
      </c>
      <c r="S47" s="434" t="str">
        <f>IFERROR(IF(B47="","",CONCATENATE(IF(AND('Marks Entry'!U50="A"),'Marks Entry'!$U$2,IF(AND('Marks Entry'!U50="B"),'Marks Entry'!$Y$2,IF(AND('Marks Entry'!U50="C"),'Marks Entry'!$AA$2,""))),", ",IF(AND('Marks Entry'!AC50="A"),'Marks Entry'!$AC$2,IF(AND('Marks Entry'!AC50="B"),'Marks Entry'!$AG$2,IF(AND('Marks Entry'!AC50="C"),'Marks Entry'!$AI$2,""))),", ",IF(AND('Marks Entry'!AK50="A"),'Marks Entry'!$AK$2,IF(AND('Marks Entry'!AK50="B"),'Marks Entry'!$AO$2,IF(AND('Marks Entry'!AK50="C"),'Marks Entry'!$AQ$2,""))),", ",IF(AND('Statement of Marks'!DD50=""),"",IF(AND('Statement of Marks'!DD50="A"),'Marks Entry'!$AS$2,IF(AND('Statement of Marks'!DD50="B"),'Marks Entry'!$AW$2,IF(AND('Statement of Marks'!DD50="C"),'Marks Entry'!$AY$2,"")))))),"")</f>
        <v/>
      </c>
      <c r="T47" s="435" t="str">
        <f>IF(COUNTIF(K47:R47,"F")&gt;0,"",CONCATENATE('Statement of Marks'!GU50,'Statement of Marks'!GW50))</f>
        <v xml:space="preserve">           </v>
      </c>
      <c r="BG47" s="17">
        <f>IFERROR(VLOOKUP(B47,'Statement of Marks'!$B$8:'Statement of Marks'!$HI$207,41,0),"")</f>
        <v>15</v>
      </c>
      <c r="BH47" s="17" t="str">
        <f>IFERROR(VLOOKUP(B47,'Statement of Marks'!$B$8:'Statement of Marks'!$HI$207,66,0),"")</f>
        <v/>
      </c>
      <c r="BI47" s="17">
        <f>IFERROR(VLOOKUP(B47,'Statement of Marks'!$B$8:'Statement of Marks'!$HI$207,91,0),"")</f>
        <v>60</v>
      </c>
      <c r="BJ47" s="17" t="str">
        <f>IFERROR(VLOOKUP(B47,'Statement of Marks'!$B$8:'Statement of Marks'!$HI$207,117,0),"")</f>
        <v/>
      </c>
    </row>
    <row r="48" spans="1:62" ht="24.95" customHeight="1">
      <c r="A48" s="283">
        <f>IF('Statement of Marks'!A51="","",'Statement of Marks'!A51)</f>
        <v>44</v>
      </c>
      <c r="B48" s="283" t="str">
        <f>IF('Statement of Marks'!B51="","",'Statement of Marks'!B51)</f>
        <v/>
      </c>
      <c r="C48" s="283" t="str">
        <f>IF('Statement of Marks'!C51="","",'Statement of Marks'!C51)</f>
        <v/>
      </c>
      <c r="D48" s="430" t="str">
        <f>IF('Statement of Marks'!D51="","",'Statement of Marks'!D51)</f>
        <v/>
      </c>
      <c r="E48" s="431" t="str">
        <f>IF('Statement of Marks'!E51="","",'Statement of Marks'!E51)</f>
        <v/>
      </c>
      <c r="F48" s="431" t="str">
        <f>IF('Statement of Marks'!F51="","",'Statement of Marks'!F51)</f>
        <v/>
      </c>
      <c r="G48" s="431" t="str">
        <f>IF('Statement of Marks'!G51="","",'Statement of Marks'!G51)</f>
        <v/>
      </c>
      <c r="H48" s="432" t="str">
        <f>IF(B48="","",IF('Statement of Marks'!GY51="","",'Statement of Marks'!GY51))</f>
        <v/>
      </c>
      <c r="I48" s="286" t="str">
        <f>IF(B48="","",IF('Statement of Marks'!HB51="","",'Statement of Marks'!HB51))</f>
        <v/>
      </c>
      <c r="J48" s="433" t="str">
        <f>IF(B48="","",IF('Statement of Marks'!HC51="","",'Statement of Marks'!HC51))</f>
        <v/>
      </c>
      <c r="K48" s="295" t="str">
        <f>IF(B48="","",'Statement of Marks'!FJ51)</f>
        <v/>
      </c>
      <c r="L48" s="295" t="str">
        <f>IF(B48="","",'Statement of Marks'!FM51)</f>
        <v/>
      </c>
      <c r="M48" s="295" t="str">
        <f>IF(B48="","",'Statement of Marks'!FP51)</f>
        <v/>
      </c>
      <c r="N48" s="295" t="str">
        <f>IF(B48="","",'Statement of Marks'!FW51)</f>
        <v/>
      </c>
      <c r="O48" s="295" t="str">
        <f>IF(B48="","",'Statement of Marks'!GD51)</f>
        <v/>
      </c>
      <c r="P48" s="295" t="str">
        <f>IF(B48="","",'Statement of Marks'!GK51)</f>
        <v/>
      </c>
      <c r="Q48" s="295" t="str">
        <f>IF(B48="","",'Statement of Marks'!GR51)</f>
        <v/>
      </c>
      <c r="R48" s="295" t="str">
        <f>IF(B48="","",'Statement of Marks'!FF51)</f>
        <v/>
      </c>
      <c r="S48" s="434" t="str">
        <f>IFERROR(IF(B48="","",CONCATENATE(IF(AND('Marks Entry'!U51="A"),'Marks Entry'!$U$2,IF(AND('Marks Entry'!U51="B"),'Marks Entry'!$Y$2,IF(AND('Marks Entry'!U51="C"),'Marks Entry'!$AA$2,""))),", ",IF(AND('Marks Entry'!AC51="A"),'Marks Entry'!$AC$2,IF(AND('Marks Entry'!AC51="B"),'Marks Entry'!$AG$2,IF(AND('Marks Entry'!AC51="C"),'Marks Entry'!$AI$2,""))),", ",IF(AND('Marks Entry'!AK51="A"),'Marks Entry'!$AK$2,IF(AND('Marks Entry'!AK51="B"),'Marks Entry'!$AO$2,IF(AND('Marks Entry'!AK51="C"),'Marks Entry'!$AQ$2,""))),", ",IF(AND('Statement of Marks'!DD51=""),"",IF(AND('Statement of Marks'!DD51="A"),'Marks Entry'!$AS$2,IF(AND('Statement of Marks'!DD51="B"),'Marks Entry'!$AW$2,IF(AND('Statement of Marks'!DD51="C"),'Marks Entry'!$AY$2,"")))))),"")</f>
        <v/>
      </c>
      <c r="T48" s="435" t="str">
        <f>IF(COUNTIF(K48:R48,"F")&gt;0,"",CONCATENATE('Statement of Marks'!GU51,'Statement of Marks'!GW51))</f>
        <v xml:space="preserve">           </v>
      </c>
      <c r="BG48" s="17">
        <f>IFERROR(VLOOKUP(B48,'Statement of Marks'!$B$8:'Statement of Marks'!$HI$207,41,0),"")</f>
        <v>15</v>
      </c>
      <c r="BH48" s="17" t="str">
        <f>IFERROR(VLOOKUP(B48,'Statement of Marks'!$B$8:'Statement of Marks'!$HI$207,66,0),"")</f>
        <v/>
      </c>
      <c r="BI48" s="17">
        <f>IFERROR(VLOOKUP(B48,'Statement of Marks'!$B$8:'Statement of Marks'!$HI$207,91,0),"")</f>
        <v>60</v>
      </c>
      <c r="BJ48" s="17" t="str">
        <f>IFERROR(VLOOKUP(B48,'Statement of Marks'!$B$8:'Statement of Marks'!$HI$207,117,0),"")</f>
        <v/>
      </c>
    </row>
    <row r="49" spans="1:62" ht="24.95" customHeight="1">
      <c r="A49" s="283">
        <f>IF('Statement of Marks'!A52="","",'Statement of Marks'!A52)</f>
        <v>45</v>
      </c>
      <c r="B49" s="283" t="str">
        <f>IF('Statement of Marks'!B52="","",'Statement of Marks'!B52)</f>
        <v/>
      </c>
      <c r="C49" s="283" t="str">
        <f>IF('Statement of Marks'!C52="","",'Statement of Marks'!C52)</f>
        <v/>
      </c>
      <c r="D49" s="430" t="str">
        <f>IF('Statement of Marks'!D52="","",'Statement of Marks'!D52)</f>
        <v/>
      </c>
      <c r="E49" s="431" t="str">
        <f>IF('Statement of Marks'!E52="","",'Statement of Marks'!E52)</f>
        <v/>
      </c>
      <c r="F49" s="431" t="str">
        <f>IF('Statement of Marks'!F52="","",'Statement of Marks'!F52)</f>
        <v/>
      </c>
      <c r="G49" s="431" t="str">
        <f>IF('Statement of Marks'!G52="","",'Statement of Marks'!G52)</f>
        <v/>
      </c>
      <c r="H49" s="432" t="str">
        <f>IF(B49="","",IF('Statement of Marks'!GY52="","",'Statement of Marks'!GY52))</f>
        <v/>
      </c>
      <c r="I49" s="286" t="str">
        <f>IF(B49="","",IF('Statement of Marks'!HB52="","",'Statement of Marks'!HB52))</f>
        <v/>
      </c>
      <c r="J49" s="433" t="str">
        <f>IF(B49="","",IF('Statement of Marks'!HC52="","",'Statement of Marks'!HC52))</f>
        <v/>
      </c>
      <c r="K49" s="295" t="str">
        <f>IF(B49="","",'Statement of Marks'!FJ52)</f>
        <v/>
      </c>
      <c r="L49" s="295" t="str">
        <f>IF(B49="","",'Statement of Marks'!FM52)</f>
        <v/>
      </c>
      <c r="M49" s="295" t="str">
        <f>IF(B49="","",'Statement of Marks'!FP52)</f>
        <v/>
      </c>
      <c r="N49" s="295" t="str">
        <f>IF(B49="","",'Statement of Marks'!FW52)</f>
        <v/>
      </c>
      <c r="O49" s="295" t="str">
        <f>IF(B49="","",'Statement of Marks'!GD52)</f>
        <v/>
      </c>
      <c r="P49" s="295" t="str">
        <f>IF(B49="","",'Statement of Marks'!GK52)</f>
        <v/>
      </c>
      <c r="Q49" s="295" t="str">
        <f>IF(B49="","",'Statement of Marks'!GR52)</f>
        <v/>
      </c>
      <c r="R49" s="295" t="str">
        <f>IF(B49="","",'Statement of Marks'!FF52)</f>
        <v/>
      </c>
      <c r="S49" s="434" t="str">
        <f>IFERROR(IF(B49="","",CONCATENATE(IF(AND('Marks Entry'!U52="A"),'Marks Entry'!$U$2,IF(AND('Marks Entry'!U52="B"),'Marks Entry'!$Y$2,IF(AND('Marks Entry'!U52="C"),'Marks Entry'!$AA$2,""))),", ",IF(AND('Marks Entry'!AC52="A"),'Marks Entry'!$AC$2,IF(AND('Marks Entry'!AC52="B"),'Marks Entry'!$AG$2,IF(AND('Marks Entry'!AC52="C"),'Marks Entry'!$AI$2,""))),", ",IF(AND('Marks Entry'!AK52="A"),'Marks Entry'!$AK$2,IF(AND('Marks Entry'!AK52="B"),'Marks Entry'!$AO$2,IF(AND('Marks Entry'!AK52="C"),'Marks Entry'!$AQ$2,""))),", ",IF(AND('Statement of Marks'!DD52=""),"",IF(AND('Statement of Marks'!DD52="A"),'Marks Entry'!$AS$2,IF(AND('Statement of Marks'!DD52="B"),'Marks Entry'!$AW$2,IF(AND('Statement of Marks'!DD52="C"),'Marks Entry'!$AY$2,"")))))),"")</f>
        <v/>
      </c>
      <c r="T49" s="435" t="str">
        <f>IF(COUNTIF(K49:R49,"F")&gt;0,"",CONCATENATE('Statement of Marks'!GU52,'Statement of Marks'!GW52))</f>
        <v xml:space="preserve">           </v>
      </c>
      <c r="BG49" s="17">
        <f>IFERROR(VLOOKUP(B49,'Statement of Marks'!$B$8:'Statement of Marks'!$HI$207,41,0),"")</f>
        <v>15</v>
      </c>
      <c r="BH49" s="17" t="str">
        <f>IFERROR(VLOOKUP(B49,'Statement of Marks'!$B$8:'Statement of Marks'!$HI$207,66,0),"")</f>
        <v/>
      </c>
      <c r="BI49" s="17">
        <f>IFERROR(VLOOKUP(B49,'Statement of Marks'!$B$8:'Statement of Marks'!$HI$207,91,0),"")</f>
        <v>60</v>
      </c>
      <c r="BJ49" s="17" t="str">
        <f>IFERROR(VLOOKUP(B49,'Statement of Marks'!$B$8:'Statement of Marks'!$HI$207,117,0),"")</f>
        <v/>
      </c>
    </row>
    <row r="50" spans="1:62" ht="24.95" customHeight="1">
      <c r="A50" s="283">
        <f>IF('Statement of Marks'!A53="","",'Statement of Marks'!A53)</f>
        <v>46</v>
      </c>
      <c r="B50" s="283" t="str">
        <f>IF('Statement of Marks'!B53="","",'Statement of Marks'!B53)</f>
        <v/>
      </c>
      <c r="C50" s="283" t="str">
        <f>IF('Statement of Marks'!C53="","",'Statement of Marks'!C53)</f>
        <v/>
      </c>
      <c r="D50" s="430" t="str">
        <f>IF('Statement of Marks'!D53="","",'Statement of Marks'!D53)</f>
        <v/>
      </c>
      <c r="E50" s="431" t="str">
        <f>IF('Statement of Marks'!E53="","",'Statement of Marks'!E53)</f>
        <v/>
      </c>
      <c r="F50" s="431" t="str">
        <f>IF('Statement of Marks'!F53="","",'Statement of Marks'!F53)</f>
        <v/>
      </c>
      <c r="G50" s="431" t="str">
        <f>IF('Statement of Marks'!G53="","",'Statement of Marks'!G53)</f>
        <v/>
      </c>
      <c r="H50" s="432" t="str">
        <f>IF(B50="","",IF('Statement of Marks'!GY53="","",'Statement of Marks'!GY53))</f>
        <v/>
      </c>
      <c r="I50" s="286" t="str">
        <f>IF(B50="","",IF('Statement of Marks'!HB53="","",'Statement of Marks'!HB53))</f>
        <v/>
      </c>
      <c r="J50" s="433" t="str">
        <f>IF(B50="","",IF('Statement of Marks'!HC53="","",'Statement of Marks'!HC53))</f>
        <v/>
      </c>
      <c r="K50" s="295" t="str">
        <f>IF(B50="","",'Statement of Marks'!FJ53)</f>
        <v/>
      </c>
      <c r="L50" s="295" t="str">
        <f>IF(B50="","",'Statement of Marks'!FM53)</f>
        <v/>
      </c>
      <c r="M50" s="295" t="str">
        <f>IF(B50="","",'Statement of Marks'!FP53)</f>
        <v/>
      </c>
      <c r="N50" s="295" t="str">
        <f>IF(B50="","",'Statement of Marks'!FW53)</f>
        <v/>
      </c>
      <c r="O50" s="295" t="str">
        <f>IF(B50="","",'Statement of Marks'!GD53)</f>
        <v/>
      </c>
      <c r="P50" s="295" t="str">
        <f>IF(B50="","",'Statement of Marks'!GK53)</f>
        <v/>
      </c>
      <c r="Q50" s="295" t="str">
        <f>IF(B50="","",'Statement of Marks'!GR53)</f>
        <v/>
      </c>
      <c r="R50" s="295" t="str">
        <f>IF(B50="","",'Statement of Marks'!FF53)</f>
        <v/>
      </c>
      <c r="S50" s="434" t="str">
        <f>IFERROR(IF(B50="","",CONCATENATE(IF(AND('Marks Entry'!U53="A"),'Marks Entry'!$U$2,IF(AND('Marks Entry'!U53="B"),'Marks Entry'!$Y$2,IF(AND('Marks Entry'!U53="C"),'Marks Entry'!$AA$2,""))),", ",IF(AND('Marks Entry'!AC53="A"),'Marks Entry'!$AC$2,IF(AND('Marks Entry'!AC53="B"),'Marks Entry'!$AG$2,IF(AND('Marks Entry'!AC53="C"),'Marks Entry'!$AI$2,""))),", ",IF(AND('Marks Entry'!AK53="A"),'Marks Entry'!$AK$2,IF(AND('Marks Entry'!AK53="B"),'Marks Entry'!$AO$2,IF(AND('Marks Entry'!AK53="C"),'Marks Entry'!$AQ$2,""))),", ",IF(AND('Statement of Marks'!DD53=""),"",IF(AND('Statement of Marks'!DD53="A"),'Marks Entry'!$AS$2,IF(AND('Statement of Marks'!DD53="B"),'Marks Entry'!$AW$2,IF(AND('Statement of Marks'!DD53="C"),'Marks Entry'!$AY$2,"")))))),"")</f>
        <v/>
      </c>
      <c r="T50" s="435" t="str">
        <f>IF(COUNTIF(K50:R50,"F")&gt;0,"",CONCATENATE('Statement of Marks'!GU53,'Statement of Marks'!GW53))</f>
        <v xml:space="preserve">           </v>
      </c>
      <c r="BG50" s="17">
        <f>IFERROR(VLOOKUP(B50,'Statement of Marks'!$B$8:'Statement of Marks'!$HI$207,41,0),"")</f>
        <v>15</v>
      </c>
      <c r="BH50" s="17" t="str">
        <f>IFERROR(VLOOKUP(B50,'Statement of Marks'!$B$8:'Statement of Marks'!$HI$207,66,0),"")</f>
        <v/>
      </c>
      <c r="BI50" s="17">
        <f>IFERROR(VLOOKUP(B50,'Statement of Marks'!$B$8:'Statement of Marks'!$HI$207,91,0),"")</f>
        <v>60</v>
      </c>
      <c r="BJ50" s="17" t="str">
        <f>IFERROR(VLOOKUP(B50,'Statement of Marks'!$B$8:'Statement of Marks'!$HI$207,117,0),"")</f>
        <v/>
      </c>
    </row>
    <row r="51" spans="1:62" ht="24.95" customHeight="1">
      <c r="A51" s="283">
        <f>IF('Statement of Marks'!A54="","",'Statement of Marks'!A54)</f>
        <v>47</v>
      </c>
      <c r="B51" s="283" t="str">
        <f>IF('Statement of Marks'!B54="","",'Statement of Marks'!B54)</f>
        <v/>
      </c>
      <c r="C51" s="283" t="str">
        <f>IF('Statement of Marks'!C54="","",'Statement of Marks'!C54)</f>
        <v/>
      </c>
      <c r="D51" s="430" t="str">
        <f>IF('Statement of Marks'!D54="","",'Statement of Marks'!D54)</f>
        <v/>
      </c>
      <c r="E51" s="431" t="str">
        <f>IF('Statement of Marks'!E54="","",'Statement of Marks'!E54)</f>
        <v/>
      </c>
      <c r="F51" s="431" t="str">
        <f>IF('Statement of Marks'!F54="","",'Statement of Marks'!F54)</f>
        <v/>
      </c>
      <c r="G51" s="431" t="str">
        <f>IF('Statement of Marks'!G54="","",'Statement of Marks'!G54)</f>
        <v/>
      </c>
      <c r="H51" s="432" t="str">
        <f>IF(B51="","",IF('Statement of Marks'!GY54="","",'Statement of Marks'!GY54))</f>
        <v/>
      </c>
      <c r="I51" s="286" t="str">
        <f>IF(B51="","",IF('Statement of Marks'!HB54="","",'Statement of Marks'!HB54))</f>
        <v/>
      </c>
      <c r="J51" s="433" t="str">
        <f>IF(B51="","",IF('Statement of Marks'!HC54="","",'Statement of Marks'!HC54))</f>
        <v/>
      </c>
      <c r="K51" s="295" t="str">
        <f>IF(B51="","",'Statement of Marks'!FJ54)</f>
        <v/>
      </c>
      <c r="L51" s="295" t="str">
        <f>IF(B51="","",'Statement of Marks'!FM54)</f>
        <v/>
      </c>
      <c r="M51" s="295" t="str">
        <f>IF(B51="","",'Statement of Marks'!FP54)</f>
        <v/>
      </c>
      <c r="N51" s="295" t="str">
        <f>IF(B51="","",'Statement of Marks'!FW54)</f>
        <v/>
      </c>
      <c r="O51" s="295" t="str">
        <f>IF(B51="","",'Statement of Marks'!GD54)</f>
        <v/>
      </c>
      <c r="P51" s="295" t="str">
        <f>IF(B51="","",'Statement of Marks'!GK54)</f>
        <v/>
      </c>
      <c r="Q51" s="295" t="str">
        <f>IF(B51="","",'Statement of Marks'!GR54)</f>
        <v/>
      </c>
      <c r="R51" s="295" t="str">
        <f>IF(B51="","",'Statement of Marks'!FF54)</f>
        <v/>
      </c>
      <c r="S51" s="434" t="str">
        <f>IFERROR(IF(B51="","",CONCATENATE(IF(AND('Marks Entry'!U54="A"),'Marks Entry'!$U$2,IF(AND('Marks Entry'!U54="B"),'Marks Entry'!$Y$2,IF(AND('Marks Entry'!U54="C"),'Marks Entry'!$AA$2,""))),", ",IF(AND('Marks Entry'!AC54="A"),'Marks Entry'!$AC$2,IF(AND('Marks Entry'!AC54="B"),'Marks Entry'!$AG$2,IF(AND('Marks Entry'!AC54="C"),'Marks Entry'!$AI$2,""))),", ",IF(AND('Marks Entry'!AK54="A"),'Marks Entry'!$AK$2,IF(AND('Marks Entry'!AK54="B"),'Marks Entry'!$AO$2,IF(AND('Marks Entry'!AK54="C"),'Marks Entry'!$AQ$2,""))),", ",IF(AND('Statement of Marks'!DD54=""),"",IF(AND('Statement of Marks'!DD54="A"),'Marks Entry'!$AS$2,IF(AND('Statement of Marks'!DD54="B"),'Marks Entry'!$AW$2,IF(AND('Statement of Marks'!DD54="C"),'Marks Entry'!$AY$2,"")))))),"")</f>
        <v/>
      </c>
      <c r="T51" s="435" t="str">
        <f>IF(COUNTIF(K51:R51,"F")&gt;0,"",CONCATENATE('Statement of Marks'!GU54,'Statement of Marks'!GW54))</f>
        <v xml:space="preserve">           </v>
      </c>
      <c r="BG51" s="17">
        <f>IFERROR(VLOOKUP(B51,'Statement of Marks'!$B$8:'Statement of Marks'!$HI$207,41,0),"")</f>
        <v>15</v>
      </c>
      <c r="BH51" s="17" t="str">
        <f>IFERROR(VLOOKUP(B51,'Statement of Marks'!$B$8:'Statement of Marks'!$HI$207,66,0),"")</f>
        <v/>
      </c>
      <c r="BI51" s="17">
        <f>IFERROR(VLOOKUP(B51,'Statement of Marks'!$B$8:'Statement of Marks'!$HI$207,91,0),"")</f>
        <v>60</v>
      </c>
      <c r="BJ51" s="17" t="str">
        <f>IFERROR(VLOOKUP(B51,'Statement of Marks'!$B$8:'Statement of Marks'!$HI$207,117,0),"")</f>
        <v/>
      </c>
    </row>
    <row r="52" spans="1:62" ht="24.95" customHeight="1">
      <c r="A52" s="283">
        <f>IF('Statement of Marks'!A55="","",'Statement of Marks'!A55)</f>
        <v>48</v>
      </c>
      <c r="B52" s="283" t="str">
        <f>IF('Statement of Marks'!B55="","",'Statement of Marks'!B55)</f>
        <v/>
      </c>
      <c r="C52" s="283" t="str">
        <f>IF('Statement of Marks'!C55="","",'Statement of Marks'!C55)</f>
        <v/>
      </c>
      <c r="D52" s="430" t="str">
        <f>IF('Statement of Marks'!D55="","",'Statement of Marks'!D55)</f>
        <v/>
      </c>
      <c r="E52" s="431" t="str">
        <f>IF('Statement of Marks'!E55="","",'Statement of Marks'!E55)</f>
        <v/>
      </c>
      <c r="F52" s="431" t="str">
        <f>IF('Statement of Marks'!F55="","",'Statement of Marks'!F55)</f>
        <v/>
      </c>
      <c r="G52" s="431" t="str">
        <f>IF('Statement of Marks'!G55="","",'Statement of Marks'!G55)</f>
        <v/>
      </c>
      <c r="H52" s="432" t="str">
        <f>IF(B52="","",IF('Statement of Marks'!GY55="","",'Statement of Marks'!GY55))</f>
        <v/>
      </c>
      <c r="I52" s="286" t="str">
        <f>IF(B52="","",IF('Statement of Marks'!HB55="","",'Statement of Marks'!HB55))</f>
        <v/>
      </c>
      <c r="J52" s="433" t="str">
        <f>IF(B52="","",IF('Statement of Marks'!HC55="","",'Statement of Marks'!HC55))</f>
        <v/>
      </c>
      <c r="K52" s="295" t="str">
        <f>IF(B52="","",'Statement of Marks'!FJ55)</f>
        <v/>
      </c>
      <c r="L52" s="295" t="str">
        <f>IF(B52="","",'Statement of Marks'!FM55)</f>
        <v/>
      </c>
      <c r="M52" s="295" t="str">
        <f>IF(B52="","",'Statement of Marks'!FP55)</f>
        <v/>
      </c>
      <c r="N52" s="295" t="str">
        <f>IF(B52="","",'Statement of Marks'!FW55)</f>
        <v/>
      </c>
      <c r="O52" s="295" t="str">
        <f>IF(B52="","",'Statement of Marks'!GD55)</f>
        <v/>
      </c>
      <c r="P52" s="295" t="str">
        <f>IF(B52="","",'Statement of Marks'!GK55)</f>
        <v/>
      </c>
      <c r="Q52" s="295" t="str">
        <f>IF(B52="","",'Statement of Marks'!GR55)</f>
        <v/>
      </c>
      <c r="R52" s="295" t="str">
        <f>IF(B52="","",'Statement of Marks'!FF55)</f>
        <v/>
      </c>
      <c r="S52" s="434" t="str">
        <f>IFERROR(IF(B52="","",CONCATENATE(IF(AND('Marks Entry'!U55="A"),'Marks Entry'!$U$2,IF(AND('Marks Entry'!U55="B"),'Marks Entry'!$Y$2,IF(AND('Marks Entry'!U55="C"),'Marks Entry'!$AA$2,""))),", ",IF(AND('Marks Entry'!AC55="A"),'Marks Entry'!$AC$2,IF(AND('Marks Entry'!AC55="B"),'Marks Entry'!$AG$2,IF(AND('Marks Entry'!AC55="C"),'Marks Entry'!$AI$2,""))),", ",IF(AND('Marks Entry'!AK55="A"),'Marks Entry'!$AK$2,IF(AND('Marks Entry'!AK55="B"),'Marks Entry'!$AO$2,IF(AND('Marks Entry'!AK55="C"),'Marks Entry'!$AQ$2,""))),", ",IF(AND('Statement of Marks'!DD55=""),"",IF(AND('Statement of Marks'!DD55="A"),'Marks Entry'!$AS$2,IF(AND('Statement of Marks'!DD55="B"),'Marks Entry'!$AW$2,IF(AND('Statement of Marks'!DD55="C"),'Marks Entry'!$AY$2,"")))))),"")</f>
        <v/>
      </c>
      <c r="T52" s="435" t="str">
        <f>IF(COUNTIF(K52:R52,"F")&gt;0,"",CONCATENATE('Statement of Marks'!GU55,'Statement of Marks'!GW55))</f>
        <v xml:space="preserve">           </v>
      </c>
      <c r="BG52" s="17">
        <f>IFERROR(VLOOKUP(B52,'Statement of Marks'!$B$8:'Statement of Marks'!$HI$207,41,0),"")</f>
        <v>15</v>
      </c>
      <c r="BH52" s="17" t="str">
        <f>IFERROR(VLOOKUP(B52,'Statement of Marks'!$B$8:'Statement of Marks'!$HI$207,66,0),"")</f>
        <v/>
      </c>
      <c r="BI52" s="17">
        <f>IFERROR(VLOOKUP(B52,'Statement of Marks'!$B$8:'Statement of Marks'!$HI$207,91,0),"")</f>
        <v>60</v>
      </c>
      <c r="BJ52" s="17" t="str">
        <f>IFERROR(VLOOKUP(B52,'Statement of Marks'!$B$8:'Statement of Marks'!$HI$207,117,0),"")</f>
        <v/>
      </c>
    </row>
    <row r="53" spans="1:62" ht="24.95" customHeight="1">
      <c r="A53" s="283">
        <f>IF('Statement of Marks'!A56="","",'Statement of Marks'!A56)</f>
        <v>49</v>
      </c>
      <c r="B53" s="283" t="str">
        <f>IF('Statement of Marks'!B56="","",'Statement of Marks'!B56)</f>
        <v/>
      </c>
      <c r="C53" s="283" t="str">
        <f>IF('Statement of Marks'!C56="","",'Statement of Marks'!C56)</f>
        <v/>
      </c>
      <c r="D53" s="430" t="str">
        <f>IF('Statement of Marks'!D56="","",'Statement of Marks'!D56)</f>
        <v/>
      </c>
      <c r="E53" s="431" t="str">
        <f>IF('Statement of Marks'!E56="","",'Statement of Marks'!E56)</f>
        <v/>
      </c>
      <c r="F53" s="431" t="str">
        <f>IF('Statement of Marks'!F56="","",'Statement of Marks'!F56)</f>
        <v/>
      </c>
      <c r="G53" s="431" t="str">
        <f>IF('Statement of Marks'!G56="","",'Statement of Marks'!G56)</f>
        <v/>
      </c>
      <c r="H53" s="432" t="str">
        <f>IF(B53="","",IF('Statement of Marks'!GY56="","",'Statement of Marks'!GY56))</f>
        <v/>
      </c>
      <c r="I53" s="286" t="str">
        <f>IF(B53="","",IF('Statement of Marks'!HB56="","",'Statement of Marks'!HB56))</f>
        <v/>
      </c>
      <c r="J53" s="433" t="str">
        <f>IF(B53="","",IF('Statement of Marks'!HC56="","",'Statement of Marks'!HC56))</f>
        <v/>
      </c>
      <c r="K53" s="295" t="str">
        <f>IF(B53="","",'Statement of Marks'!FJ56)</f>
        <v/>
      </c>
      <c r="L53" s="295" t="str">
        <f>IF(B53="","",'Statement of Marks'!FM56)</f>
        <v/>
      </c>
      <c r="M53" s="295" t="str">
        <f>IF(B53="","",'Statement of Marks'!FP56)</f>
        <v/>
      </c>
      <c r="N53" s="295" t="str">
        <f>IF(B53="","",'Statement of Marks'!FW56)</f>
        <v/>
      </c>
      <c r="O53" s="295" t="str">
        <f>IF(B53="","",'Statement of Marks'!GD56)</f>
        <v/>
      </c>
      <c r="P53" s="295" t="str">
        <f>IF(B53="","",'Statement of Marks'!GK56)</f>
        <v/>
      </c>
      <c r="Q53" s="295" t="str">
        <f>IF(B53="","",'Statement of Marks'!GR56)</f>
        <v/>
      </c>
      <c r="R53" s="295" t="str">
        <f>IF(B53="","",'Statement of Marks'!FF56)</f>
        <v/>
      </c>
      <c r="S53" s="434" t="str">
        <f>IFERROR(IF(B53="","",CONCATENATE(IF(AND('Marks Entry'!U56="A"),'Marks Entry'!$U$2,IF(AND('Marks Entry'!U56="B"),'Marks Entry'!$Y$2,IF(AND('Marks Entry'!U56="C"),'Marks Entry'!$AA$2,""))),", ",IF(AND('Marks Entry'!AC56="A"),'Marks Entry'!$AC$2,IF(AND('Marks Entry'!AC56="B"),'Marks Entry'!$AG$2,IF(AND('Marks Entry'!AC56="C"),'Marks Entry'!$AI$2,""))),", ",IF(AND('Marks Entry'!AK56="A"),'Marks Entry'!$AK$2,IF(AND('Marks Entry'!AK56="B"),'Marks Entry'!$AO$2,IF(AND('Marks Entry'!AK56="C"),'Marks Entry'!$AQ$2,""))),", ",IF(AND('Statement of Marks'!DD56=""),"",IF(AND('Statement of Marks'!DD56="A"),'Marks Entry'!$AS$2,IF(AND('Statement of Marks'!DD56="B"),'Marks Entry'!$AW$2,IF(AND('Statement of Marks'!DD56="C"),'Marks Entry'!$AY$2,"")))))),"")</f>
        <v/>
      </c>
      <c r="T53" s="435" t="str">
        <f>IF(COUNTIF(K53:R53,"F")&gt;0,"",CONCATENATE('Statement of Marks'!GU56,'Statement of Marks'!GW56))</f>
        <v xml:space="preserve">           </v>
      </c>
      <c r="BG53" s="17">
        <f>IFERROR(VLOOKUP(B53,'Statement of Marks'!$B$8:'Statement of Marks'!$HI$207,41,0),"")</f>
        <v>15</v>
      </c>
      <c r="BH53" s="17" t="str">
        <f>IFERROR(VLOOKUP(B53,'Statement of Marks'!$B$8:'Statement of Marks'!$HI$207,66,0),"")</f>
        <v/>
      </c>
      <c r="BI53" s="17">
        <f>IFERROR(VLOOKUP(B53,'Statement of Marks'!$B$8:'Statement of Marks'!$HI$207,91,0),"")</f>
        <v>60</v>
      </c>
      <c r="BJ53" s="17" t="str">
        <f>IFERROR(VLOOKUP(B53,'Statement of Marks'!$B$8:'Statement of Marks'!$HI$207,117,0),"")</f>
        <v/>
      </c>
    </row>
    <row r="54" spans="1:62" ht="24.95" customHeight="1">
      <c r="A54" s="283">
        <f>IF('Statement of Marks'!A57="","",'Statement of Marks'!A57)</f>
        <v>50</v>
      </c>
      <c r="B54" s="283" t="str">
        <f>IF('Statement of Marks'!B57="","",'Statement of Marks'!B57)</f>
        <v/>
      </c>
      <c r="C54" s="283" t="str">
        <f>IF('Statement of Marks'!C57="","",'Statement of Marks'!C57)</f>
        <v/>
      </c>
      <c r="D54" s="430" t="str">
        <f>IF('Statement of Marks'!D57="","",'Statement of Marks'!D57)</f>
        <v/>
      </c>
      <c r="E54" s="431" t="str">
        <f>IF('Statement of Marks'!E57="","",'Statement of Marks'!E57)</f>
        <v/>
      </c>
      <c r="F54" s="431" t="str">
        <f>IF('Statement of Marks'!F57="","",'Statement of Marks'!F57)</f>
        <v/>
      </c>
      <c r="G54" s="431" t="str">
        <f>IF('Statement of Marks'!G57="","",'Statement of Marks'!G57)</f>
        <v/>
      </c>
      <c r="H54" s="432" t="str">
        <f>IF(B54="","",IF('Statement of Marks'!GY57="","",'Statement of Marks'!GY57))</f>
        <v/>
      </c>
      <c r="I54" s="286" t="str">
        <f>IF(B54="","",IF('Statement of Marks'!HB57="","",'Statement of Marks'!HB57))</f>
        <v/>
      </c>
      <c r="J54" s="433" t="str">
        <f>IF(B54="","",IF('Statement of Marks'!HC57="","",'Statement of Marks'!HC57))</f>
        <v/>
      </c>
      <c r="K54" s="295" t="str">
        <f>IF(B54="","",'Statement of Marks'!FJ57)</f>
        <v/>
      </c>
      <c r="L54" s="295" t="str">
        <f>IF(B54="","",'Statement of Marks'!FM57)</f>
        <v/>
      </c>
      <c r="M54" s="295" t="str">
        <f>IF(B54="","",'Statement of Marks'!FP57)</f>
        <v/>
      </c>
      <c r="N54" s="295" t="str">
        <f>IF(B54="","",'Statement of Marks'!FW57)</f>
        <v/>
      </c>
      <c r="O54" s="295" t="str">
        <f>IF(B54="","",'Statement of Marks'!GD57)</f>
        <v/>
      </c>
      <c r="P54" s="295" t="str">
        <f>IF(B54="","",'Statement of Marks'!GK57)</f>
        <v/>
      </c>
      <c r="Q54" s="295" t="str">
        <f>IF(B54="","",'Statement of Marks'!GR57)</f>
        <v/>
      </c>
      <c r="R54" s="295" t="str">
        <f>IF(B54="","",'Statement of Marks'!FF57)</f>
        <v/>
      </c>
      <c r="S54" s="434" t="str">
        <f>IFERROR(IF(B54="","",CONCATENATE(IF(AND('Marks Entry'!U57="A"),'Marks Entry'!$U$2,IF(AND('Marks Entry'!U57="B"),'Marks Entry'!$Y$2,IF(AND('Marks Entry'!U57="C"),'Marks Entry'!$AA$2,""))),", ",IF(AND('Marks Entry'!AC57="A"),'Marks Entry'!$AC$2,IF(AND('Marks Entry'!AC57="B"),'Marks Entry'!$AG$2,IF(AND('Marks Entry'!AC57="C"),'Marks Entry'!$AI$2,""))),", ",IF(AND('Marks Entry'!AK57="A"),'Marks Entry'!$AK$2,IF(AND('Marks Entry'!AK57="B"),'Marks Entry'!$AO$2,IF(AND('Marks Entry'!AK57="C"),'Marks Entry'!$AQ$2,""))),", ",IF(AND('Statement of Marks'!DD57=""),"",IF(AND('Statement of Marks'!DD57="A"),'Marks Entry'!$AS$2,IF(AND('Statement of Marks'!DD57="B"),'Marks Entry'!$AW$2,IF(AND('Statement of Marks'!DD57="C"),'Marks Entry'!$AY$2,"")))))),"")</f>
        <v/>
      </c>
      <c r="T54" s="435" t="str">
        <f>IF(COUNTIF(K54:R54,"F")&gt;0,"",CONCATENATE('Statement of Marks'!GU57,'Statement of Marks'!GW57))</f>
        <v xml:space="preserve">           </v>
      </c>
      <c r="BG54" s="17">
        <f>IFERROR(VLOOKUP(B54,'Statement of Marks'!$B$8:'Statement of Marks'!$HI$207,41,0),"")</f>
        <v>15</v>
      </c>
      <c r="BH54" s="17" t="str">
        <f>IFERROR(VLOOKUP(B54,'Statement of Marks'!$B$8:'Statement of Marks'!$HI$207,66,0),"")</f>
        <v/>
      </c>
      <c r="BI54" s="17">
        <f>IFERROR(VLOOKUP(B54,'Statement of Marks'!$B$8:'Statement of Marks'!$HI$207,91,0),"")</f>
        <v>60</v>
      </c>
      <c r="BJ54" s="17" t="str">
        <f>IFERROR(VLOOKUP(B54,'Statement of Marks'!$B$8:'Statement of Marks'!$HI$207,117,0),"")</f>
        <v/>
      </c>
    </row>
    <row r="55" spans="1:62" ht="24.95" customHeight="1">
      <c r="A55" s="283">
        <f>IF('Statement of Marks'!A58="","",'Statement of Marks'!A58)</f>
        <v>51</v>
      </c>
      <c r="B55" s="283" t="str">
        <f>IF('Statement of Marks'!B58="","",'Statement of Marks'!B58)</f>
        <v/>
      </c>
      <c r="C55" s="283" t="str">
        <f>IF('Statement of Marks'!C58="","",'Statement of Marks'!C58)</f>
        <v/>
      </c>
      <c r="D55" s="430" t="str">
        <f>IF('Statement of Marks'!D58="","",'Statement of Marks'!D58)</f>
        <v/>
      </c>
      <c r="E55" s="431" t="str">
        <f>IF('Statement of Marks'!E58="","",'Statement of Marks'!E58)</f>
        <v/>
      </c>
      <c r="F55" s="431" t="str">
        <f>IF('Statement of Marks'!F58="","",'Statement of Marks'!F58)</f>
        <v/>
      </c>
      <c r="G55" s="431" t="str">
        <f>IF('Statement of Marks'!G58="","",'Statement of Marks'!G58)</f>
        <v/>
      </c>
      <c r="H55" s="432" t="str">
        <f>IF(B55="","",IF('Statement of Marks'!GY58="","",'Statement of Marks'!GY58))</f>
        <v/>
      </c>
      <c r="I55" s="286" t="str">
        <f>IF(B55="","",IF('Statement of Marks'!HB58="","",'Statement of Marks'!HB58))</f>
        <v/>
      </c>
      <c r="J55" s="433" t="str">
        <f>IF(B55="","",IF('Statement of Marks'!HC58="","",'Statement of Marks'!HC58))</f>
        <v/>
      </c>
      <c r="K55" s="295" t="str">
        <f>IF(B55="","",'Statement of Marks'!FJ58)</f>
        <v/>
      </c>
      <c r="L55" s="295" t="str">
        <f>IF(B55="","",'Statement of Marks'!FM58)</f>
        <v/>
      </c>
      <c r="M55" s="295" t="str">
        <f>IF(B55="","",'Statement of Marks'!FP58)</f>
        <v/>
      </c>
      <c r="N55" s="295" t="str">
        <f>IF(B55="","",'Statement of Marks'!FW58)</f>
        <v/>
      </c>
      <c r="O55" s="295" t="str">
        <f>IF(B55="","",'Statement of Marks'!GD58)</f>
        <v/>
      </c>
      <c r="P55" s="295" t="str">
        <f>IF(B55="","",'Statement of Marks'!GK58)</f>
        <v/>
      </c>
      <c r="Q55" s="295" t="str">
        <f>IF(B55="","",'Statement of Marks'!GR58)</f>
        <v/>
      </c>
      <c r="R55" s="295" t="str">
        <f>IF(B55="","",'Statement of Marks'!FF58)</f>
        <v/>
      </c>
      <c r="S55" s="434" t="str">
        <f>IFERROR(IF(B55="","",CONCATENATE(IF(AND('Marks Entry'!U58="A"),'Marks Entry'!$U$2,IF(AND('Marks Entry'!U58="B"),'Marks Entry'!$Y$2,IF(AND('Marks Entry'!U58="C"),'Marks Entry'!$AA$2,""))),", ",IF(AND('Marks Entry'!AC58="A"),'Marks Entry'!$AC$2,IF(AND('Marks Entry'!AC58="B"),'Marks Entry'!$AG$2,IF(AND('Marks Entry'!AC58="C"),'Marks Entry'!$AI$2,""))),", ",IF(AND('Marks Entry'!AK58="A"),'Marks Entry'!$AK$2,IF(AND('Marks Entry'!AK58="B"),'Marks Entry'!$AO$2,IF(AND('Marks Entry'!AK58="C"),'Marks Entry'!$AQ$2,""))),", ",IF(AND('Statement of Marks'!DD58=""),"",IF(AND('Statement of Marks'!DD58="A"),'Marks Entry'!$AS$2,IF(AND('Statement of Marks'!DD58="B"),'Marks Entry'!$AW$2,IF(AND('Statement of Marks'!DD58="C"),'Marks Entry'!$AY$2,"")))))),"")</f>
        <v/>
      </c>
      <c r="T55" s="435" t="str">
        <f>IF(COUNTIF(K55:R55,"F")&gt;0,"",CONCATENATE('Statement of Marks'!GU58,'Statement of Marks'!GW58))</f>
        <v xml:space="preserve">           </v>
      </c>
      <c r="BG55" s="17">
        <f>IFERROR(VLOOKUP(B55,'Statement of Marks'!$B$8:'Statement of Marks'!$HI$207,41,0),"")</f>
        <v>15</v>
      </c>
      <c r="BH55" s="17" t="str">
        <f>IFERROR(VLOOKUP(B55,'Statement of Marks'!$B$8:'Statement of Marks'!$HI$207,66,0),"")</f>
        <v/>
      </c>
      <c r="BI55" s="17">
        <f>IFERROR(VLOOKUP(B55,'Statement of Marks'!$B$8:'Statement of Marks'!$HI$207,91,0),"")</f>
        <v>60</v>
      </c>
      <c r="BJ55" s="17" t="str">
        <f>IFERROR(VLOOKUP(B55,'Statement of Marks'!$B$8:'Statement of Marks'!$HI$207,117,0),"")</f>
        <v/>
      </c>
    </row>
    <row r="56" spans="1:62" ht="24.95" customHeight="1">
      <c r="A56" s="283">
        <f>IF('Statement of Marks'!A59="","",'Statement of Marks'!A59)</f>
        <v>52</v>
      </c>
      <c r="B56" s="283" t="str">
        <f>IF('Statement of Marks'!B59="","",'Statement of Marks'!B59)</f>
        <v/>
      </c>
      <c r="C56" s="283" t="str">
        <f>IF('Statement of Marks'!C59="","",'Statement of Marks'!C59)</f>
        <v/>
      </c>
      <c r="D56" s="430" t="str">
        <f>IF('Statement of Marks'!D59="","",'Statement of Marks'!D59)</f>
        <v/>
      </c>
      <c r="E56" s="431" t="str">
        <f>IF('Statement of Marks'!E59="","",'Statement of Marks'!E59)</f>
        <v/>
      </c>
      <c r="F56" s="431" t="str">
        <f>IF('Statement of Marks'!F59="","",'Statement of Marks'!F59)</f>
        <v/>
      </c>
      <c r="G56" s="431" t="str">
        <f>IF('Statement of Marks'!G59="","",'Statement of Marks'!G59)</f>
        <v/>
      </c>
      <c r="H56" s="432" t="str">
        <f>IF(B56="","",IF('Statement of Marks'!GY59="","",'Statement of Marks'!GY59))</f>
        <v/>
      </c>
      <c r="I56" s="286" t="str">
        <f>IF(B56="","",IF('Statement of Marks'!HB59="","",'Statement of Marks'!HB59))</f>
        <v/>
      </c>
      <c r="J56" s="433" t="str">
        <f>IF(B56="","",IF('Statement of Marks'!HC59="","",'Statement of Marks'!HC59))</f>
        <v/>
      </c>
      <c r="K56" s="295" t="str">
        <f>IF(B56="","",'Statement of Marks'!FJ59)</f>
        <v/>
      </c>
      <c r="L56" s="295" t="str">
        <f>IF(B56="","",'Statement of Marks'!FM59)</f>
        <v/>
      </c>
      <c r="M56" s="295" t="str">
        <f>IF(B56="","",'Statement of Marks'!FP59)</f>
        <v/>
      </c>
      <c r="N56" s="295" t="str">
        <f>IF(B56="","",'Statement of Marks'!FW59)</f>
        <v/>
      </c>
      <c r="O56" s="295" t="str">
        <f>IF(B56="","",'Statement of Marks'!GD59)</f>
        <v/>
      </c>
      <c r="P56" s="295" t="str">
        <f>IF(B56="","",'Statement of Marks'!GK59)</f>
        <v/>
      </c>
      <c r="Q56" s="295" t="str">
        <f>IF(B56="","",'Statement of Marks'!GR59)</f>
        <v/>
      </c>
      <c r="R56" s="295" t="str">
        <f>IF(B56="","",'Statement of Marks'!FF59)</f>
        <v/>
      </c>
      <c r="S56" s="434" t="str">
        <f>IFERROR(IF(B56="","",CONCATENATE(IF(AND('Marks Entry'!U59="A"),'Marks Entry'!$U$2,IF(AND('Marks Entry'!U59="B"),'Marks Entry'!$Y$2,IF(AND('Marks Entry'!U59="C"),'Marks Entry'!$AA$2,""))),", ",IF(AND('Marks Entry'!AC59="A"),'Marks Entry'!$AC$2,IF(AND('Marks Entry'!AC59="B"),'Marks Entry'!$AG$2,IF(AND('Marks Entry'!AC59="C"),'Marks Entry'!$AI$2,""))),", ",IF(AND('Marks Entry'!AK59="A"),'Marks Entry'!$AK$2,IF(AND('Marks Entry'!AK59="B"),'Marks Entry'!$AO$2,IF(AND('Marks Entry'!AK59="C"),'Marks Entry'!$AQ$2,""))),", ",IF(AND('Statement of Marks'!DD59=""),"",IF(AND('Statement of Marks'!DD59="A"),'Marks Entry'!$AS$2,IF(AND('Statement of Marks'!DD59="B"),'Marks Entry'!$AW$2,IF(AND('Statement of Marks'!DD59="C"),'Marks Entry'!$AY$2,"")))))),"")</f>
        <v/>
      </c>
      <c r="T56" s="435" t="str">
        <f>IF(COUNTIF(K56:R56,"F")&gt;0,"",CONCATENATE('Statement of Marks'!GU59,'Statement of Marks'!GW59))</f>
        <v xml:space="preserve">           </v>
      </c>
      <c r="BG56" s="17">
        <f>IFERROR(VLOOKUP(B56,'Statement of Marks'!$B$8:'Statement of Marks'!$HI$207,41,0),"")</f>
        <v>15</v>
      </c>
      <c r="BH56" s="17" t="str">
        <f>IFERROR(VLOOKUP(B56,'Statement of Marks'!$B$8:'Statement of Marks'!$HI$207,66,0),"")</f>
        <v/>
      </c>
      <c r="BI56" s="17">
        <f>IFERROR(VLOOKUP(B56,'Statement of Marks'!$B$8:'Statement of Marks'!$HI$207,91,0),"")</f>
        <v>60</v>
      </c>
      <c r="BJ56" s="17" t="str">
        <f>IFERROR(VLOOKUP(B56,'Statement of Marks'!$B$8:'Statement of Marks'!$HI$207,117,0),"")</f>
        <v/>
      </c>
    </row>
    <row r="57" spans="1:62" ht="24.95" customHeight="1">
      <c r="A57" s="283">
        <f>IF('Statement of Marks'!A60="","",'Statement of Marks'!A60)</f>
        <v>53</v>
      </c>
      <c r="B57" s="283" t="str">
        <f>IF('Statement of Marks'!B60="","",'Statement of Marks'!B60)</f>
        <v/>
      </c>
      <c r="C57" s="283" t="str">
        <f>IF('Statement of Marks'!C60="","",'Statement of Marks'!C60)</f>
        <v/>
      </c>
      <c r="D57" s="430" t="str">
        <f>IF('Statement of Marks'!D60="","",'Statement of Marks'!D60)</f>
        <v/>
      </c>
      <c r="E57" s="431" t="str">
        <f>IF('Statement of Marks'!E60="","",'Statement of Marks'!E60)</f>
        <v/>
      </c>
      <c r="F57" s="431" t="str">
        <f>IF('Statement of Marks'!F60="","",'Statement of Marks'!F60)</f>
        <v/>
      </c>
      <c r="G57" s="431" t="str">
        <f>IF('Statement of Marks'!G60="","",'Statement of Marks'!G60)</f>
        <v/>
      </c>
      <c r="H57" s="432" t="str">
        <f>IF(B57="","",IF('Statement of Marks'!GY60="","",'Statement of Marks'!GY60))</f>
        <v/>
      </c>
      <c r="I57" s="286" t="str">
        <f>IF(B57="","",IF('Statement of Marks'!HB60="","",'Statement of Marks'!HB60))</f>
        <v/>
      </c>
      <c r="J57" s="433" t="str">
        <f>IF(B57="","",IF('Statement of Marks'!HC60="","",'Statement of Marks'!HC60))</f>
        <v/>
      </c>
      <c r="K57" s="295" t="str">
        <f>IF(B57="","",'Statement of Marks'!FJ60)</f>
        <v/>
      </c>
      <c r="L57" s="295" t="str">
        <f>IF(B57="","",'Statement of Marks'!FM60)</f>
        <v/>
      </c>
      <c r="M57" s="295" t="str">
        <f>IF(B57="","",'Statement of Marks'!FP60)</f>
        <v/>
      </c>
      <c r="N57" s="295" t="str">
        <f>IF(B57="","",'Statement of Marks'!FW60)</f>
        <v/>
      </c>
      <c r="O57" s="295" t="str">
        <f>IF(B57="","",'Statement of Marks'!GD60)</f>
        <v/>
      </c>
      <c r="P57" s="295" t="str">
        <f>IF(B57="","",'Statement of Marks'!GK60)</f>
        <v/>
      </c>
      <c r="Q57" s="295" t="str">
        <f>IF(B57="","",'Statement of Marks'!GR60)</f>
        <v/>
      </c>
      <c r="R57" s="295" t="str">
        <f>IF(B57="","",'Statement of Marks'!FF60)</f>
        <v/>
      </c>
      <c r="S57" s="434" t="str">
        <f>IFERROR(IF(B57="","",CONCATENATE(IF(AND('Marks Entry'!U60="A"),'Marks Entry'!$U$2,IF(AND('Marks Entry'!U60="B"),'Marks Entry'!$Y$2,IF(AND('Marks Entry'!U60="C"),'Marks Entry'!$AA$2,""))),", ",IF(AND('Marks Entry'!AC60="A"),'Marks Entry'!$AC$2,IF(AND('Marks Entry'!AC60="B"),'Marks Entry'!$AG$2,IF(AND('Marks Entry'!AC60="C"),'Marks Entry'!$AI$2,""))),", ",IF(AND('Marks Entry'!AK60="A"),'Marks Entry'!$AK$2,IF(AND('Marks Entry'!AK60="B"),'Marks Entry'!$AO$2,IF(AND('Marks Entry'!AK60="C"),'Marks Entry'!$AQ$2,""))),", ",IF(AND('Statement of Marks'!DD60=""),"",IF(AND('Statement of Marks'!DD60="A"),'Marks Entry'!$AS$2,IF(AND('Statement of Marks'!DD60="B"),'Marks Entry'!$AW$2,IF(AND('Statement of Marks'!DD60="C"),'Marks Entry'!$AY$2,"")))))),"")</f>
        <v/>
      </c>
      <c r="T57" s="435" t="str">
        <f>IF(COUNTIF(K57:R57,"F")&gt;0,"",CONCATENATE('Statement of Marks'!GU60,'Statement of Marks'!GW60))</f>
        <v xml:space="preserve">           </v>
      </c>
      <c r="BG57" s="17">
        <f>IFERROR(VLOOKUP(B57,'Statement of Marks'!$B$8:'Statement of Marks'!$HI$207,41,0),"")</f>
        <v>15</v>
      </c>
      <c r="BH57" s="17" t="str">
        <f>IFERROR(VLOOKUP(B57,'Statement of Marks'!$B$8:'Statement of Marks'!$HI$207,66,0),"")</f>
        <v/>
      </c>
      <c r="BI57" s="17">
        <f>IFERROR(VLOOKUP(B57,'Statement of Marks'!$B$8:'Statement of Marks'!$HI$207,91,0),"")</f>
        <v>60</v>
      </c>
      <c r="BJ57" s="17" t="str">
        <f>IFERROR(VLOOKUP(B57,'Statement of Marks'!$B$8:'Statement of Marks'!$HI$207,117,0),"")</f>
        <v/>
      </c>
    </row>
    <row r="58" spans="1:62" ht="24.95" customHeight="1">
      <c r="A58" s="283">
        <f>IF('Statement of Marks'!A61="","",'Statement of Marks'!A61)</f>
        <v>54</v>
      </c>
      <c r="B58" s="283" t="str">
        <f>IF('Statement of Marks'!B61="","",'Statement of Marks'!B61)</f>
        <v/>
      </c>
      <c r="C58" s="283" t="str">
        <f>IF('Statement of Marks'!C61="","",'Statement of Marks'!C61)</f>
        <v/>
      </c>
      <c r="D58" s="430" t="str">
        <f>IF('Statement of Marks'!D61="","",'Statement of Marks'!D61)</f>
        <v/>
      </c>
      <c r="E58" s="431" t="str">
        <f>IF('Statement of Marks'!E61="","",'Statement of Marks'!E61)</f>
        <v/>
      </c>
      <c r="F58" s="431" t="str">
        <f>IF('Statement of Marks'!F61="","",'Statement of Marks'!F61)</f>
        <v/>
      </c>
      <c r="G58" s="431" t="str">
        <f>IF('Statement of Marks'!G61="","",'Statement of Marks'!G61)</f>
        <v/>
      </c>
      <c r="H58" s="432" t="str">
        <f>IF(B58="","",IF('Statement of Marks'!GY61="","",'Statement of Marks'!GY61))</f>
        <v/>
      </c>
      <c r="I58" s="286" t="str">
        <f>IF(B58="","",IF('Statement of Marks'!HB61="","",'Statement of Marks'!HB61))</f>
        <v/>
      </c>
      <c r="J58" s="433" t="str">
        <f>IF(B58="","",IF('Statement of Marks'!HC61="","",'Statement of Marks'!HC61))</f>
        <v/>
      </c>
      <c r="K58" s="295" t="str">
        <f>IF(B58="","",'Statement of Marks'!FJ61)</f>
        <v/>
      </c>
      <c r="L58" s="295" t="str">
        <f>IF(B58="","",'Statement of Marks'!FM61)</f>
        <v/>
      </c>
      <c r="M58" s="295" t="str">
        <f>IF(B58="","",'Statement of Marks'!FP61)</f>
        <v/>
      </c>
      <c r="N58" s="295" t="str">
        <f>IF(B58="","",'Statement of Marks'!FW61)</f>
        <v/>
      </c>
      <c r="O58" s="295" t="str">
        <f>IF(B58="","",'Statement of Marks'!GD61)</f>
        <v/>
      </c>
      <c r="P58" s="295" t="str">
        <f>IF(B58="","",'Statement of Marks'!GK61)</f>
        <v/>
      </c>
      <c r="Q58" s="295" t="str">
        <f>IF(B58="","",'Statement of Marks'!GR61)</f>
        <v/>
      </c>
      <c r="R58" s="295" t="str">
        <f>IF(B58="","",'Statement of Marks'!FF61)</f>
        <v/>
      </c>
      <c r="S58" s="434" t="str">
        <f>IFERROR(IF(B58="","",CONCATENATE(IF(AND('Marks Entry'!U61="A"),'Marks Entry'!$U$2,IF(AND('Marks Entry'!U61="B"),'Marks Entry'!$Y$2,IF(AND('Marks Entry'!U61="C"),'Marks Entry'!$AA$2,""))),", ",IF(AND('Marks Entry'!AC61="A"),'Marks Entry'!$AC$2,IF(AND('Marks Entry'!AC61="B"),'Marks Entry'!$AG$2,IF(AND('Marks Entry'!AC61="C"),'Marks Entry'!$AI$2,""))),", ",IF(AND('Marks Entry'!AK61="A"),'Marks Entry'!$AK$2,IF(AND('Marks Entry'!AK61="B"),'Marks Entry'!$AO$2,IF(AND('Marks Entry'!AK61="C"),'Marks Entry'!$AQ$2,""))),", ",IF(AND('Statement of Marks'!DD61=""),"",IF(AND('Statement of Marks'!DD61="A"),'Marks Entry'!$AS$2,IF(AND('Statement of Marks'!DD61="B"),'Marks Entry'!$AW$2,IF(AND('Statement of Marks'!DD61="C"),'Marks Entry'!$AY$2,"")))))),"")</f>
        <v/>
      </c>
      <c r="T58" s="435" t="str">
        <f>IF(COUNTIF(K58:R58,"F")&gt;0,"",CONCATENATE('Statement of Marks'!GU61,'Statement of Marks'!GW61))</f>
        <v xml:space="preserve">           </v>
      </c>
      <c r="BG58" s="17">
        <f>IFERROR(VLOOKUP(B58,'Statement of Marks'!$B$8:'Statement of Marks'!$HI$207,41,0),"")</f>
        <v>15</v>
      </c>
      <c r="BH58" s="17" t="str">
        <f>IFERROR(VLOOKUP(B58,'Statement of Marks'!$B$8:'Statement of Marks'!$HI$207,66,0),"")</f>
        <v/>
      </c>
      <c r="BI58" s="17">
        <f>IFERROR(VLOOKUP(B58,'Statement of Marks'!$B$8:'Statement of Marks'!$HI$207,91,0),"")</f>
        <v>60</v>
      </c>
      <c r="BJ58" s="17" t="str">
        <f>IFERROR(VLOOKUP(B58,'Statement of Marks'!$B$8:'Statement of Marks'!$HI$207,117,0),"")</f>
        <v/>
      </c>
    </row>
    <row r="59" spans="1:62" ht="24.95" customHeight="1">
      <c r="A59" s="283">
        <f>IF('Statement of Marks'!A62="","",'Statement of Marks'!A62)</f>
        <v>55</v>
      </c>
      <c r="B59" s="283" t="str">
        <f>IF('Statement of Marks'!B62="","",'Statement of Marks'!B62)</f>
        <v/>
      </c>
      <c r="C59" s="283" t="str">
        <f>IF('Statement of Marks'!C62="","",'Statement of Marks'!C62)</f>
        <v/>
      </c>
      <c r="D59" s="430" t="str">
        <f>IF('Statement of Marks'!D62="","",'Statement of Marks'!D62)</f>
        <v/>
      </c>
      <c r="E59" s="431" t="str">
        <f>IF('Statement of Marks'!E62="","",'Statement of Marks'!E62)</f>
        <v/>
      </c>
      <c r="F59" s="431" t="str">
        <f>IF('Statement of Marks'!F62="","",'Statement of Marks'!F62)</f>
        <v/>
      </c>
      <c r="G59" s="431" t="str">
        <f>IF('Statement of Marks'!G62="","",'Statement of Marks'!G62)</f>
        <v/>
      </c>
      <c r="H59" s="432" t="str">
        <f>IF(B59="","",IF('Statement of Marks'!GY62="","",'Statement of Marks'!GY62))</f>
        <v/>
      </c>
      <c r="I59" s="286" t="str">
        <f>IF(B59="","",IF('Statement of Marks'!HB62="","",'Statement of Marks'!HB62))</f>
        <v/>
      </c>
      <c r="J59" s="433" t="str">
        <f>IF(B59="","",IF('Statement of Marks'!HC62="","",'Statement of Marks'!HC62))</f>
        <v/>
      </c>
      <c r="K59" s="295" t="str">
        <f>IF(B59="","",'Statement of Marks'!FJ62)</f>
        <v/>
      </c>
      <c r="L59" s="295" t="str">
        <f>IF(B59="","",'Statement of Marks'!FM62)</f>
        <v/>
      </c>
      <c r="M59" s="295" t="str">
        <f>IF(B59="","",'Statement of Marks'!FP62)</f>
        <v/>
      </c>
      <c r="N59" s="295" t="str">
        <f>IF(B59="","",'Statement of Marks'!FW62)</f>
        <v/>
      </c>
      <c r="O59" s="295" t="str">
        <f>IF(B59="","",'Statement of Marks'!GD62)</f>
        <v/>
      </c>
      <c r="P59" s="295" t="str">
        <f>IF(B59="","",'Statement of Marks'!GK62)</f>
        <v/>
      </c>
      <c r="Q59" s="295" t="str">
        <f>IF(B59="","",'Statement of Marks'!GR62)</f>
        <v/>
      </c>
      <c r="R59" s="295" t="str">
        <f>IF(B59="","",'Statement of Marks'!FF62)</f>
        <v/>
      </c>
      <c r="S59" s="434" t="str">
        <f>IFERROR(IF(B59="","",CONCATENATE(IF(AND('Marks Entry'!U62="A"),'Marks Entry'!$U$2,IF(AND('Marks Entry'!U62="B"),'Marks Entry'!$Y$2,IF(AND('Marks Entry'!U62="C"),'Marks Entry'!$AA$2,""))),", ",IF(AND('Marks Entry'!AC62="A"),'Marks Entry'!$AC$2,IF(AND('Marks Entry'!AC62="B"),'Marks Entry'!$AG$2,IF(AND('Marks Entry'!AC62="C"),'Marks Entry'!$AI$2,""))),", ",IF(AND('Marks Entry'!AK62="A"),'Marks Entry'!$AK$2,IF(AND('Marks Entry'!AK62="B"),'Marks Entry'!$AO$2,IF(AND('Marks Entry'!AK62="C"),'Marks Entry'!$AQ$2,""))),", ",IF(AND('Statement of Marks'!DD62=""),"",IF(AND('Statement of Marks'!DD62="A"),'Marks Entry'!$AS$2,IF(AND('Statement of Marks'!DD62="B"),'Marks Entry'!$AW$2,IF(AND('Statement of Marks'!DD62="C"),'Marks Entry'!$AY$2,"")))))),"")</f>
        <v/>
      </c>
      <c r="T59" s="435" t="str">
        <f>IF(COUNTIF(K59:R59,"F")&gt;0,"",CONCATENATE('Statement of Marks'!GU62,'Statement of Marks'!GW62))</f>
        <v xml:space="preserve">           </v>
      </c>
      <c r="BG59" s="17">
        <f>IFERROR(VLOOKUP(B59,'Statement of Marks'!$B$8:'Statement of Marks'!$HI$207,41,0),"")</f>
        <v>15</v>
      </c>
      <c r="BH59" s="17" t="str">
        <f>IFERROR(VLOOKUP(B59,'Statement of Marks'!$B$8:'Statement of Marks'!$HI$207,66,0),"")</f>
        <v/>
      </c>
      <c r="BI59" s="17">
        <f>IFERROR(VLOOKUP(B59,'Statement of Marks'!$B$8:'Statement of Marks'!$HI$207,91,0),"")</f>
        <v>60</v>
      </c>
      <c r="BJ59" s="17" t="str">
        <f>IFERROR(VLOOKUP(B59,'Statement of Marks'!$B$8:'Statement of Marks'!$HI$207,117,0),"")</f>
        <v/>
      </c>
    </row>
    <row r="60" spans="1:62" ht="24.95" customHeight="1">
      <c r="A60" s="283">
        <f>IF('Statement of Marks'!A63="","",'Statement of Marks'!A63)</f>
        <v>56</v>
      </c>
      <c r="B60" s="283" t="str">
        <f>IF('Statement of Marks'!B63="","",'Statement of Marks'!B63)</f>
        <v/>
      </c>
      <c r="C60" s="283" t="str">
        <f>IF('Statement of Marks'!C63="","",'Statement of Marks'!C63)</f>
        <v/>
      </c>
      <c r="D60" s="430" t="str">
        <f>IF('Statement of Marks'!D63="","",'Statement of Marks'!D63)</f>
        <v/>
      </c>
      <c r="E60" s="431" t="str">
        <f>IF('Statement of Marks'!E63="","",'Statement of Marks'!E63)</f>
        <v/>
      </c>
      <c r="F60" s="431" t="str">
        <f>IF('Statement of Marks'!F63="","",'Statement of Marks'!F63)</f>
        <v/>
      </c>
      <c r="G60" s="431" t="str">
        <f>IF('Statement of Marks'!G63="","",'Statement of Marks'!G63)</f>
        <v/>
      </c>
      <c r="H60" s="432" t="str">
        <f>IF(B60="","",IF('Statement of Marks'!GY63="","",'Statement of Marks'!GY63))</f>
        <v/>
      </c>
      <c r="I60" s="286" t="str">
        <f>IF(B60="","",IF('Statement of Marks'!HB63="","",'Statement of Marks'!HB63))</f>
        <v/>
      </c>
      <c r="J60" s="433" t="str">
        <f>IF(B60="","",IF('Statement of Marks'!HC63="","",'Statement of Marks'!HC63))</f>
        <v/>
      </c>
      <c r="K60" s="295" t="str">
        <f>IF(B60="","",'Statement of Marks'!FJ63)</f>
        <v/>
      </c>
      <c r="L60" s="295" t="str">
        <f>IF(B60="","",'Statement of Marks'!FM63)</f>
        <v/>
      </c>
      <c r="M60" s="295" t="str">
        <f>IF(B60="","",'Statement of Marks'!FP63)</f>
        <v/>
      </c>
      <c r="N60" s="295" t="str">
        <f>IF(B60="","",'Statement of Marks'!FW63)</f>
        <v/>
      </c>
      <c r="O60" s="295" t="str">
        <f>IF(B60="","",'Statement of Marks'!GD63)</f>
        <v/>
      </c>
      <c r="P60" s="295" t="str">
        <f>IF(B60="","",'Statement of Marks'!GK63)</f>
        <v/>
      </c>
      <c r="Q60" s="295" t="str">
        <f>IF(B60="","",'Statement of Marks'!GR63)</f>
        <v/>
      </c>
      <c r="R60" s="295" t="str">
        <f>IF(B60="","",'Statement of Marks'!FF63)</f>
        <v/>
      </c>
      <c r="S60" s="434" t="str">
        <f>IFERROR(IF(B60="","",CONCATENATE(IF(AND('Marks Entry'!U63="A"),'Marks Entry'!$U$2,IF(AND('Marks Entry'!U63="B"),'Marks Entry'!$Y$2,IF(AND('Marks Entry'!U63="C"),'Marks Entry'!$AA$2,""))),", ",IF(AND('Marks Entry'!AC63="A"),'Marks Entry'!$AC$2,IF(AND('Marks Entry'!AC63="B"),'Marks Entry'!$AG$2,IF(AND('Marks Entry'!AC63="C"),'Marks Entry'!$AI$2,""))),", ",IF(AND('Marks Entry'!AK63="A"),'Marks Entry'!$AK$2,IF(AND('Marks Entry'!AK63="B"),'Marks Entry'!$AO$2,IF(AND('Marks Entry'!AK63="C"),'Marks Entry'!$AQ$2,""))),", ",IF(AND('Statement of Marks'!DD63=""),"",IF(AND('Statement of Marks'!DD63="A"),'Marks Entry'!$AS$2,IF(AND('Statement of Marks'!DD63="B"),'Marks Entry'!$AW$2,IF(AND('Statement of Marks'!DD63="C"),'Marks Entry'!$AY$2,"")))))),"")</f>
        <v/>
      </c>
      <c r="T60" s="435" t="str">
        <f>IF(COUNTIF(K60:R60,"F")&gt;0,"",CONCATENATE('Statement of Marks'!GU63,'Statement of Marks'!GW63))</f>
        <v xml:space="preserve">           </v>
      </c>
      <c r="BG60" s="17">
        <f>IFERROR(VLOOKUP(B60,'Statement of Marks'!$B$8:'Statement of Marks'!$HI$207,41,0),"")</f>
        <v>15</v>
      </c>
      <c r="BH60" s="17" t="str">
        <f>IFERROR(VLOOKUP(B60,'Statement of Marks'!$B$8:'Statement of Marks'!$HI$207,66,0),"")</f>
        <v/>
      </c>
      <c r="BI60" s="17">
        <f>IFERROR(VLOOKUP(B60,'Statement of Marks'!$B$8:'Statement of Marks'!$HI$207,91,0),"")</f>
        <v>60</v>
      </c>
      <c r="BJ60" s="17" t="str">
        <f>IFERROR(VLOOKUP(B60,'Statement of Marks'!$B$8:'Statement of Marks'!$HI$207,117,0),"")</f>
        <v/>
      </c>
    </row>
    <row r="61" spans="1:62" ht="24.95" customHeight="1">
      <c r="A61" s="283">
        <f>IF('Statement of Marks'!A64="","",'Statement of Marks'!A64)</f>
        <v>57</v>
      </c>
      <c r="B61" s="283" t="str">
        <f>IF('Statement of Marks'!B64="","",'Statement of Marks'!B64)</f>
        <v/>
      </c>
      <c r="C61" s="283" t="str">
        <f>IF('Statement of Marks'!C64="","",'Statement of Marks'!C64)</f>
        <v/>
      </c>
      <c r="D61" s="430" t="str">
        <f>IF('Statement of Marks'!D64="","",'Statement of Marks'!D64)</f>
        <v/>
      </c>
      <c r="E61" s="431" t="str">
        <f>IF('Statement of Marks'!E64="","",'Statement of Marks'!E64)</f>
        <v/>
      </c>
      <c r="F61" s="431" t="str">
        <f>IF('Statement of Marks'!F64="","",'Statement of Marks'!F64)</f>
        <v/>
      </c>
      <c r="G61" s="431" t="str">
        <f>IF('Statement of Marks'!G64="","",'Statement of Marks'!G64)</f>
        <v/>
      </c>
      <c r="H61" s="432" t="str">
        <f>IF(B61="","",IF('Statement of Marks'!GY64="","",'Statement of Marks'!GY64))</f>
        <v/>
      </c>
      <c r="I61" s="286" t="str">
        <f>IF(B61="","",IF('Statement of Marks'!HB64="","",'Statement of Marks'!HB64))</f>
        <v/>
      </c>
      <c r="J61" s="433" t="str">
        <f>IF(B61="","",IF('Statement of Marks'!HC64="","",'Statement of Marks'!HC64))</f>
        <v/>
      </c>
      <c r="K61" s="295" t="str">
        <f>IF(B61="","",'Statement of Marks'!FJ64)</f>
        <v/>
      </c>
      <c r="L61" s="295" t="str">
        <f>IF(B61="","",'Statement of Marks'!FM64)</f>
        <v/>
      </c>
      <c r="M61" s="295" t="str">
        <f>IF(B61="","",'Statement of Marks'!FP64)</f>
        <v/>
      </c>
      <c r="N61" s="295" t="str">
        <f>IF(B61="","",'Statement of Marks'!FW64)</f>
        <v/>
      </c>
      <c r="O61" s="295" t="str">
        <f>IF(B61="","",'Statement of Marks'!GD64)</f>
        <v/>
      </c>
      <c r="P61" s="295" t="str">
        <f>IF(B61="","",'Statement of Marks'!GK64)</f>
        <v/>
      </c>
      <c r="Q61" s="295" t="str">
        <f>IF(B61="","",'Statement of Marks'!GR64)</f>
        <v/>
      </c>
      <c r="R61" s="295" t="str">
        <f>IF(B61="","",'Statement of Marks'!FF64)</f>
        <v/>
      </c>
      <c r="S61" s="434" t="str">
        <f>IFERROR(IF(B61="","",CONCATENATE(IF(AND('Marks Entry'!U64="A"),'Marks Entry'!$U$2,IF(AND('Marks Entry'!U64="B"),'Marks Entry'!$Y$2,IF(AND('Marks Entry'!U64="C"),'Marks Entry'!$AA$2,""))),", ",IF(AND('Marks Entry'!AC64="A"),'Marks Entry'!$AC$2,IF(AND('Marks Entry'!AC64="B"),'Marks Entry'!$AG$2,IF(AND('Marks Entry'!AC64="C"),'Marks Entry'!$AI$2,""))),", ",IF(AND('Marks Entry'!AK64="A"),'Marks Entry'!$AK$2,IF(AND('Marks Entry'!AK64="B"),'Marks Entry'!$AO$2,IF(AND('Marks Entry'!AK64="C"),'Marks Entry'!$AQ$2,""))),", ",IF(AND('Statement of Marks'!DD64=""),"",IF(AND('Statement of Marks'!DD64="A"),'Marks Entry'!$AS$2,IF(AND('Statement of Marks'!DD64="B"),'Marks Entry'!$AW$2,IF(AND('Statement of Marks'!DD64="C"),'Marks Entry'!$AY$2,"")))))),"")</f>
        <v/>
      </c>
      <c r="T61" s="435" t="str">
        <f>IF(COUNTIF(K61:R61,"F")&gt;0,"",CONCATENATE('Statement of Marks'!GU64,'Statement of Marks'!GW64))</f>
        <v xml:space="preserve">           </v>
      </c>
      <c r="BG61" s="17">
        <f>IFERROR(VLOOKUP(B61,'Statement of Marks'!$B$8:'Statement of Marks'!$HI$207,41,0),"")</f>
        <v>15</v>
      </c>
      <c r="BH61" s="17" t="str">
        <f>IFERROR(VLOOKUP(B61,'Statement of Marks'!$B$8:'Statement of Marks'!$HI$207,66,0),"")</f>
        <v/>
      </c>
      <c r="BI61" s="17">
        <f>IFERROR(VLOOKUP(B61,'Statement of Marks'!$B$8:'Statement of Marks'!$HI$207,91,0),"")</f>
        <v>60</v>
      </c>
      <c r="BJ61" s="17" t="str">
        <f>IFERROR(VLOOKUP(B61,'Statement of Marks'!$B$8:'Statement of Marks'!$HI$207,117,0),"")</f>
        <v/>
      </c>
    </row>
    <row r="62" spans="1:62" ht="24.95" customHeight="1">
      <c r="A62" s="283">
        <f>IF('Statement of Marks'!A65="","",'Statement of Marks'!A65)</f>
        <v>58</v>
      </c>
      <c r="B62" s="283" t="str">
        <f>IF('Statement of Marks'!B65="","",'Statement of Marks'!B65)</f>
        <v/>
      </c>
      <c r="C62" s="283" t="str">
        <f>IF('Statement of Marks'!C65="","",'Statement of Marks'!C65)</f>
        <v/>
      </c>
      <c r="D62" s="430" t="str">
        <f>IF('Statement of Marks'!D65="","",'Statement of Marks'!D65)</f>
        <v/>
      </c>
      <c r="E62" s="431" t="str">
        <f>IF('Statement of Marks'!E65="","",'Statement of Marks'!E65)</f>
        <v/>
      </c>
      <c r="F62" s="431" t="str">
        <f>IF('Statement of Marks'!F65="","",'Statement of Marks'!F65)</f>
        <v/>
      </c>
      <c r="G62" s="431" t="str">
        <f>IF('Statement of Marks'!G65="","",'Statement of Marks'!G65)</f>
        <v/>
      </c>
      <c r="H62" s="432" t="str">
        <f>IF(B62="","",IF('Statement of Marks'!GY65="","",'Statement of Marks'!GY65))</f>
        <v/>
      </c>
      <c r="I62" s="286" t="str">
        <f>IF(B62="","",IF('Statement of Marks'!HB65="","",'Statement of Marks'!HB65))</f>
        <v/>
      </c>
      <c r="J62" s="433" t="str">
        <f>IF(B62="","",IF('Statement of Marks'!HC65="","",'Statement of Marks'!HC65))</f>
        <v/>
      </c>
      <c r="K62" s="295" t="str">
        <f>IF(B62="","",'Statement of Marks'!FJ65)</f>
        <v/>
      </c>
      <c r="L62" s="295" t="str">
        <f>IF(B62="","",'Statement of Marks'!FM65)</f>
        <v/>
      </c>
      <c r="M62" s="295" t="str">
        <f>IF(B62="","",'Statement of Marks'!FP65)</f>
        <v/>
      </c>
      <c r="N62" s="295" t="str">
        <f>IF(B62="","",'Statement of Marks'!FW65)</f>
        <v/>
      </c>
      <c r="O62" s="295" t="str">
        <f>IF(B62="","",'Statement of Marks'!GD65)</f>
        <v/>
      </c>
      <c r="P62" s="295" t="str">
        <f>IF(B62="","",'Statement of Marks'!GK65)</f>
        <v/>
      </c>
      <c r="Q62" s="295" t="str">
        <f>IF(B62="","",'Statement of Marks'!GR65)</f>
        <v/>
      </c>
      <c r="R62" s="295" t="str">
        <f>IF(B62="","",'Statement of Marks'!FF65)</f>
        <v/>
      </c>
      <c r="S62" s="434" t="str">
        <f>IFERROR(IF(B62="","",CONCATENATE(IF(AND('Marks Entry'!U65="A"),'Marks Entry'!$U$2,IF(AND('Marks Entry'!U65="B"),'Marks Entry'!$Y$2,IF(AND('Marks Entry'!U65="C"),'Marks Entry'!$AA$2,""))),", ",IF(AND('Marks Entry'!AC65="A"),'Marks Entry'!$AC$2,IF(AND('Marks Entry'!AC65="B"),'Marks Entry'!$AG$2,IF(AND('Marks Entry'!AC65="C"),'Marks Entry'!$AI$2,""))),", ",IF(AND('Marks Entry'!AK65="A"),'Marks Entry'!$AK$2,IF(AND('Marks Entry'!AK65="B"),'Marks Entry'!$AO$2,IF(AND('Marks Entry'!AK65="C"),'Marks Entry'!$AQ$2,""))),", ",IF(AND('Statement of Marks'!DD65=""),"",IF(AND('Statement of Marks'!DD65="A"),'Marks Entry'!$AS$2,IF(AND('Statement of Marks'!DD65="B"),'Marks Entry'!$AW$2,IF(AND('Statement of Marks'!DD65="C"),'Marks Entry'!$AY$2,"")))))),"")</f>
        <v/>
      </c>
      <c r="T62" s="435" t="str">
        <f>IF(COUNTIF(K62:R62,"F")&gt;0,"",CONCATENATE('Statement of Marks'!GU65,'Statement of Marks'!GW65))</f>
        <v xml:space="preserve">           </v>
      </c>
      <c r="BG62" s="17">
        <f>IFERROR(VLOOKUP(B62,'Statement of Marks'!$B$8:'Statement of Marks'!$HI$207,41,0),"")</f>
        <v>15</v>
      </c>
      <c r="BH62" s="17" t="str">
        <f>IFERROR(VLOOKUP(B62,'Statement of Marks'!$B$8:'Statement of Marks'!$HI$207,66,0),"")</f>
        <v/>
      </c>
      <c r="BI62" s="17">
        <f>IFERROR(VLOOKUP(B62,'Statement of Marks'!$B$8:'Statement of Marks'!$HI$207,91,0),"")</f>
        <v>60</v>
      </c>
      <c r="BJ62" s="17" t="str">
        <f>IFERROR(VLOOKUP(B62,'Statement of Marks'!$B$8:'Statement of Marks'!$HI$207,117,0),"")</f>
        <v/>
      </c>
    </row>
    <row r="63" spans="1:62" ht="24.95" customHeight="1">
      <c r="A63" s="283">
        <f>IF('Statement of Marks'!A66="","",'Statement of Marks'!A66)</f>
        <v>59</v>
      </c>
      <c r="B63" s="283" t="str">
        <f>IF('Statement of Marks'!B66="","",'Statement of Marks'!B66)</f>
        <v/>
      </c>
      <c r="C63" s="283" t="str">
        <f>IF('Statement of Marks'!C66="","",'Statement of Marks'!C66)</f>
        <v/>
      </c>
      <c r="D63" s="430" t="str">
        <f>IF('Statement of Marks'!D66="","",'Statement of Marks'!D66)</f>
        <v/>
      </c>
      <c r="E63" s="431" t="str">
        <f>IF('Statement of Marks'!E66="","",'Statement of Marks'!E66)</f>
        <v/>
      </c>
      <c r="F63" s="431" t="str">
        <f>IF('Statement of Marks'!F66="","",'Statement of Marks'!F66)</f>
        <v/>
      </c>
      <c r="G63" s="431" t="str">
        <f>IF('Statement of Marks'!G66="","",'Statement of Marks'!G66)</f>
        <v/>
      </c>
      <c r="H63" s="432" t="str">
        <f>IF(B63="","",IF('Statement of Marks'!GY66="","",'Statement of Marks'!GY66))</f>
        <v/>
      </c>
      <c r="I63" s="286" t="str">
        <f>IF(B63="","",IF('Statement of Marks'!HB66="","",'Statement of Marks'!HB66))</f>
        <v/>
      </c>
      <c r="J63" s="433" t="str">
        <f>IF(B63="","",IF('Statement of Marks'!HC66="","",'Statement of Marks'!HC66))</f>
        <v/>
      </c>
      <c r="K63" s="295" t="str">
        <f>IF(B63="","",'Statement of Marks'!FJ66)</f>
        <v/>
      </c>
      <c r="L63" s="295" t="str">
        <f>IF(B63="","",'Statement of Marks'!FM66)</f>
        <v/>
      </c>
      <c r="M63" s="295" t="str">
        <f>IF(B63="","",'Statement of Marks'!FP66)</f>
        <v/>
      </c>
      <c r="N63" s="295" t="str">
        <f>IF(B63="","",'Statement of Marks'!FW66)</f>
        <v/>
      </c>
      <c r="O63" s="295" t="str">
        <f>IF(B63="","",'Statement of Marks'!GD66)</f>
        <v/>
      </c>
      <c r="P63" s="295" t="str">
        <f>IF(B63="","",'Statement of Marks'!GK66)</f>
        <v/>
      </c>
      <c r="Q63" s="295" t="str">
        <f>IF(B63="","",'Statement of Marks'!GR66)</f>
        <v/>
      </c>
      <c r="R63" s="295" t="str">
        <f>IF(B63="","",'Statement of Marks'!FF66)</f>
        <v/>
      </c>
      <c r="S63" s="434" t="str">
        <f>IFERROR(IF(B63="","",CONCATENATE(IF(AND('Marks Entry'!U66="A"),'Marks Entry'!$U$2,IF(AND('Marks Entry'!U66="B"),'Marks Entry'!$Y$2,IF(AND('Marks Entry'!U66="C"),'Marks Entry'!$AA$2,""))),", ",IF(AND('Marks Entry'!AC66="A"),'Marks Entry'!$AC$2,IF(AND('Marks Entry'!AC66="B"),'Marks Entry'!$AG$2,IF(AND('Marks Entry'!AC66="C"),'Marks Entry'!$AI$2,""))),", ",IF(AND('Marks Entry'!AK66="A"),'Marks Entry'!$AK$2,IF(AND('Marks Entry'!AK66="B"),'Marks Entry'!$AO$2,IF(AND('Marks Entry'!AK66="C"),'Marks Entry'!$AQ$2,""))),", ",IF(AND('Statement of Marks'!DD66=""),"",IF(AND('Statement of Marks'!DD66="A"),'Marks Entry'!$AS$2,IF(AND('Statement of Marks'!DD66="B"),'Marks Entry'!$AW$2,IF(AND('Statement of Marks'!DD66="C"),'Marks Entry'!$AY$2,"")))))),"")</f>
        <v/>
      </c>
      <c r="T63" s="435" t="str">
        <f>IF(COUNTIF(K63:R63,"F")&gt;0,"",CONCATENATE('Statement of Marks'!GU66,'Statement of Marks'!GW66))</f>
        <v xml:space="preserve">           </v>
      </c>
      <c r="BG63" s="17">
        <f>IFERROR(VLOOKUP(B63,'Statement of Marks'!$B$8:'Statement of Marks'!$HI$207,41,0),"")</f>
        <v>15</v>
      </c>
      <c r="BH63" s="17" t="str">
        <f>IFERROR(VLOOKUP(B63,'Statement of Marks'!$B$8:'Statement of Marks'!$HI$207,66,0),"")</f>
        <v/>
      </c>
      <c r="BI63" s="17">
        <f>IFERROR(VLOOKUP(B63,'Statement of Marks'!$B$8:'Statement of Marks'!$HI$207,91,0),"")</f>
        <v>60</v>
      </c>
      <c r="BJ63" s="17" t="str">
        <f>IFERROR(VLOOKUP(B63,'Statement of Marks'!$B$8:'Statement of Marks'!$HI$207,117,0),"")</f>
        <v/>
      </c>
    </row>
    <row r="64" spans="1:62" ht="24.95" customHeight="1">
      <c r="A64" s="283">
        <f>IF('Statement of Marks'!A67="","",'Statement of Marks'!A67)</f>
        <v>60</v>
      </c>
      <c r="B64" s="283" t="str">
        <f>IF('Statement of Marks'!B67="","",'Statement of Marks'!B67)</f>
        <v/>
      </c>
      <c r="C64" s="283" t="str">
        <f>IF('Statement of Marks'!C67="","",'Statement of Marks'!C67)</f>
        <v/>
      </c>
      <c r="D64" s="430" t="str">
        <f>IF('Statement of Marks'!D67="","",'Statement of Marks'!D67)</f>
        <v/>
      </c>
      <c r="E64" s="431" t="str">
        <f>IF('Statement of Marks'!E67="","",'Statement of Marks'!E67)</f>
        <v/>
      </c>
      <c r="F64" s="431" t="str">
        <f>IF('Statement of Marks'!F67="","",'Statement of Marks'!F67)</f>
        <v/>
      </c>
      <c r="G64" s="431" t="str">
        <f>IF('Statement of Marks'!G67="","",'Statement of Marks'!G67)</f>
        <v/>
      </c>
      <c r="H64" s="432" t="str">
        <f>IF(B64="","",IF('Statement of Marks'!GY67="","",'Statement of Marks'!GY67))</f>
        <v/>
      </c>
      <c r="I64" s="286" t="str">
        <f>IF(B64="","",IF('Statement of Marks'!HB67="","",'Statement of Marks'!HB67))</f>
        <v/>
      </c>
      <c r="J64" s="433" t="str">
        <f>IF(B64="","",IF('Statement of Marks'!HC67="","",'Statement of Marks'!HC67))</f>
        <v/>
      </c>
      <c r="K64" s="295" t="str">
        <f>IF(B64="","",'Statement of Marks'!FJ67)</f>
        <v/>
      </c>
      <c r="L64" s="295" t="str">
        <f>IF(B64="","",'Statement of Marks'!FM67)</f>
        <v/>
      </c>
      <c r="M64" s="295" t="str">
        <f>IF(B64="","",'Statement of Marks'!FP67)</f>
        <v/>
      </c>
      <c r="N64" s="295" t="str">
        <f>IF(B64="","",'Statement of Marks'!FW67)</f>
        <v/>
      </c>
      <c r="O64" s="295" t="str">
        <f>IF(B64="","",'Statement of Marks'!GD67)</f>
        <v/>
      </c>
      <c r="P64" s="295" t="str">
        <f>IF(B64="","",'Statement of Marks'!GK67)</f>
        <v/>
      </c>
      <c r="Q64" s="295" t="str">
        <f>IF(B64="","",'Statement of Marks'!GR67)</f>
        <v/>
      </c>
      <c r="R64" s="295" t="str">
        <f>IF(B64="","",'Statement of Marks'!FF67)</f>
        <v/>
      </c>
      <c r="S64" s="434" t="str">
        <f>IFERROR(IF(B64="","",CONCATENATE(IF(AND('Marks Entry'!U67="A"),'Marks Entry'!$U$2,IF(AND('Marks Entry'!U67="B"),'Marks Entry'!$Y$2,IF(AND('Marks Entry'!U67="C"),'Marks Entry'!$AA$2,""))),", ",IF(AND('Marks Entry'!AC67="A"),'Marks Entry'!$AC$2,IF(AND('Marks Entry'!AC67="B"),'Marks Entry'!$AG$2,IF(AND('Marks Entry'!AC67="C"),'Marks Entry'!$AI$2,""))),", ",IF(AND('Marks Entry'!AK67="A"),'Marks Entry'!$AK$2,IF(AND('Marks Entry'!AK67="B"),'Marks Entry'!$AO$2,IF(AND('Marks Entry'!AK67="C"),'Marks Entry'!$AQ$2,""))),", ",IF(AND('Statement of Marks'!DD67=""),"",IF(AND('Statement of Marks'!DD67="A"),'Marks Entry'!$AS$2,IF(AND('Statement of Marks'!DD67="B"),'Marks Entry'!$AW$2,IF(AND('Statement of Marks'!DD67="C"),'Marks Entry'!$AY$2,"")))))),"")</f>
        <v/>
      </c>
      <c r="T64" s="435" t="str">
        <f>IF(COUNTIF(K64:R64,"F")&gt;0,"",CONCATENATE('Statement of Marks'!GU67,'Statement of Marks'!GW67))</f>
        <v xml:space="preserve">           </v>
      </c>
      <c r="BG64" s="17">
        <f>IFERROR(VLOOKUP(B64,'Statement of Marks'!$B$8:'Statement of Marks'!$HI$207,41,0),"")</f>
        <v>15</v>
      </c>
      <c r="BH64" s="17" t="str">
        <f>IFERROR(VLOOKUP(B64,'Statement of Marks'!$B$8:'Statement of Marks'!$HI$207,66,0),"")</f>
        <v/>
      </c>
      <c r="BI64" s="17">
        <f>IFERROR(VLOOKUP(B64,'Statement of Marks'!$B$8:'Statement of Marks'!$HI$207,91,0),"")</f>
        <v>60</v>
      </c>
      <c r="BJ64" s="17" t="str">
        <f>IFERROR(VLOOKUP(B64,'Statement of Marks'!$B$8:'Statement of Marks'!$HI$207,117,0),"")</f>
        <v/>
      </c>
    </row>
    <row r="65" spans="1:62" ht="24.95" customHeight="1">
      <c r="A65" s="283">
        <f>IF('Statement of Marks'!A68="","",'Statement of Marks'!A68)</f>
        <v>61</v>
      </c>
      <c r="B65" s="283" t="str">
        <f>IF('Statement of Marks'!B68="","",'Statement of Marks'!B68)</f>
        <v/>
      </c>
      <c r="C65" s="283" t="str">
        <f>IF('Statement of Marks'!C68="","",'Statement of Marks'!C68)</f>
        <v/>
      </c>
      <c r="D65" s="430" t="str">
        <f>IF('Statement of Marks'!D68="","",'Statement of Marks'!D68)</f>
        <v/>
      </c>
      <c r="E65" s="431" t="str">
        <f>IF('Statement of Marks'!E68="","",'Statement of Marks'!E68)</f>
        <v/>
      </c>
      <c r="F65" s="431" t="str">
        <f>IF('Statement of Marks'!F68="","",'Statement of Marks'!F68)</f>
        <v/>
      </c>
      <c r="G65" s="431" t="str">
        <f>IF('Statement of Marks'!G68="","",'Statement of Marks'!G68)</f>
        <v/>
      </c>
      <c r="H65" s="432" t="str">
        <f>IF(B65="","",IF('Statement of Marks'!GY68="","",'Statement of Marks'!GY68))</f>
        <v/>
      </c>
      <c r="I65" s="286" t="str">
        <f>IF(B65="","",IF('Statement of Marks'!HB68="","",'Statement of Marks'!HB68))</f>
        <v/>
      </c>
      <c r="J65" s="433" t="str">
        <f>IF(B65="","",IF('Statement of Marks'!HC68="","",'Statement of Marks'!HC68))</f>
        <v/>
      </c>
      <c r="K65" s="295" t="str">
        <f>IF(B65="","",'Statement of Marks'!FJ68)</f>
        <v/>
      </c>
      <c r="L65" s="295" t="str">
        <f>IF(B65="","",'Statement of Marks'!FM68)</f>
        <v/>
      </c>
      <c r="M65" s="295" t="str">
        <f>IF(B65="","",'Statement of Marks'!FP68)</f>
        <v/>
      </c>
      <c r="N65" s="295" t="str">
        <f>IF(B65="","",'Statement of Marks'!FW68)</f>
        <v/>
      </c>
      <c r="O65" s="295" t="str">
        <f>IF(B65="","",'Statement of Marks'!GD68)</f>
        <v/>
      </c>
      <c r="P65" s="295" t="str">
        <f>IF(B65="","",'Statement of Marks'!GK68)</f>
        <v/>
      </c>
      <c r="Q65" s="295" t="str">
        <f>IF(B65="","",'Statement of Marks'!GR68)</f>
        <v/>
      </c>
      <c r="R65" s="295" t="str">
        <f>IF(B65="","",'Statement of Marks'!FF68)</f>
        <v/>
      </c>
      <c r="S65" s="434" t="str">
        <f>IFERROR(IF(B65="","",CONCATENATE(IF(AND('Marks Entry'!U68="A"),'Marks Entry'!$U$2,IF(AND('Marks Entry'!U68="B"),'Marks Entry'!$Y$2,IF(AND('Marks Entry'!U68="C"),'Marks Entry'!$AA$2,""))),", ",IF(AND('Marks Entry'!AC68="A"),'Marks Entry'!$AC$2,IF(AND('Marks Entry'!AC68="B"),'Marks Entry'!$AG$2,IF(AND('Marks Entry'!AC68="C"),'Marks Entry'!$AI$2,""))),", ",IF(AND('Marks Entry'!AK68="A"),'Marks Entry'!$AK$2,IF(AND('Marks Entry'!AK68="B"),'Marks Entry'!$AO$2,IF(AND('Marks Entry'!AK68="C"),'Marks Entry'!$AQ$2,""))),", ",IF(AND('Statement of Marks'!DD68=""),"",IF(AND('Statement of Marks'!DD68="A"),'Marks Entry'!$AS$2,IF(AND('Statement of Marks'!DD68="B"),'Marks Entry'!$AW$2,IF(AND('Statement of Marks'!DD68="C"),'Marks Entry'!$AY$2,"")))))),"")</f>
        <v/>
      </c>
      <c r="T65" s="435" t="str">
        <f>IF(COUNTIF(K65:R65,"F")&gt;0,"",CONCATENATE('Statement of Marks'!GU68,'Statement of Marks'!GW68))</f>
        <v xml:space="preserve">           </v>
      </c>
      <c r="BG65" s="17">
        <f>IFERROR(VLOOKUP(B65,'Statement of Marks'!$B$8:'Statement of Marks'!$HI$207,41,0),"")</f>
        <v>15</v>
      </c>
      <c r="BH65" s="17" t="str">
        <f>IFERROR(VLOOKUP(B65,'Statement of Marks'!$B$8:'Statement of Marks'!$HI$207,66,0),"")</f>
        <v/>
      </c>
      <c r="BI65" s="17">
        <f>IFERROR(VLOOKUP(B65,'Statement of Marks'!$B$8:'Statement of Marks'!$HI$207,91,0),"")</f>
        <v>60</v>
      </c>
      <c r="BJ65" s="17" t="str">
        <f>IFERROR(VLOOKUP(B65,'Statement of Marks'!$B$8:'Statement of Marks'!$HI$207,117,0),"")</f>
        <v/>
      </c>
    </row>
    <row r="66" spans="1:62" ht="24.95" customHeight="1">
      <c r="A66" s="283">
        <f>IF('Statement of Marks'!A69="","",'Statement of Marks'!A69)</f>
        <v>62</v>
      </c>
      <c r="B66" s="283" t="str">
        <f>IF('Statement of Marks'!B69="","",'Statement of Marks'!B69)</f>
        <v/>
      </c>
      <c r="C66" s="283" t="str">
        <f>IF('Statement of Marks'!C69="","",'Statement of Marks'!C69)</f>
        <v/>
      </c>
      <c r="D66" s="430" t="str">
        <f>IF('Statement of Marks'!D69="","",'Statement of Marks'!D69)</f>
        <v/>
      </c>
      <c r="E66" s="431" t="str">
        <f>IF('Statement of Marks'!E69="","",'Statement of Marks'!E69)</f>
        <v/>
      </c>
      <c r="F66" s="431" t="str">
        <f>IF('Statement of Marks'!F69="","",'Statement of Marks'!F69)</f>
        <v/>
      </c>
      <c r="G66" s="431" t="str">
        <f>IF('Statement of Marks'!G69="","",'Statement of Marks'!G69)</f>
        <v/>
      </c>
      <c r="H66" s="432" t="str">
        <f>IF(B66="","",IF('Statement of Marks'!GY69="","",'Statement of Marks'!GY69))</f>
        <v/>
      </c>
      <c r="I66" s="286" t="str">
        <f>IF(B66="","",IF('Statement of Marks'!HB69="","",'Statement of Marks'!HB69))</f>
        <v/>
      </c>
      <c r="J66" s="433" t="str">
        <f>IF(B66="","",IF('Statement of Marks'!HC69="","",'Statement of Marks'!HC69))</f>
        <v/>
      </c>
      <c r="K66" s="295" t="str">
        <f>IF(B66="","",'Statement of Marks'!FJ69)</f>
        <v/>
      </c>
      <c r="L66" s="295" t="str">
        <f>IF(B66="","",'Statement of Marks'!FM69)</f>
        <v/>
      </c>
      <c r="M66" s="295" t="str">
        <f>IF(B66="","",'Statement of Marks'!FP69)</f>
        <v/>
      </c>
      <c r="N66" s="295" t="str">
        <f>IF(B66="","",'Statement of Marks'!FW69)</f>
        <v/>
      </c>
      <c r="O66" s="295" t="str">
        <f>IF(B66="","",'Statement of Marks'!GD69)</f>
        <v/>
      </c>
      <c r="P66" s="295" t="str">
        <f>IF(B66="","",'Statement of Marks'!GK69)</f>
        <v/>
      </c>
      <c r="Q66" s="295" t="str">
        <f>IF(B66="","",'Statement of Marks'!GR69)</f>
        <v/>
      </c>
      <c r="R66" s="295" t="str">
        <f>IF(B66="","",'Statement of Marks'!FF69)</f>
        <v/>
      </c>
      <c r="S66" s="434" t="str">
        <f>IFERROR(IF(B66="","",CONCATENATE(IF(AND('Marks Entry'!U69="A"),'Marks Entry'!$U$2,IF(AND('Marks Entry'!U69="B"),'Marks Entry'!$Y$2,IF(AND('Marks Entry'!U69="C"),'Marks Entry'!$AA$2,""))),", ",IF(AND('Marks Entry'!AC69="A"),'Marks Entry'!$AC$2,IF(AND('Marks Entry'!AC69="B"),'Marks Entry'!$AG$2,IF(AND('Marks Entry'!AC69="C"),'Marks Entry'!$AI$2,""))),", ",IF(AND('Marks Entry'!AK69="A"),'Marks Entry'!$AK$2,IF(AND('Marks Entry'!AK69="B"),'Marks Entry'!$AO$2,IF(AND('Marks Entry'!AK69="C"),'Marks Entry'!$AQ$2,""))),", ",IF(AND('Statement of Marks'!DD69=""),"",IF(AND('Statement of Marks'!DD69="A"),'Marks Entry'!$AS$2,IF(AND('Statement of Marks'!DD69="B"),'Marks Entry'!$AW$2,IF(AND('Statement of Marks'!DD69="C"),'Marks Entry'!$AY$2,"")))))),"")</f>
        <v/>
      </c>
      <c r="T66" s="435" t="str">
        <f>IF(COUNTIF(K66:R66,"F")&gt;0,"",CONCATENATE('Statement of Marks'!GU69,'Statement of Marks'!GW69))</f>
        <v xml:space="preserve">           </v>
      </c>
      <c r="BG66" s="17">
        <f>IFERROR(VLOOKUP(B66,'Statement of Marks'!$B$8:'Statement of Marks'!$HI$207,41,0),"")</f>
        <v>15</v>
      </c>
      <c r="BH66" s="17" t="str">
        <f>IFERROR(VLOOKUP(B66,'Statement of Marks'!$B$8:'Statement of Marks'!$HI$207,66,0),"")</f>
        <v/>
      </c>
      <c r="BI66" s="17">
        <f>IFERROR(VLOOKUP(B66,'Statement of Marks'!$B$8:'Statement of Marks'!$HI$207,91,0),"")</f>
        <v>60</v>
      </c>
      <c r="BJ66" s="17" t="str">
        <f>IFERROR(VLOOKUP(B66,'Statement of Marks'!$B$8:'Statement of Marks'!$HI$207,117,0),"")</f>
        <v/>
      </c>
    </row>
    <row r="67" spans="1:62" ht="24.95" customHeight="1">
      <c r="A67" s="283">
        <f>IF('Statement of Marks'!A70="","",'Statement of Marks'!A70)</f>
        <v>63</v>
      </c>
      <c r="B67" s="283" t="str">
        <f>IF('Statement of Marks'!B70="","",'Statement of Marks'!B70)</f>
        <v/>
      </c>
      <c r="C67" s="283" t="str">
        <f>IF('Statement of Marks'!C70="","",'Statement of Marks'!C70)</f>
        <v/>
      </c>
      <c r="D67" s="430" t="str">
        <f>IF('Statement of Marks'!D70="","",'Statement of Marks'!D70)</f>
        <v/>
      </c>
      <c r="E67" s="431" t="str">
        <f>IF('Statement of Marks'!E70="","",'Statement of Marks'!E70)</f>
        <v/>
      </c>
      <c r="F67" s="431" t="str">
        <f>IF('Statement of Marks'!F70="","",'Statement of Marks'!F70)</f>
        <v/>
      </c>
      <c r="G67" s="431" t="str">
        <f>IF('Statement of Marks'!G70="","",'Statement of Marks'!G70)</f>
        <v/>
      </c>
      <c r="H67" s="432" t="str">
        <f>IF(B67="","",IF('Statement of Marks'!GY70="","",'Statement of Marks'!GY70))</f>
        <v/>
      </c>
      <c r="I67" s="286" t="str">
        <f>IF(B67="","",IF('Statement of Marks'!HB70="","",'Statement of Marks'!HB70))</f>
        <v/>
      </c>
      <c r="J67" s="433" t="str">
        <f>IF(B67="","",IF('Statement of Marks'!HC70="","",'Statement of Marks'!HC70))</f>
        <v/>
      </c>
      <c r="K67" s="295" t="str">
        <f>IF(B67="","",'Statement of Marks'!FJ70)</f>
        <v/>
      </c>
      <c r="L67" s="295" t="str">
        <f>IF(B67="","",'Statement of Marks'!FM70)</f>
        <v/>
      </c>
      <c r="M67" s="295" t="str">
        <f>IF(B67="","",'Statement of Marks'!FP70)</f>
        <v/>
      </c>
      <c r="N67" s="295" t="str">
        <f>IF(B67="","",'Statement of Marks'!FW70)</f>
        <v/>
      </c>
      <c r="O67" s="295" t="str">
        <f>IF(B67="","",'Statement of Marks'!GD70)</f>
        <v/>
      </c>
      <c r="P67" s="295" t="str">
        <f>IF(B67="","",'Statement of Marks'!GK70)</f>
        <v/>
      </c>
      <c r="Q67" s="295" t="str">
        <f>IF(B67="","",'Statement of Marks'!GR70)</f>
        <v/>
      </c>
      <c r="R67" s="295" t="str">
        <f>IF(B67="","",'Statement of Marks'!FF70)</f>
        <v/>
      </c>
      <c r="S67" s="434" t="str">
        <f>IFERROR(IF(B67="","",CONCATENATE(IF(AND('Marks Entry'!U70="A"),'Marks Entry'!$U$2,IF(AND('Marks Entry'!U70="B"),'Marks Entry'!$Y$2,IF(AND('Marks Entry'!U70="C"),'Marks Entry'!$AA$2,""))),", ",IF(AND('Marks Entry'!AC70="A"),'Marks Entry'!$AC$2,IF(AND('Marks Entry'!AC70="B"),'Marks Entry'!$AG$2,IF(AND('Marks Entry'!AC70="C"),'Marks Entry'!$AI$2,""))),", ",IF(AND('Marks Entry'!AK70="A"),'Marks Entry'!$AK$2,IF(AND('Marks Entry'!AK70="B"),'Marks Entry'!$AO$2,IF(AND('Marks Entry'!AK70="C"),'Marks Entry'!$AQ$2,""))),", ",IF(AND('Statement of Marks'!DD70=""),"",IF(AND('Statement of Marks'!DD70="A"),'Marks Entry'!$AS$2,IF(AND('Statement of Marks'!DD70="B"),'Marks Entry'!$AW$2,IF(AND('Statement of Marks'!DD70="C"),'Marks Entry'!$AY$2,"")))))),"")</f>
        <v/>
      </c>
      <c r="T67" s="435" t="str">
        <f>IF(COUNTIF(K67:R67,"F")&gt;0,"",CONCATENATE('Statement of Marks'!GU70,'Statement of Marks'!GW70))</f>
        <v xml:space="preserve">           </v>
      </c>
      <c r="BG67" s="17">
        <f>IFERROR(VLOOKUP(B67,'Statement of Marks'!$B$8:'Statement of Marks'!$HI$207,41,0),"")</f>
        <v>15</v>
      </c>
      <c r="BH67" s="17" t="str">
        <f>IFERROR(VLOOKUP(B67,'Statement of Marks'!$B$8:'Statement of Marks'!$HI$207,66,0),"")</f>
        <v/>
      </c>
      <c r="BI67" s="17">
        <f>IFERROR(VLOOKUP(B67,'Statement of Marks'!$B$8:'Statement of Marks'!$HI$207,91,0),"")</f>
        <v>60</v>
      </c>
      <c r="BJ67" s="17" t="str">
        <f>IFERROR(VLOOKUP(B67,'Statement of Marks'!$B$8:'Statement of Marks'!$HI$207,117,0),"")</f>
        <v/>
      </c>
    </row>
    <row r="68" spans="1:62" ht="24.95" customHeight="1">
      <c r="A68" s="283">
        <f>IF('Statement of Marks'!A71="","",'Statement of Marks'!A71)</f>
        <v>64</v>
      </c>
      <c r="B68" s="283" t="str">
        <f>IF('Statement of Marks'!B71="","",'Statement of Marks'!B71)</f>
        <v/>
      </c>
      <c r="C68" s="283" t="str">
        <f>IF('Statement of Marks'!C71="","",'Statement of Marks'!C71)</f>
        <v/>
      </c>
      <c r="D68" s="430" t="str">
        <f>IF('Statement of Marks'!D71="","",'Statement of Marks'!D71)</f>
        <v/>
      </c>
      <c r="E68" s="431" t="str">
        <f>IF('Statement of Marks'!E71="","",'Statement of Marks'!E71)</f>
        <v/>
      </c>
      <c r="F68" s="431" t="str">
        <f>IF('Statement of Marks'!F71="","",'Statement of Marks'!F71)</f>
        <v/>
      </c>
      <c r="G68" s="431" t="str">
        <f>IF('Statement of Marks'!G71="","",'Statement of Marks'!G71)</f>
        <v/>
      </c>
      <c r="H68" s="432" t="str">
        <f>IF(B68="","",IF('Statement of Marks'!GY71="","",'Statement of Marks'!GY71))</f>
        <v/>
      </c>
      <c r="I68" s="286" t="str">
        <f>IF(B68="","",IF('Statement of Marks'!HB71="","",'Statement of Marks'!HB71))</f>
        <v/>
      </c>
      <c r="J68" s="433" t="str">
        <f>IF(B68="","",IF('Statement of Marks'!HC71="","",'Statement of Marks'!HC71))</f>
        <v/>
      </c>
      <c r="K68" s="295" t="str">
        <f>IF(B68="","",'Statement of Marks'!FJ71)</f>
        <v/>
      </c>
      <c r="L68" s="295" t="str">
        <f>IF(B68="","",'Statement of Marks'!FM71)</f>
        <v/>
      </c>
      <c r="M68" s="295" t="str">
        <f>IF(B68="","",'Statement of Marks'!FP71)</f>
        <v/>
      </c>
      <c r="N68" s="295" t="str">
        <f>IF(B68="","",'Statement of Marks'!FW71)</f>
        <v/>
      </c>
      <c r="O68" s="295" t="str">
        <f>IF(B68="","",'Statement of Marks'!GD71)</f>
        <v/>
      </c>
      <c r="P68" s="295" t="str">
        <f>IF(B68="","",'Statement of Marks'!GK71)</f>
        <v/>
      </c>
      <c r="Q68" s="295" t="str">
        <f>IF(B68="","",'Statement of Marks'!GR71)</f>
        <v/>
      </c>
      <c r="R68" s="295" t="str">
        <f>IF(B68="","",'Statement of Marks'!FF71)</f>
        <v/>
      </c>
      <c r="S68" s="434" t="str">
        <f>IFERROR(IF(B68="","",CONCATENATE(IF(AND('Marks Entry'!U71="A"),'Marks Entry'!$U$2,IF(AND('Marks Entry'!U71="B"),'Marks Entry'!$Y$2,IF(AND('Marks Entry'!U71="C"),'Marks Entry'!$AA$2,""))),", ",IF(AND('Marks Entry'!AC71="A"),'Marks Entry'!$AC$2,IF(AND('Marks Entry'!AC71="B"),'Marks Entry'!$AG$2,IF(AND('Marks Entry'!AC71="C"),'Marks Entry'!$AI$2,""))),", ",IF(AND('Marks Entry'!AK71="A"),'Marks Entry'!$AK$2,IF(AND('Marks Entry'!AK71="B"),'Marks Entry'!$AO$2,IF(AND('Marks Entry'!AK71="C"),'Marks Entry'!$AQ$2,""))),", ",IF(AND('Statement of Marks'!DD71=""),"",IF(AND('Statement of Marks'!DD71="A"),'Marks Entry'!$AS$2,IF(AND('Statement of Marks'!DD71="B"),'Marks Entry'!$AW$2,IF(AND('Statement of Marks'!DD71="C"),'Marks Entry'!$AY$2,"")))))),"")</f>
        <v/>
      </c>
      <c r="T68" s="435" t="str">
        <f>IF(COUNTIF(K68:R68,"F")&gt;0,"",CONCATENATE('Statement of Marks'!GU71,'Statement of Marks'!GW71))</f>
        <v xml:space="preserve">           </v>
      </c>
      <c r="BG68" s="17">
        <f>IFERROR(VLOOKUP(B68,'Statement of Marks'!$B$8:'Statement of Marks'!$HI$207,41,0),"")</f>
        <v>15</v>
      </c>
      <c r="BH68" s="17" t="str">
        <f>IFERROR(VLOOKUP(B68,'Statement of Marks'!$B$8:'Statement of Marks'!$HI$207,66,0),"")</f>
        <v/>
      </c>
      <c r="BI68" s="17">
        <f>IFERROR(VLOOKUP(B68,'Statement of Marks'!$B$8:'Statement of Marks'!$HI$207,91,0),"")</f>
        <v>60</v>
      </c>
      <c r="BJ68" s="17" t="str">
        <f>IFERROR(VLOOKUP(B68,'Statement of Marks'!$B$8:'Statement of Marks'!$HI$207,117,0),"")</f>
        <v/>
      </c>
    </row>
    <row r="69" spans="1:62" ht="24.95" customHeight="1">
      <c r="A69" s="283">
        <f>IF('Statement of Marks'!A72="","",'Statement of Marks'!A72)</f>
        <v>65</v>
      </c>
      <c r="B69" s="283" t="str">
        <f>IF('Statement of Marks'!B72="","",'Statement of Marks'!B72)</f>
        <v/>
      </c>
      <c r="C69" s="283" t="str">
        <f>IF('Statement of Marks'!C72="","",'Statement of Marks'!C72)</f>
        <v/>
      </c>
      <c r="D69" s="430" t="str">
        <f>IF('Statement of Marks'!D72="","",'Statement of Marks'!D72)</f>
        <v/>
      </c>
      <c r="E69" s="431" t="str">
        <f>IF('Statement of Marks'!E72="","",'Statement of Marks'!E72)</f>
        <v/>
      </c>
      <c r="F69" s="431" t="str">
        <f>IF('Statement of Marks'!F72="","",'Statement of Marks'!F72)</f>
        <v/>
      </c>
      <c r="G69" s="431" t="str">
        <f>IF('Statement of Marks'!G72="","",'Statement of Marks'!G72)</f>
        <v/>
      </c>
      <c r="H69" s="432" t="str">
        <f>IF(B69="","",IF('Statement of Marks'!GY72="","",'Statement of Marks'!GY72))</f>
        <v/>
      </c>
      <c r="I69" s="286" t="str">
        <f>IF(B69="","",IF('Statement of Marks'!HB72="","",'Statement of Marks'!HB72))</f>
        <v/>
      </c>
      <c r="J69" s="433" t="str">
        <f>IF(B69="","",IF('Statement of Marks'!HC72="","",'Statement of Marks'!HC72))</f>
        <v/>
      </c>
      <c r="K69" s="295" t="str">
        <f>IF(B69="","",'Statement of Marks'!FJ72)</f>
        <v/>
      </c>
      <c r="L69" s="295" t="str">
        <f>IF(B69="","",'Statement of Marks'!FM72)</f>
        <v/>
      </c>
      <c r="M69" s="295" t="str">
        <f>IF(B69="","",'Statement of Marks'!FP72)</f>
        <v/>
      </c>
      <c r="N69" s="295" t="str">
        <f>IF(B69="","",'Statement of Marks'!FW72)</f>
        <v/>
      </c>
      <c r="O69" s="295" t="str">
        <f>IF(B69="","",'Statement of Marks'!GD72)</f>
        <v/>
      </c>
      <c r="P69" s="295" t="str">
        <f>IF(B69="","",'Statement of Marks'!GK72)</f>
        <v/>
      </c>
      <c r="Q69" s="295" t="str">
        <f>IF(B69="","",'Statement of Marks'!GR72)</f>
        <v/>
      </c>
      <c r="R69" s="295" t="str">
        <f>IF(B69="","",'Statement of Marks'!FF72)</f>
        <v/>
      </c>
      <c r="S69" s="434" t="str">
        <f>IFERROR(IF(B69="","",CONCATENATE(IF(AND('Marks Entry'!U72="A"),'Marks Entry'!$U$2,IF(AND('Marks Entry'!U72="B"),'Marks Entry'!$Y$2,IF(AND('Marks Entry'!U72="C"),'Marks Entry'!$AA$2,""))),", ",IF(AND('Marks Entry'!AC72="A"),'Marks Entry'!$AC$2,IF(AND('Marks Entry'!AC72="B"),'Marks Entry'!$AG$2,IF(AND('Marks Entry'!AC72="C"),'Marks Entry'!$AI$2,""))),", ",IF(AND('Marks Entry'!AK72="A"),'Marks Entry'!$AK$2,IF(AND('Marks Entry'!AK72="B"),'Marks Entry'!$AO$2,IF(AND('Marks Entry'!AK72="C"),'Marks Entry'!$AQ$2,""))),", ",IF(AND('Statement of Marks'!DD72=""),"",IF(AND('Statement of Marks'!DD72="A"),'Marks Entry'!$AS$2,IF(AND('Statement of Marks'!DD72="B"),'Marks Entry'!$AW$2,IF(AND('Statement of Marks'!DD72="C"),'Marks Entry'!$AY$2,"")))))),"")</f>
        <v/>
      </c>
      <c r="T69" s="435" t="str">
        <f>IF(COUNTIF(K69:R69,"F")&gt;0,"",CONCATENATE('Statement of Marks'!GU72,'Statement of Marks'!GW72))</f>
        <v xml:space="preserve">           </v>
      </c>
      <c r="BG69" s="17">
        <f>IFERROR(VLOOKUP(B69,'Statement of Marks'!$B$8:'Statement of Marks'!$HI$207,41,0),"")</f>
        <v>15</v>
      </c>
      <c r="BH69" s="17" t="str">
        <f>IFERROR(VLOOKUP(B69,'Statement of Marks'!$B$8:'Statement of Marks'!$HI$207,66,0),"")</f>
        <v/>
      </c>
      <c r="BI69" s="17">
        <f>IFERROR(VLOOKUP(B69,'Statement of Marks'!$B$8:'Statement of Marks'!$HI$207,91,0),"")</f>
        <v>60</v>
      </c>
      <c r="BJ69" s="17" t="str">
        <f>IFERROR(VLOOKUP(B69,'Statement of Marks'!$B$8:'Statement of Marks'!$HI$207,117,0),"")</f>
        <v/>
      </c>
    </row>
    <row r="70" spans="1:62" ht="24.95" customHeight="1">
      <c r="A70" s="283">
        <f>IF('Statement of Marks'!A73="","",'Statement of Marks'!A73)</f>
        <v>66</v>
      </c>
      <c r="B70" s="283" t="str">
        <f>IF('Statement of Marks'!B73="","",'Statement of Marks'!B73)</f>
        <v/>
      </c>
      <c r="C70" s="283" t="str">
        <f>IF('Statement of Marks'!C73="","",'Statement of Marks'!C73)</f>
        <v/>
      </c>
      <c r="D70" s="430" t="str">
        <f>IF('Statement of Marks'!D73="","",'Statement of Marks'!D73)</f>
        <v/>
      </c>
      <c r="E70" s="431" t="str">
        <f>IF('Statement of Marks'!E73="","",'Statement of Marks'!E73)</f>
        <v/>
      </c>
      <c r="F70" s="431" t="str">
        <f>IF('Statement of Marks'!F73="","",'Statement of Marks'!F73)</f>
        <v/>
      </c>
      <c r="G70" s="431" t="str">
        <f>IF('Statement of Marks'!G73="","",'Statement of Marks'!G73)</f>
        <v/>
      </c>
      <c r="H70" s="432" t="str">
        <f>IF(B70="","",IF('Statement of Marks'!GY73="","",'Statement of Marks'!GY73))</f>
        <v/>
      </c>
      <c r="I70" s="286" t="str">
        <f>IF(B70="","",IF('Statement of Marks'!HB73="","",'Statement of Marks'!HB73))</f>
        <v/>
      </c>
      <c r="J70" s="433" t="str">
        <f>IF(B70="","",IF('Statement of Marks'!HC73="","",'Statement of Marks'!HC73))</f>
        <v/>
      </c>
      <c r="K70" s="295" t="str">
        <f>IF(B70="","",'Statement of Marks'!FJ73)</f>
        <v/>
      </c>
      <c r="L70" s="295" t="str">
        <f>IF(B70="","",'Statement of Marks'!FM73)</f>
        <v/>
      </c>
      <c r="M70" s="295" t="str">
        <f>IF(B70="","",'Statement of Marks'!FP73)</f>
        <v/>
      </c>
      <c r="N70" s="295" t="str">
        <f>IF(B70="","",'Statement of Marks'!FW73)</f>
        <v/>
      </c>
      <c r="O70" s="295" t="str">
        <f>IF(B70="","",'Statement of Marks'!GD73)</f>
        <v/>
      </c>
      <c r="P70" s="295" t="str">
        <f>IF(B70="","",'Statement of Marks'!GK73)</f>
        <v/>
      </c>
      <c r="Q70" s="295" t="str">
        <f>IF(B70="","",'Statement of Marks'!GR73)</f>
        <v/>
      </c>
      <c r="R70" s="295" t="str">
        <f>IF(B70="","",'Statement of Marks'!FF73)</f>
        <v/>
      </c>
      <c r="S70" s="434" t="str">
        <f>IFERROR(IF(B70="","",CONCATENATE(IF(AND('Marks Entry'!U73="A"),'Marks Entry'!$U$2,IF(AND('Marks Entry'!U73="B"),'Marks Entry'!$Y$2,IF(AND('Marks Entry'!U73="C"),'Marks Entry'!$AA$2,""))),", ",IF(AND('Marks Entry'!AC73="A"),'Marks Entry'!$AC$2,IF(AND('Marks Entry'!AC73="B"),'Marks Entry'!$AG$2,IF(AND('Marks Entry'!AC73="C"),'Marks Entry'!$AI$2,""))),", ",IF(AND('Marks Entry'!AK73="A"),'Marks Entry'!$AK$2,IF(AND('Marks Entry'!AK73="B"),'Marks Entry'!$AO$2,IF(AND('Marks Entry'!AK73="C"),'Marks Entry'!$AQ$2,""))),", ",IF(AND('Statement of Marks'!DD73=""),"",IF(AND('Statement of Marks'!DD73="A"),'Marks Entry'!$AS$2,IF(AND('Statement of Marks'!DD73="B"),'Marks Entry'!$AW$2,IF(AND('Statement of Marks'!DD73="C"),'Marks Entry'!$AY$2,"")))))),"")</f>
        <v/>
      </c>
      <c r="T70" s="435" t="str">
        <f>IF(COUNTIF(K70:R70,"F")&gt;0,"",CONCATENATE('Statement of Marks'!GU73,'Statement of Marks'!GW73))</f>
        <v xml:space="preserve">           </v>
      </c>
      <c r="BG70" s="17">
        <f>IFERROR(VLOOKUP(B70,'Statement of Marks'!$B$8:'Statement of Marks'!$HI$207,41,0),"")</f>
        <v>15</v>
      </c>
      <c r="BH70" s="17" t="str">
        <f>IFERROR(VLOOKUP(B70,'Statement of Marks'!$B$8:'Statement of Marks'!$HI$207,66,0),"")</f>
        <v/>
      </c>
      <c r="BI70" s="17">
        <f>IFERROR(VLOOKUP(B70,'Statement of Marks'!$B$8:'Statement of Marks'!$HI$207,91,0),"")</f>
        <v>60</v>
      </c>
      <c r="BJ70" s="17" t="str">
        <f>IFERROR(VLOOKUP(B70,'Statement of Marks'!$B$8:'Statement of Marks'!$HI$207,117,0),"")</f>
        <v/>
      </c>
    </row>
    <row r="71" spans="1:62" ht="24.95" customHeight="1">
      <c r="A71" s="283">
        <f>IF('Statement of Marks'!A74="","",'Statement of Marks'!A74)</f>
        <v>67</v>
      </c>
      <c r="B71" s="283" t="str">
        <f>IF('Statement of Marks'!B74="","",'Statement of Marks'!B74)</f>
        <v/>
      </c>
      <c r="C71" s="283" t="str">
        <f>IF('Statement of Marks'!C74="","",'Statement of Marks'!C74)</f>
        <v/>
      </c>
      <c r="D71" s="430" t="str">
        <f>IF('Statement of Marks'!D74="","",'Statement of Marks'!D74)</f>
        <v/>
      </c>
      <c r="E71" s="431" t="str">
        <f>IF('Statement of Marks'!E74="","",'Statement of Marks'!E74)</f>
        <v/>
      </c>
      <c r="F71" s="431" t="str">
        <f>IF('Statement of Marks'!F74="","",'Statement of Marks'!F74)</f>
        <v/>
      </c>
      <c r="G71" s="431" t="str">
        <f>IF('Statement of Marks'!G74="","",'Statement of Marks'!G74)</f>
        <v/>
      </c>
      <c r="H71" s="432" t="str">
        <f>IF(B71="","",IF('Statement of Marks'!GY74="","",'Statement of Marks'!GY74))</f>
        <v/>
      </c>
      <c r="I71" s="286" t="str">
        <f>IF(B71="","",IF('Statement of Marks'!HB74="","",'Statement of Marks'!HB74))</f>
        <v/>
      </c>
      <c r="J71" s="433" t="str">
        <f>IF(B71="","",IF('Statement of Marks'!HC74="","",'Statement of Marks'!HC74))</f>
        <v/>
      </c>
      <c r="K71" s="295" t="str">
        <f>IF(B71="","",'Statement of Marks'!FJ74)</f>
        <v/>
      </c>
      <c r="L71" s="295" t="str">
        <f>IF(B71="","",'Statement of Marks'!FM74)</f>
        <v/>
      </c>
      <c r="M71" s="295" t="str">
        <f>IF(B71="","",'Statement of Marks'!FP74)</f>
        <v/>
      </c>
      <c r="N71" s="295" t="str">
        <f>IF(B71="","",'Statement of Marks'!FW74)</f>
        <v/>
      </c>
      <c r="O71" s="295" t="str">
        <f>IF(B71="","",'Statement of Marks'!GD74)</f>
        <v/>
      </c>
      <c r="P71" s="295" t="str">
        <f>IF(B71="","",'Statement of Marks'!GK74)</f>
        <v/>
      </c>
      <c r="Q71" s="295" t="str">
        <f>IF(B71="","",'Statement of Marks'!GR74)</f>
        <v/>
      </c>
      <c r="R71" s="295" t="str">
        <f>IF(B71="","",'Statement of Marks'!FF74)</f>
        <v/>
      </c>
      <c r="S71" s="434" t="str">
        <f>IFERROR(IF(B71="","",CONCATENATE(IF(AND('Marks Entry'!U74="A"),'Marks Entry'!$U$2,IF(AND('Marks Entry'!U74="B"),'Marks Entry'!$Y$2,IF(AND('Marks Entry'!U74="C"),'Marks Entry'!$AA$2,""))),", ",IF(AND('Marks Entry'!AC74="A"),'Marks Entry'!$AC$2,IF(AND('Marks Entry'!AC74="B"),'Marks Entry'!$AG$2,IF(AND('Marks Entry'!AC74="C"),'Marks Entry'!$AI$2,""))),", ",IF(AND('Marks Entry'!AK74="A"),'Marks Entry'!$AK$2,IF(AND('Marks Entry'!AK74="B"),'Marks Entry'!$AO$2,IF(AND('Marks Entry'!AK74="C"),'Marks Entry'!$AQ$2,""))),", ",IF(AND('Statement of Marks'!DD74=""),"",IF(AND('Statement of Marks'!DD74="A"),'Marks Entry'!$AS$2,IF(AND('Statement of Marks'!DD74="B"),'Marks Entry'!$AW$2,IF(AND('Statement of Marks'!DD74="C"),'Marks Entry'!$AY$2,"")))))),"")</f>
        <v/>
      </c>
      <c r="T71" s="435" t="str">
        <f>IF(COUNTIF(K71:R71,"F")&gt;0,"",CONCATENATE('Statement of Marks'!GU74,'Statement of Marks'!GW74))</f>
        <v xml:space="preserve">           </v>
      </c>
      <c r="BG71" s="17">
        <f>IFERROR(VLOOKUP(B71,'Statement of Marks'!$B$8:'Statement of Marks'!$HI$207,41,0),"")</f>
        <v>15</v>
      </c>
      <c r="BH71" s="17" t="str">
        <f>IFERROR(VLOOKUP(B71,'Statement of Marks'!$B$8:'Statement of Marks'!$HI$207,66,0),"")</f>
        <v/>
      </c>
      <c r="BI71" s="17">
        <f>IFERROR(VLOOKUP(B71,'Statement of Marks'!$B$8:'Statement of Marks'!$HI$207,91,0),"")</f>
        <v>60</v>
      </c>
      <c r="BJ71" s="17" t="str">
        <f>IFERROR(VLOOKUP(B71,'Statement of Marks'!$B$8:'Statement of Marks'!$HI$207,117,0),"")</f>
        <v/>
      </c>
    </row>
    <row r="72" spans="1:62" ht="24.95" customHeight="1">
      <c r="A72" s="283">
        <f>IF('Statement of Marks'!A75="","",'Statement of Marks'!A75)</f>
        <v>68</v>
      </c>
      <c r="B72" s="283" t="str">
        <f>IF('Statement of Marks'!B75="","",'Statement of Marks'!B75)</f>
        <v/>
      </c>
      <c r="C72" s="283" t="str">
        <f>IF('Statement of Marks'!C75="","",'Statement of Marks'!C75)</f>
        <v/>
      </c>
      <c r="D72" s="430" t="str">
        <f>IF('Statement of Marks'!D75="","",'Statement of Marks'!D75)</f>
        <v/>
      </c>
      <c r="E72" s="431" t="str">
        <f>IF('Statement of Marks'!E75="","",'Statement of Marks'!E75)</f>
        <v/>
      </c>
      <c r="F72" s="431" t="str">
        <f>IF('Statement of Marks'!F75="","",'Statement of Marks'!F75)</f>
        <v/>
      </c>
      <c r="G72" s="431" t="str">
        <f>IF('Statement of Marks'!G75="","",'Statement of Marks'!G75)</f>
        <v/>
      </c>
      <c r="H72" s="432" t="str">
        <f>IF(B72="","",IF('Statement of Marks'!GY75="","",'Statement of Marks'!GY75))</f>
        <v/>
      </c>
      <c r="I72" s="286" t="str">
        <f>IF(B72="","",IF('Statement of Marks'!HB75="","",'Statement of Marks'!HB75))</f>
        <v/>
      </c>
      <c r="J72" s="433" t="str">
        <f>IF(B72="","",IF('Statement of Marks'!HC75="","",'Statement of Marks'!HC75))</f>
        <v/>
      </c>
      <c r="K72" s="295" t="str">
        <f>IF(B72="","",'Statement of Marks'!FJ75)</f>
        <v/>
      </c>
      <c r="L72" s="295" t="str">
        <f>IF(B72="","",'Statement of Marks'!FM75)</f>
        <v/>
      </c>
      <c r="M72" s="295" t="str">
        <f>IF(B72="","",'Statement of Marks'!FP75)</f>
        <v/>
      </c>
      <c r="N72" s="295" t="str">
        <f>IF(B72="","",'Statement of Marks'!FW75)</f>
        <v/>
      </c>
      <c r="O72" s="295" t="str">
        <f>IF(B72="","",'Statement of Marks'!GD75)</f>
        <v/>
      </c>
      <c r="P72" s="295" t="str">
        <f>IF(B72="","",'Statement of Marks'!GK75)</f>
        <v/>
      </c>
      <c r="Q72" s="295" t="str">
        <f>IF(B72="","",'Statement of Marks'!GR75)</f>
        <v/>
      </c>
      <c r="R72" s="295" t="str">
        <f>IF(B72="","",'Statement of Marks'!FF75)</f>
        <v/>
      </c>
      <c r="S72" s="434" t="str">
        <f>IFERROR(IF(B72="","",CONCATENATE(IF(AND('Marks Entry'!U75="A"),'Marks Entry'!$U$2,IF(AND('Marks Entry'!U75="B"),'Marks Entry'!$Y$2,IF(AND('Marks Entry'!U75="C"),'Marks Entry'!$AA$2,""))),", ",IF(AND('Marks Entry'!AC75="A"),'Marks Entry'!$AC$2,IF(AND('Marks Entry'!AC75="B"),'Marks Entry'!$AG$2,IF(AND('Marks Entry'!AC75="C"),'Marks Entry'!$AI$2,""))),", ",IF(AND('Marks Entry'!AK75="A"),'Marks Entry'!$AK$2,IF(AND('Marks Entry'!AK75="B"),'Marks Entry'!$AO$2,IF(AND('Marks Entry'!AK75="C"),'Marks Entry'!$AQ$2,""))),", ",IF(AND('Statement of Marks'!DD75=""),"",IF(AND('Statement of Marks'!DD75="A"),'Marks Entry'!$AS$2,IF(AND('Statement of Marks'!DD75="B"),'Marks Entry'!$AW$2,IF(AND('Statement of Marks'!DD75="C"),'Marks Entry'!$AY$2,"")))))),"")</f>
        <v/>
      </c>
      <c r="T72" s="435" t="str">
        <f>IF(COUNTIF(K72:R72,"F")&gt;0,"",CONCATENATE('Statement of Marks'!GU75,'Statement of Marks'!GW75))</f>
        <v xml:space="preserve">           </v>
      </c>
      <c r="BG72" s="17">
        <f>IFERROR(VLOOKUP(B72,'Statement of Marks'!$B$8:'Statement of Marks'!$HI$207,41,0),"")</f>
        <v>15</v>
      </c>
      <c r="BH72" s="17" t="str">
        <f>IFERROR(VLOOKUP(B72,'Statement of Marks'!$B$8:'Statement of Marks'!$HI$207,66,0),"")</f>
        <v/>
      </c>
      <c r="BI72" s="17">
        <f>IFERROR(VLOOKUP(B72,'Statement of Marks'!$B$8:'Statement of Marks'!$HI$207,91,0),"")</f>
        <v>60</v>
      </c>
      <c r="BJ72" s="17" t="str">
        <f>IFERROR(VLOOKUP(B72,'Statement of Marks'!$B$8:'Statement of Marks'!$HI$207,117,0),"")</f>
        <v/>
      </c>
    </row>
    <row r="73" spans="1:62" ht="24.95" customHeight="1">
      <c r="A73" s="283">
        <f>IF('Statement of Marks'!A76="","",'Statement of Marks'!A76)</f>
        <v>69</v>
      </c>
      <c r="B73" s="283" t="str">
        <f>IF('Statement of Marks'!B76="","",'Statement of Marks'!B76)</f>
        <v/>
      </c>
      <c r="C73" s="283" t="str">
        <f>IF('Statement of Marks'!C76="","",'Statement of Marks'!C76)</f>
        <v/>
      </c>
      <c r="D73" s="430" t="str">
        <f>IF('Statement of Marks'!D76="","",'Statement of Marks'!D76)</f>
        <v/>
      </c>
      <c r="E73" s="431" t="str">
        <f>IF('Statement of Marks'!E76="","",'Statement of Marks'!E76)</f>
        <v/>
      </c>
      <c r="F73" s="431" t="str">
        <f>IF('Statement of Marks'!F76="","",'Statement of Marks'!F76)</f>
        <v/>
      </c>
      <c r="G73" s="431" t="str">
        <f>IF('Statement of Marks'!G76="","",'Statement of Marks'!G76)</f>
        <v/>
      </c>
      <c r="H73" s="432" t="str">
        <f>IF(B73="","",IF('Statement of Marks'!GY76="","",'Statement of Marks'!GY76))</f>
        <v/>
      </c>
      <c r="I73" s="286" t="str">
        <f>IF(B73="","",IF('Statement of Marks'!HB76="","",'Statement of Marks'!HB76))</f>
        <v/>
      </c>
      <c r="J73" s="433" t="str">
        <f>IF(B73="","",IF('Statement of Marks'!HC76="","",'Statement of Marks'!HC76))</f>
        <v/>
      </c>
      <c r="K73" s="295" t="str">
        <f>IF(B73="","",'Statement of Marks'!FJ76)</f>
        <v/>
      </c>
      <c r="L73" s="295" t="str">
        <f>IF(B73="","",'Statement of Marks'!FM76)</f>
        <v/>
      </c>
      <c r="M73" s="295" t="str">
        <f>IF(B73="","",'Statement of Marks'!FP76)</f>
        <v/>
      </c>
      <c r="N73" s="295" t="str">
        <f>IF(B73="","",'Statement of Marks'!FW76)</f>
        <v/>
      </c>
      <c r="O73" s="295" t="str">
        <f>IF(B73="","",'Statement of Marks'!GD76)</f>
        <v/>
      </c>
      <c r="P73" s="295" t="str">
        <f>IF(B73="","",'Statement of Marks'!GK76)</f>
        <v/>
      </c>
      <c r="Q73" s="295" t="str">
        <f>IF(B73="","",'Statement of Marks'!GR76)</f>
        <v/>
      </c>
      <c r="R73" s="295" t="str">
        <f>IF(B73="","",'Statement of Marks'!FF76)</f>
        <v/>
      </c>
      <c r="S73" s="434" t="str">
        <f>IFERROR(IF(B73="","",CONCATENATE(IF(AND('Marks Entry'!U76="A"),'Marks Entry'!$U$2,IF(AND('Marks Entry'!U76="B"),'Marks Entry'!$Y$2,IF(AND('Marks Entry'!U76="C"),'Marks Entry'!$AA$2,""))),", ",IF(AND('Marks Entry'!AC76="A"),'Marks Entry'!$AC$2,IF(AND('Marks Entry'!AC76="B"),'Marks Entry'!$AG$2,IF(AND('Marks Entry'!AC76="C"),'Marks Entry'!$AI$2,""))),", ",IF(AND('Marks Entry'!AK76="A"),'Marks Entry'!$AK$2,IF(AND('Marks Entry'!AK76="B"),'Marks Entry'!$AO$2,IF(AND('Marks Entry'!AK76="C"),'Marks Entry'!$AQ$2,""))),", ",IF(AND('Statement of Marks'!DD76=""),"",IF(AND('Statement of Marks'!DD76="A"),'Marks Entry'!$AS$2,IF(AND('Statement of Marks'!DD76="B"),'Marks Entry'!$AW$2,IF(AND('Statement of Marks'!DD76="C"),'Marks Entry'!$AY$2,"")))))),"")</f>
        <v/>
      </c>
      <c r="T73" s="435" t="str">
        <f>IF(COUNTIF(K73:R73,"F")&gt;0,"",CONCATENATE('Statement of Marks'!GU76,'Statement of Marks'!GW76))</f>
        <v xml:space="preserve">           </v>
      </c>
      <c r="BG73" s="17">
        <f>IFERROR(VLOOKUP(B73,'Statement of Marks'!$B$8:'Statement of Marks'!$HI$207,41,0),"")</f>
        <v>15</v>
      </c>
      <c r="BH73" s="17" t="str">
        <f>IFERROR(VLOOKUP(B73,'Statement of Marks'!$B$8:'Statement of Marks'!$HI$207,66,0),"")</f>
        <v/>
      </c>
      <c r="BI73" s="17">
        <f>IFERROR(VLOOKUP(B73,'Statement of Marks'!$B$8:'Statement of Marks'!$HI$207,91,0),"")</f>
        <v>60</v>
      </c>
      <c r="BJ73" s="17" t="str">
        <f>IFERROR(VLOOKUP(B73,'Statement of Marks'!$B$8:'Statement of Marks'!$HI$207,117,0),"")</f>
        <v/>
      </c>
    </row>
    <row r="74" spans="1:62" ht="24.95" customHeight="1">
      <c r="A74" s="283">
        <f>IF('Statement of Marks'!A77="","",'Statement of Marks'!A77)</f>
        <v>70</v>
      </c>
      <c r="B74" s="283" t="str">
        <f>IF('Statement of Marks'!B77="","",'Statement of Marks'!B77)</f>
        <v/>
      </c>
      <c r="C74" s="283" t="str">
        <f>IF('Statement of Marks'!C77="","",'Statement of Marks'!C77)</f>
        <v/>
      </c>
      <c r="D74" s="430" t="str">
        <f>IF('Statement of Marks'!D77="","",'Statement of Marks'!D77)</f>
        <v/>
      </c>
      <c r="E74" s="431" t="str">
        <f>IF('Statement of Marks'!E77="","",'Statement of Marks'!E77)</f>
        <v/>
      </c>
      <c r="F74" s="431" t="str">
        <f>IF('Statement of Marks'!F77="","",'Statement of Marks'!F77)</f>
        <v/>
      </c>
      <c r="G74" s="431" t="str">
        <f>IF('Statement of Marks'!G77="","",'Statement of Marks'!G77)</f>
        <v/>
      </c>
      <c r="H74" s="432" t="str">
        <f>IF(B74="","",IF('Statement of Marks'!GY77="","",'Statement of Marks'!GY77))</f>
        <v/>
      </c>
      <c r="I74" s="286" t="str">
        <f>IF(B74="","",IF('Statement of Marks'!HB77="","",'Statement of Marks'!HB77))</f>
        <v/>
      </c>
      <c r="J74" s="433" t="str">
        <f>IF(B74="","",IF('Statement of Marks'!HC77="","",'Statement of Marks'!HC77))</f>
        <v/>
      </c>
      <c r="K74" s="295" t="str">
        <f>IF(B74="","",'Statement of Marks'!FJ77)</f>
        <v/>
      </c>
      <c r="L74" s="295" t="str">
        <f>IF(B74="","",'Statement of Marks'!FM77)</f>
        <v/>
      </c>
      <c r="M74" s="295" t="str">
        <f>IF(B74="","",'Statement of Marks'!FP77)</f>
        <v/>
      </c>
      <c r="N74" s="295" t="str">
        <f>IF(B74="","",'Statement of Marks'!FW77)</f>
        <v/>
      </c>
      <c r="O74" s="295" t="str">
        <f>IF(B74="","",'Statement of Marks'!GD77)</f>
        <v/>
      </c>
      <c r="P74" s="295" t="str">
        <f>IF(B74="","",'Statement of Marks'!GK77)</f>
        <v/>
      </c>
      <c r="Q74" s="295" t="str">
        <f>IF(B74="","",'Statement of Marks'!GR77)</f>
        <v/>
      </c>
      <c r="R74" s="295" t="str">
        <f>IF(B74="","",'Statement of Marks'!FF77)</f>
        <v/>
      </c>
      <c r="S74" s="434" t="str">
        <f>IFERROR(IF(B74="","",CONCATENATE(IF(AND('Marks Entry'!U77="A"),'Marks Entry'!$U$2,IF(AND('Marks Entry'!U77="B"),'Marks Entry'!$Y$2,IF(AND('Marks Entry'!U77="C"),'Marks Entry'!$AA$2,""))),", ",IF(AND('Marks Entry'!AC77="A"),'Marks Entry'!$AC$2,IF(AND('Marks Entry'!AC77="B"),'Marks Entry'!$AG$2,IF(AND('Marks Entry'!AC77="C"),'Marks Entry'!$AI$2,""))),", ",IF(AND('Marks Entry'!AK77="A"),'Marks Entry'!$AK$2,IF(AND('Marks Entry'!AK77="B"),'Marks Entry'!$AO$2,IF(AND('Marks Entry'!AK77="C"),'Marks Entry'!$AQ$2,""))),", ",IF(AND('Statement of Marks'!DD77=""),"",IF(AND('Statement of Marks'!DD77="A"),'Marks Entry'!$AS$2,IF(AND('Statement of Marks'!DD77="B"),'Marks Entry'!$AW$2,IF(AND('Statement of Marks'!DD77="C"),'Marks Entry'!$AY$2,"")))))),"")</f>
        <v/>
      </c>
      <c r="T74" s="435" t="str">
        <f>IF(COUNTIF(K74:R74,"F")&gt;0,"",CONCATENATE('Statement of Marks'!GU77,'Statement of Marks'!GW77))</f>
        <v xml:space="preserve">           </v>
      </c>
      <c r="BG74" s="17">
        <f>IFERROR(VLOOKUP(B74,'Statement of Marks'!$B$8:'Statement of Marks'!$HI$207,41,0),"")</f>
        <v>15</v>
      </c>
      <c r="BH74" s="17" t="str">
        <f>IFERROR(VLOOKUP(B74,'Statement of Marks'!$B$8:'Statement of Marks'!$HI$207,66,0),"")</f>
        <v/>
      </c>
      <c r="BI74" s="17">
        <f>IFERROR(VLOOKUP(B74,'Statement of Marks'!$B$8:'Statement of Marks'!$HI$207,91,0),"")</f>
        <v>60</v>
      </c>
      <c r="BJ74" s="17" t="str">
        <f>IFERROR(VLOOKUP(B74,'Statement of Marks'!$B$8:'Statement of Marks'!$HI$207,117,0),"")</f>
        <v/>
      </c>
    </row>
    <row r="75" spans="1:62" ht="24.95" customHeight="1">
      <c r="A75" s="283">
        <f>IF('Statement of Marks'!A78="","",'Statement of Marks'!A78)</f>
        <v>71</v>
      </c>
      <c r="B75" s="283" t="str">
        <f>IF('Statement of Marks'!B78="","",'Statement of Marks'!B78)</f>
        <v/>
      </c>
      <c r="C75" s="283" t="str">
        <f>IF('Statement of Marks'!C78="","",'Statement of Marks'!C78)</f>
        <v/>
      </c>
      <c r="D75" s="430" t="str">
        <f>IF('Statement of Marks'!D78="","",'Statement of Marks'!D78)</f>
        <v/>
      </c>
      <c r="E75" s="431" t="str">
        <f>IF('Statement of Marks'!E78="","",'Statement of Marks'!E78)</f>
        <v/>
      </c>
      <c r="F75" s="431" t="str">
        <f>IF('Statement of Marks'!F78="","",'Statement of Marks'!F78)</f>
        <v/>
      </c>
      <c r="G75" s="431" t="str">
        <f>IF('Statement of Marks'!G78="","",'Statement of Marks'!G78)</f>
        <v/>
      </c>
      <c r="H75" s="432" t="str">
        <f>IF(B75="","",IF('Statement of Marks'!GY78="","",'Statement of Marks'!GY78))</f>
        <v/>
      </c>
      <c r="I75" s="286" t="str">
        <f>IF(B75="","",IF('Statement of Marks'!HB78="","",'Statement of Marks'!HB78))</f>
        <v/>
      </c>
      <c r="J75" s="433" t="str">
        <f>IF(B75="","",IF('Statement of Marks'!HC78="","",'Statement of Marks'!HC78))</f>
        <v/>
      </c>
      <c r="K75" s="295" t="str">
        <f>IF(B75="","",'Statement of Marks'!FJ78)</f>
        <v/>
      </c>
      <c r="L75" s="295" t="str">
        <f>IF(B75="","",'Statement of Marks'!FM78)</f>
        <v/>
      </c>
      <c r="M75" s="295" t="str">
        <f>IF(B75="","",'Statement of Marks'!FP78)</f>
        <v/>
      </c>
      <c r="N75" s="295" t="str">
        <f>IF(B75="","",'Statement of Marks'!FW78)</f>
        <v/>
      </c>
      <c r="O75" s="295" t="str">
        <f>IF(B75="","",'Statement of Marks'!GD78)</f>
        <v/>
      </c>
      <c r="P75" s="295" t="str">
        <f>IF(B75="","",'Statement of Marks'!GK78)</f>
        <v/>
      </c>
      <c r="Q75" s="295" t="str">
        <f>IF(B75="","",'Statement of Marks'!GR78)</f>
        <v/>
      </c>
      <c r="R75" s="295" t="str">
        <f>IF(B75="","",'Statement of Marks'!FF78)</f>
        <v/>
      </c>
      <c r="S75" s="434" t="str">
        <f>IFERROR(IF(B75="","",CONCATENATE(IF(AND('Marks Entry'!U78="A"),'Marks Entry'!$U$2,IF(AND('Marks Entry'!U78="B"),'Marks Entry'!$Y$2,IF(AND('Marks Entry'!U78="C"),'Marks Entry'!$AA$2,""))),", ",IF(AND('Marks Entry'!AC78="A"),'Marks Entry'!$AC$2,IF(AND('Marks Entry'!AC78="B"),'Marks Entry'!$AG$2,IF(AND('Marks Entry'!AC78="C"),'Marks Entry'!$AI$2,""))),", ",IF(AND('Marks Entry'!AK78="A"),'Marks Entry'!$AK$2,IF(AND('Marks Entry'!AK78="B"),'Marks Entry'!$AO$2,IF(AND('Marks Entry'!AK78="C"),'Marks Entry'!$AQ$2,""))),", ",IF(AND('Statement of Marks'!DD78=""),"",IF(AND('Statement of Marks'!DD78="A"),'Marks Entry'!$AS$2,IF(AND('Statement of Marks'!DD78="B"),'Marks Entry'!$AW$2,IF(AND('Statement of Marks'!DD78="C"),'Marks Entry'!$AY$2,"")))))),"")</f>
        <v/>
      </c>
      <c r="T75" s="435" t="str">
        <f>IF(COUNTIF(K75:R75,"F")&gt;0,"",CONCATENATE('Statement of Marks'!GU78,'Statement of Marks'!GW78))</f>
        <v xml:space="preserve">           </v>
      </c>
      <c r="BG75" s="17">
        <f>IFERROR(VLOOKUP(B75,'Statement of Marks'!$B$8:'Statement of Marks'!$HI$207,41,0),"")</f>
        <v>15</v>
      </c>
      <c r="BH75" s="17" t="str">
        <f>IFERROR(VLOOKUP(B75,'Statement of Marks'!$B$8:'Statement of Marks'!$HI$207,66,0),"")</f>
        <v/>
      </c>
      <c r="BI75" s="17">
        <f>IFERROR(VLOOKUP(B75,'Statement of Marks'!$B$8:'Statement of Marks'!$HI$207,91,0),"")</f>
        <v>60</v>
      </c>
      <c r="BJ75" s="17" t="str">
        <f>IFERROR(VLOOKUP(B75,'Statement of Marks'!$B$8:'Statement of Marks'!$HI$207,117,0),"")</f>
        <v/>
      </c>
    </row>
    <row r="76" spans="1:62" ht="24.95" customHeight="1">
      <c r="A76" s="283">
        <f>IF('Statement of Marks'!A79="","",'Statement of Marks'!A79)</f>
        <v>72</v>
      </c>
      <c r="B76" s="283" t="str">
        <f>IF('Statement of Marks'!B79="","",'Statement of Marks'!B79)</f>
        <v/>
      </c>
      <c r="C76" s="283" t="str">
        <f>IF('Statement of Marks'!C79="","",'Statement of Marks'!C79)</f>
        <v/>
      </c>
      <c r="D76" s="430" t="str">
        <f>IF('Statement of Marks'!D79="","",'Statement of Marks'!D79)</f>
        <v/>
      </c>
      <c r="E76" s="431" t="str">
        <f>IF('Statement of Marks'!E79="","",'Statement of Marks'!E79)</f>
        <v/>
      </c>
      <c r="F76" s="431" t="str">
        <f>IF('Statement of Marks'!F79="","",'Statement of Marks'!F79)</f>
        <v/>
      </c>
      <c r="G76" s="431" t="str">
        <f>IF('Statement of Marks'!G79="","",'Statement of Marks'!G79)</f>
        <v/>
      </c>
      <c r="H76" s="432" t="str">
        <f>IF(B76="","",IF('Statement of Marks'!GY79="","",'Statement of Marks'!GY79))</f>
        <v/>
      </c>
      <c r="I76" s="286" t="str">
        <f>IF(B76="","",IF('Statement of Marks'!HB79="","",'Statement of Marks'!HB79))</f>
        <v/>
      </c>
      <c r="J76" s="433" t="str">
        <f>IF(B76="","",IF('Statement of Marks'!HC79="","",'Statement of Marks'!HC79))</f>
        <v/>
      </c>
      <c r="K76" s="295" t="str">
        <f>IF(B76="","",'Statement of Marks'!FJ79)</f>
        <v/>
      </c>
      <c r="L76" s="295" t="str">
        <f>IF(B76="","",'Statement of Marks'!FM79)</f>
        <v/>
      </c>
      <c r="M76" s="295" t="str">
        <f>IF(B76="","",'Statement of Marks'!FP79)</f>
        <v/>
      </c>
      <c r="N76" s="295" t="str">
        <f>IF(B76="","",'Statement of Marks'!FW79)</f>
        <v/>
      </c>
      <c r="O76" s="295" t="str">
        <f>IF(B76="","",'Statement of Marks'!GD79)</f>
        <v/>
      </c>
      <c r="P76" s="295" t="str">
        <f>IF(B76="","",'Statement of Marks'!GK79)</f>
        <v/>
      </c>
      <c r="Q76" s="295" t="str">
        <f>IF(B76="","",'Statement of Marks'!GR79)</f>
        <v/>
      </c>
      <c r="R76" s="295" t="str">
        <f>IF(B76="","",'Statement of Marks'!FF79)</f>
        <v/>
      </c>
      <c r="S76" s="434" t="str">
        <f>IFERROR(IF(B76="","",CONCATENATE(IF(AND('Marks Entry'!U79="A"),'Marks Entry'!$U$2,IF(AND('Marks Entry'!U79="B"),'Marks Entry'!$Y$2,IF(AND('Marks Entry'!U79="C"),'Marks Entry'!$AA$2,""))),", ",IF(AND('Marks Entry'!AC79="A"),'Marks Entry'!$AC$2,IF(AND('Marks Entry'!AC79="B"),'Marks Entry'!$AG$2,IF(AND('Marks Entry'!AC79="C"),'Marks Entry'!$AI$2,""))),", ",IF(AND('Marks Entry'!AK79="A"),'Marks Entry'!$AK$2,IF(AND('Marks Entry'!AK79="B"),'Marks Entry'!$AO$2,IF(AND('Marks Entry'!AK79="C"),'Marks Entry'!$AQ$2,""))),", ",IF(AND('Statement of Marks'!DD79=""),"",IF(AND('Statement of Marks'!DD79="A"),'Marks Entry'!$AS$2,IF(AND('Statement of Marks'!DD79="B"),'Marks Entry'!$AW$2,IF(AND('Statement of Marks'!DD79="C"),'Marks Entry'!$AY$2,"")))))),"")</f>
        <v/>
      </c>
      <c r="T76" s="435" t="str">
        <f>IF(COUNTIF(K76:R76,"F")&gt;0,"",CONCATENATE('Statement of Marks'!GU79,'Statement of Marks'!GW79))</f>
        <v xml:space="preserve">           </v>
      </c>
      <c r="BG76" s="17">
        <f>IFERROR(VLOOKUP(B76,'Statement of Marks'!$B$8:'Statement of Marks'!$HI$207,41,0),"")</f>
        <v>15</v>
      </c>
      <c r="BH76" s="17" t="str">
        <f>IFERROR(VLOOKUP(B76,'Statement of Marks'!$B$8:'Statement of Marks'!$HI$207,66,0),"")</f>
        <v/>
      </c>
      <c r="BI76" s="17">
        <f>IFERROR(VLOOKUP(B76,'Statement of Marks'!$B$8:'Statement of Marks'!$HI$207,91,0),"")</f>
        <v>60</v>
      </c>
      <c r="BJ76" s="17" t="str">
        <f>IFERROR(VLOOKUP(B76,'Statement of Marks'!$B$8:'Statement of Marks'!$HI$207,117,0),"")</f>
        <v/>
      </c>
    </row>
    <row r="77" spans="1:62" ht="24.95" customHeight="1">
      <c r="A77" s="283">
        <f>IF('Statement of Marks'!A80="","",'Statement of Marks'!A80)</f>
        <v>73</v>
      </c>
      <c r="B77" s="283" t="str">
        <f>IF('Statement of Marks'!B80="","",'Statement of Marks'!B80)</f>
        <v/>
      </c>
      <c r="C77" s="283" t="str">
        <f>IF('Statement of Marks'!C80="","",'Statement of Marks'!C80)</f>
        <v/>
      </c>
      <c r="D77" s="430" t="str">
        <f>IF('Statement of Marks'!D80="","",'Statement of Marks'!D80)</f>
        <v/>
      </c>
      <c r="E77" s="431" t="str">
        <f>IF('Statement of Marks'!E80="","",'Statement of Marks'!E80)</f>
        <v/>
      </c>
      <c r="F77" s="431" t="str">
        <f>IF('Statement of Marks'!F80="","",'Statement of Marks'!F80)</f>
        <v/>
      </c>
      <c r="G77" s="431" t="str">
        <f>IF('Statement of Marks'!G80="","",'Statement of Marks'!G80)</f>
        <v/>
      </c>
      <c r="H77" s="432" t="str">
        <f>IF(B77="","",IF('Statement of Marks'!GY80="","",'Statement of Marks'!GY80))</f>
        <v/>
      </c>
      <c r="I77" s="286" t="str">
        <f>IF(B77="","",IF('Statement of Marks'!HB80="","",'Statement of Marks'!HB80))</f>
        <v/>
      </c>
      <c r="J77" s="433" t="str">
        <f>IF(B77="","",IF('Statement of Marks'!HC80="","",'Statement of Marks'!HC80))</f>
        <v/>
      </c>
      <c r="K77" s="295" t="str">
        <f>IF(B77="","",'Statement of Marks'!FJ80)</f>
        <v/>
      </c>
      <c r="L77" s="295" t="str">
        <f>IF(B77="","",'Statement of Marks'!FM80)</f>
        <v/>
      </c>
      <c r="M77" s="295" t="str">
        <f>IF(B77="","",'Statement of Marks'!FP80)</f>
        <v/>
      </c>
      <c r="N77" s="295" t="str">
        <f>IF(B77="","",'Statement of Marks'!FW80)</f>
        <v/>
      </c>
      <c r="O77" s="295" t="str">
        <f>IF(B77="","",'Statement of Marks'!GD80)</f>
        <v/>
      </c>
      <c r="P77" s="295" t="str">
        <f>IF(B77="","",'Statement of Marks'!GK80)</f>
        <v/>
      </c>
      <c r="Q77" s="295" t="str">
        <f>IF(B77="","",'Statement of Marks'!GR80)</f>
        <v/>
      </c>
      <c r="R77" s="295" t="str">
        <f>IF(B77="","",'Statement of Marks'!FF80)</f>
        <v/>
      </c>
      <c r="S77" s="434" t="str">
        <f>IFERROR(IF(B77="","",CONCATENATE(IF(AND('Marks Entry'!U80="A"),'Marks Entry'!$U$2,IF(AND('Marks Entry'!U80="B"),'Marks Entry'!$Y$2,IF(AND('Marks Entry'!U80="C"),'Marks Entry'!$AA$2,""))),", ",IF(AND('Marks Entry'!AC80="A"),'Marks Entry'!$AC$2,IF(AND('Marks Entry'!AC80="B"),'Marks Entry'!$AG$2,IF(AND('Marks Entry'!AC80="C"),'Marks Entry'!$AI$2,""))),", ",IF(AND('Marks Entry'!AK80="A"),'Marks Entry'!$AK$2,IF(AND('Marks Entry'!AK80="B"),'Marks Entry'!$AO$2,IF(AND('Marks Entry'!AK80="C"),'Marks Entry'!$AQ$2,""))),", ",IF(AND('Statement of Marks'!DD80=""),"",IF(AND('Statement of Marks'!DD80="A"),'Marks Entry'!$AS$2,IF(AND('Statement of Marks'!DD80="B"),'Marks Entry'!$AW$2,IF(AND('Statement of Marks'!DD80="C"),'Marks Entry'!$AY$2,"")))))),"")</f>
        <v/>
      </c>
      <c r="T77" s="435" t="str">
        <f>IF(COUNTIF(K77:R77,"F")&gt;0,"",CONCATENATE('Statement of Marks'!GU80,'Statement of Marks'!GW80))</f>
        <v xml:space="preserve">           </v>
      </c>
      <c r="BG77" s="17">
        <f>IFERROR(VLOOKUP(B77,'Statement of Marks'!$B$8:'Statement of Marks'!$HI$207,41,0),"")</f>
        <v>15</v>
      </c>
      <c r="BH77" s="17" t="str">
        <f>IFERROR(VLOOKUP(B77,'Statement of Marks'!$B$8:'Statement of Marks'!$HI$207,66,0),"")</f>
        <v/>
      </c>
      <c r="BI77" s="17">
        <f>IFERROR(VLOOKUP(B77,'Statement of Marks'!$B$8:'Statement of Marks'!$HI$207,91,0),"")</f>
        <v>60</v>
      </c>
      <c r="BJ77" s="17" t="str">
        <f>IFERROR(VLOOKUP(B77,'Statement of Marks'!$B$8:'Statement of Marks'!$HI$207,117,0),"")</f>
        <v/>
      </c>
    </row>
    <row r="78" spans="1:62" ht="24.95" customHeight="1">
      <c r="A78" s="283">
        <f>IF('Statement of Marks'!A81="","",'Statement of Marks'!A81)</f>
        <v>74</v>
      </c>
      <c r="B78" s="283" t="str">
        <f>IF('Statement of Marks'!B81="","",'Statement of Marks'!B81)</f>
        <v/>
      </c>
      <c r="C78" s="283" t="str">
        <f>IF('Statement of Marks'!C81="","",'Statement of Marks'!C81)</f>
        <v/>
      </c>
      <c r="D78" s="430" t="str">
        <f>IF('Statement of Marks'!D81="","",'Statement of Marks'!D81)</f>
        <v/>
      </c>
      <c r="E78" s="431" t="str">
        <f>IF('Statement of Marks'!E81="","",'Statement of Marks'!E81)</f>
        <v/>
      </c>
      <c r="F78" s="431" t="str">
        <f>IF('Statement of Marks'!F81="","",'Statement of Marks'!F81)</f>
        <v/>
      </c>
      <c r="G78" s="431" t="str">
        <f>IF('Statement of Marks'!G81="","",'Statement of Marks'!G81)</f>
        <v/>
      </c>
      <c r="H78" s="432" t="str">
        <f>IF(B78="","",IF('Statement of Marks'!GY81="","",'Statement of Marks'!GY81))</f>
        <v/>
      </c>
      <c r="I78" s="286" t="str">
        <f>IF(B78="","",IF('Statement of Marks'!HB81="","",'Statement of Marks'!HB81))</f>
        <v/>
      </c>
      <c r="J78" s="433" t="str">
        <f>IF(B78="","",IF('Statement of Marks'!HC81="","",'Statement of Marks'!HC81))</f>
        <v/>
      </c>
      <c r="K78" s="295" t="str">
        <f>IF(B78="","",'Statement of Marks'!FJ81)</f>
        <v/>
      </c>
      <c r="L78" s="295" t="str">
        <f>IF(B78="","",'Statement of Marks'!FM81)</f>
        <v/>
      </c>
      <c r="M78" s="295" t="str">
        <f>IF(B78="","",'Statement of Marks'!FP81)</f>
        <v/>
      </c>
      <c r="N78" s="295" t="str">
        <f>IF(B78="","",'Statement of Marks'!FW81)</f>
        <v/>
      </c>
      <c r="O78" s="295" t="str">
        <f>IF(B78="","",'Statement of Marks'!GD81)</f>
        <v/>
      </c>
      <c r="P78" s="295" t="str">
        <f>IF(B78="","",'Statement of Marks'!GK81)</f>
        <v/>
      </c>
      <c r="Q78" s="295" t="str">
        <f>IF(B78="","",'Statement of Marks'!GR81)</f>
        <v/>
      </c>
      <c r="R78" s="295" t="str">
        <f>IF(B78="","",'Statement of Marks'!FF81)</f>
        <v/>
      </c>
      <c r="S78" s="434" t="str">
        <f>IFERROR(IF(B78="","",CONCATENATE(IF(AND('Marks Entry'!U81="A"),'Marks Entry'!$U$2,IF(AND('Marks Entry'!U81="B"),'Marks Entry'!$Y$2,IF(AND('Marks Entry'!U81="C"),'Marks Entry'!$AA$2,""))),", ",IF(AND('Marks Entry'!AC81="A"),'Marks Entry'!$AC$2,IF(AND('Marks Entry'!AC81="B"),'Marks Entry'!$AG$2,IF(AND('Marks Entry'!AC81="C"),'Marks Entry'!$AI$2,""))),", ",IF(AND('Marks Entry'!AK81="A"),'Marks Entry'!$AK$2,IF(AND('Marks Entry'!AK81="B"),'Marks Entry'!$AO$2,IF(AND('Marks Entry'!AK81="C"),'Marks Entry'!$AQ$2,""))),", ",IF(AND('Statement of Marks'!DD81=""),"",IF(AND('Statement of Marks'!DD81="A"),'Marks Entry'!$AS$2,IF(AND('Statement of Marks'!DD81="B"),'Marks Entry'!$AW$2,IF(AND('Statement of Marks'!DD81="C"),'Marks Entry'!$AY$2,"")))))),"")</f>
        <v/>
      </c>
      <c r="T78" s="435" t="str">
        <f>IF(COUNTIF(K78:R78,"F")&gt;0,"",CONCATENATE('Statement of Marks'!GU81,'Statement of Marks'!GW81))</f>
        <v xml:space="preserve">           </v>
      </c>
      <c r="BG78" s="17">
        <f>IFERROR(VLOOKUP(B78,'Statement of Marks'!$B$8:'Statement of Marks'!$HI$207,41,0),"")</f>
        <v>15</v>
      </c>
      <c r="BH78" s="17" t="str">
        <f>IFERROR(VLOOKUP(B78,'Statement of Marks'!$B$8:'Statement of Marks'!$HI$207,66,0),"")</f>
        <v/>
      </c>
      <c r="BI78" s="17">
        <f>IFERROR(VLOOKUP(B78,'Statement of Marks'!$B$8:'Statement of Marks'!$HI$207,91,0),"")</f>
        <v>60</v>
      </c>
      <c r="BJ78" s="17" t="str">
        <f>IFERROR(VLOOKUP(B78,'Statement of Marks'!$B$8:'Statement of Marks'!$HI$207,117,0),"")</f>
        <v/>
      </c>
    </row>
    <row r="79" spans="1:62" ht="24.95" customHeight="1">
      <c r="A79" s="283">
        <f>IF('Statement of Marks'!A82="","",'Statement of Marks'!A82)</f>
        <v>75</v>
      </c>
      <c r="B79" s="283" t="str">
        <f>IF('Statement of Marks'!B82="","",'Statement of Marks'!B82)</f>
        <v/>
      </c>
      <c r="C79" s="283" t="str">
        <f>IF('Statement of Marks'!C82="","",'Statement of Marks'!C82)</f>
        <v/>
      </c>
      <c r="D79" s="430" t="str">
        <f>IF('Statement of Marks'!D82="","",'Statement of Marks'!D82)</f>
        <v/>
      </c>
      <c r="E79" s="431" t="str">
        <f>IF('Statement of Marks'!E82="","",'Statement of Marks'!E82)</f>
        <v/>
      </c>
      <c r="F79" s="431" t="str">
        <f>IF('Statement of Marks'!F82="","",'Statement of Marks'!F82)</f>
        <v/>
      </c>
      <c r="G79" s="431" t="str">
        <f>IF('Statement of Marks'!G82="","",'Statement of Marks'!G82)</f>
        <v/>
      </c>
      <c r="H79" s="432" t="str">
        <f>IF(B79="","",IF('Statement of Marks'!GY82="","",'Statement of Marks'!GY82))</f>
        <v/>
      </c>
      <c r="I79" s="286" t="str">
        <f>IF(B79="","",IF('Statement of Marks'!HB82="","",'Statement of Marks'!HB82))</f>
        <v/>
      </c>
      <c r="J79" s="433" t="str">
        <f>IF(B79="","",IF('Statement of Marks'!HC82="","",'Statement of Marks'!HC82))</f>
        <v/>
      </c>
      <c r="K79" s="295" t="str">
        <f>IF(B79="","",'Statement of Marks'!FJ82)</f>
        <v/>
      </c>
      <c r="L79" s="295" t="str">
        <f>IF(B79="","",'Statement of Marks'!FM82)</f>
        <v/>
      </c>
      <c r="M79" s="295" t="str">
        <f>IF(B79="","",'Statement of Marks'!FP82)</f>
        <v/>
      </c>
      <c r="N79" s="295" t="str">
        <f>IF(B79="","",'Statement of Marks'!FW82)</f>
        <v/>
      </c>
      <c r="O79" s="295" t="str">
        <f>IF(B79="","",'Statement of Marks'!GD82)</f>
        <v/>
      </c>
      <c r="P79" s="295" t="str">
        <f>IF(B79="","",'Statement of Marks'!GK82)</f>
        <v/>
      </c>
      <c r="Q79" s="295" t="str">
        <f>IF(B79="","",'Statement of Marks'!GR82)</f>
        <v/>
      </c>
      <c r="R79" s="295" t="str">
        <f>IF(B79="","",'Statement of Marks'!FF82)</f>
        <v/>
      </c>
      <c r="S79" s="434" t="str">
        <f>IFERROR(IF(B79="","",CONCATENATE(IF(AND('Marks Entry'!U82="A"),'Marks Entry'!$U$2,IF(AND('Marks Entry'!U82="B"),'Marks Entry'!$Y$2,IF(AND('Marks Entry'!U82="C"),'Marks Entry'!$AA$2,""))),", ",IF(AND('Marks Entry'!AC82="A"),'Marks Entry'!$AC$2,IF(AND('Marks Entry'!AC82="B"),'Marks Entry'!$AG$2,IF(AND('Marks Entry'!AC82="C"),'Marks Entry'!$AI$2,""))),", ",IF(AND('Marks Entry'!AK82="A"),'Marks Entry'!$AK$2,IF(AND('Marks Entry'!AK82="B"),'Marks Entry'!$AO$2,IF(AND('Marks Entry'!AK82="C"),'Marks Entry'!$AQ$2,""))),", ",IF(AND('Statement of Marks'!DD82=""),"",IF(AND('Statement of Marks'!DD82="A"),'Marks Entry'!$AS$2,IF(AND('Statement of Marks'!DD82="B"),'Marks Entry'!$AW$2,IF(AND('Statement of Marks'!DD82="C"),'Marks Entry'!$AY$2,"")))))),"")</f>
        <v/>
      </c>
      <c r="T79" s="435" t="str">
        <f>IF(COUNTIF(K79:R79,"F")&gt;0,"",CONCATENATE('Statement of Marks'!GU82,'Statement of Marks'!GW82))</f>
        <v xml:space="preserve">           </v>
      </c>
      <c r="BG79" s="17">
        <f>IFERROR(VLOOKUP(B79,'Statement of Marks'!$B$8:'Statement of Marks'!$HI$207,41,0),"")</f>
        <v>15</v>
      </c>
      <c r="BH79" s="17" t="str">
        <f>IFERROR(VLOOKUP(B79,'Statement of Marks'!$B$8:'Statement of Marks'!$HI$207,66,0),"")</f>
        <v/>
      </c>
      <c r="BI79" s="17">
        <f>IFERROR(VLOOKUP(B79,'Statement of Marks'!$B$8:'Statement of Marks'!$HI$207,91,0),"")</f>
        <v>60</v>
      </c>
      <c r="BJ79" s="17" t="str">
        <f>IFERROR(VLOOKUP(B79,'Statement of Marks'!$B$8:'Statement of Marks'!$HI$207,117,0),"")</f>
        <v/>
      </c>
    </row>
    <row r="80" spans="1:62" ht="24.95" customHeight="1">
      <c r="A80" s="283">
        <f>IF('Statement of Marks'!A83="","",'Statement of Marks'!A83)</f>
        <v>76</v>
      </c>
      <c r="B80" s="283" t="str">
        <f>IF('Statement of Marks'!B83="","",'Statement of Marks'!B83)</f>
        <v/>
      </c>
      <c r="C80" s="283" t="str">
        <f>IF('Statement of Marks'!C83="","",'Statement of Marks'!C83)</f>
        <v/>
      </c>
      <c r="D80" s="430" t="str">
        <f>IF('Statement of Marks'!D83="","",'Statement of Marks'!D83)</f>
        <v/>
      </c>
      <c r="E80" s="431" t="str">
        <f>IF('Statement of Marks'!E83="","",'Statement of Marks'!E83)</f>
        <v/>
      </c>
      <c r="F80" s="431" t="str">
        <f>IF('Statement of Marks'!F83="","",'Statement of Marks'!F83)</f>
        <v/>
      </c>
      <c r="G80" s="431" t="str">
        <f>IF('Statement of Marks'!G83="","",'Statement of Marks'!G83)</f>
        <v/>
      </c>
      <c r="H80" s="432" t="str">
        <f>IF(B80="","",IF('Statement of Marks'!GY83="","",'Statement of Marks'!GY83))</f>
        <v/>
      </c>
      <c r="I80" s="286" t="str">
        <f>IF(B80="","",IF('Statement of Marks'!HB83="","",'Statement of Marks'!HB83))</f>
        <v/>
      </c>
      <c r="J80" s="433" t="str">
        <f>IF(B80="","",IF('Statement of Marks'!HC83="","",'Statement of Marks'!HC83))</f>
        <v/>
      </c>
      <c r="K80" s="295" t="str">
        <f>IF(B80="","",'Statement of Marks'!FJ83)</f>
        <v/>
      </c>
      <c r="L80" s="295" t="str">
        <f>IF(B80="","",'Statement of Marks'!FM83)</f>
        <v/>
      </c>
      <c r="M80" s="295" t="str">
        <f>IF(B80="","",'Statement of Marks'!FP83)</f>
        <v/>
      </c>
      <c r="N80" s="295" t="str">
        <f>IF(B80="","",'Statement of Marks'!FW83)</f>
        <v/>
      </c>
      <c r="O80" s="295" t="str">
        <f>IF(B80="","",'Statement of Marks'!GD83)</f>
        <v/>
      </c>
      <c r="P80" s="295" t="str">
        <f>IF(B80="","",'Statement of Marks'!GK83)</f>
        <v/>
      </c>
      <c r="Q80" s="295" t="str">
        <f>IF(B80="","",'Statement of Marks'!GR83)</f>
        <v/>
      </c>
      <c r="R80" s="295" t="str">
        <f>IF(B80="","",'Statement of Marks'!FF83)</f>
        <v/>
      </c>
      <c r="S80" s="434" t="str">
        <f>IFERROR(IF(B80="","",CONCATENATE(IF(AND('Marks Entry'!U83="A"),'Marks Entry'!$U$2,IF(AND('Marks Entry'!U83="B"),'Marks Entry'!$Y$2,IF(AND('Marks Entry'!U83="C"),'Marks Entry'!$AA$2,""))),", ",IF(AND('Marks Entry'!AC83="A"),'Marks Entry'!$AC$2,IF(AND('Marks Entry'!AC83="B"),'Marks Entry'!$AG$2,IF(AND('Marks Entry'!AC83="C"),'Marks Entry'!$AI$2,""))),", ",IF(AND('Marks Entry'!AK83="A"),'Marks Entry'!$AK$2,IF(AND('Marks Entry'!AK83="B"),'Marks Entry'!$AO$2,IF(AND('Marks Entry'!AK83="C"),'Marks Entry'!$AQ$2,""))),", ",IF(AND('Statement of Marks'!DD83=""),"",IF(AND('Statement of Marks'!DD83="A"),'Marks Entry'!$AS$2,IF(AND('Statement of Marks'!DD83="B"),'Marks Entry'!$AW$2,IF(AND('Statement of Marks'!DD83="C"),'Marks Entry'!$AY$2,"")))))),"")</f>
        <v/>
      </c>
      <c r="T80" s="435" t="str">
        <f>IF(COUNTIF(K80:R80,"F")&gt;0,"",CONCATENATE('Statement of Marks'!GU83,'Statement of Marks'!GW83))</f>
        <v xml:space="preserve">           </v>
      </c>
      <c r="BG80" s="17">
        <f>IFERROR(VLOOKUP(B80,'Statement of Marks'!$B$8:'Statement of Marks'!$HI$207,41,0),"")</f>
        <v>15</v>
      </c>
      <c r="BH80" s="17" t="str">
        <f>IFERROR(VLOOKUP(B80,'Statement of Marks'!$B$8:'Statement of Marks'!$HI$207,66,0),"")</f>
        <v/>
      </c>
      <c r="BI80" s="17">
        <f>IFERROR(VLOOKUP(B80,'Statement of Marks'!$B$8:'Statement of Marks'!$HI$207,91,0),"")</f>
        <v>60</v>
      </c>
      <c r="BJ80" s="17" t="str">
        <f>IFERROR(VLOOKUP(B80,'Statement of Marks'!$B$8:'Statement of Marks'!$HI$207,117,0),"")</f>
        <v/>
      </c>
    </row>
    <row r="81" spans="1:62" ht="24.95" customHeight="1">
      <c r="A81" s="283">
        <f>IF('Statement of Marks'!A84="","",'Statement of Marks'!A84)</f>
        <v>77</v>
      </c>
      <c r="B81" s="283" t="str">
        <f>IF('Statement of Marks'!B84="","",'Statement of Marks'!B84)</f>
        <v/>
      </c>
      <c r="C81" s="283" t="str">
        <f>IF('Statement of Marks'!C84="","",'Statement of Marks'!C84)</f>
        <v/>
      </c>
      <c r="D81" s="430" t="str">
        <f>IF('Statement of Marks'!D84="","",'Statement of Marks'!D84)</f>
        <v/>
      </c>
      <c r="E81" s="431" t="str">
        <f>IF('Statement of Marks'!E84="","",'Statement of Marks'!E84)</f>
        <v/>
      </c>
      <c r="F81" s="431" t="str">
        <f>IF('Statement of Marks'!F84="","",'Statement of Marks'!F84)</f>
        <v/>
      </c>
      <c r="G81" s="431" t="str">
        <f>IF('Statement of Marks'!G84="","",'Statement of Marks'!G84)</f>
        <v/>
      </c>
      <c r="H81" s="432" t="str">
        <f>IF(B81="","",IF('Statement of Marks'!GY84="","",'Statement of Marks'!GY84))</f>
        <v/>
      </c>
      <c r="I81" s="286" t="str">
        <f>IF(B81="","",IF('Statement of Marks'!HB84="","",'Statement of Marks'!HB84))</f>
        <v/>
      </c>
      <c r="J81" s="433" t="str">
        <f>IF(B81="","",IF('Statement of Marks'!HC84="","",'Statement of Marks'!HC84))</f>
        <v/>
      </c>
      <c r="K81" s="295" t="str">
        <f>IF(B81="","",'Statement of Marks'!FJ84)</f>
        <v/>
      </c>
      <c r="L81" s="295" t="str">
        <f>IF(B81="","",'Statement of Marks'!FM84)</f>
        <v/>
      </c>
      <c r="M81" s="295" t="str">
        <f>IF(B81="","",'Statement of Marks'!FP84)</f>
        <v/>
      </c>
      <c r="N81" s="295" t="str">
        <f>IF(B81="","",'Statement of Marks'!FW84)</f>
        <v/>
      </c>
      <c r="O81" s="295" t="str">
        <f>IF(B81="","",'Statement of Marks'!GD84)</f>
        <v/>
      </c>
      <c r="P81" s="295" t="str">
        <f>IF(B81="","",'Statement of Marks'!GK84)</f>
        <v/>
      </c>
      <c r="Q81" s="295" t="str">
        <f>IF(B81="","",'Statement of Marks'!GR84)</f>
        <v/>
      </c>
      <c r="R81" s="295" t="str">
        <f>IF(B81="","",'Statement of Marks'!FF84)</f>
        <v/>
      </c>
      <c r="S81" s="434" t="str">
        <f>IFERROR(IF(B81="","",CONCATENATE(IF(AND('Marks Entry'!U84="A"),'Marks Entry'!$U$2,IF(AND('Marks Entry'!U84="B"),'Marks Entry'!$Y$2,IF(AND('Marks Entry'!U84="C"),'Marks Entry'!$AA$2,""))),", ",IF(AND('Marks Entry'!AC84="A"),'Marks Entry'!$AC$2,IF(AND('Marks Entry'!AC84="B"),'Marks Entry'!$AG$2,IF(AND('Marks Entry'!AC84="C"),'Marks Entry'!$AI$2,""))),", ",IF(AND('Marks Entry'!AK84="A"),'Marks Entry'!$AK$2,IF(AND('Marks Entry'!AK84="B"),'Marks Entry'!$AO$2,IF(AND('Marks Entry'!AK84="C"),'Marks Entry'!$AQ$2,""))),", ",IF(AND('Statement of Marks'!DD84=""),"",IF(AND('Statement of Marks'!DD84="A"),'Marks Entry'!$AS$2,IF(AND('Statement of Marks'!DD84="B"),'Marks Entry'!$AW$2,IF(AND('Statement of Marks'!DD84="C"),'Marks Entry'!$AY$2,"")))))),"")</f>
        <v/>
      </c>
      <c r="T81" s="435" t="str">
        <f>IF(COUNTIF(K81:R81,"F")&gt;0,"",CONCATENATE('Statement of Marks'!GU84,'Statement of Marks'!GW84))</f>
        <v xml:space="preserve">           </v>
      </c>
      <c r="BG81" s="17">
        <f>IFERROR(VLOOKUP(B81,'Statement of Marks'!$B$8:'Statement of Marks'!$HI$207,41,0),"")</f>
        <v>15</v>
      </c>
      <c r="BH81" s="17" t="str">
        <f>IFERROR(VLOOKUP(B81,'Statement of Marks'!$B$8:'Statement of Marks'!$HI$207,66,0),"")</f>
        <v/>
      </c>
      <c r="BI81" s="17">
        <f>IFERROR(VLOOKUP(B81,'Statement of Marks'!$B$8:'Statement of Marks'!$HI$207,91,0),"")</f>
        <v>60</v>
      </c>
      <c r="BJ81" s="17" t="str">
        <f>IFERROR(VLOOKUP(B81,'Statement of Marks'!$B$8:'Statement of Marks'!$HI$207,117,0),"")</f>
        <v/>
      </c>
    </row>
    <row r="82" spans="1:62" ht="24.95" customHeight="1">
      <c r="A82" s="283">
        <f>IF('Statement of Marks'!A85="","",'Statement of Marks'!A85)</f>
        <v>78</v>
      </c>
      <c r="B82" s="283" t="str">
        <f>IF('Statement of Marks'!B85="","",'Statement of Marks'!B85)</f>
        <v/>
      </c>
      <c r="C82" s="283" t="str">
        <f>IF('Statement of Marks'!C85="","",'Statement of Marks'!C85)</f>
        <v/>
      </c>
      <c r="D82" s="430" t="str">
        <f>IF('Statement of Marks'!D85="","",'Statement of Marks'!D85)</f>
        <v/>
      </c>
      <c r="E82" s="431" t="str">
        <f>IF('Statement of Marks'!E85="","",'Statement of Marks'!E85)</f>
        <v/>
      </c>
      <c r="F82" s="431" t="str">
        <f>IF('Statement of Marks'!F85="","",'Statement of Marks'!F85)</f>
        <v/>
      </c>
      <c r="G82" s="431" t="str">
        <f>IF('Statement of Marks'!G85="","",'Statement of Marks'!G85)</f>
        <v/>
      </c>
      <c r="H82" s="432" t="str">
        <f>IF(B82="","",IF('Statement of Marks'!GY85="","",'Statement of Marks'!GY85))</f>
        <v/>
      </c>
      <c r="I82" s="286" t="str">
        <f>IF(B82="","",IF('Statement of Marks'!HB85="","",'Statement of Marks'!HB85))</f>
        <v/>
      </c>
      <c r="J82" s="433" t="str">
        <f>IF(B82="","",IF('Statement of Marks'!HC85="","",'Statement of Marks'!HC85))</f>
        <v/>
      </c>
      <c r="K82" s="295" t="str">
        <f>IF(B82="","",'Statement of Marks'!FJ85)</f>
        <v/>
      </c>
      <c r="L82" s="295" t="str">
        <f>IF(B82="","",'Statement of Marks'!FM85)</f>
        <v/>
      </c>
      <c r="M82" s="295" t="str">
        <f>IF(B82="","",'Statement of Marks'!FP85)</f>
        <v/>
      </c>
      <c r="N82" s="295" t="str">
        <f>IF(B82="","",'Statement of Marks'!FW85)</f>
        <v/>
      </c>
      <c r="O82" s="295" t="str">
        <f>IF(B82="","",'Statement of Marks'!GD85)</f>
        <v/>
      </c>
      <c r="P82" s="295" t="str">
        <f>IF(B82="","",'Statement of Marks'!GK85)</f>
        <v/>
      </c>
      <c r="Q82" s="295" t="str">
        <f>IF(B82="","",'Statement of Marks'!GR85)</f>
        <v/>
      </c>
      <c r="R82" s="295" t="str">
        <f>IF(B82="","",'Statement of Marks'!FF85)</f>
        <v/>
      </c>
      <c r="S82" s="434" t="str">
        <f>IFERROR(IF(B82="","",CONCATENATE(IF(AND('Marks Entry'!U85="A"),'Marks Entry'!$U$2,IF(AND('Marks Entry'!U85="B"),'Marks Entry'!$Y$2,IF(AND('Marks Entry'!U85="C"),'Marks Entry'!$AA$2,""))),", ",IF(AND('Marks Entry'!AC85="A"),'Marks Entry'!$AC$2,IF(AND('Marks Entry'!AC85="B"),'Marks Entry'!$AG$2,IF(AND('Marks Entry'!AC85="C"),'Marks Entry'!$AI$2,""))),", ",IF(AND('Marks Entry'!AK85="A"),'Marks Entry'!$AK$2,IF(AND('Marks Entry'!AK85="B"),'Marks Entry'!$AO$2,IF(AND('Marks Entry'!AK85="C"),'Marks Entry'!$AQ$2,""))),", ",IF(AND('Statement of Marks'!DD85=""),"",IF(AND('Statement of Marks'!DD85="A"),'Marks Entry'!$AS$2,IF(AND('Statement of Marks'!DD85="B"),'Marks Entry'!$AW$2,IF(AND('Statement of Marks'!DD85="C"),'Marks Entry'!$AY$2,"")))))),"")</f>
        <v/>
      </c>
      <c r="T82" s="435" t="str">
        <f>IF(COUNTIF(K82:R82,"F")&gt;0,"",CONCATENATE('Statement of Marks'!GU85,'Statement of Marks'!GW85))</f>
        <v xml:space="preserve">           </v>
      </c>
      <c r="BG82" s="17">
        <f>IFERROR(VLOOKUP(B82,'Statement of Marks'!$B$8:'Statement of Marks'!$HI$207,41,0),"")</f>
        <v>15</v>
      </c>
      <c r="BH82" s="17" t="str">
        <f>IFERROR(VLOOKUP(B82,'Statement of Marks'!$B$8:'Statement of Marks'!$HI$207,66,0),"")</f>
        <v/>
      </c>
      <c r="BI82" s="17">
        <f>IFERROR(VLOOKUP(B82,'Statement of Marks'!$B$8:'Statement of Marks'!$HI$207,91,0),"")</f>
        <v>60</v>
      </c>
      <c r="BJ82" s="17" t="str">
        <f>IFERROR(VLOOKUP(B82,'Statement of Marks'!$B$8:'Statement of Marks'!$HI$207,117,0),"")</f>
        <v/>
      </c>
    </row>
    <row r="83" spans="1:62" ht="24.95" customHeight="1">
      <c r="A83" s="283">
        <f>IF('Statement of Marks'!A86="","",'Statement of Marks'!A86)</f>
        <v>79</v>
      </c>
      <c r="B83" s="283" t="str">
        <f>IF('Statement of Marks'!B86="","",'Statement of Marks'!B86)</f>
        <v/>
      </c>
      <c r="C83" s="283" t="str">
        <f>IF('Statement of Marks'!C86="","",'Statement of Marks'!C86)</f>
        <v/>
      </c>
      <c r="D83" s="430" t="str">
        <f>IF('Statement of Marks'!D86="","",'Statement of Marks'!D86)</f>
        <v/>
      </c>
      <c r="E83" s="431" t="str">
        <f>IF('Statement of Marks'!E86="","",'Statement of Marks'!E86)</f>
        <v/>
      </c>
      <c r="F83" s="431" t="str">
        <f>IF('Statement of Marks'!F86="","",'Statement of Marks'!F86)</f>
        <v/>
      </c>
      <c r="G83" s="431" t="str">
        <f>IF('Statement of Marks'!G86="","",'Statement of Marks'!G86)</f>
        <v/>
      </c>
      <c r="H83" s="432" t="str">
        <f>IF(B83="","",IF('Statement of Marks'!GY86="","",'Statement of Marks'!GY86))</f>
        <v/>
      </c>
      <c r="I83" s="286" t="str">
        <f>IF(B83="","",IF('Statement of Marks'!HB86="","",'Statement of Marks'!HB86))</f>
        <v/>
      </c>
      <c r="J83" s="433" t="str">
        <f>IF(B83="","",IF('Statement of Marks'!HC86="","",'Statement of Marks'!HC86))</f>
        <v/>
      </c>
      <c r="K83" s="295" t="str">
        <f>IF(B83="","",'Statement of Marks'!FJ86)</f>
        <v/>
      </c>
      <c r="L83" s="295" t="str">
        <f>IF(B83="","",'Statement of Marks'!FM86)</f>
        <v/>
      </c>
      <c r="M83" s="295" t="str">
        <f>IF(B83="","",'Statement of Marks'!FP86)</f>
        <v/>
      </c>
      <c r="N83" s="295" t="str">
        <f>IF(B83="","",'Statement of Marks'!FW86)</f>
        <v/>
      </c>
      <c r="O83" s="295" t="str">
        <f>IF(B83="","",'Statement of Marks'!GD86)</f>
        <v/>
      </c>
      <c r="P83" s="295" t="str">
        <f>IF(B83="","",'Statement of Marks'!GK86)</f>
        <v/>
      </c>
      <c r="Q83" s="295" t="str">
        <f>IF(B83="","",'Statement of Marks'!GR86)</f>
        <v/>
      </c>
      <c r="R83" s="295" t="str">
        <f>IF(B83="","",'Statement of Marks'!FF86)</f>
        <v/>
      </c>
      <c r="S83" s="434" t="str">
        <f>IFERROR(IF(B83="","",CONCATENATE(IF(AND('Marks Entry'!U86="A"),'Marks Entry'!$U$2,IF(AND('Marks Entry'!U86="B"),'Marks Entry'!$Y$2,IF(AND('Marks Entry'!U86="C"),'Marks Entry'!$AA$2,""))),", ",IF(AND('Marks Entry'!AC86="A"),'Marks Entry'!$AC$2,IF(AND('Marks Entry'!AC86="B"),'Marks Entry'!$AG$2,IF(AND('Marks Entry'!AC86="C"),'Marks Entry'!$AI$2,""))),", ",IF(AND('Marks Entry'!AK86="A"),'Marks Entry'!$AK$2,IF(AND('Marks Entry'!AK86="B"),'Marks Entry'!$AO$2,IF(AND('Marks Entry'!AK86="C"),'Marks Entry'!$AQ$2,""))),", ",IF(AND('Statement of Marks'!DD86=""),"",IF(AND('Statement of Marks'!DD86="A"),'Marks Entry'!$AS$2,IF(AND('Statement of Marks'!DD86="B"),'Marks Entry'!$AW$2,IF(AND('Statement of Marks'!DD86="C"),'Marks Entry'!$AY$2,"")))))),"")</f>
        <v/>
      </c>
      <c r="T83" s="435" t="str">
        <f>IF(COUNTIF(K83:R83,"F")&gt;0,"",CONCATENATE('Statement of Marks'!GU86,'Statement of Marks'!GW86))</f>
        <v xml:space="preserve">           </v>
      </c>
      <c r="BG83" s="17">
        <f>IFERROR(VLOOKUP(B83,'Statement of Marks'!$B$8:'Statement of Marks'!$HI$207,41,0),"")</f>
        <v>15</v>
      </c>
      <c r="BH83" s="17" t="str">
        <f>IFERROR(VLOOKUP(B83,'Statement of Marks'!$B$8:'Statement of Marks'!$HI$207,66,0),"")</f>
        <v/>
      </c>
      <c r="BI83" s="17">
        <f>IFERROR(VLOOKUP(B83,'Statement of Marks'!$B$8:'Statement of Marks'!$HI$207,91,0),"")</f>
        <v>60</v>
      </c>
      <c r="BJ83" s="17" t="str">
        <f>IFERROR(VLOOKUP(B83,'Statement of Marks'!$B$8:'Statement of Marks'!$HI$207,117,0),"")</f>
        <v/>
      </c>
    </row>
    <row r="84" spans="1:62" ht="24.95" customHeight="1">
      <c r="A84" s="283">
        <f>IF('Statement of Marks'!A87="","",'Statement of Marks'!A87)</f>
        <v>80</v>
      </c>
      <c r="B84" s="283" t="str">
        <f>IF('Statement of Marks'!B87="","",'Statement of Marks'!B87)</f>
        <v/>
      </c>
      <c r="C84" s="283" t="str">
        <f>IF('Statement of Marks'!C87="","",'Statement of Marks'!C87)</f>
        <v/>
      </c>
      <c r="D84" s="430" t="str">
        <f>IF('Statement of Marks'!D87="","",'Statement of Marks'!D87)</f>
        <v/>
      </c>
      <c r="E84" s="431" t="str">
        <f>IF('Statement of Marks'!E87="","",'Statement of Marks'!E87)</f>
        <v/>
      </c>
      <c r="F84" s="431" t="str">
        <f>IF('Statement of Marks'!F87="","",'Statement of Marks'!F87)</f>
        <v/>
      </c>
      <c r="G84" s="431" t="str">
        <f>IF('Statement of Marks'!G87="","",'Statement of Marks'!G87)</f>
        <v/>
      </c>
      <c r="H84" s="432" t="str">
        <f>IF(B84="","",IF('Statement of Marks'!GY87="","",'Statement of Marks'!GY87))</f>
        <v/>
      </c>
      <c r="I84" s="286" t="str">
        <f>IF(B84="","",IF('Statement of Marks'!HB87="","",'Statement of Marks'!HB87))</f>
        <v/>
      </c>
      <c r="J84" s="433" t="str">
        <f>IF(B84="","",IF('Statement of Marks'!HC87="","",'Statement of Marks'!HC87))</f>
        <v/>
      </c>
      <c r="K84" s="295" t="str">
        <f>IF(B84="","",'Statement of Marks'!FJ87)</f>
        <v/>
      </c>
      <c r="L84" s="295" t="str">
        <f>IF(B84="","",'Statement of Marks'!FM87)</f>
        <v/>
      </c>
      <c r="M84" s="295" t="str">
        <f>IF(B84="","",'Statement of Marks'!FP87)</f>
        <v/>
      </c>
      <c r="N84" s="295" t="str">
        <f>IF(B84="","",'Statement of Marks'!FW87)</f>
        <v/>
      </c>
      <c r="O84" s="295" t="str">
        <f>IF(B84="","",'Statement of Marks'!GD87)</f>
        <v/>
      </c>
      <c r="P84" s="295" t="str">
        <f>IF(B84="","",'Statement of Marks'!GK87)</f>
        <v/>
      </c>
      <c r="Q84" s="295" t="str">
        <f>IF(B84="","",'Statement of Marks'!GR87)</f>
        <v/>
      </c>
      <c r="R84" s="295" t="str">
        <f>IF(B84="","",'Statement of Marks'!FF87)</f>
        <v/>
      </c>
      <c r="S84" s="434" t="str">
        <f>IFERROR(IF(B84="","",CONCATENATE(IF(AND('Marks Entry'!U87="A"),'Marks Entry'!$U$2,IF(AND('Marks Entry'!U87="B"),'Marks Entry'!$Y$2,IF(AND('Marks Entry'!U87="C"),'Marks Entry'!$AA$2,""))),", ",IF(AND('Marks Entry'!AC87="A"),'Marks Entry'!$AC$2,IF(AND('Marks Entry'!AC87="B"),'Marks Entry'!$AG$2,IF(AND('Marks Entry'!AC87="C"),'Marks Entry'!$AI$2,""))),", ",IF(AND('Marks Entry'!AK87="A"),'Marks Entry'!$AK$2,IF(AND('Marks Entry'!AK87="B"),'Marks Entry'!$AO$2,IF(AND('Marks Entry'!AK87="C"),'Marks Entry'!$AQ$2,""))),", ",IF(AND('Statement of Marks'!DD87=""),"",IF(AND('Statement of Marks'!DD87="A"),'Marks Entry'!$AS$2,IF(AND('Statement of Marks'!DD87="B"),'Marks Entry'!$AW$2,IF(AND('Statement of Marks'!DD87="C"),'Marks Entry'!$AY$2,"")))))),"")</f>
        <v/>
      </c>
      <c r="T84" s="435" t="str">
        <f>IF(COUNTIF(K84:R84,"F")&gt;0,"",CONCATENATE('Statement of Marks'!GU87,'Statement of Marks'!GW87))</f>
        <v xml:space="preserve">           </v>
      </c>
      <c r="BG84" s="17">
        <f>IFERROR(VLOOKUP(B84,'Statement of Marks'!$B$8:'Statement of Marks'!$HI$207,41,0),"")</f>
        <v>15</v>
      </c>
      <c r="BH84" s="17" t="str">
        <f>IFERROR(VLOOKUP(B84,'Statement of Marks'!$B$8:'Statement of Marks'!$HI$207,66,0),"")</f>
        <v/>
      </c>
      <c r="BI84" s="17">
        <f>IFERROR(VLOOKUP(B84,'Statement of Marks'!$B$8:'Statement of Marks'!$HI$207,91,0),"")</f>
        <v>60</v>
      </c>
      <c r="BJ84" s="17" t="str">
        <f>IFERROR(VLOOKUP(B84,'Statement of Marks'!$B$8:'Statement of Marks'!$HI$207,117,0),"")</f>
        <v/>
      </c>
    </row>
    <row r="85" spans="1:62" ht="24.95" customHeight="1">
      <c r="A85" s="283">
        <f>IF('Statement of Marks'!A88="","",'Statement of Marks'!A88)</f>
        <v>81</v>
      </c>
      <c r="B85" s="283" t="str">
        <f>IF('Statement of Marks'!B88="","",'Statement of Marks'!B88)</f>
        <v/>
      </c>
      <c r="C85" s="283" t="str">
        <f>IF('Statement of Marks'!C88="","",'Statement of Marks'!C88)</f>
        <v/>
      </c>
      <c r="D85" s="430" t="str">
        <f>IF('Statement of Marks'!D88="","",'Statement of Marks'!D88)</f>
        <v/>
      </c>
      <c r="E85" s="431" t="str">
        <f>IF('Statement of Marks'!E88="","",'Statement of Marks'!E88)</f>
        <v/>
      </c>
      <c r="F85" s="431" t="str">
        <f>IF('Statement of Marks'!F88="","",'Statement of Marks'!F88)</f>
        <v/>
      </c>
      <c r="G85" s="431" t="str">
        <f>IF('Statement of Marks'!G88="","",'Statement of Marks'!G88)</f>
        <v/>
      </c>
      <c r="H85" s="432" t="str">
        <f>IF(B85="","",IF('Statement of Marks'!GY88="","",'Statement of Marks'!GY88))</f>
        <v/>
      </c>
      <c r="I85" s="286" t="str">
        <f>IF(B85="","",IF('Statement of Marks'!HB88="","",'Statement of Marks'!HB88))</f>
        <v/>
      </c>
      <c r="J85" s="433" t="str">
        <f>IF(B85="","",IF('Statement of Marks'!HC88="","",'Statement of Marks'!HC88))</f>
        <v/>
      </c>
      <c r="K85" s="295" t="str">
        <f>IF(B85="","",'Statement of Marks'!FJ88)</f>
        <v/>
      </c>
      <c r="L85" s="295" t="str">
        <f>IF(B85="","",'Statement of Marks'!FM88)</f>
        <v/>
      </c>
      <c r="M85" s="295" t="str">
        <f>IF(B85="","",'Statement of Marks'!FP88)</f>
        <v/>
      </c>
      <c r="N85" s="295" t="str">
        <f>IF(B85="","",'Statement of Marks'!FW88)</f>
        <v/>
      </c>
      <c r="O85" s="295" t="str">
        <f>IF(B85="","",'Statement of Marks'!GD88)</f>
        <v/>
      </c>
      <c r="P85" s="295" t="str">
        <f>IF(B85="","",'Statement of Marks'!GK88)</f>
        <v/>
      </c>
      <c r="Q85" s="295" t="str">
        <f>IF(B85="","",'Statement of Marks'!GR88)</f>
        <v/>
      </c>
      <c r="R85" s="295" t="str">
        <f>IF(B85="","",'Statement of Marks'!FF88)</f>
        <v/>
      </c>
      <c r="S85" s="434" t="str">
        <f>IFERROR(IF(B85="","",CONCATENATE(IF(AND('Marks Entry'!U88="A"),'Marks Entry'!$U$2,IF(AND('Marks Entry'!U88="B"),'Marks Entry'!$Y$2,IF(AND('Marks Entry'!U88="C"),'Marks Entry'!$AA$2,""))),", ",IF(AND('Marks Entry'!AC88="A"),'Marks Entry'!$AC$2,IF(AND('Marks Entry'!AC88="B"),'Marks Entry'!$AG$2,IF(AND('Marks Entry'!AC88="C"),'Marks Entry'!$AI$2,""))),", ",IF(AND('Marks Entry'!AK88="A"),'Marks Entry'!$AK$2,IF(AND('Marks Entry'!AK88="B"),'Marks Entry'!$AO$2,IF(AND('Marks Entry'!AK88="C"),'Marks Entry'!$AQ$2,""))),", ",IF(AND('Statement of Marks'!DD88=""),"",IF(AND('Statement of Marks'!DD88="A"),'Marks Entry'!$AS$2,IF(AND('Statement of Marks'!DD88="B"),'Marks Entry'!$AW$2,IF(AND('Statement of Marks'!DD88="C"),'Marks Entry'!$AY$2,"")))))),"")</f>
        <v/>
      </c>
      <c r="T85" s="435" t="str">
        <f>IF(COUNTIF(K85:R85,"F")&gt;0,"",CONCATENATE('Statement of Marks'!GU88,'Statement of Marks'!GW88))</f>
        <v xml:space="preserve">           </v>
      </c>
      <c r="BG85" s="17">
        <f>IFERROR(VLOOKUP(B85,'Statement of Marks'!$B$8:'Statement of Marks'!$HI$207,41,0),"")</f>
        <v>15</v>
      </c>
      <c r="BH85" s="17" t="str">
        <f>IFERROR(VLOOKUP(B85,'Statement of Marks'!$B$8:'Statement of Marks'!$HI$207,66,0),"")</f>
        <v/>
      </c>
      <c r="BI85" s="17">
        <f>IFERROR(VLOOKUP(B85,'Statement of Marks'!$B$8:'Statement of Marks'!$HI$207,91,0),"")</f>
        <v>60</v>
      </c>
      <c r="BJ85" s="17" t="str">
        <f>IFERROR(VLOOKUP(B85,'Statement of Marks'!$B$8:'Statement of Marks'!$HI$207,117,0),"")</f>
        <v/>
      </c>
    </row>
    <row r="86" spans="1:62" ht="24.95" customHeight="1">
      <c r="A86" s="283">
        <f>IF('Statement of Marks'!A89="","",'Statement of Marks'!A89)</f>
        <v>82</v>
      </c>
      <c r="B86" s="283" t="str">
        <f>IF('Statement of Marks'!B89="","",'Statement of Marks'!B89)</f>
        <v/>
      </c>
      <c r="C86" s="283" t="str">
        <f>IF('Statement of Marks'!C89="","",'Statement of Marks'!C89)</f>
        <v/>
      </c>
      <c r="D86" s="430" t="str">
        <f>IF('Statement of Marks'!D89="","",'Statement of Marks'!D89)</f>
        <v/>
      </c>
      <c r="E86" s="431" t="str">
        <f>IF('Statement of Marks'!E89="","",'Statement of Marks'!E89)</f>
        <v/>
      </c>
      <c r="F86" s="431" t="str">
        <f>IF('Statement of Marks'!F89="","",'Statement of Marks'!F89)</f>
        <v/>
      </c>
      <c r="G86" s="431" t="str">
        <f>IF('Statement of Marks'!G89="","",'Statement of Marks'!G89)</f>
        <v/>
      </c>
      <c r="H86" s="432" t="str">
        <f>IF(B86="","",IF('Statement of Marks'!GY89="","",'Statement of Marks'!GY89))</f>
        <v/>
      </c>
      <c r="I86" s="286" t="str">
        <f>IF(B86="","",IF('Statement of Marks'!HB89="","",'Statement of Marks'!HB89))</f>
        <v/>
      </c>
      <c r="J86" s="433" t="str">
        <f>IF(B86="","",IF('Statement of Marks'!HC89="","",'Statement of Marks'!HC89))</f>
        <v/>
      </c>
      <c r="K86" s="295" t="str">
        <f>IF(B86="","",'Statement of Marks'!FJ89)</f>
        <v/>
      </c>
      <c r="L86" s="295" t="str">
        <f>IF(B86="","",'Statement of Marks'!FM89)</f>
        <v/>
      </c>
      <c r="M86" s="295" t="str">
        <f>IF(B86="","",'Statement of Marks'!FP89)</f>
        <v/>
      </c>
      <c r="N86" s="295" t="str">
        <f>IF(B86="","",'Statement of Marks'!FW89)</f>
        <v/>
      </c>
      <c r="O86" s="295" t="str">
        <f>IF(B86="","",'Statement of Marks'!GD89)</f>
        <v/>
      </c>
      <c r="P86" s="295" t="str">
        <f>IF(B86="","",'Statement of Marks'!GK89)</f>
        <v/>
      </c>
      <c r="Q86" s="295" t="str">
        <f>IF(B86="","",'Statement of Marks'!GR89)</f>
        <v/>
      </c>
      <c r="R86" s="295" t="str">
        <f>IF(B86="","",'Statement of Marks'!FF89)</f>
        <v/>
      </c>
      <c r="S86" s="434" t="str">
        <f>IFERROR(IF(B86="","",CONCATENATE(IF(AND('Marks Entry'!U89="A"),'Marks Entry'!$U$2,IF(AND('Marks Entry'!U89="B"),'Marks Entry'!$Y$2,IF(AND('Marks Entry'!U89="C"),'Marks Entry'!$AA$2,""))),", ",IF(AND('Marks Entry'!AC89="A"),'Marks Entry'!$AC$2,IF(AND('Marks Entry'!AC89="B"),'Marks Entry'!$AG$2,IF(AND('Marks Entry'!AC89="C"),'Marks Entry'!$AI$2,""))),", ",IF(AND('Marks Entry'!AK89="A"),'Marks Entry'!$AK$2,IF(AND('Marks Entry'!AK89="B"),'Marks Entry'!$AO$2,IF(AND('Marks Entry'!AK89="C"),'Marks Entry'!$AQ$2,""))),", ",IF(AND('Statement of Marks'!DD89=""),"",IF(AND('Statement of Marks'!DD89="A"),'Marks Entry'!$AS$2,IF(AND('Statement of Marks'!DD89="B"),'Marks Entry'!$AW$2,IF(AND('Statement of Marks'!DD89="C"),'Marks Entry'!$AY$2,"")))))),"")</f>
        <v/>
      </c>
      <c r="T86" s="435" t="str">
        <f>IF(COUNTIF(K86:R86,"F")&gt;0,"",CONCATENATE('Statement of Marks'!GU89,'Statement of Marks'!GW89))</f>
        <v xml:space="preserve">           </v>
      </c>
      <c r="BG86" s="17">
        <f>IFERROR(VLOOKUP(B86,'Statement of Marks'!$B$8:'Statement of Marks'!$HI$207,41,0),"")</f>
        <v>15</v>
      </c>
      <c r="BH86" s="17" t="str">
        <f>IFERROR(VLOOKUP(B86,'Statement of Marks'!$B$8:'Statement of Marks'!$HI$207,66,0),"")</f>
        <v/>
      </c>
      <c r="BI86" s="17">
        <f>IFERROR(VLOOKUP(B86,'Statement of Marks'!$B$8:'Statement of Marks'!$HI$207,91,0),"")</f>
        <v>60</v>
      </c>
      <c r="BJ86" s="17" t="str">
        <f>IFERROR(VLOOKUP(B86,'Statement of Marks'!$B$8:'Statement of Marks'!$HI$207,117,0),"")</f>
        <v/>
      </c>
    </row>
    <row r="87" spans="1:62" ht="24.95" customHeight="1">
      <c r="A87" s="283">
        <f>IF('Statement of Marks'!A90="","",'Statement of Marks'!A90)</f>
        <v>83</v>
      </c>
      <c r="B87" s="283" t="str">
        <f>IF('Statement of Marks'!B90="","",'Statement of Marks'!B90)</f>
        <v/>
      </c>
      <c r="C87" s="283" t="str">
        <f>IF('Statement of Marks'!C90="","",'Statement of Marks'!C90)</f>
        <v/>
      </c>
      <c r="D87" s="430" t="str">
        <f>IF('Statement of Marks'!D90="","",'Statement of Marks'!D90)</f>
        <v/>
      </c>
      <c r="E87" s="431" t="str">
        <f>IF('Statement of Marks'!E90="","",'Statement of Marks'!E90)</f>
        <v/>
      </c>
      <c r="F87" s="431" t="str">
        <f>IF('Statement of Marks'!F90="","",'Statement of Marks'!F90)</f>
        <v/>
      </c>
      <c r="G87" s="431" t="str">
        <f>IF('Statement of Marks'!G90="","",'Statement of Marks'!G90)</f>
        <v/>
      </c>
      <c r="H87" s="432" t="str">
        <f>IF(B87="","",IF('Statement of Marks'!GY90="","",'Statement of Marks'!GY90))</f>
        <v/>
      </c>
      <c r="I87" s="286" t="str">
        <f>IF(B87="","",IF('Statement of Marks'!HB90="","",'Statement of Marks'!HB90))</f>
        <v/>
      </c>
      <c r="J87" s="433" t="str">
        <f>IF(B87="","",IF('Statement of Marks'!HC90="","",'Statement of Marks'!HC90))</f>
        <v/>
      </c>
      <c r="K87" s="295" t="str">
        <f>IF(B87="","",'Statement of Marks'!FJ90)</f>
        <v/>
      </c>
      <c r="L87" s="295" t="str">
        <f>IF(B87="","",'Statement of Marks'!FM90)</f>
        <v/>
      </c>
      <c r="M87" s="295" t="str">
        <f>IF(B87="","",'Statement of Marks'!FP90)</f>
        <v/>
      </c>
      <c r="N87" s="295" t="str">
        <f>IF(B87="","",'Statement of Marks'!FW90)</f>
        <v/>
      </c>
      <c r="O87" s="295" t="str">
        <f>IF(B87="","",'Statement of Marks'!GD90)</f>
        <v/>
      </c>
      <c r="P87" s="295" t="str">
        <f>IF(B87="","",'Statement of Marks'!GK90)</f>
        <v/>
      </c>
      <c r="Q87" s="295" t="str">
        <f>IF(B87="","",'Statement of Marks'!GR90)</f>
        <v/>
      </c>
      <c r="R87" s="295" t="str">
        <f>IF(B87="","",'Statement of Marks'!FF90)</f>
        <v/>
      </c>
      <c r="S87" s="434" t="str">
        <f>IFERROR(IF(B87="","",CONCATENATE(IF(AND('Marks Entry'!U90="A"),'Marks Entry'!$U$2,IF(AND('Marks Entry'!U90="B"),'Marks Entry'!$Y$2,IF(AND('Marks Entry'!U90="C"),'Marks Entry'!$AA$2,""))),", ",IF(AND('Marks Entry'!AC90="A"),'Marks Entry'!$AC$2,IF(AND('Marks Entry'!AC90="B"),'Marks Entry'!$AG$2,IF(AND('Marks Entry'!AC90="C"),'Marks Entry'!$AI$2,""))),", ",IF(AND('Marks Entry'!AK90="A"),'Marks Entry'!$AK$2,IF(AND('Marks Entry'!AK90="B"),'Marks Entry'!$AO$2,IF(AND('Marks Entry'!AK90="C"),'Marks Entry'!$AQ$2,""))),", ",IF(AND('Statement of Marks'!DD90=""),"",IF(AND('Statement of Marks'!DD90="A"),'Marks Entry'!$AS$2,IF(AND('Statement of Marks'!DD90="B"),'Marks Entry'!$AW$2,IF(AND('Statement of Marks'!DD90="C"),'Marks Entry'!$AY$2,"")))))),"")</f>
        <v/>
      </c>
      <c r="T87" s="435" t="str">
        <f>IF(COUNTIF(K87:R87,"F")&gt;0,"",CONCATENATE('Statement of Marks'!GU90,'Statement of Marks'!GW90))</f>
        <v xml:space="preserve">           </v>
      </c>
      <c r="BG87" s="17">
        <f>IFERROR(VLOOKUP(B87,'Statement of Marks'!$B$8:'Statement of Marks'!$HI$207,41,0),"")</f>
        <v>15</v>
      </c>
      <c r="BH87" s="17" t="str">
        <f>IFERROR(VLOOKUP(B87,'Statement of Marks'!$B$8:'Statement of Marks'!$HI$207,66,0),"")</f>
        <v/>
      </c>
      <c r="BI87" s="17">
        <f>IFERROR(VLOOKUP(B87,'Statement of Marks'!$B$8:'Statement of Marks'!$HI$207,91,0),"")</f>
        <v>60</v>
      </c>
      <c r="BJ87" s="17" t="str">
        <f>IFERROR(VLOOKUP(B87,'Statement of Marks'!$B$8:'Statement of Marks'!$HI$207,117,0),"")</f>
        <v/>
      </c>
    </row>
    <row r="88" spans="1:62" ht="24.95" customHeight="1">
      <c r="A88" s="283">
        <f>IF('Statement of Marks'!A91="","",'Statement of Marks'!A91)</f>
        <v>84</v>
      </c>
      <c r="B88" s="283" t="str">
        <f>IF('Statement of Marks'!B91="","",'Statement of Marks'!B91)</f>
        <v/>
      </c>
      <c r="C88" s="283" t="str">
        <f>IF('Statement of Marks'!C91="","",'Statement of Marks'!C91)</f>
        <v/>
      </c>
      <c r="D88" s="430" t="str">
        <f>IF('Statement of Marks'!D91="","",'Statement of Marks'!D91)</f>
        <v/>
      </c>
      <c r="E88" s="431" t="str">
        <f>IF('Statement of Marks'!E91="","",'Statement of Marks'!E91)</f>
        <v/>
      </c>
      <c r="F88" s="431" t="str">
        <f>IF('Statement of Marks'!F91="","",'Statement of Marks'!F91)</f>
        <v/>
      </c>
      <c r="G88" s="431" t="str">
        <f>IF('Statement of Marks'!G91="","",'Statement of Marks'!G91)</f>
        <v/>
      </c>
      <c r="H88" s="432" t="str">
        <f>IF(B88="","",IF('Statement of Marks'!GY91="","",'Statement of Marks'!GY91))</f>
        <v/>
      </c>
      <c r="I88" s="286" t="str">
        <f>IF(B88="","",IF('Statement of Marks'!HB91="","",'Statement of Marks'!HB91))</f>
        <v/>
      </c>
      <c r="J88" s="433" t="str">
        <f>IF(B88="","",IF('Statement of Marks'!HC91="","",'Statement of Marks'!HC91))</f>
        <v/>
      </c>
      <c r="K88" s="295" t="str">
        <f>IF(B88="","",'Statement of Marks'!FJ91)</f>
        <v/>
      </c>
      <c r="L88" s="295" t="str">
        <f>IF(B88="","",'Statement of Marks'!FM91)</f>
        <v/>
      </c>
      <c r="M88" s="295" t="str">
        <f>IF(B88="","",'Statement of Marks'!FP91)</f>
        <v/>
      </c>
      <c r="N88" s="295" t="str">
        <f>IF(B88="","",'Statement of Marks'!FW91)</f>
        <v/>
      </c>
      <c r="O88" s="295" t="str">
        <f>IF(B88="","",'Statement of Marks'!GD91)</f>
        <v/>
      </c>
      <c r="P88" s="295" t="str">
        <f>IF(B88="","",'Statement of Marks'!GK91)</f>
        <v/>
      </c>
      <c r="Q88" s="295" t="str">
        <f>IF(B88="","",'Statement of Marks'!GR91)</f>
        <v/>
      </c>
      <c r="R88" s="295" t="str">
        <f>IF(B88="","",'Statement of Marks'!FF91)</f>
        <v/>
      </c>
      <c r="S88" s="434" t="str">
        <f>IFERROR(IF(B88="","",CONCATENATE(IF(AND('Marks Entry'!U91="A"),'Marks Entry'!$U$2,IF(AND('Marks Entry'!U91="B"),'Marks Entry'!$Y$2,IF(AND('Marks Entry'!U91="C"),'Marks Entry'!$AA$2,""))),", ",IF(AND('Marks Entry'!AC91="A"),'Marks Entry'!$AC$2,IF(AND('Marks Entry'!AC91="B"),'Marks Entry'!$AG$2,IF(AND('Marks Entry'!AC91="C"),'Marks Entry'!$AI$2,""))),", ",IF(AND('Marks Entry'!AK91="A"),'Marks Entry'!$AK$2,IF(AND('Marks Entry'!AK91="B"),'Marks Entry'!$AO$2,IF(AND('Marks Entry'!AK91="C"),'Marks Entry'!$AQ$2,""))),", ",IF(AND('Statement of Marks'!DD91=""),"",IF(AND('Statement of Marks'!DD91="A"),'Marks Entry'!$AS$2,IF(AND('Statement of Marks'!DD91="B"),'Marks Entry'!$AW$2,IF(AND('Statement of Marks'!DD91="C"),'Marks Entry'!$AY$2,"")))))),"")</f>
        <v/>
      </c>
      <c r="T88" s="435" t="str">
        <f>IF(COUNTIF(K88:R88,"F")&gt;0,"",CONCATENATE('Statement of Marks'!GU91,'Statement of Marks'!GW91))</f>
        <v xml:space="preserve">           </v>
      </c>
      <c r="BG88" s="17">
        <f>IFERROR(VLOOKUP(B88,'Statement of Marks'!$B$8:'Statement of Marks'!$HI$207,41,0),"")</f>
        <v>15</v>
      </c>
      <c r="BH88" s="17" t="str">
        <f>IFERROR(VLOOKUP(B88,'Statement of Marks'!$B$8:'Statement of Marks'!$HI$207,66,0),"")</f>
        <v/>
      </c>
      <c r="BI88" s="17">
        <f>IFERROR(VLOOKUP(B88,'Statement of Marks'!$B$8:'Statement of Marks'!$HI$207,91,0),"")</f>
        <v>60</v>
      </c>
      <c r="BJ88" s="17" t="str">
        <f>IFERROR(VLOOKUP(B88,'Statement of Marks'!$B$8:'Statement of Marks'!$HI$207,117,0),"")</f>
        <v/>
      </c>
    </row>
    <row r="89" spans="1:62" ht="24.95" customHeight="1">
      <c r="A89" s="283">
        <f>IF('Statement of Marks'!A92="","",'Statement of Marks'!A92)</f>
        <v>85</v>
      </c>
      <c r="B89" s="283" t="str">
        <f>IF('Statement of Marks'!B92="","",'Statement of Marks'!B92)</f>
        <v/>
      </c>
      <c r="C89" s="283" t="str">
        <f>IF('Statement of Marks'!C92="","",'Statement of Marks'!C92)</f>
        <v/>
      </c>
      <c r="D89" s="430" t="str">
        <f>IF('Statement of Marks'!D92="","",'Statement of Marks'!D92)</f>
        <v/>
      </c>
      <c r="E89" s="431" t="str">
        <f>IF('Statement of Marks'!E92="","",'Statement of Marks'!E92)</f>
        <v/>
      </c>
      <c r="F89" s="431" t="str">
        <f>IF('Statement of Marks'!F92="","",'Statement of Marks'!F92)</f>
        <v/>
      </c>
      <c r="G89" s="431" t="str">
        <f>IF('Statement of Marks'!G92="","",'Statement of Marks'!G92)</f>
        <v/>
      </c>
      <c r="H89" s="432" t="str">
        <f>IF(B89="","",IF('Statement of Marks'!GY92="","",'Statement of Marks'!GY92))</f>
        <v/>
      </c>
      <c r="I89" s="286" t="str">
        <f>IF(B89="","",IF('Statement of Marks'!HB92="","",'Statement of Marks'!HB92))</f>
        <v/>
      </c>
      <c r="J89" s="433" t="str">
        <f>IF(B89="","",IF('Statement of Marks'!HC92="","",'Statement of Marks'!HC92))</f>
        <v/>
      </c>
      <c r="K89" s="295" t="str">
        <f>IF(B89="","",'Statement of Marks'!FJ92)</f>
        <v/>
      </c>
      <c r="L89" s="295" t="str">
        <f>IF(B89="","",'Statement of Marks'!FM92)</f>
        <v/>
      </c>
      <c r="M89" s="295" t="str">
        <f>IF(B89="","",'Statement of Marks'!FP92)</f>
        <v/>
      </c>
      <c r="N89" s="295" t="str">
        <f>IF(B89="","",'Statement of Marks'!FW92)</f>
        <v/>
      </c>
      <c r="O89" s="295" t="str">
        <f>IF(B89="","",'Statement of Marks'!GD92)</f>
        <v/>
      </c>
      <c r="P89" s="295" t="str">
        <f>IF(B89="","",'Statement of Marks'!GK92)</f>
        <v/>
      </c>
      <c r="Q89" s="295" t="str">
        <f>IF(B89="","",'Statement of Marks'!GR92)</f>
        <v/>
      </c>
      <c r="R89" s="295" t="str">
        <f>IF(B89="","",'Statement of Marks'!FF92)</f>
        <v/>
      </c>
      <c r="S89" s="434" t="str">
        <f>IFERROR(IF(B89="","",CONCATENATE(IF(AND('Marks Entry'!U92="A"),'Marks Entry'!$U$2,IF(AND('Marks Entry'!U92="B"),'Marks Entry'!$Y$2,IF(AND('Marks Entry'!U92="C"),'Marks Entry'!$AA$2,""))),", ",IF(AND('Marks Entry'!AC92="A"),'Marks Entry'!$AC$2,IF(AND('Marks Entry'!AC92="B"),'Marks Entry'!$AG$2,IF(AND('Marks Entry'!AC92="C"),'Marks Entry'!$AI$2,""))),", ",IF(AND('Marks Entry'!AK92="A"),'Marks Entry'!$AK$2,IF(AND('Marks Entry'!AK92="B"),'Marks Entry'!$AO$2,IF(AND('Marks Entry'!AK92="C"),'Marks Entry'!$AQ$2,""))),", ",IF(AND('Statement of Marks'!DD92=""),"",IF(AND('Statement of Marks'!DD92="A"),'Marks Entry'!$AS$2,IF(AND('Statement of Marks'!DD92="B"),'Marks Entry'!$AW$2,IF(AND('Statement of Marks'!DD92="C"),'Marks Entry'!$AY$2,"")))))),"")</f>
        <v/>
      </c>
      <c r="T89" s="435" t="str">
        <f>IF(COUNTIF(K89:R89,"F")&gt;0,"",CONCATENATE('Statement of Marks'!GU92,'Statement of Marks'!GW92))</f>
        <v xml:space="preserve">           </v>
      </c>
      <c r="BG89" s="17">
        <f>IFERROR(VLOOKUP(B89,'Statement of Marks'!$B$8:'Statement of Marks'!$HI$207,41,0),"")</f>
        <v>15</v>
      </c>
      <c r="BH89" s="17" t="str">
        <f>IFERROR(VLOOKUP(B89,'Statement of Marks'!$B$8:'Statement of Marks'!$HI$207,66,0),"")</f>
        <v/>
      </c>
      <c r="BI89" s="17">
        <f>IFERROR(VLOOKUP(B89,'Statement of Marks'!$B$8:'Statement of Marks'!$HI$207,91,0),"")</f>
        <v>60</v>
      </c>
      <c r="BJ89" s="17" t="str">
        <f>IFERROR(VLOOKUP(B89,'Statement of Marks'!$B$8:'Statement of Marks'!$HI$207,117,0),"")</f>
        <v/>
      </c>
    </row>
    <row r="90" spans="1:62" ht="24.95" customHeight="1">
      <c r="A90" s="283">
        <f>IF('Statement of Marks'!A93="","",'Statement of Marks'!A93)</f>
        <v>86</v>
      </c>
      <c r="B90" s="283" t="str">
        <f>IF('Statement of Marks'!B93="","",'Statement of Marks'!B93)</f>
        <v/>
      </c>
      <c r="C90" s="283" t="str">
        <f>IF('Statement of Marks'!C93="","",'Statement of Marks'!C93)</f>
        <v/>
      </c>
      <c r="D90" s="430" t="str">
        <f>IF('Statement of Marks'!D93="","",'Statement of Marks'!D93)</f>
        <v/>
      </c>
      <c r="E90" s="431" t="str">
        <f>IF('Statement of Marks'!E93="","",'Statement of Marks'!E93)</f>
        <v/>
      </c>
      <c r="F90" s="431" t="str">
        <f>IF('Statement of Marks'!F93="","",'Statement of Marks'!F93)</f>
        <v/>
      </c>
      <c r="G90" s="431" t="str">
        <f>IF('Statement of Marks'!G93="","",'Statement of Marks'!G93)</f>
        <v/>
      </c>
      <c r="H90" s="432" t="str">
        <f>IF(B90="","",IF('Statement of Marks'!GY93="","",'Statement of Marks'!GY93))</f>
        <v/>
      </c>
      <c r="I90" s="286" t="str">
        <f>IF(B90="","",IF('Statement of Marks'!HB93="","",'Statement of Marks'!HB93))</f>
        <v/>
      </c>
      <c r="J90" s="433" t="str">
        <f>IF(B90="","",IF('Statement of Marks'!HC93="","",'Statement of Marks'!HC93))</f>
        <v/>
      </c>
      <c r="K90" s="295" t="str">
        <f>IF(B90="","",'Statement of Marks'!FJ93)</f>
        <v/>
      </c>
      <c r="L90" s="295" t="str">
        <f>IF(B90="","",'Statement of Marks'!FM93)</f>
        <v/>
      </c>
      <c r="M90" s="295" t="str">
        <f>IF(B90="","",'Statement of Marks'!FP93)</f>
        <v/>
      </c>
      <c r="N90" s="295" t="str">
        <f>IF(B90="","",'Statement of Marks'!FW93)</f>
        <v/>
      </c>
      <c r="O90" s="295" t="str">
        <f>IF(B90="","",'Statement of Marks'!GD93)</f>
        <v/>
      </c>
      <c r="P90" s="295" t="str">
        <f>IF(B90="","",'Statement of Marks'!GK93)</f>
        <v/>
      </c>
      <c r="Q90" s="295" t="str">
        <f>IF(B90="","",'Statement of Marks'!GR93)</f>
        <v/>
      </c>
      <c r="R90" s="295" t="str">
        <f>IF(B90="","",'Statement of Marks'!FF93)</f>
        <v/>
      </c>
      <c r="S90" s="434" t="str">
        <f>IFERROR(IF(B90="","",CONCATENATE(IF(AND('Marks Entry'!U93="A"),'Marks Entry'!$U$2,IF(AND('Marks Entry'!U93="B"),'Marks Entry'!$Y$2,IF(AND('Marks Entry'!U93="C"),'Marks Entry'!$AA$2,""))),", ",IF(AND('Marks Entry'!AC93="A"),'Marks Entry'!$AC$2,IF(AND('Marks Entry'!AC93="B"),'Marks Entry'!$AG$2,IF(AND('Marks Entry'!AC93="C"),'Marks Entry'!$AI$2,""))),", ",IF(AND('Marks Entry'!AK93="A"),'Marks Entry'!$AK$2,IF(AND('Marks Entry'!AK93="B"),'Marks Entry'!$AO$2,IF(AND('Marks Entry'!AK93="C"),'Marks Entry'!$AQ$2,""))),", ",IF(AND('Statement of Marks'!DD93=""),"",IF(AND('Statement of Marks'!DD93="A"),'Marks Entry'!$AS$2,IF(AND('Statement of Marks'!DD93="B"),'Marks Entry'!$AW$2,IF(AND('Statement of Marks'!DD93="C"),'Marks Entry'!$AY$2,"")))))),"")</f>
        <v/>
      </c>
      <c r="T90" s="435" t="str">
        <f>IF(COUNTIF(K90:R90,"F")&gt;0,"",CONCATENATE('Statement of Marks'!GU93,'Statement of Marks'!GW93))</f>
        <v xml:space="preserve">           </v>
      </c>
      <c r="BG90" s="17">
        <f>IFERROR(VLOOKUP(B90,'Statement of Marks'!$B$8:'Statement of Marks'!$HI$207,41,0),"")</f>
        <v>15</v>
      </c>
      <c r="BH90" s="17" t="str">
        <f>IFERROR(VLOOKUP(B90,'Statement of Marks'!$B$8:'Statement of Marks'!$HI$207,66,0),"")</f>
        <v/>
      </c>
      <c r="BI90" s="17">
        <f>IFERROR(VLOOKUP(B90,'Statement of Marks'!$B$8:'Statement of Marks'!$HI$207,91,0),"")</f>
        <v>60</v>
      </c>
      <c r="BJ90" s="17" t="str">
        <f>IFERROR(VLOOKUP(B90,'Statement of Marks'!$B$8:'Statement of Marks'!$HI$207,117,0),"")</f>
        <v/>
      </c>
    </row>
    <row r="91" spans="1:62" ht="24.95" customHeight="1">
      <c r="A91" s="283">
        <f>IF('Statement of Marks'!A94="","",'Statement of Marks'!A94)</f>
        <v>87</v>
      </c>
      <c r="B91" s="283" t="str">
        <f>IF('Statement of Marks'!B94="","",'Statement of Marks'!B94)</f>
        <v/>
      </c>
      <c r="C91" s="283" t="str">
        <f>IF('Statement of Marks'!C94="","",'Statement of Marks'!C94)</f>
        <v/>
      </c>
      <c r="D91" s="430" t="str">
        <f>IF('Statement of Marks'!D94="","",'Statement of Marks'!D94)</f>
        <v/>
      </c>
      <c r="E91" s="431" t="str">
        <f>IF('Statement of Marks'!E94="","",'Statement of Marks'!E94)</f>
        <v/>
      </c>
      <c r="F91" s="431" t="str">
        <f>IF('Statement of Marks'!F94="","",'Statement of Marks'!F94)</f>
        <v/>
      </c>
      <c r="G91" s="431" t="str">
        <f>IF('Statement of Marks'!G94="","",'Statement of Marks'!G94)</f>
        <v/>
      </c>
      <c r="H91" s="432" t="str">
        <f>IF(B91="","",IF('Statement of Marks'!GY94="","",'Statement of Marks'!GY94))</f>
        <v/>
      </c>
      <c r="I91" s="286" t="str">
        <f>IF(B91="","",IF('Statement of Marks'!HB94="","",'Statement of Marks'!HB94))</f>
        <v/>
      </c>
      <c r="J91" s="433" t="str">
        <f>IF(B91="","",IF('Statement of Marks'!HC94="","",'Statement of Marks'!HC94))</f>
        <v/>
      </c>
      <c r="K91" s="295" t="str">
        <f>IF(B91="","",'Statement of Marks'!FJ94)</f>
        <v/>
      </c>
      <c r="L91" s="295" t="str">
        <f>IF(B91="","",'Statement of Marks'!FM94)</f>
        <v/>
      </c>
      <c r="M91" s="295" t="str">
        <f>IF(B91="","",'Statement of Marks'!FP94)</f>
        <v/>
      </c>
      <c r="N91" s="295" t="str">
        <f>IF(B91="","",'Statement of Marks'!FW94)</f>
        <v/>
      </c>
      <c r="O91" s="295" t="str">
        <f>IF(B91="","",'Statement of Marks'!GD94)</f>
        <v/>
      </c>
      <c r="P91" s="295" t="str">
        <f>IF(B91="","",'Statement of Marks'!GK94)</f>
        <v/>
      </c>
      <c r="Q91" s="295" t="str">
        <f>IF(B91="","",'Statement of Marks'!GR94)</f>
        <v/>
      </c>
      <c r="R91" s="295" t="str">
        <f>IF(B91="","",'Statement of Marks'!FF94)</f>
        <v/>
      </c>
      <c r="S91" s="434" t="str">
        <f>IFERROR(IF(B91="","",CONCATENATE(IF(AND('Marks Entry'!U94="A"),'Marks Entry'!$U$2,IF(AND('Marks Entry'!U94="B"),'Marks Entry'!$Y$2,IF(AND('Marks Entry'!U94="C"),'Marks Entry'!$AA$2,""))),", ",IF(AND('Marks Entry'!AC94="A"),'Marks Entry'!$AC$2,IF(AND('Marks Entry'!AC94="B"),'Marks Entry'!$AG$2,IF(AND('Marks Entry'!AC94="C"),'Marks Entry'!$AI$2,""))),", ",IF(AND('Marks Entry'!AK94="A"),'Marks Entry'!$AK$2,IF(AND('Marks Entry'!AK94="B"),'Marks Entry'!$AO$2,IF(AND('Marks Entry'!AK94="C"),'Marks Entry'!$AQ$2,""))),", ",IF(AND('Statement of Marks'!DD94=""),"",IF(AND('Statement of Marks'!DD94="A"),'Marks Entry'!$AS$2,IF(AND('Statement of Marks'!DD94="B"),'Marks Entry'!$AW$2,IF(AND('Statement of Marks'!DD94="C"),'Marks Entry'!$AY$2,"")))))),"")</f>
        <v/>
      </c>
      <c r="T91" s="435" t="str">
        <f>IF(COUNTIF(K91:R91,"F")&gt;0,"",CONCATENATE('Statement of Marks'!GU94,'Statement of Marks'!GW94))</f>
        <v xml:space="preserve">           </v>
      </c>
      <c r="BG91" s="17">
        <f>IFERROR(VLOOKUP(B91,'Statement of Marks'!$B$8:'Statement of Marks'!$HI$207,41,0),"")</f>
        <v>15</v>
      </c>
      <c r="BH91" s="17" t="str">
        <f>IFERROR(VLOOKUP(B91,'Statement of Marks'!$B$8:'Statement of Marks'!$HI$207,66,0),"")</f>
        <v/>
      </c>
      <c r="BI91" s="17">
        <f>IFERROR(VLOOKUP(B91,'Statement of Marks'!$B$8:'Statement of Marks'!$HI$207,91,0),"")</f>
        <v>60</v>
      </c>
      <c r="BJ91" s="17" t="str">
        <f>IFERROR(VLOOKUP(B91,'Statement of Marks'!$B$8:'Statement of Marks'!$HI$207,117,0),"")</f>
        <v/>
      </c>
    </row>
    <row r="92" spans="1:62" ht="24.95" customHeight="1">
      <c r="A92" s="283">
        <f>IF('Statement of Marks'!A95="","",'Statement of Marks'!A95)</f>
        <v>88</v>
      </c>
      <c r="B92" s="283" t="str">
        <f>IF('Statement of Marks'!B95="","",'Statement of Marks'!B95)</f>
        <v/>
      </c>
      <c r="C92" s="283" t="str">
        <f>IF('Statement of Marks'!C95="","",'Statement of Marks'!C95)</f>
        <v/>
      </c>
      <c r="D92" s="430" t="str">
        <f>IF('Statement of Marks'!D95="","",'Statement of Marks'!D95)</f>
        <v/>
      </c>
      <c r="E92" s="431" t="str">
        <f>IF('Statement of Marks'!E95="","",'Statement of Marks'!E95)</f>
        <v/>
      </c>
      <c r="F92" s="431" t="str">
        <f>IF('Statement of Marks'!F95="","",'Statement of Marks'!F95)</f>
        <v/>
      </c>
      <c r="G92" s="431" t="str">
        <f>IF('Statement of Marks'!G95="","",'Statement of Marks'!G95)</f>
        <v/>
      </c>
      <c r="H92" s="432" t="str">
        <f>IF(B92="","",IF('Statement of Marks'!GY95="","",'Statement of Marks'!GY95))</f>
        <v/>
      </c>
      <c r="I92" s="286" t="str">
        <f>IF(B92="","",IF('Statement of Marks'!HB95="","",'Statement of Marks'!HB95))</f>
        <v/>
      </c>
      <c r="J92" s="433" t="str">
        <f>IF(B92="","",IF('Statement of Marks'!HC95="","",'Statement of Marks'!HC95))</f>
        <v/>
      </c>
      <c r="K92" s="295" t="str">
        <f>IF(B92="","",'Statement of Marks'!FJ95)</f>
        <v/>
      </c>
      <c r="L92" s="295" t="str">
        <f>IF(B92="","",'Statement of Marks'!FM95)</f>
        <v/>
      </c>
      <c r="M92" s="295" t="str">
        <f>IF(B92="","",'Statement of Marks'!FP95)</f>
        <v/>
      </c>
      <c r="N92" s="295" t="str">
        <f>IF(B92="","",'Statement of Marks'!FW95)</f>
        <v/>
      </c>
      <c r="O92" s="295" t="str">
        <f>IF(B92="","",'Statement of Marks'!GD95)</f>
        <v/>
      </c>
      <c r="P92" s="295" t="str">
        <f>IF(B92="","",'Statement of Marks'!GK95)</f>
        <v/>
      </c>
      <c r="Q92" s="295" t="str">
        <f>IF(B92="","",'Statement of Marks'!GR95)</f>
        <v/>
      </c>
      <c r="R92" s="295" t="str">
        <f>IF(B92="","",'Statement of Marks'!FF95)</f>
        <v/>
      </c>
      <c r="S92" s="434" t="str">
        <f>IFERROR(IF(B92="","",CONCATENATE(IF(AND('Marks Entry'!U95="A"),'Marks Entry'!$U$2,IF(AND('Marks Entry'!U95="B"),'Marks Entry'!$Y$2,IF(AND('Marks Entry'!U95="C"),'Marks Entry'!$AA$2,""))),", ",IF(AND('Marks Entry'!AC95="A"),'Marks Entry'!$AC$2,IF(AND('Marks Entry'!AC95="B"),'Marks Entry'!$AG$2,IF(AND('Marks Entry'!AC95="C"),'Marks Entry'!$AI$2,""))),", ",IF(AND('Marks Entry'!AK95="A"),'Marks Entry'!$AK$2,IF(AND('Marks Entry'!AK95="B"),'Marks Entry'!$AO$2,IF(AND('Marks Entry'!AK95="C"),'Marks Entry'!$AQ$2,""))),", ",IF(AND('Statement of Marks'!DD95=""),"",IF(AND('Statement of Marks'!DD95="A"),'Marks Entry'!$AS$2,IF(AND('Statement of Marks'!DD95="B"),'Marks Entry'!$AW$2,IF(AND('Statement of Marks'!DD95="C"),'Marks Entry'!$AY$2,"")))))),"")</f>
        <v/>
      </c>
      <c r="T92" s="435" t="str">
        <f>IF(COUNTIF(K92:R92,"F")&gt;0,"",CONCATENATE('Statement of Marks'!GU95,'Statement of Marks'!GW95))</f>
        <v xml:space="preserve">           </v>
      </c>
      <c r="BG92" s="17">
        <f>IFERROR(VLOOKUP(B92,'Statement of Marks'!$B$8:'Statement of Marks'!$HI$207,41,0),"")</f>
        <v>15</v>
      </c>
      <c r="BH92" s="17" t="str">
        <f>IFERROR(VLOOKUP(B92,'Statement of Marks'!$B$8:'Statement of Marks'!$HI$207,66,0),"")</f>
        <v/>
      </c>
      <c r="BI92" s="17">
        <f>IFERROR(VLOOKUP(B92,'Statement of Marks'!$B$8:'Statement of Marks'!$HI$207,91,0),"")</f>
        <v>60</v>
      </c>
      <c r="BJ92" s="17" t="str">
        <f>IFERROR(VLOOKUP(B92,'Statement of Marks'!$B$8:'Statement of Marks'!$HI$207,117,0),"")</f>
        <v/>
      </c>
    </row>
    <row r="93" spans="1:62" ht="24.95" customHeight="1">
      <c r="A93" s="283">
        <f>IF('Statement of Marks'!A96="","",'Statement of Marks'!A96)</f>
        <v>89</v>
      </c>
      <c r="B93" s="283" t="str">
        <f>IF('Statement of Marks'!B96="","",'Statement of Marks'!B96)</f>
        <v/>
      </c>
      <c r="C93" s="283" t="str">
        <f>IF('Statement of Marks'!C96="","",'Statement of Marks'!C96)</f>
        <v/>
      </c>
      <c r="D93" s="430" t="str">
        <f>IF('Statement of Marks'!D96="","",'Statement of Marks'!D96)</f>
        <v/>
      </c>
      <c r="E93" s="431" t="str">
        <f>IF('Statement of Marks'!E96="","",'Statement of Marks'!E96)</f>
        <v/>
      </c>
      <c r="F93" s="431" t="str">
        <f>IF('Statement of Marks'!F96="","",'Statement of Marks'!F96)</f>
        <v/>
      </c>
      <c r="G93" s="431" t="str">
        <f>IF('Statement of Marks'!G96="","",'Statement of Marks'!G96)</f>
        <v/>
      </c>
      <c r="H93" s="432" t="str">
        <f>IF(B93="","",IF('Statement of Marks'!GY96="","",'Statement of Marks'!GY96))</f>
        <v/>
      </c>
      <c r="I93" s="286" t="str">
        <f>IF(B93="","",IF('Statement of Marks'!HB96="","",'Statement of Marks'!HB96))</f>
        <v/>
      </c>
      <c r="J93" s="433" t="str">
        <f>IF(B93="","",IF('Statement of Marks'!HC96="","",'Statement of Marks'!HC96))</f>
        <v/>
      </c>
      <c r="K93" s="295" t="str">
        <f>IF(B93="","",'Statement of Marks'!FJ96)</f>
        <v/>
      </c>
      <c r="L93" s="295" t="str">
        <f>IF(B93="","",'Statement of Marks'!FM96)</f>
        <v/>
      </c>
      <c r="M93" s="295" t="str">
        <f>IF(B93="","",'Statement of Marks'!FP96)</f>
        <v/>
      </c>
      <c r="N93" s="295" t="str">
        <f>IF(B93="","",'Statement of Marks'!FW96)</f>
        <v/>
      </c>
      <c r="O93" s="295" t="str">
        <f>IF(B93="","",'Statement of Marks'!GD96)</f>
        <v/>
      </c>
      <c r="P93" s="295" t="str">
        <f>IF(B93="","",'Statement of Marks'!GK96)</f>
        <v/>
      </c>
      <c r="Q93" s="295" t="str">
        <f>IF(B93="","",'Statement of Marks'!GR96)</f>
        <v/>
      </c>
      <c r="R93" s="295" t="str">
        <f>IF(B93="","",'Statement of Marks'!FF96)</f>
        <v/>
      </c>
      <c r="S93" s="434" t="str">
        <f>IFERROR(IF(B93="","",CONCATENATE(IF(AND('Marks Entry'!U96="A"),'Marks Entry'!$U$2,IF(AND('Marks Entry'!U96="B"),'Marks Entry'!$Y$2,IF(AND('Marks Entry'!U96="C"),'Marks Entry'!$AA$2,""))),", ",IF(AND('Marks Entry'!AC96="A"),'Marks Entry'!$AC$2,IF(AND('Marks Entry'!AC96="B"),'Marks Entry'!$AG$2,IF(AND('Marks Entry'!AC96="C"),'Marks Entry'!$AI$2,""))),", ",IF(AND('Marks Entry'!AK96="A"),'Marks Entry'!$AK$2,IF(AND('Marks Entry'!AK96="B"),'Marks Entry'!$AO$2,IF(AND('Marks Entry'!AK96="C"),'Marks Entry'!$AQ$2,""))),", ",IF(AND('Statement of Marks'!DD96=""),"",IF(AND('Statement of Marks'!DD96="A"),'Marks Entry'!$AS$2,IF(AND('Statement of Marks'!DD96="B"),'Marks Entry'!$AW$2,IF(AND('Statement of Marks'!DD96="C"),'Marks Entry'!$AY$2,"")))))),"")</f>
        <v/>
      </c>
      <c r="T93" s="435" t="str">
        <f>IF(COUNTIF(K93:R93,"F")&gt;0,"",CONCATENATE('Statement of Marks'!GU96,'Statement of Marks'!GW96))</f>
        <v xml:space="preserve">           </v>
      </c>
      <c r="BG93" s="17">
        <f>IFERROR(VLOOKUP(B93,'Statement of Marks'!$B$8:'Statement of Marks'!$HI$207,41,0),"")</f>
        <v>15</v>
      </c>
      <c r="BH93" s="17" t="str">
        <f>IFERROR(VLOOKUP(B93,'Statement of Marks'!$B$8:'Statement of Marks'!$HI$207,66,0),"")</f>
        <v/>
      </c>
      <c r="BI93" s="17">
        <f>IFERROR(VLOOKUP(B93,'Statement of Marks'!$B$8:'Statement of Marks'!$HI$207,91,0),"")</f>
        <v>60</v>
      </c>
      <c r="BJ93" s="17" t="str">
        <f>IFERROR(VLOOKUP(B93,'Statement of Marks'!$B$8:'Statement of Marks'!$HI$207,117,0),"")</f>
        <v/>
      </c>
    </row>
    <row r="94" spans="1:62" ht="24.95" customHeight="1">
      <c r="A94" s="283">
        <f>IF('Statement of Marks'!A97="","",'Statement of Marks'!A97)</f>
        <v>90</v>
      </c>
      <c r="B94" s="283" t="str">
        <f>IF('Statement of Marks'!B97="","",'Statement of Marks'!B97)</f>
        <v/>
      </c>
      <c r="C94" s="283" t="str">
        <f>IF('Statement of Marks'!C97="","",'Statement of Marks'!C97)</f>
        <v/>
      </c>
      <c r="D94" s="430" t="str">
        <f>IF('Statement of Marks'!D97="","",'Statement of Marks'!D97)</f>
        <v/>
      </c>
      <c r="E94" s="431" t="str">
        <f>IF('Statement of Marks'!E97="","",'Statement of Marks'!E97)</f>
        <v/>
      </c>
      <c r="F94" s="431" t="str">
        <f>IF('Statement of Marks'!F97="","",'Statement of Marks'!F97)</f>
        <v/>
      </c>
      <c r="G94" s="431" t="str">
        <f>IF('Statement of Marks'!G97="","",'Statement of Marks'!G97)</f>
        <v/>
      </c>
      <c r="H94" s="432" t="str">
        <f>IF(B94="","",IF('Statement of Marks'!GY97="","",'Statement of Marks'!GY97))</f>
        <v/>
      </c>
      <c r="I94" s="286" t="str">
        <f>IF(B94="","",IF('Statement of Marks'!HB97="","",'Statement of Marks'!HB97))</f>
        <v/>
      </c>
      <c r="J94" s="433" t="str">
        <f>IF(B94="","",IF('Statement of Marks'!HC97="","",'Statement of Marks'!HC97))</f>
        <v/>
      </c>
      <c r="K94" s="295" t="str">
        <f>IF(B94="","",'Statement of Marks'!FJ97)</f>
        <v/>
      </c>
      <c r="L94" s="295" t="str">
        <f>IF(B94="","",'Statement of Marks'!FM97)</f>
        <v/>
      </c>
      <c r="M94" s="295" t="str">
        <f>IF(B94="","",'Statement of Marks'!FP97)</f>
        <v/>
      </c>
      <c r="N94" s="295" t="str">
        <f>IF(B94="","",'Statement of Marks'!FW97)</f>
        <v/>
      </c>
      <c r="O94" s="295" t="str">
        <f>IF(B94="","",'Statement of Marks'!GD97)</f>
        <v/>
      </c>
      <c r="P94" s="295" t="str">
        <f>IF(B94="","",'Statement of Marks'!GK97)</f>
        <v/>
      </c>
      <c r="Q94" s="295" t="str">
        <f>IF(B94="","",'Statement of Marks'!GR97)</f>
        <v/>
      </c>
      <c r="R94" s="295" t="str">
        <f>IF(B94="","",'Statement of Marks'!FF97)</f>
        <v/>
      </c>
      <c r="S94" s="434" t="str">
        <f>IFERROR(IF(B94="","",CONCATENATE(IF(AND('Marks Entry'!U97="A"),'Marks Entry'!$U$2,IF(AND('Marks Entry'!U97="B"),'Marks Entry'!$Y$2,IF(AND('Marks Entry'!U97="C"),'Marks Entry'!$AA$2,""))),", ",IF(AND('Marks Entry'!AC97="A"),'Marks Entry'!$AC$2,IF(AND('Marks Entry'!AC97="B"),'Marks Entry'!$AG$2,IF(AND('Marks Entry'!AC97="C"),'Marks Entry'!$AI$2,""))),", ",IF(AND('Marks Entry'!AK97="A"),'Marks Entry'!$AK$2,IF(AND('Marks Entry'!AK97="B"),'Marks Entry'!$AO$2,IF(AND('Marks Entry'!AK97="C"),'Marks Entry'!$AQ$2,""))),", ",IF(AND('Statement of Marks'!DD97=""),"",IF(AND('Statement of Marks'!DD97="A"),'Marks Entry'!$AS$2,IF(AND('Statement of Marks'!DD97="B"),'Marks Entry'!$AW$2,IF(AND('Statement of Marks'!DD97="C"),'Marks Entry'!$AY$2,"")))))),"")</f>
        <v/>
      </c>
      <c r="T94" s="435" t="str">
        <f>IF(COUNTIF(K94:R94,"F")&gt;0,"",CONCATENATE('Statement of Marks'!GU97,'Statement of Marks'!GW97))</f>
        <v xml:space="preserve">           </v>
      </c>
      <c r="BG94" s="17">
        <f>IFERROR(VLOOKUP(B94,'Statement of Marks'!$B$8:'Statement of Marks'!$HI$207,41,0),"")</f>
        <v>15</v>
      </c>
      <c r="BH94" s="17" t="str">
        <f>IFERROR(VLOOKUP(B94,'Statement of Marks'!$B$8:'Statement of Marks'!$HI$207,66,0),"")</f>
        <v/>
      </c>
      <c r="BI94" s="17">
        <f>IFERROR(VLOOKUP(B94,'Statement of Marks'!$B$8:'Statement of Marks'!$HI$207,91,0),"")</f>
        <v>60</v>
      </c>
      <c r="BJ94" s="17" t="str">
        <f>IFERROR(VLOOKUP(B94,'Statement of Marks'!$B$8:'Statement of Marks'!$HI$207,117,0),"")</f>
        <v/>
      </c>
    </row>
    <row r="95" spans="1:62" ht="24.95" customHeight="1">
      <c r="A95" s="283">
        <f>IF('Statement of Marks'!A98="","",'Statement of Marks'!A98)</f>
        <v>91</v>
      </c>
      <c r="B95" s="283" t="str">
        <f>IF('Statement of Marks'!B98="","",'Statement of Marks'!B98)</f>
        <v/>
      </c>
      <c r="C95" s="283" t="str">
        <f>IF('Statement of Marks'!C98="","",'Statement of Marks'!C98)</f>
        <v/>
      </c>
      <c r="D95" s="430" t="str">
        <f>IF('Statement of Marks'!D98="","",'Statement of Marks'!D98)</f>
        <v/>
      </c>
      <c r="E95" s="431" t="str">
        <f>IF('Statement of Marks'!E98="","",'Statement of Marks'!E98)</f>
        <v/>
      </c>
      <c r="F95" s="431" t="str">
        <f>IF('Statement of Marks'!F98="","",'Statement of Marks'!F98)</f>
        <v/>
      </c>
      <c r="G95" s="431" t="str">
        <f>IF('Statement of Marks'!G98="","",'Statement of Marks'!G98)</f>
        <v/>
      </c>
      <c r="H95" s="432" t="str">
        <f>IF(B95="","",IF('Statement of Marks'!GY98="","",'Statement of Marks'!GY98))</f>
        <v/>
      </c>
      <c r="I95" s="286" t="str">
        <f>IF(B95="","",IF('Statement of Marks'!HB98="","",'Statement of Marks'!HB98))</f>
        <v/>
      </c>
      <c r="J95" s="433" t="str">
        <f>IF(B95="","",IF('Statement of Marks'!HC98="","",'Statement of Marks'!HC98))</f>
        <v/>
      </c>
      <c r="K95" s="295" t="str">
        <f>IF(B95="","",'Statement of Marks'!FJ98)</f>
        <v/>
      </c>
      <c r="L95" s="295" t="str">
        <f>IF(B95="","",'Statement of Marks'!FM98)</f>
        <v/>
      </c>
      <c r="M95" s="295" t="str">
        <f>IF(B95="","",'Statement of Marks'!FP98)</f>
        <v/>
      </c>
      <c r="N95" s="295" t="str">
        <f>IF(B95="","",'Statement of Marks'!FW98)</f>
        <v/>
      </c>
      <c r="O95" s="295" t="str">
        <f>IF(B95="","",'Statement of Marks'!GD98)</f>
        <v/>
      </c>
      <c r="P95" s="295" t="str">
        <f>IF(B95="","",'Statement of Marks'!GK98)</f>
        <v/>
      </c>
      <c r="Q95" s="295" t="str">
        <f>IF(B95="","",'Statement of Marks'!GR98)</f>
        <v/>
      </c>
      <c r="R95" s="295" t="str">
        <f>IF(B95="","",'Statement of Marks'!FF98)</f>
        <v/>
      </c>
      <c r="S95" s="434" t="str">
        <f>IFERROR(IF(B95="","",CONCATENATE(IF(AND('Marks Entry'!U98="A"),'Marks Entry'!$U$2,IF(AND('Marks Entry'!U98="B"),'Marks Entry'!$Y$2,IF(AND('Marks Entry'!U98="C"),'Marks Entry'!$AA$2,""))),", ",IF(AND('Marks Entry'!AC98="A"),'Marks Entry'!$AC$2,IF(AND('Marks Entry'!AC98="B"),'Marks Entry'!$AG$2,IF(AND('Marks Entry'!AC98="C"),'Marks Entry'!$AI$2,""))),", ",IF(AND('Marks Entry'!AK98="A"),'Marks Entry'!$AK$2,IF(AND('Marks Entry'!AK98="B"),'Marks Entry'!$AO$2,IF(AND('Marks Entry'!AK98="C"),'Marks Entry'!$AQ$2,""))),", ",IF(AND('Statement of Marks'!DD98=""),"",IF(AND('Statement of Marks'!DD98="A"),'Marks Entry'!$AS$2,IF(AND('Statement of Marks'!DD98="B"),'Marks Entry'!$AW$2,IF(AND('Statement of Marks'!DD98="C"),'Marks Entry'!$AY$2,"")))))),"")</f>
        <v/>
      </c>
      <c r="T95" s="435" t="str">
        <f>IF(COUNTIF(K95:R95,"F")&gt;0,"",CONCATENATE('Statement of Marks'!GU98,'Statement of Marks'!GW98))</f>
        <v xml:space="preserve">           </v>
      </c>
      <c r="BG95" s="17">
        <f>IFERROR(VLOOKUP(B95,'Statement of Marks'!$B$8:'Statement of Marks'!$HI$207,41,0),"")</f>
        <v>15</v>
      </c>
      <c r="BH95" s="17" t="str">
        <f>IFERROR(VLOOKUP(B95,'Statement of Marks'!$B$8:'Statement of Marks'!$HI$207,66,0),"")</f>
        <v/>
      </c>
      <c r="BI95" s="17">
        <f>IFERROR(VLOOKUP(B95,'Statement of Marks'!$B$8:'Statement of Marks'!$HI$207,91,0),"")</f>
        <v>60</v>
      </c>
      <c r="BJ95" s="17" t="str">
        <f>IFERROR(VLOOKUP(B95,'Statement of Marks'!$B$8:'Statement of Marks'!$HI$207,117,0),"")</f>
        <v/>
      </c>
    </row>
    <row r="96" spans="1:62" ht="24.95" customHeight="1">
      <c r="A96" s="283">
        <f>IF('Statement of Marks'!A99="","",'Statement of Marks'!A99)</f>
        <v>92</v>
      </c>
      <c r="B96" s="283" t="str">
        <f>IF('Statement of Marks'!B99="","",'Statement of Marks'!B99)</f>
        <v/>
      </c>
      <c r="C96" s="283" t="str">
        <f>IF('Statement of Marks'!C99="","",'Statement of Marks'!C99)</f>
        <v/>
      </c>
      <c r="D96" s="430" t="str">
        <f>IF('Statement of Marks'!D99="","",'Statement of Marks'!D99)</f>
        <v/>
      </c>
      <c r="E96" s="431" t="str">
        <f>IF('Statement of Marks'!E99="","",'Statement of Marks'!E99)</f>
        <v/>
      </c>
      <c r="F96" s="431" t="str">
        <f>IF('Statement of Marks'!F99="","",'Statement of Marks'!F99)</f>
        <v/>
      </c>
      <c r="G96" s="431" t="str">
        <f>IF('Statement of Marks'!G99="","",'Statement of Marks'!G99)</f>
        <v/>
      </c>
      <c r="H96" s="432" t="str">
        <f>IF(B96="","",IF('Statement of Marks'!GY99="","",'Statement of Marks'!GY99))</f>
        <v/>
      </c>
      <c r="I96" s="286" t="str">
        <f>IF(B96="","",IF('Statement of Marks'!HB99="","",'Statement of Marks'!HB99))</f>
        <v/>
      </c>
      <c r="J96" s="433" t="str">
        <f>IF(B96="","",IF('Statement of Marks'!HC99="","",'Statement of Marks'!HC99))</f>
        <v/>
      </c>
      <c r="K96" s="295" t="str">
        <f>IF(B96="","",'Statement of Marks'!FJ99)</f>
        <v/>
      </c>
      <c r="L96" s="295" t="str">
        <f>IF(B96="","",'Statement of Marks'!FM99)</f>
        <v/>
      </c>
      <c r="M96" s="295" t="str">
        <f>IF(B96="","",'Statement of Marks'!FP99)</f>
        <v/>
      </c>
      <c r="N96" s="295" t="str">
        <f>IF(B96="","",'Statement of Marks'!FW99)</f>
        <v/>
      </c>
      <c r="O96" s="295" t="str">
        <f>IF(B96="","",'Statement of Marks'!GD99)</f>
        <v/>
      </c>
      <c r="P96" s="295" t="str">
        <f>IF(B96="","",'Statement of Marks'!GK99)</f>
        <v/>
      </c>
      <c r="Q96" s="295" t="str">
        <f>IF(B96="","",'Statement of Marks'!GR99)</f>
        <v/>
      </c>
      <c r="R96" s="295" t="str">
        <f>IF(B96="","",'Statement of Marks'!FF99)</f>
        <v/>
      </c>
      <c r="S96" s="434" t="str">
        <f>IFERROR(IF(B96="","",CONCATENATE(IF(AND('Marks Entry'!U99="A"),'Marks Entry'!$U$2,IF(AND('Marks Entry'!U99="B"),'Marks Entry'!$Y$2,IF(AND('Marks Entry'!U99="C"),'Marks Entry'!$AA$2,""))),", ",IF(AND('Marks Entry'!AC99="A"),'Marks Entry'!$AC$2,IF(AND('Marks Entry'!AC99="B"),'Marks Entry'!$AG$2,IF(AND('Marks Entry'!AC99="C"),'Marks Entry'!$AI$2,""))),", ",IF(AND('Marks Entry'!AK99="A"),'Marks Entry'!$AK$2,IF(AND('Marks Entry'!AK99="B"),'Marks Entry'!$AO$2,IF(AND('Marks Entry'!AK99="C"),'Marks Entry'!$AQ$2,""))),", ",IF(AND('Statement of Marks'!DD99=""),"",IF(AND('Statement of Marks'!DD99="A"),'Marks Entry'!$AS$2,IF(AND('Statement of Marks'!DD99="B"),'Marks Entry'!$AW$2,IF(AND('Statement of Marks'!DD99="C"),'Marks Entry'!$AY$2,"")))))),"")</f>
        <v/>
      </c>
      <c r="T96" s="435" t="str">
        <f>IF(COUNTIF(K96:R96,"F")&gt;0,"",CONCATENATE('Statement of Marks'!GU99,'Statement of Marks'!GW99))</f>
        <v xml:space="preserve">           </v>
      </c>
      <c r="BG96" s="17">
        <f>IFERROR(VLOOKUP(B96,'Statement of Marks'!$B$8:'Statement of Marks'!$HI$207,41,0),"")</f>
        <v>15</v>
      </c>
      <c r="BH96" s="17" t="str">
        <f>IFERROR(VLOOKUP(B96,'Statement of Marks'!$B$8:'Statement of Marks'!$HI$207,66,0),"")</f>
        <v/>
      </c>
      <c r="BI96" s="17">
        <f>IFERROR(VLOOKUP(B96,'Statement of Marks'!$B$8:'Statement of Marks'!$HI$207,91,0),"")</f>
        <v>60</v>
      </c>
      <c r="BJ96" s="17" t="str">
        <f>IFERROR(VLOOKUP(B96,'Statement of Marks'!$B$8:'Statement of Marks'!$HI$207,117,0),"")</f>
        <v/>
      </c>
    </row>
    <row r="97" spans="1:62" ht="24.95" customHeight="1">
      <c r="A97" s="283">
        <f>IF('Statement of Marks'!A100="","",'Statement of Marks'!A100)</f>
        <v>93</v>
      </c>
      <c r="B97" s="283" t="str">
        <f>IF('Statement of Marks'!B100="","",'Statement of Marks'!B100)</f>
        <v/>
      </c>
      <c r="C97" s="283" t="str">
        <f>IF('Statement of Marks'!C100="","",'Statement of Marks'!C100)</f>
        <v/>
      </c>
      <c r="D97" s="430" t="str">
        <f>IF('Statement of Marks'!D100="","",'Statement of Marks'!D100)</f>
        <v/>
      </c>
      <c r="E97" s="431" t="str">
        <f>IF('Statement of Marks'!E100="","",'Statement of Marks'!E100)</f>
        <v/>
      </c>
      <c r="F97" s="431" t="str">
        <f>IF('Statement of Marks'!F100="","",'Statement of Marks'!F100)</f>
        <v/>
      </c>
      <c r="G97" s="431" t="str">
        <f>IF('Statement of Marks'!G100="","",'Statement of Marks'!G100)</f>
        <v/>
      </c>
      <c r="H97" s="432" t="str">
        <f>IF(B97="","",IF('Statement of Marks'!GY100="","",'Statement of Marks'!GY100))</f>
        <v/>
      </c>
      <c r="I97" s="286" t="str">
        <f>IF(B97="","",IF('Statement of Marks'!HB100="","",'Statement of Marks'!HB100))</f>
        <v/>
      </c>
      <c r="J97" s="433" t="str">
        <f>IF(B97="","",IF('Statement of Marks'!HC100="","",'Statement of Marks'!HC100))</f>
        <v/>
      </c>
      <c r="K97" s="295" t="str">
        <f>IF(B97="","",'Statement of Marks'!FJ100)</f>
        <v/>
      </c>
      <c r="L97" s="295" t="str">
        <f>IF(B97="","",'Statement of Marks'!FM100)</f>
        <v/>
      </c>
      <c r="M97" s="295" t="str">
        <f>IF(B97="","",'Statement of Marks'!FP100)</f>
        <v/>
      </c>
      <c r="N97" s="295" t="str">
        <f>IF(B97="","",'Statement of Marks'!FW100)</f>
        <v/>
      </c>
      <c r="O97" s="295" t="str">
        <f>IF(B97="","",'Statement of Marks'!GD100)</f>
        <v/>
      </c>
      <c r="P97" s="295" t="str">
        <f>IF(B97="","",'Statement of Marks'!GK100)</f>
        <v/>
      </c>
      <c r="Q97" s="295" t="str">
        <f>IF(B97="","",'Statement of Marks'!GR100)</f>
        <v/>
      </c>
      <c r="R97" s="295" t="str">
        <f>IF(B97="","",'Statement of Marks'!FF100)</f>
        <v/>
      </c>
      <c r="S97" s="434" t="str">
        <f>IFERROR(IF(B97="","",CONCATENATE(IF(AND('Marks Entry'!U100="A"),'Marks Entry'!$U$2,IF(AND('Marks Entry'!U100="B"),'Marks Entry'!$Y$2,IF(AND('Marks Entry'!U100="C"),'Marks Entry'!$AA$2,""))),", ",IF(AND('Marks Entry'!AC100="A"),'Marks Entry'!$AC$2,IF(AND('Marks Entry'!AC100="B"),'Marks Entry'!$AG$2,IF(AND('Marks Entry'!AC100="C"),'Marks Entry'!$AI$2,""))),", ",IF(AND('Marks Entry'!AK100="A"),'Marks Entry'!$AK$2,IF(AND('Marks Entry'!AK100="B"),'Marks Entry'!$AO$2,IF(AND('Marks Entry'!AK100="C"),'Marks Entry'!$AQ$2,""))),", ",IF(AND('Statement of Marks'!DD100=""),"",IF(AND('Statement of Marks'!DD100="A"),'Marks Entry'!$AS$2,IF(AND('Statement of Marks'!DD100="B"),'Marks Entry'!$AW$2,IF(AND('Statement of Marks'!DD100="C"),'Marks Entry'!$AY$2,"")))))),"")</f>
        <v/>
      </c>
      <c r="T97" s="435" t="str">
        <f>IF(COUNTIF(K97:R97,"F")&gt;0,"",CONCATENATE('Statement of Marks'!GU100,'Statement of Marks'!GW100))</f>
        <v xml:space="preserve">           </v>
      </c>
      <c r="BG97" s="17">
        <f>IFERROR(VLOOKUP(B97,'Statement of Marks'!$B$8:'Statement of Marks'!$HI$207,41,0),"")</f>
        <v>15</v>
      </c>
      <c r="BH97" s="17" t="str">
        <f>IFERROR(VLOOKUP(B97,'Statement of Marks'!$B$8:'Statement of Marks'!$HI$207,66,0),"")</f>
        <v/>
      </c>
      <c r="BI97" s="17">
        <f>IFERROR(VLOOKUP(B97,'Statement of Marks'!$B$8:'Statement of Marks'!$HI$207,91,0),"")</f>
        <v>60</v>
      </c>
      <c r="BJ97" s="17" t="str">
        <f>IFERROR(VLOOKUP(B97,'Statement of Marks'!$B$8:'Statement of Marks'!$HI$207,117,0),"")</f>
        <v/>
      </c>
    </row>
    <row r="98" spans="1:62" ht="24.95" customHeight="1">
      <c r="A98" s="283">
        <f>IF('Statement of Marks'!A101="","",'Statement of Marks'!A101)</f>
        <v>94</v>
      </c>
      <c r="B98" s="283" t="str">
        <f>IF('Statement of Marks'!B101="","",'Statement of Marks'!B101)</f>
        <v/>
      </c>
      <c r="C98" s="283" t="str">
        <f>IF('Statement of Marks'!C101="","",'Statement of Marks'!C101)</f>
        <v/>
      </c>
      <c r="D98" s="430" t="str">
        <f>IF('Statement of Marks'!D101="","",'Statement of Marks'!D101)</f>
        <v/>
      </c>
      <c r="E98" s="431" t="str">
        <f>IF('Statement of Marks'!E101="","",'Statement of Marks'!E101)</f>
        <v/>
      </c>
      <c r="F98" s="431" t="str">
        <f>IF('Statement of Marks'!F101="","",'Statement of Marks'!F101)</f>
        <v/>
      </c>
      <c r="G98" s="431" t="str">
        <f>IF('Statement of Marks'!G101="","",'Statement of Marks'!G101)</f>
        <v/>
      </c>
      <c r="H98" s="432" t="str">
        <f>IF(B98="","",IF('Statement of Marks'!GY101="","",'Statement of Marks'!GY101))</f>
        <v/>
      </c>
      <c r="I98" s="286" t="str">
        <f>IF(B98="","",IF('Statement of Marks'!HB101="","",'Statement of Marks'!HB101))</f>
        <v/>
      </c>
      <c r="J98" s="433" t="str">
        <f>IF(B98="","",IF('Statement of Marks'!HC101="","",'Statement of Marks'!HC101))</f>
        <v/>
      </c>
      <c r="K98" s="295" t="str">
        <f>IF(B98="","",'Statement of Marks'!FJ101)</f>
        <v/>
      </c>
      <c r="L98" s="295" t="str">
        <f>IF(B98="","",'Statement of Marks'!FM101)</f>
        <v/>
      </c>
      <c r="M98" s="295" t="str">
        <f>IF(B98="","",'Statement of Marks'!FP101)</f>
        <v/>
      </c>
      <c r="N98" s="295" t="str">
        <f>IF(B98="","",'Statement of Marks'!FW101)</f>
        <v/>
      </c>
      <c r="O98" s="295" t="str">
        <f>IF(B98="","",'Statement of Marks'!GD101)</f>
        <v/>
      </c>
      <c r="P98" s="295" t="str">
        <f>IF(B98="","",'Statement of Marks'!GK101)</f>
        <v/>
      </c>
      <c r="Q98" s="295" t="str">
        <f>IF(B98="","",'Statement of Marks'!GR101)</f>
        <v/>
      </c>
      <c r="R98" s="295" t="str">
        <f>IF(B98="","",'Statement of Marks'!FF101)</f>
        <v/>
      </c>
      <c r="S98" s="434" t="str">
        <f>IFERROR(IF(B98="","",CONCATENATE(IF(AND('Marks Entry'!U101="A"),'Marks Entry'!$U$2,IF(AND('Marks Entry'!U101="B"),'Marks Entry'!$Y$2,IF(AND('Marks Entry'!U101="C"),'Marks Entry'!$AA$2,""))),", ",IF(AND('Marks Entry'!AC101="A"),'Marks Entry'!$AC$2,IF(AND('Marks Entry'!AC101="B"),'Marks Entry'!$AG$2,IF(AND('Marks Entry'!AC101="C"),'Marks Entry'!$AI$2,""))),", ",IF(AND('Marks Entry'!AK101="A"),'Marks Entry'!$AK$2,IF(AND('Marks Entry'!AK101="B"),'Marks Entry'!$AO$2,IF(AND('Marks Entry'!AK101="C"),'Marks Entry'!$AQ$2,""))),", ",IF(AND('Statement of Marks'!DD101=""),"",IF(AND('Statement of Marks'!DD101="A"),'Marks Entry'!$AS$2,IF(AND('Statement of Marks'!DD101="B"),'Marks Entry'!$AW$2,IF(AND('Statement of Marks'!DD101="C"),'Marks Entry'!$AY$2,"")))))),"")</f>
        <v/>
      </c>
      <c r="T98" s="435" t="str">
        <f>IF(COUNTIF(K98:R98,"F")&gt;0,"",CONCATENATE('Statement of Marks'!GU101,'Statement of Marks'!GW101))</f>
        <v xml:space="preserve">           </v>
      </c>
      <c r="BG98" s="17">
        <f>IFERROR(VLOOKUP(B98,'Statement of Marks'!$B$8:'Statement of Marks'!$HI$207,41,0),"")</f>
        <v>15</v>
      </c>
      <c r="BH98" s="17" t="str">
        <f>IFERROR(VLOOKUP(B98,'Statement of Marks'!$B$8:'Statement of Marks'!$HI$207,66,0),"")</f>
        <v/>
      </c>
      <c r="BI98" s="17">
        <f>IFERROR(VLOOKUP(B98,'Statement of Marks'!$B$8:'Statement of Marks'!$HI$207,91,0),"")</f>
        <v>60</v>
      </c>
      <c r="BJ98" s="17" t="str">
        <f>IFERROR(VLOOKUP(B98,'Statement of Marks'!$B$8:'Statement of Marks'!$HI$207,117,0),"")</f>
        <v/>
      </c>
    </row>
    <row r="99" spans="1:62" ht="24.95" customHeight="1">
      <c r="A99" s="283">
        <f>IF('Statement of Marks'!A102="","",'Statement of Marks'!A102)</f>
        <v>95</v>
      </c>
      <c r="B99" s="283" t="str">
        <f>IF('Statement of Marks'!B102="","",'Statement of Marks'!B102)</f>
        <v/>
      </c>
      <c r="C99" s="283" t="str">
        <f>IF('Statement of Marks'!C102="","",'Statement of Marks'!C102)</f>
        <v/>
      </c>
      <c r="D99" s="430" t="str">
        <f>IF('Statement of Marks'!D102="","",'Statement of Marks'!D102)</f>
        <v/>
      </c>
      <c r="E99" s="431" t="str">
        <f>IF('Statement of Marks'!E102="","",'Statement of Marks'!E102)</f>
        <v/>
      </c>
      <c r="F99" s="431" t="str">
        <f>IF('Statement of Marks'!F102="","",'Statement of Marks'!F102)</f>
        <v/>
      </c>
      <c r="G99" s="431" t="str">
        <f>IF('Statement of Marks'!G102="","",'Statement of Marks'!G102)</f>
        <v/>
      </c>
      <c r="H99" s="432" t="str">
        <f>IF(B99="","",IF('Statement of Marks'!GY102="","",'Statement of Marks'!GY102))</f>
        <v/>
      </c>
      <c r="I99" s="286" t="str">
        <f>IF(B99="","",IF('Statement of Marks'!HB102="","",'Statement of Marks'!HB102))</f>
        <v/>
      </c>
      <c r="J99" s="433" t="str">
        <f>IF(B99="","",IF('Statement of Marks'!HC102="","",'Statement of Marks'!HC102))</f>
        <v/>
      </c>
      <c r="K99" s="295" t="str">
        <f>IF(B99="","",'Statement of Marks'!FJ102)</f>
        <v/>
      </c>
      <c r="L99" s="295" t="str">
        <f>IF(B99="","",'Statement of Marks'!FM102)</f>
        <v/>
      </c>
      <c r="M99" s="295" t="str">
        <f>IF(B99="","",'Statement of Marks'!FP102)</f>
        <v/>
      </c>
      <c r="N99" s="295" t="str">
        <f>IF(B99="","",'Statement of Marks'!FW102)</f>
        <v/>
      </c>
      <c r="O99" s="295" t="str">
        <f>IF(B99="","",'Statement of Marks'!GD102)</f>
        <v/>
      </c>
      <c r="P99" s="295" t="str">
        <f>IF(B99="","",'Statement of Marks'!GK102)</f>
        <v/>
      </c>
      <c r="Q99" s="295" t="str">
        <f>IF(B99="","",'Statement of Marks'!GR102)</f>
        <v/>
      </c>
      <c r="R99" s="295" t="str">
        <f>IF(B99="","",'Statement of Marks'!FF102)</f>
        <v/>
      </c>
      <c r="S99" s="434" t="str">
        <f>IFERROR(IF(B99="","",CONCATENATE(IF(AND('Marks Entry'!U102="A"),'Marks Entry'!$U$2,IF(AND('Marks Entry'!U102="B"),'Marks Entry'!$Y$2,IF(AND('Marks Entry'!U102="C"),'Marks Entry'!$AA$2,""))),", ",IF(AND('Marks Entry'!AC102="A"),'Marks Entry'!$AC$2,IF(AND('Marks Entry'!AC102="B"),'Marks Entry'!$AG$2,IF(AND('Marks Entry'!AC102="C"),'Marks Entry'!$AI$2,""))),", ",IF(AND('Marks Entry'!AK102="A"),'Marks Entry'!$AK$2,IF(AND('Marks Entry'!AK102="B"),'Marks Entry'!$AO$2,IF(AND('Marks Entry'!AK102="C"),'Marks Entry'!$AQ$2,""))),", ",IF(AND('Statement of Marks'!DD102=""),"",IF(AND('Statement of Marks'!DD102="A"),'Marks Entry'!$AS$2,IF(AND('Statement of Marks'!DD102="B"),'Marks Entry'!$AW$2,IF(AND('Statement of Marks'!DD102="C"),'Marks Entry'!$AY$2,"")))))),"")</f>
        <v/>
      </c>
      <c r="T99" s="435" t="str">
        <f>IF(COUNTIF(K99:R99,"F")&gt;0,"",CONCATENATE('Statement of Marks'!GU102,'Statement of Marks'!GW102))</f>
        <v xml:space="preserve">           </v>
      </c>
      <c r="BG99" s="17">
        <f>IFERROR(VLOOKUP(B99,'Statement of Marks'!$B$8:'Statement of Marks'!$HI$207,41,0),"")</f>
        <v>15</v>
      </c>
      <c r="BH99" s="17" t="str">
        <f>IFERROR(VLOOKUP(B99,'Statement of Marks'!$B$8:'Statement of Marks'!$HI$207,66,0),"")</f>
        <v/>
      </c>
      <c r="BI99" s="17">
        <f>IFERROR(VLOOKUP(B99,'Statement of Marks'!$B$8:'Statement of Marks'!$HI$207,91,0),"")</f>
        <v>60</v>
      </c>
      <c r="BJ99" s="17" t="str">
        <f>IFERROR(VLOOKUP(B99,'Statement of Marks'!$B$8:'Statement of Marks'!$HI$207,117,0),"")</f>
        <v/>
      </c>
    </row>
    <row r="100" spans="1:62" ht="24.95" customHeight="1">
      <c r="A100" s="283">
        <f>IF('Statement of Marks'!A103="","",'Statement of Marks'!A103)</f>
        <v>96</v>
      </c>
      <c r="B100" s="283" t="str">
        <f>IF('Statement of Marks'!B103="","",'Statement of Marks'!B103)</f>
        <v/>
      </c>
      <c r="C100" s="283" t="str">
        <f>IF('Statement of Marks'!C103="","",'Statement of Marks'!C103)</f>
        <v/>
      </c>
      <c r="D100" s="430" t="str">
        <f>IF('Statement of Marks'!D103="","",'Statement of Marks'!D103)</f>
        <v/>
      </c>
      <c r="E100" s="431" t="str">
        <f>IF('Statement of Marks'!E103="","",'Statement of Marks'!E103)</f>
        <v/>
      </c>
      <c r="F100" s="431" t="str">
        <f>IF('Statement of Marks'!F103="","",'Statement of Marks'!F103)</f>
        <v/>
      </c>
      <c r="G100" s="431" t="str">
        <f>IF('Statement of Marks'!G103="","",'Statement of Marks'!G103)</f>
        <v/>
      </c>
      <c r="H100" s="432" t="str">
        <f>IF(B100="","",IF('Statement of Marks'!GY103="","",'Statement of Marks'!GY103))</f>
        <v/>
      </c>
      <c r="I100" s="286" t="str">
        <f>IF(B100="","",IF('Statement of Marks'!HB103="","",'Statement of Marks'!HB103))</f>
        <v/>
      </c>
      <c r="J100" s="433" t="str">
        <f>IF(B100="","",IF('Statement of Marks'!HC103="","",'Statement of Marks'!HC103))</f>
        <v/>
      </c>
      <c r="K100" s="295" t="str">
        <f>IF(B100="","",'Statement of Marks'!FJ103)</f>
        <v/>
      </c>
      <c r="L100" s="295" t="str">
        <f>IF(B100="","",'Statement of Marks'!FM103)</f>
        <v/>
      </c>
      <c r="M100" s="295" t="str">
        <f>IF(B100="","",'Statement of Marks'!FP103)</f>
        <v/>
      </c>
      <c r="N100" s="295" t="str">
        <f>IF(B100="","",'Statement of Marks'!FW103)</f>
        <v/>
      </c>
      <c r="O100" s="295" t="str">
        <f>IF(B100="","",'Statement of Marks'!GD103)</f>
        <v/>
      </c>
      <c r="P100" s="295" t="str">
        <f>IF(B100="","",'Statement of Marks'!GK103)</f>
        <v/>
      </c>
      <c r="Q100" s="295" t="str">
        <f>IF(B100="","",'Statement of Marks'!GR103)</f>
        <v/>
      </c>
      <c r="R100" s="295" t="str">
        <f>IF(B100="","",'Statement of Marks'!FF103)</f>
        <v/>
      </c>
      <c r="S100" s="434" t="str">
        <f>IFERROR(IF(B100="","",CONCATENATE(IF(AND('Marks Entry'!U103="A"),'Marks Entry'!$U$2,IF(AND('Marks Entry'!U103="B"),'Marks Entry'!$Y$2,IF(AND('Marks Entry'!U103="C"),'Marks Entry'!$AA$2,""))),", ",IF(AND('Marks Entry'!AC103="A"),'Marks Entry'!$AC$2,IF(AND('Marks Entry'!AC103="B"),'Marks Entry'!$AG$2,IF(AND('Marks Entry'!AC103="C"),'Marks Entry'!$AI$2,""))),", ",IF(AND('Marks Entry'!AK103="A"),'Marks Entry'!$AK$2,IF(AND('Marks Entry'!AK103="B"),'Marks Entry'!$AO$2,IF(AND('Marks Entry'!AK103="C"),'Marks Entry'!$AQ$2,""))),", ",IF(AND('Statement of Marks'!DD103=""),"",IF(AND('Statement of Marks'!DD103="A"),'Marks Entry'!$AS$2,IF(AND('Statement of Marks'!DD103="B"),'Marks Entry'!$AW$2,IF(AND('Statement of Marks'!DD103="C"),'Marks Entry'!$AY$2,"")))))),"")</f>
        <v/>
      </c>
      <c r="T100" s="435" t="str">
        <f>IF(COUNTIF(K100:R100,"F")&gt;0,"",CONCATENATE('Statement of Marks'!GU103,'Statement of Marks'!GW103))</f>
        <v xml:space="preserve">           </v>
      </c>
      <c r="BG100" s="17">
        <f>IFERROR(VLOOKUP(B100,'Statement of Marks'!$B$8:'Statement of Marks'!$HI$207,41,0),"")</f>
        <v>15</v>
      </c>
      <c r="BH100" s="17" t="str">
        <f>IFERROR(VLOOKUP(B100,'Statement of Marks'!$B$8:'Statement of Marks'!$HI$207,66,0),"")</f>
        <v/>
      </c>
      <c r="BI100" s="17">
        <f>IFERROR(VLOOKUP(B100,'Statement of Marks'!$B$8:'Statement of Marks'!$HI$207,91,0),"")</f>
        <v>60</v>
      </c>
      <c r="BJ100" s="17" t="str">
        <f>IFERROR(VLOOKUP(B100,'Statement of Marks'!$B$8:'Statement of Marks'!$HI$207,117,0),"")</f>
        <v/>
      </c>
    </row>
    <row r="101" spans="1:62" ht="24.95" customHeight="1">
      <c r="A101" s="283">
        <f>IF('Statement of Marks'!A104="","",'Statement of Marks'!A104)</f>
        <v>97</v>
      </c>
      <c r="B101" s="283" t="str">
        <f>IF('Statement of Marks'!B104="","",'Statement of Marks'!B104)</f>
        <v/>
      </c>
      <c r="C101" s="283" t="str">
        <f>IF('Statement of Marks'!C104="","",'Statement of Marks'!C104)</f>
        <v/>
      </c>
      <c r="D101" s="430" t="str">
        <f>IF('Statement of Marks'!D104="","",'Statement of Marks'!D104)</f>
        <v/>
      </c>
      <c r="E101" s="431" t="str">
        <f>IF('Statement of Marks'!E104="","",'Statement of Marks'!E104)</f>
        <v/>
      </c>
      <c r="F101" s="431" t="str">
        <f>IF('Statement of Marks'!F104="","",'Statement of Marks'!F104)</f>
        <v/>
      </c>
      <c r="G101" s="431" t="str">
        <f>IF('Statement of Marks'!G104="","",'Statement of Marks'!G104)</f>
        <v/>
      </c>
      <c r="H101" s="432" t="str">
        <f>IF(B101="","",IF('Statement of Marks'!GY104="","",'Statement of Marks'!GY104))</f>
        <v/>
      </c>
      <c r="I101" s="286" t="str">
        <f>IF(B101="","",IF('Statement of Marks'!HB104="","",'Statement of Marks'!HB104))</f>
        <v/>
      </c>
      <c r="J101" s="433" t="str">
        <f>IF(B101="","",IF('Statement of Marks'!HC104="","",'Statement of Marks'!HC104))</f>
        <v/>
      </c>
      <c r="K101" s="295" t="str">
        <f>IF(B101="","",'Statement of Marks'!FJ104)</f>
        <v/>
      </c>
      <c r="L101" s="295" t="str">
        <f>IF(B101="","",'Statement of Marks'!FM104)</f>
        <v/>
      </c>
      <c r="M101" s="295" t="str">
        <f>IF(B101="","",'Statement of Marks'!FP104)</f>
        <v/>
      </c>
      <c r="N101" s="295" t="str">
        <f>IF(B101="","",'Statement of Marks'!FW104)</f>
        <v/>
      </c>
      <c r="O101" s="295" t="str">
        <f>IF(B101="","",'Statement of Marks'!GD104)</f>
        <v/>
      </c>
      <c r="P101" s="295" t="str">
        <f>IF(B101="","",'Statement of Marks'!GK104)</f>
        <v/>
      </c>
      <c r="Q101" s="295" t="str">
        <f>IF(B101="","",'Statement of Marks'!GR104)</f>
        <v/>
      </c>
      <c r="R101" s="295" t="str">
        <f>IF(B101="","",'Statement of Marks'!FF104)</f>
        <v/>
      </c>
      <c r="S101" s="434" t="str">
        <f>IFERROR(IF(B101="","",CONCATENATE(IF(AND('Marks Entry'!U104="A"),'Marks Entry'!$U$2,IF(AND('Marks Entry'!U104="B"),'Marks Entry'!$Y$2,IF(AND('Marks Entry'!U104="C"),'Marks Entry'!$AA$2,""))),", ",IF(AND('Marks Entry'!AC104="A"),'Marks Entry'!$AC$2,IF(AND('Marks Entry'!AC104="B"),'Marks Entry'!$AG$2,IF(AND('Marks Entry'!AC104="C"),'Marks Entry'!$AI$2,""))),", ",IF(AND('Marks Entry'!AK104="A"),'Marks Entry'!$AK$2,IF(AND('Marks Entry'!AK104="B"),'Marks Entry'!$AO$2,IF(AND('Marks Entry'!AK104="C"),'Marks Entry'!$AQ$2,""))),", ",IF(AND('Statement of Marks'!DD104=""),"",IF(AND('Statement of Marks'!DD104="A"),'Marks Entry'!$AS$2,IF(AND('Statement of Marks'!DD104="B"),'Marks Entry'!$AW$2,IF(AND('Statement of Marks'!DD104="C"),'Marks Entry'!$AY$2,"")))))),"")</f>
        <v/>
      </c>
      <c r="T101" s="435" t="str">
        <f>IF(COUNTIF(K101:R101,"F")&gt;0,"",CONCATENATE('Statement of Marks'!GU104,'Statement of Marks'!GW104))</f>
        <v xml:space="preserve">           </v>
      </c>
      <c r="BG101" s="17">
        <f>IFERROR(VLOOKUP(B101,'Statement of Marks'!$B$8:'Statement of Marks'!$HI$207,41,0),"")</f>
        <v>15</v>
      </c>
      <c r="BH101" s="17" t="str">
        <f>IFERROR(VLOOKUP(B101,'Statement of Marks'!$B$8:'Statement of Marks'!$HI$207,66,0),"")</f>
        <v/>
      </c>
      <c r="BI101" s="17">
        <f>IFERROR(VLOOKUP(B101,'Statement of Marks'!$B$8:'Statement of Marks'!$HI$207,91,0),"")</f>
        <v>60</v>
      </c>
      <c r="BJ101" s="17" t="str">
        <f>IFERROR(VLOOKUP(B101,'Statement of Marks'!$B$8:'Statement of Marks'!$HI$207,117,0),"")</f>
        <v/>
      </c>
    </row>
    <row r="102" spans="1:62" ht="24.95" customHeight="1">
      <c r="A102" s="283">
        <f>IF('Statement of Marks'!A105="","",'Statement of Marks'!A105)</f>
        <v>98</v>
      </c>
      <c r="B102" s="283" t="str">
        <f>IF('Statement of Marks'!B105="","",'Statement of Marks'!B105)</f>
        <v/>
      </c>
      <c r="C102" s="283" t="str">
        <f>IF('Statement of Marks'!C105="","",'Statement of Marks'!C105)</f>
        <v/>
      </c>
      <c r="D102" s="430" t="str">
        <f>IF('Statement of Marks'!D105="","",'Statement of Marks'!D105)</f>
        <v/>
      </c>
      <c r="E102" s="431" t="str">
        <f>IF('Statement of Marks'!E105="","",'Statement of Marks'!E105)</f>
        <v/>
      </c>
      <c r="F102" s="431" t="str">
        <f>IF('Statement of Marks'!F105="","",'Statement of Marks'!F105)</f>
        <v/>
      </c>
      <c r="G102" s="431" t="str">
        <f>IF('Statement of Marks'!G105="","",'Statement of Marks'!G105)</f>
        <v/>
      </c>
      <c r="H102" s="432" t="str">
        <f>IF(B102="","",IF('Statement of Marks'!GY105="","",'Statement of Marks'!GY105))</f>
        <v/>
      </c>
      <c r="I102" s="286" t="str">
        <f>IF(B102="","",IF('Statement of Marks'!HB105="","",'Statement of Marks'!HB105))</f>
        <v/>
      </c>
      <c r="J102" s="433" t="str">
        <f>IF(B102="","",IF('Statement of Marks'!HC105="","",'Statement of Marks'!HC105))</f>
        <v/>
      </c>
      <c r="K102" s="295" t="str">
        <f>IF(B102="","",'Statement of Marks'!FJ105)</f>
        <v/>
      </c>
      <c r="L102" s="295" t="str">
        <f>IF(B102="","",'Statement of Marks'!FM105)</f>
        <v/>
      </c>
      <c r="M102" s="295" t="str">
        <f>IF(B102="","",'Statement of Marks'!FP105)</f>
        <v/>
      </c>
      <c r="N102" s="295" t="str">
        <f>IF(B102="","",'Statement of Marks'!FW105)</f>
        <v/>
      </c>
      <c r="O102" s="295" t="str">
        <f>IF(B102="","",'Statement of Marks'!GD105)</f>
        <v/>
      </c>
      <c r="P102" s="295" t="str">
        <f>IF(B102="","",'Statement of Marks'!GK105)</f>
        <v/>
      </c>
      <c r="Q102" s="295" t="str">
        <f>IF(B102="","",'Statement of Marks'!GR105)</f>
        <v/>
      </c>
      <c r="R102" s="295" t="str">
        <f>IF(B102="","",'Statement of Marks'!FF105)</f>
        <v/>
      </c>
      <c r="S102" s="434" t="str">
        <f>IFERROR(IF(B102="","",CONCATENATE(IF(AND('Marks Entry'!U105="A"),'Marks Entry'!$U$2,IF(AND('Marks Entry'!U105="B"),'Marks Entry'!$Y$2,IF(AND('Marks Entry'!U105="C"),'Marks Entry'!$AA$2,""))),", ",IF(AND('Marks Entry'!AC105="A"),'Marks Entry'!$AC$2,IF(AND('Marks Entry'!AC105="B"),'Marks Entry'!$AG$2,IF(AND('Marks Entry'!AC105="C"),'Marks Entry'!$AI$2,""))),", ",IF(AND('Marks Entry'!AK105="A"),'Marks Entry'!$AK$2,IF(AND('Marks Entry'!AK105="B"),'Marks Entry'!$AO$2,IF(AND('Marks Entry'!AK105="C"),'Marks Entry'!$AQ$2,""))),", ",IF(AND('Statement of Marks'!DD105=""),"",IF(AND('Statement of Marks'!DD105="A"),'Marks Entry'!$AS$2,IF(AND('Statement of Marks'!DD105="B"),'Marks Entry'!$AW$2,IF(AND('Statement of Marks'!DD105="C"),'Marks Entry'!$AY$2,"")))))),"")</f>
        <v/>
      </c>
      <c r="T102" s="435" t="str">
        <f>IF(COUNTIF(K102:R102,"F")&gt;0,"",CONCATENATE('Statement of Marks'!GU105,'Statement of Marks'!GW105))</f>
        <v xml:space="preserve">           </v>
      </c>
      <c r="BG102" s="17">
        <f>IFERROR(VLOOKUP(B102,'Statement of Marks'!$B$8:'Statement of Marks'!$HI$207,41,0),"")</f>
        <v>15</v>
      </c>
      <c r="BH102" s="17" t="str">
        <f>IFERROR(VLOOKUP(B102,'Statement of Marks'!$B$8:'Statement of Marks'!$HI$207,66,0),"")</f>
        <v/>
      </c>
      <c r="BI102" s="17">
        <f>IFERROR(VLOOKUP(B102,'Statement of Marks'!$B$8:'Statement of Marks'!$HI$207,91,0),"")</f>
        <v>60</v>
      </c>
      <c r="BJ102" s="17" t="str">
        <f>IFERROR(VLOOKUP(B102,'Statement of Marks'!$B$8:'Statement of Marks'!$HI$207,117,0),"")</f>
        <v/>
      </c>
    </row>
    <row r="103" spans="1:62" ht="24.95" customHeight="1">
      <c r="A103" s="283">
        <f>IF('Statement of Marks'!A106="","",'Statement of Marks'!A106)</f>
        <v>99</v>
      </c>
      <c r="B103" s="283" t="str">
        <f>IF('Statement of Marks'!B106="","",'Statement of Marks'!B106)</f>
        <v/>
      </c>
      <c r="C103" s="283" t="str">
        <f>IF('Statement of Marks'!C106="","",'Statement of Marks'!C106)</f>
        <v/>
      </c>
      <c r="D103" s="430" t="str">
        <f>IF('Statement of Marks'!D106="","",'Statement of Marks'!D106)</f>
        <v/>
      </c>
      <c r="E103" s="431" t="str">
        <f>IF('Statement of Marks'!E106="","",'Statement of Marks'!E106)</f>
        <v/>
      </c>
      <c r="F103" s="431" t="str">
        <f>IF('Statement of Marks'!F106="","",'Statement of Marks'!F106)</f>
        <v/>
      </c>
      <c r="G103" s="431" t="str">
        <f>IF('Statement of Marks'!G106="","",'Statement of Marks'!G106)</f>
        <v/>
      </c>
      <c r="H103" s="432" t="str">
        <f>IF(B103="","",IF('Statement of Marks'!GY106="","",'Statement of Marks'!GY106))</f>
        <v/>
      </c>
      <c r="I103" s="286" t="str">
        <f>IF(B103="","",IF('Statement of Marks'!HB106="","",'Statement of Marks'!HB106))</f>
        <v/>
      </c>
      <c r="J103" s="433" t="str">
        <f>IF(B103="","",IF('Statement of Marks'!HC106="","",'Statement of Marks'!HC106))</f>
        <v/>
      </c>
      <c r="K103" s="295" t="str">
        <f>IF(B103="","",'Statement of Marks'!FJ106)</f>
        <v/>
      </c>
      <c r="L103" s="295" t="str">
        <f>IF(B103="","",'Statement of Marks'!FM106)</f>
        <v/>
      </c>
      <c r="M103" s="295" t="str">
        <f>IF(B103="","",'Statement of Marks'!FP106)</f>
        <v/>
      </c>
      <c r="N103" s="295" t="str">
        <f>IF(B103="","",'Statement of Marks'!FW106)</f>
        <v/>
      </c>
      <c r="O103" s="295" t="str">
        <f>IF(B103="","",'Statement of Marks'!GD106)</f>
        <v/>
      </c>
      <c r="P103" s="295" t="str">
        <f>IF(B103="","",'Statement of Marks'!GK106)</f>
        <v/>
      </c>
      <c r="Q103" s="295" t="str">
        <f>IF(B103="","",'Statement of Marks'!GR106)</f>
        <v/>
      </c>
      <c r="R103" s="295" t="str">
        <f>IF(B103="","",'Statement of Marks'!FF106)</f>
        <v/>
      </c>
      <c r="S103" s="434" t="str">
        <f>IFERROR(IF(B103="","",CONCATENATE(IF(AND('Marks Entry'!U106="A"),'Marks Entry'!$U$2,IF(AND('Marks Entry'!U106="B"),'Marks Entry'!$Y$2,IF(AND('Marks Entry'!U106="C"),'Marks Entry'!$AA$2,""))),", ",IF(AND('Marks Entry'!AC106="A"),'Marks Entry'!$AC$2,IF(AND('Marks Entry'!AC106="B"),'Marks Entry'!$AG$2,IF(AND('Marks Entry'!AC106="C"),'Marks Entry'!$AI$2,""))),", ",IF(AND('Marks Entry'!AK106="A"),'Marks Entry'!$AK$2,IF(AND('Marks Entry'!AK106="B"),'Marks Entry'!$AO$2,IF(AND('Marks Entry'!AK106="C"),'Marks Entry'!$AQ$2,""))),", ",IF(AND('Statement of Marks'!DD106=""),"",IF(AND('Statement of Marks'!DD106="A"),'Marks Entry'!$AS$2,IF(AND('Statement of Marks'!DD106="B"),'Marks Entry'!$AW$2,IF(AND('Statement of Marks'!DD106="C"),'Marks Entry'!$AY$2,"")))))),"")</f>
        <v/>
      </c>
      <c r="T103" s="435" t="str">
        <f>IF(COUNTIF(K103:R103,"F")&gt;0,"",CONCATENATE('Statement of Marks'!GU106,'Statement of Marks'!GW106))</f>
        <v xml:space="preserve">           </v>
      </c>
      <c r="BG103" s="17">
        <f>IFERROR(VLOOKUP(B103,'Statement of Marks'!$B$8:'Statement of Marks'!$HI$207,41,0),"")</f>
        <v>15</v>
      </c>
      <c r="BH103" s="17" t="str">
        <f>IFERROR(VLOOKUP(B103,'Statement of Marks'!$B$8:'Statement of Marks'!$HI$207,66,0),"")</f>
        <v/>
      </c>
      <c r="BI103" s="17">
        <f>IFERROR(VLOOKUP(B103,'Statement of Marks'!$B$8:'Statement of Marks'!$HI$207,91,0),"")</f>
        <v>60</v>
      </c>
      <c r="BJ103" s="17" t="str">
        <f>IFERROR(VLOOKUP(B103,'Statement of Marks'!$B$8:'Statement of Marks'!$HI$207,117,0),"")</f>
        <v/>
      </c>
    </row>
    <row r="104" spans="1:62" ht="24.95" customHeight="1">
      <c r="A104" s="283">
        <f>IF('Statement of Marks'!A107="","",'Statement of Marks'!A107)</f>
        <v>100</v>
      </c>
      <c r="B104" s="283" t="str">
        <f>IF('Statement of Marks'!B107="","",'Statement of Marks'!B107)</f>
        <v/>
      </c>
      <c r="C104" s="283" t="str">
        <f>IF('Statement of Marks'!C107="","",'Statement of Marks'!C107)</f>
        <v/>
      </c>
      <c r="D104" s="430" t="str">
        <f>IF('Statement of Marks'!D107="","",'Statement of Marks'!D107)</f>
        <v/>
      </c>
      <c r="E104" s="431" t="str">
        <f>IF('Statement of Marks'!E107="","",'Statement of Marks'!E107)</f>
        <v/>
      </c>
      <c r="F104" s="431" t="str">
        <f>IF('Statement of Marks'!F107="","",'Statement of Marks'!F107)</f>
        <v/>
      </c>
      <c r="G104" s="431" t="str">
        <f>IF('Statement of Marks'!G107="","",'Statement of Marks'!G107)</f>
        <v/>
      </c>
      <c r="H104" s="432" t="str">
        <f>IF(B104="","",IF('Statement of Marks'!GY107="","",'Statement of Marks'!GY107))</f>
        <v/>
      </c>
      <c r="I104" s="286" t="str">
        <f>IF(B104="","",IF('Statement of Marks'!HB107="","",'Statement of Marks'!HB107))</f>
        <v/>
      </c>
      <c r="J104" s="433" t="str">
        <f>IF(B104="","",IF('Statement of Marks'!HC107="","",'Statement of Marks'!HC107))</f>
        <v/>
      </c>
      <c r="K104" s="295" t="str">
        <f>IF(B104="","",'Statement of Marks'!FJ107)</f>
        <v/>
      </c>
      <c r="L104" s="295" t="str">
        <f>IF(B104="","",'Statement of Marks'!FM107)</f>
        <v/>
      </c>
      <c r="M104" s="295" t="str">
        <f>IF(B104="","",'Statement of Marks'!FP107)</f>
        <v/>
      </c>
      <c r="N104" s="295" t="str">
        <f>IF(B104="","",'Statement of Marks'!FW107)</f>
        <v/>
      </c>
      <c r="O104" s="295" t="str">
        <f>IF(B104="","",'Statement of Marks'!GD107)</f>
        <v/>
      </c>
      <c r="P104" s="295" t="str">
        <f>IF(B104="","",'Statement of Marks'!GK107)</f>
        <v/>
      </c>
      <c r="Q104" s="295" t="str">
        <f>IF(B104="","",'Statement of Marks'!GR107)</f>
        <v/>
      </c>
      <c r="R104" s="295" t="str">
        <f>IF(B104="","",'Statement of Marks'!FF107)</f>
        <v/>
      </c>
      <c r="S104" s="434" t="str">
        <f>IFERROR(IF(B104="","",CONCATENATE(IF(AND('Marks Entry'!U107="A"),'Marks Entry'!$U$2,IF(AND('Marks Entry'!U107="B"),'Marks Entry'!$Y$2,IF(AND('Marks Entry'!U107="C"),'Marks Entry'!$AA$2,""))),", ",IF(AND('Marks Entry'!AC107="A"),'Marks Entry'!$AC$2,IF(AND('Marks Entry'!AC107="B"),'Marks Entry'!$AG$2,IF(AND('Marks Entry'!AC107="C"),'Marks Entry'!$AI$2,""))),", ",IF(AND('Marks Entry'!AK107="A"),'Marks Entry'!$AK$2,IF(AND('Marks Entry'!AK107="B"),'Marks Entry'!$AO$2,IF(AND('Marks Entry'!AK107="C"),'Marks Entry'!$AQ$2,""))),", ",IF(AND('Statement of Marks'!DD107=""),"",IF(AND('Statement of Marks'!DD107="A"),'Marks Entry'!$AS$2,IF(AND('Statement of Marks'!DD107="B"),'Marks Entry'!$AW$2,IF(AND('Statement of Marks'!DD107="C"),'Marks Entry'!$AY$2,"")))))),"")</f>
        <v/>
      </c>
      <c r="T104" s="435" t="str">
        <f>IF(COUNTIF(K104:R104,"F")&gt;0,"",CONCATENATE('Statement of Marks'!GU107,'Statement of Marks'!GW107))</f>
        <v xml:space="preserve">           </v>
      </c>
      <c r="BG104" s="17">
        <f>IFERROR(VLOOKUP(B104,'Statement of Marks'!$B$8:'Statement of Marks'!$HI$207,41,0),"")</f>
        <v>15</v>
      </c>
      <c r="BH104" s="17" t="str">
        <f>IFERROR(VLOOKUP(B104,'Statement of Marks'!$B$8:'Statement of Marks'!$HI$207,66,0),"")</f>
        <v/>
      </c>
      <c r="BI104" s="17">
        <f>IFERROR(VLOOKUP(B104,'Statement of Marks'!$B$8:'Statement of Marks'!$HI$207,91,0),"")</f>
        <v>60</v>
      </c>
      <c r="BJ104" s="17" t="str">
        <f>IFERROR(VLOOKUP(B104,'Statement of Marks'!$B$8:'Statement of Marks'!$HI$207,117,0),"")</f>
        <v/>
      </c>
    </row>
    <row r="105" spans="1:62" ht="24.95" customHeight="1">
      <c r="A105" s="283">
        <f>IF('Statement of Marks'!A108="","",'Statement of Marks'!A108)</f>
        <v>101</v>
      </c>
      <c r="B105" s="283" t="str">
        <f>IF('Statement of Marks'!B108="","",'Statement of Marks'!B108)</f>
        <v/>
      </c>
      <c r="C105" s="283" t="str">
        <f>IF('Statement of Marks'!C108="","",'Statement of Marks'!C108)</f>
        <v/>
      </c>
      <c r="D105" s="430" t="str">
        <f>IF('Statement of Marks'!D108="","",'Statement of Marks'!D108)</f>
        <v/>
      </c>
      <c r="E105" s="431" t="str">
        <f>IF('Statement of Marks'!E108="","",'Statement of Marks'!E108)</f>
        <v/>
      </c>
      <c r="F105" s="431" t="str">
        <f>IF('Statement of Marks'!F108="","",'Statement of Marks'!F108)</f>
        <v/>
      </c>
      <c r="G105" s="431" t="str">
        <f>IF('Statement of Marks'!G108="","",'Statement of Marks'!G108)</f>
        <v/>
      </c>
      <c r="H105" s="432" t="str">
        <f>IF(B105="","",IF('Statement of Marks'!GY108="","",'Statement of Marks'!GY108))</f>
        <v/>
      </c>
      <c r="I105" s="286" t="str">
        <f>IF(B105="","",IF('Statement of Marks'!HB108="","",'Statement of Marks'!HB108))</f>
        <v/>
      </c>
      <c r="J105" s="433" t="str">
        <f>IF(B105="","",IF('Statement of Marks'!HC108="","",'Statement of Marks'!HC108))</f>
        <v/>
      </c>
      <c r="K105" s="295" t="str">
        <f>IF(B105="","",'Statement of Marks'!FJ108)</f>
        <v/>
      </c>
      <c r="L105" s="295" t="str">
        <f>IF(B105="","",'Statement of Marks'!FM108)</f>
        <v/>
      </c>
      <c r="M105" s="295" t="str">
        <f>IF(B105="","",'Statement of Marks'!FP108)</f>
        <v/>
      </c>
      <c r="N105" s="295" t="str">
        <f>IF(B105="","",'Statement of Marks'!FW108)</f>
        <v/>
      </c>
      <c r="O105" s="295" t="str">
        <f>IF(B105="","",'Statement of Marks'!GD108)</f>
        <v/>
      </c>
      <c r="P105" s="295" t="str">
        <f>IF(B105="","",'Statement of Marks'!GK108)</f>
        <v/>
      </c>
      <c r="Q105" s="295" t="str">
        <f>IF(B105="","",'Statement of Marks'!GR108)</f>
        <v/>
      </c>
      <c r="R105" s="295" t="str">
        <f>IF(B105="","",'Statement of Marks'!FF108)</f>
        <v/>
      </c>
      <c r="S105" s="434" t="str">
        <f>IFERROR(IF(B105="","",CONCATENATE(IF(AND('Marks Entry'!U108="A"),'Marks Entry'!$U$2,IF(AND('Marks Entry'!U108="B"),'Marks Entry'!$Y$2,IF(AND('Marks Entry'!U108="C"),'Marks Entry'!$AA$2,""))),", ",IF(AND('Marks Entry'!AC108="A"),'Marks Entry'!$AC$2,IF(AND('Marks Entry'!AC108="B"),'Marks Entry'!$AG$2,IF(AND('Marks Entry'!AC108="C"),'Marks Entry'!$AI$2,""))),", ",IF(AND('Marks Entry'!AK108="A"),'Marks Entry'!$AK$2,IF(AND('Marks Entry'!AK108="B"),'Marks Entry'!$AO$2,IF(AND('Marks Entry'!AK108="C"),'Marks Entry'!$AQ$2,""))),", ",IF(AND('Statement of Marks'!DD108=""),"",IF(AND('Statement of Marks'!DD108="A"),'Marks Entry'!$AS$2,IF(AND('Statement of Marks'!DD108="B"),'Marks Entry'!$AW$2,IF(AND('Statement of Marks'!DD108="C"),'Marks Entry'!$AY$2,"")))))),"")</f>
        <v/>
      </c>
      <c r="T105" s="435" t="str">
        <f>IF(COUNTIF(K105:R105,"F")&gt;0,"",CONCATENATE('Statement of Marks'!GU108,'Statement of Marks'!GW108))</f>
        <v xml:space="preserve">           </v>
      </c>
      <c r="BG105" s="17">
        <f>IFERROR(VLOOKUP(B105,'Statement of Marks'!$B$8:'Statement of Marks'!$HI$207,41,0),"")</f>
        <v>15</v>
      </c>
      <c r="BH105" s="17" t="str">
        <f>IFERROR(VLOOKUP(B105,'Statement of Marks'!$B$8:'Statement of Marks'!$HI$207,66,0),"")</f>
        <v/>
      </c>
      <c r="BI105" s="17">
        <f>IFERROR(VLOOKUP(B105,'Statement of Marks'!$B$8:'Statement of Marks'!$HI$207,91,0),"")</f>
        <v>60</v>
      </c>
      <c r="BJ105" s="17" t="str">
        <f>IFERROR(VLOOKUP(B105,'Statement of Marks'!$B$8:'Statement of Marks'!$HI$207,117,0),"")</f>
        <v/>
      </c>
    </row>
    <row r="106" spans="1:62" ht="24.95" customHeight="1">
      <c r="A106" s="283">
        <f>IF('Statement of Marks'!A109="","",'Statement of Marks'!A109)</f>
        <v>102</v>
      </c>
      <c r="B106" s="283" t="str">
        <f>IF('Statement of Marks'!B109="","",'Statement of Marks'!B109)</f>
        <v/>
      </c>
      <c r="C106" s="283" t="str">
        <f>IF('Statement of Marks'!C109="","",'Statement of Marks'!C109)</f>
        <v/>
      </c>
      <c r="D106" s="430" t="str">
        <f>IF('Statement of Marks'!D109="","",'Statement of Marks'!D109)</f>
        <v/>
      </c>
      <c r="E106" s="431" t="str">
        <f>IF('Statement of Marks'!E109="","",'Statement of Marks'!E109)</f>
        <v/>
      </c>
      <c r="F106" s="431" t="str">
        <f>IF('Statement of Marks'!F109="","",'Statement of Marks'!F109)</f>
        <v/>
      </c>
      <c r="G106" s="431" t="str">
        <f>IF('Statement of Marks'!G109="","",'Statement of Marks'!G109)</f>
        <v/>
      </c>
      <c r="H106" s="432" t="str">
        <f>IF(B106="","",IF('Statement of Marks'!GY109="","",'Statement of Marks'!GY109))</f>
        <v/>
      </c>
      <c r="I106" s="286" t="str">
        <f>IF(B106="","",IF('Statement of Marks'!HB109="","",'Statement of Marks'!HB109))</f>
        <v/>
      </c>
      <c r="J106" s="433" t="str">
        <f>IF(B106="","",IF('Statement of Marks'!HC109="","",'Statement of Marks'!HC109))</f>
        <v/>
      </c>
      <c r="K106" s="295" t="str">
        <f>IF(B106="","",'Statement of Marks'!FJ109)</f>
        <v/>
      </c>
      <c r="L106" s="295" t="str">
        <f>IF(B106="","",'Statement of Marks'!FM109)</f>
        <v/>
      </c>
      <c r="M106" s="295" t="str">
        <f>IF(B106="","",'Statement of Marks'!FP109)</f>
        <v/>
      </c>
      <c r="N106" s="295" t="str">
        <f>IF(B106="","",'Statement of Marks'!FW109)</f>
        <v/>
      </c>
      <c r="O106" s="295" t="str">
        <f>IF(B106="","",'Statement of Marks'!GD109)</f>
        <v/>
      </c>
      <c r="P106" s="295" t="str">
        <f>IF(B106="","",'Statement of Marks'!GK109)</f>
        <v/>
      </c>
      <c r="Q106" s="295" t="str">
        <f>IF(B106="","",'Statement of Marks'!GR109)</f>
        <v/>
      </c>
      <c r="R106" s="295" t="str">
        <f>IF(B106="","",'Statement of Marks'!FF109)</f>
        <v/>
      </c>
      <c r="S106" s="434" t="str">
        <f>IFERROR(IF(B106="","",CONCATENATE(IF(AND('Marks Entry'!U109="A"),'Marks Entry'!$U$2,IF(AND('Marks Entry'!U109="B"),'Marks Entry'!$Y$2,IF(AND('Marks Entry'!U109="C"),'Marks Entry'!$AA$2,""))),", ",IF(AND('Marks Entry'!AC109="A"),'Marks Entry'!$AC$2,IF(AND('Marks Entry'!AC109="B"),'Marks Entry'!$AG$2,IF(AND('Marks Entry'!AC109="C"),'Marks Entry'!$AI$2,""))),", ",IF(AND('Marks Entry'!AK109="A"),'Marks Entry'!$AK$2,IF(AND('Marks Entry'!AK109="B"),'Marks Entry'!$AO$2,IF(AND('Marks Entry'!AK109="C"),'Marks Entry'!$AQ$2,""))),", ",IF(AND('Statement of Marks'!DD109=""),"",IF(AND('Statement of Marks'!DD109="A"),'Marks Entry'!$AS$2,IF(AND('Statement of Marks'!DD109="B"),'Marks Entry'!$AW$2,IF(AND('Statement of Marks'!DD109="C"),'Marks Entry'!$AY$2,"")))))),"")</f>
        <v/>
      </c>
      <c r="T106" s="435" t="str">
        <f>IF(COUNTIF(K106:R106,"F")&gt;0,"",CONCATENATE('Statement of Marks'!GU109,'Statement of Marks'!GW109))</f>
        <v xml:space="preserve">           </v>
      </c>
      <c r="BG106" s="17">
        <f>IFERROR(VLOOKUP(B106,'Statement of Marks'!$B$8:'Statement of Marks'!$HI$207,41,0),"")</f>
        <v>15</v>
      </c>
      <c r="BH106" s="17" t="str">
        <f>IFERROR(VLOOKUP(B106,'Statement of Marks'!$B$8:'Statement of Marks'!$HI$207,66,0),"")</f>
        <v/>
      </c>
      <c r="BI106" s="17">
        <f>IFERROR(VLOOKUP(B106,'Statement of Marks'!$B$8:'Statement of Marks'!$HI$207,91,0),"")</f>
        <v>60</v>
      </c>
      <c r="BJ106" s="17" t="str">
        <f>IFERROR(VLOOKUP(B106,'Statement of Marks'!$B$8:'Statement of Marks'!$HI$207,117,0),"")</f>
        <v/>
      </c>
    </row>
    <row r="107" spans="1:62" ht="24.95" customHeight="1">
      <c r="A107" s="283">
        <f>IF('Statement of Marks'!A110="","",'Statement of Marks'!A110)</f>
        <v>103</v>
      </c>
      <c r="B107" s="283" t="str">
        <f>IF('Statement of Marks'!B110="","",'Statement of Marks'!B110)</f>
        <v/>
      </c>
      <c r="C107" s="283" t="str">
        <f>IF('Statement of Marks'!C110="","",'Statement of Marks'!C110)</f>
        <v/>
      </c>
      <c r="D107" s="430" t="str">
        <f>IF('Statement of Marks'!D110="","",'Statement of Marks'!D110)</f>
        <v/>
      </c>
      <c r="E107" s="431" t="str">
        <f>IF('Statement of Marks'!E110="","",'Statement of Marks'!E110)</f>
        <v/>
      </c>
      <c r="F107" s="431" t="str">
        <f>IF('Statement of Marks'!F110="","",'Statement of Marks'!F110)</f>
        <v/>
      </c>
      <c r="G107" s="431" t="str">
        <f>IF('Statement of Marks'!G110="","",'Statement of Marks'!G110)</f>
        <v/>
      </c>
      <c r="H107" s="432" t="str">
        <f>IF(B107="","",IF('Statement of Marks'!GY110="","",'Statement of Marks'!GY110))</f>
        <v/>
      </c>
      <c r="I107" s="286" t="str">
        <f>IF(B107="","",IF('Statement of Marks'!HB110="","",'Statement of Marks'!HB110))</f>
        <v/>
      </c>
      <c r="J107" s="433" t="str">
        <f>IF(B107="","",IF('Statement of Marks'!HC110="","",'Statement of Marks'!HC110))</f>
        <v/>
      </c>
      <c r="K107" s="295" t="str">
        <f>IF(B107="","",'Statement of Marks'!FJ110)</f>
        <v/>
      </c>
      <c r="L107" s="295" t="str">
        <f>IF(B107="","",'Statement of Marks'!FM110)</f>
        <v/>
      </c>
      <c r="M107" s="295" t="str">
        <f>IF(B107="","",'Statement of Marks'!FP110)</f>
        <v/>
      </c>
      <c r="N107" s="295" t="str">
        <f>IF(B107="","",'Statement of Marks'!FW110)</f>
        <v/>
      </c>
      <c r="O107" s="295" t="str">
        <f>IF(B107="","",'Statement of Marks'!GD110)</f>
        <v/>
      </c>
      <c r="P107" s="295" t="str">
        <f>IF(B107="","",'Statement of Marks'!GK110)</f>
        <v/>
      </c>
      <c r="Q107" s="295" t="str">
        <f>IF(B107="","",'Statement of Marks'!GR110)</f>
        <v/>
      </c>
      <c r="R107" s="295" t="str">
        <f>IF(B107="","",'Statement of Marks'!FF110)</f>
        <v/>
      </c>
      <c r="S107" s="434" t="str">
        <f>IFERROR(IF(B107="","",CONCATENATE(IF(AND('Marks Entry'!U110="A"),'Marks Entry'!$U$2,IF(AND('Marks Entry'!U110="B"),'Marks Entry'!$Y$2,IF(AND('Marks Entry'!U110="C"),'Marks Entry'!$AA$2,""))),", ",IF(AND('Marks Entry'!AC110="A"),'Marks Entry'!$AC$2,IF(AND('Marks Entry'!AC110="B"),'Marks Entry'!$AG$2,IF(AND('Marks Entry'!AC110="C"),'Marks Entry'!$AI$2,""))),", ",IF(AND('Marks Entry'!AK110="A"),'Marks Entry'!$AK$2,IF(AND('Marks Entry'!AK110="B"),'Marks Entry'!$AO$2,IF(AND('Marks Entry'!AK110="C"),'Marks Entry'!$AQ$2,""))),", ",IF(AND('Statement of Marks'!DD110=""),"",IF(AND('Statement of Marks'!DD110="A"),'Marks Entry'!$AS$2,IF(AND('Statement of Marks'!DD110="B"),'Marks Entry'!$AW$2,IF(AND('Statement of Marks'!DD110="C"),'Marks Entry'!$AY$2,"")))))),"")</f>
        <v/>
      </c>
      <c r="T107" s="435" t="str">
        <f>IF(COUNTIF(K107:R107,"F")&gt;0,"",CONCATENATE('Statement of Marks'!GU110,'Statement of Marks'!GW110))</f>
        <v xml:space="preserve">           </v>
      </c>
      <c r="BG107" s="17">
        <f>IFERROR(VLOOKUP(B107,'Statement of Marks'!$B$8:'Statement of Marks'!$HI$207,41,0),"")</f>
        <v>15</v>
      </c>
      <c r="BH107" s="17" t="str">
        <f>IFERROR(VLOOKUP(B107,'Statement of Marks'!$B$8:'Statement of Marks'!$HI$207,66,0),"")</f>
        <v/>
      </c>
      <c r="BI107" s="17">
        <f>IFERROR(VLOOKUP(B107,'Statement of Marks'!$B$8:'Statement of Marks'!$HI$207,91,0),"")</f>
        <v>60</v>
      </c>
      <c r="BJ107" s="17" t="str">
        <f>IFERROR(VLOOKUP(B107,'Statement of Marks'!$B$8:'Statement of Marks'!$HI$207,117,0),"")</f>
        <v/>
      </c>
    </row>
    <row r="108" spans="1:62" ht="24.95" customHeight="1">
      <c r="A108" s="283">
        <f>IF('Statement of Marks'!A111="","",'Statement of Marks'!A111)</f>
        <v>104</v>
      </c>
      <c r="B108" s="283" t="str">
        <f>IF('Statement of Marks'!B111="","",'Statement of Marks'!B111)</f>
        <v/>
      </c>
      <c r="C108" s="283" t="str">
        <f>IF('Statement of Marks'!C111="","",'Statement of Marks'!C111)</f>
        <v/>
      </c>
      <c r="D108" s="430" t="str">
        <f>IF('Statement of Marks'!D111="","",'Statement of Marks'!D111)</f>
        <v/>
      </c>
      <c r="E108" s="431" t="str">
        <f>IF('Statement of Marks'!E111="","",'Statement of Marks'!E111)</f>
        <v/>
      </c>
      <c r="F108" s="431" t="str">
        <f>IF('Statement of Marks'!F111="","",'Statement of Marks'!F111)</f>
        <v/>
      </c>
      <c r="G108" s="431" t="str">
        <f>IF('Statement of Marks'!G111="","",'Statement of Marks'!G111)</f>
        <v/>
      </c>
      <c r="H108" s="432" t="str">
        <f>IF(B108="","",IF('Statement of Marks'!GY111="","",'Statement of Marks'!GY111))</f>
        <v/>
      </c>
      <c r="I108" s="286" t="str">
        <f>IF(B108="","",IF('Statement of Marks'!HB111="","",'Statement of Marks'!HB111))</f>
        <v/>
      </c>
      <c r="J108" s="433" t="str">
        <f>IF(B108="","",IF('Statement of Marks'!HC111="","",'Statement of Marks'!HC111))</f>
        <v/>
      </c>
      <c r="K108" s="295" t="str">
        <f>IF(B108="","",'Statement of Marks'!FJ111)</f>
        <v/>
      </c>
      <c r="L108" s="295" t="str">
        <f>IF(B108="","",'Statement of Marks'!FM111)</f>
        <v/>
      </c>
      <c r="M108" s="295" t="str">
        <f>IF(B108="","",'Statement of Marks'!FP111)</f>
        <v/>
      </c>
      <c r="N108" s="295" t="str">
        <f>IF(B108="","",'Statement of Marks'!FW111)</f>
        <v/>
      </c>
      <c r="O108" s="295" t="str">
        <f>IF(B108="","",'Statement of Marks'!GD111)</f>
        <v/>
      </c>
      <c r="P108" s="295" t="str">
        <f>IF(B108="","",'Statement of Marks'!GK111)</f>
        <v/>
      </c>
      <c r="Q108" s="295" t="str">
        <f>IF(B108="","",'Statement of Marks'!GR111)</f>
        <v/>
      </c>
      <c r="R108" s="295" t="str">
        <f>IF(B108="","",'Statement of Marks'!FF111)</f>
        <v/>
      </c>
      <c r="S108" s="434" t="str">
        <f>IFERROR(IF(B108="","",CONCATENATE(IF(AND('Marks Entry'!U111="A"),'Marks Entry'!$U$2,IF(AND('Marks Entry'!U111="B"),'Marks Entry'!$Y$2,IF(AND('Marks Entry'!U111="C"),'Marks Entry'!$AA$2,""))),", ",IF(AND('Marks Entry'!AC111="A"),'Marks Entry'!$AC$2,IF(AND('Marks Entry'!AC111="B"),'Marks Entry'!$AG$2,IF(AND('Marks Entry'!AC111="C"),'Marks Entry'!$AI$2,""))),", ",IF(AND('Marks Entry'!AK111="A"),'Marks Entry'!$AK$2,IF(AND('Marks Entry'!AK111="B"),'Marks Entry'!$AO$2,IF(AND('Marks Entry'!AK111="C"),'Marks Entry'!$AQ$2,""))),", ",IF(AND('Statement of Marks'!DD111=""),"",IF(AND('Statement of Marks'!DD111="A"),'Marks Entry'!$AS$2,IF(AND('Statement of Marks'!DD111="B"),'Marks Entry'!$AW$2,IF(AND('Statement of Marks'!DD111="C"),'Marks Entry'!$AY$2,"")))))),"")</f>
        <v/>
      </c>
      <c r="T108" s="435" t="str">
        <f>IF(COUNTIF(K108:R108,"F")&gt;0,"",CONCATENATE('Statement of Marks'!GU111,'Statement of Marks'!GW111))</f>
        <v xml:space="preserve">           </v>
      </c>
      <c r="BG108" s="17">
        <f>IFERROR(VLOOKUP(B108,'Statement of Marks'!$B$8:'Statement of Marks'!$HI$207,41,0),"")</f>
        <v>15</v>
      </c>
      <c r="BH108" s="17" t="str">
        <f>IFERROR(VLOOKUP(B108,'Statement of Marks'!$B$8:'Statement of Marks'!$HI$207,66,0),"")</f>
        <v/>
      </c>
      <c r="BI108" s="17">
        <f>IFERROR(VLOOKUP(B108,'Statement of Marks'!$B$8:'Statement of Marks'!$HI$207,91,0),"")</f>
        <v>60</v>
      </c>
      <c r="BJ108" s="17" t="str">
        <f>IFERROR(VLOOKUP(B108,'Statement of Marks'!$B$8:'Statement of Marks'!$HI$207,117,0),"")</f>
        <v/>
      </c>
    </row>
    <row r="109" spans="1:62" ht="24.95" customHeight="1">
      <c r="A109" s="283">
        <f>IF('Statement of Marks'!A112="","",'Statement of Marks'!A112)</f>
        <v>105</v>
      </c>
      <c r="B109" s="283" t="str">
        <f>IF('Statement of Marks'!B112="","",'Statement of Marks'!B112)</f>
        <v/>
      </c>
      <c r="C109" s="283" t="str">
        <f>IF('Statement of Marks'!C112="","",'Statement of Marks'!C112)</f>
        <v/>
      </c>
      <c r="D109" s="430" t="str">
        <f>IF('Statement of Marks'!D112="","",'Statement of Marks'!D112)</f>
        <v/>
      </c>
      <c r="E109" s="431" t="str">
        <f>IF('Statement of Marks'!E112="","",'Statement of Marks'!E112)</f>
        <v/>
      </c>
      <c r="F109" s="431" t="str">
        <f>IF('Statement of Marks'!F112="","",'Statement of Marks'!F112)</f>
        <v/>
      </c>
      <c r="G109" s="431" t="str">
        <f>IF('Statement of Marks'!G112="","",'Statement of Marks'!G112)</f>
        <v/>
      </c>
      <c r="H109" s="432" t="str">
        <f>IF(B109="","",IF('Statement of Marks'!GY112="","",'Statement of Marks'!GY112))</f>
        <v/>
      </c>
      <c r="I109" s="286" t="str">
        <f>IF(B109="","",IF('Statement of Marks'!HB112="","",'Statement of Marks'!HB112))</f>
        <v/>
      </c>
      <c r="J109" s="433" t="str">
        <f>IF(B109="","",IF('Statement of Marks'!HC112="","",'Statement of Marks'!HC112))</f>
        <v/>
      </c>
      <c r="K109" s="295" t="str">
        <f>IF(B109="","",'Statement of Marks'!FJ112)</f>
        <v/>
      </c>
      <c r="L109" s="295" t="str">
        <f>IF(B109="","",'Statement of Marks'!FM112)</f>
        <v/>
      </c>
      <c r="M109" s="295" t="str">
        <f>IF(B109="","",'Statement of Marks'!FP112)</f>
        <v/>
      </c>
      <c r="N109" s="295" t="str">
        <f>IF(B109="","",'Statement of Marks'!FW112)</f>
        <v/>
      </c>
      <c r="O109" s="295" t="str">
        <f>IF(B109="","",'Statement of Marks'!GD112)</f>
        <v/>
      </c>
      <c r="P109" s="295" t="str">
        <f>IF(B109="","",'Statement of Marks'!GK112)</f>
        <v/>
      </c>
      <c r="Q109" s="295" t="str">
        <f>IF(B109="","",'Statement of Marks'!GR112)</f>
        <v/>
      </c>
      <c r="R109" s="295" t="str">
        <f>IF(B109="","",'Statement of Marks'!FF112)</f>
        <v/>
      </c>
      <c r="S109" s="434" t="str">
        <f>IFERROR(IF(B109="","",CONCATENATE(IF(AND('Marks Entry'!U112="A"),'Marks Entry'!$U$2,IF(AND('Marks Entry'!U112="B"),'Marks Entry'!$Y$2,IF(AND('Marks Entry'!U112="C"),'Marks Entry'!$AA$2,""))),", ",IF(AND('Marks Entry'!AC112="A"),'Marks Entry'!$AC$2,IF(AND('Marks Entry'!AC112="B"),'Marks Entry'!$AG$2,IF(AND('Marks Entry'!AC112="C"),'Marks Entry'!$AI$2,""))),", ",IF(AND('Marks Entry'!AK112="A"),'Marks Entry'!$AK$2,IF(AND('Marks Entry'!AK112="B"),'Marks Entry'!$AO$2,IF(AND('Marks Entry'!AK112="C"),'Marks Entry'!$AQ$2,""))),", ",IF(AND('Statement of Marks'!DD112=""),"",IF(AND('Statement of Marks'!DD112="A"),'Marks Entry'!$AS$2,IF(AND('Statement of Marks'!DD112="B"),'Marks Entry'!$AW$2,IF(AND('Statement of Marks'!DD112="C"),'Marks Entry'!$AY$2,"")))))),"")</f>
        <v/>
      </c>
      <c r="T109" s="435" t="str">
        <f>IF(COUNTIF(K109:R109,"F")&gt;0,"",CONCATENATE('Statement of Marks'!GU112,'Statement of Marks'!GW112))</f>
        <v xml:space="preserve">           </v>
      </c>
      <c r="BG109" s="17">
        <f>IFERROR(VLOOKUP(B109,'Statement of Marks'!$B$8:'Statement of Marks'!$HI$207,41,0),"")</f>
        <v>15</v>
      </c>
      <c r="BH109" s="17" t="str">
        <f>IFERROR(VLOOKUP(B109,'Statement of Marks'!$B$8:'Statement of Marks'!$HI$207,66,0),"")</f>
        <v/>
      </c>
      <c r="BI109" s="17">
        <f>IFERROR(VLOOKUP(B109,'Statement of Marks'!$B$8:'Statement of Marks'!$HI$207,91,0),"")</f>
        <v>60</v>
      </c>
      <c r="BJ109" s="17" t="str">
        <f>IFERROR(VLOOKUP(B109,'Statement of Marks'!$B$8:'Statement of Marks'!$HI$207,117,0),"")</f>
        <v/>
      </c>
    </row>
    <row r="110" spans="1:62" ht="24.95" customHeight="1">
      <c r="A110" s="283">
        <f>IF('Statement of Marks'!A113="","",'Statement of Marks'!A113)</f>
        <v>106</v>
      </c>
      <c r="B110" s="283" t="str">
        <f>IF('Statement of Marks'!B113="","",'Statement of Marks'!B113)</f>
        <v/>
      </c>
      <c r="C110" s="283" t="str">
        <f>IF('Statement of Marks'!C113="","",'Statement of Marks'!C113)</f>
        <v/>
      </c>
      <c r="D110" s="430" t="str">
        <f>IF('Statement of Marks'!D113="","",'Statement of Marks'!D113)</f>
        <v/>
      </c>
      <c r="E110" s="431" t="str">
        <f>IF('Statement of Marks'!E113="","",'Statement of Marks'!E113)</f>
        <v/>
      </c>
      <c r="F110" s="431" t="str">
        <f>IF('Statement of Marks'!F113="","",'Statement of Marks'!F113)</f>
        <v/>
      </c>
      <c r="G110" s="431" t="str">
        <f>IF('Statement of Marks'!G113="","",'Statement of Marks'!G113)</f>
        <v/>
      </c>
      <c r="H110" s="432" t="str">
        <f>IF(B110="","",IF('Statement of Marks'!GY113="","",'Statement of Marks'!GY113))</f>
        <v/>
      </c>
      <c r="I110" s="286" t="str">
        <f>IF(B110="","",IF('Statement of Marks'!HB113="","",'Statement of Marks'!HB113))</f>
        <v/>
      </c>
      <c r="J110" s="433" t="str">
        <f>IF(B110="","",IF('Statement of Marks'!HC113="","",'Statement of Marks'!HC113))</f>
        <v/>
      </c>
      <c r="K110" s="295" t="str">
        <f>IF(B110="","",'Statement of Marks'!FJ113)</f>
        <v/>
      </c>
      <c r="L110" s="295" t="str">
        <f>IF(B110="","",'Statement of Marks'!FM113)</f>
        <v/>
      </c>
      <c r="M110" s="295" t="str">
        <f>IF(B110="","",'Statement of Marks'!FP113)</f>
        <v/>
      </c>
      <c r="N110" s="295" t="str">
        <f>IF(B110="","",'Statement of Marks'!FW113)</f>
        <v/>
      </c>
      <c r="O110" s="295" t="str">
        <f>IF(B110="","",'Statement of Marks'!GD113)</f>
        <v/>
      </c>
      <c r="P110" s="295" t="str">
        <f>IF(B110="","",'Statement of Marks'!GK113)</f>
        <v/>
      </c>
      <c r="Q110" s="295" t="str">
        <f>IF(B110="","",'Statement of Marks'!GR113)</f>
        <v/>
      </c>
      <c r="R110" s="295" t="str">
        <f>IF(B110="","",'Statement of Marks'!FF113)</f>
        <v/>
      </c>
      <c r="S110" s="434" t="str">
        <f>IFERROR(IF(B110="","",CONCATENATE(IF(AND('Marks Entry'!U113="A"),'Marks Entry'!$U$2,IF(AND('Marks Entry'!U113="B"),'Marks Entry'!$Y$2,IF(AND('Marks Entry'!U113="C"),'Marks Entry'!$AA$2,""))),", ",IF(AND('Marks Entry'!AC113="A"),'Marks Entry'!$AC$2,IF(AND('Marks Entry'!AC113="B"),'Marks Entry'!$AG$2,IF(AND('Marks Entry'!AC113="C"),'Marks Entry'!$AI$2,""))),", ",IF(AND('Marks Entry'!AK113="A"),'Marks Entry'!$AK$2,IF(AND('Marks Entry'!AK113="B"),'Marks Entry'!$AO$2,IF(AND('Marks Entry'!AK113="C"),'Marks Entry'!$AQ$2,""))),", ",IF(AND('Statement of Marks'!DD113=""),"",IF(AND('Statement of Marks'!DD113="A"),'Marks Entry'!$AS$2,IF(AND('Statement of Marks'!DD113="B"),'Marks Entry'!$AW$2,IF(AND('Statement of Marks'!DD113="C"),'Marks Entry'!$AY$2,"")))))),"")</f>
        <v/>
      </c>
      <c r="T110" s="435" t="str">
        <f>IF(COUNTIF(K110:R110,"F")&gt;0,"",CONCATENATE('Statement of Marks'!GU113,'Statement of Marks'!GW113))</f>
        <v xml:space="preserve">           </v>
      </c>
      <c r="BG110" s="17">
        <f>IFERROR(VLOOKUP(B110,'Statement of Marks'!$B$8:'Statement of Marks'!$HI$207,41,0),"")</f>
        <v>15</v>
      </c>
      <c r="BH110" s="17" t="str">
        <f>IFERROR(VLOOKUP(B110,'Statement of Marks'!$B$8:'Statement of Marks'!$HI$207,66,0),"")</f>
        <v/>
      </c>
      <c r="BI110" s="17">
        <f>IFERROR(VLOOKUP(B110,'Statement of Marks'!$B$8:'Statement of Marks'!$HI$207,91,0),"")</f>
        <v>60</v>
      </c>
      <c r="BJ110" s="17" t="str">
        <f>IFERROR(VLOOKUP(B110,'Statement of Marks'!$B$8:'Statement of Marks'!$HI$207,117,0),"")</f>
        <v/>
      </c>
    </row>
    <row r="111" spans="1:62" ht="24.95" customHeight="1">
      <c r="A111" s="283">
        <f>IF('Statement of Marks'!A114="","",'Statement of Marks'!A114)</f>
        <v>107</v>
      </c>
      <c r="B111" s="283" t="str">
        <f>IF('Statement of Marks'!B114="","",'Statement of Marks'!B114)</f>
        <v/>
      </c>
      <c r="C111" s="283" t="str">
        <f>IF('Statement of Marks'!C114="","",'Statement of Marks'!C114)</f>
        <v/>
      </c>
      <c r="D111" s="430" t="str">
        <f>IF('Statement of Marks'!D114="","",'Statement of Marks'!D114)</f>
        <v/>
      </c>
      <c r="E111" s="431" t="str">
        <f>IF('Statement of Marks'!E114="","",'Statement of Marks'!E114)</f>
        <v/>
      </c>
      <c r="F111" s="431" t="str">
        <f>IF('Statement of Marks'!F114="","",'Statement of Marks'!F114)</f>
        <v/>
      </c>
      <c r="G111" s="431" t="str">
        <f>IF('Statement of Marks'!G114="","",'Statement of Marks'!G114)</f>
        <v/>
      </c>
      <c r="H111" s="432" t="str">
        <f>IF(B111="","",IF('Statement of Marks'!GY114="","",'Statement of Marks'!GY114))</f>
        <v/>
      </c>
      <c r="I111" s="286" t="str">
        <f>IF(B111="","",IF('Statement of Marks'!HB114="","",'Statement of Marks'!HB114))</f>
        <v/>
      </c>
      <c r="J111" s="433" t="str">
        <f>IF(B111="","",IF('Statement of Marks'!HC114="","",'Statement of Marks'!HC114))</f>
        <v/>
      </c>
      <c r="K111" s="295" t="str">
        <f>IF(B111="","",'Statement of Marks'!FJ114)</f>
        <v/>
      </c>
      <c r="L111" s="295" t="str">
        <f>IF(B111="","",'Statement of Marks'!FM114)</f>
        <v/>
      </c>
      <c r="M111" s="295" t="str">
        <f>IF(B111="","",'Statement of Marks'!FP114)</f>
        <v/>
      </c>
      <c r="N111" s="295" t="str">
        <f>IF(B111="","",'Statement of Marks'!FW114)</f>
        <v/>
      </c>
      <c r="O111" s="295" t="str">
        <f>IF(B111="","",'Statement of Marks'!GD114)</f>
        <v/>
      </c>
      <c r="P111" s="295" t="str">
        <f>IF(B111="","",'Statement of Marks'!GK114)</f>
        <v/>
      </c>
      <c r="Q111" s="295" t="str">
        <f>IF(B111="","",'Statement of Marks'!GR114)</f>
        <v/>
      </c>
      <c r="R111" s="295" t="str">
        <f>IF(B111="","",'Statement of Marks'!FF114)</f>
        <v/>
      </c>
      <c r="S111" s="434" t="str">
        <f>IFERROR(IF(B111="","",CONCATENATE(IF(AND('Marks Entry'!U114="A"),'Marks Entry'!$U$2,IF(AND('Marks Entry'!U114="B"),'Marks Entry'!$Y$2,IF(AND('Marks Entry'!U114="C"),'Marks Entry'!$AA$2,""))),", ",IF(AND('Marks Entry'!AC114="A"),'Marks Entry'!$AC$2,IF(AND('Marks Entry'!AC114="B"),'Marks Entry'!$AG$2,IF(AND('Marks Entry'!AC114="C"),'Marks Entry'!$AI$2,""))),", ",IF(AND('Marks Entry'!AK114="A"),'Marks Entry'!$AK$2,IF(AND('Marks Entry'!AK114="B"),'Marks Entry'!$AO$2,IF(AND('Marks Entry'!AK114="C"),'Marks Entry'!$AQ$2,""))),", ",IF(AND('Statement of Marks'!DD114=""),"",IF(AND('Statement of Marks'!DD114="A"),'Marks Entry'!$AS$2,IF(AND('Statement of Marks'!DD114="B"),'Marks Entry'!$AW$2,IF(AND('Statement of Marks'!DD114="C"),'Marks Entry'!$AY$2,"")))))),"")</f>
        <v/>
      </c>
      <c r="T111" s="435" t="str">
        <f>IF(COUNTIF(K111:R111,"F")&gt;0,"",CONCATENATE('Statement of Marks'!GU114,'Statement of Marks'!GW114))</f>
        <v xml:space="preserve">           </v>
      </c>
      <c r="BG111" s="17">
        <f>IFERROR(VLOOKUP(B111,'Statement of Marks'!$B$8:'Statement of Marks'!$HI$207,41,0),"")</f>
        <v>15</v>
      </c>
      <c r="BH111" s="17" t="str">
        <f>IFERROR(VLOOKUP(B111,'Statement of Marks'!$B$8:'Statement of Marks'!$HI$207,66,0),"")</f>
        <v/>
      </c>
      <c r="BI111" s="17">
        <f>IFERROR(VLOOKUP(B111,'Statement of Marks'!$B$8:'Statement of Marks'!$HI$207,91,0),"")</f>
        <v>60</v>
      </c>
      <c r="BJ111" s="17" t="str">
        <f>IFERROR(VLOOKUP(B111,'Statement of Marks'!$B$8:'Statement of Marks'!$HI$207,117,0),"")</f>
        <v/>
      </c>
    </row>
    <row r="112" spans="1:62" ht="24.95" customHeight="1">
      <c r="A112" s="283">
        <f>IF('Statement of Marks'!A115="","",'Statement of Marks'!A115)</f>
        <v>108</v>
      </c>
      <c r="B112" s="283" t="str">
        <f>IF('Statement of Marks'!B115="","",'Statement of Marks'!B115)</f>
        <v/>
      </c>
      <c r="C112" s="283" t="str">
        <f>IF('Statement of Marks'!C115="","",'Statement of Marks'!C115)</f>
        <v/>
      </c>
      <c r="D112" s="430" t="str">
        <f>IF('Statement of Marks'!D115="","",'Statement of Marks'!D115)</f>
        <v/>
      </c>
      <c r="E112" s="431" t="str">
        <f>IF('Statement of Marks'!E115="","",'Statement of Marks'!E115)</f>
        <v/>
      </c>
      <c r="F112" s="431" t="str">
        <f>IF('Statement of Marks'!F115="","",'Statement of Marks'!F115)</f>
        <v/>
      </c>
      <c r="G112" s="431" t="str">
        <f>IF('Statement of Marks'!G115="","",'Statement of Marks'!G115)</f>
        <v/>
      </c>
      <c r="H112" s="432" t="str">
        <f>IF(B112="","",IF('Statement of Marks'!GY115="","",'Statement of Marks'!GY115))</f>
        <v/>
      </c>
      <c r="I112" s="286" t="str">
        <f>IF(B112="","",IF('Statement of Marks'!HB115="","",'Statement of Marks'!HB115))</f>
        <v/>
      </c>
      <c r="J112" s="433" t="str">
        <f>IF(B112="","",IF('Statement of Marks'!HC115="","",'Statement of Marks'!HC115))</f>
        <v/>
      </c>
      <c r="K112" s="295" t="str">
        <f>IF(B112="","",'Statement of Marks'!FJ115)</f>
        <v/>
      </c>
      <c r="L112" s="295" t="str">
        <f>IF(B112="","",'Statement of Marks'!FM115)</f>
        <v/>
      </c>
      <c r="M112" s="295" t="str">
        <f>IF(B112="","",'Statement of Marks'!FP115)</f>
        <v/>
      </c>
      <c r="N112" s="295" t="str">
        <f>IF(B112="","",'Statement of Marks'!FW115)</f>
        <v/>
      </c>
      <c r="O112" s="295" t="str">
        <f>IF(B112="","",'Statement of Marks'!GD115)</f>
        <v/>
      </c>
      <c r="P112" s="295" t="str">
        <f>IF(B112="","",'Statement of Marks'!GK115)</f>
        <v/>
      </c>
      <c r="Q112" s="295" t="str">
        <f>IF(B112="","",'Statement of Marks'!GR115)</f>
        <v/>
      </c>
      <c r="R112" s="295" t="str">
        <f>IF(B112="","",'Statement of Marks'!FF115)</f>
        <v/>
      </c>
      <c r="S112" s="434" t="str">
        <f>IFERROR(IF(B112="","",CONCATENATE(IF(AND('Marks Entry'!U115="A"),'Marks Entry'!$U$2,IF(AND('Marks Entry'!U115="B"),'Marks Entry'!$Y$2,IF(AND('Marks Entry'!U115="C"),'Marks Entry'!$AA$2,""))),", ",IF(AND('Marks Entry'!AC115="A"),'Marks Entry'!$AC$2,IF(AND('Marks Entry'!AC115="B"),'Marks Entry'!$AG$2,IF(AND('Marks Entry'!AC115="C"),'Marks Entry'!$AI$2,""))),", ",IF(AND('Marks Entry'!AK115="A"),'Marks Entry'!$AK$2,IF(AND('Marks Entry'!AK115="B"),'Marks Entry'!$AO$2,IF(AND('Marks Entry'!AK115="C"),'Marks Entry'!$AQ$2,""))),", ",IF(AND('Statement of Marks'!DD115=""),"",IF(AND('Statement of Marks'!DD115="A"),'Marks Entry'!$AS$2,IF(AND('Statement of Marks'!DD115="B"),'Marks Entry'!$AW$2,IF(AND('Statement of Marks'!DD115="C"),'Marks Entry'!$AY$2,"")))))),"")</f>
        <v/>
      </c>
      <c r="T112" s="435" t="str">
        <f>IF(COUNTIF(K112:R112,"F")&gt;0,"",CONCATENATE('Statement of Marks'!GU115,'Statement of Marks'!GW115))</f>
        <v xml:space="preserve">           </v>
      </c>
      <c r="BG112" s="17">
        <f>IFERROR(VLOOKUP(B112,'Statement of Marks'!$B$8:'Statement of Marks'!$HI$207,41,0),"")</f>
        <v>15</v>
      </c>
      <c r="BH112" s="17" t="str">
        <f>IFERROR(VLOOKUP(B112,'Statement of Marks'!$B$8:'Statement of Marks'!$HI$207,66,0),"")</f>
        <v/>
      </c>
      <c r="BI112" s="17">
        <f>IFERROR(VLOOKUP(B112,'Statement of Marks'!$B$8:'Statement of Marks'!$HI$207,91,0),"")</f>
        <v>60</v>
      </c>
      <c r="BJ112" s="17" t="str">
        <f>IFERROR(VLOOKUP(B112,'Statement of Marks'!$B$8:'Statement of Marks'!$HI$207,117,0),"")</f>
        <v/>
      </c>
    </row>
    <row r="113" spans="1:62" ht="24.95" customHeight="1">
      <c r="A113" s="283">
        <f>IF('Statement of Marks'!A116="","",'Statement of Marks'!A116)</f>
        <v>109</v>
      </c>
      <c r="B113" s="283" t="str">
        <f>IF('Statement of Marks'!B116="","",'Statement of Marks'!B116)</f>
        <v/>
      </c>
      <c r="C113" s="283" t="str">
        <f>IF('Statement of Marks'!C116="","",'Statement of Marks'!C116)</f>
        <v/>
      </c>
      <c r="D113" s="430" t="str">
        <f>IF('Statement of Marks'!D116="","",'Statement of Marks'!D116)</f>
        <v/>
      </c>
      <c r="E113" s="431" t="str">
        <f>IF('Statement of Marks'!E116="","",'Statement of Marks'!E116)</f>
        <v/>
      </c>
      <c r="F113" s="431" t="str">
        <f>IF('Statement of Marks'!F116="","",'Statement of Marks'!F116)</f>
        <v/>
      </c>
      <c r="G113" s="431" t="str">
        <f>IF('Statement of Marks'!G116="","",'Statement of Marks'!G116)</f>
        <v/>
      </c>
      <c r="H113" s="432" t="str">
        <f>IF(B113="","",IF('Statement of Marks'!GY116="","",'Statement of Marks'!GY116))</f>
        <v/>
      </c>
      <c r="I113" s="286" t="str">
        <f>IF(B113="","",IF('Statement of Marks'!HB116="","",'Statement of Marks'!HB116))</f>
        <v/>
      </c>
      <c r="J113" s="433" t="str">
        <f>IF(B113="","",IF('Statement of Marks'!HC116="","",'Statement of Marks'!HC116))</f>
        <v/>
      </c>
      <c r="K113" s="295" t="str">
        <f>IF(B113="","",'Statement of Marks'!FJ116)</f>
        <v/>
      </c>
      <c r="L113" s="295" t="str">
        <f>IF(B113="","",'Statement of Marks'!FM116)</f>
        <v/>
      </c>
      <c r="M113" s="295" t="str">
        <f>IF(B113="","",'Statement of Marks'!FP116)</f>
        <v/>
      </c>
      <c r="N113" s="295" t="str">
        <f>IF(B113="","",'Statement of Marks'!FW116)</f>
        <v/>
      </c>
      <c r="O113" s="295" t="str">
        <f>IF(B113="","",'Statement of Marks'!GD116)</f>
        <v/>
      </c>
      <c r="P113" s="295" t="str">
        <f>IF(B113="","",'Statement of Marks'!GK116)</f>
        <v/>
      </c>
      <c r="Q113" s="295" t="str">
        <f>IF(B113="","",'Statement of Marks'!GR116)</f>
        <v/>
      </c>
      <c r="R113" s="295" t="str">
        <f>IF(B113="","",'Statement of Marks'!FF116)</f>
        <v/>
      </c>
      <c r="S113" s="434" t="str">
        <f>IFERROR(IF(B113="","",CONCATENATE(IF(AND('Marks Entry'!U116="A"),'Marks Entry'!$U$2,IF(AND('Marks Entry'!U116="B"),'Marks Entry'!$Y$2,IF(AND('Marks Entry'!U116="C"),'Marks Entry'!$AA$2,""))),", ",IF(AND('Marks Entry'!AC116="A"),'Marks Entry'!$AC$2,IF(AND('Marks Entry'!AC116="B"),'Marks Entry'!$AG$2,IF(AND('Marks Entry'!AC116="C"),'Marks Entry'!$AI$2,""))),", ",IF(AND('Marks Entry'!AK116="A"),'Marks Entry'!$AK$2,IF(AND('Marks Entry'!AK116="B"),'Marks Entry'!$AO$2,IF(AND('Marks Entry'!AK116="C"),'Marks Entry'!$AQ$2,""))),", ",IF(AND('Statement of Marks'!DD116=""),"",IF(AND('Statement of Marks'!DD116="A"),'Marks Entry'!$AS$2,IF(AND('Statement of Marks'!DD116="B"),'Marks Entry'!$AW$2,IF(AND('Statement of Marks'!DD116="C"),'Marks Entry'!$AY$2,"")))))),"")</f>
        <v/>
      </c>
      <c r="T113" s="435" t="str">
        <f>IF(COUNTIF(K113:R113,"F")&gt;0,"",CONCATENATE('Statement of Marks'!GU116,'Statement of Marks'!GW116))</f>
        <v xml:space="preserve">           </v>
      </c>
      <c r="BG113" s="17">
        <f>IFERROR(VLOOKUP(B113,'Statement of Marks'!$B$8:'Statement of Marks'!$HI$207,41,0),"")</f>
        <v>15</v>
      </c>
      <c r="BH113" s="17" t="str">
        <f>IFERROR(VLOOKUP(B113,'Statement of Marks'!$B$8:'Statement of Marks'!$HI$207,66,0),"")</f>
        <v/>
      </c>
      <c r="BI113" s="17">
        <f>IFERROR(VLOOKUP(B113,'Statement of Marks'!$B$8:'Statement of Marks'!$HI$207,91,0),"")</f>
        <v>60</v>
      </c>
      <c r="BJ113" s="17" t="str">
        <f>IFERROR(VLOOKUP(B113,'Statement of Marks'!$B$8:'Statement of Marks'!$HI$207,117,0),"")</f>
        <v/>
      </c>
    </row>
    <row r="114" spans="1:62" ht="24.95" customHeight="1">
      <c r="A114" s="283">
        <f>IF('Statement of Marks'!A117="","",'Statement of Marks'!A117)</f>
        <v>110</v>
      </c>
      <c r="B114" s="283" t="str">
        <f>IF('Statement of Marks'!B117="","",'Statement of Marks'!B117)</f>
        <v/>
      </c>
      <c r="C114" s="283" t="str">
        <f>IF('Statement of Marks'!C117="","",'Statement of Marks'!C117)</f>
        <v/>
      </c>
      <c r="D114" s="430" t="str">
        <f>IF('Statement of Marks'!D117="","",'Statement of Marks'!D117)</f>
        <v/>
      </c>
      <c r="E114" s="431" t="str">
        <f>IF('Statement of Marks'!E117="","",'Statement of Marks'!E117)</f>
        <v/>
      </c>
      <c r="F114" s="431" t="str">
        <f>IF('Statement of Marks'!F117="","",'Statement of Marks'!F117)</f>
        <v/>
      </c>
      <c r="G114" s="431" t="str">
        <f>IF('Statement of Marks'!G117="","",'Statement of Marks'!G117)</f>
        <v/>
      </c>
      <c r="H114" s="432" t="str">
        <f>IF(B114="","",IF('Statement of Marks'!GY117="","",'Statement of Marks'!GY117))</f>
        <v/>
      </c>
      <c r="I114" s="286" t="str">
        <f>IF(B114="","",IF('Statement of Marks'!HB117="","",'Statement of Marks'!HB117))</f>
        <v/>
      </c>
      <c r="J114" s="433" t="str">
        <f>IF(B114="","",IF('Statement of Marks'!HC117="","",'Statement of Marks'!HC117))</f>
        <v/>
      </c>
      <c r="K114" s="295" t="str">
        <f>IF(B114="","",'Statement of Marks'!FJ117)</f>
        <v/>
      </c>
      <c r="L114" s="295" t="str">
        <f>IF(B114="","",'Statement of Marks'!FM117)</f>
        <v/>
      </c>
      <c r="M114" s="295" t="str">
        <f>IF(B114="","",'Statement of Marks'!FP117)</f>
        <v/>
      </c>
      <c r="N114" s="295" t="str">
        <f>IF(B114="","",'Statement of Marks'!FW117)</f>
        <v/>
      </c>
      <c r="O114" s="295" t="str">
        <f>IF(B114="","",'Statement of Marks'!GD117)</f>
        <v/>
      </c>
      <c r="P114" s="295" t="str">
        <f>IF(B114="","",'Statement of Marks'!GK117)</f>
        <v/>
      </c>
      <c r="Q114" s="295" t="str">
        <f>IF(B114="","",'Statement of Marks'!GR117)</f>
        <v/>
      </c>
      <c r="R114" s="295" t="str">
        <f>IF(B114="","",'Statement of Marks'!FF117)</f>
        <v/>
      </c>
      <c r="S114" s="434" t="str">
        <f>IFERROR(IF(B114="","",CONCATENATE(IF(AND('Marks Entry'!U117="A"),'Marks Entry'!$U$2,IF(AND('Marks Entry'!U117="B"),'Marks Entry'!$Y$2,IF(AND('Marks Entry'!U117="C"),'Marks Entry'!$AA$2,""))),", ",IF(AND('Marks Entry'!AC117="A"),'Marks Entry'!$AC$2,IF(AND('Marks Entry'!AC117="B"),'Marks Entry'!$AG$2,IF(AND('Marks Entry'!AC117="C"),'Marks Entry'!$AI$2,""))),", ",IF(AND('Marks Entry'!AK117="A"),'Marks Entry'!$AK$2,IF(AND('Marks Entry'!AK117="B"),'Marks Entry'!$AO$2,IF(AND('Marks Entry'!AK117="C"),'Marks Entry'!$AQ$2,""))),", ",IF(AND('Statement of Marks'!DD117=""),"",IF(AND('Statement of Marks'!DD117="A"),'Marks Entry'!$AS$2,IF(AND('Statement of Marks'!DD117="B"),'Marks Entry'!$AW$2,IF(AND('Statement of Marks'!DD117="C"),'Marks Entry'!$AY$2,"")))))),"")</f>
        <v/>
      </c>
      <c r="T114" s="435" t="str">
        <f>IF(COUNTIF(K114:R114,"F")&gt;0,"",CONCATENATE('Statement of Marks'!GU117,'Statement of Marks'!GW117))</f>
        <v xml:space="preserve">           </v>
      </c>
      <c r="BG114" s="17">
        <f>IFERROR(VLOOKUP(B114,'Statement of Marks'!$B$8:'Statement of Marks'!$HI$207,41,0),"")</f>
        <v>15</v>
      </c>
      <c r="BH114" s="17" t="str">
        <f>IFERROR(VLOOKUP(B114,'Statement of Marks'!$B$8:'Statement of Marks'!$HI$207,66,0),"")</f>
        <v/>
      </c>
      <c r="BI114" s="17">
        <f>IFERROR(VLOOKUP(B114,'Statement of Marks'!$B$8:'Statement of Marks'!$HI$207,91,0),"")</f>
        <v>60</v>
      </c>
      <c r="BJ114" s="17" t="str">
        <f>IFERROR(VLOOKUP(B114,'Statement of Marks'!$B$8:'Statement of Marks'!$HI$207,117,0),"")</f>
        <v/>
      </c>
    </row>
    <row r="115" spans="1:62" ht="24.95" customHeight="1">
      <c r="A115" s="283">
        <f>IF('Statement of Marks'!A118="","",'Statement of Marks'!A118)</f>
        <v>111</v>
      </c>
      <c r="B115" s="283" t="str">
        <f>IF('Statement of Marks'!B118="","",'Statement of Marks'!B118)</f>
        <v/>
      </c>
      <c r="C115" s="283" t="str">
        <f>IF('Statement of Marks'!C118="","",'Statement of Marks'!C118)</f>
        <v/>
      </c>
      <c r="D115" s="430" t="str">
        <f>IF('Statement of Marks'!D118="","",'Statement of Marks'!D118)</f>
        <v/>
      </c>
      <c r="E115" s="431" t="str">
        <f>IF('Statement of Marks'!E118="","",'Statement of Marks'!E118)</f>
        <v/>
      </c>
      <c r="F115" s="431" t="str">
        <f>IF('Statement of Marks'!F118="","",'Statement of Marks'!F118)</f>
        <v/>
      </c>
      <c r="G115" s="431" t="str">
        <f>IF('Statement of Marks'!G118="","",'Statement of Marks'!G118)</f>
        <v/>
      </c>
      <c r="H115" s="432" t="str">
        <f>IF(B115="","",IF('Statement of Marks'!GY118="","",'Statement of Marks'!GY118))</f>
        <v/>
      </c>
      <c r="I115" s="286" t="str">
        <f>IF(B115="","",IF('Statement of Marks'!HB118="","",'Statement of Marks'!HB118))</f>
        <v/>
      </c>
      <c r="J115" s="433" t="str">
        <f>IF(B115="","",IF('Statement of Marks'!HC118="","",'Statement of Marks'!HC118))</f>
        <v/>
      </c>
      <c r="K115" s="295" t="str">
        <f>IF(B115="","",'Statement of Marks'!FJ118)</f>
        <v/>
      </c>
      <c r="L115" s="295" t="str">
        <f>IF(B115="","",'Statement of Marks'!FM118)</f>
        <v/>
      </c>
      <c r="M115" s="295" t="str">
        <f>IF(B115="","",'Statement of Marks'!FP118)</f>
        <v/>
      </c>
      <c r="N115" s="295" t="str">
        <f>IF(B115="","",'Statement of Marks'!FW118)</f>
        <v/>
      </c>
      <c r="O115" s="295" t="str">
        <f>IF(B115="","",'Statement of Marks'!GD118)</f>
        <v/>
      </c>
      <c r="P115" s="295" t="str">
        <f>IF(B115="","",'Statement of Marks'!GK118)</f>
        <v/>
      </c>
      <c r="Q115" s="295" t="str">
        <f>IF(B115="","",'Statement of Marks'!GR118)</f>
        <v/>
      </c>
      <c r="R115" s="295" t="str">
        <f>IF(B115="","",'Statement of Marks'!FF118)</f>
        <v/>
      </c>
      <c r="S115" s="434" t="str">
        <f>IFERROR(IF(B115="","",CONCATENATE(IF(AND('Marks Entry'!U118="A"),'Marks Entry'!$U$2,IF(AND('Marks Entry'!U118="B"),'Marks Entry'!$Y$2,IF(AND('Marks Entry'!U118="C"),'Marks Entry'!$AA$2,""))),", ",IF(AND('Marks Entry'!AC118="A"),'Marks Entry'!$AC$2,IF(AND('Marks Entry'!AC118="B"),'Marks Entry'!$AG$2,IF(AND('Marks Entry'!AC118="C"),'Marks Entry'!$AI$2,""))),", ",IF(AND('Marks Entry'!AK118="A"),'Marks Entry'!$AK$2,IF(AND('Marks Entry'!AK118="B"),'Marks Entry'!$AO$2,IF(AND('Marks Entry'!AK118="C"),'Marks Entry'!$AQ$2,""))),", ",IF(AND('Statement of Marks'!DD118=""),"",IF(AND('Statement of Marks'!DD118="A"),'Marks Entry'!$AS$2,IF(AND('Statement of Marks'!DD118="B"),'Marks Entry'!$AW$2,IF(AND('Statement of Marks'!DD118="C"),'Marks Entry'!$AY$2,"")))))),"")</f>
        <v/>
      </c>
      <c r="T115" s="435" t="str">
        <f>IF(COUNTIF(K115:R115,"F")&gt;0,"",CONCATENATE('Statement of Marks'!GU118,'Statement of Marks'!GW118))</f>
        <v xml:space="preserve">           </v>
      </c>
      <c r="BG115" s="17">
        <f>IFERROR(VLOOKUP(B115,'Statement of Marks'!$B$8:'Statement of Marks'!$HI$207,41,0),"")</f>
        <v>15</v>
      </c>
      <c r="BH115" s="17" t="str">
        <f>IFERROR(VLOOKUP(B115,'Statement of Marks'!$B$8:'Statement of Marks'!$HI$207,66,0),"")</f>
        <v/>
      </c>
      <c r="BI115" s="17">
        <f>IFERROR(VLOOKUP(B115,'Statement of Marks'!$B$8:'Statement of Marks'!$HI$207,91,0),"")</f>
        <v>60</v>
      </c>
      <c r="BJ115" s="17" t="str">
        <f>IFERROR(VLOOKUP(B115,'Statement of Marks'!$B$8:'Statement of Marks'!$HI$207,117,0),"")</f>
        <v/>
      </c>
    </row>
    <row r="116" spans="1:62" ht="24.95" customHeight="1">
      <c r="A116" s="283">
        <f>IF('Statement of Marks'!A119="","",'Statement of Marks'!A119)</f>
        <v>112</v>
      </c>
      <c r="B116" s="283" t="str">
        <f>IF('Statement of Marks'!B119="","",'Statement of Marks'!B119)</f>
        <v/>
      </c>
      <c r="C116" s="283" t="str">
        <f>IF('Statement of Marks'!C119="","",'Statement of Marks'!C119)</f>
        <v/>
      </c>
      <c r="D116" s="430" t="str">
        <f>IF('Statement of Marks'!D119="","",'Statement of Marks'!D119)</f>
        <v/>
      </c>
      <c r="E116" s="431" t="str">
        <f>IF('Statement of Marks'!E119="","",'Statement of Marks'!E119)</f>
        <v/>
      </c>
      <c r="F116" s="431" t="str">
        <f>IF('Statement of Marks'!F119="","",'Statement of Marks'!F119)</f>
        <v/>
      </c>
      <c r="G116" s="431" t="str">
        <f>IF('Statement of Marks'!G119="","",'Statement of Marks'!G119)</f>
        <v/>
      </c>
      <c r="H116" s="432" t="str">
        <f>IF(B116="","",IF('Statement of Marks'!GY119="","",'Statement of Marks'!GY119))</f>
        <v/>
      </c>
      <c r="I116" s="286" t="str">
        <f>IF(B116="","",IF('Statement of Marks'!HB119="","",'Statement of Marks'!HB119))</f>
        <v/>
      </c>
      <c r="J116" s="433" t="str">
        <f>IF(B116="","",IF('Statement of Marks'!HC119="","",'Statement of Marks'!HC119))</f>
        <v/>
      </c>
      <c r="K116" s="295" t="str">
        <f>IF(B116="","",'Statement of Marks'!FJ119)</f>
        <v/>
      </c>
      <c r="L116" s="295" t="str">
        <f>IF(B116="","",'Statement of Marks'!FM119)</f>
        <v/>
      </c>
      <c r="M116" s="295" t="str">
        <f>IF(B116="","",'Statement of Marks'!FP119)</f>
        <v/>
      </c>
      <c r="N116" s="295" t="str">
        <f>IF(B116="","",'Statement of Marks'!FW119)</f>
        <v/>
      </c>
      <c r="O116" s="295" t="str">
        <f>IF(B116="","",'Statement of Marks'!GD119)</f>
        <v/>
      </c>
      <c r="P116" s="295" t="str">
        <f>IF(B116="","",'Statement of Marks'!GK119)</f>
        <v/>
      </c>
      <c r="Q116" s="295" t="str">
        <f>IF(B116="","",'Statement of Marks'!GR119)</f>
        <v/>
      </c>
      <c r="R116" s="295" t="str">
        <f>IF(B116="","",'Statement of Marks'!FF119)</f>
        <v/>
      </c>
      <c r="S116" s="434" t="str">
        <f>IFERROR(IF(B116="","",CONCATENATE(IF(AND('Marks Entry'!U119="A"),'Marks Entry'!$U$2,IF(AND('Marks Entry'!U119="B"),'Marks Entry'!$Y$2,IF(AND('Marks Entry'!U119="C"),'Marks Entry'!$AA$2,""))),", ",IF(AND('Marks Entry'!AC119="A"),'Marks Entry'!$AC$2,IF(AND('Marks Entry'!AC119="B"),'Marks Entry'!$AG$2,IF(AND('Marks Entry'!AC119="C"),'Marks Entry'!$AI$2,""))),", ",IF(AND('Marks Entry'!AK119="A"),'Marks Entry'!$AK$2,IF(AND('Marks Entry'!AK119="B"),'Marks Entry'!$AO$2,IF(AND('Marks Entry'!AK119="C"),'Marks Entry'!$AQ$2,""))),", ",IF(AND('Statement of Marks'!DD119=""),"",IF(AND('Statement of Marks'!DD119="A"),'Marks Entry'!$AS$2,IF(AND('Statement of Marks'!DD119="B"),'Marks Entry'!$AW$2,IF(AND('Statement of Marks'!DD119="C"),'Marks Entry'!$AY$2,"")))))),"")</f>
        <v/>
      </c>
      <c r="T116" s="435" t="str">
        <f>IF(COUNTIF(K116:R116,"F")&gt;0,"",CONCATENATE('Statement of Marks'!GU119,'Statement of Marks'!GW119))</f>
        <v xml:space="preserve">           </v>
      </c>
      <c r="BG116" s="17">
        <f>IFERROR(VLOOKUP(B116,'Statement of Marks'!$B$8:'Statement of Marks'!$HI$207,41,0),"")</f>
        <v>15</v>
      </c>
      <c r="BH116" s="17" t="str">
        <f>IFERROR(VLOOKUP(B116,'Statement of Marks'!$B$8:'Statement of Marks'!$HI$207,66,0),"")</f>
        <v/>
      </c>
      <c r="BI116" s="17">
        <f>IFERROR(VLOOKUP(B116,'Statement of Marks'!$B$8:'Statement of Marks'!$HI$207,91,0),"")</f>
        <v>60</v>
      </c>
      <c r="BJ116" s="17" t="str">
        <f>IFERROR(VLOOKUP(B116,'Statement of Marks'!$B$8:'Statement of Marks'!$HI$207,117,0),"")</f>
        <v/>
      </c>
    </row>
    <row r="117" spans="1:62" ht="24.95" customHeight="1">
      <c r="A117" s="283">
        <f>IF('Statement of Marks'!A120="","",'Statement of Marks'!A120)</f>
        <v>113</v>
      </c>
      <c r="B117" s="283" t="str">
        <f>IF('Statement of Marks'!B120="","",'Statement of Marks'!B120)</f>
        <v/>
      </c>
      <c r="C117" s="283" t="str">
        <f>IF('Statement of Marks'!C120="","",'Statement of Marks'!C120)</f>
        <v/>
      </c>
      <c r="D117" s="430" t="str">
        <f>IF('Statement of Marks'!D120="","",'Statement of Marks'!D120)</f>
        <v/>
      </c>
      <c r="E117" s="431" t="str">
        <f>IF('Statement of Marks'!E120="","",'Statement of Marks'!E120)</f>
        <v/>
      </c>
      <c r="F117" s="431" t="str">
        <f>IF('Statement of Marks'!F120="","",'Statement of Marks'!F120)</f>
        <v/>
      </c>
      <c r="G117" s="431" t="str">
        <f>IF('Statement of Marks'!G120="","",'Statement of Marks'!G120)</f>
        <v/>
      </c>
      <c r="H117" s="432" t="str">
        <f>IF(B117="","",IF('Statement of Marks'!GY120="","",'Statement of Marks'!GY120))</f>
        <v/>
      </c>
      <c r="I117" s="286" t="str">
        <f>IF(B117="","",IF('Statement of Marks'!HB120="","",'Statement of Marks'!HB120))</f>
        <v/>
      </c>
      <c r="J117" s="433" t="str">
        <f>IF(B117="","",IF('Statement of Marks'!HC120="","",'Statement of Marks'!HC120))</f>
        <v/>
      </c>
      <c r="K117" s="295" t="str">
        <f>IF(B117="","",'Statement of Marks'!FJ120)</f>
        <v/>
      </c>
      <c r="L117" s="295" t="str">
        <f>IF(B117="","",'Statement of Marks'!FM120)</f>
        <v/>
      </c>
      <c r="M117" s="295" t="str">
        <f>IF(B117="","",'Statement of Marks'!FP120)</f>
        <v/>
      </c>
      <c r="N117" s="295" t="str">
        <f>IF(B117="","",'Statement of Marks'!FW120)</f>
        <v/>
      </c>
      <c r="O117" s="295" t="str">
        <f>IF(B117="","",'Statement of Marks'!GD120)</f>
        <v/>
      </c>
      <c r="P117" s="295" t="str">
        <f>IF(B117="","",'Statement of Marks'!GK120)</f>
        <v/>
      </c>
      <c r="Q117" s="295" t="str">
        <f>IF(B117="","",'Statement of Marks'!GR120)</f>
        <v/>
      </c>
      <c r="R117" s="295" t="str">
        <f>IF(B117="","",'Statement of Marks'!FF120)</f>
        <v/>
      </c>
      <c r="S117" s="434" t="str">
        <f>IFERROR(IF(B117="","",CONCATENATE(IF(AND('Marks Entry'!U120="A"),'Marks Entry'!$U$2,IF(AND('Marks Entry'!U120="B"),'Marks Entry'!$Y$2,IF(AND('Marks Entry'!U120="C"),'Marks Entry'!$AA$2,""))),", ",IF(AND('Marks Entry'!AC120="A"),'Marks Entry'!$AC$2,IF(AND('Marks Entry'!AC120="B"),'Marks Entry'!$AG$2,IF(AND('Marks Entry'!AC120="C"),'Marks Entry'!$AI$2,""))),", ",IF(AND('Marks Entry'!AK120="A"),'Marks Entry'!$AK$2,IF(AND('Marks Entry'!AK120="B"),'Marks Entry'!$AO$2,IF(AND('Marks Entry'!AK120="C"),'Marks Entry'!$AQ$2,""))),", ",IF(AND('Statement of Marks'!DD120=""),"",IF(AND('Statement of Marks'!DD120="A"),'Marks Entry'!$AS$2,IF(AND('Statement of Marks'!DD120="B"),'Marks Entry'!$AW$2,IF(AND('Statement of Marks'!DD120="C"),'Marks Entry'!$AY$2,"")))))),"")</f>
        <v/>
      </c>
      <c r="T117" s="435" t="str">
        <f>IF(COUNTIF(K117:R117,"F")&gt;0,"",CONCATENATE('Statement of Marks'!GU120,'Statement of Marks'!GW120))</f>
        <v xml:space="preserve">           </v>
      </c>
      <c r="BG117" s="17">
        <f>IFERROR(VLOOKUP(B117,'Statement of Marks'!$B$8:'Statement of Marks'!$HI$207,41,0),"")</f>
        <v>15</v>
      </c>
      <c r="BH117" s="17" t="str">
        <f>IFERROR(VLOOKUP(B117,'Statement of Marks'!$B$8:'Statement of Marks'!$HI$207,66,0),"")</f>
        <v/>
      </c>
      <c r="BI117" s="17">
        <f>IFERROR(VLOOKUP(B117,'Statement of Marks'!$B$8:'Statement of Marks'!$HI$207,91,0),"")</f>
        <v>60</v>
      </c>
      <c r="BJ117" s="17" t="str">
        <f>IFERROR(VLOOKUP(B117,'Statement of Marks'!$B$8:'Statement of Marks'!$HI$207,117,0),"")</f>
        <v/>
      </c>
    </row>
    <row r="118" spans="1:62" ht="24.95" customHeight="1">
      <c r="A118" s="283">
        <f>IF('Statement of Marks'!A121="","",'Statement of Marks'!A121)</f>
        <v>114</v>
      </c>
      <c r="B118" s="283" t="str">
        <f>IF('Statement of Marks'!B121="","",'Statement of Marks'!B121)</f>
        <v/>
      </c>
      <c r="C118" s="283" t="str">
        <f>IF('Statement of Marks'!C121="","",'Statement of Marks'!C121)</f>
        <v/>
      </c>
      <c r="D118" s="430" t="str">
        <f>IF('Statement of Marks'!D121="","",'Statement of Marks'!D121)</f>
        <v/>
      </c>
      <c r="E118" s="431" t="str">
        <f>IF('Statement of Marks'!E121="","",'Statement of Marks'!E121)</f>
        <v/>
      </c>
      <c r="F118" s="431" t="str">
        <f>IF('Statement of Marks'!F121="","",'Statement of Marks'!F121)</f>
        <v/>
      </c>
      <c r="G118" s="431" t="str">
        <f>IF('Statement of Marks'!G121="","",'Statement of Marks'!G121)</f>
        <v/>
      </c>
      <c r="H118" s="432" t="str">
        <f>IF(B118="","",IF('Statement of Marks'!GY121="","",'Statement of Marks'!GY121))</f>
        <v/>
      </c>
      <c r="I118" s="286" t="str">
        <f>IF(B118="","",IF('Statement of Marks'!HB121="","",'Statement of Marks'!HB121))</f>
        <v/>
      </c>
      <c r="J118" s="433" t="str">
        <f>IF(B118="","",IF('Statement of Marks'!HC121="","",'Statement of Marks'!HC121))</f>
        <v/>
      </c>
      <c r="K118" s="295" t="str">
        <f>IF(B118="","",'Statement of Marks'!FJ121)</f>
        <v/>
      </c>
      <c r="L118" s="295" t="str">
        <f>IF(B118="","",'Statement of Marks'!FM121)</f>
        <v/>
      </c>
      <c r="M118" s="295" t="str">
        <f>IF(B118="","",'Statement of Marks'!FP121)</f>
        <v/>
      </c>
      <c r="N118" s="295" t="str">
        <f>IF(B118="","",'Statement of Marks'!FW121)</f>
        <v/>
      </c>
      <c r="O118" s="295" t="str">
        <f>IF(B118="","",'Statement of Marks'!GD121)</f>
        <v/>
      </c>
      <c r="P118" s="295" t="str">
        <f>IF(B118="","",'Statement of Marks'!GK121)</f>
        <v/>
      </c>
      <c r="Q118" s="295" t="str">
        <f>IF(B118="","",'Statement of Marks'!GR121)</f>
        <v/>
      </c>
      <c r="R118" s="295" t="str">
        <f>IF(B118="","",'Statement of Marks'!FF121)</f>
        <v/>
      </c>
      <c r="S118" s="434" t="str">
        <f>IFERROR(IF(B118="","",CONCATENATE(IF(AND('Marks Entry'!U121="A"),'Marks Entry'!$U$2,IF(AND('Marks Entry'!U121="B"),'Marks Entry'!$Y$2,IF(AND('Marks Entry'!U121="C"),'Marks Entry'!$AA$2,""))),", ",IF(AND('Marks Entry'!AC121="A"),'Marks Entry'!$AC$2,IF(AND('Marks Entry'!AC121="B"),'Marks Entry'!$AG$2,IF(AND('Marks Entry'!AC121="C"),'Marks Entry'!$AI$2,""))),", ",IF(AND('Marks Entry'!AK121="A"),'Marks Entry'!$AK$2,IF(AND('Marks Entry'!AK121="B"),'Marks Entry'!$AO$2,IF(AND('Marks Entry'!AK121="C"),'Marks Entry'!$AQ$2,""))),", ",IF(AND('Statement of Marks'!DD121=""),"",IF(AND('Statement of Marks'!DD121="A"),'Marks Entry'!$AS$2,IF(AND('Statement of Marks'!DD121="B"),'Marks Entry'!$AW$2,IF(AND('Statement of Marks'!DD121="C"),'Marks Entry'!$AY$2,"")))))),"")</f>
        <v/>
      </c>
      <c r="T118" s="435" t="str">
        <f>IF(COUNTIF(K118:R118,"F")&gt;0,"",CONCATENATE('Statement of Marks'!GU121,'Statement of Marks'!GW121))</f>
        <v xml:space="preserve">           </v>
      </c>
      <c r="BG118" s="17">
        <f>IFERROR(VLOOKUP(B118,'Statement of Marks'!$B$8:'Statement of Marks'!$HI$207,41,0),"")</f>
        <v>15</v>
      </c>
      <c r="BH118" s="17" t="str">
        <f>IFERROR(VLOOKUP(B118,'Statement of Marks'!$B$8:'Statement of Marks'!$HI$207,66,0),"")</f>
        <v/>
      </c>
      <c r="BI118" s="17">
        <f>IFERROR(VLOOKUP(B118,'Statement of Marks'!$B$8:'Statement of Marks'!$HI$207,91,0),"")</f>
        <v>60</v>
      </c>
      <c r="BJ118" s="17" t="str">
        <f>IFERROR(VLOOKUP(B118,'Statement of Marks'!$B$8:'Statement of Marks'!$HI$207,117,0),"")</f>
        <v/>
      </c>
    </row>
    <row r="119" spans="1:62" ht="24.95" customHeight="1">
      <c r="A119" s="283">
        <f>IF('Statement of Marks'!A122="","",'Statement of Marks'!A122)</f>
        <v>115</v>
      </c>
      <c r="B119" s="283" t="str">
        <f>IF('Statement of Marks'!B122="","",'Statement of Marks'!B122)</f>
        <v/>
      </c>
      <c r="C119" s="283" t="str">
        <f>IF('Statement of Marks'!C122="","",'Statement of Marks'!C122)</f>
        <v/>
      </c>
      <c r="D119" s="430" t="str">
        <f>IF('Statement of Marks'!D122="","",'Statement of Marks'!D122)</f>
        <v/>
      </c>
      <c r="E119" s="431" t="str">
        <f>IF('Statement of Marks'!E122="","",'Statement of Marks'!E122)</f>
        <v/>
      </c>
      <c r="F119" s="431" t="str">
        <f>IF('Statement of Marks'!F122="","",'Statement of Marks'!F122)</f>
        <v/>
      </c>
      <c r="G119" s="431" t="str">
        <f>IF('Statement of Marks'!G122="","",'Statement of Marks'!G122)</f>
        <v/>
      </c>
      <c r="H119" s="432" t="str">
        <f>IF(B119="","",IF('Statement of Marks'!GY122="","",'Statement of Marks'!GY122))</f>
        <v/>
      </c>
      <c r="I119" s="286" t="str">
        <f>IF(B119="","",IF('Statement of Marks'!HB122="","",'Statement of Marks'!HB122))</f>
        <v/>
      </c>
      <c r="J119" s="433" t="str">
        <f>IF(B119="","",IF('Statement of Marks'!HC122="","",'Statement of Marks'!HC122))</f>
        <v/>
      </c>
      <c r="K119" s="295" t="str">
        <f>IF(B119="","",'Statement of Marks'!FJ122)</f>
        <v/>
      </c>
      <c r="L119" s="295" t="str">
        <f>IF(B119="","",'Statement of Marks'!FM122)</f>
        <v/>
      </c>
      <c r="M119" s="295" t="str">
        <f>IF(B119="","",'Statement of Marks'!FP122)</f>
        <v/>
      </c>
      <c r="N119" s="295" t="str">
        <f>IF(B119="","",'Statement of Marks'!FW122)</f>
        <v/>
      </c>
      <c r="O119" s="295" t="str">
        <f>IF(B119="","",'Statement of Marks'!GD122)</f>
        <v/>
      </c>
      <c r="P119" s="295" t="str">
        <f>IF(B119="","",'Statement of Marks'!GK122)</f>
        <v/>
      </c>
      <c r="Q119" s="295" t="str">
        <f>IF(B119="","",'Statement of Marks'!GR122)</f>
        <v/>
      </c>
      <c r="R119" s="295" t="str">
        <f>IF(B119="","",'Statement of Marks'!FF122)</f>
        <v/>
      </c>
      <c r="S119" s="434" t="str">
        <f>IFERROR(IF(B119="","",CONCATENATE(IF(AND('Marks Entry'!U122="A"),'Marks Entry'!$U$2,IF(AND('Marks Entry'!U122="B"),'Marks Entry'!$Y$2,IF(AND('Marks Entry'!U122="C"),'Marks Entry'!$AA$2,""))),", ",IF(AND('Marks Entry'!AC122="A"),'Marks Entry'!$AC$2,IF(AND('Marks Entry'!AC122="B"),'Marks Entry'!$AG$2,IF(AND('Marks Entry'!AC122="C"),'Marks Entry'!$AI$2,""))),", ",IF(AND('Marks Entry'!AK122="A"),'Marks Entry'!$AK$2,IF(AND('Marks Entry'!AK122="B"),'Marks Entry'!$AO$2,IF(AND('Marks Entry'!AK122="C"),'Marks Entry'!$AQ$2,""))),", ",IF(AND('Statement of Marks'!DD122=""),"",IF(AND('Statement of Marks'!DD122="A"),'Marks Entry'!$AS$2,IF(AND('Statement of Marks'!DD122="B"),'Marks Entry'!$AW$2,IF(AND('Statement of Marks'!DD122="C"),'Marks Entry'!$AY$2,"")))))),"")</f>
        <v/>
      </c>
      <c r="T119" s="435" t="str">
        <f>IF(COUNTIF(K119:R119,"F")&gt;0,"",CONCATENATE('Statement of Marks'!GU122,'Statement of Marks'!GW122))</f>
        <v xml:space="preserve">           </v>
      </c>
      <c r="BG119" s="17">
        <f>IFERROR(VLOOKUP(B119,'Statement of Marks'!$B$8:'Statement of Marks'!$HI$207,41,0),"")</f>
        <v>15</v>
      </c>
      <c r="BH119" s="17" t="str">
        <f>IFERROR(VLOOKUP(B119,'Statement of Marks'!$B$8:'Statement of Marks'!$HI$207,66,0),"")</f>
        <v/>
      </c>
      <c r="BI119" s="17">
        <f>IFERROR(VLOOKUP(B119,'Statement of Marks'!$B$8:'Statement of Marks'!$HI$207,91,0),"")</f>
        <v>60</v>
      </c>
      <c r="BJ119" s="17" t="str">
        <f>IFERROR(VLOOKUP(B119,'Statement of Marks'!$B$8:'Statement of Marks'!$HI$207,117,0),"")</f>
        <v/>
      </c>
    </row>
    <row r="120" spans="1:62" ht="24.95" customHeight="1">
      <c r="A120" s="283">
        <f>IF('Statement of Marks'!A123="","",'Statement of Marks'!A123)</f>
        <v>116</v>
      </c>
      <c r="B120" s="283" t="str">
        <f>IF('Statement of Marks'!B123="","",'Statement of Marks'!B123)</f>
        <v/>
      </c>
      <c r="C120" s="283" t="str">
        <f>IF('Statement of Marks'!C123="","",'Statement of Marks'!C123)</f>
        <v/>
      </c>
      <c r="D120" s="430" t="str">
        <f>IF('Statement of Marks'!D123="","",'Statement of Marks'!D123)</f>
        <v/>
      </c>
      <c r="E120" s="431" t="str">
        <f>IF('Statement of Marks'!E123="","",'Statement of Marks'!E123)</f>
        <v/>
      </c>
      <c r="F120" s="431" t="str">
        <f>IF('Statement of Marks'!F123="","",'Statement of Marks'!F123)</f>
        <v/>
      </c>
      <c r="G120" s="431" t="str">
        <f>IF('Statement of Marks'!G123="","",'Statement of Marks'!G123)</f>
        <v/>
      </c>
      <c r="H120" s="432" t="str">
        <f>IF(B120="","",IF('Statement of Marks'!GY123="","",'Statement of Marks'!GY123))</f>
        <v/>
      </c>
      <c r="I120" s="286" t="str">
        <f>IF(B120="","",IF('Statement of Marks'!HB123="","",'Statement of Marks'!HB123))</f>
        <v/>
      </c>
      <c r="J120" s="433" t="str">
        <f>IF(B120="","",IF('Statement of Marks'!HC123="","",'Statement of Marks'!HC123))</f>
        <v/>
      </c>
      <c r="K120" s="295" t="str">
        <f>IF(B120="","",'Statement of Marks'!FJ123)</f>
        <v/>
      </c>
      <c r="L120" s="295" t="str">
        <f>IF(B120="","",'Statement of Marks'!FM123)</f>
        <v/>
      </c>
      <c r="M120" s="295" t="str">
        <f>IF(B120="","",'Statement of Marks'!FP123)</f>
        <v/>
      </c>
      <c r="N120" s="295" t="str">
        <f>IF(B120="","",'Statement of Marks'!FW123)</f>
        <v/>
      </c>
      <c r="O120" s="295" t="str">
        <f>IF(B120="","",'Statement of Marks'!GD123)</f>
        <v/>
      </c>
      <c r="P120" s="295" t="str">
        <f>IF(B120="","",'Statement of Marks'!GK123)</f>
        <v/>
      </c>
      <c r="Q120" s="295" t="str">
        <f>IF(B120="","",'Statement of Marks'!GR123)</f>
        <v/>
      </c>
      <c r="R120" s="295" t="str">
        <f>IF(B120="","",'Statement of Marks'!FF123)</f>
        <v/>
      </c>
      <c r="S120" s="434" t="str">
        <f>IFERROR(IF(B120="","",CONCATENATE(IF(AND('Marks Entry'!U123="A"),'Marks Entry'!$U$2,IF(AND('Marks Entry'!U123="B"),'Marks Entry'!$Y$2,IF(AND('Marks Entry'!U123="C"),'Marks Entry'!$AA$2,""))),", ",IF(AND('Marks Entry'!AC123="A"),'Marks Entry'!$AC$2,IF(AND('Marks Entry'!AC123="B"),'Marks Entry'!$AG$2,IF(AND('Marks Entry'!AC123="C"),'Marks Entry'!$AI$2,""))),", ",IF(AND('Marks Entry'!AK123="A"),'Marks Entry'!$AK$2,IF(AND('Marks Entry'!AK123="B"),'Marks Entry'!$AO$2,IF(AND('Marks Entry'!AK123="C"),'Marks Entry'!$AQ$2,""))),", ",IF(AND('Statement of Marks'!DD123=""),"",IF(AND('Statement of Marks'!DD123="A"),'Marks Entry'!$AS$2,IF(AND('Statement of Marks'!DD123="B"),'Marks Entry'!$AW$2,IF(AND('Statement of Marks'!DD123="C"),'Marks Entry'!$AY$2,"")))))),"")</f>
        <v/>
      </c>
      <c r="T120" s="435" t="str">
        <f>IF(COUNTIF(K120:R120,"F")&gt;0,"",CONCATENATE('Statement of Marks'!GU123,'Statement of Marks'!GW123))</f>
        <v xml:space="preserve">           </v>
      </c>
      <c r="BG120" s="17">
        <f>IFERROR(VLOOKUP(B120,'Statement of Marks'!$B$8:'Statement of Marks'!$HI$207,41,0),"")</f>
        <v>15</v>
      </c>
      <c r="BH120" s="17" t="str">
        <f>IFERROR(VLOOKUP(B120,'Statement of Marks'!$B$8:'Statement of Marks'!$HI$207,66,0),"")</f>
        <v/>
      </c>
      <c r="BI120" s="17">
        <f>IFERROR(VLOOKUP(B120,'Statement of Marks'!$B$8:'Statement of Marks'!$HI$207,91,0),"")</f>
        <v>60</v>
      </c>
      <c r="BJ120" s="17" t="str">
        <f>IFERROR(VLOOKUP(B120,'Statement of Marks'!$B$8:'Statement of Marks'!$HI$207,117,0),"")</f>
        <v/>
      </c>
    </row>
    <row r="121" spans="1:62" ht="24.95" customHeight="1">
      <c r="A121" s="283">
        <f>IF('Statement of Marks'!A124="","",'Statement of Marks'!A124)</f>
        <v>117</v>
      </c>
      <c r="B121" s="283" t="str">
        <f>IF('Statement of Marks'!B124="","",'Statement of Marks'!B124)</f>
        <v/>
      </c>
      <c r="C121" s="283" t="str">
        <f>IF('Statement of Marks'!C124="","",'Statement of Marks'!C124)</f>
        <v/>
      </c>
      <c r="D121" s="430" t="str">
        <f>IF('Statement of Marks'!D124="","",'Statement of Marks'!D124)</f>
        <v/>
      </c>
      <c r="E121" s="431" t="str">
        <f>IF('Statement of Marks'!E124="","",'Statement of Marks'!E124)</f>
        <v/>
      </c>
      <c r="F121" s="431" t="str">
        <f>IF('Statement of Marks'!F124="","",'Statement of Marks'!F124)</f>
        <v/>
      </c>
      <c r="G121" s="431" t="str">
        <f>IF('Statement of Marks'!G124="","",'Statement of Marks'!G124)</f>
        <v/>
      </c>
      <c r="H121" s="432" t="str">
        <f>IF(B121="","",IF('Statement of Marks'!GY124="","",'Statement of Marks'!GY124))</f>
        <v/>
      </c>
      <c r="I121" s="286" t="str">
        <f>IF(B121="","",IF('Statement of Marks'!HB124="","",'Statement of Marks'!HB124))</f>
        <v/>
      </c>
      <c r="J121" s="433" t="str">
        <f>IF(B121="","",IF('Statement of Marks'!HC124="","",'Statement of Marks'!HC124))</f>
        <v/>
      </c>
      <c r="K121" s="295" t="str">
        <f>IF(B121="","",'Statement of Marks'!FJ124)</f>
        <v/>
      </c>
      <c r="L121" s="295" t="str">
        <f>IF(B121="","",'Statement of Marks'!FM124)</f>
        <v/>
      </c>
      <c r="M121" s="295" t="str">
        <f>IF(B121="","",'Statement of Marks'!FP124)</f>
        <v/>
      </c>
      <c r="N121" s="295" t="str">
        <f>IF(B121="","",'Statement of Marks'!FW124)</f>
        <v/>
      </c>
      <c r="O121" s="295" t="str">
        <f>IF(B121="","",'Statement of Marks'!GD124)</f>
        <v/>
      </c>
      <c r="P121" s="295" t="str">
        <f>IF(B121="","",'Statement of Marks'!GK124)</f>
        <v/>
      </c>
      <c r="Q121" s="295" t="str">
        <f>IF(B121="","",'Statement of Marks'!GR124)</f>
        <v/>
      </c>
      <c r="R121" s="295" t="str">
        <f>IF(B121="","",'Statement of Marks'!FF124)</f>
        <v/>
      </c>
      <c r="S121" s="434" t="str">
        <f>IFERROR(IF(B121="","",CONCATENATE(IF(AND('Marks Entry'!U124="A"),'Marks Entry'!$U$2,IF(AND('Marks Entry'!U124="B"),'Marks Entry'!$Y$2,IF(AND('Marks Entry'!U124="C"),'Marks Entry'!$AA$2,""))),", ",IF(AND('Marks Entry'!AC124="A"),'Marks Entry'!$AC$2,IF(AND('Marks Entry'!AC124="B"),'Marks Entry'!$AG$2,IF(AND('Marks Entry'!AC124="C"),'Marks Entry'!$AI$2,""))),", ",IF(AND('Marks Entry'!AK124="A"),'Marks Entry'!$AK$2,IF(AND('Marks Entry'!AK124="B"),'Marks Entry'!$AO$2,IF(AND('Marks Entry'!AK124="C"),'Marks Entry'!$AQ$2,""))),", ",IF(AND('Statement of Marks'!DD124=""),"",IF(AND('Statement of Marks'!DD124="A"),'Marks Entry'!$AS$2,IF(AND('Statement of Marks'!DD124="B"),'Marks Entry'!$AW$2,IF(AND('Statement of Marks'!DD124="C"),'Marks Entry'!$AY$2,"")))))),"")</f>
        <v/>
      </c>
      <c r="T121" s="435" t="str">
        <f>IF(COUNTIF(K121:R121,"F")&gt;0,"",CONCATENATE('Statement of Marks'!GU124,'Statement of Marks'!GW124))</f>
        <v xml:space="preserve">           </v>
      </c>
      <c r="BG121" s="17">
        <f>IFERROR(VLOOKUP(B121,'Statement of Marks'!$B$8:'Statement of Marks'!$HI$207,41,0),"")</f>
        <v>15</v>
      </c>
      <c r="BH121" s="17" t="str">
        <f>IFERROR(VLOOKUP(B121,'Statement of Marks'!$B$8:'Statement of Marks'!$HI$207,66,0),"")</f>
        <v/>
      </c>
      <c r="BI121" s="17">
        <f>IFERROR(VLOOKUP(B121,'Statement of Marks'!$B$8:'Statement of Marks'!$HI$207,91,0),"")</f>
        <v>60</v>
      </c>
      <c r="BJ121" s="17" t="str">
        <f>IFERROR(VLOOKUP(B121,'Statement of Marks'!$B$8:'Statement of Marks'!$HI$207,117,0),"")</f>
        <v/>
      </c>
    </row>
    <row r="122" spans="1:62" ht="24.95" customHeight="1">
      <c r="A122" s="283">
        <f>IF('Statement of Marks'!A125="","",'Statement of Marks'!A125)</f>
        <v>118</v>
      </c>
      <c r="B122" s="283" t="str">
        <f>IF('Statement of Marks'!B125="","",'Statement of Marks'!B125)</f>
        <v/>
      </c>
      <c r="C122" s="283" t="str">
        <f>IF('Statement of Marks'!C125="","",'Statement of Marks'!C125)</f>
        <v/>
      </c>
      <c r="D122" s="430" t="str">
        <f>IF('Statement of Marks'!D125="","",'Statement of Marks'!D125)</f>
        <v/>
      </c>
      <c r="E122" s="431" t="str">
        <f>IF('Statement of Marks'!E125="","",'Statement of Marks'!E125)</f>
        <v/>
      </c>
      <c r="F122" s="431" t="str">
        <f>IF('Statement of Marks'!F125="","",'Statement of Marks'!F125)</f>
        <v/>
      </c>
      <c r="G122" s="431" t="str">
        <f>IF('Statement of Marks'!G125="","",'Statement of Marks'!G125)</f>
        <v/>
      </c>
      <c r="H122" s="432" t="str">
        <f>IF(B122="","",IF('Statement of Marks'!GY125="","",'Statement of Marks'!GY125))</f>
        <v/>
      </c>
      <c r="I122" s="286" t="str">
        <f>IF(B122="","",IF('Statement of Marks'!HB125="","",'Statement of Marks'!HB125))</f>
        <v/>
      </c>
      <c r="J122" s="433" t="str">
        <f>IF(B122="","",IF('Statement of Marks'!HC125="","",'Statement of Marks'!HC125))</f>
        <v/>
      </c>
      <c r="K122" s="295" t="str">
        <f>IF(B122="","",'Statement of Marks'!FJ125)</f>
        <v/>
      </c>
      <c r="L122" s="295" t="str">
        <f>IF(B122="","",'Statement of Marks'!FM125)</f>
        <v/>
      </c>
      <c r="M122" s="295" t="str">
        <f>IF(B122="","",'Statement of Marks'!FP125)</f>
        <v/>
      </c>
      <c r="N122" s="295" t="str">
        <f>IF(B122="","",'Statement of Marks'!FW125)</f>
        <v/>
      </c>
      <c r="O122" s="295" t="str">
        <f>IF(B122="","",'Statement of Marks'!GD125)</f>
        <v/>
      </c>
      <c r="P122" s="295" t="str">
        <f>IF(B122="","",'Statement of Marks'!GK125)</f>
        <v/>
      </c>
      <c r="Q122" s="295" t="str">
        <f>IF(B122="","",'Statement of Marks'!GR125)</f>
        <v/>
      </c>
      <c r="R122" s="295" t="str">
        <f>IF(B122="","",'Statement of Marks'!FF125)</f>
        <v/>
      </c>
      <c r="S122" s="434" t="str">
        <f>IFERROR(IF(B122="","",CONCATENATE(IF(AND('Marks Entry'!U125="A"),'Marks Entry'!$U$2,IF(AND('Marks Entry'!U125="B"),'Marks Entry'!$Y$2,IF(AND('Marks Entry'!U125="C"),'Marks Entry'!$AA$2,""))),", ",IF(AND('Marks Entry'!AC125="A"),'Marks Entry'!$AC$2,IF(AND('Marks Entry'!AC125="B"),'Marks Entry'!$AG$2,IF(AND('Marks Entry'!AC125="C"),'Marks Entry'!$AI$2,""))),", ",IF(AND('Marks Entry'!AK125="A"),'Marks Entry'!$AK$2,IF(AND('Marks Entry'!AK125="B"),'Marks Entry'!$AO$2,IF(AND('Marks Entry'!AK125="C"),'Marks Entry'!$AQ$2,""))),", ",IF(AND('Statement of Marks'!DD125=""),"",IF(AND('Statement of Marks'!DD125="A"),'Marks Entry'!$AS$2,IF(AND('Statement of Marks'!DD125="B"),'Marks Entry'!$AW$2,IF(AND('Statement of Marks'!DD125="C"),'Marks Entry'!$AY$2,"")))))),"")</f>
        <v/>
      </c>
      <c r="T122" s="435" t="str">
        <f>IF(COUNTIF(K122:R122,"F")&gt;0,"",CONCATENATE('Statement of Marks'!GU125,'Statement of Marks'!GW125))</f>
        <v xml:space="preserve">           </v>
      </c>
      <c r="BG122" s="17">
        <f>IFERROR(VLOOKUP(B122,'Statement of Marks'!$B$8:'Statement of Marks'!$HI$207,41,0),"")</f>
        <v>15</v>
      </c>
      <c r="BH122" s="17" t="str">
        <f>IFERROR(VLOOKUP(B122,'Statement of Marks'!$B$8:'Statement of Marks'!$HI$207,66,0),"")</f>
        <v/>
      </c>
      <c r="BI122" s="17">
        <f>IFERROR(VLOOKUP(B122,'Statement of Marks'!$B$8:'Statement of Marks'!$HI$207,91,0),"")</f>
        <v>60</v>
      </c>
      <c r="BJ122" s="17" t="str">
        <f>IFERROR(VLOOKUP(B122,'Statement of Marks'!$B$8:'Statement of Marks'!$HI$207,117,0),"")</f>
        <v/>
      </c>
    </row>
    <row r="123" spans="1:62" ht="24.95" customHeight="1">
      <c r="A123" s="283">
        <f>IF('Statement of Marks'!A126="","",'Statement of Marks'!A126)</f>
        <v>119</v>
      </c>
      <c r="B123" s="283" t="str">
        <f>IF('Statement of Marks'!B126="","",'Statement of Marks'!B126)</f>
        <v/>
      </c>
      <c r="C123" s="283" t="str">
        <f>IF('Statement of Marks'!C126="","",'Statement of Marks'!C126)</f>
        <v/>
      </c>
      <c r="D123" s="430" t="str">
        <f>IF('Statement of Marks'!D126="","",'Statement of Marks'!D126)</f>
        <v/>
      </c>
      <c r="E123" s="431" t="str">
        <f>IF('Statement of Marks'!E126="","",'Statement of Marks'!E126)</f>
        <v/>
      </c>
      <c r="F123" s="431" t="str">
        <f>IF('Statement of Marks'!F126="","",'Statement of Marks'!F126)</f>
        <v/>
      </c>
      <c r="G123" s="431" t="str">
        <f>IF('Statement of Marks'!G126="","",'Statement of Marks'!G126)</f>
        <v/>
      </c>
      <c r="H123" s="432" t="str">
        <f>IF(B123="","",IF('Statement of Marks'!GY126="","",'Statement of Marks'!GY126))</f>
        <v/>
      </c>
      <c r="I123" s="286" t="str">
        <f>IF(B123="","",IF('Statement of Marks'!HB126="","",'Statement of Marks'!HB126))</f>
        <v/>
      </c>
      <c r="J123" s="433" t="str">
        <f>IF(B123="","",IF('Statement of Marks'!HC126="","",'Statement of Marks'!HC126))</f>
        <v/>
      </c>
      <c r="K123" s="295" t="str">
        <f>IF(B123="","",'Statement of Marks'!FJ126)</f>
        <v/>
      </c>
      <c r="L123" s="295" t="str">
        <f>IF(B123="","",'Statement of Marks'!FM126)</f>
        <v/>
      </c>
      <c r="M123" s="295" t="str">
        <f>IF(B123="","",'Statement of Marks'!FP126)</f>
        <v/>
      </c>
      <c r="N123" s="295" t="str">
        <f>IF(B123="","",'Statement of Marks'!FW126)</f>
        <v/>
      </c>
      <c r="O123" s="295" t="str">
        <f>IF(B123="","",'Statement of Marks'!GD126)</f>
        <v/>
      </c>
      <c r="P123" s="295" t="str">
        <f>IF(B123="","",'Statement of Marks'!GK126)</f>
        <v/>
      </c>
      <c r="Q123" s="295" t="str">
        <f>IF(B123="","",'Statement of Marks'!GR126)</f>
        <v/>
      </c>
      <c r="R123" s="295" t="str">
        <f>IF(B123="","",'Statement of Marks'!FF126)</f>
        <v/>
      </c>
      <c r="S123" s="434" t="str">
        <f>IFERROR(IF(B123="","",CONCATENATE(IF(AND('Marks Entry'!U126="A"),'Marks Entry'!$U$2,IF(AND('Marks Entry'!U126="B"),'Marks Entry'!$Y$2,IF(AND('Marks Entry'!U126="C"),'Marks Entry'!$AA$2,""))),", ",IF(AND('Marks Entry'!AC126="A"),'Marks Entry'!$AC$2,IF(AND('Marks Entry'!AC126="B"),'Marks Entry'!$AG$2,IF(AND('Marks Entry'!AC126="C"),'Marks Entry'!$AI$2,""))),", ",IF(AND('Marks Entry'!AK126="A"),'Marks Entry'!$AK$2,IF(AND('Marks Entry'!AK126="B"),'Marks Entry'!$AO$2,IF(AND('Marks Entry'!AK126="C"),'Marks Entry'!$AQ$2,""))),", ",IF(AND('Statement of Marks'!DD126=""),"",IF(AND('Statement of Marks'!DD126="A"),'Marks Entry'!$AS$2,IF(AND('Statement of Marks'!DD126="B"),'Marks Entry'!$AW$2,IF(AND('Statement of Marks'!DD126="C"),'Marks Entry'!$AY$2,"")))))),"")</f>
        <v/>
      </c>
      <c r="T123" s="435" t="str">
        <f>IF(COUNTIF(K123:R123,"F")&gt;0,"",CONCATENATE('Statement of Marks'!GU126,'Statement of Marks'!GW126))</f>
        <v xml:space="preserve">           </v>
      </c>
      <c r="BG123" s="17">
        <f>IFERROR(VLOOKUP(B123,'Statement of Marks'!$B$8:'Statement of Marks'!$HI$207,41,0),"")</f>
        <v>15</v>
      </c>
      <c r="BH123" s="17" t="str">
        <f>IFERROR(VLOOKUP(B123,'Statement of Marks'!$B$8:'Statement of Marks'!$HI$207,66,0),"")</f>
        <v/>
      </c>
      <c r="BI123" s="17">
        <f>IFERROR(VLOOKUP(B123,'Statement of Marks'!$B$8:'Statement of Marks'!$HI$207,91,0),"")</f>
        <v>60</v>
      </c>
      <c r="BJ123" s="17" t="str">
        <f>IFERROR(VLOOKUP(B123,'Statement of Marks'!$B$8:'Statement of Marks'!$HI$207,117,0),"")</f>
        <v/>
      </c>
    </row>
    <row r="124" spans="1:62" ht="24.95" customHeight="1">
      <c r="A124" s="283">
        <f>IF('Statement of Marks'!A127="","",'Statement of Marks'!A127)</f>
        <v>120</v>
      </c>
      <c r="B124" s="283" t="str">
        <f>IF('Statement of Marks'!B127="","",'Statement of Marks'!B127)</f>
        <v/>
      </c>
      <c r="C124" s="283" t="str">
        <f>IF('Statement of Marks'!C127="","",'Statement of Marks'!C127)</f>
        <v/>
      </c>
      <c r="D124" s="430" t="str">
        <f>IF('Statement of Marks'!D127="","",'Statement of Marks'!D127)</f>
        <v/>
      </c>
      <c r="E124" s="431" t="str">
        <f>IF('Statement of Marks'!E127="","",'Statement of Marks'!E127)</f>
        <v/>
      </c>
      <c r="F124" s="431" t="str">
        <f>IF('Statement of Marks'!F127="","",'Statement of Marks'!F127)</f>
        <v/>
      </c>
      <c r="G124" s="431" t="str">
        <f>IF('Statement of Marks'!G127="","",'Statement of Marks'!G127)</f>
        <v/>
      </c>
      <c r="H124" s="432" t="str">
        <f>IF(B124="","",IF('Statement of Marks'!GY127="","",'Statement of Marks'!GY127))</f>
        <v/>
      </c>
      <c r="I124" s="286" t="str">
        <f>IF(B124="","",IF('Statement of Marks'!HB127="","",'Statement of Marks'!HB127))</f>
        <v/>
      </c>
      <c r="J124" s="433" t="str">
        <f>IF(B124="","",IF('Statement of Marks'!HC127="","",'Statement of Marks'!HC127))</f>
        <v/>
      </c>
      <c r="K124" s="295" t="str">
        <f>IF(B124="","",'Statement of Marks'!FJ127)</f>
        <v/>
      </c>
      <c r="L124" s="295" t="str">
        <f>IF(B124="","",'Statement of Marks'!FM127)</f>
        <v/>
      </c>
      <c r="M124" s="295" t="str">
        <f>IF(B124="","",'Statement of Marks'!FP127)</f>
        <v/>
      </c>
      <c r="N124" s="295" t="str">
        <f>IF(B124="","",'Statement of Marks'!FW127)</f>
        <v/>
      </c>
      <c r="O124" s="295" t="str">
        <f>IF(B124="","",'Statement of Marks'!GD127)</f>
        <v/>
      </c>
      <c r="P124" s="295" t="str">
        <f>IF(B124="","",'Statement of Marks'!GK127)</f>
        <v/>
      </c>
      <c r="Q124" s="295" t="str">
        <f>IF(B124="","",'Statement of Marks'!GR127)</f>
        <v/>
      </c>
      <c r="R124" s="295" t="str">
        <f>IF(B124="","",'Statement of Marks'!FF127)</f>
        <v/>
      </c>
      <c r="S124" s="434" t="str">
        <f>IFERROR(IF(B124="","",CONCATENATE(IF(AND('Marks Entry'!U127="A"),'Marks Entry'!$U$2,IF(AND('Marks Entry'!U127="B"),'Marks Entry'!$Y$2,IF(AND('Marks Entry'!U127="C"),'Marks Entry'!$AA$2,""))),", ",IF(AND('Marks Entry'!AC127="A"),'Marks Entry'!$AC$2,IF(AND('Marks Entry'!AC127="B"),'Marks Entry'!$AG$2,IF(AND('Marks Entry'!AC127="C"),'Marks Entry'!$AI$2,""))),", ",IF(AND('Marks Entry'!AK127="A"),'Marks Entry'!$AK$2,IF(AND('Marks Entry'!AK127="B"),'Marks Entry'!$AO$2,IF(AND('Marks Entry'!AK127="C"),'Marks Entry'!$AQ$2,""))),", ",IF(AND('Statement of Marks'!DD127=""),"",IF(AND('Statement of Marks'!DD127="A"),'Marks Entry'!$AS$2,IF(AND('Statement of Marks'!DD127="B"),'Marks Entry'!$AW$2,IF(AND('Statement of Marks'!DD127="C"),'Marks Entry'!$AY$2,"")))))),"")</f>
        <v/>
      </c>
      <c r="T124" s="435" t="str">
        <f>IF(COUNTIF(K124:R124,"F")&gt;0,"",CONCATENATE('Statement of Marks'!GU127,'Statement of Marks'!GW127))</f>
        <v xml:space="preserve">           </v>
      </c>
      <c r="BG124" s="17">
        <f>IFERROR(VLOOKUP(B124,'Statement of Marks'!$B$8:'Statement of Marks'!$HI$207,41,0),"")</f>
        <v>15</v>
      </c>
      <c r="BH124" s="17" t="str">
        <f>IFERROR(VLOOKUP(B124,'Statement of Marks'!$B$8:'Statement of Marks'!$HI$207,66,0),"")</f>
        <v/>
      </c>
      <c r="BI124" s="17">
        <f>IFERROR(VLOOKUP(B124,'Statement of Marks'!$B$8:'Statement of Marks'!$HI$207,91,0),"")</f>
        <v>60</v>
      </c>
      <c r="BJ124" s="17" t="str">
        <f>IFERROR(VLOOKUP(B124,'Statement of Marks'!$B$8:'Statement of Marks'!$HI$207,117,0),"")</f>
        <v/>
      </c>
    </row>
    <row r="125" spans="1:62" ht="24.95" customHeight="1">
      <c r="A125" s="283">
        <f>IF('Statement of Marks'!A128="","",'Statement of Marks'!A128)</f>
        <v>121</v>
      </c>
      <c r="B125" s="283" t="str">
        <f>IF('Statement of Marks'!B128="","",'Statement of Marks'!B128)</f>
        <v/>
      </c>
      <c r="C125" s="283" t="str">
        <f>IF('Statement of Marks'!C128="","",'Statement of Marks'!C128)</f>
        <v/>
      </c>
      <c r="D125" s="430" t="str">
        <f>IF('Statement of Marks'!D128="","",'Statement of Marks'!D128)</f>
        <v/>
      </c>
      <c r="E125" s="431" t="str">
        <f>IF('Statement of Marks'!E128="","",'Statement of Marks'!E128)</f>
        <v/>
      </c>
      <c r="F125" s="431" t="str">
        <f>IF('Statement of Marks'!F128="","",'Statement of Marks'!F128)</f>
        <v/>
      </c>
      <c r="G125" s="431" t="str">
        <f>IF('Statement of Marks'!G128="","",'Statement of Marks'!G128)</f>
        <v/>
      </c>
      <c r="H125" s="432" t="str">
        <f>IF(B125="","",IF('Statement of Marks'!GY128="","",'Statement of Marks'!GY128))</f>
        <v/>
      </c>
      <c r="I125" s="286" t="str">
        <f>IF(B125="","",IF('Statement of Marks'!HB128="","",'Statement of Marks'!HB128))</f>
        <v/>
      </c>
      <c r="J125" s="433" t="str">
        <f>IF(B125="","",IF('Statement of Marks'!HC128="","",'Statement of Marks'!HC128))</f>
        <v/>
      </c>
      <c r="K125" s="295" t="str">
        <f>IF(B125="","",'Statement of Marks'!FJ128)</f>
        <v/>
      </c>
      <c r="L125" s="295" t="str">
        <f>IF(B125="","",'Statement of Marks'!FM128)</f>
        <v/>
      </c>
      <c r="M125" s="295" t="str">
        <f>IF(B125="","",'Statement of Marks'!FP128)</f>
        <v/>
      </c>
      <c r="N125" s="295" t="str">
        <f>IF(B125="","",'Statement of Marks'!FW128)</f>
        <v/>
      </c>
      <c r="O125" s="295" t="str">
        <f>IF(B125="","",'Statement of Marks'!GD128)</f>
        <v/>
      </c>
      <c r="P125" s="295" t="str">
        <f>IF(B125="","",'Statement of Marks'!GK128)</f>
        <v/>
      </c>
      <c r="Q125" s="295" t="str">
        <f>IF(B125="","",'Statement of Marks'!GR128)</f>
        <v/>
      </c>
      <c r="R125" s="295" t="str">
        <f>IF(B125="","",'Statement of Marks'!FF128)</f>
        <v/>
      </c>
      <c r="S125" s="434" t="str">
        <f>IFERROR(IF(B125="","",CONCATENATE(IF(AND('Marks Entry'!U128="A"),'Marks Entry'!$U$2,IF(AND('Marks Entry'!U128="B"),'Marks Entry'!$Y$2,IF(AND('Marks Entry'!U128="C"),'Marks Entry'!$AA$2,""))),", ",IF(AND('Marks Entry'!AC128="A"),'Marks Entry'!$AC$2,IF(AND('Marks Entry'!AC128="B"),'Marks Entry'!$AG$2,IF(AND('Marks Entry'!AC128="C"),'Marks Entry'!$AI$2,""))),", ",IF(AND('Marks Entry'!AK128="A"),'Marks Entry'!$AK$2,IF(AND('Marks Entry'!AK128="B"),'Marks Entry'!$AO$2,IF(AND('Marks Entry'!AK128="C"),'Marks Entry'!$AQ$2,""))),", ",IF(AND('Statement of Marks'!DD128=""),"",IF(AND('Statement of Marks'!DD128="A"),'Marks Entry'!$AS$2,IF(AND('Statement of Marks'!DD128="B"),'Marks Entry'!$AW$2,IF(AND('Statement of Marks'!DD128="C"),'Marks Entry'!$AY$2,"")))))),"")</f>
        <v/>
      </c>
      <c r="T125" s="435" t="str">
        <f>IF(COUNTIF(K125:R125,"F")&gt;0,"",CONCATENATE('Statement of Marks'!GU128,'Statement of Marks'!GW128))</f>
        <v xml:space="preserve">           </v>
      </c>
      <c r="BG125" s="17">
        <f>IFERROR(VLOOKUP(B125,'Statement of Marks'!$B$8:'Statement of Marks'!$HI$207,41,0),"")</f>
        <v>15</v>
      </c>
      <c r="BH125" s="17" t="str">
        <f>IFERROR(VLOOKUP(B125,'Statement of Marks'!$B$8:'Statement of Marks'!$HI$207,66,0),"")</f>
        <v/>
      </c>
      <c r="BI125" s="17">
        <f>IFERROR(VLOOKUP(B125,'Statement of Marks'!$B$8:'Statement of Marks'!$HI$207,91,0),"")</f>
        <v>60</v>
      </c>
      <c r="BJ125" s="17" t="str">
        <f>IFERROR(VLOOKUP(B125,'Statement of Marks'!$B$8:'Statement of Marks'!$HI$207,117,0),"")</f>
        <v/>
      </c>
    </row>
    <row r="126" spans="1:62" ht="24.95" customHeight="1">
      <c r="A126" s="283">
        <f>IF('Statement of Marks'!A129="","",'Statement of Marks'!A129)</f>
        <v>122</v>
      </c>
      <c r="B126" s="283" t="str">
        <f>IF('Statement of Marks'!B129="","",'Statement of Marks'!B129)</f>
        <v/>
      </c>
      <c r="C126" s="283" t="str">
        <f>IF('Statement of Marks'!C129="","",'Statement of Marks'!C129)</f>
        <v/>
      </c>
      <c r="D126" s="430" t="str">
        <f>IF('Statement of Marks'!D129="","",'Statement of Marks'!D129)</f>
        <v/>
      </c>
      <c r="E126" s="431" t="str">
        <f>IF('Statement of Marks'!E129="","",'Statement of Marks'!E129)</f>
        <v/>
      </c>
      <c r="F126" s="431" t="str">
        <f>IF('Statement of Marks'!F129="","",'Statement of Marks'!F129)</f>
        <v/>
      </c>
      <c r="G126" s="431" t="str">
        <f>IF('Statement of Marks'!G129="","",'Statement of Marks'!G129)</f>
        <v/>
      </c>
      <c r="H126" s="432" t="str">
        <f>IF(B126="","",IF('Statement of Marks'!GY129="","",'Statement of Marks'!GY129))</f>
        <v/>
      </c>
      <c r="I126" s="286" t="str">
        <f>IF(B126="","",IF('Statement of Marks'!HB129="","",'Statement of Marks'!HB129))</f>
        <v/>
      </c>
      <c r="J126" s="433" t="str">
        <f>IF(B126="","",IF('Statement of Marks'!HC129="","",'Statement of Marks'!HC129))</f>
        <v/>
      </c>
      <c r="K126" s="295" t="str">
        <f>IF(B126="","",'Statement of Marks'!FJ129)</f>
        <v/>
      </c>
      <c r="L126" s="295" t="str">
        <f>IF(B126="","",'Statement of Marks'!FM129)</f>
        <v/>
      </c>
      <c r="M126" s="295" t="str">
        <f>IF(B126="","",'Statement of Marks'!FP129)</f>
        <v/>
      </c>
      <c r="N126" s="295" t="str">
        <f>IF(B126="","",'Statement of Marks'!FW129)</f>
        <v/>
      </c>
      <c r="O126" s="295" t="str">
        <f>IF(B126="","",'Statement of Marks'!GD129)</f>
        <v/>
      </c>
      <c r="P126" s="295" t="str">
        <f>IF(B126="","",'Statement of Marks'!GK129)</f>
        <v/>
      </c>
      <c r="Q126" s="295" t="str">
        <f>IF(B126="","",'Statement of Marks'!GR129)</f>
        <v/>
      </c>
      <c r="R126" s="295" t="str">
        <f>IF(B126="","",'Statement of Marks'!FF129)</f>
        <v/>
      </c>
      <c r="S126" s="434" t="str">
        <f>IFERROR(IF(B126="","",CONCATENATE(IF(AND('Marks Entry'!U129="A"),'Marks Entry'!$U$2,IF(AND('Marks Entry'!U129="B"),'Marks Entry'!$Y$2,IF(AND('Marks Entry'!U129="C"),'Marks Entry'!$AA$2,""))),", ",IF(AND('Marks Entry'!AC129="A"),'Marks Entry'!$AC$2,IF(AND('Marks Entry'!AC129="B"),'Marks Entry'!$AG$2,IF(AND('Marks Entry'!AC129="C"),'Marks Entry'!$AI$2,""))),", ",IF(AND('Marks Entry'!AK129="A"),'Marks Entry'!$AK$2,IF(AND('Marks Entry'!AK129="B"),'Marks Entry'!$AO$2,IF(AND('Marks Entry'!AK129="C"),'Marks Entry'!$AQ$2,""))),", ",IF(AND('Statement of Marks'!DD129=""),"",IF(AND('Statement of Marks'!DD129="A"),'Marks Entry'!$AS$2,IF(AND('Statement of Marks'!DD129="B"),'Marks Entry'!$AW$2,IF(AND('Statement of Marks'!DD129="C"),'Marks Entry'!$AY$2,"")))))),"")</f>
        <v/>
      </c>
      <c r="T126" s="435" t="str">
        <f>IF(COUNTIF(K126:R126,"F")&gt;0,"",CONCATENATE('Statement of Marks'!GU129,'Statement of Marks'!GW129))</f>
        <v xml:space="preserve">           </v>
      </c>
      <c r="BG126" s="17">
        <f>IFERROR(VLOOKUP(B126,'Statement of Marks'!$B$8:'Statement of Marks'!$HI$207,41,0),"")</f>
        <v>15</v>
      </c>
      <c r="BH126" s="17" t="str">
        <f>IFERROR(VLOOKUP(B126,'Statement of Marks'!$B$8:'Statement of Marks'!$HI$207,66,0),"")</f>
        <v/>
      </c>
      <c r="BI126" s="17">
        <f>IFERROR(VLOOKUP(B126,'Statement of Marks'!$B$8:'Statement of Marks'!$HI$207,91,0),"")</f>
        <v>60</v>
      </c>
      <c r="BJ126" s="17" t="str">
        <f>IFERROR(VLOOKUP(B126,'Statement of Marks'!$B$8:'Statement of Marks'!$HI$207,117,0),"")</f>
        <v/>
      </c>
    </row>
    <row r="127" spans="1:62" ht="24.95" customHeight="1">
      <c r="A127" s="283">
        <f>IF('Statement of Marks'!A130="","",'Statement of Marks'!A130)</f>
        <v>123</v>
      </c>
      <c r="B127" s="283" t="str">
        <f>IF('Statement of Marks'!B130="","",'Statement of Marks'!B130)</f>
        <v/>
      </c>
      <c r="C127" s="283" t="str">
        <f>IF('Statement of Marks'!C130="","",'Statement of Marks'!C130)</f>
        <v/>
      </c>
      <c r="D127" s="430" t="str">
        <f>IF('Statement of Marks'!D130="","",'Statement of Marks'!D130)</f>
        <v/>
      </c>
      <c r="E127" s="431" t="str">
        <f>IF('Statement of Marks'!E130="","",'Statement of Marks'!E130)</f>
        <v/>
      </c>
      <c r="F127" s="431" t="str">
        <f>IF('Statement of Marks'!F130="","",'Statement of Marks'!F130)</f>
        <v/>
      </c>
      <c r="G127" s="431" t="str">
        <f>IF('Statement of Marks'!G130="","",'Statement of Marks'!G130)</f>
        <v/>
      </c>
      <c r="H127" s="432" t="str">
        <f>IF(B127="","",IF('Statement of Marks'!GY130="","",'Statement of Marks'!GY130))</f>
        <v/>
      </c>
      <c r="I127" s="286" t="str">
        <f>IF(B127="","",IF('Statement of Marks'!HB130="","",'Statement of Marks'!HB130))</f>
        <v/>
      </c>
      <c r="J127" s="433" t="str">
        <f>IF(B127="","",IF('Statement of Marks'!HC130="","",'Statement of Marks'!HC130))</f>
        <v/>
      </c>
      <c r="K127" s="295" t="str">
        <f>IF(B127="","",'Statement of Marks'!FJ130)</f>
        <v/>
      </c>
      <c r="L127" s="295" t="str">
        <f>IF(B127="","",'Statement of Marks'!FM130)</f>
        <v/>
      </c>
      <c r="M127" s="295" t="str">
        <f>IF(B127="","",'Statement of Marks'!FP130)</f>
        <v/>
      </c>
      <c r="N127" s="295" t="str">
        <f>IF(B127="","",'Statement of Marks'!FW130)</f>
        <v/>
      </c>
      <c r="O127" s="295" t="str">
        <f>IF(B127="","",'Statement of Marks'!GD130)</f>
        <v/>
      </c>
      <c r="P127" s="295" t="str">
        <f>IF(B127="","",'Statement of Marks'!GK130)</f>
        <v/>
      </c>
      <c r="Q127" s="295" t="str">
        <f>IF(B127="","",'Statement of Marks'!GR130)</f>
        <v/>
      </c>
      <c r="R127" s="295" t="str">
        <f>IF(B127="","",'Statement of Marks'!FF130)</f>
        <v/>
      </c>
      <c r="S127" s="434" t="str">
        <f>IFERROR(IF(B127="","",CONCATENATE(IF(AND('Marks Entry'!U130="A"),'Marks Entry'!$U$2,IF(AND('Marks Entry'!U130="B"),'Marks Entry'!$Y$2,IF(AND('Marks Entry'!U130="C"),'Marks Entry'!$AA$2,""))),", ",IF(AND('Marks Entry'!AC130="A"),'Marks Entry'!$AC$2,IF(AND('Marks Entry'!AC130="B"),'Marks Entry'!$AG$2,IF(AND('Marks Entry'!AC130="C"),'Marks Entry'!$AI$2,""))),", ",IF(AND('Marks Entry'!AK130="A"),'Marks Entry'!$AK$2,IF(AND('Marks Entry'!AK130="B"),'Marks Entry'!$AO$2,IF(AND('Marks Entry'!AK130="C"),'Marks Entry'!$AQ$2,""))),", ",IF(AND('Statement of Marks'!DD130=""),"",IF(AND('Statement of Marks'!DD130="A"),'Marks Entry'!$AS$2,IF(AND('Statement of Marks'!DD130="B"),'Marks Entry'!$AW$2,IF(AND('Statement of Marks'!DD130="C"),'Marks Entry'!$AY$2,"")))))),"")</f>
        <v/>
      </c>
      <c r="T127" s="435" t="str">
        <f>IF(COUNTIF(K127:R127,"F")&gt;0,"",CONCATENATE('Statement of Marks'!GU130,'Statement of Marks'!GW130))</f>
        <v xml:space="preserve">           </v>
      </c>
      <c r="BG127" s="17">
        <f>IFERROR(VLOOKUP(B127,'Statement of Marks'!$B$8:'Statement of Marks'!$HI$207,41,0),"")</f>
        <v>15</v>
      </c>
      <c r="BH127" s="17" t="str">
        <f>IFERROR(VLOOKUP(B127,'Statement of Marks'!$B$8:'Statement of Marks'!$HI$207,66,0),"")</f>
        <v/>
      </c>
      <c r="BI127" s="17">
        <f>IFERROR(VLOOKUP(B127,'Statement of Marks'!$B$8:'Statement of Marks'!$HI$207,91,0),"")</f>
        <v>60</v>
      </c>
      <c r="BJ127" s="17" t="str">
        <f>IFERROR(VLOOKUP(B127,'Statement of Marks'!$B$8:'Statement of Marks'!$HI$207,117,0),"")</f>
        <v/>
      </c>
    </row>
    <row r="128" spans="1:62" ht="24.95" customHeight="1">
      <c r="A128" s="283">
        <f>IF('Statement of Marks'!A131="","",'Statement of Marks'!A131)</f>
        <v>124</v>
      </c>
      <c r="B128" s="283" t="str">
        <f>IF('Statement of Marks'!B131="","",'Statement of Marks'!B131)</f>
        <v/>
      </c>
      <c r="C128" s="283" t="str">
        <f>IF('Statement of Marks'!C131="","",'Statement of Marks'!C131)</f>
        <v/>
      </c>
      <c r="D128" s="430" t="str">
        <f>IF('Statement of Marks'!D131="","",'Statement of Marks'!D131)</f>
        <v/>
      </c>
      <c r="E128" s="431" t="str">
        <f>IF('Statement of Marks'!E131="","",'Statement of Marks'!E131)</f>
        <v/>
      </c>
      <c r="F128" s="431" t="str">
        <f>IF('Statement of Marks'!F131="","",'Statement of Marks'!F131)</f>
        <v/>
      </c>
      <c r="G128" s="431" t="str">
        <f>IF('Statement of Marks'!G131="","",'Statement of Marks'!G131)</f>
        <v/>
      </c>
      <c r="H128" s="432" t="str">
        <f>IF(B128="","",IF('Statement of Marks'!GY131="","",'Statement of Marks'!GY131))</f>
        <v/>
      </c>
      <c r="I128" s="286" t="str">
        <f>IF(B128="","",IF('Statement of Marks'!HB131="","",'Statement of Marks'!HB131))</f>
        <v/>
      </c>
      <c r="J128" s="433" t="str">
        <f>IF(B128="","",IF('Statement of Marks'!HC131="","",'Statement of Marks'!HC131))</f>
        <v/>
      </c>
      <c r="K128" s="295" t="str">
        <f>IF(B128="","",'Statement of Marks'!FJ131)</f>
        <v/>
      </c>
      <c r="L128" s="295" t="str">
        <f>IF(B128="","",'Statement of Marks'!FM131)</f>
        <v/>
      </c>
      <c r="M128" s="295" t="str">
        <f>IF(B128="","",'Statement of Marks'!FP131)</f>
        <v/>
      </c>
      <c r="N128" s="295" t="str">
        <f>IF(B128="","",'Statement of Marks'!FW131)</f>
        <v/>
      </c>
      <c r="O128" s="295" t="str">
        <f>IF(B128="","",'Statement of Marks'!GD131)</f>
        <v/>
      </c>
      <c r="P128" s="295" t="str">
        <f>IF(B128="","",'Statement of Marks'!GK131)</f>
        <v/>
      </c>
      <c r="Q128" s="295" t="str">
        <f>IF(B128="","",'Statement of Marks'!GR131)</f>
        <v/>
      </c>
      <c r="R128" s="295" t="str">
        <f>IF(B128="","",'Statement of Marks'!FF131)</f>
        <v/>
      </c>
      <c r="S128" s="434" t="str">
        <f>IFERROR(IF(B128="","",CONCATENATE(IF(AND('Marks Entry'!U131="A"),'Marks Entry'!$U$2,IF(AND('Marks Entry'!U131="B"),'Marks Entry'!$Y$2,IF(AND('Marks Entry'!U131="C"),'Marks Entry'!$AA$2,""))),", ",IF(AND('Marks Entry'!AC131="A"),'Marks Entry'!$AC$2,IF(AND('Marks Entry'!AC131="B"),'Marks Entry'!$AG$2,IF(AND('Marks Entry'!AC131="C"),'Marks Entry'!$AI$2,""))),", ",IF(AND('Marks Entry'!AK131="A"),'Marks Entry'!$AK$2,IF(AND('Marks Entry'!AK131="B"),'Marks Entry'!$AO$2,IF(AND('Marks Entry'!AK131="C"),'Marks Entry'!$AQ$2,""))),", ",IF(AND('Statement of Marks'!DD131=""),"",IF(AND('Statement of Marks'!DD131="A"),'Marks Entry'!$AS$2,IF(AND('Statement of Marks'!DD131="B"),'Marks Entry'!$AW$2,IF(AND('Statement of Marks'!DD131="C"),'Marks Entry'!$AY$2,"")))))),"")</f>
        <v/>
      </c>
      <c r="T128" s="435" t="str">
        <f>IF(COUNTIF(K128:R128,"F")&gt;0,"",CONCATENATE('Statement of Marks'!GU131,'Statement of Marks'!GW131))</f>
        <v xml:space="preserve">           </v>
      </c>
      <c r="BG128" s="17">
        <f>IFERROR(VLOOKUP(B128,'Statement of Marks'!$B$8:'Statement of Marks'!$HI$207,41,0),"")</f>
        <v>15</v>
      </c>
      <c r="BH128" s="17" t="str">
        <f>IFERROR(VLOOKUP(B128,'Statement of Marks'!$B$8:'Statement of Marks'!$HI$207,66,0),"")</f>
        <v/>
      </c>
      <c r="BI128" s="17">
        <f>IFERROR(VLOOKUP(B128,'Statement of Marks'!$B$8:'Statement of Marks'!$HI$207,91,0),"")</f>
        <v>60</v>
      </c>
      <c r="BJ128" s="17" t="str">
        <f>IFERROR(VLOOKUP(B128,'Statement of Marks'!$B$8:'Statement of Marks'!$HI$207,117,0),"")</f>
        <v/>
      </c>
    </row>
    <row r="129" spans="1:62" ht="24.95" customHeight="1">
      <c r="A129" s="283">
        <f>IF('Statement of Marks'!A132="","",'Statement of Marks'!A132)</f>
        <v>125</v>
      </c>
      <c r="B129" s="283" t="str">
        <f>IF('Statement of Marks'!B132="","",'Statement of Marks'!B132)</f>
        <v/>
      </c>
      <c r="C129" s="283" t="str">
        <f>IF('Statement of Marks'!C132="","",'Statement of Marks'!C132)</f>
        <v/>
      </c>
      <c r="D129" s="430" t="str">
        <f>IF('Statement of Marks'!D132="","",'Statement of Marks'!D132)</f>
        <v/>
      </c>
      <c r="E129" s="431" t="str">
        <f>IF('Statement of Marks'!E132="","",'Statement of Marks'!E132)</f>
        <v/>
      </c>
      <c r="F129" s="431" t="str">
        <f>IF('Statement of Marks'!F132="","",'Statement of Marks'!F132)</f>
        <v/>
      </c>
      <c r="G129" s="431" t="str">
        <f>IF('Statement of Marks'!G132="","",'Statement of Marks'!G132)</f>
        <v/>
      </c>
      <c r="H129" s="432" t="str">
        <f>IF(B129="","",IF('Statement of Marks'!GY132="","",'Statement of Marks'!GY132))</f>
        <v/>
      </c>
      <c r="I129" s="286" t="str">
        <f>IF(B129="","",IF('Statement of Marks'!HB132="","",'Statement of Marks'!HB132))</f>
        <v/>
      </c>
      <c r="J129" s="433" t="str">
        <f>IF(B129="","",IF('Statement of Marks'!HC132="","",'Statement of Marks'!HC132))</f>
        <v/>
      </c>
      <c r="K129" s="295" t="str">
        <f>IF(B129="","",'Statement of Marks'!FJ132)</f>
        <v/>
      </c>
      <c r="L129" s="295" t="str">
        <f>IF(B129="","",'Statement of Marks'!FM132)</f>
        <v/>
      </c>
      <c r="M129" s="295" t="str">
        <f>IF(B129="","",'Statement of Marks'!FP132)</f>
        <v/>
      </c>
      <c r="N129" s="295" t="str">
        <f>IF(B129="","",'Statement of Marks'!FW132)</f>
        <v/>
      </c>
      <c r="O129" s="295" t="str">
        <f>IF(B129="","",'Statement of Marks'!GD132)</f>
        <v/>
      </c>
      <c r="P129" s="295" t="str">
        <f>IF(B129="","",'Statement of Marks'!GK132)</f>
        <v/>
      </c>
      <c r="Q129" s="295" t="str">
        <f>IF(B129="","",'Statement of Marks'!GR132)</f>
        <v/>
      </c>
      <c r="R129" s="295" t="str">
        <f>IF(B129="","",'Statement of Marks'!FF132)</f>
        <v/>
      </c>
      <c r="S129" s="434" t="str">
        <f>IFERROR(IF(B129="","",CONCATENATE(IF(AND('Marks Entry'!U132="A"),'Marks Entry'!$U$2,IF(AND('Marks Entry'!U132="B"),'Marks Entry'!$Y$2,IF(AND('Marks Entry'!U132="C"),'Marks Entry'!$AA$2,""))),", ",IF(AND('Marks Entry'!AC132="A"),'Marks Entry'!$AC$2,IF(AND('Marks Entry'!AC132="B"),'Marks Entry'!$AG$2,IF(AND('Marks Entry'!AC132="C"),'Marks Entry'!$AI$2,""))),", ",IF(AND('Marks Entry'!AK132="A"),'Marks Entry'!$AK$2,IF(AND('Marks Entry'!AK132="B"),'Marks Entry'!$AO$2,IF(AND('Marks Entry'!AK132="C"),'Marks Entry'!$AQ$2,""))),", ",IF(AND('Statement of Marks'!DD132=""),"",IF(AND('Statement of Marks'!DD132="A"),'Marks Entry'!$AS$2,IF(AND('Statement of Marks'!DD132="B"),'Marks Entry'!$AW$2,IF(AND('Statement of Marks'!DD132="C"),'Marks Entry'!$AY$2,"")))))),"")</f>
        <v/>
      </c>
      <c r="T129" s="435" t="str">
        <f>IF(COUNTIF(K129:R129,"F")&gt;0,"",CONCATENATE('Statement of Marks'!GU132,'Statement of Marks'!GW132))</f>
        <v xml:space="preserve">           </v>
      </c>
      <c r="BG129" s="17">
        <f>IFERROR(VLOOKUP(B129,'Statement of Marks'!$B$8:'Statement of Marks'!$HI$207,41,0),"")</f>
        <v>15</v>
      </c>
      <c r="BH129" s="17" t="str">
        <f>IFERROR(VLOOKUP(B129,'Statement of Marks'!$B$8:'Statement of Marks'!$HI$207,66,0),"")</f>
        <v/>
      </c>
      <c r="BI129" s="17">
        <f>IFERROR(VLOOKUP(B129,'Statement of Marks'!$B$8:'Statement of Marks'!$HI$207,91,0),"")</f>
        <v>60</v>
      </c>
      <c r="BJ129" s="17" t="str">
        <f>IFERROR(VLOOKUP(B129,'Statement of Marks'!$B$8:'Statement of Marks'!$HI$207,117,0),"")</f>
        <v/>
      </c>
    </row>
    <row r="130" spans="1:62" ht="24.95" customHeight="1">
      <c r="A130" s="283">
        <f>IF('Statement of Marks'!A133="","",'Statement of Marks'!A133)</f>
        <v>126</v>
      </c>
      <c r="B130" s="283" t="str">
        <f>IF('Statement of Marks'!B133="","",'Statement of Marks'!B133)</f>
        <v/>
      </c>
      <c r="C130" s="283" t="str">
        <f>IF('Statement of Marks'!C133="","",'Statement of Marks'!C133)</f>
        <v/>
      </c>
      <c r="D130" s="430" t="str">
        <f>IF('Statement of Marks'!D133="","",'Statement of Marks'!D133)</f>
        <v/>
      </c>
      <c r="E130" s="431" t="str">
        <f>IF('Statement of Marks'!E133="","",'Statement of Marks'!E133)</f>
        <v/>
      </c>
      <c r="F130" s="431" t="str">
        <f>IF('Statement of Marks'!F133="","",'Statement of Marks'!F133)</f>
        <v/>
      </c>
      <c r="G130" s="431" t="str">
        <f>IF('Statement of Marks'!G133="","",'Statement of Marks'!G133)</f>
        <v/>
      </c>
      <c r="H130" s="432" t="str">
        <f>IF(B130="","",IF('Statement of Marks'!GY133="","",'Statement of Marks'!GY133))</f>
        <v/>
      </c>
      <c r="I130" s="286" t="str">
        <f>IF(B130="","",IF('Statement of Marks'!HB133="","",'Statement of Marks'!HB133))</f>
        <v/>
      </c>
      <c r="J130" s="433" t="str">
        <f>IF(B130="","",IF('Statement of Marks'!HC133="","",'Statement of Marks'!HC133))</f>
        <v/>
      </c>
      <c r="K130" s="295" t="str">
        <f>IF(B130="","",'Statement of Marks'!FJ133)</f>
        <v/>
      </c>
      <c r="L130" s="295" t="str">
        <f>IF(B130="","",'Statement of Marks'!FM133)</f>
        <v/>
      </c>
      <c r="M130" s="295" t="str">
        <f>IF(B130="","",'Statement of Marks'!FP133)</f>
        <v/>
      </c>
      <c r="N130" s="295" t="str">
        <f>IF(B130="","",'Statement of Marks'!FW133)</f>
        <v/>
      </c>
      <c r="O130" s="295" t="str">
        <f>IF(B130="","",'Statement of Marks'!GD133)</f>
        <v/>
      </c>
      <c r="P130" s="295" t="str">
        <f>IF(B130="","",'Statement of Marks'!GK133)</f>
        <v/>
      </c>
      <c r="Q130" s="295" t="str">
        <f>IF(B130="","",'Statement of Marks'!GR133)</f>
        <v/>
      </c>
      <c r="R130" s="295" t="str">
        <f>IF(B130="","",'Statement of Marks'!FF133)</f>
        <v/>
      </c>
      <c r="S130" s="434" t="str">
        <f>IFERROR(IF(B130="","",CONCATENATE(IF(AND('Marks Entry'!U133="A"),'Marks Entry'!$U$2,IF(AND('Marks Entry'!U133="B"),'Marks Entry'!$Y$2,IF(AND('Marks Entry'!U133="C"),'Marks Entry'!$AA$2,""))),", ",IF(AND('Marks Entry'!AC133="A"),'Marks Entry'!$AC$2,IF(AND('Marks Entry'!AC133="B"),'Marks Entry'!$AG$2,IF(AND('Marks Entry'!AC133="C"),'Marks Entry'!$AI$2,""))),", ",IF(AND('Marks Entry'!AK133="A"),'Marks Entry'!$AK$2,IF(AND('Marks Entry'!AK133="B"),'Marks Entry'!$AO$2,IF(AND('Marks Entry'!AK133="C"),'Marks Entry'!$AQ$2,""))),", ",IF(AND('Statement of Marks'!DD133=""),"",IF(AND('Statement of Marks'!DD133="A"),'Marks Entry'!$AS$2,IF(AND('Statement of Marks'!DD133="B"),'Marks Entry'!$AW$2,IF(AND('Statement of Marks'!DD133="C"),'Marks Entry'!$AY$2,"")))))),"")</f>
        <v/>
      </c>
      <c r="T130" s="435" t="str">
        <f>IF(COUNTIF(K130:R130,"F")&gt;0,"",CONCATENATE('Statement of Marks'!GU133,'Statement of Marks'!GW133))</f>
        <v xml:space="preserve">           </v>
      </c>
      <c r="BG130" s="17">
        <f>IFERROR(VLOOKUP(B130,'Statement of Marks'!$B$8:'Statement of Marks'!$HI$207,41,0),"")</f>
        <v>15</v>
      </c>
      <c r="BH130" s="17" t="str">
        <f>IFERROR(VLOOKUP(B130,'Statement of Marks'!$B$8:'Statement of Marks'!$HI$207,66,0),"")</f>
        <v/>
      </c>
      <c r="BI130" s="17">
        <f>IFERROR(VLOOKUP(B130,'Statement of Marks'!$B$8:'Statement of Marks'!$HI$207,91,0),"")</f>
        <v>60</v>
      </c>
      <c r="BJ130" s="17" t="str">
        <f>IFERROR(VLOOKUP(B130,'Statement of Marks'!$B$8:'Statement of Marks'!$HI$207,117,0),"")</f>
        <v/>
      </c>
    </row>
    <row r="131" spans="1:62" ht="24.95" customHeight="1">
      <c r="A131" s="283">
        <f>IF('Statement of Marks'!A134="","",'Statement of Marks'!A134)</f>
        <v>127</v>
      </c>
      <c r="B131" s="283" t="str">
        <f>IF('Statement of Marks'!B134="","",'Statement of Marks'!B134)</f>
        <v/>
      </c>
      <c r="C131" s="283" t="str">
        <f>IF('Statement of Marks'!C134="","",'Statement of Marks'!C134)</f>
        <v/>
      </c>
      <c r="D131" s="430" t="str">
        <f>IF('Statement of Marks'!D134="","",'Statement of Marks'!D134)</f>
        <v/>
      </c>
      <c r="E131" s="431" t="str">
        <f>IF('Statement of Marks'!E134="","",'Statement of Marks'!E134)</f>
        <v/>
      </c>
      <c r="F131" s="431" t="str">
        <f>IF('Statement of Marks'!F134="","",'Statement of Marks'!F134)</f>
        <v/>
      </c>
      <c r="G131" s="431" t="str">
        <f>IF('Statement of Marks'!G134="","",'Statement of Marks'!G134)</f>
        <v/>
      </c>
      <c r="H131" s="432" t="str">
        <f>IF(B131="","",IF('Statement of Marks'!GY134="","",'Statement of Marks'!GY134))</f>
        <v/>
      </c>
      <c r="I131" s="286" t="str">
        <f>IF(B131="","",IF('Statement of Marks'!HB134="","",'Statement of Marks'!HB134))</f>
        <v/>
      </c>
      <c r="J131" s="433" t="str">
        <f>IF(B131="","",IF('Statement of Marks'!HC134="","",'Statement of Marks'!HC134))</f>
        <v/>
      </c>
      <c r="K131" s="295" t="str">
        <f>IF(B131="","",'Statement of Marks'!FJ134)</f>
        <v/>
      </c>
      <c r="L131" s="295" t="str">
        <f>IF(B131="","",'Statement of Marks'!FM134)</f>
        <v/>
      </c>
      <c r="M131" s="295" t="str">
        <f>IF(B131="","",'Statement of Marks'!FP134)</f>
        <v/>
      </c>
      <c r="N131" s="295" t="str">
        <f>IF(B131="","",'Statement of Marks'!FW134)</f>
        <v/>
      </c>
      <c r="O131" s="295" t="str">
        <f>IF(B131="","",'Statement of Marks'!GD134)</f>
        <v/>
      </c>
      <c r="P131" s="295" t="str">
        <f>IF(B131="","",'Statement of Marks'!GK134)</f>
        <v/>
      </c>
      <c r="Q131" s="295" t="str">
        <f>IF(B131="","",'Statement of Marks'!GR134)</f>
        <v/>
      </c>
      <c r="R131" s="295" t="str">
        <f>IF(B131="","",'Statement of Marks'!FF134)</f>
        <v/>
      </c>
      <c r="S131" s="434" t="str">
        <f>IFERROR(IF(B131="","",CONCATENATE(IF(AND('Marks Entry'!U134="A"),'Marks Entry'!$U$2,IF(AND('Marks Entry'!U134="B"),'Marks Entry'!$Y$2,IF(AND('Marks Entry'!U134="C"),'Marks Entry'!$AA$2,""))),", ",IF(AND('Marks Entry'!AC134="A"),'Marks Entry'!$AC$2,IF(AND('Marks Entry'!AC134="B"),'Marks Entry'!$AG$2,IF(AND('Marks Entry'!AC134="C"),'Marks Entry'!$AI$2,""))),", ",IF(AND('Marks Entry'!AK134="A"),'Marks Entry'!$AK$2,IF(AND('Marks Entry'!AK134="B"),'Marks Entry'!$AO$2,IF(AND('Marks Entry'!AK134="C"),'Marks Entry'!$AQ$2,""))),", ",IF(AND('Statement of Marks'!DD134=""),"",IF(AND('Statement of Marks'!DD134="A"),'Marks Entry'!$AS$2,IF(AND('Statement of Marks'!DD134="B"),'Marks Entry'!$AW$2,IF(AND('Statement of Marks'!DD134="C"),'Marks Entry'!$AY$2,"")))))),"")</f>
        <v/>
      </c>
      <c r="T131" s="435" t="str">
        <f>IF(COUNTIF(K131:R131,"F")&gt;0,"",CONCATENATE('Statement of Marks'!GU134,'Statement of Marks'!GW134))</f>
        <v xml:space="preserve">           </v>
      </c>
      <c r="BG131" s="17">
        <f>IFERROR(VLOOKUP(B131,'Statement of Marks'!$B$8:'Statement of Marks'!$HI$207,41,0),"")</f>
        <v>15</v>
      </c>
      <c r="BH131" s="17" t="str">
        <f>IFERROR(VLOOKUP(B131,'Statement of Marks'!$B$8:'Statement of Marks'!$HI$207,66,0),"")</f>
        <v/>
      </c>
      <c r="BI131" s="17">
        <f>IFERROR(VLOOKUP(B131,'Statement of Marks'!$B$8:'Statement of Marks'!$HI$207,91,0),"")</f>
        <v>60</v>
      </c>
      <c r="BJ131" s="17" t="str">
        <f>IFERROR(VLOOKUP(B131,'Statement of Marks'!$B$8:'Statement of Marks'!$HI$207,117,0),"")</f>
        <v/>
      </c>
    </row>
    <row r="132" spans="1:62" ht="24.95" customHeight="1">
      <c r="A132" s="283">
        <f>IF('Statement of Marks'!A135="","",'Statement of Marks'!A135)</f>
        <v>128</v>
      </c>
      <c r="B132" s="283" t="str">
        <f>IF('Statement of Marks'!B135="","",'Statement of Marks'!B135)</f>
        <v/>
      </c>
      <c r="C132" s="283" t="str">
        <f>IF('Statement of Marks'!C135="","",'Statement of Marks'!C135)</f>
        <v/>
      </c>
      <c r="D132" s="430" t="str">
        <f>IF('Statement of Marks'!D135="","",'Statement of Marks'!D135)</f>
        <v/>
      </c>
      <c r="E132" s="431" t="str">
        <f>IF('Statement of Marks'!E135="","",'Statement of Marks'!E135)</f>
        <v/>
      </c>
      <c r="F132" s="431" t="str">
        <f>IF('Statement of Marks'!F135="","",'Statement of Marks'!F135)</f>
        <v/>
      </c>
      <c r="G132" s="431" t="str">
        <f>IF('Statement of Marks'!G135="","",'Statement of Marks'!G135)</f>
        <v/>
      </c>
      <c r="H132" s="432" t="str">
        <f>IF(B132="","",IF('Statement of Marks'!GY135="","",'Statement of Marks'!GY135))</f>
        <v/>
      </c>
      <c r="I132" s="286" t="str">
        <f>IF(B132="","",IF('Statement of Marks'!HB135="","",'Statement of Marks'!HB135))</f>
        <v/>
      </c>
      <c r="J132" s="433" t="str">
        <f>IF(B132="","",IF('Statement of Marks'!HC135="","",'Statement of Marks'!HC135))</f>
        <v/>
      </c>
      <c r="K132" s="295" t="str">
        <f>IF(B132="","",'Statement of Marks'!FJ135)</f>
        <v/>
      </c>
      <c r="L132" s="295" t="str">
        <f>IF(B132="","",'Statement of Marks'!FM135)</f>
        <v/>
      </c>
      <c r="M132" s="295" t="str">
        <f>IF(B132="","",'Statement of Marks'!FP135)</f>
        <v/>
      </c>
      <c r="N132" s="295" t="str">
        <f>IF(B132="","",'Statement of Marks'!FW135)</f>
        <v/>
      </c>
      <c r="O132" s="295" t="str">
        <f>IF(B132="","",'Statement of Marks'!GD135)</f>
        <v/>
      </c>
      <c r="P132" s="295" t="str">
        <f>IF(B132="","",'Statement of Marks'!GK135)</f>
        <v/>
      </c>
      <c r="Q132" s="295" t="str">
        <f>IF(B132="","",'Statement of Marks'!GR135)</f>
        <v/>
      </c>
      <c r="R132" s="295" t="str">
        <f>IF(B132="","",'Statement of Marks'!FF135)</f>
        <v/>
      </c>
      <c r="S132" s="434" t="str">
        <f>IFERROR(IF(B132="","",CONCATENATE(IF(AND('Marks Entry'!U135="A"),'Marks Entry'!$U$2,IF(AND('Marks Entry'!U135="B"),'Marks Entry'!$Y$2,IF(AND('Marks Entry'!U135="C"),'Marks Entry'!$AA$2,""))),", ",IF(AND('Marks Entry'!AC135="A"),'Marks Entry'!$AC$2,IF(AND('Marks Entry'!AC135="B"),'Marks Entry'!$AG$2,IF(AND('Marks Entry'!AC135="C"),'Marks Entry'!$AI$2,""))),", ",IF(AND('Marks Entry'!AK135="A"),'Marks Entry'!$AK$2,IF(AND('Marks Entry'!AK135="B"),'Marks Entry'!$AO$2,IF(AND('Marks Entry'!AK135="C"),'Marks Entry'!$AQ$2,""))),", ",IF(AND('Statement of Marks'!DD135=""),"",IF(AND('Statement of Marks'!DD135="A"),'Marks Entry'!$AS$2,IF(AND('Statement of Marks'!DD135="B"),'Marks Entry'!$AW$2,IF(AND('Statement of Marks'!DD135="C"),'Marks Entry'!$AY$2,"")))))),"")</f>
        <v/>
      </c>
      <c r="T132" s="435" t="str">
        <f>IF(COUNTIF(K132:R132,"F")&gt;0,"",CONCATENATE('Statement of Marks'!GU135,'Statement of Marks'!GW135))</f>
        <v xml:space="preserve">           </v>
      </c>
      <c r="BG132" s="17">
        <f>IFERROR(VLOOKUP(B132,'Statement of Marks'!$B$8:'Statement of Marks'!$HI$207,41,0),"")</f>
        <v>15</v>
      </c>
      <c r="BH132" s="17" t="str">
        <f>IFERROR(VLOOKUP(B132,'Statement of Marks'!$B$8:'Statement of Marks'!$HI$207,66,0),"")</f>
        <v/>
      </c>
      <c r="BI132" s="17">
        <f>IFERROR(VLOOKUP(B132,'Statement of Marks'!$B$8:'Statement of Marks'!$HI$207,91,0),"")</f>
        <v>60</v>
      </c>
      <c r="BJ132" s="17" t="str">
        <f>IFERROR(VLOOKUP(B132,'Statement of Marks'!$B$8:'Statement of Marks'!$HI$207,117,0),"")</f>
        <v/>
      </c>
    </row>
    <row r="133" spans="1:62" ht="24.95" customHeight="1">
      <c r="A133" s="283">
        <f>IF('Statement of Marks'!A136="","",'Statement of Marks'!A136)</f>
        <v>129</v>
      </c>
      <c r="B133" s="283" t="str">
        <f>IF('Statement of Marks'!B136="","",'Statement of Marks'!B136)</f>
        <v/>
      </c>
      <c r="C133" s="283" t="str">
        <f>IF('Statement of Marks'!C136="","",'Statement of Marks'!C136)</f>
        <v/>
      </c>
      <c r="D133" s="430" t="str">
        <f>IF('Statement of Marks'!D136="","",'Statement of Marks'!D136)</f>
        <v/>
      </c>
      <c r="E133" s="431" t="str">
        <f>IF('Statement of Marks'!E136="","",'Statement of Marks'!E136)</f>
        <v/>
      </c>
      <c r="F133" s="431" t="str">
        <f>IF('Statement of Marks'!F136="","",'Statement of Marks'!F136)</f>
        <v/>
      </c>
      <c r="G133" s="431" t="str">
        <f>IF('Statement of Marks'!G136="","",'Statement of Marks'!G136)</f>
        <v/>
      </c>
      <c r="H133" s="432" t="str">
        <f>IF(B133="","",IF('Statement of Marks'!GY136="","",'Statement of Marks'!GY136))</f>
        <v/>
      </c>
      <c r="I133" s="286" t="str">
        <f>IF(B133="","",IF('Statement of Marks'!HB136="","",'Statement of Marks'!HB136))</f>
        <v/>
      </c>
      <c r="J133" s="433" t="str">
        <f>IF(B133="","",IF('Statement of Marks'!HC136="","",'Statement of Marks'!HC136))</f>
        <v/>
      </c>
      <c r="K133" s="295" t="str">
        <f>IF(B133="","",'Statement of Marks'!FJ136)</f>
        <v/>
      </c>
      <c r="L133" s="295" t="str">
        <f>IF(B133="","",'Statement of Marks'!FM136)</f>
        <v/>
      </c>
      <c r="M133" s="295" t="str">
        <f>IF(B133="","",'Statement of Marks'!FP136)</f>
        <v/>
      </c>
      <c r="N133" s="295" t="str">
        <f>IF(B133="","",'Statement of Marks'!FW136)</f>
        <v/>
      </c>
      <c r="O133" s="295" t="str">
        <f>IF(B133="","",'Statement of Marks'!GD136)</f>
        <v/>
      </c>
      <c r="P133" s="295" t="str">
        <f>IF(B133="","",'Statement of Marks'!GK136)</f>
        <v/>
      </c>
      <c r="Q133" s="295" t="str">
        <f>IF(B133="","",'Statement of Marks'!GR136)</f>
        <v/>
      </c>
      <c r="R133" s="295" t="str">
        <f>IF(B133="","",'Statement of Marks'!FF136)</f>
        <v/>
      </c>
      <c r="S133" s="434" t="str">
        <f>IFERROR(IF(B133="","",CONCATENATE(IF(AND('Marks Entry'!U136="A"),'Marks Entry'!$U$2,IF(AND('Marks Entry'!U136="B"),'Marks Entry'!$Y$2,IF(AND('Marks Entry'!U136="C"),'Marks Entry'!$AA$2,""))),", ",IF(AND('Marks Entry'!AC136="A"),'Marks Entry'!$AC$2,IF(AND('Marks Entry'!AC136="B"),'Marks Entry'!$AG$2,IF(AND('Marks Entry'!AC136="C"),'Marks Entry'!$AI$2,""))),", ",IF(AND('Marks Entry'!AK136="A"),'Marks Entry'!$AK$2,IF(AND('Marks Entry'!AK136="B"),'Marks Entry'!$AO$2,IF(AND('Marks Entry'!AK136="C"),'Marks Entry'!$AQ$2,""))),", ",IF(AND('Statement of Marks'!DD136=""),"",IF(AND('Statement of Marks'!DD136="A"),'Marks Entry'!$AS$2,IF(AND('Statement of Marks'!DD136="B"),'Marks Entry'!$AW$2,IF(AND('Statement of Marks'!DD136="C"),'Marks Entry'!$AY$2,"")))))),"")</f>
        <v/>
      </c>
      <c r="T133" s="435" t="str">
        <f>IF(COUNTIF(K133:R133,"F")&gt;0,"",CONCATENATE('Statement of Marks'!GU136,'Statement of Marks'!GW136))</f>
        <v xml:space="preserve">           </v>
      </c>
      <c r="BG133" s="17">
        <f>IFERROR(VLOOKUP(B133,'Statement of Marks'!$B$8:'Statement of Marks'!$HI$207,41,0),"")</f>
        <v>15</v>
      </c>
      <c r="BH133" s="17" t="str">
        <f>IFERROR(VLOOKUP(B133,'Statement of Marks'!$B$8:'Statement of Marks'!$HI$207,66,0),"")</f>
        <v/>
      </c>
      <c r="BI133" s="17">
        <f>IFERROR(VLOOKUP(B133,'Statement of Marks'!$B$8:'Statement of Marks'!$HI$207,91,0),"")</f>
        <v>60</v>
      </c>
      <c r="BJ133" s="17" t="str">
        <f>IFERROR(VLOOKUP(B133,'Statement of Marks'!$B$8:'Statement of Marks'!$HI$207,117,0),"")</f>
        <v/>
      </c>
    </row>
    <row r="134" spans="1:62" ht="24.95" customHeight="1">
      <c r="A134" s="283">
        <f>IF('Statement of Marks'!A137="","",'Statement of Marks'!A137)</f>
        <v>130</v>
      </c>
      <c r="B134" s="283" t="str">
        <f>IF('Statement of Marks'!B137="","",'Statement of Marks'!B137)</f>
        <v/>
      </c>
      <c r="C134" s="283" t="str">
        <f>IF('Statement of Marks'!C137="","",'Statement of Marks'!C137)</f>
        <v/>
      </c>
      <c r="D134" s="430" t="str">
        <f>IF('Statement of Marks'!D137="","",'Statement of Marks'!D137)</f>
        <v/>
      </c>
      <c r="E134" s="431" t="str">
        <f>IF('Statement of Marks'!E137="","",'Statement of Marks'!E137)</f>
        <v/>
      </c>
      <c r="F134" s="431" t="str">
        <f>IF('Statement of Marks'!F137="","",'Statement of Marks'!F137)</f>
        <v/>
      </c>
      <c r="G134" s="431" t="str">
        <f>IF('Statement of Marks'!G137="","",'Statement of Marks'!G137)</f>
        <v/>
      </c>
      <c r="H134" s="432" t="str">
        <f>IF(B134="","",IF('Statement of Marks'!GY137="","",'Statement of Marks'!GY137))</f>
        <v/>
      </c>
      <c r="I134" s="286" t="str">
        <f>IF(B134="","",IF('Statement of Marks'!HB137="","",'Statement of Marks'!HB137))</f>
        <v/>
      </c>
      <c r="J134" s="433" t="str">
        <f>IF(B134="","",IF('Statement of Marks'!HC137="","",'Statement of Marks'!HC137))</f>
        <v/>
      </c>
      <c r="K134" s="295" t="str">
        <f>IF(B134="","",'Statement of Marks'!FJ137)</f>
        <v/>
      </c>
      <c r="L134" s="295" t="str">
        <f>IF(B134="","",'Statement of Marks'!FM137)</f>
        <v/>
      </c>
      <c r="M134" s="295" t="str">
        <f>IF(B134="","",'Statement of Marks'!FP137)</f>
        <v/>
      </c>
      <c r="N134" s="295" t="str">
        <f>IF(B134="","",'Statement of Marks'!FW137)</f>
        <v/>
      </c>
      <c r="O134" s="295" t="str">
        <f>IF(B134="","",'Statement of Marks'!GD137)</f>
        <v/>
      </c>
      <c r="P134" s="295" t="str">
        <f>IF(B134="","",'Statement of Marks'!GK137)</f>
        <v/>
      </c>
      <c r="Q134" s="295" t="str">
        <f>IF(B134="","",'Statement of Marks'!GR137)</f>
        <v/>
      </c>
      <c r="R134" s="295" t="str">
        <f>IF(B134="","",'Statement of Marks'!FF137)</f>
        <v/>
      </c>
      <c r="S134" s="434" t="str">
        <f>IFERROR(IF(B134="","",CONCATENATE(IF(AND('Marks Entry'!U137="A"),'Marks Entry'!$U$2,IF(AND('Marks Entry'!U137="B"),'Marks Entry'!$Y$2,IF(AND('Marks Entry'!U137="C"),'Marks Entry'!$AA$2,""))),", ",IF(AND('Marks Entry'!AC137="A"),'Marks Entry'!$AC$2,IF(AND('Marks Entry'!AC137="B"),'Marks Entry'!$AG$2,IF(AND('Marks Entry'!AC137="C"),'Marks Entry'!$AI$2,""))),", ",IF(AND('Marks Entry'!AK137="A"),'Marks Entry'!$AK$2,IF(AND('Marks Entry'!AK137="B"),'Marks Entry'!$AO$2,IF(AND('Marks Entry'!AK137="C"),'Marks Entry'!$AQ$2,""))),", ",IF(AND('Statement of Marks'!DD137=""),"",IF(AND('Statement of Marks'!DD137="A"),'Marks Entry'!$AS$2,IF(AND('Statement of Marks'!DD137="B"),'Marks Entry'!$AW$2,IF(AND('Statement of Marks'!DD137="C"),'Marks Entry'!$AY$2,"")))))),"")</f>
        <v/>
      </c>
      <c r="T134" s="435" t="str">
        <f>IF(COUNTIF(K134:R134,"F")&gt;0,"",CONCATENATE('Statement of Marks'!GU137,'Statement of Marks'!GW137))</f>
        <v xml:space="preserve">           </v>
      </c>
      <c r="BG134" s="17">
        <f>IFERROR(VLOOKUP(B134,'Statement of Marks'!$B$8:'Statement of Marks'!$HI$207,41,0),"")</f>
        <v>15</v>
      </c>
      <c r="BH134" s="17" t="str">
        <f>IFERROR(VLOOKUP(B134,'Statement of Marks'!$B$8:'Statement of Marks'!$HI$207,66,0),"")</f>
        <v/>
      </c>
      <c r="BI134" s="17">
        <f>IFERROR(VLOOKUP(B134,'Statement of Marks'!$B$8:'Statement of Marks'!$HI$207,91,0),"")</f>
        <v>60</v>
      </c>
      <c r="BJ134" s="17" t="str">
        <f>IFERROR(VLOOKUP(B134,'Statement of Marks'!$B$8:'Statement of Marks'!$HI$207,117,0),"")</f>
        <v/>
      </c>
    </row>
    <row r="135" spans="1:62" ht="24.95" customHeight="1">
      <c r="A135" s="283">
        <f>IF('Statement of Marks'!A138="","",'Statement of Marks'!A138)</f>
        <v>131</v>
      </c>
      <c r="B135" s="283" t="str">
        <f>IF('Statement of Marks'!B138="","",'Statement of Marks'!B138)</f>
        <v/>
      </c>
      <c r="C135" s="283" t="str">
        <f>IF('Statement of Marks'!C138="","",'Statement of Marks'!C138)</f>
        <v/>
      </c>
      <c r="D135" s="430" t="str">
        <f>IF('Statement of Marks'!D138="","",'Statement of Marks'!D138)</f>
        <v/>
      </c>
      <c r="E135" s="431" t="str">
        <f>IF('Statement of Marks'!E138="","",'Statement of Marks'!E138)</f>
        <v/>
      </c>
      <c r="F135" s="431" t="str">
        <f>IF('Statement of Marks'!F138="","",'Statement of Marks'!F138)</f>
        <v/>
      </c>
      <c r="G135" s="431" t="str">
        <f>IF('Statement of Marks'!G138="","",'Statement of Marks'!G138)</f>
        <v/>
      </c>
      <c r="H135" s="432" t="str">
        <f>IF(B135="","",IF('Statement of Marks'!GY138="","",'Statement of Marks'!GY138))</f>
        <v/>
      </c>
      <c r="I135" s="286" t="str">
        <f>IF(B135="","",IF('Statement of Marks'!HB138="","",'Statement of Marks'!HB138))</f>
        <v/>
      </c>
      <c r="J135" s="433" t="str">
        <f>IF(B135="","",IF('Statement of Marks'!HC138="","",'Statement of Marks'!HC138))</f>
        <v/>
      </c>
      <c r="K135" s="295" t="str">
        <f>IF(B135="","",'Statement of Marks'!FJ138)</f>
        <v/>
      </c>
      <c r="L135" s="295" t="str">
        <f>IF(B135="","",'Statement of Marks'!FM138)</f>
        <v/>
      </c>
      <c r="M135" s="295" t="str">
        <f>IF(B135="","",'Statement of Marks'!FP138)</f>
        <v/>
      </c>
      <c r="N135" s="295" t="str">
        <f>IF(B135="","",'Statement of Marks'!FW138)</f>
        <v/>
      </c>
      <c r="O135" s="295" t="str">
        <f>IF(B135="","",'Statement of Marks'!GD138)</f>
        <v/>
      </c>
      <c r="P135" s="295" t="str">
        <f>IF(B135="","",'Statement of Marks'!GK138)</f>
        <v/>
      </c>
      <c r="Q135" s="295" t="str">
        <f>IF(B135="","",'Statement of Marks'!GR138)</f>
        <v/>
      </c>
      <c r="R135" s="295" t="str">
        <f>IF(B135="","",'Statement of Marks'!FF138)</f>
        <v/>
      </c>
      <c r="S135" s="434" t="str">
        <f>IFERROR(IF(B135="","",CONCATENATE(IF(AND('Marks Entry'!U138="A"),'Marks Entry'!$U$2,IF(AND('Marks Entry'!U138="B"),'Marks Entry'!$Y$2,IF(AND('Marks Entry'!U138="C"),'Marks Entry'!$AA$2,""))),", ",IF(AND('Marks Entry'!AC138="A"),'Marks Entry'!$AC$2,IF(AND('Marks Entry'!AC138="B"),'Marks Entry'!$AG$2,IF(AND('Marks Entry'!AC138="C"),'Marks Entry'!$AI$2,""))),", ",IF(AND('Marks Entry'!AK138="A"),'Marks Entry'!$AK$2,IF(AND('Marks Entry'!AK138="B"),'Marks Entry'!$AO$2,IF(AND('Marks Entry'!AK138="C"),'Marks Entry'!$AQ$2,""))),", ",IF(AND('Statement of Marks'!DD138=""),"",IF(AND('Statement of Marks'!DD138="A"),'Marks Entry'!$AS$2,IF(AND('Statement of Marks'!DD138="B"),'Marks Entry'!$AW$2,IF(AND('Statement of Marks'!DD138="C"),'Marks Entry'!$AY$2,"")))))),"")</f>
        <v/>
      </c>
      <c r="T135" s="435" t="str">
        <f>IF(COUNTIF(K135:R135,"F")&gt;0,"",CONCATENATE('Statement of Marks'!GU138,'Statement of Marks'!GW138))</f>
        <v xml:space="preserve">           </v>
      </c>
      <c r="BG135" s="17">
        <f>IFERROR(VLOOKUP(B135,'Statement of Marks'!$B$8:'Statement of Marks'!$HI$207,41,0),"")</f>
        <v>15</v>
      </c>
      <c r="BH135" s="17" t="str">
        <f>IFERROR(VLOOKUP(B135,'Statement of Marks'!$B$8:'Statement of Marks'!$HI$207,66,0),"")</f>
        <v/>
      </c>
      <c r="BI135" s="17">
        <f>IFERROR(VLOOKUP(B135,'Statement of Marks'!$B$8:'Statement of Marks'!$HI$207,91,0),"")</f>
        <v>60</v>
      </c>
      <c r="BJ135" s="17" t="str">
        <f>IFERROR(VLOOKUP(B135,'Statement of Marks'!$B$8:'Statement of Marks'!$HI$207,117,0),"")</f>
        <v/>
      </c>
    </row>
    <row r="136" spans="1:62" ht="24.95" customHeight="1">
      <c r="A136" s="283">
        <f>IF('Statement of Marks'!A139="","",'Statement of Marks'!A139)</f>
        <v>132</v>
      </c>
      <c r="B136" s="283" t="str">
        <f>IF('Statement of Marks'!B139="","",'Statement of Marks'!B139)</f>
        <v/>
      </c>
      <c r="C136" s="283" t="str">
        <f>IF('Statement of Marks'!C139="","",'Statement of Marks'!C139)</f>
        <v/>
      </c>
      <c r="D136" s="430" t="str">
        <f>IF('Statement of Marks'!D139="","",'Statement of Marks'!D139)</f>
        <v/>
      </c>
      <c r="E136" s="431" t="str">
        <f>IF('Statement of Marks'!E139="","",'Statement of Marks'!E139)</f>
        <v/>
      </c>
      <c r="F136" s="431" t="str">
        <f>IF('Statement of Marks'!F139="","",'Statement of Marks'!F139)</f>
        <v/>
      </c>
      <c r="G136" s="431" t="str">
        <f>IF('Statement of Marks'!G139="","",'Statement of Marks'!G139)</f>
        <v/>
      </c>
      <c r="H136" s="432" t="str">
        <f>IF(B136="","",IF('Statement of Marks'!GY139="","",'Statement of Marks'!GY139))</f>
        <v/>
      </c>
      <c r="I136" s="286" t="str">
        <f>IF(B136="","",IF('Statement of Marks'!HB139="","",'Statement of Marks'!HB139))</f>
        <v/>
      </c>
      <c r="J136" s="433" t="str">
        <f>IF(B136="","",IF('Statement of Marks'!HC139="","",'Statement of Marks'!HC139))</f>
        <v/>
      </c>
      <c r="K136" s="295" t="str">
        <f>IF(B136="","",'Statement of Marks'!FJ139)</f>
        <v/>
      </c>
      <c r="L136" s="295" t="str">
        <f>IF(B136="","",'Statement of Marks'!FM139)</f>
        <v/>
      </c>
      <c r="M136" s="295" t="str">
        <f>IF(B136="","",'Statement of Marks'!FP139)</f>
        <v/>
      </c>
      <c r="N136" s="295" t="str">
        <f>IF(B136="","",'Statement of Marks'!FW139)</f>
        <v/>
      </c>
      <c r="O136" s="295" t="str">
        <f>IF(B136="","",'Statement of Marks'!GD139)</f>
        <v/>
      </c>
      <c r="P136" s="295" t="str">
        <f>IF(B136="","",'Statement of Marks'!GK139)</f>
        <v/>
      </c>
      <c r="Q136" s="295" t="str">
        <f>IF(B136="","",'Statement of Marks'!GR139)</f>
        <v/>
      </c>
      <c r="R136" s="295" t="str">
        <f>IF(B136="","",'Statement of Marks'!FF139)</f>
        <v/>
      </c>
      <c r="S136" s="434" t="str">
        <f>IFERROR(IF(B136="","",CONCATENATE(IF(AND('Marks Entry'!U139="A"),'Marks Entry'!$U$2,IF(AND('Marks Entry'!U139="B"),'Marks Entry'!$Y$2,IF(AND('Marks Entry'!U139="C"),'Marks Entry'!$AA$2,""))),", ",IF(AND('Marks Entry'!AC139="A"),'Marks Entry'!$AC$2,IF(AND('Marks Entry'!AC139="B"),'Marks Entry'!$AG$2,IF(AND('Marks Entry'!AC139="C"),'Marks Entry'!$AI$2,""))),", ",IF(AND('Marks Entry'!AK139="A"),'Marks Entry'!$AK$2,IF(AND('Marks Entry'!AK139="B"),'Marks Entry'!$AO$2,IF(AND('Marks Entry'!AK139="C"),'Marks Entry'!$AQ$2,""))),", ",IF(AND('Statement of Marks'!DD139=""),"",IF(AND('Statement of Marks'!DD139="A"),'Marks Entry'!$AS$2,IF(AND('Statement of Marks'!DD139="B"),'Marks Entry'!$AW$2,IF(AND('Statement of Marks'!DD139="C"),'Marks Entry'!$AY$2,"")))))),"")</f>
        <v/>
      </c>
      <c r="T136" s="435" t="str">
        <f>IF(COUNTIF(K136:R136,"F")&gt;0,"",CONCATENATE('Statement of Marks'!GU139,'Statement of Marks'!GW139))</f>
        <v xml:space="preserve">           </v>
      </c>
      <c r="BG136" s="17">
        <f>IFERROR(VLOOKUP(B136,'Statement of Marks'!$B$8:'Statement of Marks'!$HI$207,41,0),"")</f>
        <v>15</v>
      </c>
      <c r="BH136" s="17" t="str">
        <f>IFERROR(VLOOKUP(B136,'Statement of Marks'!$B$8:'Statement of Marks'!$HI$207,66,0),"")</f>
        <v/>
      </c>
      <c r="BI136" s="17">
        <f>IFERROR(VLOOKUP(B136,'Statement of Marks'!$B$8:'Statement of Marks'!$HI$207,91,0),"")</f>
        <v>60</v>
      </c>
      <c r="BJ136" s="17" t="str">
        <f>IFERROR(VLOOKUP(B136,'Statement of Marks'!$B$8:'Statement of Marks'!$HI$207,117,0),"")</f>
        <v/>
      </c>
    </row>
    <row r="137" spans="1:62" ht="24.95" customHeight="1">
      <c r="A137" s="283">
        <f>IF('Statement of Marks'!A140="","",'Statement of Marks'!A140)</f>
        <v>133</v>
      </c>
      <c r="B137" s="283" t="str">
        <f>IF('Statement of Marks'!B140="","",'Statement of Marks'!B140)</f>
        <v/>
      </c>
      <c r="C137" s="283" t="str">
        <f>IF('Statement of Marks'!C140="","",'Statement of Marks'!C140)</f>
        <v/>
      </c>
      <c r="D137" s="430" t="str">
        <f>IF('Statement of Marks'!D140="","",'Statement of Marks'!D140)</f>
        <v/>
      </c>
      <c r="E137" s="431" t="str">
        <f>IF('Statement of Marks'!E140="","",'Statement of Marks'!E140)</f>
        <v/>
      </c>
      <c r="F137" s="431" t="str">
        <f>IF('Statement of Marks'!F140="","",'Statement of Marks'!F140)</f>
        <v/>
      </c>
      <c r="G137" s="431" t="str">
        <f>IF('Statement of Marks'!G140="","",'Statement of Marks'!G140)</f>
        <v/>
      </c>
      <c r="H137" s="432" t="str">
        <f>IF(B137="","",IF('Statement of Marks'!GY140="","",'Statement of Marks'!GY140))</f>
        <v/>
      </c>
      <c r="I137" s="286" t="str">
        <f>IF(B137="","",IF('Statement of Marks'!HB140="","",'Statement of Marks'!HB140))</f>
        <v/>
      </c>
      <c r="J137" s="433" t="str">
        <f>IF(B137="","",IF('Statement of Marks'!HC140="","",'Statement of Marks'!HC140))</f>
        <v/>
      </c>
      <c r="K137" s="295" t="str">
        <f>IF(B137="","",'Statement of Marks'!FJ140)</f>
        <v/>
      </c>
      <c r="L137" s="295" t="str">
        <f>IF(B137="","",'Statement of Marks'!FM140)</f>
        <v/>
      </c>
      <c r="M137" s="295" t="str">
        <f>IF(B137="","",'Statement of Marks'!FP140)</f>
        <v/>
      </c>
      <c r="N137" s="295" t="str">
        <f>IF(B137="","",'Statement of Marks'!FW140)</f>
        <v/>
      </c>
      <c r="O137" s="295" t="str">
        <f>IF(B137="","",'Statement of Marks'!GD140)</f>
        <v/>
      </c>
      <c r="P137" s="295" t="str">
        <f>IF(B137="","",'Statement of Marks'!GK140)</f>
        <v/>
      </c>
      <c r="Q137" s="295" t="str">
        <f>IF(B137="","",'Statement of Marks'!GR140)</f>
        <v/>
      </c>
      <c r="R137" s="295" t="str">
        <f>IF(B137="","",'Statement of Marks'!FF140)</f>
        <v/>
      </c>
      <c r="S137" s="434" t="str">
        <f>IFERROR(IF(B137="","",CONCATENATE(IF(AND('Marks Entry'!U140="A"),'Marks Entry'!$U$2,IF(AND('Marks Entry'!U140="B"),'Marks Entry'!$Y$2,IF(AND('Marks Entry'!U140="C"),'Marks Entry'!$AA$2,""))),", ",IF(AND('Marks Entry'!AC140="A"),'Marks Entry'!$AC$2,IF(AND('Marks Entry'!AC140="B"),'Marks Entry'!$AG$2,IF(AND('Marks Entry'!AC140="C"),'Marks Entry'!$AI$2,""))),", ",IF(AND('Marks Entry'!AK140="A"),'Marks Entry'!$AK$2,IF(AND('Marks Entry'!AK140="B"),'Marks Entry'!$AO$2,IF(AND('Marks Entry'!AK140="C"),'Marks Entry'!$AQ$2,""))),", ",IF(AND('Statement of Marks'!DD140=""),"",IF(AND('Statement of Marks'!DD140="A"),'Marks Entry'!$AS$2,IF(AND('Statement of Marks'!DD140="B"),'Marks Entry'!$AW$2,IF(AND('Statement of Marks'!DD140="C"),'Marks Entry'!$AY$2,"")))))),"")</f>
        <v/>
      </c>
      <c r="T137" s="435" t="str">
        <f>IF(COUNTIF(K137:R137,"F")&gt;0,"",CONCATENATE('Statement of Marks'!GU140,'Statement of Marks'!GW140))</f>
        <v xml:space="preserve">           </v>
      </c>
      <c r="BG137" s="17">
        <f>IFERROR(VLOOKUP(B137,'Statement of Marks'!$B$8:'Statement of Marks'!$HI$207,41,0),"")</f>
        <v>15</v>
      </c>
      <c r="BH137" s="17" t="str">
        <f>IFERROR(VLOOKUP(B137,'Statement of Marks'!$B$8:'Statement of Marks'!$HI$207,66,0),"")</f>
        <v/>
      </c>
      <c r="BI137" s="17">
        <f>IFERROR(VLOOKUP(B137,'Statement of Marks'!$B$8:'Statement of Marks'!$HI$207,91,0),"")</f>
        <v>60</v>
      </c>
      <c r="BJ137" s="17" t="str">
        <f>IFERROR(VLOOKUP(B137,'Statement of Marks'!$B$8:'Statement of Marks'!$HI$207,117,0),"")</f>
        <v/>
      </c>
    </row>
    <row r="138" spans="1:62" ht="24.95" customHeight="1">
      <c r="A138" s="283">
        <f>IF('Statement of Marks'!A141="","",'Statement of Marks'!A141)</f>
        <v>134</v>
      </c>
      <c r="B138" s="283" t="str">
        <f>IF('Statement of Marks'!B141="","",'Statement of Marks'!B141)</f>
        <v/>
      </c>
      <c r="C138" s="283" t="str">
        <f>IF('Statement of Marks'!C141="","",'Statement of Marks'!C141)</f>
        <v/>
      </c>
      <c r="D138" s="430" t="str">
        <f>IF('Statement of Marks'!D141="","",'Statement of Marks'!D141)</f>
        <v/>
      </c>
      <c r="E138" s="431" t="str">
        <f>IF('Statement of Marks'!E141="","",'Statement of Marks'!E141)</f>
        <v/>
      </c>
      <c r="F138" s="431" t="str">
        <f>IF('Statement of Marks'!F141="","",'Statement of Marks'!F141)</f>
        <v/>
      </c>
      <c r="G138" s="431" t="str">
        <f>IF('Statement of Marks'!G141="","",'Statement of Marks'!G141)</f>
        <v/>
      </c>
      <c r="H138" s="432" t="str">
        <f>IF(B138="","",IF('Statement of Marks'!GY141="","",'Statement of Marks'!GY141))</f>
        <v/>
      </c>
      <c r="I138" s="286" t="str">
        <f>IF(B138="","",IF('Statement of Marks'!HB141="","",'Statement of Marks'!HB141))</f>
        <v/>
      </c>
      <c r="J138" s="433" t="str">
        <f>IF(B138="","",IF('Statement of Marks'!HC141="","",'Statement of Marks'!HC141))</f>
        <v/>
      </c>
      <c r="K138" s="295" t="str">
        <f>IF(B138="","",'Statement of Marks'!FJ141)</f>
        <v/>
      </c>
      <c r="L138" s="295" t="str">
        <f>IF(B138="","",'Statement of Marks'!FM141)</f>
        <v/>
      </c>
      <c r="M138" s="295" t="str">
        <f>IF(B138="","",'Statement of Marks'!FP141)</f>
        <v/>
      </c>
      <c r="N138" s="295" t="str">
        <f>IF(B138="","",'Statement of Marks'!FW141)</f>
        <v/>
      </c>
      <c r="O138" s="295" t="str">
        <f>IF(B138="","",'Statement of Marks'!GD141)</f>
        <v/>
      </c>
      <c r="P138" s="295" t="str">
        <f>IF(B138="","",'Statement of Marks'!GK141)</f>
        <v/>
      </c>
      <c r="Q138" s="295" t="str">
        <f>IF(B138="","",'Statement of Marks'!GR141)</f>
        <v/>
      </c>
      <c r="R138" s="295" t="str">
        <f>IF(B138="","",'Statement of Marks'!FF141)</f>
        <v/>
      </c>
      <c r="S138" s="434" t="str">
        <f>IFERROR(IF(B138="","",CONCATENATE(IF(AND('Marks Entry'!U141="A"),'Marks Entry'!$U$2,IF(AND('Marks Entry'!U141="B"),'Marks Entry'!$Y$2,IF(AND('Marks Entry'!U141="C"),'Marks Entry'!$AA$2,""))),", ",IF(AND('Marks Entry'!AC141="A"),'Marks Entry'!$AC$2,IF(AND('Marks Entry'!AC141="B"),'Marks Entry'!$AG$2,IF(AND('Marks Entry'!AC141="C"),'Marks Entry'!$AI$2,""))),", ",IF(AND('Marks Entry'!AK141="A"),'Marks Entry'!$AK$2,IF(AND('Marks Entry'!AK141="B"),'Marks Entry'!$AO$2,IF(AND('Marks Entry'!AK141="C"),'Marks Entry'!$AQ$2,""))),", ",IF(AND('Statement of Marks'!DD141=""),"",IF(AND('Statement of Marks'!DD141="A"),'Marks Entry'!$AS$2,IF(AND('Statement of Marks'!DD141="B"),'Marks Entry'!$AW$2,IF(AND('Statement of Marks'!DD141="C"),'Marks Entry'!$AY$2,"")))))),"")</f>
        <v/>
      </c>
      <c r="T138" s="435" t="str">
        <f>IF(COUNTIF(K138:R138,"F")&gt;0,"",CONCATENATE('Statement of Marks'!GU141,'Statement of Marks'!GW141))</f>
        <v xml:space="preserve">           </v>
      </c>
      <c r="BG138" s="17">
        <f>IFERROR(VLOOKUP(B138,'Statement of Marks'!$B$8:'Statement of Marks'!$HI$207,41,0),"")</f>
        <v>15</v>
      </c>
      <c r="BH138" s="17" t="str">
        <f>IFERROR(VLOOKUP(B138,'Statement of Marks'!$B$8:'Statement of Marks'!$HI$207,66,0),"")</f>
        <v/>
      </c>
      <c r="BI138" s="17">
        <f>IFERROR(VLOOKUP(B138,'Statement of Marks'!$B$8:'Statement of Marks'!$HI$207,91,0),"")</f>
        <v>60</v>
      </c>
      <c r="BJ138" s="17" t="str">
        <f>IFERROR(VLOOKUP(B138,'Statement of Marks'!$B$8:'Statement of Marks'!$HI$207,117,0),"")</f>
        <v/>
      </c>
    </row>
    <row r="139" spans="1:62" ht="24.95" customHeight="1">
      <c r="A139" s="283">
        <f>IF('Statement of Marks'!A142="","",'Statement of Marks'!A142)</f>
        <v>135</v>
      </c>
      <c r="B139" s="283" t="str">
        <f>IF('Statement of Marks'!B142="","",'Statement of Marks'!B142)</f>
        <v/>
      </c>
      <c r="C139" s="283" t="str">
        <f>IF('Statement of Marks'!C142="","",'Statement of Marks'!C142)</f>
        <v/>
      </c>
      <c r="D139" s="430" t="str">
        <f>IF('Statement of Marks'!D142="","",'Statement of Marks'!D142)</f>
        <v/>
      </c>
      <c r="E139" s="431" t="str">
        <f>IF('Statement of Marks'!E142="","",'Statement of Marks'!E142)</f>
        <v/>
      </c>
      <c r="F139" s="431" t="str">
        <f>IF('Statement of Marks'!F142="","",'Statement of Marks'!F142)</f>
        <v/>
      </c>
      <c r="G139" s="431" t="str">
        <f>IF('Statement of Marks'!G142="","",'Statement of Marks'!G142)</f>
        <v/>
      </c>
      <c r="H139" s="432" t="str">
        <f>IF(B139="","",IF('Statement of Marks'!GY142="","",'Statement of Marks'!GY142))</f>
        <v/>
      </c>
      <c r="I139" s="286" t="str">
        <f>IF(B139="","",IF('Statement of Marks'!HB142="","",'Statement of Marks'!HB142))</f>
        <v/>
      </c>
      <c r="J139" s="433" t="str">
        <f>IF(B139="","",IF('Statement of Marks'!HC142="","",'Statement of Marks'!HC142))</f>
        <v/>
      </c>
      <c r="K139" s="295" t="str">
        <f>IF(B139="","",'Statement of Marks'!FJ142)</f>
        <v/>
      </c>
      <c r="L139" s="295" t="str">
        <f>IF(B139="","",'Statement of Marks'!FM142)</f>
        <v/>
      </c>
      <c r="M139" s="295" t="str">
        <f>IF(B139="","",'Statement of Marks'!FP142)</f>
        <v/>
      </c>
      <c r="N139" s="295" t="str">
        <f>IF(B139="","",'Statement of Marks'!FW142)</f>
        <v/>
      </c>
      <c r="O139" s="295" t="str">
        <f>IF(B139="","",'Statement of Marks'!GD142)</f>
        <v/>
      </c>
      <c r="P139" s="295" t="str">
        <f>IF(B139="","",'Statement of Marks'!GK142)</f>
        <v/>
      </c>
      <c r="Q139" s="295" t="str">
        <f>IF(B139="","",'Statement of Marks'!GR142)</f>
        <v/>
      </c>
      <c r="R139" s="295" t="str">
        <f>IF(B139="","",'Statement of Marks'!FF142)</f>
        <v/>
      </c>
      <c r="S139" s="434" t="str">
        <f>IFERROR(IF(B139="","",CONCATENATE(IF(AND('Marks Entry'!U142="A"),'Marks Entry'!$U$2,IF(AND('Marks Entry'!U142="B"),'Marks Entry'!$Y$2,IF(AND('Marks Entry'!U142="C"),'Marks Entry'!$AA$2,""))),", ",IF(AND('Marks Entry'!AC142="A"),'Marks Entry'!$AC$2,IF(AND('Marks Entry'!AC142="B"),'Marks Entry'!$AG$2,IF(AND('Marks Entry'!AC142="C"),'Marks Entry'!$AI$2,""))),", ",IF(AND('Marks Entry'!AK142="A"),'Marks Entry'!$AK$2,IF(AND('Marks Entry'!AK142="B"),'Marks Entry'!$AO$2,IF(AND('Marks Entry'!AK142="C"),'Marks Entry'!$AQ$2,""))),", ",IF(AND('Statement of Marks'!DD142=""),"",IF(AND('Statement of Marks'!DD142="A"),'Marks Entry'!$AS$2,IF(AND('Statement of Marks'!DD142="B"),'Marks Entry'!$AW$2,IF(AND('Statement of Marks'!DD142="C"),'Marks Entry'!$AY$2,"")))))),"")</f>
        <v/>
      </c>
      <c r="T139" s="435" t="str">
        <f>IF(COUNTIF(K139:R139,"F")&gt;0,"",CONCATENATE('Statement of Marks'!GU142,'Statement of Marks'!GW142))</f>
        <v xml:space="preserve">           </v>
      </c>
      <c r="BG139" s="17">
        <f>IFERROR(VLOOKUP(B139,'Statement of Marks'!$B$8:'Statement of Marks'!$HI$207,41,0),"")</f>
        <v>15</v>
      </c>
      <c r="BH139" s="17" t="str">
        <f>IFERROR(VLOOKUP(B139,'Statement of Marks'!$B$8:'Statement of Marks'!$HI$207,66,0),"")</f>
        <v/>
      </c>
      <c r="BI139" s="17">
        <f>IFERROR(VLOOKUP(B139,'Statement of Marks'!$B$8:'Statement of Marks'!$HI$207,91,0),"")</f>
        <v>60</v>
      </c>
      <c r="BJ139" s="17" t="str">
        <f>IFERROR(VLOOKUP(B139,'Statement of Marks'!$B$8:'Statement of Marks'!$HI$207,117,0),"")</f>
        <v/>
      </c>
    </row>
    <row r="140" spans="1:62" ht="24.95" customHeight="1">
      <c r="A140" s="283">
        <f>IF('Statement of Marks'!A143="","",'Statement of Marks'!A143)</f>
        <v>136</v>
      </c>
      <c r="B140" s="283" t="str">
        <f>IF('Statement of Marks'!B143="","",'Statement of Marks'!B143)</f>
        <v/>
      </c>
      <c r="C140" s="283" t="str">
        <f>IF('Statement of Marks'!C143="","",'Statement of Marks'!C143)</f>
        <v/>
      </c>
      <c r="D140" s="430" t="str">
        <f>IF('Statement of Marks'!D143="","",'Statement of Marks'!D143)</f>
        <v/>
      </c>
      <c r="E140" s="431" t="str">
        <f>IF('Statement of Marks'!E143="","",'Statement of Marks'!E143)</f>
        <v/>
      </c>
      <c r="F140" s="431" t="str">
        <f>IF('Statement of Marks'!F143="","",'Statement of Marks'!F143)</f>
        <v/>
      </c>
      <c r="G140" s="431" t="str">
        <f>IF('Statement of Marks'!G143="","",'Statement of Marks'!G143)</f>
        <v/>
      </c>
      <c r="H140" s="432" t="str">
        <f>IF(B140="","",IF('Statement of Marks'!GY143="","",'Statement of Marks'!GY143))</f>
        <v/>
      </c>
      <c r="I140" s="286" t="str">
        <f>IF(B140="","",IF('Statement of Marks'!HB143="","",'Statement of Marks'!HB143))</f>
        <v/>
      </c>
      <c r="J140" s="433" t="str">
        <f>IF(B140="","",IF('Statement of Marks'!HC143="","",'Statement of Marks'!HC143))</f>
        <v/>
      </c>
      <c r="K140" s="295" t="str">
        <f>IF(B140="","",'Statement of Marks'!FJ143)</f>
        <v/>
      </c>
      <c r="L140" s="295" t="str">
        <f>IF(B140="","",'Statement of Marks'!FM143)</f>
        <v/>
      </c>
      <c r="M140" s="295" t="str">
        <f>IF(B140="","",'Statement of Marks'!FP143)</f>
        <v/>
      </c>
      <c r="N140" s="295" t="str">
        <f>IF(B140="","",'Statement of Marks'!FW143)</f>
        <v/>
      </c>
      <c r="O140" s="295" t="str">
        <f>IF(B140="","",'Statement of Marks'!GD143)</f>
        <v/>
      </c>
      <c r="P140" s="295" t="str">
        <f>IF(B140="","",'Statement of Marks'!GK143)</f>
        <v/>
      </c>
      <c r="Q140" s="295" t="str">
        <f>IF(B140="","",'Statement of Marks'!GR143)</f>
        <v/>
      </c>
      <c r="R140" s="295" t="str">
        <f>IF(B140="","",'Statement of Marks'!FF143)</f>
        <v/>
      </c>
      <c r="S140" s="434" t="str">
        <f>IFERROR(IF(B140="","",CONCATENATE(IF(AND('Marks Entry'!U143="A"),'Marks Entry'!$U$2,IF(AND('Marks Entry'!U143="B"),'Marks Entry'!$Y$2,IF(AND('Marks Entry'!U143="C"),'Marks Entry'!$AA$2,""))),", ",IF(AND('Marks Entry'!AC143="A"),'Marks Entry'!$AC$2,IF(AND('Marks Entry'!AC143="B"),'Marks Entry'!$AG$2,IF(AND('Marks Entry'!AC143="C"),'Marks Entry'!$AI$2,""))),", ",IF(AND('Marks Entry'!AK143="A"),'Marks Entry'!$AK$2,IF(AND('Marks Entry'!AK143="B"),'Marks Entry'!$AO$2,IF(AND('Marks Entry'!AK143="C"),'Marks Entry'!$AQ$2,""))),", ",IF(AND('Statement of Marks'!DD143=""),"",IF(AND('Statement of Marks'!DD143="A"),'Marks Entry'!$AS$2,IF(AND('Statement of Marks'!DD143="B"),'Marks Entry'!$AW$2,IF(AND('Statement of Marks'!DD143="C"),'Marks Entry'!$AY$2,"")))))),"")</f>
        <v/>
      </c>
      <c r="T140" s="435" t="str">
        <f>IF(COUNTIF(K140:R140,"F")&gt;0,"",CONCATENATE('Statement of Marks'!GU143,'Statement of Marks'!GW143))</f>
        <v xml:space="preserve">           </v>
      </c>
      <c r="BG140" s="17">
        <f>IFERROR(VLOOKUP(B140,'Statement of Marks'!$B$8:'Statement of Marks'!$HI$207,41,0),"")</f>
        <v>15</v>
      </c>
      <c r="BH140" s="17" t="str">
        <f>IFERROR(VLOOKUP(B140,'Statement of Marks'!$B$8:'Statement of Marks'!$HI$207,66,0),"")</f>
        <v/>
      </c>
      <c r="BI140" s="17">
        <f>IFERROR(VLOOKUP(B140,'Statement of Marks'!$B$8:'Statement of Marks'!$HI$207,91,0),"")</f>
        <v>60</v>
      </c>
      <c r="BJ140" s="17" t="str">
        <f>IFERROR(VLOOKUP(B140,'Statement of Marks'!$B$8:'Statement of Marks'!$HI$207,117,0),"")</f>
        <v/>
      </c>
    </row>
    <row r="141" spans="1:62" ht="24.95" customHeight="1">
      <c r="A141" s="283">
        <f>IF('Statement of Marks'!A144="","",'Statement of Marks'!A144)</f>
        <v>137</v>
      </c>
      <c r="B141" s="283" t="str">
        <f>IF('Statement of Marks'!B144="","",'Statement of Marks'!B144)</f>
        <v/>
      </c>
      <c r="C141" s="283" t="str">
        <f>IF('Statement of Marks'!C144="","",'Statement of Marks'!C144)</f>
        <v/>
      </c>
      <c r="D141" s="430" t="str">
        <f>IF('Statement of Marks'!D144="","",'Statement of Marks'!D144)</f>
        <v/>
      </c>
      <c r="E141" s="431" t="str">
        <f>IF('Statement of Marks'!E144="","",'Statement of Marks'!E144)</f>
        <v/>
      </c>
      <c r="F141" s="431" t="str">
        <f>IF('Statement of Marks'!F144="","",'Statement of Marks'!F144)</f>
        <v/>
      </c>
      <c r="G141" s="431" t="str">
        <f>IF('Statement of Marks'!G144="","",'Statement of Marks'!G144)</f>
        <v/>
      </c>
      <c r="H141" s="432" t="str">
        <f>IF(B141="","",IF('Statement of Marks'!GY144="","",'Statement of Marks'!GY144))</f>
        <v/>
      </c>
      <c r="I141" s="286" t="str">
        <f>IF(B141="","",IF('Statement of Marks'!HB144="","",'Statement of Marks'!HB144))</f>
        <v/>
      </c>
      <c r="J141" s="433" t="str">
        <f>IF(B141="","",IF('Statement of Marks'!HC144="","",'Statement of Marks'!HC144))</f>
        <v/>
      </c>
      <c r="K141" s="295" t="str">
        <f>IF(B141="","",'Statement of Marks'!FJ144)</f>
        <v/>
      </c>
      <c r="L141" s="295" t="str">
        <f>IF(B141="","",'Statement of Marks'!FM144)</f>
        <v/>
      </c>
      <c r="M141" s="295" t="str">
        <f>IF(B141="","",'Statement of Marks'!FP144)</f>
        <v/>
      </c>
      <c r="N141" s="295" t="str">
        <f>IF(B141="","",'Statement of Marks'!FW144)</f>
        <v/>
      </c>
      <c r="O141" s="295" t="str">
        <f>IF(B141="","",'Statement of Marks'!GD144)</f>
        <v/>
      </c>
      <c r="P141" s="295" t="str">
        <f>IF(B141="","",'Statement of Marks'!GK144)</f>
        <v/>
      </c>
      <c r="Q141" s="295" t="str">
        <f>IF(B141="","",'Statement of Marks'!GR144)</f>
        <v/>
      </c>
      <c r="R141" s="295" t="str">
        <f>IF(B141="","",'Statement of Marks'!FF144)</f>
        <v/>
      </c>
      <c r="S141" s="434" t="str">
        <f>IFERROR(IF(B141="","",CONCATENATE(IF(AND('Marks Entry'!U144="A"),'Marks Entry'!$U$2,IF(AND('Marks Entry'!U144="B"),'Marks Entry'!$Y$2,IF(AND('Marks Entry'!U144="C"),'Marks Entry'!$AA$2,""))),", ",IF(AND('Marks Entry'!AC144="A"),'Marks Entry'!$AC$2,IF(AND('Marks Entry'!AC144="B"),'Marks Entry'!$AG$2,IF(AND('Marks Entry'!AC144="C"),'Marks Entry'!$AI$2,""))),", ",IF(AND('Marks Entry'!AK144="A"),'Marks Entry'!$AK$2,IF(AND('Marks Entry'!AK144="B"),'Marks Entry'!$AO$2,IF(AND('Marks Entry'!AK144="C"),'Marks Entry'!$AQ$2,""))),", ",IF(AND('Statement of Marks'!DD144=""),"",IF(AND('Statement of Marks'!DD144="A"),'Marks Entry'!$AS$2,IF(AND('Statement of Marks'!DD144="B"),'Marks Entry'!$AW$2,IF(AND('Statement of Marks'!DD144="C"),'Marks Entry'!$AY$2,"")))))),"")</f>
        <v/>
      </c>
      <c r="T141" s="435" t="str">
        <f>IF(COUNTIF(K141:R141,"F")&gt;0,"",CONCATENATE('Statement of Marks'!GU144,'Statement of Marks'!GW144))</f>
        <v xml:space="preserve">           </v>
      </c>
      <c r="BG141" s="17">
        <f>IFERROR(VLOOKUP(B141,'Statement of Marks'!$B$8:'Statement of Marks'!$HI$207,41,0),"")</f>
        <v>15</v>
      </c>
      <c r="BH141" s="17" t="str">
        <f>IFERROR(VLOOKUP(B141,'Statement of Marks'!$B$8:'Statement of Marks'!$HI$207,66,0),"")</f>
        <v/>
      </c>
      <c r="BI141" s="17">
        <f>IFERROR(VLOOKUP(B141,'Statement of Marks'!$B$8:'Statement of Marks'!$HI$207,91,0),"")</f>
        <v>60</v>
      </c>
      <c r="BJ141" s="17" t="str">
        <f>IFERROR(VLOOKUP(B141,'Statement of Marks'!$B$8:'Statement of Marks'!$HI$207,117,0),"")</f>
        <v/>
      </c>
    </row>
    <row r="142" spans="1:62" ht="24.95" customHeight="1">
      <c r="A142" s="283">
        <f>IF('Statement of Marks'!A145="","",'Statement of Marks'!A145)</f>
        <v>138</v>
      </c>
      <c r="B142" s="283" t="str">
        <f>IF('Statement of Marks'!B145="","",'Statement of Marks'!B145)</f>
        <v/>
      </c>
      <c r="C142" s="283" t="str">
        <f>IF('Statement of Marks'!C145="","",'Statement of Marks'!C145)</f>
        <v/>
      </c>
      <c r="D142" s="430" t="str">
        <f>IF('Statement of Marks'!D145="","",'Statement of Marks'!D145)</f>
        <v/>
      </c>
      <c r="E142" s="431" t="str">
        <f>IF('Statement of Marks'!E145="","",'Statement of Marks'!E145)</f>
        <v/>
      </c>
      <c r="F142" s="431" t="str">
        <f>IF('Statement of Marks'!F145="","",'Statement of Marks'!F145)</f>
        <v/>
      </c>
      <c r="G142" s="431" t="str">
        <f>IF('Statement of Marks'!G145="","",'Statement of Marks'!G145)</f>
        <v/>
      </c>
      <c r="H142" s="432" t="str">
        <f>IF(B142="","",IF('Statement of Marks'!GY145="","",'Statement of Marks'!GY145))</f>
        <v/>
      </c>
      <c r="I142" s="286" t="str">
        <f>IF(B142="","",IF('Statement of Marks'!HB145="","",'Statement of Marks'!HB145))</f>
        <v/>
      </c>
      <c r="J142" s="433" t="str">
        <f>IF(B142="","",IF('Statement of Marks'!HC145="","",'Statement of Marks'!HC145))</f>
        <v/>
      </c>
      <c r="K142" s="295" t="str">
        <f>IF(B142="","",'Statement of Marks'!FJ145)</f>
        <v/>
      </c>
      <c r="L142" s="295" t="str">
        <f>IF(B142="","",'Statement of Marks'!FM145)</f>
        <v/>
      </c>
      <c r="M142" s="295" t="str">
        <f>IF(B142="","",'Statement of Marks'!FP145)</f>
        <v/>
      </c>
      <c r="N142" s="295" t="str">
        <f>IF(B142="","",'Statement of Marks'!FW145)</f>
        <v/>
      </c>
      <c r="O142" s="295" t="str">
        <f>IF(B142="","",'Statement of Marks'!GD145)</f>
        <v/>
      </c>
      <c r="P142" s="295" t="str">
        <f>IF(B142="","",'Statement of Marks'!GK145)</f>
        <v/>
      </c>
      <c r="Q142" s="295" t="str">
        <f>IF(B142="","",'Statement of Marks'!GR145)</f>
        <v/>
      </c>
      <c r="R142" s="295" t="str">
        <f>IF(B142="","",'Statement of Marks'!FF145)</f>
        <v/>
      </c>
      <c r="S142" s="434" t="str">
        <f>IFERROR(IF(B142="","",CONCATENATE(IF(AND('Marks Entry'!U145="A"),'Marks Entry'!$U$2,IF(AND('Marks Entry'!U145="B"),'Marks Entry'!$Y$2,IF(AND('Marks Entry'!U145="C"),'Marks Entry'!$AA$2,""))),", ",IF(AND('Marks Entry'!AC145="A"),'Marks Entry'!$AC$2,IF(AND('Marks Entry'!AC145="B"),'Marks Entry'!$AG$2,IF(AND('Marks Entry'!AC145="C"),'Marks Entry'!$AI$2,""))),", ",IF(AND('Marks Entry'!AK145="A"),'Marks Entry'!$AK$2,IF(AND('Marks Entry'!AK145="B"),'Marks Entry'!$AO$2,IF(AND('Marks Entry'!AK145="C"),'Marks Entry'!$AQ$2,""))),", ",IF(AND('Statement of Marks'!DD145=""),"",IF(AND('Statement of Marks'!DD145="A"),'Marks Entry'!$AS$2,IF(AND('Statement of Marks'!DD145="B"),'Marks Entry'!$AW$2,IF(AND('Statement of Marks'!DD145="C"),'Marks Entry'!$AY$2,"")))))),"")</f>
        <v/>
      </c>
      <c r="T142" s="435" t="str">
        <f>IF(COUNTIF(K142:R142,"F")&gt;0,"",CONCATENATE('Statement of Marks'!GU145,'Statement of Marks'!GW145))</f>
        <v xml:space="preserve">           </v>
      </c>
      <c r="BG142" s="17">
        <f>IFERROR(VLOOKUP(B142,'Statement of Marks'!$B$8:'Statement of Marks'!$HI$207,41,0),"")</f>
        <v>15</v>
      </c>
      <c r="BH142" s="17" t="str">
        <f>IFERROR(VLOOKUP(B142,'Statement of Marks'!$B$8:'Statement of Marks'!$HI$207,66,0),"")</f>
        <v/>
      </c>
      <c r="BI142" s="17">
        <f>IFERROR(VLOOKUP(B142,'Statement of Marks'!$B$8:'Statement of Marks'!$HI$207,91,0),"")</f>
        <v>60</v>
      </c>
      <c r="BJ142" s="17" t="str">
        <f>IFERROR(VLOOKUP(B142,'Statement of Marks'!$B$8:'Statement of Marks'!$HI$207,117,0),"")</f>
        <v/>
      </c>
    </row>
    <row r="143" spans="1:62" ht="24.95" customHeight="1">
      <c r="A143" s="283">
        <f>IF('Statement of Marks'!A146="","",'Statement of Marks'!A146)</f>
        <v>139</v>
      </c>
      <c r="B143" s="283" t="str">
        <f>IF('Statement of Marks'!B146="","",'Statement of Marks'!B146)</f>
        <v/>
      </c>
      <c r="C143" s="283" t="str">
        <f>IF('Statement of Marks'!C146="","",'Statement of Marks'!C146)</f>
        <v/>
      </c>
      <c r="D143" s="430" t="str">
        <f>IF('Statement of Marks'!D146="","",'Statement of Marks'!D146)</f>
        <v/>
      </c>
      <c r="E143" s="431" t="str">
        <f>IF('Statement of Marks'!E146="","",'Statement of Marks'!E146)</f>
        <v/>
      </c>
      <c r="F143" s="431" t="str">
        <f>IF('Statement of Marks'!F146="","",'Statement of Marks'!F146)</f>
        <v/>
      </c>
      <c r="G143" s="431" t="str">
        <f>IF('Statement of Marks'!G146="","",'Statement of Marks'!G146)</f>
        <v/>
      </c>
      <c r="H143" s="432" t="str">
        <f>IF(B143="","",IF('Statement of Marks'!GY146="","",'Statement of Marks'!GY146))</f>
        <v/>
      </c>
      <c r="I143" s="286" t="str">
        <f>IF(B143="","",IF('Statement of Marks'!HB146="","",'Statement of Marks'!HB146))</f>
        <v/>
      </c>
      <c r="J143" s="433" t="str">
        <f>IF(B143="","",IF('Statement of Marks'!HC146="","",'Statement of Marks'!HC146))</f>
        <v/>
      </c>
      <c r="K143" s="295" t="str">
        <f>IF(B143="","",'Statement of Marks'!FJ146)</f>
        <v/>
      </c>
      <c r="L143" s="295" t="str">
        <f>IF(B143="","",'Statement of Marks'!FM146)</f>
        <v/>
      </c>
      <c r="M143" s="295" t="str">
        <f>IF(B143="","",'Statement of Marks'!FP146)</f>
        <v/>
      </c>
      <c r="N143" s="295" t="str">
        <f>IF(B143="","",'Statement of Marks'!FW146)</f>
        <v/>
      </c>
      <c r="O143" s="295" t="str">
        <f>IF(B143="","",'Statement of Marks'!GD146)</f>
        <v/>
      </c>
      <c r="P143" s="295" t="str">
        <f>IF(B143="","",'Statement of Marks'!GK146)</f>
        <v/>
      </c>
      <c r="Q143" s="295" t="str">
        <f>IF(B143="","",'Statement of Marks'!GR146)</f>
        <v/>
      </c>
      <c r="R143" s="295" t="str">
        <f>IF(B143="","",'Statement of Marks'!FF146)</f>
        <v/>
      </c>
      <c r="S143" s="434" t="str">
        <f>IFERROR(IF(B143="","",CONCATENATE(IF(AND('Marks Entry'!U146="A"),'Marks Entry'!$U$2,IF(AND('Marks Entry'!U146="B"),'Marks Entry'!$Y$2,IF(AND('Marks Entry'!U146="C"),'Marks Entry'!$AA$2,""))),", ",IF(AND('Marks Entry'!AC146="A"),'Marks Entry'!$AC$2,IF(AND('Marks Entry'!AC146="B"),'Marks Entry'!$AG$2,IF(AND('Marks Entry'!AC146="C"),'Marks Entry'!$AI$2,""))),", ",IF(AND('Marks Entry'!AK146="A"),'Marks Entry'!$AK$2,IF(AND('Marks Entry'!AK146="B"),'Marks Entry'!$AO$2,IF(AND('Marks Entry'!AK146="C"),'Marks Entry'!$AQ$2,""))),", ",IF(AND('Statement of Marks'!DD146=""),"",IF(AND('Statement of Marks'!DD146="A"),'Marks Entry'!$AS$2,IF(AND('Statement of Marks'!DD146="B"),'Marks Entry'!$AW$2,IF(AND('Statement of Marks'!DD146="C"),'Marks Entry'!$AY$2,"")))))),"")</f>
        <v/>
      </c>
      <c r="T143" s="435" t="str">
        <f>IF(COUNTIF(K143:R143,"F")&gt;0,"",CONCATENATE('Statement of Marks'!GU146,'Statement of Marks'!GW146))</f>
        <v xml:space="preserve">           </v>
      </c>
      <c r="BG143" s="17">
        <f>IFERROR(VLOOKUP(B143,'Statement of Marks'!$B$8:'Statement of Marks'!$HI$207,41,0),"")</f>
        <v>15</v>
      </c>
      <c r="BH143" s="17" t="str">
        <f>IFERROR(VLOOKUP(B143,'Statement of Marks'!$B$8:'Statement of Marks'!$HI$207,66,0),"")</f>
        <v/>
      </c>
      <c r="BI143" s="17">
        <f>IFERROR(VLOOKUP(B143,'Statement of Marks'!$B$8:'Statement of Marks'!$HI$207,91,0),"")</f>
        <v>60</v>
      </c>
      <c r="BJ143" s="17" t="str">
        <f>IFERROR(VLOOKUP(B143,'Statement of Marks'!$B$8:'Statement of Marks'!$HI$207,117,0),"")</f>
        <v/>
      </c>
    </row>
    <row r="144" spans="1:62" ht="24.95" customHeight="1">
      <c r="A144" s="283">
        <f>IF('Statement of Marks'!A147="","",'Statement of Marks'!A147)</f>
        <v>140</v>
      </c>
      <c r="B144" s="283" t="str">
        <f>IF('Statement of Marks'!B147="","",'Statement of Marks'!B147)</f>
        <v/>
      </c>
      <c r="C144" s="283" t="str">
        <f>IF('Statement of Marks'!C147="","",'Statement of Marks'!C147)</f>
        <v/>
      </c>
      <c r="D144" s="430" t="str">
        <f>IF('Statement of Marks'!D147="","",'Statement of Marks'!D147)</f>
        <v/>
      </c>
      <c r="E144" s="431" t="str">
        <f>IF('Statement of Marks'!E147="","",'Statement of Marks'!E147)</f>
        <v/>
      </c>
      <c r="F144" s="431" t="str">
        <f>IF('Statement of Marks'!F147="","",'Statement of Marks'!F147)</f>
        <v/>
      </c>
      <c r="G144" s="431" t="str">
        <f>IF('Statement of Marks'!G147="","",'Statement of Marks'!G147)</f>
        <v/>
      </c>
      <c r="H144" s="432" t="str">
        <f>IF(B144="","",IF('Statement of Marks'!GY147="","",'Statement of Marks'!GY147))</f>
        <v/>
      </c>
      <c r="I144" s="286" t="str">
        <f>IF(B144="","",IF('Statement of Marks'!HB147="","",'Statement of Marks'!HB147))</f>
        <v/>
      </c>
      <c r="J144" s="433" t="str">
        <f>IF(B144="","",IF('Statement of Marks'!HC147="","",'Statement of Marks'!HC147))</f>
        <v/>
      </c>
      <c r="K144" s="295" t="str">
        <f>IF(B144="","",'Statement of Marks'!FJ147)</f>
        <v/>
      </c>
      <c r="L144" s="295" t="str">
        <f>IF(B144="","",'Statement of Marks'!FM147)</f>
        <v/>
      </c>
      <c r="M144" s="295" t="str">
        <f>IF(B144="","",'Statement of Marks'!FP147)</f>
        <v/>
      </c>
      <c r="N144" s="295" t="str">
        <f>IF(B144="","",'Statement of Marks'!FW147)</f>
        <v/>
      </c>
      <c r="O144" s="295" t="str">
        <f>IF(B144="","",'Statement of Marks'!GD147)</f>
        <v/>
      </c>
      <c r="P144" s="295" t="str">
        <f>IF(B144="","",'Statement of Marks'!GK147)</f>
        <v/>
      </c>
      <c r="Q144" s="295" t="str">
        <f>IF(B144="","",'Statement of Marks'!GR147)</f>
        <v/>
      </c>
      <c r="R144" s="295" t="str">
        <f>IF(B144="","",'Statement of Marks'!FF147)</f>
        <v/>
      </c>
      <c r="S144" s="434" t="str">
        <f>IFERROR(IF(B144="","",CONCATENATE(IF(AND('Marks Entry'!U147="A"),'Marks Entry'!$U$2,IF(AND('Marks Entry'!U147="B"),'Marks Entry'!$Y$2,IF(AND('Marks Entry'!U147="C"),'Marks Entry'!$AA$2,""))),", ",IF(AND('Marks Entry'!AC147="A"),'Marks Entry'!$AC$2,IF(AND('Marks Entry'!AC147="B"),'Marks Entry'!$AG$2,IF(AND('Marks Entry'!AC147="C"),'Marks Entry'!$AI$2,""))),", ",IF(AND('Marks Entry'!AK147="A"),'Marks Entry'!$AK$2,IF(AND('Marks Entry'!AK147="B"),'Marks Entry'!$AO$2,IF(AND('Marks Entry'!AK147="C"),'Marks Entry'!$AQ$2,""))),", ",IF(AND('Statement of Marks'!DD147=""),"",IF(AND('Statement of Marks'!DD147="A"),'Marks Entry'!$AS$2,IF(AND('Statement of Marks'!DD147="B"),'Marks Entry'!$AW$2,IF(AND('Statement of Marks'!DD147="C"),'Marks Entry'!$AY$2,"")))))),"")</f>
        <v/>
      </c>
      <c r="T144" s="435" t="str">
        <f>IF(COUNTIF(K144:R144,"F")&gt;0,"",CONCATENATE('Statement of Marks'!GU147,'Statement of Marks'!GW147))</f>
        <v xml:space="preserve">           </v>
      </c>
      <c r="BG144" s="17">
        <f>IFERROR(VLOOKUP(B144,'Statement of Marks'!$B$8:'Statement of Marks'!$HI$207,41,0),"")</f>
        <v>15</v>
      </c>
      <c r="BH144" s="17" t="str">
        <f>IFERROR(VLOOKUP(B144,'Statement of Marks'!$B$8:'Statement of Marks'!$HI$207,66,0),"")</f>
        <v/>
      </c>
      <c r="BI144" s="17">
        <f>IFERROR(VLOOKUP(B144,'Statement of Marks'!$B$8:'Statement of Marks'!$HI$207,91,0),"")</f>
        <v>60</v>
      </c>
      <c r="BJ144" s="17" t="str">
        <f>IFERROR(VLOOKUP(B144,'Statement of Marks'!$B$8:'Statement of Marks'!$HI$207,117,0),"")</f>
        <v/>
      </c>
    </row>
    <row r="145" spans="1:62" ht="24.95" customHeight="1">
      <c r="A145" s="283">
        <f>IF('Statement of Marks'!A148="","",'Statement of Marks'!A148)</f>
        <v>141</v>
      </c>
      <c r="B145" s="283" t="str">
        <f>IF('Statement of Marks'!B148="","",'Statement of Marks'!B148)</f>
        <v/>
      </c>
      <c r="C145" s="283" t="str">
        <f>IF('Statement of Marks'!C148="","",'Statement of Marks'!C148)</f>
        <v/>
      </c>
      <c r="D145" s="430" t="str">
        <f>IF('Statement of Marks'!D148="","",'Statement of Marks'!D148)</f>
        <v/>
      </c>
      <c r="E145" s="431" t="str">
        <f>IF('Statement of Marks'!E148="","",'Statement of Marks'!E148)</f>
        <v/>
      </c>
      <c r="F145" s="431" t="str">
        <f>IF('Statement of Marks'!F148="","",'Statement of Marks'!F148)</f>
        <v/>
      </c>
      <c r="G145" s="431" t="str">
        <f>IF('Statement of Marks'!G148="","",'Statement of Marks'!G148)</f>
        <v/>
      </c>
      <c r="H145" s="432" t="str">
        <f>IF(B145="","",IF('Statement of Marks'!GY148="","",'Statement of Marks'!GY148))</f>
        <v/>
      </c>
      <c r="I145" s="286" t="str">
        <f>IF(B145="","",IF('Statement of Marks'!HB148="","",'Statement of Marks'!HB148))</f>
        <v/>
      </c>
      <c r="J145" s="433" t="str">
        <f>IF(B145="","",IF('Statement of Marks'!HC148="","",'Statement of Marks'!HC148))</f>
        <v/>
      </c>
      <c r="K145" s="295" t="str">
        <f>IF(B145="","",'Statement of Marks'!FJ148)</f>
        <v/>
      </c>
      <c r="L145" s="295" t="str">
        <f>IF(B145="","",'Statement of Marks'!FM148)</f>
        <v/>
      </c>
      <c r="M145" s="295" t="str">
        <f>IF(B145="","",'Statement of Marks'!FP148)</f>
        <v/>
      </c>
      <c r="N145" s="295" t="str">
        <f>IF(B145="","",'Statement of Marks'!FW148)</f>
        <v/>
      </c>
      <c r="O145" s="295" t="str">
        <f>IF(B145="","",'Statement of Marks'!GD148)</f>
        <v/>
      </c>
      <c r="P145" s="295" t="str">
        <f>IF(B145="","",'Statement of Marks'!GK148)</f>
        <v/>
      </c>
      <c r="Q145" s="295" t="str">
        <f>IF(B145="","",'Statement of Marks'!GR148)</f>
        <v/>
      </c>
      <c r="R145" s="295" t="str">
        <f>IF(B145="","",'Statement of Marks'!FF148)</f>
        <v/>
      </c>
      <c r="S145" s="434" t="str">
        <f>IFERROR(IF(B145="","",CONCATENATE(IF(AND('Marks Entry'!U148="A"),'Marks Entry'!$U$2,IF(AND('Marks Entry'!U148="B"),'Marks Entry'!$Y$2,IF(AND('Marks Entry'!U148="C"),'Marks Entry'!$AA$2,""))),", ",IF(AND('Marks Entry'!AC148="A"),'Marks Entry'!$AC$2,IF(AND('Marks Entry'!AC148="B"),'Marks Entry'!$AG$2,IF(AND('Marks Entry'!AC148="C"),'Marks Entry'!$AI$2,""))),", ",IF(AND('Marks Entry'!AK148="A"),'Marks Entry'!$AK$2,IF(AND('Marks Entry'!AK148="B"),'Marks Entry'!$AO$2,IF(AND('Marks Entry'!AK148="C"),'Marks Entry'!$AQ$2,""))),", ",IF(AND('Statement of Marks'!DD148=""),"",IF(AND('Statement of Marks'!DD148="A"),'Marks Entry'!$AS$2,IF(AND('Statement of Marks'!DD148="B"),'Marks Entry'!$AW$2,IF(AND('Statement of Marks'!DD148="C"),'Marks Entry'!$AY$2,"")))))),"")</f>
        <v/>
      </c>
      <c r="T145" s="435" t="str">
        <f>IF(COUNTIF(K145:R145,"F")&gt;0,"",CONCATENATE('Statement of Marks'!GU148,'Statement of Marks'!GW148))</f>
        <v xml:space="preserve">           </v>
      </c>
      <c r="BG145" s="17">
        <f>IFERROR(VLOOKUP(B145,'Statement of Marks'!$B$8:'Statement of Marks'!$HI$207,41,0),"")</f>
        <v>15</v>
      </c>
      <c r="BH145" s="17" t="str">
        <f>IFERROR(VLOOKUP(B145,'Statement of Marks'!$B$8:'Statement of Marks'!$HI$207,66,0),"")</f>
        <v/>
      </c>
      <c r="BI145" s="17">
        <f>IFERROR(VLOOKUP(B145,'Statement of Marks'!$B$8:'Statement of Marks'!$HI$207,91,0),"")</f>
        <v>60</v>
      </c>
      <c r="BJ145" s="17" t="str">
        <f>IFERROR(VLOOKUP(B145,'Statement of Marks'!$B$8:'Statement of Marks'!$HI$207,117,0),"")</f>
        <v/>
      </c>
    </row>
    <row r="146" spans="1:62" ht="24.95" customHeight="1">
      <c r="A146" s="283">
        <f>IF('Statement of Marks'!A149="","",'Statement of Marks'!A149)</f>
        <v>142</v>
      </c>
      <c r="B146" s="283" t="str">
        <f>IF('Statement of Marks'!B149="","",'Statement of Marks'!B149)</f>
        <v/>
      </c>
      <c r="C146" s="283" t="str">
        <f>IF('Statement of Marks'!C149="","",'Statement of Marks'!C149)</f>
        <v/>
      </c>
      <c r="D146" s="430" t="str">
        <f>IF('Statement of Marks'!D149="","",'Statement of Marks'!D149)</f>
        <v/>
      </c>
      <c r="E146" s="431" t="str">
        <f>IF('Statement of Marks'!E149="","",'Statement of Marks'!E149)</f>
        <v/>
      </c>
      <c r="F146" s="431" t="str">
        <f>IF('Statement of Marks'!F149="","",'Statement of Marks'!F149)</f>
        <v/>
      </c>
      <c r="G146" s="431" t="str">
        <f>IF('Statement of Marks'!G149="","",'Statement of Marks'!G149)</f>
        <v/>
      </c>
      <c r="H146" s="432" t="str">
        <f>IF(B146="","",IF('Statement of Marks'!GY149="","",'Statement of Marks'!GY149))</f>
        <v/>
      </c>
      <c r="I146" s="286" t="str">
        <f>IF(B146="","",IF('Statement of Marks'!HB149="","",'Statement of Marks'!HB149))</f>
        <v/>
      </c>
      <c r="J146" s="433" t="str">
        <f>IF(B146="","",IF('Statement of Marks'!HC149="","",'Statement of Marks'!HC149))</f>
        <v/>
      </c>
      <c r="K146" s="295" t="str">
        <f>IF(B146="","",'Statement of Marks'!FJ149)</f>
        <v/>
      </c>
      <c r="L146" s="295" t="str">
        <f>IF(B146="","",'Statement of Marks'!FM149)</f>
        <v/>
      </c>
      <c r="M146" s="295" t="str">
        <f>IF(B146="","",'Statement of Marks'!FP149)</f>
        <v/>
      </c>
      <c r="N146" s="295" t="str">
        <f>IF(B146="","",'Statement of Marks'!FW149)</f>
        <v/>
      </c>
      <c r="O146" s="295" t="str">
        <f>IF(B146="","",'Statement of Marks'!GD149)</f>
        <v/>
      </c>
      <c r="P146" s="295" t="str">
        <f>IF(B146="","",'Statement of Marks'!GK149)</f>
        <v/>
      </c>
      <c r="Q146" s="295" t="str">
        <f>IF(B146="","",'Statement of Marks'!GR149)</f>
        <v/>
      </c>
      <c r="R146" s="295" t="str">
        <f>IF(B146="","",'Statement of Marks'!FF149)</f>
        <v/>
      </c>
      <c r="S146" s="434" t="str">
        <f>IFERROR(IF(B146="","",CONCATENATE(IF(AND('Marks Entry'!U149="A"),'Marks Entry'!$U$2,IF(AND('Marks Entry'!U149="B"),'Marks Entry'!$Y$2,IF(AND('Marks Entry'!U149="C"),'Marks Entry'!$AA$2,""))),", ",IF(AND('Marks Entry'!AC149="A"),'Marks Entry'!$AC$2,IF(AND('Marks Entry'!AC149="B"),'Marks Entry'!$AG$2,IF(AND('Marks Entry'!AC149="C"),'Marks Entry'!$AI$2,""))),", ",IF(AND('Marks Entry'!AK149="A"),'Marks Entry'!$AK$2,IF(AND('Marks Entry'!AK149="B"),'Marks Entry'!$AO$2,IF(AND('Marks Entry'!AK149="C"),'Marks Entry'!$AQ$2,""))),", ",IF(AND('Statement of Marks'!DD149=""),"",IF(AND('Statement of Marks'!DD149="A"),'Marks Entry'!$AS$2,IF(AND('Statement of Marks'!DD149="B"),'Marks Entry'!$AW$2,IF(AND('Statement of Marks'!DD149="C"),'Marks Entry'!$AY$2,"")))))),"")</f>
        <v/>
      </c>
      <c r="T146" s="435" t="str">
        <f>IF(COUNTIF(K146:R146,"F")&gt;0,"",CONCATENATE('Statement of Marks'!GU149,'Statement of Marks'!GW149))</f>
        <v xml:space="preserve">           </v>
      </c>
      <c r="BG146" s="17">
        <f>IFERROR(VLOOKUP(B146,'Statement of Marks'!$B$8:'Statement of Marks'!$HI$207,41,0),"")</f>
        <v>15</v>
      </c>
      <c r="BH146" s="17" t="str">
        <f>IFERROR(VLOOKUP(B146,'Statement of Marks'!$B$8:'Statement of Marks'!$HI$207,66,0),"")</f>
        <v/>
      </c>
      <c r="BI146" s="17">
        <f>IFERROR(VLOOKUP(B146,'Statement of Marks'!$B$8:'Statement of Marks'!$HI$207,91,0),"")</f>
        <v>60</v>
      </c>
      <c r="BJ146" s="17" t="str">
        <f>IFERROR(VLOOKUP(B146,'Statement of Marks'!$B$8:'Statement of Marks'!$HI$207,117,0),"")</f>
        <v/>
      </c>
    </row>
    <row r="147" spans="1:62" ht="24.95" customHeight="1">
      <c r="A147" s="283">
        <f>IF('Statement of Marks'!A150="","",'Statement of Marks'!A150)</f>
        <v>143</v>
      </c>
      <c r="B147" s="283" t="str">
        <f>IF('Statement of Marks'!B150="","",'Statement of Marks'!B150)</f>
        <v/>
      </c>
      <c r="C147" s="283" t="str">
        <f>IF('Statement of Marks'!C150="","",'Statement of Marks'!C150)</f>
        <v/>
      </c>
      <c r="D147" s="430" t="str">
        <f>IF('Statement of Marks'!D150="","",'Statement of Marks'!D150)</f>
        <v/>
      </c>
      <c r="E147" s="431" t="str">
        <f>IF('Statement of Marks'!E150="","",'Statement of Marks'!E150)</f>
        <v/>
      </c>
      <c r="F147" s="431" t="str">
        <f>IF('Statement of Marks'!F150="","",'Statement of Marks'!F150)</f>
        <v/>
      </c>
      <c r="G147" s="431" t="str">
        <f>IF('Statement of Marks'!G150="","",'Statement of Marks'!G150)</f>
        <v/>
      </c>
      <c r="H147" s="432" t="str">
        <f>IF(B147="","",IF('Statement of Marks'!GY150="","",'Statement of Marks'!GY150))</f>
        <v/>
      </c>
      <c r="I147" s="286" t="str">
        <f>IF(B147="","",IF('Statement of Marks'!HB150="","",'Statement of Marks'!HB150))</f>
        <v/>
      </c>
      <c r="J147" s="433" t="str">
        <f>IF(B147="","",IF('Statement of Marks'!HC150="","",'Statement of Marks'!HC150))</f>
        <v/>
      </c>
      <c r="K147" s="295" t="str">
        <f>IF(B147="","",'Statement of Marks'!FJ150)</f>
        <v/>
      </c>
      <c r="L147" s="295" t="str">
        <f>IF(B147="","",'Statement of Marks'!FM150)</f>
        <v/>
      </c>
      <c r="M147" s="295" t="str">
        <f>IF(B147="","",'Statement of Marks'!FP150)</f>
        <v/>
      </c>
      <c r="N147" s="295" t="str">
        <f>IF(B147="","",'Statement of Marks'!FW150)</f>
        <v/>
      </c>
      <c r="O147" s="295" t="str">
        <f>IF(B147="","",'Statement of Marks'!GD150)</f>
        <v/>
      </c>
      <c r="P147" s="295" t="str">
        <f>IF(B147="","",'Statement of Marks'!GK150)</f>
        <v/>
      </c>
      <c r="Q147" s="295" t="str">
        <f>IF(B147="","",'Statement of Marks'!GR150)</f>
        <v/>
      </c>
      <c r="R147" s="295" t="str">
        <f>IF(B147="","",'Statement of Marks'!FF150)</f>
        <v/>
      </c>
      <c r="S147" s="434" t="str">
        <f>IFERROR(IF(B147="","",CONCATENATE(IF(AND('Marks Entry'!U150="A"),'Marks Entry'!$U$2,IF(AND('Marks Entry'!U150="B"),'Marks Entry'!$Y$2,IF(AND('Marks Entry'!U150="C"),'Marks Entry'!$AA$2,""))),", ",IF(AND('Marks Entry'!AC150="A"),'Marks Entry'!$AC$2,IF(AND('Marks Entry'!AC150="B"),'Marks Entry'!$AG$2,IF(AND('Marks Entry'!AC150="C"),'Marks Entry'!$AI$2,""))),", ",IF(AND('Marks Entry'!AK150="A"),'Marks Entry'!$AK$2,IF(AND('Marks Entry'!AK150="B"),'Marks Entry'!$AO$2,IF(AND('Marks Entry'!AK150="C"),'Marks Entry'!$AQ$2,""))),", ",IF(AND('Statement of Marks'!DD150=""),"",IF(AND('Statement of Marks'!DD150="A"),'Marks Entry'!$AS$2,IF(AND('Statement of Marks'!DD150="B"),'Marks Entry'!$AW$2,IF(AND('Statement of Marks'!DD150="C"),'Marks Entry'!$AY$2,"")))))),"")</f>
        <v/>
      </c>
      <c r="T147" s="435" t="str">
        <f>IF(COUNTIF(K147:R147,"F")&gt;0,"",CONCATENATE('Statement of Marks'!GU150,'Statement of Marks'!GW150))</f>
        <v xml:space="preserve">           </v>
      </c>
      <c r="BG147" s="17">
        <f>IFERROR(VLOOKUP(B147,'Statement of Marks'!$B$8:'Statement of Marks'!$HI$207,41,0),"")</f>
        <v>15</v>
      </c>
      <c r="BH147" s="17" t="str">
        <f>IFERROR(VLOOKUP(B147,'Statement of Marks'!$B$8:'Statement of Marks'!$HI$207,66,0),"")</f>
        <v/>
      </c>
      <c r="BI147" s="17">
        <f>IFERROR(VLOOKUP(B147,'Statement of Marks'!$B$8:'Statement of Marks'!$HI$207,91,0),"")</f>
        <v>60</v>
      </c>
      <c r="BJ147" s="17" t="str">
        <f>IFERROR(VLOOKUP(B147,'Statement of Marks'!$B$8:'Statement of Marks'!$HI$207,117,0),"")</f>
        <v/>
      </c>
    </row>
    <row r="148" spans="1:62" ht="24.95" customHeight="1">
      <c r="A148" s="283">
        <f>IF('Statement of Marks'!A151="","",'Statement of Marks'!A151)</f>
        <v>144</v>
      </c>
      <c r="B148" s="283" t="str">
        <f>IF('Statement of Marks'!B151="","",'Statement of Marks'!B151)</f>
        <v/>
      </c>
      <c r="C148" s="283" t="str">
        <f>IF('Statement of Marks'!C151="","",'Statement of Marks'!C151)</f>
        <v/>
      </c>
      <c r="D148" s="430" t="str">
        <f>IF('Statement of Marks'!D151="","",'Statement of Marks'!D151)</f>
        <v/>
      </c>
      <c r="E148" s="431" t="str">
        <f>IF('Statement of Marks'!E151="","",'Statement of Marks'!E151)</f>
        <v/>
      </c>
      <c r="F148" s="431" t="str">
        <f>IF('Statement of Marks'!F151="","",'Statement of Marks'!F151)</f>
        <v/>
      </c>
      <c r="G148" s="431" t="str">
        <f>IF('Statement of Marks'!G151="","",'Statement of Marks'!G151)</f>
        <v/>
      </c>
      <c r="H148" s="432" t="str">
        <f>IF(B148="","",IF('Statement of Marks'!GY151="","",'Statement of Marks'!GY151))</f>
        <v/>
      </c>
      <c r="I148" s="286" t="str">
        <f>IF(B148="","",IF('Statement of Marks'!HB151="","",'Statement of Marks'!HB151))</f>
        <v/>
      </c>
      <c r="J148" s="433" t="str">
        <f>IF(B148="","",IF('Statement of Marks'!HC151="","",'Statement of Marks'!HC151))</f>
        <v/>
      </c>
      <c r="K148" s="295" t="str">
        <f>IF(B148="","",'Statement of Marks'!FJ151)</f>
        <v/>
      </c>
      <c r="L148" s="295" t="str">
        <f>IF(B148="","",'Statement of Marks'!FM151)</f>
        <v/>
      </c>
      <c r="M148" s="295" t="str">
        <f>IF(B148="","",'Statement of Marks'!FP151)</f>
        <v/>
      </c>
      <c r="N148" s="295" t="str">
        <f>IF(B148="","",'Statement of Marks'!FW151)</f>
        <v/>
      </c>
      <c r="O148" s="295" t="str">
        <f>IF(B148="","",'Statement of Marks'!GD151)</f>
        <v/>
      </c>
      <c r="P148" s="295" t="str">
        <f>IF(B148="","",'Statement of Marks'!GK151)</f>
        <v/>
      </c>
      <c r="Q148" s="295" t="str">
        <f>IF(B148="","",'Statement of Marks'!GR151)</f>
        <v/>
      </c>
      <c r="R148" s="295" t="str">
        <f>IF(B148="","",'Statement of Marks'!FF151)</f>
        <v/>
      </c>
      <c r="S148" s="434" t="str">
        <f>IFERROR(IF(B148="","",CONCATENATE(IF(AND('Marks Entry'!U151="A"),'Marks Entry'!$U$2,IF(AND('Marks Entry'!U151="B"),'Marks Entry'!$Y$2,IF(AND('Marks Entry'!U151="C"),'Marks Entry'!$AA$2,""))),", ",IF(AND('Marks Entry'!AC151="A"),'Marks Entry'!$AC$2,IF(AND('Marks Entry'!AC151="B"),'Marks Entry'!$AG$2,IF(AND('Marks Entry'!AC151="C"),'Marks Entry'!$AI$2,""))),", ",IF(AND('Marks Entry'!AK151="A"),'Marks Entry'!$AK$2,IF(AND('Marks Entry'!AK151="B"),'Marks Entry'!$AO$2,IF(AND('Marks Entry'!AK151="C"),'Marks Entry'!$AQ$2,""))),", ",IF(AND('Statement of Marks'!DD151=""),"",IF(AND('Statement of Marks'!DD151="A"),'Marks Entry'!$AS$2,IF(AND('Statement of Marks'!DD151="B"),'Marks Entry'!$AW$2,IF(AND('Statement of Marks'!DD151="C"),'Marks Entry'!$AY$2,"")))))),"")</f>
        <v/>
      </c>
      <c r="T148" s="435" t="str">
        <f>IF(COUNTIF(K148:R148,"F")&gt;0,"",CONCATENATE('Statement of Marks'!GU151,'Statement of Marks'!GW151))</f>
        <v xml:space="preserve">           </v>
      </c>
      <c r="BG148" s="17">
        <f>IFERROR(VLOOKUP(B148,'Statement of Marks'!$B$8:'Statement of Marks'!$HI$207,41,0),"")</f>
        <v>15</v>
      </c>
      <c r="BH148" s="17" t="str">
        <f>IFERROR(VLOOKUP(B148,'Statement of Marks'!$B$8:'Statement of Marks'!$HI$207,66,0),"")</f>
        <v/>
      </c>
      <c r="BI148" s="17">
        <f>IFERROR(VLOOKUP(B148,'Statement of Marks'!$B$8:'Statement of Marks'!$HI$207,91,0),"")</f>
        <v>60</v>
      </c>
      <c r="BJ148" s="17" t="str">
        <f>IFERROR(VLOOKUP(B148,'Statement of Marks'!$B$8:'Statement of Marks'!$HI$207,117,0),"")</f>
        <v/>
      </c>
    </row>
    <row r="149" spans="1:62" ht="24.95" customHeight="1">
      <c r="A149" s="283">
        <f>IF('Statement of Marks'!A152="","",'Statement of Marks'!A152)</f>
        <v>145</v>
      </c>
      <c r="B149" s="283" t="str">
        <f>IF('Statement of Marks'!B152="","",'Statement of Marks'!B152)</f>
        <v/>
      </c>
      <c r="C149" s="283" t="str">
        <f>IF('Statement of Marks'!C152="","",'Statement of Marks'!C152)</f>
        <v/>
      </c>
      <c r="D149" s="430" t="str">
        <f>IF('Statement of Marks'!D152="","",'Statement of Marks'!D152)</f>
        <v/>
      </c>
      <c r="E149" s="431" t="str">
        <f>IF('Statement of Marks'!E152="","",'Statement of Marks'!E152)</f>
        <v/>
      </c>
      <c r="F149" s="431" t="str">
        <f>IF('Statement of Marks'!F152="","",'Statement of Marks'!F152)</f>
        <v/>
      </c>
      <c r="G149" s="431" t="str">
        <f>IF('Statement of Marks'!G152="","",'Statement of Marks'!G152)</f>
        <v/>
      </c>
      <c r="H149" s="432" t="str">
        <f>IF(B149="","",IF('Statement of Marks'!GY152="","",'Statement of Marks'!GY152))</f>
        <v/>
      </c>
      <c r="I149" s="286" t="str">
        <f>IF(B149="","",IF('Statement of Marks'!HB152="","",'Statement of Marks'!HB152))</f>
        <v/>
      </c>
      <c r="J149" s="433" t="str">
        <f>IF(B149="","",IF('Statement of Marks'!HC152="","",'Statement of Marks'!HC152))</f>
        <v/>
      </c>
      <c r="K149" s="295" t="str">
        <f>IF(B149="","",'Statement of Marks'!FJ152)</f>
        <v/>
      </c>
      <c r="L149" s="295" t="str">
        <f>IF(B149="","",'Statement of Marks'!FM152)</f>
        <v/>
      </c>
      <c r="M149" s="295" t="str">
        <f>IF(B149="","",'Statement of Marks'!FP152)</f>
        <v/>
      </c>
      <c r="N149" s="295" t="str">
        <f>IF(B149="","",'Statement of Marks'!FW152)</f>
        <v/>
      </c>
      <c r="O149" s="295" t="str">
        <f>IF(B149="","",'Statement of Marks'!GD152)</f>
        <v/>
      </c>
      <c r="P149" s="295" t="str">
        <f>IF(B149="","",'Statement of Marks'!GK152)</f>
        <v/>
      </c>
      <c r="Q149" s="295" t="str">
        <f>IF(B149="","",'Statement of Marks'!GR152)</f>
        <v/>
      </c>
      <c r="R149" s="295" t="str">
        <f>IF(B149="","",'Statement of Marks'!FF152)</f>
        <v/>
      </c>
      <c r="S149" s="434" t="str">
        <f>IFERROR(IF(B149="","",CONCATENATE(IF(AND('Marks Entry'!U152="A"),'Marks Entry'!$U$2,IF(AND('Marks Entry'!U152="B"),'Marks Entry'!$Y$2,IF(AND('Marks Entry'!U152="C"),'Marks Entry'!$AA$2,""))),", ",IF(AND('Marks Entry'!AC152="A"),'Marks Entry'!$AC$2,IF(AND('Marks Entry'!AC152="B"),'Marks Entry'!$AG$2,IF(AND('Marks Entry'!AC152="C"),'Marks Entry'!$AI$2,""))),", ",IF(AND('Marks Entry'!AK152="A"),'Marks Entry'!$AK$2,IF(AND('Marks Entry'!AK152="B"),'Marks Entry'!$AO$2,IF(AND('Marks Entry'!AK152="C"),'Marks Entry'!$AQ$2,""))),", ",IF(AND('Statement of Marks'!DD152=""),"",IF(AND('Statement of Marks'!DD152="A"),'Marks Entry'!$AS$2,IF(AND('Statement of Marks'!DD152="B"),'Marks Entry'!$AW$2,IF(AND('Statement of Marks'!DD152="C"),'Marks Entry'!$AY$2,"")))))),"")</f>
        <v/>
      </c>
      <c r="T149" s="435" t="str">
        <f>IF(COUNTIF(K149:R149,"F")&gt;0,"",CONCATENATE('Statement of Marks'!GU152,'Statement of Marks'!GW152))</f>
        <v xml:space="preserve">           </v>
      </c>
      <c r="BG149" s="17">
        <f>IFERROR(VLOOKUP(B149,'Statement of Marks'!$B$8:'Statement of Marks'!$HI$207,41,0),"")</f>
        <v>15</v>
      </c>
      <c r="BH149" s="17" t="str">
        <f>IFERROR(VLOOKUP(B149,'Statement of Marks'!$B$8:'Statement of Marks'!$HI$207,66,0),"")</f>
        <v/>
      </c>
      <c r="BI149" s="17">
        <f>IFERROR(VLOOKUP(B149,'Statement of Marks'!$B$8:'Statement of Marks'!$HI$207,91,0),"")</f>
        <v>60</v>
      </c>
      <c r="BJ149" s="17" t="str">
        <f>IFERROR(VLOOKUP(B149,'Statement of Marks'!$B$8:'Statement of Marks'!$HI$207,117,0),"")</f>
        <v/>
      </c>
    </row>
    <row r="150" spans="1:62" ht="24.95" customHeight="1">
      <c r="A150" s="283">
        <f>IF('Statement of Marks'!A153="","",'Statement of Marks'!A153)</f>
        <v>146</v>
      </c>
      <c r="B150" s="283" t="str">
        <f>IF('Statement of Marks'!B153="","",'Statement of Marks'!B153)</f>
        <v/>
      </c>
      <c r="C150" s="283" t="str">
        <f>IF('Statement of Marks'!C153="","",'Statement of Marks'!C153)</f>
        <v/>
      </c>
      <c r="D150" s="430" t="str">
        <f>IF('Statement of Marks'!D153="","",'Statement of Marks'!D153)</f>
        <v/>
      </c>
      <c r="E150" s="431" t="str">
        <f>IF('Statement of Marks'!E153="","",'Statement of Marks'!E153)</f>
        <v/>
      </c>
      <c r="F150" s="431" t="str">
        <f>IF('Statement of Marks'!F153="","",'Statement of Marks'!F153)</f>
        <v/>
      </c>
      <c r="G150" s="431" t="str">
        <f>IF('Statement of Marks'!G153="","",'Statement of Marks'!G153)</f>
        <v/>
      </c>
      <c r="H150" s="432" t="str">
        <f>IF(B150="","",IF('Statement of Marks'!GY153="","",'Statement of Marks'!GY153))</f>
        <v/>
      </c>
      <c r="I150" s="286" t="str">
        <f>IF(B150="","",IF('Statement of Marks'!HB153="","",'Statement of Marks'!HB153))</f>
        <v/>
      </c>
      <c r="J150" s="433" t="str">
        <f>IF(B150="","",IF('Statement of Marks'!HC153="","",'Statement of Marks'!HC153))</f>
        <v/>
      </c>
      <c r="K150" s="295" t="str">
        <f>IF(B150="","",'Statement of Marks'!FJ153)</f>
        <v/>
      </c>
      <c r="L150" s="295" t="str">
        <f>IF(B150="","",'Statement of Marks'!FM153)</f>
        <v/>
      </c>
      <c r="M150" s="295" t="str">
        <f>IF(B150="","",'Statement of Marks'!FP153)</f>
        <v/>
      </c>
      <c r="N150" s="295" t="str">
        <f>IF(B150="","",'Statement of Marks'!FW153)</f>
        <v/>
      </c>
      <c r="O150" s="295" t="str">
        <f>IF(B150="","",'Statement of Marks'!GD153)</f>
        <v/>
      </c>
      <c r="P150" s="295" t="str">
        <f>IF(B150="","",'Statement of Marks'!GK153)</f>
        <v/>
      </c>
      <c r="Q150" s="295" t="str">
        <f>IF(B150="","",'Statement of Marks'!GR153)</f>
        <v/>
      </c>
      <c r="R150" s="295" t="str">
        <f>IF(B150="","",'Statement of Marks'!FF153)</f>
        <v/>
      </c>
      <c r="S150" s="434" t="str">
        <f>IFERROR(IF(B150="","",CONCATENATE(IF(AND('Marks Entry'!U153="A"),'Marks Entry'!$U$2,IF(AND('Marks Entry'!U153="B"),'Marks Entry'!$Y$2,IF(AND('Marks Entry'!U153="C"),'Marks Entry'!$AA$2,""))),", ",IF(AND('Marks Entry'!AC153="A"),'Marks Entry'!$AC$2,IF(AND('Marks Entry'!AC153="B"),'Marks Entry'!$AG$2,IF(AND('Marks Entry'!AC153="C"),'Marks Entry'!$AI$2,""))),", ",IF(AND('Marks Entry'!AK153="A"),'Marks Entry'!$AK$2,IF(AND('Marks Entry'!AK153="B"),'Marks Entry'!$AO$2,IF(AND('Marks Entry'!AK153="C"),'Marks Entry'!$AQ$2,""))),", ",IF(AND('Statement of Marks'!DD153=""),"",IF(AND('Statement of Marks'!DD153="A"),'Marks Entry'!$AS$2,IF(AND('Statement of Marks'!DD153="B"),'Marks Entry'!$AW$2,IF(AND('Statement of Marks'!DD153="C"),'Marks Entry'!$AY$2,"")))))),"")</f>
        <v/>
      </c>
      <c r="T150" s="435" t="str">
        <f>IF(COUNTIF(K150:R150,"F")&gt;0,"",CONCATENATE('Statement of Marks'!GU153,'Statement of Marks'!GW153))</f>
        <v xml:space="preserve">           </v>
      </c>
      <c r="BG150" s="17">
        <f>IFERROR(VLOOKUP(B150,'Statement of Marks'!$B$8:'Statement of Marks'!$HI$207,41,0),"")</f>
        <v>15</v>
      </c>
      <c r="BH150" s="17" t="str">
        <f>IFERROR(VLOOKUP(B150,'Statement of Marks'!$B$8:'Statement of Marks'!$HI$207,66,0),"")</f>
        <v/>
      </c>
      <c r="BI150" s="17">
        <f>IFERROR(VLOOKUP(B150,'Statement of Marks'!$B$8:'Statement of Marks'!$HI$207,91,0),"")</f>
        <v>60</v>
      </c>
      <c r="BJ150" s="17" t="str">
        <f>IFERROR(VLOOKUP(B150,'Statement of Marks'!$B$8:'Statement of Marks'!$HI$207,117,0),"")</f>
        <v/>
      </c>
    </row>
    <row r="151" spans="1:62" ht="24.95" customHeight="1">
      <c r="A151" s="283">
        <f>IF('Statement of Marks'!A154="","",'Statement of Marks'!A154)</f>
        <v>147</v>
      </c>
      <c r="B151" s="283" t="str">
        <f>IF('Statement of Marks'!B154="","",'Statement of Marks'!B154)</f>
        <v/>
      </c>
      <c r="C151" s="283" t="str">
        <f>IF('Statement of Marks'!C154="","",'Statement of Marks'!C154)</f>
        <v/>
      </c>
      <c r="D151" s="430" t="str">
        <f>IF('Statement of Marks'!D154="","",'Statement of Marks'!D154)</f>
        <v/>
      </c>
      <c r="E151" s="431" t="str">
        <f>IF('Statement of Marks'!E154="","",'Statement of Marks'!E154)</f>
        <v/>
      </c>
      <c r="F151" s="431" t="str">
        <f>IF('Statement of Marks'!F154="","",'Statement of Marks'!F154)</f>
        <v/>
      </c>
      <c r="G151" s="431" t="str">
        <f>IF('Statement of Marks'!G154="","",'Statement of Marks'!G154)</f>
        <v/>
      </c>
      <c r="H151" s="432" t="str">
        <f>IF(B151="","",IF('Statement of Marks'!GY154="","",'Statement of Marks'!GY154))</f>
        <v/>
      </c>
      <c r="I151" s="286" t="str">
        <f>IF(B151="","",IF('Statement of Marks'!HB154="","",'Statement of Marks'!HB154))</f>
        <v/>
      </c>
      <c r="J151" s="433" t="str">
        <f>IF(B151="","",IF('Statement of Marks'!HC154="","",'Statement of Marks'!HC154))</f>
        <v/>
      </c>
      <c r="K151" s="295" t="str">
        <f>IF(B151="","",'Statement of Marks'!FJ154)</f>
        <v/>
      </c>
      <c r="L151" s="295" t="str">
        <f>IF(B151="","",'Statement of Marks'!FM154)</f>
        <v/>
      </c>
      <c r="M151" s="295" t="str">
        <f>IF(B151="","",'Statement of Marks'!FP154)</f>
        <v/>
      </c>
      <c r="N151" s="295" t="str">
        <f>IF(B151="","",'Statement of Marks'!FW154)</f>
        <v/>
      </c>
      <c r="O151" s="295" t="str">
        <f>IF(B151="","",'Statement of Marks'!GD154)</f>
        <v/>
      </c>
      <c r="P151" s="295" t="str">
        <f>IF(B151="","",'Statement of Marks'!GK154)</f>
        <v/>
      </c>
      <c r="Q151" s="295" t="str">
        <f>IF(B151="","",'Statement of Marks'!GR154)</f>
        <v/>
      </c>
      <c r="R151" s="295" t="str">
        <f>IF(B151="","",'Statement of Marks'!FF154)</f>
        <v/>
      </c>
      <c r="S151" s="434" t="str">
        <f>IFERROR(IF(B151="","",CONCATENATE(IF(AND('Marks Entry'!U154="A"),'Marks Entry'!$U$2,IF(AND('Marks Entry'!U154="B"),'Marks Entry'!$Y$2,IF(AND('Marks Entry'!U154="C"),'Marks Entry'!$AA$2,""))),", ",IF(AND('Marks Entry'!AC154="A"),'Marks Entry'!$AC$2,IF(AND('Marks Entry'!AC154="B"),'Marks Entry'!$AG$2,IF(AND('Marks Entry'!AC154="C"),'Marks Entry'!$AI$2,""))),", ",IF(AND('Marks Entry'!AK154="A"),'Marks Entry'!$AK$2,IF(AND('Marks Entry'!AK154="B"),'Marks Entry'!$AO$2,IF(AND('Marks Entry'!AK154="C"),'Marks Entry'!$AQ$2,""))),", ",IF(AND('Statement of Marks'!DD154=""),"",IF(AND('Statement of Marks'!DD154="A"),'Marks Entry'!$AS$2,IF(AND('Statement of Marks'!DD154="B"),'Marks Entry'!$AW$2,IF(AND('Statement of Marks'!DD154="C"),'Marks Entry'!$AY$2,"")))))),"")</f>
        <v/>
      </c>
      <c r="T151" s="435" t="str">
        <f>IF(COUNTIF(K151:R151,"F")&gt;0,"",CONCATENATE('Statement of Marks'!GU154,'Statement of Marks'!GW154))</f>
        <v xml:space="preserve">           </v>
      </c>
      <c r="BG151" s="17">
        <f>IFERROR(VLOOKUP(B151,'Statement of Marks'!$B$8:'Statement of Marks'!$HI$207,41,0),"")</f>
        <v>15</v>
      </c>
      <c r="BH151" s="17" t="str">
        <f>IFERROR(VLOOKUP(B151,'Statement of Marks'!$B$8:'Statement of Marks'!$HI$207,66,0),"")</f>
        <v/>
      </c>
      <c r="BI151" s="17">
        <f>IFERROR(VLOOKUP(B151,'Statement of Marks'!$B$8:'Statement of Marks'!$HI$207,91,0),"")</f>
        <v>60</v>
      </c>
      <c r="BJ151" s="17" t="str">
        <f>IFERROR(VLOOKUP(B151,'Statement of Marks'!$B$8:'Statement of Marks'!$HI$207,117,0),"")</f>
        <v/>
      </c>
    </row>
    <row r="152" spans="1:62" ht="24.95" customHeight="1">
      <c r="A152" s="283">
        <f>IF('Statement of Marks'!A155="","",'Statement of Marks'!A155)</f>
        <v>148</v>
      </c>
      <c r="B152" s="283" t="str">
        <f>IF('Statement of Marks'!B155="","",'Statement of Marks'!B155)</f>
        <v/>
      </c>
      <c r="C152" s="283" t="str">
        <f>IF('Statement of Marks'!C155="","",'Statement of Marks'!C155)</f>
        <v/>
      </c>
      <c r="D152" s="430" t="str">
        <f>IF('Statement of Marks'!D155="","",'Statement of Marks'!D155)</f>
        <v/>
      </c>
      <c r="E152" s="431" t="str">
        <f>IF('Statement of Marks'!E155="","",'Statement of Marks'!E155)</f>
        <v/>
      </c>
      <c r="F152" s="431" t="str">
        <f>IF('Statement of Marks'!F155="","",'Statement of Marks'!F155)</f>
        <v/>
      </c>
      <c r="G152" s="431" t="str">
        <f>IF('Statement of Marks'!G155="","",'Statement of Marks'!G155)</f>
        <v/>
      </c>
      <c r="H152" s="432" t="str">
        <f>IF(B152="","",IF('Statement of Marks'!GY155="","",'Statement of Marks'!GY155))</f>
        <v/>
      </c>
      <c r="I152" s="286" t="str">
        <f>IF(B152="","",IF('Statement of Marks'!HB155="","",'Statement of Marks'!HB155))</f>
        <v/>
      </c>
      <c r="J152" s="433" t="str">
        <f>IF(B152="","",IF('Statement of Marks'!HC155="","",'Statement of Marks'!HC155))</f>
        <v/>
      </c>
      <c r="K152" s="295" t="str">
        <f>IF(B152="","",'Statement of Marks'!FJ155)</f>
        <v/>
      </c>
      <c r="L152" s="295" t="str">
        <f>IF(B152="","",'Statement of Marks'!FM155)</f>
        <v/>
      </c>
      <c r="M152" s="295" t="str">
        <f>IF(B152="","",'Statement of Marks'!FP155)</f>
        <v/>
      </c>
      <c r="N152" s="295" t="str">
        <f>IF(B152="","",'Statement of Marks'!FW155)</f>
        <v/>
      </c>
      <c r="O152" s="295" t="str">
        <f>IF(B152="","",'Statement of Marks'!GD155)</f>
        <v/>
      </c>
      <c r="P152" s="295" t="str">
        <f>IF(B152="","",'Statement of Marks'!GK155)</f>
        <v/>
      </c>
      <c r="Q152" s="295" t="str">
        <f>IF(B152="","",'Statement of Marks'!GR155)</f>
        <v/>
      </c>
      <c r="R152" s="295" t="str">
        <f>IF(B152="","",'Statement of Marks'!FF155)</f>
        <v/>
      </c>
      <c r="S152" s="434" t="str">
        <f>IFERROR(IF(B152="","",CONCATENATE(IF(AND('Marks Entry'!U155="A"),'Marks Entry'!$U$2,IF(AND('Marks Entry'!U155="B"),'Marks Entry'!$Y$2,IF(AND('Marks Entry'!U155="C"),'Marks Entry'!$AA$2,""))),", ",IF(AND('Marks Entry'!AC155="A"),'Marks Entry'!$AC$2,IF(AND('Marks Entry'!AC155="B"),'Marks Entry'!$AG$2,IF(AND('Marks Entry'!AC155="C"),'Marks Entry'!$AI$2,""))),", ",IF(AND('Marks Entry'!AK155="A"),'Marks Entry'!$AK$2,IF(AND('Marks Entry'!AK155="B"),'Marks Entry'!$AO$2,IF(AND('Marks Entry'!AK155="C"),'Marks Entry'!$AQ$2,""))),", ",IF(AND('Statement of Marks'!DD155=""),"",IF(AND('Statement of Marks'!DD155="A"),'Marks Entry'!$AS$2,IF(AND('Statement of Marks'!DD155="B"),'Marks Entry'!$AW$2,IF(AND('Statement of Marks'!DD155="C"),'Marks Entry'!$AY$2,"")))))),"")</f>
        <v/>
      </c>
      <c r="T152" s="435" t="str">
        <f>IF(COUNTIF(K152:R152,"F")&gt;0,"",CONCATENATE('Statement of Marks'!GU155,'Statement of Marks'!GW155))</f>
        <v xml:space="preserve">           </v>
      </c>
      <c r="BG152" s="17">
        <f>IFERROR(VLOOKUP(B152,'Statement of Marks'!$B$8:'Statement of Marks'!$HI$207,41,0),"")</f>
        <v>15</v>
      </c>
      <c r="BH152" s="17" t="str">
        <f>IFERROR(VLOOKUP(B152,'Statement of Marks'!$B$8:'Statement of Marks'!$HI$207,66,0),"")</f>
        <v/>
      </c>
      <c r="BI152" s="17">
        <f>IFERROR(VLOOKUP(B152,'Statement of Marks'!$B$8:'Statement of Marks'!$HI$207,91,0),"")</f>
        <v>60</v>
      </c>
      <c r="BJ152" s="17" t="str">
        <f>IFERROR(VLOOKUP(B152,'Statement of Marks'!$B$8:'Statement of Marks'!$HI$207,117,0),"")</f>
        <v/>
      </c>
    </row>
    <row r="153" spans="1:62" ht="24.95" customHeight="1">
      <c r="A153" s="283">
        <f>IF('Statement of Marks'!A156="","",'Statement of Marks'!A156)</f>
        <v>149</v>
      </c>
      <c r="B153" s="283" t="str">
        <f>IF('Statement of Marks'!B156="","",'Statement of Marks'!B156)</f>
        <v/>
      </c>
      <c r="C153" s="283" t="str">
        <f>IF('Statement of Marks'!C156="","",'Statement of Marks'!C156)</f>
        <v/>
      </c>
      <c r="D153" s="430" t="str">
        <f>IF('Statement of Marks'!D156="","",'Statement of Marks'!D156)</f>
        <v/>
      </c>
      <c r="E153" s="431" t="str">
        <f>IF('Statement of Marks'!E156="","",'Statement of Marks'!E156)</f>
        <v/>
      </c>
      <c r="F153" s="431" t="str">
        <f>IF('Statement of Marks'!F156="","",'Statement of Marks'!F156)</f>
        <v/>
      </c>
      <c r="G153" s="431" t="str">
        <f>IF('Statement of Marks'!G156="","",'Statement of Marks'!G156)</f>
        <v/>
      </c>
      <c r="H153" s="432" t="str">
        <f>IF(B153="","",IF('Statement of Marks'!GY156="","",'Statement of Marks'!GY156))</f>
        <v/>
      </c>
      <c r="I153" s="286" t="str">
        <f>IF(B153="","",IF('Statement of Marks'!HB156="","",'Statement of Marks'!HB156))</f>
        <v/>
      </c>
      <c r="J153" s="433" t="str">
        <f>IF(B153="","",IF('Statement of Marks'!HC156="","",'Statement of Marks'!HC156))</f>
        <v/>
      </c>
      <c r="K153" s="295" t="str">
        <f>IF(B153="","",'Statement of Marks'!FJ156)</f>
        <v/>
      </c>
      <c r="L153" s="295" t="str">
        <f>IF(B153="","",'Statement of Marks'!FM156)</f>
        <v/>
      </c>
      <c r="M153" s="295" t="str">
        <f>IF(B153="","",'Statement of Marks'!FP156)</f>
        <v/>
      </c>
      <c r="N153" s="295" t="str">
        <f>IF(B153="","",'Statement of Marks'!FW156)</f>
        <v/>
      </c>
      <c r="O153" s="295" t="str">
        <f>IF(B153="","",'Statement of Marks'!GD156)</f>
        <v/>
      </c>
      <c r="P153" s="295" t="str">
        <f>IF(B153="","",'Statement of Marks'!GK156)</f>
        <v/>
      </c>
      <c r="Q153" s="295" t="str">
        <f>IF(B153="","",'Statement of Marks'!GR156)</f>
        <v/>
      </c>
      <c r="R153" s="295" t="str">
        <f>IF(B153="","",'Statement of Marks'!FF156)</f>
        <v/>
      </c>
      <c r="S153" s="434" t="str">
        <f>IFERROR(IF(B153="","",CONCATENATE(IF(AND('Marks Entry'!U156="A"),'Marks Entry'!$U$2,IF(AND('Marks Entry'!U156="B"),'Marks Entry'!$Y$2,IF(AND('Marks Entry'!U156="C"),'Marks Entry'!$AA$2,""))),", ",IF(AND('Marks Entry'!AC156="A"),'Marks Entry'!$AC$2,IF(AND('Marks Entry'!AC156="B"),'Marks Entry'!$AG$2,IF(AND('Marks Entry'!AC156="C"),'Marks Entry'!$AI$2,""))),", ",IF(AND('Marks Entry'!AK156="A"),'Marks Entry'!$AK$2,IF(AND('Marks Entry'!AK156="B"),'Marks Entry'!$AO$2,IF(AND('Marks Entry'!AK156="C"),'Marks Entry'!$AQ$2,""))),", ",IF(AND('Statement of Marks'!DD156=""),"",IF(AND('Statement of Marks'!DD156="A"),'Marks Entry'!$AS$2,IF(AND('Statement of Marks'!DD156="B"),'Marks Entry'!$AW$2,IF(AND('Statement of Marks'!DD156="C"),'Marks Entry'!$AY$2,"")))))),"")</f>
        <v/>
      </c>
      <c r="T153" s="435" t="str">
        <f>IF(COUNTIF(K153:R153,"F")&gt;0,"",CONCATENATE('Statement of Marks'!GU156,'Statement of Marks'!GW156))</f>
        <v xml:space="preserve">           </v>
      </c>
      <c r="BG153" s="17">
        <f>IFERROR(VLOOKUP(B153,'Statement of Marks'!$B$8:'Statement of Marks'!$HI$207,41,0),"")</f>
        <v>15</v>
      </c>
      <c r="BH153" s="17" t="str">
        <f>IFERROR(VLOOKUP(B153,'Statement of Marks'!$B$8:'Statement of Marks'!$HI$207,66,0),"")</f>
        <v/>
      </c>
      <c r="BI153" s="17">
        <f>IFERROR(VLOOKUP(B153,'Statement of Marks'!$B$8:'Statement of Marks'!$HI$207,91,0),"")</f>
        <v>60</v>
      </c>
      <c r="BJ153" s="17" t="str">
        <f>IFERROR(VLOOKUP(B153,'Statement of Marks'!$B$8:'Statement of Marks'!$HI$207,117,0),"")</f>
        <v/>
      </c>
    </row>
    <row r="154" spans="1:62" ht="24.95" customHeight="1">
      <c r="A154" s="283">
        <f>IF('Statement of Marks'!A157="","",'Statement of Marks'!A157)</f>
        <v>150</v>
      </c>
      <c r="B154" s="283" t="str">
        <f>IF('Statement of Marks'!B157="","",'Statement of Marks'!B157)</f>
        <v/>
      </c>
      <c r="C154" s="283" t="str">
        <f>IF('Statement of Marks'!C157="","",'Statement of Marks'!C157)</f>
        <v/>
      </c>
      <c r="D154" s="430" t="str">
        <f>IF('Statement of Marks'!D157="","",'Statement of Marks'!D157)</f>
        <v/>
      </c>
      <c r="E154" s="431" t="str">
        <f>IF('Statement of Marks'!E157="","",'Statement of Marks'!E157)</f>
        <v/>
      </c>
      <c r="F154" s="431" t="str">
        <f>IF('Statement of Marks'!F157="","",'Statement of Marks'!F157)</f>
        <v/>
      </c>
      <c r="G154" s="431" t="str">
        <f>IF('Statement of Marks'!G157="","",'Statement of Marks'!G157)</f>
        <v/>
      </c>
      <c r="H154" s="432" t="str">
        <f>IF(B154="","",IF('Statement of Marks'!GY157="","",'Statement of Marks'!GY157))</f>
        <v/>
      </c>
      <c r="I154" s="286" t="str">
        <f>IF(B154="","",IF('Statement of Marks'!HB157="","",'Statement of Marks'!HB157))</f>
        <v/>
      </c>
      <c r="J154" s="433" t="str">
        <f>IF(B154="","",IF('Statement of Marks'!HC157="","",'Statement of Marks'!HC157))</f>
        <v/>
      </c>
      <c r="K154" s="295" t="str">
        <f>IF(B154="","",'Statement of Marks'!FJ157)</f>
        <v/>
      </c>
      <c r="L154" s="295" t="str">
        <f>IF(B154="","",'Statement of Marks'!FM157)</f>
        <v/>
      </c>
      <c r="M154" s="295" t="str">
        <f>IF(B154="","",'Statement of Marks'!FP157)</f>
        <v/>
      </c>
      <c r="N154" s="295" t="str">
        <f>IF(B154="","",'Statement of Marks'!FW157)</f>
        <v/>
      </c>
      <c r="O154" s="295" t="str">
        <f>IF(B154="","",'Statement of Marks'!GD157)</f>
        <v/>
      </c>
      <c r="P154" s="295" t="str">
        <f>IF(B154="","",'Statement of Marks'!GK157)</f>
        <v/>
      </c>
      <c r="Q154" s="295" t="str">
        <f>IF(B154="","",'Statement of Marks'!GR157)</f>
        <v/>
      </c>
      <c r="R154" s="295" t="str">
        <f>IF(B154="","",'Statement of Marks'!FF157)</f>
        <v/>
      </c>
      <c r="S154" s="434" t="str">
        <f>IFERROR(IF(B154="","",CONCATENATE(IF(AND('Marks Entry'!U157="A"),'Marks Entry'!$U$2,IF(AND('Marks Entry'!U157="B"),'Marks Entry'!$Y$2,IF(AND('Marks Entry'!U157="C"),'Marks Entry'!$AA$2,""))),", ",IF(AND('Marks Entry'!AC157="A"),'Marks Entry'!$AC$2,IF(AND('Marks Entry'!AC157="B"),'Marks Entry'!$AG$2,IF(AND('Marks Entry'!AC157="C"),'Marks Entry'!$AI$2,""))),", ",IF(AND('Marks Entry'!AK157="A"),'Marks Entry'!$AK$2,IF(AND('Marks Entry'!AK157="B"),'Marks Entry'!$AO$2,IF(AND('Marks Entry'!AK157="C"),'Marks Entry'!$AQ$2,""))),", ",IF(AND('Statement of Marks'!DD157=""),"",IF(AND('Statement of Marks'!DD157="A"),'Marks Entry'!$AS$2,IF(AND('Statement of Marks'!DD157="B"),'Marks Entry'!$AW$2,IF(AND('Statement of Marks'!DD157="C"),'Marks Entry'!$AY$2,"")))))),"")</f>
        <v/>
      </c>
      <c r="T154" s="435" t="str">
        <f>IF(COUNTIF(K154:R154,"F")&gt;0,"",CONCATENATE('Statement of Marks'!GU157,'Statement of Marks'!GW157))</f>
        <v xml:space="preserve">           </v>
      </c>
      <c r="BG154" s="17">
        <f>IFERROR(VLOOKUP(B154,'Statement of Marks'!$B$8:'Statement of Marks'!$HI$207,41,0),"")</f>
        <v>15</v>
      </c>
      <c r="BH154" s="17" t="str">
        <f>IFERROR(VLOOKUP(B154,'Statement of Marks'!$B$8:'Statement of Marks'!$HI$207,66,0),"")</f>
        <v/>
      </c>
      <c r="BI154" s="17">
        <f>IFERROR(VLOOKUP(B154,'Statement of Marks'!$B$8:'Statement of Marks'!$HI$207,91,0),"")</f>
        <v>60</v>
      </c>
      <c r="BJ154" s="17" t="str">
        <f>IFERROR(VLOOKUP(B154,'Statement of Marks'!$B$8:'Statement of Marks'!$HI$207,117,0),"")</f>
        <v/>
      </c>
    </row>
    <row r="155" spans="1:62" ht="24.95" customHeight="1">
      <c r="A155" s="283">
        <f>IF('Statement of Marks'!A158="","",'Statement of Marks'!A158)</f>
        <v>151</v>
      </c>
      <c r="B155" s="283" t="str">
        <f>IF('Statement of Marks'!B158="","",'Statement of Marks'!B158)</f>
        <v/>
      </c>
      <c r="C155" s="283" t="str">
        <f>IF('Statement of Marks'!C158="","",'Statement of Marks'!C158)</f>
        <v/>
      </c>
      <c r="D155" s="430" t="str">
        <f>IF('Statement of Marks'!D158="","",'Statement of Marks'!D158)</f>
        <v/>
      </c>
      <c r="E155" s="431" t="str">
        <f>IF('Statement of Marks'!E158="","",'Statement of Marks'!E158)</f>
        <v/>
      </c>
      <c r="F155" s="431" t="str">
        <f>IF('Statement of Marks'!F158="","",'Statement of Marks'!F158)</f>
        <v/>
      </c>
      <c r="G155" s="431" t="str">
        <f>IF('Statement of Marks'!G158="","",'Statement of Marks'!G158)</f>
        <v/>
      </c>
      <c r="H155" s="432" t="str">
        <f>IF(B155="","",IF('Statement of Marks'!GY158="","",'Statement of Marks'!GY158))</f>
        <v/>
      </c>
      <c r="I155" s="286" t="str">
        <f>IF(B155="","",IF('Statement of Marks'!HB158="","",'Statement of Marks'!HB158))</f>
        <v/>
      </c>
      <c r="J155" s="433" t="str">
        <f>IF(B155="","",IF('Statement of Marks'!HC158="","",'Statement of Marks'!HC158))</f>
        <v/>
      </c>
      <c r="K155" s="295" t="str">
        <f>IF(B155="","",'Statement of Marks'!FJ158)</f>
        <v/>
      </c>
      <c r="L155" s="295" t="str">
        <f>IF(B155="","",'Statement of Marks'!FM158)</f>
        <v/>
      </c>
      <c r="M155" s="295" t="str">
        <f>IF(B155="","",'Statement of Marks'!FP158)</f>
        <v/>
      </c>
      <c r="N155" s="295" t="str">
        <f>IF(B155="","",'Statement of Marks'!FW158)</f>
        <v/>
      </c>
      <c r="O155" s="295" t="str">
        <f>IF(B155="","",'Statement of Marks'!GD158)</f>
        <v/>
      </c>
      <c r="P155" s="295" t="str">
        <f>IF(B155="","",'Statement of Marks'!GK158)</f>
        <v/>
      </c>
      <c r="Q155" s="295" t="str">
        <f>IF(B155="","",'Statement of Marks'!GR158)</f>
        <v/>
      </c>
      <c r="R155" s="295" t="str">
        <f>IF(B155="","",'Statement of Marks'!FF158)</f>
        <v/>
      </c>
      <c r="S155" s="434" t="str">
        <f>IFERROR(IF(B155="","",CONCATENATE(IF(AND('Marks Entry'!U158="A"),'Marks Entry'!$U$2,IF(AND('Marks Entry'!U158="B"),'Marks Entry'!$Y$2,IF(AND('Marks Entry'!U158="C"),'Marks Entry'!$AA$2,""))),", ",IF(AND('Marks Entry'!AC158="A"),'Marks Entry'!$AC$2,IF(AND('Marks Entry'!AC158="B"),'Marks Entry'!$AG$2,IF(AND('Marks Entry'!AC158="C"),'Marks Entry'!$AI$2,""))),", ",IF(AND('Marks Entry'!AK158="A"),'Marks Entry'!$AK$2,IF(AND('Marks Entry'!AK158="B"),'Marks Entry'!$AO$2,IF(AND('Marks Entry'!AK158="C"),'Marks Entry'!$AQ$2,""))),", ",IF(AND('Statement of Marks'!DD158=""),"",IF(AND('Statement of Marks'!DD158="A"),'Marks Entry'!$AS$2,IF(AND('Statement of Marks'!DD158="B"),'Marks Entry'!$AW$2,IF(AND('Statement of Marks'!DD158="C"),'Marks Entry'!$AY$2,"")))))),"")</f>
        <v/>
      </c>
      <c r="T155" s="435" t="str">
        <f>IF(COUNTIF(K155:R155,"F")&gt;0,"",CONCATENATE('Statement of Marks'!GU158,'Statement of Marks'!GW158))</f>
        <v xml:space="preserve">           </v>
      </c>
      <c r="BG155" s="17">
        <f>IFERROR(VLOOKUP(B155,'Statement of Marks'!$B$8:'Statement of Marks'!$HI$207,41,0),"")</f>
        <v>15</v>
      </c>
      <c r="BH155" s="17" t="str">
        <f>IFERROR(VLOOKUP(B155,'Statement of Marks'!$B$8:'Statement of Marks'!$HI$207,66,0),"")</f>
        <v/>
      </c>
      <c r="BI155" s="17">
        <f>IFERROR(VLOOKUP(B155,'Statement of Marks'!$B$8:'Statement of Marks'!$HI$207,91,0),"")</f>
        <v>60</v>
      </c>
      <c r="BJ155" s="17" t="str">
        <f>IFERROR(VLOOKUP(B155,'Statement of Marks'!$B$8:'Statement of Marks'!$HI$207,117,0),"")</f>
        <v/>
      </c>
    </row>
    <row r="156" spans="1:62" ht="24.95" customHeight="1">
      <c r="A156" s="283">
        <f>IF('Statement of Marks'!A159="","",'Statement of Marks'!A159)</f>
        <v>152</v>
      </c>
      <c r="B156" s="283" t="str">
        <f>IF('Statement of Marks'!B159="","",'Statement of Marks'!B159)</f>
        <v/>
      </c>
      <c r="C156" s="283" t="str">
        <f>IF('Statement of Marks'!C159="","",'Statement of Marks'!C159)</f>
        <v/>
      </c>
      <c r="D156" s="430" t="str">
        <f>IF('Statement of Marks'!D159="","",'Statement of Marks'!D159)</f>
        <v/>
      </c>
      <c r="E156" s="431" t="str">
        <f>IF('Statement of Marks'!E159="","",'Statement of Marks'!E159)</f>
        <v/>
      </c>
      <c r="F156" s="431" t="str">
        <f>IF('Statement of Marks'!F159="","",'Statement of Marks'!F159)</f>
        <v/>
      </c>
      <c r="G156" s="431" t="str">
        <f>IF('Statement of Marks'!G159="","",'Statement of Marks'!G159)</f>
        <v/>
      </c>
      <c r="H156" s="432" t="str">
        <f>IF(B156="","",IF('Statement of Marks'!GY159="","",'Statement of Marks'!GY159))</f>
        <v/>
      </c>
      <c r="I156" s="286" t="str">
        <f>IF(B156="","",IF('Statement of Marks'!HB159="","",'Statement of Marks'!HB159))</f>
        <v/>
      </c>
      <c r="J156" s="433" t="str">
        <f>IF(B156="","",IF('Statement of Marks'!HC159="","",'Statement of Marks'!HC159))</f>
        <v/>
      </c>
      <c r="K156" s="295" t="str">
        <f>IF(B156="","",'Statement of Marks'!FJ159)</f>
        <v/>
      </c>
      <c r="L156" s="295" t="str">
        <f>IF(B156="","",'Statement of Marks'!FM159)</f>
        <v/>
      </c>
      <c r="M156" s="295" t="str">
        <f>IF(B156="","",'Statement of Marks'!FP159)</f>
        <v/>
      </c>
      <c r="N156" s="295" t="str">
        <f>IF(B156="","",'Statement of Marks'!FW159)</f>
        <v/>
      </c>
      <c r="O156" s="295" t="str">
        <f>IF(B156="","",'Statement of Marks'!GD159)</f>
        <v/>
      </c>
      <c r="P156" s="295" t="str">
        <f>IF(B156="","",'Statement of Marks'!GK159)</f>
        <v/>
      </c>
      <c r="Q156" s="295" t="str">
        <f>IF(B156="","",'Statement of Marks'!GR159)</f>
        <v/>
      </c>
      <c r="R156" s="295" t="str">
        <f>IF(B156="","",'Statement of Marks'!FF159)</f>
        <v/>
      </c>
      <c r="S156" s="434" t="str">
        <f>IFERROR(IF(B156="","",CONCATENATE(IF(AND('Marks Entry'!U159="A"),'Marks Entry'!$U$2,IF(AND('Marks Entry'!U159="B"),'Marks Entry'!$Y$2,IF(AND('Marks Entry'!U159="C"),'Marks Entry'!$AA$2,""))),", ",IF(AND('Marks Entry'!AC159="A"),'Marks Entry'!$AC$2,IF(AND('Marks Entry'!AC159="B"),'Marks Entry'!$AG$2,IF(AND('Marks Entry'!AC159="C"),'Marks Entry'!$AI$2,""))),", ",IF(AND('Marks Entry'!AK159="A"),'Marks Entry'!$AK$2,IF(AND('Marks Entry'!AK159="B"),'Marks Entry'!$AO$2,IF(AND('Marks Entry'!AK159="C"),'Marks Entry'!$AQ$2,""))),", ",IF(AND('Statement of Marks'!DD159=""),"",IF(AND('Statement of Marks'!DD159="A"),'Marks Entry'!$AS$2,IF(AND('Statement of Marks'!DD159="B"),'Marks Entry'!$AW$2,IF(AND('Statement of Marks'!DD159="C"),'Marks Entry'!$AY$2,"")))))),"")</f>
        <v/>
      </c>
      <c r="T156" s="435" t="str">
        <f>IF(COUNTIF(K156:R156,"F")&gt;0,"",CONCATENATE('Statement of Marks'!GU159,'Statement of Marks'!GW159))</f>
        <v xml:space="preserve">           </v>
      </c>
      <c r="BG156" s="17">
        <f>IFERROR(VLOOKUP(B156,'Statement of Marks'!$B$8:'Statement of Marks'!$HI$207,41,0),"")</f>
        <v>15</v>
      </c>
      <c r="BH156" s="17" t="str">
        <f>IFERROR(VLOOKUP(B156,'Statement of Marks'!$B$8:'Statement of Marks'!$HI$207,66,0),"")</f>
        <v/>
      </c>
      <c r="BI156" s="17">
        <f>IFERROR(VLOOKUP(B156,'Statement of Marks'!$B$8:'Statement of Marks'!$HI$207,91,0),"")</f>
        <v>60</v>
      </c>
      <c r="BJ156" s="17" t="str">
        <f>IFERROR(VLOOKUP(B156,'Statement of Marks'!$B$8:'Statement of Marks'!$HI$207,117,0),"")</f>
        <v/>
      </c>
    </row>
    <row r="157" spans="1:62" ht="24.95" customHeight="1">
      <c r="A157" s="283">
        <f>IF('Statement of Marks'!A160="","",'Statement of Marks'!A160)</f>
        <v>153</v>
      </c>
      <c r="B157" s="283" t="str">
        <f>IF('Statement of Marks'!B160="","",'Statement of Marks'!B160)</f>
        <v/>
      </c>
      <c r="C157" s="283" t="str">
        <f>IF('Statement of Marks'!C160="","",'Statement of Marks'!C160)</f>
        <v/>
      </c>
      <c r="D157" s="430" t="str">
        <f>IF('Statement of Marks'!D160="","",'Statement of Marks'!D160)</f>
        <v/>
      </c>
      <c r="E157" s="431" t="str">
        <f>IF('Statement of Marks'!E160="","",'Statement of Marks'!E160)</f>
        <v/>
      </c>
      <c r="F157" s="431" t="str">
        <f>IF('Statement of Marks'!F160="","",'Statement of Marks'!F160)</f>
        <v/>
      </c>
      <c r="G157" s="431" t="str">
        <f>IF('Statement of Marks'!G160="","",'Statement of Marks'!G160)</f>
        <v/>
      </c>
      <c r="H157" s="432" t="str">
        <f>IF(B157="","",IF('Statement of Marks'!GY160="","",'Statement of Marks'!GY160))</f>
        <v/>
      </c>
      <c r="I157" s="286" t="str">
        <f>IF(B157="","",IF('Statement of Marks'!HB160="","",'Statement of Marks'!HB160))</f>
        <v/>
      </c>
      <c r="J157" s="433" t="str">
        <f>IF(B157="","",IF('Statement of Marks'!HC160="","",'Statement of Marks'!HC160))</f>
        <v/>
      </c>
      <c r="K157" s="295" t="str">
        <f>IF(B157="","",'Statement of Marks'!FJ160)</f>
        <v/>
      </c>
      <c r="L157" s="295" t="str">
        <f>IF(B157="","",'Statement of Marks'!FM160)</f>
        <v/>
      </c>
      <c r="M157" s="295" t="str">
        <f>IF(B157="","",'Statement of Marks'!FP160)</f>
        <v/>
      </c>
      <c r="N157" s="295" t="str">
        <f>IF(B157="","",'Statement of Marks'!FW160)</f>
        <v/>
      </c>
      <c r="O157" s="295" t="str">
        <f>IF(B157="","",'Statement of Marks'!GD160)</f>
        <v/>
      </c>
      <c r="P157" s="295" t="str">
        <f>IF(B157="","",'Statement of Marks'!GK160)</f>
        <v/>
      </c>
      <c r="Q157" s="295" t="str">
        <f>IF(B157="","",'Statement of Marks'!GR160)</f>
        <v/>
      </c>
      <c r="R157" s="295" t="str">
        <f>IF(B157="","",'Statement of Marks'!FF160)</f>
        <v/>
      </c>
      <c r="S157" s="434" t="str">
        <f>IFERROR(IF(B157="","",CONCATENATE(IF(AND('Marks Entry'!U160="A"),'Marks Entry'!$U$2,IF(AND('Marks Entry'!U160="B"),'Marks Entry'!$Y$2,IF(AND('Marks Entry'!U160="C"),'Marks Entry'!$AA$2,""))),", ",IF(AND('Marks Entry'!AC160="A"),'Marks Entry'!$AC$2,IF(AND('Marks Entry'!AC160="B"),'Marks Entry'!$AG$2,IF(AND('Marks Entry'!AC160="C"),'Marks Entry'!$AI$2,""))),", ",IF(AND('Marks Entry'!AK160="A"),'Marks Entry'!$AK$2,IF(AND('Marks Entry'!AK160="B"),'Marks Entry'!$AO$2,IF(AND('Marks Entry'!AK160="C"),'Marks Entry'!$AQ$2,""))),", ",IF(AND('Statement of Marks'!DD160=""),"",IF(AND('Statement of Marks'!DD160="A"),'Marks Entry'!$AS$2,IF(AND('Statement of Marks'!DD160="B"),'Marks Entry'!$AW$2,IF(AND('Statement of Marks'!DD160="C"),'Marks Entry'!$AY$2,"")))))),"")</f>
        <v/>
      </c>
      <c r="T157" s="435" t="str">
        <f>IF(COUNTIF(K157:R157,"F")&gt;0,"",CONCATENATE('Statement of Marks'!GU160,'Statement of Marks'!GW160))</f>
        <v xml:space="preserve">           </v>
      </c>
      <c r="BG157" s="17">
        <f>IFERROR(VLOOKUP(B157,'Statement of Marks'!$B$8:'Statement of Marks'!$HI$207,41,0),"")</f>
        <v>15</v>
      </c>
      <c r="BH157" s="17" t="str">
        <f>IFERROR(VLOOKUP(B157,'Statement of Marks'!$B$8:'Statement of Marks'!$HI$207,66,0),"")</f>
        <v/>
      </c>
      <c r="BI157" s="17">
        <f>IFERROR(VLOOKUP(B157,'Statement of Marks'!$B$8:'Statement of Marks'!$HI$207,91,0),"")</f>
        <v>60</v>
      </c>
      <c r="BJ157" s="17" t="str">
        <f>IFERROR(VLOOKUP(B157,'Statement of Marks'!$B$8:'Statement of Marks'!$HI$207,117,0),"")</f>
        <v/>
      </c>
    </row>
    <row r="158" spans="1:62" ht="24.95" customHeight="1">
      <c r="A158" s="283">
        <f>IF('Statement of Marks'!A161="","",'Statement of Marks'!A161)</f>
        <v>154</v>
      </c>
      <c r="B158" s="283" t="str">
        <f>IF('Statement of Marks'!B161="","",'Statement of Marks'!B161)</f>
        <v/>
      </c>
      <c r="C158" s="283" t="str">
        <f>IF('Statement of Marks'!C161="","",'Statement of Marks'!C161)</f>
        <v/>
      </c>
      <c r="D158" s="430" t="str">
        <f>IF('Statement of Marks'!D161="","",'Statement of Marks'!D161)</f>
        <v/>
      </c>
      <c r="E158" s="431" t="str">
        <f>IF('Statement of Marks'!E161="","",'Statement of Marks'!E161)</f>
        <v/>
      </c>
      <c r="F158" s="431" t="str">
        <f>IF('Statement of Marks'!F161="","",'Statement of Marks'!F161)</f>
        <v/>
      </c>
      <c r="G158" s="431" t="str">
        <f>IF('Statement of Marks'!G161="","",'Statement of Marks'!G161)</f>
        <v/>
      </c>
      <c r="H158" s="432" t="str">
        <f>IF(B158="","",IF('Statement of Marks'!GY161="","",'Statement of Marks'!GY161))</f>
        <v/>
      </c>
      <c r="I158" s="286" t="str">
        <f>IF(B158="","",IF('Statement of Marks'!HB161="","",'Statement of Marks'!HB161))</f>
        <v/>
      </c>
      <c r="J158" s="433" t="str">
        <f>IF(B158="","",IF('Statement of Marks'!HC161="","",'Statement of Marks'!HC161))</f>
        <v/>
      </c>
      <c r="K158" s="295" t="str">
        <f>IF(B158="","",'Statement of Marks'!FJ161)</f>
        <v/>
      </c>
      <c r="L158" s="295" t="str">
        <f>IF(B158="","",'Statement of Marks'!FM161)</f>
        <v/>
      </c>
      <c r="M158" s="295" t="str">
        <f>IF(B158="","",'Statement of Marks'!FP161)</f>
        <v/>
      </c>
      <c r="N158" s="295" t="str">
        <f>IF(B158="","",'Statement of Marks'!FW161)</f>
        <v/>
      </c>
      <c r="O158" s="295" t="str">
        <f>IF(B158="","",'Statement of Marks'!GD161)</f>
        <v/>
      </c>
      <c r="P158" s="295" t="str">
        <f>IF(B158="","",'Statement of Marks'!GK161)</f>
        <v/>
      </c>
      <c r="Q158" s="295" t="str">
        <f>IF(B158="","",'Statement of Marks'!GR161)</f>
        <v/>
      </c>
      <c r="R158" s="295" t="str">
        <f>IF(B158="","",'Statement of Marks'!FF161)</f>
        <v/>
      </c>
      <c r="S158" s="434" t="str">
        <f>IFERROR(IF(B158="","",CONCATENATE(IF(AND('Marks Entry'!U161="A"),'Marks Entry'!$U$2,IF(AND('Marks Entry'!U161="B"),'Marks Entry'!$Y$2,IF(AND('Marks Entry'!U161="C"),'Marks Entry'!$AA$2,""))),", ",IF(AND('Marks Entry'!AC161="A"),'Marks Entry'!$AC$2,IF(AND('Marks Entry'!AC161="B"),'Marks Entry'!$AG$2,IF(AND('Marks Entry'!AC161="C"),'Marks Entry'!$AI$2,""))),", ",IF(AND('Marks Entry'!AK161="A"),'Marks Entry'!$AK$2,IF(AND('Marks Entry'!AK161="B"),'Marks Entry'!$AO$2,IF(AND('Marks Entry'!AK161="C"),'Marks Entry'!$AQ$2,""))),", ",IF(AND('Statement of Marks'!DD161=""),"",IF(AND('Statement of Marks'!DD161="A"),'Marks Entry'!$AS$2,IF(AND('Statement of Marks'!DD161="B"),'Marks Entry'!$AW$2,IF(AND('Statement of Marks'!DD161="C"),'Marks Entry'!$AY$2,"")))))),"")</f>
        <v/>
      </c>
      <c r="T158" s="435" t="str">
        <f>IF(COUNTIF(K158:R158,"F")&gt;0,"",CONCATENATE('Statement of Marks'!GU161,'Statement of Marks'!GW161))</f>
        <v xml:space="preserve">           </v>
      </c>
      <c r="BG158" s="17">
        <f>IFERROR(VLOOKUP(B158,'Statement of Marks'!$B$8:'Statement of Marks'!$HI$207,41,0),"")</f>
        <v>15</v>
      </c>
      <c r="BH158" s="17" t="str">
        <f>IFERROR(VLOOKUP(B158,'Statement of Marks'!$B$8:'Statement of Marks'!$HI$207,66,0),"")</f>
        <v/>
      </c>
      <c r="BI158" s="17">
        <f>IFERROR(VLOOKUP(B158,'Statement of Marks'!$B$8:'Statement of Marks'!$HI$207,91,0),"")</f>
        <v>60</v>
      </c>
      <c r="BJ158" s="17" t="str">
        <f>IFERROR(VLOOKUP(B158,'Statement of Marks'!$B$8:'Statement of Marks'!$HI$207,117,0),"")</f>
        <v/>
      </c>
    </row>
    <row r="159" spans="1:62" ht="24.95" customHeight="1">
      <c r="A159" s="283">
        <f>IF('Statement of Marks'!A162="","",'Statement of Marks'!A162)</f>
        <v>155</v>
      </c>
      <c r="B159" s="283" t="str">
        <f>IF('Statement of Marks'!B162="","",'Statement of Marks'!B162)</f>
        <v/>
      </c>
      <c r="C159" s="283" t="str">
        <f>IF('Statement of Marks'!C162="","",'Statement of Marks'!C162)</f>
        <v/>
      </c>
      <c r="D159" s="430" t="str">
        <f>IF('Statement of Marks'!D162="","",'Statement of Marks'!D162)</f>
        <v/>
      </c>
      <c r="E159" s="431" t="str">
        <f>IF('Statement of Marks'!E162="","",'Statement of Marks'!E162)</f>
        <v/>
      </c>
      <c r="F159" s="431" t="str">
        <f>IF('Statement of Marks'!F162="","",'Statement of Marks'!F162)</f>
        <v/>
      </c>
      <c r="G159" s="431" t="str">
        <f>IF('Statement of Marks'!G162="","",'Statement of Marks'!G162)</f>
        <v/>
      </c>
      <c r="H159" s="432" t="str">
        <f>IF(B159="","",IF('Statement of Marks'!GY162="","",'Statement of Marks'!GY162))</f>
        <v/>
      </c>
      <c r="I159" s="286" t="str">
        <f>IF(B159="","",IF('Statement of Marks'!HB162="","",'Statement of Marks'!HB162))</f>
        <v/>
      </c>
      <c r="J159" s="433" t="str">
        <f>IF(B159="","",IF('Statement of Marks'!HC162="","",'Statement of Marks'!HC162))</f>
        <v/>
      </c>
      <c r="K159" s="295" t="str">
        <f>IF(B159="","",'Statement of Marks'!FJ162)</f>
        <v/>
      </c>
      <c r="L159" s="295" t="str">
        <f>IF(B159="","",'Statement of Marks'!FM162)</f>
        <v/>
      </c>
      <c r="M159" s="295" t="str">
        <f>IF(B159="","",'Statement of Marks'!FP162)</f>
        <v/>
      </c>
      <c r="N159" s="295" t="str">
        <f>IF(B159="","",'Statement of Marks'!FW162)</f>
        <v/>
      </c>
      <c r="O159" s="295" t="str">
        <f>IF(B159="","",'Statement of Marks'!GD162)</f>
        <v/>
      </c>
      <c r="P159" s="295" t="str">
        <f>IF(B159="","",'Statement of Marks'!GK162)</f>
        <v/>
      </c>
      <c r="Q159" s="295" t="str">
        <f>IF(B159="","",'Statement of Marks'!GR162)</f>
        <v/>
      </c>
      <c r="R159" s="295" t="str">
        <f>IF(B159="","",'Statement of Marks'!FF162)</f>
        <v/>
      </c>
      <c r="S159" s="434" t="str">
        <f>IFERROR(IF(B159="","",CONCATENATE(IF(AND('Marks Entry'!U162="A"),'Marks Entry'!$U$2,IF(AND('Marks Entry'!U162="B"),'Marks Entry'!$Y$2,IF(AND('Marks Entry'!U162="C"),'Marks Entry'!$AA$2,""))),", ",IF(AND('Marks Entry'!AC162="A"),'Marks Entry'!$AC$2,IF(AND('Marks Entry'!AC162="B"),'Marks Entry'!$AG$2,IF(AND('Marks Entry'!AC162="C"),'Marks Entry'!$AI$2,""))),", ",IF(AND('Marks Entry'!AK162="A"),'Marks Entry'!$AK$2,IF(AND('Marks Entry'!AK162="B"),'Marks Entry'!$AO$2,IF(AND('Marks Entry'!AK162="C"),'Marks Entry'!$AQ$2,""))),", ",IF(AND('Statement of Marks'!DD162=""),"",IF(AND('Statement of Marks'!DD162="A"),'Marks Entry'!$AS$2,IF(AND('Statement of Marks'!DD162="B"),'Marks Entry'!$AW$2,IF(AND('Statement of Marks'!DD162="C"),'Marks Entry'!$AY$2,"")))))),"")</f>
        <v/>
      </c>
      <c r="T159" s="435" t="str">
        <f>IF(COUNTIF(K159:R159,"F")&gt;0,"",CONCATENATE('Statement of Marks'!GU162,'Statement of Marks'!GW162))</f>
        <v xml:space="preserve">           </v>
      </c>
      <c r="BG159" s="17">
        <f>IFERROR(VLOOKUP(B159,'Statement of Marks'!$B$8:'Statement of Marks'!$HI$207,41,0),"")</f>
        <v>15</v>
      </c>
      <c r="BH159" s="17" t="str">
        <f>IFERROR(VLOOKUP(B159,'Statement of Marks'!$B$8:'Statement of Marks'!$HI$207,66,0),"")</f>
        <v/>
      </c>
      <c r="BI159" s="17">
        <f>IFERROR(VLOOKUP(B159,'Statement of Marks'!$B$8:'Statement of Marks'!$HI$207,91,0),"")</f>
        <v>60</v>
      </c>
      <c r="BJ159" s="17" t="str">
        <f>IFERROR(VLOOKUP(B159,'Statement of Marks'!$B$8:'Statement of Marks'!$HI$207,117,0),"")</f>
        <v/>
      </c>
    </row>
    <row r="160" spans="1:62" ht="24.95" customHeight="1">
      <c r="A160" s="283">
        <f>IF('Statement of Marks'!A163="","",'Statement of Marks'!A163)</f>
        <v>156</v>
      </c>
      <c r="B160" s="283" t="str">
        <f>IF('Statement of Marks'!B163="","",'Statement of Marks'!B163)</f>
        <v/>
      </c>
      <c r="C160" s="283" t="str">
        <f>IF('Statement of Marks'!C163="","",'Statement of Marks'!C163)</f>
        <v/>
      </c>
      <c r="D160" s="430" t="str">
        <f>IF('Statement of Marks'!D163="","",'Statement of Marks'!D163)</f>
        <v/>
      </c>
      <c r="E160" s="431" t="str">
        <f>IF('Statement of Marks'!E163="","",'Statement of Marks'!E163)</f>
        <v/>
      </c>
      <c r="F160" s="431" t="str">
        <f>IF('Statement of Marks'!F163="","",'Statement of Marks'!F163)</f>
        <v/>
      </c>
      <c r="G160" s="431" t="str">
        <f>IF('Statement of Marks'!G163="","",'Statement of Marks'!G163)</f>
        <v/>
      </c>
      <c r="H160" s="432" t="str">
        <f>IF(B160="","",IF('Statement of Marks'!GY163="","",'Statement of Marks'!GY163))</f>
        <v/>
      </c>
      <c r="I160" s="286" t="str">
        <f>IF(B160="","",IF('Statement of Marks'!HB163="","",'Statement of Marks'!HB163))</f>
        <v/>
      </c>
      <c r="J160" s="433" t="str">
        <f>IF(B160="","",IF('Statement of Marks'!HC163="","",'Statement of Marks'!HC163))</f>
        <v/>
      </c>
      <c r="K160" s="295" t="str">
        <f>IF(B160="","",'Statement of Marks'!FJ163)</f>
        <v/>
      </c>
      <c r="L160" s="295" t="str">
        <f>IF(B160="","",'Statement of Marks'!FM163)</f>
        <v/>
      </c>
      <c r="M160" s="295" t="str">
        <f>IF(B160="","",'Statement of Marks'!FP163)</f>
        <v/>
      </c>
      <c r="N160" s="295" t="str">
        <f>IF(B160="","",'Statement of Marks'!FW163)</f>
        <v/>
      </c>
      <c r="O160" s="295" t="str">
        <f>IF(B160="","",'Statement of Marks'!GD163)</f>
        <v/>
      </c>
      <c r="P160" s="295" t="str">
        <f>IF(B160="","",'Statement of Marks'!GK163)</f>
        <v/>
      </c>
      <c r="Q160" s="295" t="str">
        <f>IF(B160="","",'Statement of Marks'!GR163)</f>
        <v/>
      </c>
      <c r="R160" s="295" t="str">
        <f>IF(B160="","",'Statement of Marks'!FF163)</f>
        <v/>
      </c>
      <c r="S160" s="434" t="str">
        <f>IFERROR(IF(B160="","",CONCATENATE(IF(AND('Marks Entry'!U163="A"),'Marks Entry'!$U$2,IF(AND('Marks Entry'!U163="B"),'Marks Entry'!$Y$2,IF(AND('Marks Entry'!U163="C"),'Marks Entry'!$AA$2,""))),", ",IF(AND('Marks Entry'!AC163="A"),'Marks Entry'!$AC$2,IF(AND('Marks Entry'!AC163="B"),'Marks Entry'!$AG$2,IF(AND('Marks Entry'!AC163="C"),'Marks Entry'!$AI$2,""))),", ",IF(AND('Marks Entry'!AK163="A"),'Marks Entry'!$AK$2,IF(AND('Marks Entry'!AK163="B"),'Marks Entry'!$AO$2,IF(AND('Marks Entry'!AK163="C"),'Marks Entry'!$AQ$2,""))),", ",IF(AND('Statement of Marks'!DD163=""),"",IF(AND('Statement of Marks'!DD163="A"),'Marks Entry'!$AS$2,IF(AND('Statement of Marks'!DD163="B"),'Marks Entry'!$AW$2,IF(AND('Statement of Marks'!DD163="C"),'Marks Entry'!$AY$2,"")))))),"")</f>
        <v/>
      </c>
      <c r="T160" s="435" t="str">
        <f>IF(COUNTIF(K160:R160,"F")&gt;0,"",CONCATENATE('Statement of Marks'!GU163,'Statement of Marks'!GW163))</f>
        <v xml:space="preserve">           </v>
      </c>
      <c r="BG160" s="17">
        <f>IFERROR(VLOOKUP(B160,'Statement of Marks'!$B$8:'Statement of Marks'!$HI$207,41,0),"")</f>
        <v>15</v>
      </c>
      <c r="BH160" s="17" t="str">
        <f>IFERROR(VLOOKUP(B160,'Statement of Marks'!$B$8:'Statement of Marks'!$HI$207,66,0),"")</f>
        <v/>
      </c>
      <c r="BI160" s="17">
        <f>IFERROR(VLOOKUP(B160,'Statement of Marks'!$B$8:'Statement of Marks'!$HI$207,91,0),"")</f>
        <v>60</v>
      </c>
      <c r="BJ160" s="17" t="str">
        <f>IFERROR(VLOOKUP(B160,'Statement of Marks'!$B$8:'Statement of Marks'!$HI$207,117,0),"")</f>
        <v/>
      </c>
    </row>
    <row r="161" spans="1:62" ht="24.95" customHeight="1">
      <c r="A161" s="283">
        <f>IF('Statement of Marks'!A164="","",'Statement of Marks'!A164)</f>
        <v>157</v>
      </c>
      <c r="B161" s="283" t="str">
        <f>IF('Statement of Marks'!B164="","",'Statement of Marks'!B164)</f>
        <v/>
      </c>
      <c r="C161" s="283" t="str">
        <f>IF('Statement of Marks'!C164="","",'Statement of Marks'!C164)</f>
        <v/>
      </c>
      <c r="D161" s="430" t="str">
        <f>IF('Statement of Marks'!D164="","",'Statement of Marks'!D164)</f>
        <v/>
      </c>
      <c r="E161" s="431" t="str">
        <f>IF('Statement of Marks'!E164="","",'Statement of Marks'!E164)</f>
        <v/>
      </c>
      <c r="F161" s="431" t="str">
        <f>IF('Statement of Marks'!F164="","",'Statement of Marks'!F164)</f>
        <v/>
      </c>
      <c r="G161" s="431" t="str">
        <f>IF('Statement of Marks'!G164="","",'Statement of Marks'!G164)</f>
        <v/>
      </c>
      <c r="H161" s="432" t="str">
        <f>IF(B161="","",IF('Statement of Marks'!GY164="","",'Statement of Marks'!GY164))</f>
        <v/>
      </c>
      <c r="I161" s="286" t="str">
        <f>IF(B161="","",IF('Statement of Marks'!HB164="","",'Statement of Marks'!HB164))</f>
        <v/>
      </c>
      <c r="J161" s="433" t="str">
        <f>IF(B161="","",IF('Statement of Marks'!HC164="","",'Statement of Marks'!HC164))</f>
        <v/>
      </c>
      <c r="K161" s="295" t="str">
        <f>IF(B161="","",'Statement of Marks'!FJ164)</f>
        <v/>
      </c>
      <c r="L161" s="295" t="str">
        <f>IF(B161="","",'Statement of Marks'!FM164)</f>
        <v/>
      </c>
      <c r="M161" s="295" t="str">
        <f>IF(B161="","",'Statement of Marks'!FP164)</f>
        <v/>
      </c>
      <c r="N161" s="295" t="str">
        <f>IF(B161="","",'Statement of Marks'!FW164)</f>
        <v/>
      </c>
      <c r="O161" s="295" t="str">
        <f>IF(B161="","",'Statement of Marks'!GD164)</f>
        <v/>
      </c>
      <c r="P161" s="295" t="str">
        <f>IF(B161="","",'Statement of Marks'!GK164)</f>
        <v/>
      </c>
      <c r="Q161" s="295" t="str">
        <f>IF(B161="","",'Statement of Marks'!GR164)</f>
        <v/>
      </c>
      <c r="R161" s="295" t="str">
        <f>IF(B161="","",'Statement of Marks'!FF164)</f>
        <v/>
      </c>
      <c r="S161" s="434" t="str">
        <f>IFERROR(IF(B161="","",CONCATENATE(IF(AND('Marks Entry'!U164="A"),'Marks Entry'!$U$2,IF(AND('Marks Entry'!U164="B"),'Marks Entry'!$Y$2,IF(AND('Marks Entry'!U164="C"),'Marks Entry'!$AA$2,""))),", ",IF(AND('Marks Entry'!AC164="A"),'Marks Entry'!$AC$2,IF(AND('Marks Entry'!AC164="B"),'Marks Entry'!$AG$2,IF(AND('Marks Entry'!AC164="C"),'Marks Entry'!$AI$2,""))),", ",IF(AND('Marks Entry'!AK164="A"),'Marks Entry'!$AK$2,IF(AND('Marks Entry'!AK164="B"),'Marks Entry'!$AO$2,IF(AND('Marks Entry'!AK164="C"),'Marks Entry'!$AQ$2,""))),", ",IF(AND('Statement of Marks'!DD164=""),"",IF(AND('Statement of Marks'!DD164="A"),'Marks Entry'!$AS$2,IF(AND('Statement of Marks'!DD164="B"),'Marks Entry'!$AW$2,IF(AND('Statement of Marks'!DD164="C"),'Marks Entry'!$AY$2,"")))))),"")</f>
        <v/>
      </c>
      <c r="T161" s="435" t="str">
        <f>IF(COUNTIF(K161:R161,"F")&gt;0,"",CONCATENATE('Statement of Marks'!GU164,'Statement of Marks'!GW164))</f>
        <v xml:space="preserve">           </v>
      </c>
      <c r="BG161" s="17">
        <f>IFERROR(VLOOKUP(B161,'Statement of Marks'!$B$8:'Statement of Marks'!$HI$207,41,0),"")</f>
        <v>15</v>
      </c>
      <c r="BH161" s="17" t="str">
        <f>IFERROR(VLOOKUP(B161,'Statement of Marks'!$B$8:'Statement of Marks'!$HI$207,66,0),"")</f>
        <v/>
      </c>
      <c r="BI161" s="17">
        <f>IFERROR(VLOOKUP(B161,'Statement of Marks'!$B$8:'Statement of Marks'!$HI$207,91,0),"")</f>
        <v>60</v>
      </c>
      <c r="BJ161" s="17" t="str">
        <f>IFERROR(VLOOKUP(B161,'Statement of Marks'!$B$8:'Statement of Marks'!$HI$207,117,0),"")</f>
        <v/>
      </c>
    </row>
    <row r="162" spans="1:62" ht="24.95" customHeight="1">
      <c r="A162" s="283">
        <f>IF('Statement of Marks'!A165="","",'Statement of Marks'!A165)</f>
        <v>158</v>
      </c>
      <c r="B162" s="283" t="str">
        <f>IF('Statement of Marks'!B165="","",'Statement of Marks'!B165)</f>
        <v/>
      </c>
      <c r="C162" s="283" t="str">
        <f>IF('Statement of Marks'!C165="","",'Statement of Marks'!C165)</f>
        <v/>
      </c>
      <c r="D162" s="430" t="str">
        <f>IF('Statement of Marks'!D165="","",'Statement of Marks'!D165)</f>
        <v/>
      </c>
      <c r="E162" s="431" t="str">
        <f>IF('Statement of Marks'!E165="","",'Statement of Marks'!E165)</f>
        <v/>
      </c>
      <c r="F162" s="431" t="str">
        <f>IF('Statement of Marks'!F165="","",'Statement of Marks'!F165)</f>
        <v/>
      </c>
      <c r="G162" s="431" t="str">
        <f>IF('Statement of Marks'!G165="","",'Statement of Marks'!G165)</f>
        <v/>
      </c>
      <c r="H162" s="432" t="str">
        <f>IF(B162="","",IF('Statement of Marks'!GY165="","",'Statement of Marks'!GY165))</f>
        <v/>
      </c>
      <c r="I162" s="286" t="str">
        <f>IF(B162="","",IF('Statement of Marks'!HB165="","",'Statement of Marks'!HB165))</f>
        <v/>
      </c>
      <c r="J162" s="433" t="str">
        <f>IF(B162="","",IF('Statement of Marks'!HC165="","",'Statement of Marks'!HC165))</f>
        <v/>
      </c>
      <c r="K162" s="295" t="str">
        <f>IF(B162="","",'Statement of Marks'!FJ165)</f>
        <v/>
      </c>
      <c r="L162" s="295" t="str">
        <f>IF(B162="","",'Statement of Marks'!FM165)</f>
        <v/>
      </c>
      <c r="M162" s="295" t="str">
        <f>IF(B162="","",'Statement of Marks'!FP165)</f>
        <v/>
      </c>
      <c r="N162" s="295" t="str">
        <f>IF(B162="","",'Statement of Marks'!FW165)</f>
        <v/>
      </c>
      <c r="O162" s="295" t="str">
        <f>IF(B162="","",'Statement of Marks'!GD165)</f>
        <v/>
      </c>
      <c r="P162" s="295" t="str">
        <f>IF(B162="","",'Statement of Marks'!GK165)</f>
        <v/>
      </c>
      <c r="Q162" s="295" t="str">
        <f>IF(B162="","",'Statement of Marks'!GR165)</f>
        <v/>
      </c>
      <c r="R162" s="295" t="str">
        <f>IF(B162="","",'Statement of Marks'!FF165)</f>
        <v/>
      </c>
      <c r="S162" s="434" t="str">
        <f>IFERROR(IF(B162="","",CONCATENATE(IF(AND('Marks Entry'!U165="A"),'Marks Entry'!$U$2,IF(AND('Marks Entry'!U165="B"),'Marks Entry'!$Y$2,IF(AND('Marks Entry'!U165="C"),'Marks Entry'!$AA$2,""))),", ",IF(AND('Marks Entry'!AC165="A"),'Marks Entry'!$AC$2,IF(AND('Marks Entry'!AC165="B"),'Marks Entry'!$AG$2,IF(AND('Marks Entry'!AC165="C"),'Marks Entry'!$AI$2,""))),", ",IF(AND('Marks Entry'!AK165="A"),'Marks Entry'!$AK$2,IF(AND('Marks Entry'!AK165="B"),'Marks Entry'!$AO$2,IF(AND('Marks Entry'!AK165="C"),'Marks Entry'!$AQ$2,""))),", ",IF(AND('Statement of Marks'!DD165=""),"",IF(AND('Statement of Marks'!DD165="A"),'Marks Entry'!$AS$2,IF(AND('Statement of Marks'!DD165="B"),'Marks Entry'!$AW$2,IF(AND('Statement of Marks'!DD165="C"),'Marks Entry'!$AY$2,"")))))),"")</f>
        <v/>
      </c>
      <c r="T162" s="435" t="str">
        <f>IF(COUNTIF(K162:R162,"F")&gt;0,"",CONCATENATE('Statement of Marks'!GU165,'Statement of Marks'!GW165))</f>
        <v xml:space="preserve">           </v>
      </c>
      <c r="BG162" s="17">
        <f>IFERROR(VLOOKUP(B162,'Statement of Marks'!$B$8:'Statement of Marks'!$HI$207,41,0),"")</f>
        <v>15</v>
      </c>
      <c r="BH162" s="17" t="str">
        <f>IFERROR(VLOOKUP(B162,'Statement of Marks'!$B$8:'Statement of Marks'!$HI$207,66,0),"")</f>
        <v/>
      </c>
      <c r="BI162" s="17">
        <f>IFERROR(VLOOKUP(B162,'Statement of Marks'!$B$8:'Statement of Marks'!$HI$207,91,0),"")</f>
        <v>60</v>
      </c>
      <c r="BJ162" s="17" t="str">
        <f>IFERROR(VLOOKUP(B162,'Statement of Marks'!$B$8:'Statement of Marks'!$HI$207,117,0),"")</f>
        <v/>
      </c>
    </row>
    <row r="163" spans="1:62" ht="24.95" customHeight="1">
      <c r="A163" s="283">
        <f>IF('Statement of Marks'!A166="","",'Statement of Marks'!A166)</f>
        <v>159</v>
      </c>
      <c r="B163" s="283" t="str">
        <f>IF('Statement of Marks'!B166="","",'Statement of Marks'!B166)</f>
        <v/>
      </c>
      <c r="C163" s="283" t="str">
        <f>IF('Statement of Marks'!C166="","",'Statement of Marks'!C166)</f>
        <v/>
      </c>
      <c r="D163" s="430" t="str">
        <f>IF('Statement of Marks'!D166="","",'Statement of Marks'!D166)</f>
        <v/>
      </c>
      <c r="E163" s="431" t="str">
        <f>IF('Statement of Marks'!E166="","",'Statement of Marks'!E166)</f>
        <v/>
      </c>
      <c r="F163" s="431" t="str">
        <f>IF('Statement of Marks'!F166="","",'Statement of Marks'!F166)</f>
        <v/>
      </c>
      <c r="G163" s="431" t="str">
        <f>IF('Statement of Marks'!G166="","",'Statement of Marks'!G166)</f>
        <v/>
      </c>
      <c r="H163" s="432" t="str">
        <f>IF(B163="","",IF('Statement of Marks'!GY166="","",'Statement of Marks'!GY166))</f>
        <v/>
      </c>
      <c r="I163" s="286" t="str">
        <f>IF(B163="","",IF('Statement of Marks'!HB166="","",'Statement of Marks'!HB166))</f>
        <v/>
      </c>
      <c r="J163" s="433" t="str">
        <f>IF(B163="","",IF('Statement of Marks'!HC166="","",'Statement of Marks'!HC166))</f>
        <v/>
      </c>
      <c r="K163" s="295" t="str">
        <f>IF(B163="","",'Statement of Marks'!FJ166)</f>
        <v/>
      </c>
      <c r="L163" s="295" t="str">
        <f>IF(B163="","",'Statement of Marks'!FM166)</f>
        <v/>
      </c>
      <c r="M163" s="295" t="str">
        <f>IF(B163="","",'Statement of Marks'!FP166)</f>
        <v/>
      </c>
      <c r="N163" s="295" t="str">
        <f>IF(B163="","",'Statement of Marks'!FW166)</f>
        <v/>
      </c>
      <c r="O163" s="295" t="str">
        <f>IF(B163="","",'Statement of Marks'!GD166)</f>
        <v/>
      </c>
      <c r="P163" s="295" t="str">
        <f>IF(B163="","",'Statement of Marks'!GK166)</f>
        <v/>
      </c>
      <c r="Q163" s="295" t="str">
        <f>IF(B163="","",'Statement of Marks'!GR166)</f>
        <v/>
      </c>
      <c r="R163" s="295" t="str">
        <f>IF(B163="","",'Statement of Marks'!FF166)</f>
        <v/>
      </c>
      <c r="S163" s="434" t="str">
        <f>IFERROR(IF(B163="","",CONCATENATE(IF(AND('Marks Entry'!U166="A"),'Marks Entry'!$U$2,IF(AND('Marks Entry'!U166="B"),'Marks Entry'!$Y$2,IF(AND('Marks Entry'!U166="C"),'Marks Entry'!$AA$2,""))),", ",IF(AND('Marks Entry'!AC166="A"),'Marks Entry'!$AC$2,IF(AND('Marks Entry'!AC166="B"),'Marks Entry'!$AG$2,IF(AND('Marks Entry'!AC166="C"),'Marks Entry'!$AI$2,""))),", ",IF(AND('Marks Entry'!AK166="A"),'Marks Entry'!$AK$2,IF(AND('Marks Entry'!AK166="B"),'Marks Entry'!$AO$2,IF(AND('Marks Entry'!AK166="C"),'Marks Entry'!$AQ$2,""))),", ",IF(AND('Statement of Marks'!DD166=""),"",IF(AND('Statement of Marks'!DD166="A"),'Marks Entry'!$AS$2,IF(AND('Statement of Marks'!DD166="B"),'Marks Entry'!$AW$2,IF(AND('Statement of Marks'!DD166="C"),'Marks Entry'!$AY$2,"")))))),"")</f>
        <v/>
      </c>
      <c r="T163" s="435" t="str">
        <f>IF(COUNTIF(K163:R163,"F")&gt;0,"",CONCATENATE('Statement of Marks'!GU166,'Statement of Marks'!GW166))</f>
        <v xml:space="preserve">           </v>
      </c>
      <c r="BG163" s="17">
        <f>IFERROR(VLOOKUP(B163,'Statement of Marks'!$B$8:'Statement of Marks'!$HI$207,41,0),"")</f>
        <v>15</v>
      </c>
      <c r="BH163" s="17" t="str">
        <f>IFERROR(VLOOKUP(B163,'Statement of Marks'!$B$8:'Statement of Marks'!$HI$207,66,0),"")</f>
        <v/>
      </c>
      <c r="BI163" s="17">
        <f>IFERROR(VLOOKUP(B163,'Statement of Marks'!$B$8:'Statement of Marks'!$HI$207,91,0),"")</f>
        <v>60</v>
      </c>
      <c r="BJ163" s="17" t="str">
        <f>IFERROR(VLOOKUP(B163,'Statement of Marks'!$B$8:'Statement of Marks'!$HI$207,117,0),"")</f>
        <v/>
      </c>
    </row>
    <row r="164" spans="1:62" ht="24.95" customHeight="1">
      <c r="A164" s="283">
        <f>IF('Statement of Marks'!A167="","",'Statement of Marks'!A167)</f>
        <v>160</v>
      </c>
      <c r="B164" s="283" t="str">
        <f>IF('Statement of Marks'!B167="","",'Statement of Marks'!B167)</f>
        <v/>
      </c>
      <c r="C164" s="283" t="str">
        <f>IF('Statement of Marks'!C167="","",'Statement of Marks'!C167)</f>
        <v/>
      </c>
      <c r="D164" s="430" t="str">
        <f>IF('Statement of Marks'!D167="","",'Statement of Marks'!D167)</f>
        <v/>
      </c>
      <c r="E164" s="431" t="str">
        <f>IF('Statement of Marks'!E167="","",'Statement of Marks'!E167)</f>
        <v/>
      </c>
      <c r="F164" s="431" t="str">
        <f>IF('Statement of Marks'!F167="","",'Statement of Marks'!F167)</f>
        <v/>
      </c>
      <c r="G164" s="431" t="str">
        <f>IF('Statement of Marks'!G167="","",'Statement of Marks'!G167)</f>
        <v/>
      </c>
      <c r="H164" s="432" t="str">
        <f>IF(B164="","",IF('Statement of Marks'!GY167="","",'Statement of Marks'!GY167))</f>
        <v/>
      </c>
      <c r="I164" s="286" t="str">
        <f>IF(B164="","",IF('Statement of Marks'!HB167="","",'Statement of Marks'!HB167))</f>
        <v/>
      </c>
      <c r="J164" s="433" t="str">
        <f>IF(B164="","",IF('Statement of Marks'!HC167="","",'Statement of Marks'!HC167))</f>
        <v/>
      </c>
      <c r="K164" s="295" t="str">
        <f>IF(B164="","",'Statement of Marks'!FJ167)</f>
        <v/>
      </c>
      <c r="L164" s="295" t="str">
        <f>IF(B164="","",'Statement of Marks'!FM167)</f>
        <v/>
      </c>
      <c r="M164" s="295" t="str">
        <f>IF(B164="","",'Statement of Marks'!FP167)</f>
        <v/>
      </c>
      <c r="N164" s="295" t="str">
        <f>IF(B164="","",'Statement of Marks'!FW167)</f>
        <v/>
      </c>
      <c r="O164" s="295" t="str">
        <f>IF(B164="","",'Statement of Marks'!GD167)</f>
        <v/>
      </c>
      <c r="P164" s="295" t="str">
        <f>IF(B164="","",'Statement of Marks'!GK167)</f>
        <v/>
      </c>
      <c r="Q164" s="295" t="str">
        <f>IF(B164="","",'Statement of Marks'!GR167)</f>
        <v/>
      </c>
      <c r="R164" s="295" t="str">
        <f>IF(B164="","",'Statement of Marks'!FF167)</f>
        <v/>
      </c>
      <c r="S164" s="434" t="str">
        <f>IFERROR(IF(B164="","",CONCATENATE(IF(AND('Marks Entry'!U167="A"),'Marks Entry'!$U$2,IF(AND('Marks Entry'!U167="B"),'Marks Entry'!$Y$2,IF(AND('Marks Entry'!U167="C"),'Marks Entry'!$AA$2,""))),", ",IF(AND('Marks Entry'!AC167="A"),'Marks Entry'!$AC$2,IF(AND('Marks Entry'!AC167="B"),'Marks Entry'!$AG$2,IF(AND('Marks Entry'!AC167="C"),'Marks Entry'!$AI$2,""))),", ",IF(AND('Marks Entry'!AK167="A"),'Marks Entry'!$AK$2,IF(AND('Marks Entry'!AK167="B"),'Marks Entry'!$AO$2,IF(AND('Marks Entry'!AK167="C"),'Marks Entry'!$AQ$2,""))),", ",IF(AND('Statement of Marks'!DD167=""),"",IF(AND('Statement of Marks'!DD167="A"),'Marks Entry'!$AS$2,IF(AND('Statement of Marks'!DD167="B"),'Marks Entry'!$AW$2,IF(AND('Statement of Marks'!DD167="C"),'Marks Entry'!$AY$2,"")))))),"")</f>
        <v/>
      </c>
      <c r="T164" s="435" t="str">
        <f>IF(COUNTIF(K164:R164,"F")&gt;0,"",CONCATENATE('Statement of Marks'!GU167,'Statement of Marks'!GW167))</f>
        <v xml:space="preserve">           </v>
      </c>
      <c r="BG164" s="17">
        <f>IFERROR(VLOOKUP(B164,'Statement of Marks'!$B$8:'Statement of Marks'!$HI$207,41,0),"")</f>
        <v>15</v>
      </c>
      <c r="BH164" s="17" t="str">
        <f>IFERROR(VLOOKUP(B164,'Statement of Marks'!$B$8:'Statement of Marks'!$HI$207,66,0),"")</f>
        <v/>
      </c>
      <c r="BI164" s="17">
        <f>IFERROR(VLOOKUP(B164,'Statement of Marks'!$B$8:'Statement of Marks'!$HI$207,91,0),"")</f>
        <v>60</v>
      </c>
      <c r="BJ164" s="17" t="str">
        <f>IFERROR(VLOOKUP(B164,'Statement of Marks'!$B$8:'Statement of Marks'!$HI$207,117,0),"")</f>
        <v/>
      </c>
    </row>
    <row r="165" spans="1:62" ht="24.95" customHeight="1">
      <c r="A165" s="283">
        <f>IF('Statement of Marks'!A168="","",'Statement of Marks'!A168)</f>
        <v>161</v>
      </c>
      <c r="B165" s="283" t="str">
        <f>IF('Statement of Marks'!B168="","",'Statement of Marks'!B168)</f>
        <v/>
      </c>
      <c r="C165" s="283" t="str">
        <f>IF('Statement of Marks'!C168="","",'Statement of Marks'!C168)</f>
        <v/>
      </c>
      <c r="D165" s="430" t="str">
        <f>IF('Statement of Marks'!D168="","",'Statement of Marks'!D168)</f>
        <v/>
      </c>
      <c r="E165" s="431" t="str">
        <f>IF('Statement of Marks'!E168="","",'Statement of Marks'!E168)</f>
        <v/>
      </c>
      <c r="F165" s="431" t="str">
        <f>IF('Statement of Marks'!F168="","",'Statement of Marks'!F168)</f>
        <v/>
      </c>
      <c r="G165" s="431" t="str">
        <f>IF('Statement of Marks'!G168="","",'Statement of Marks'!G168)</f>
        <v/>
      </c>
      <c r="H165" s="432" t="str">
        <f>IF(B165="","",IF('Statement of Marks'!GY168="","",'Statement of Marks'!GY168))</f>
        <v/>
      </c>
      <c r="I165" s="286" t="str">
        <f>IF(B165="","",IF('Statement of Marks'!HB168="","",'Statement of Marks'!HB168))</f>
        <v/>
      </c>
      <c r="J165" s="433" t="str">
        <f>IF(B165="","",IF('Statement of Marks'!HC168="","",'Statement of Marks'!HC168))</f>
        <v/>
      </c>
      <c r="K165" s="295" t="str">
        <f>IF(B165="","",'Statement of Marks'!FJ168)</f>
        <v/>
      </c>
      <c r="L165" s="295" t="str">
        <f>IF(B165="","",'Statement of Marks'!FM168)</f>
        <v/>
      </c>
      <c r="M165" s="295" t="str">
        <f>IF(B165="","",'Statement of Marks'!FP168)</f>
        <v/>
      </c>
      <c r="N165" s="295" t="str">
        <f>IF(B165="","",'Statement of Marks'!FW168)</f>
        <v/>
      </c>
      <c r="O165" s="295" t="str">
        <f>IF(B165="","",'Statement of Marks'!GD168)</f>
        <v/>
      </c>
      <c r="P165" s="295" t="str">
        <f>IF(B165="","",'Statement of Marks'!GK168)</f>
        <v/>
      </c>
      <c r="Q165" s="295" t="str">
        <f>IF(B165="","",'Statement of Marks'!GR168)</f>
        <v/>
      </c>
      <c r="R165" s="295" t="str">
        <f>IF(B165="","",'Statement of Marks'!FF168)</f>
        <v/>
      </c>
      <c r="S165" s="434" t="str">
        <f>IFERROR(IF(B165="","",CONCATENATE(IF(AND('Marks Entry'!U168="A"),'Marks Entry'!$U$2,IF(AND('Marks Entry'!U168="B"),'Marks Entry'!$Y$2,IF(AND('Marks Entry'!U168="C"),'Marks Entry'!$AA$2,""))),", ",IF(AND('Marks Entry'!AC168="A"),'Marks Entry'!$AC$2,IF(AND('Marks Entry'!AC168="B"),'Marks Entry'!$AG$2,IF(AND('Marks Entry'!AC168="C"),'Marks Entry'!$AI$2,""))),", ",IF(AND('Marks Entry'!AK168="A"),'Marks Entry'!$AK$2,IF(AND('Marks Entry'!AK168="B"),'Marks Entry'!$AO$2,IF(AND('Marks Entry'!AK168="C"),'Marks Entry'!$AQ$2,""))),", ",IF(AND('Statement of Marks'!DD168=""),"",IF(AND('Statement of Marks'!DD168="A"),'Marks Entry'!$AS$2,IF(AND('Statement of Marks'!DD168="B"),'Marks Entry'!$AW$2,IF(AND('Statement of Marks'!DD168="C"),'Marks Entry'!$AY$2,"")))))),"")</f>
        <v/>
      </c>
      <c r="T165" s="435" t="str">
        <f>IF(COUNTIF(K165:R165,"F")&gt;0,"",CONCATENATE('Statement of Marks'!GU168,'Statement of Marks'!GW168))</f>
        <v xml:space="preserve">           </v>
      </c>
      <c r="BG165" s="17">
        <f>IFERROR(VLOOKUP(B165,'Statement of Marks'!$B$8:'Statement of Marks'!$HI$207,41,0),"")</f>
        <v>15</v>
      </c>
      <c r="BH165" s="17" t="str">
        <f>IFERROR(VLOOKUP(B165,'Statement of Marks'!$B$8:'Statement of Marks'!$HI$207,66,0),"")</f>
        <v/>
      </c>
      <c r="BI165" s="17">
        <f>IFERROR(VLOOKUP(B165,'Statement of Marks'!$B$8:'Statement of Marks'!$HI$207,91,0),"")</f>
        <v>60</v>
      </c>
      <c r="BJ165" s="17" t="str">
        <f>IFERROR(VLOOKUP(B165,'Statement of Marks'!$B$8:'Statement of Marks'!$HI$207,117,0),"")</f>
        <v/>
      </c>
    </row>
    <row r="166" spans="1:62" ht="24.95" customHeight="1">
      <c r="A166" s="283">
        <f>IF('Statement of Marks'!A169="","",'Statement of Marks'!A169)</f>
        <v>162</v>
      </c>
      <c r="B166" s="283" t="str">
        <f>IF('Statement of Marks'!B169="","",'Statement of Marks'!B169)</f>
        <v/>
      </c>
      <c r="C166" s="283" t="str">
        <f>IF('Statement of Marks'!C169="","",'Statement of Marks'!C169)</f>
        <v/>
      </c>
      <c r="D166" s="430" t="str">
        <f>IF('Statement of Marks'!D169="","",'Statement of Marks'!D169)</f>
        <v/>
      </c>
      <c r="E166" s="431" t="str">
        <f>IF('Statement of Marks'!E169="","",'Statement of Marks'!E169)</f>
        <v/>
      </c>
      <c r="F166" s="431" t="str">
        <f>IF('Statement of Marks'!F169="","",'Statement of Marks'!F169)</f>
        <v/>
      </c>
      <c r="G166" s="431" t="str">
        <f>IF('Statement of Marks'!G169="","",'Statement of Marks'!G169)</f>
        <v/>
      </c>
      <c r="H166" s="432" t="str">
        <f>IF(B166="","",IF('Statement of Marks'!GY169="","",'Statement of Marks'!GY169))</f>
        <v/>
      </c>
      <c r="I166" s="286" t="str">
        <f>IF(B166="","",IF('Statement of Marks'!HB169="","",'Statement of Marks'!HB169))</f>
        <v/>
      </c>
      <c r="J166" s="433" t="str">
        <f>IF(B166="","",IF('Statement of Marks'!HC169="","",'Statement of Marks'!HC169))</f>
        <v/>
      </c>
      <c r="K166" s="295" t="str">
        <f>IF(B166="","",'Statement of Marks'!FJ169)</f>
        <v/>
      </c>
      <c r="L166" s="295" t="str">
        <f>IF(B166="","",'Statement of Marks'!FM169)</f>
        <v/>
      </c>
      <c r="M166" s="295" t="str">
        <f>IF(B166="","",'Statement of Marks'!FP169)</f>
        <v/>
      </c>
      <c r="N166" s="295" t="str">
        <f>IF(B166="","",'Statement of Marks'!FW169)</f>
        <v/>
      </c>
      <c r="O166" s="295" t="str">
        <f>IF(B166="","",'Statement of Marks'!GD169)</f>
        <v/>
      </c>
      <c r="P166" s="295" t="str">
        <f>IF(B166="","",'Statement of Marks'!GK169)</f>
        <v/>
      </c>
      <c r="Q166" s="295" t="str">
        <f>IF(B166="","",'Statement of Marks'!GR169)</f>
        <v/>
      </c>
      <c r="R166" s="295" t="str">
        <f>IF(B166="","",'Statement of Marks'!FF169)</f>
        <v/>
      </c>
      <c r="S166" s="434" t="str">
        <f>IFERROR(IF(B166="","",CONCATENATE(IF(AND('Marks Entry'!U169="A"),'Marks Entry'!$U$2,IF(AND('Marks Entry'!U169="B"),'Marks Entry'!$Y$2,IF(AND('Marks Entry'!U169="C"),'Marks Entry'!$AA$2,""))),", ",IF(AND('Marks Entry'!AC169="A"),'Marks Entry'!$AC$2,IF(AND('Marks Entry'!AC169="B"),'Marks Entry'!$AG$2,IF(AND('Marks Entry'!AC169="C"),'Marks Entry'!$AI$2,""))),", ",IF(AND('Marks Entry'!AK169="A"),'Marks Entry'!$AK$2,IF(AND('Marks Entry'!AK169="B"),'Marks Entry'!$AO$2,IF(AND('Marks Entry'!AK169="C"),'Marks Entry'!$AQ$2,""))),", ",IF(AND('Statement of Marks'!DD169=""),"",IF(AND('Statement of Marks'!DD169="A"),'Marks Entry'!$AS$2,IF(AND('Statement of Marks'!DD169="B"),'Marks Entry'!$AW$2,IF(AND('Statement of Marks'!DD169="C"),'Marks Entry'!$AY$2,"")))))),"")</f>
        <v/>
      </c>
      <c r="T166" s="435" t="str">
        <f>IF(COUNTIF(K166:R166,"F")&gt;0,"",CONCATENATE('Statement of Marks'!GU169,'Statement of Marks'!GW169))</f>
        <v xml:space="preserve">           </v>
      </c>
      <c r="BG166" s="17">
        <f>IFERROR(VLOOKUP(B166,'Statement of Marks'!$B$8:'Statement of Marks'!$HI$207,41,0),"")</f>
        <v>15</v>
      </c>
      <c r="BH166" s="17" t="str">
        <f>IFERROR(VLOOKUP(B166,'Statement of Marks'!$B$8:'Statement of Marks'!$HI$207,66,0),"")</f>
        <v/>
      </c>
      <c r="BI166" s="17">
        <f>IFERROR(VLOOKUP(B166,'Statement of Marks'!$B$8:'Statement of Marks'!$HI$207,91,0),"")</f>
        <v>60</v>
      </c>
      <c r="BJ166" s="17" t="str">
        <f>IFERROR(VLOOKUP(B166,'Statement of Marks'!$B$8:'Statement of Marks'!$HI$207,117,0),"")</f>
        <v/>
      </c>
    </row>
    <row r="167" spans="1:62" ht="24.95" customHeight="1">
      <c r="A167" s="283">
        <f>IF('Statement of Marks'!A170="","",'Statement of Marks'!A170)</f>
        <v>163</v>
      </c>
      <c r="B167" s="283" t="str">
        <f>IF('Statement of Marks'!B170="","",'Statement of Marks'!B170)</f>
        <v/>
      </c>
      <c r="C167" s="283" t="str">
        <f>IF('Statement of Marks'!C170="","",'Statement of Marks'!C170)</f>
        <v/>
      </c>
      <c r="D167" s="430" t="str">
        <f>IF('Statement of Marks'!D170="","",'Statement of Marks'!D170)</f>
        <v/>
      </c>
      <c r="E167" s="431" t="str">
        <f>IF('Statement of Marks'!E170="","",'Statement of Marks'!E170)</f>
        <v/>
      </c>
      <c r="F167" s="431" t="str">
        <f>IF('Statement of Marks'!F170="","",'Statement of Marks'!F170)</f>
        <v/>
      </c>
      <c r="G167" s="431" t="str">
        <f>IF('Statement of Marks'!G170="","",'Statement of Marks'!G170)</f>
        <v/>
      </c>
      <c r="H167" s="432" t="str">
        <f>IF(B167="","",IF('Statement of Marks'!GY170="","",'Statement of Marks'!GY170))</f>
        <v/>
      </c>
      <c r="I167" s="286" t="str">
        <f>IF(B167="","",IF('Statement of Marks'!HB170="","",'Statement of Marks'!HB170))</f>
        <v/>
      </c>
      <c r="J167" s="433" t="str">
        <f>IF(B167="","",IF('Statement of Marks'!HC170="","",'Statement of Marks'!HC170))</f>
        <v/>
      </c>
      <c r="K167" s="295" t="str">
        <f>IF(B167="","",'Statement of Marks'!FJ170)</f>
        <v/>
      </c>
      <c r="L167" s="295" t="str">
        <f>IF(B167="","",'Statement of Marks'!FM170)</f>
        <v/>
      </c>
      <c r="M167" s="295" t="str">
        <f>IF(B167="","",'Statement of Marks'!FP170)</f>
        <v/>
      </c>
      <c r="N167" s="295" t="str">
        <f>IF(B167="","",'Statement of Marks'!FW170)</f>
        <v/>
      </c>
      <c r="O167" s="295" t="str">
        <f>IF(B167="","",'Statement of Marks'!GD170)</f>
        <v/>
      </c>
      <c r="P167" s="295" t="str">
        <f>IF(B167="","",'Statement of Marks'!GK170)</f>
        <v/>
      </c>
      <c r="Q167" s="295" t="str">
        <f>IF(B167="","",'Statement of Marks'!GR170)</f>
        <v/>
      </c>
      <c r="R167" s="295" t="str">
        <f>IF(B167="","",'Statement of Marks'!FF170)</f>
        <v/>
      </c>
      <c r="S167" s="434" t="str">
        <f>IFERROR(IF(B167="","",CONCATENATE(IF(AND('Marks Entry'!U170="A"),'Marks Entry'!$U$2,IF(AND('Marks Entry'!U170="B"),'Marks Entry'!$Y$2,IF(AND('Marks Entry'!U170="C"),'Marks Entry'!$AA$2,""))),", ",IF(AND('Marks Entry'!AC170="A"),'Marks Entry'!$AC$2,IF(AND('Marks Entry'!AC170="B"),'Marks Entry'!$AG$2,IF(AND('Marks Entry'!AC170="C"),'Marks Entry'!$AI$2,""))),", ",IF(AND('Marks Entry'!AK170="A"),'Marks Entry'!$AK$2,IF(AND('Marks Entry'!AK170="B"),'Marks Entry'!$AO$2,IF(AND('Marks Entry'!AK170="C"),'Marks Entry'!$AQ$2,""))),", ",IF(AND('Statement of Marks'!DD170=""),"",IF(AND('Statement of Marks'!DD170="A"),'Marks Entry'!$AS$2,IF(AND('Statement of Marks'!DD170="B"),'Marks Entry'!$AW$2,IF(AND('Statement of Marks'!DD170="C"),'Marks Entry'!$AY$2,"")))))),"")</f>
        <v/>
      </c>
      <c r="T167" s="435" t="str">
        <f>IF(COUNTIF(K167:R167,"F")&gt;0,"",CONCATENATE('Statement of Marks'!GU170,'Statement of Marks'!GW170))</f>
        <v xml:space="preserve">           </v>
      </c>
      <c r="BG167" s="17">
        <f>IFERROR(VLOOKUP(B167,'Statement of Marks'!$B$8:'Statement of Marks'!$HI$207,41,0),"")</f>
        <v>15</v>
      </c>
      <c r="BH167" s="17" t="str">
        <f>IFERROR(VLOOKUP(B167,'Statement of Marks'!$B$8:'Statement of Marks'!$HI$207,66,0),"")</f>
        <v/>
      </c>
      <c r="BI167" s="17">
        <f>IFERROR(VLOOKUP(B167,'Statement of Marks'!$B$8:'Statement of Marks'!$HI$207,91,0),"")</f>
        <v>60</v>
      </c>
      <c r="BJ167" s="17" t="str">
        <f>IFERROR(VLOOKUP(B167,'Statement of Marks'!$B$8:'Statement of Marks'!$HI$207,117,0),"")</f>
        <v/>
      </c>
    </row>
    <row r="168" spans="1:62" ht="24.95" customHeight="1">
      <c r="A168" s="283">
        <f>IF('Statement of Marks'!A171="","",'Statement of Marks'!A171)</f>
        <v>164</v>
      </c>
      <c r="B168" s="283" t="str">
        <f>IF('Statement of Marks'!B171="","",'Statement of Marks'!B171)</f>
        <v/>
      </c>
      <c r="C168" s="283" t="str">
        <f>IF('Statement of Marks'!C171="","",'Statement of Marks'!C171)</f>
        <v/>
      </c>
      <c r="D168" s="430" t="str">
        <f>IF('Statement of Marks'!D171="","",'Statement of Marks'!D171)</f>
        <v/>
      </c>
      <c r="E168" s="431" t="str">
        <f>IF('Statement of Marks'!E171="","",'Statement of Marks'!E171)</f>
        <v/>
      </c>
      <c r="F168" s="431" t="str">
        <f>IF('Statement of Marks'!F171="","",'Statement of Marks'!F171)</f>
        <v/>
      </c>
      <c r="G168" s="431" t="str">
        <f>IF('Statement of Marks'!G171="","",'Statement of Marks'!G171)</f>
        <v/>
      </c>
      <c r="H168" s="432" t="str">
        <f>IF(B168="","",IF('Statement of Marks'!GY171="","",'Statement of Marks'!GY171))</f>
        <v/>
      </c>
      <c r="I168" s="286" t="str">
        <f>IF(B168="","",IF('Statement of Marks'!HB171="","",'Statement of Marks'!HB171))</f>
        <v/>
      </c>
      <c r="J168" s="433" t="str">
        <f>IF(B168="","",IF('Statement of Marks'!HC171="","",'Statement of Marks'!HC171))</f>
        <v/>
      </c>
      <c r="K168" s="295" t="str">
        <f>IF(B168="","",'Statement of Marks'!FJ171)</f>
        <v/>
      </c>
      <c r="L168" s="295" t="str">
        <f>IF(B168="","",'Statement of Marks'!FM171)</f>
        <v/>
      </c>
      <c r="M168" s="295" t="str">
        <f>IF(B168="","",'Statement of Marks'!FP171)</f>
        <v/>
      </c>
      <c r="N168" s="295" t="str">
        <f>IF(B168="","",'Statement of Marks'!FW171)</f>
        <v/>
      </c>
      <c r="O168" s="295" t="str">
        <f>IF(B168="","",'Statement of Marks'!GD171)</f>
        <v/>
      </c>
      <c r="P168" s="295" t="str">
        <f>IF(B168="","",'Statement of Marks'!GK171)</f>
        <v/>
      </c>
      <c r="Q168" s="295" t="str">
        <f>IF(B168="","",'Statement of Marks'!GR171)</f>
        <v/>
      </c>
      <c r="R168" s="295" t="str">
        <f>IF(B168="","",'Statement of Marks'!FF171)</f>
        <v/>
      </c>
      <c r="S168" s="434" t="str">
        <f>IFERROR(IF(B168="","",CONCATENATE(IF(AND('Marks Entry'!U171="A"),'Marks Entry'!$U$2,IF(AND('Marks Entry'!U171="B"),'Marks Entry'!$Y$2,IF(AND('Marks Entry'!U171="C"),'Marks Entry'!$AA$2,""))),", ",IF(AND('Marks Entry'!AC171="A"),'Marks Entry'!$AC$2,IF(AND('Marks Entry'!AC171="B"),'Marks Entry'!$AG$2,IF(AND('Marks Entry'!AC171="C"),'Marks Entry'!$AI$2,""))),", ",IF(AND('Marks Entry'!AK171="A"),'Marks Entry'!$AK$2,IF(AND('Marks Entry'!AK171="B"),'Marks Entry'!$AO$2,IF(AND('Marks Entry'!AK171="C"),'Marks Entry'!$AQ$2,""))),", ",IF(AND('Statement of Marks'!DD171=""),"",IF(AND('Statement of Marks'!DD171="A"),'Marks Entry'!$AS$2,IF(AND('Statement of Marks'!DD171="B"),'Marks Entry'!$AW$2,IF(AND('Statement of Marks'!DD171="C"),'Marks Entry'!$AY$2,"")))))),"")</f>
        <v/>
      </c>
      <c r="T168" s="435" t="str">
        <f>IF(COUNTIF(K168:R168,"F")&gt;0,"",CONCATENATE('Statement of Marks'!GU171,'Statement of Marks'!GW171))</f>
        <v xml:space="preserve">           </v>
      </c>
      <c r="BG168" s="17">
        <f>IFERROR(VLOOKUP(B168,'Statement of Marks'!$B$8:'Statement of Marks'!$HI$207,41,0),"")</f>
        <v>15</v>
      </c>
      <c r="BH168" s="17" t="str">
        <f>IFERROR(VLOOKUP(B168,'Statement of Marks'!$B$8:'Statement of Marks'!$HI$207,66,0),"")</f>
        <v/>
      </c>
      <c r="BI168" s="17">
        <f>IFERROR(VLOOKUP(B168,'Statement of Marks'!$B$8:'Statement of Marks'!$HI$207,91,0),"")</f>
        <v>60</v>
      </c>
      <c r="BJ168" s="17" t="str">
        <f>IFERROR(VLOOKUP(B168,'Statement of Marks'!$B$8:'Statement of Marks'!$HI$207,117,0),"")</f>
        <v/>
      </c>
    </row>
    <row r="169" spans="1:62" ht="24.95" customHeight="1">
      <c r="A169" s="283">
        <f>IF('Statement of Marks'!A172="","",'Statement of Marks'!A172)</f>
        <v>165</v>
      </c>
      <c r="B169" s="283" t="str">
        <f>IF('Statement of Marks'!B172="","",'Statement of Marks'!B172)</f>
        <v/>
      </c>
      <c r="C169" s="283" t="str">
        <f>IF('Statement of Marks'!C172="","",'Statement of Marks'!C172)</f>
        <v/>
      </c>
      <c r="D169" s="430" t="str">
        <f>IF('Statement of Marks'!D172="","",'Statement of Marks'!D172)</f>
        <v/>
      </c>
      <c r="E169" s="431" t="str">
        <f>IF('Statement of Marks'!E172="","",'Statement of Marks'!E172)</f>
        <v/>
      </c>
      <c r="F169" s="431" t="str">
        <f>IF('Statement of Marks'!F172="","",'Statement of Marks'!F172)</f>
        <v/>
      </c>
      <c r="G169" s="431" t="str">
        <f>IF('Statement of Marks'!G172="","",'Statement of Marks'!G172)</f>
        <v/>
      </c>
      <c r="H169" s="432" t="str">
        <f>IF(B169="","",IF('Statement of Marks'!GY172="","",'Statement of Marks'!GY172))</f>
        <v/>
      </c>
      <c r="I169" s="286" t="str">
        <f>IF(B169="","",IF('Statement of Marks'!HB172="","",'Statement of Marks'!HB172))</f>
        <v/>
      </c>
      <c r="J169" s="433" t="str">
        <f>IF(B169="","",IF('Statement of Marks'!HC172="","",'Statement of Marks'!HC172))</f>
        <v/>
      </c>
      <c r="K169" s="295" t="str">
        <f>IF(B169="","",'Statement of Marks'!FJ172)</f>
        <v/>
      </c>
      <c r="L169" s="295" t="str">
        <f>IF(B169="","",'Statement of Marks'!FM172)</f>
        <v/>
      </c>
      <c r="M169" s="295" t="str">
        <f>IF(B169="","",'Statement of Marks'!FP172)</f>
        <v/>
      </c>
      <c r="N169" s="295" t="str">
        <f>IF(B169="","",'Statement of Marks'!FW172)</f>
        <v/>
      </c>
      <c r="O169" s="295" t="str">
        <f>IF(B169="","",'Statement of Marks'!GD172)</f>
        <v/>
      </c>
      <c r="P169" s="295" t="str">
        <f>IF(B169="","",'Statement of Marks'!GK172)</f>
        <v/>
      </c>
      <c r="Q169" s="295" t="str">
        <f>IF(B169="","",'Statement of Marks'!GR172)</f>
        <v/>
      </c>
      <c r="R169" s="295" t="str">
        <f>IF(B169="","",'Statement of Marks'!FF172)</f>
        <v/>
      </c>
      <c r="S169" s="434" t="str">
        <f>IFERROR(IF(B169="","",CONCATENATE(IF(AND('Marks Entry'!U172="A"),'Marks Entry'!$U$2,IF(AND('Marks Entry'!U172="B"),'Marks Entry'!$Y$2,IF(AND('Marks Entry'!U172="C"),'Marks Entry'!$AA$2,""))),", ",IF(AND('Marks Entry'!AC172="A"),'Marks Entry'!$AC$2,IF(AND('Marks Entry'!AC172="B"),'Marks Entry'!$AG$2,IF(AND('Marks Entry'!AC172="C"),'Marks Entry'!$AI$2,""))),", ",IF(AND('Marks Entry'!AK172="A"),'Marks Entry'!$AK$2,IF(AND('Marks Entry'!AK172="B"),'Marks Entry'!$AO$2,IF(AND('Marks Entry'!AK172="C"),'Marks Entry'!$AQ$2,""))),", ",IF(AND('Statement of Marks'!DD172=""),"",IF(AND('Statement of Marks'!DD172="A"),'Marks Entry'!$AS$2,IF(AND('Statement of Marks'!DD172="B"),'Marks Entry'!$AW$2,IF(AND('Statement of Marks'!DD172="C"),'Marks Entry'!$AY$2,"")))))),"")</f>
        <v/>
      </c>
      <c r="T169" s="435" t="str">
        <f>IF(COUNTIF(K169:R169,"F")&gt;0,"",CONCATENATE('Statement of Marks'!GU172,'Statement of Marks'!GW172))</f>
        <v xml:space="preserve">           </v>
      </c>
      <c r="BG169" s="17">
        <f>IFERROR(VLOOKUP(B169,'Statement of Marks'!$B$8:'Statement of Marks'!$HI$207,41,0),"")</f>
        <v>15</v>
      </c>
      <c r="BH169" s="17" t="str">
        <f>IFERROR(VLOOKUP(B169,'Statement of Marks'!$B$8:'Statement of Marks'!$HI$207,66,0),"")</f>
        <v/>
      </c>
      <c r="BI169" s="17">
        <f>IFERROR(VLOOKUP(B169,'Statement of Marks'!$B$8:'Statement of Marks'!$HI$207,91,0),"")</f>
        <v>60</v>
      </c>
      <c r="BJ169" s="17" t="str">
        <f>IFERROR(VLOOKUP(B169,'Statement of Marks'!$B$8:'Statement of Marks'!$HI$207,117,0),"")</f>
        <v/>
      </c>
    </row>
    <row r="170" spans="1:62" ht="24.95" customHeight="1">
      <c r="A170" s="283">
        <f>IF('Statement of Marks'!A173="","",'Statement of Marks'!A173)</f>
        <v>166</v>
      </c>
      <c r="B170" s="283" t="str">
        <f>IF('Statement of Marks'!B173="","",'Statement of Marks'!B173)</f>
        <v/>
      </c>
      <c r="C170" s="283" t="str">
        <f>IF('Statement of Marks'!C173="","",'Statement of Marks'!C173)</f>
        <v/>
      </c>
      <c r="D170" s="430" t="str">
        <f>IF('Statement of Marks'!D173="","",'Statement of Marks'!D173)</f>
        <v/>
      </c>
      <c r="E170" s="431" t="str">
        <f>IF('Statement of Marks'!E173="","",'Statement of Marks'!E173)</f>
        <v/>
      </c>
      <c r="F170" s="431" t="str">
        <f>IF('Statement of Marks'!F173="","",'Statement of Marks'!F173)</f>
        <v/>
      </c>
      <c r="G170" s="431" t="str">
        <f>IF('Statement of Marks'!G173="","",'Statement of Marks'!G173)</f>
        <v/>
      </c>
      <c r="H170" s="432" t="str">
        <f>IF(B170="","",IF('Statement of Marks'!GY173="","",'Statement of Marks'!GY173))</f>
        <v/>
      </c>
      <c r="I170" s="286" t="str">
        <f>IF(B170="","",IF('Statement of Marks'!HB173="","",'Statement of Marks'!HB173))</f>
        <v/>
      </c>
      <c r="J170" s="433" t="str">
        <f>IF(B170="","",IF('Statement of Marks'!HC173="","",'Statement of Marks'!HC173))</f>
        <v/>
      </c>
      <c r="K170" s="295" t="str">
        <f>IF(B170="","",'Statement of Marks'!FJ173)</f>
        <v/>
      </c>
      <c r="L170" s="295" t="str">
        <f>IF(B170="","",'Statement of Marks'!FM173)</f>
        <v/>
      </c>
      <c r="M170" s="295" t="str">
        <f>IF(B170="","",'Statement of Marks'!FP173)</f>
        <v/>
      </c>
      <c r="N170" s="295" t="str">
        <f>IF(B170="","",'Statement of Marks'!FW173)</f>
        <v/>
      </c>
      <c r="O170" s="295" t="str">
        <f>IF(B170="","",'Statement of Marks'!GD173)</f>
        <v/>
      </c>
      <c r="P170" s="295" t="str">
        <f>IF(B170="","",'Statement of Marks'!GK173)</f>
        <v/>
      </c>
      <c r="Q170" s="295" t="str">
        <f>IF(B170="","",'Statement of Marks'!GR173)</f>
        <v/>
      </c>
      <c r="R170" s="295" t="str">
        <f>IF(B170="","",'Statement of Marks'!FF173)</f>
        <v/>
      </c>
      <c r="S170" s="434" t="str">
        <f>IFERROR(IF(B170="","",CONCATENATE(IF(AND('Marks Entry'!U173="A"),'Marks Entry'!$U$2,IF(AND('Marks Entry'!U173="B"),'Marks Entry'!$Y$2,IF(AND('Marks Entry'!U173="C"),'Marks Entry'!$AA$2,""))),", ",IF(AND('Marks Entry'!AC173="A"),'Marks Entry'!$AC$2,IF(AND('Marks Entry'!AC173="B"),'Marks Entry'!$AG$2,IF(AND('Marks Entry'!AC173="C"),'Marks Entry'!$AI$2,""))),", ",IF(AND('Marks Entry'!AK173="A"),'Marks Entry'!$AK$2,IF(AND('Marks Entry'!AK173="B"),'Marks Entry'!$AO$2,IF(AND('Marks Entry'!AK173="C"),'Marks Entry'!$AQ$2,""))),", ",IF(AND('Statement of Marks'!DD173=""),"",IF(AND('Statement of Marks'!DD173="A"),'Marks Entry'!$AS$2,IF(AND('Statement of Marks'!DD173="B"),'Marks Entry'!$AW$2,IF(AND('Statement of Marks'!DD173="C"),'Marks Entry'!$AY$2,"")))))),"")</f>
        <v/>
      </c>
      <c r="T170" s="435" t="str">
        <f>IF(COUNTIF(K170:R170,"F")&gt;0,"",CONCATENATE('Statement of Marks'!GU173,'Statement of Marks'!GW173))</f>
        <v xml:space="preserve">           </v>
      </c>
      <c r="BG170" s="17">
        <f>IFERROR(VLOOKUP(B170,'Statement of Marks'!$B$8:'Statement of Marks'!$HI$207,41,0),"")</f>
        <v>15</v>
      </c>
      <c r="BH170" s="17" t="str">
        <f>IFERROR(VLOOKUP(B170,'Statement of Marks'!$B$8:'Statement of Marks'!$HI$207,66,0),"")</f>
        <v/>
      </c>
      <c r="BI170" s="17">
        <f>IFERROR(VLOOKUP(B170,'Statement of Marks'!$B$8:'Statement of Marks'!$HI$207,91,0),"")</f>
        <v>60</v>
      </c>
      <c r="BJ170" s="17" t="str">
        <f>IFERROR(VLOOKUP(B170,'Statement of Marks'!$B$8:'Statement of Marks'!$HI$207,117,0),"")</f>
        <v/>
      </c>
    </row>
    <row r="171" spans="1:62" ht="24.95" customHeight="1">
      <c r="A171" s="283">
        <f>IF('Statement of Marks'!A174="","",'Statement of Marks'!A174)</f>
        <v>167</v>
      </c>
      <c r="B171" s="283" t="str">
        <f>IF('Statement of Marks'!B174="","",'Statement of Marks'!B174)</f>
        <v/>
      </c>
      <c r="C171" s="283" t="str">
        <f>IF('Statement of Marks'!C174="","",'Statement of Marks'!C174)</f>
        <v/>
      </c>
      <c r="D171" s="430" t="str">
        <f>IF('Statement of Marks'!D174="","",'Statement of Marks'!D174)</f>
        <v/>
      </c>
      <c r="E171" s="431" t="str">
        <f>IF('Statement of Marks'!E174="","",'Statement of Marks'!E174)</f>
        <v/>
      </c>
      <c r="F171" s="431" t="str">
        <f>IF('Statement of Marks'!F174="","",'Statement of Marks'!F174)</f>
        <v/>
      </c>
      <c r="G171" s="431" t="str">
        <f>IF('Statement of Marks'!G174="","",'Statement of Marks'!G174)</f>
        <v/>
      </c>
      <c r="H171" s="432" t="str">
        <f>IF(B171="","",IF('Statement of Marks'!GY174="","",'Statement of Marks'!GY174))</f>
        <v/>
      </c>
      <c r="I171" s="286" t="str">
        <f>IF(B171="","",IF('Statement of Marks'!HB174="","",'Statement of Marks'!HB174))</f>
        <v/>
      </c>
      <c r="J171" s="433" t="str">
        <f>IF(B171="","",IF('Statement of Marks'!HC174="","",'Statement of Marks'!HC174))</f>
        <v/>
      </c>
      <c r="K171" s="295" t="str">
        <f>IF(B171="","",'Statement of Marks'!FJ174)</f>
        <v/>
      </c>
      <c r="L171" s="295" t="str">
        <f>IF(B171="","",'Statement of Marks'!FM174)</f>
        <v/>
      </c>
      <c r="M171" s="295" t="str">
        <f>IF(B171="","",'Statement of Marks'!FP174)</f>
        <v/>
      </c>
      <c r="N171" s="295" t="str">
        <f>IF(B171="","",'Statement of Marks'!FW174)</f>
        <v/>
      </c>
      <c r="O171" s="295" t="str">
        <f>IF(B171="","",'Statement of Marks'!GD174)</f>
        <v/>
      </c>
      <c r="P171" s="295" t="str">
        <f>IF(B171="","",'Statement of Marks'!GK174)</f>
        <v/>
      </c>
      <c r="Q171" s="295" t="str">
        <f>IF(B171="","",'Statement of Marks'!GR174)</f>
        <v/>
      </c>
      <c r="R171" s="295" t="str">
        <f>IF(B171="","",'Statement of Marks'!FF174)</f>
        <v/>
      </c>
      <c r="S171" s="434" t="str">
        <f>IFERROR(IF(B171="","",CONCATENATE(IF(AND('Marks Entry'!U174="A"),'Marks Entry'!$U$2,IF(AND('Marks Entry'!U174="B"),'Marks Entry'!$Y$2,IF(AND('Marks Entry'!U174="C"),'Marks Entry'!$AA$2,""))),", ",IF(AND('Marks Entry'!AC174="A"),'Marks Entry'!$AC$2,IF(AND('Marks Entry'!AC174="B"),'Marks Entry'!$AG$2,IF(AND('Marks Entry'!AC174="C"),'Marks Entry'!$AI$2,""))),", ",IF(AND('Marks Entry'!AK174="A"),'Marks Entry'!$AK$2,IF(AND('Marks Entry'!AK174="B"),'Marks Entry'!$AO$2,IF(AND('Marks Entry'!AK174="C"),'Marks Entry'!$AQ$2,""))),", ",IF(AND('Statement of Marks'!DD174=""),"",IF(AND('Statement of Marks'!DD174="A"),'Marks Entry'!$AS$2,IF(AND('Statement of Marks'!DD174="B"),'Marks Entry'!$AW$2,IF(AND('Statement of Marks'!DD174="C"),'Marks Entry'!$AY$2,"")))))),"")</f>
        <v/>
      </c>
      <c r="T171" s="435" t="str">
        <f>IF(COUNTIF(K171:R171,"F")&gt;0,"",CONCATENATE('Statement of Marks'!GU174,'Statement of Marks'!GW174))</f>
        <v xml:space="preserve">           </v>
      </c>
      <c r="BG171" s="17">
        <f>IFERROR(VLOOKUP(B171,'Statement of Marks'!$B$8:'Statement of Marks'!$HI$207,41,0),"")</f>
        <v>15</v>
      </c>
      <c r="BH171" s="17" t="str">
        <f>IFERROR(VLOOKUP(B171,'Statement of Marks'!$B$8:'Statement of Marks'!$HI$207,66,0),"")</f>
        <v/>
      </c>
      <c r="BI171" s="17">
        <f>IFERROR(VLOOKUP(B171,'Statement of Marks'!$B$8:'Statement of Marks'!$HI$207,91,0),"")</f>
        <v>60</v>
      </c>
      <c r="BJ171" s="17" t="str">
        <f>IFERROR(VLOOKUP(B171,'Statement of Marks'!$B$8:'Statement of Marks'!$HI$207,117,0),"")</f>
        <v/>
      </c>
    </row>
    <row r="172" spans="1:62" ht="24.95" customHeight="1">
      <c r="A172" s="283">
        <f>IF('Statement of Marks'!A175="","",'Statement of Marks'!A175)</f>
        <v>168</v>
      </c>
      <c r="B172" s="283" t="str">
        <f>IF('Statement of Marks'!B175="","",'Statement of Marks'!B175)</f>
        <v/>
      </c>
      <c r="C172" s="283" t="str">
        <f>IF('Statement of Marks'!C175="","",'Statement of Marks'!C175)</f>
        <v/>
      </c>
      <c r="D172" s="430" t="str">
        <f>IF('Statement of Marks'!D175="","",'Statement of Marks'!D175)</f>
        <v/>
      </c>
      <c r="E172" s="431" t="str">
        <f>IF('Statement of Marks'!E175="","",'Statement of Marks'!E175)</f>
        <v/>
      </c>
      <c r="F172" s="431" t="str">
        <f>IF('Statement of Marks'!F175="","",'Statement of Marks'!F175)</f>
        <v/>
      </c>
      <c r="G172" s="431" t="str">
        <f>IF('Statement of Marks'!G175="","",'Statement of Marks'!G175)</f>
        <v/>
      </c>
      <c r="H172" s="432" t="str">
        <f>IF(B172="","",IF('Statement of Marks'!GY175="","",'Statement of Marks'!GY175))</f>
        <v/>
      </c>
      <c r="I172" s="286" t="str">
        <f>IF(B172="","",IF('Statement of Marks'!HB175="","",'Statement of Marks'!HB175))</f>
        <v/>
      </c>
      <c r="J172" s="433" t="str">
        <f>IF(B172="","",IF('Statement of Marks'!HC175="","",'Statement of Marks'!HC175))</f>
        <v/>
      </c>
      <c r="K172" s="295" t="str">
        <f>IF(B172="","",'Statement of Marks'!FJ175)</f>
        <v/>
      </c>
      <c r="L172" s="295" t="str">
        <f>IF(B172="","",'Statement of Marks'!FM175)</f>
        <v/>
      </c>
      <c r="M172" s="295" t="str">
        <f>IF(B172="","",'Statement of Marks'!FP175)</f>
        <v/>
      </c>
      <c r="N172" s="295" t="str">
        <f>IF(B172="","",'Statement of Marks'!FW175)</f>
        <v/>
      </c>
      <c r="O172" s="295" t="str">
        <f>IF(B172="","",'Statement of Marks'!GD175)</f>
        <v/>
      </c>
      <c r="P172" s="295" t="str">
        <f>IF(B172="","",'Statement of Marks'!GK175)</f>
        <v/>
      </c>
      <c r="Q172" s="295" t="str">
        <f>IF(B172="","",'Statement of Marks'!GR175)</f>
        <v/>
      </c>
      <c r="R172" s="295" t="str">
        <f>IF(B172="","",'Statement of Marks'!FF175)</f>
        <v/>
      </c>
      <c r="S172" s="434" t="str">
        <f>IFERROR(IF(B172="","",CONCATENATE(IF(AND('Marks Entry'!U175="A"),'Marks Entry'!$U$2,IF(AND('Marks Entry'!U175="B"),'Marks Entry'!$Y$2,IF(AND('Marks Entry'!U175="C"),'Marks Entry'!$AA$2,""))),", ",IF(AND('Marks Entry'!AC175="A"),'Marks Entry'!$AC$2,IF(AND('Marks Entry'!AC175="B"),'Marks Entry'!$AG$2,IF(AND('Marks Entry'!AC175="C"),'Marks Entry'!$AI$2,""))),", ",IF(AND('Marks Entry'!AK175="A"),'Marks Entry'!$AK$2,IF(AND('Marks Entry'!AK175="B"),'Marks Entry'!$AO$2,IF(AND('Marks Entry'!AK175="C"),'Marks Entry'!$AQ$2,""))),", ",IF(AND('Statement of Marks'!DD175=""),"",IF(AND('Statement of Marks'!DD175="A"),'Marks Entry'!$AS$2,IF(AND('Statement of Marks'!DD175="B"),'Marks Entry'!$AW$2,IF(AND('Statement of Marks'!DD175="C"),'Marks Entry'!$AY$2,"")))))),"")</f>
        <v/>
      </c>
      <c r="T172" s="435" t="str">
        <f>IF(COUNTIF(K172:R172,"F")&gt;0,"",CONCATENATE('Statement of Marks'!GU175,'Statement of Marks'!GW175))</f>
        <v xml:space="preserve">           </v>
      </c>
      <c r="BG172" s="17">
        <f>IFERROR(VLOOKUP(B172,'Statement of Marks'!$B$8:'Statement of Marks'!$HI$207,41,0),"")</f>
        <v>15</v>
      </c>
      <c r="BH172" s="17" t="str">
        <f>IFERROR(VLOOKUP(B172,'Statement of Marks'!$B$8:'Statement of Marks'!$HI$207,66,0),"")</f>
        <v/>
      </c>
      <c r="BI172" s="17">
        <f>IFERROR(VLOOKUP(B172,'Statement of Marks'!$B$8:'Statement of Marks'!$HI$207,91,0),"")</f>
        <v>60</v>
      </c>
      <c r="BJ172" s="17" t="str">
        <f>IFERROR(VLOOKUP(B172,'Statement of Marks'!$B$8:'Statement of Marks'!$HI$207,117,0),"")</f>
        <v/>
      </c>
    </row>
    <row r="173" spans="1:62" ht="24.95" customHeight="1">
      <c r="A173" s="283">
        <f>IF('Statement of Marks'!A176="","",'Statement of Marks'!A176)</f>
        <v>169</v>
      </c>
      <c r="B173" s="283" t="str">
        <f>IF('Statement of Marks'!B176="","",'Statement of Marks'!B176)</f>
        <v/>
      </c>
      <c r="C173" s="283" t="str">
        <f>IF('Statement of Marks'!C176="","",'Statement of Marks'!C176)</f>
        <v/>
      </c>
      <c r="D173" s="430" t="str">
        <f>IF('Statement of Marks'!D176="","",'Statement of Marks'!D176)</f>
        <v/>
      </c>
      <c r="E173" s="431" t="str">
        <f>IF('Statement of Marks'!E176="","",'Statement of Marks'!E176)</f>
        <v/>
      </c>
      <c r="F173" s="431" t="str">
        <f>IF('Statement of Marks'!F176="","",'Statement of Marks'!F176)</f>
        <v/>
      </c>
      <c r="G173" s="431" t="str">
        <f>IF('Statement of Marks'!G176="","",'Statement of Marks'!G176)</f>
        <v/>
      </c>
      <c r="H173" s="432" t="str">
        <f>IF(B173="","",IF('Statement of Marks'!GY176="","",'Statement of Marks'!GY176))</f>
        <v/>
      </c>
      <c r="I173" s="286" t="str">
        <f>IF(B173="","",IF('Statement of Marks'!HB176="","",'Statement of Marks'!HB176))</f>
        <v/>
      </c>
      <c r="J173" s="433" t="str">
        <f>IF(B173="","",IF('Statement of Marks'!HC176="","",'Statement of Marks'!HC176))</f>
        <v/>
      </c>
      <c r="K173" s="295" t="str">
        <f>IF(B173="","",'Statement of Marks'!FJ176)</f>
        <v/>
      </c>
      <c r="L173" s="295" t="str">
        <f>IF(B173="","",'Statement of Marks'!FM176)</f>
        <v/>
      </c>
      <c r="M173" s="295" t="str">
        <f>IF(B173="","",'Statement of Marks'!FP176)</f>
        <v/>
      </c>
      <c r="N173" s="295" t="str">
        <f>IF(B173="","",'Statement of Marks'!FW176)</f>
        <v/>
      </c>
      <c r="O173" s="295" t="str">
        <f>IF(B173="","",'Statement of Marks'!GD176)</f>
        <v/>
      </c>
      <c r="P173" s="295" t="str">
        <f>IF(B173="","",'Statement of Marks'!GK176)</f>
        <v/>
      </c>
      <c r="Q173" s="295" t="str">
        <f>IF(B173="","",'Statement of Marks'!GR176)</f>
        <v/>
      </c>
      <c r="R173" s="295" t="str">
        <f>IF(B173="","",'Statement of Marks'!FF176)</f>
        <v/>
      </c>
      <c r="S173" s="434" t="str">
        <f>IFERROR(IF(B173="","",CONCATENATE(IF(AND('Marks Entry'!U176="A"),'Marks Entry'!$U$2,IF(AND('Marks Entry'!U176="B"),'Marks Entry'!$Y$2,IF(AND('Marks Entry'!U176="C"),'Marks Entry'!$AA$2,""))),", ",IF(AND('Marks Entry'!AC176="A"),'Marks Entry'!$AC$2,IF(AND('Marks Entry'!AC176="B"),'Marks Entry'!$AG$2,IF(AND('Marks Entry'!AC176="C"),'Marks Entry'!$AI$2,""))),", ",IF(AND('Marks Entry'!AK176="A"),'Marks Entry'!$AK$2,IF(AND('Marks Entry'!AK176="B"),'Marks Entry'!$AO$2,IF(AND('Marks Entry'!AK176="C"),'Marks Entry'!$AQ$2,""))),", ",IF(AND('Statement of Marks'!DD176=""),"",IF(AND('Statement of Marks'!DD176="A"),'Marks Entry'!$AS$2,IF(AND('Statement of Marks'!DD176="B"),'Marks Entry'!$AW$2,IF(AND('Statement of Marks'!DD176="C"),'Marks Entry'!$AY$2,"")))))),"")</f>
        <v/>
      </c>
      <c r="T173" s="435" t="str">
        <f>IF(COUNTIF(K173:R173,"F")&gt;0,"",CONCATENATE('Statement of Marks'!GU176,'Statement of Marks'!GW176))</f>
        <v xml:space="preserve">           </v>
      </c>
      <c r="BG173" s="17">
        <f>IFERROR(VLOOKUP(B173,'Statement of Marks'!$B$8:'Statement of Marks'!$HI$207,41,0),"")</f>
        <v>15</v>
      </c>
      <c r="BH173" s="17" t="str">
        <f>IFERROR(VLOOKUP(B173,'Statement of Marks'!$B$8:'Statement of Marks'!$HI$207,66,0),"")</f>
        <v/>
      </c>
      <c r="BI173" s="17">
        <f>IFERROR(VLOOKUP(B173,'Statement of Marks'!$B$8:'Statement of Marks'!$HI$207,91,0),"")</f>
        <v>60</v>
      </c>
      <c r="BJ173" s="17" t="str">
        <f>IFERROR(VLOOKUP(B173,'Statement of Marks'!$B$8:'Statement of Marks'!$HI$207,117,0),"")</f>
        <v/>
      </c>
    </row>
    <row r="174" spans="1:62" ht="24.95" customHeight="1">
      <c r="A174" s="283">
        <f>IF('Statement of Marks'!A177="","",'Statement of Marks'!A177)</f>
        <v>170</v>
      </c>
      <c r="B174" s="283" t="str">
        <f>IF('Statement of Marks'!B177="","",'Statement of Marks'!B177)</f>
        <v/>
      </c>
      <c r="C174" s="283" t="str">
        <f>IF('Statement of Marks'!C177="","",'Statement of Marks'!C177)</f>
        <v/>
      </c>
      <c r="D174" s="430" t="str">
        <f>IF('Statement of Marks'!D177="","",'Statement of Marks'!D177)</f>
        <v/>
      </c>
      <c r="E174" s="431" t="str">
        <f>IF('Statement of Marks'!E177="","",'Statement of Marks'!E177)</f>
        <v/>
      </c>
      <c r="F174" s="431" t="str">
        <f>IF('Statement of Marks'!F177="","",'Statement of Marks'!F177)</f>
        <v/>
      </c>
      <c r="G174" s="431" t="str">
        <f>IF('Statement of Marks'!G177="","",'Statement of Marks'!G177)</f>
        <v/>
      </c>
      <c r="H174" s="432" t="str">
        <f>IF(B174="","",IF('Statement of Marks'!GY177="","",'Statement of Marks'!GY177))</f>
        <v/>
      </c>
      <c r="I174" s="286" t="str">
        <f>IF(B174="","",IF('Statement of Marks'!HB177="","",'Statement of Marks'!HB177))</f>
        <v/>
      </c>
      <c r="J174" s="433" t="str">
        <f>IF(B174="","",IF('Statement of Marks'!HC177="","",'Statement of Marks'!HC177))</f>
        <v/>
      </c>
      <c r="K174" s="295" t="str">
        <f>IF(B174="","",'Statement of Marks'!FJ177)</f>
        <v/>
      </c>
      <c r="L174" s="295" t="str">
        <f>IF(B174="","",'Statement of Marks'!FM177)</f>
        <v/>
      </c>
      <c r="M174" s="295" t="str">
        <f>IF(B174="","",'Statement of Marks'!FP177)</f>
        <v/>
      </c>
      <c r="N174" s="295" t="str">
        <f>IF(B174="","",'Statement of Marks'!FW177)</f>
        <v/>
      </c>
      <c r="O174" s="295" t="str">
        <f>IF(B174="","",'Statement of Marks'!GD177)</f>
        <v/>
      </c>
      <c r="P174" s="295" t="str">
        <f>IF(B174="","",'Statement of Marks'!GK177)</f>
        <v/>
      </c>
      <c r="Q174" s="295" t="str">
        <f>IF(B174="","",'Statement of Marks'!GR177)</f>
        <v/>
      </c>
      <c r="R174" s="295" t="str">
        <f>IF(B174="","",'Statement of Marks'!FF177)</f>
        <v/>
      </c>
      <c r="S174" s="434" t="str">
        <f>IFERROR(IF(B174="","",CONCATENATE(IF(AND('Marks Entry'!U177="A"),'Marks Entry'!$U$2,IF(AND('Marks Entry'!U177="B"),'Marks Entry'!$Y$2,IF(AND('Marks Entry'!U177="C"),'Marks Entry'!$AA$2,""))),", ",IF(AND('Marks Entry'!AC177="A"),'Marks Entry'!$AC$2,IF(AND('Marks Entry'!AC177="B"),'Marks Entry'!$AG$2,IF(AND('Marks Entry'!AC177="C"),'Marks Entry'!$AI$2,""))),", ",IF(AND('Marks Entry'!AK177="A"),'Marks Entry'!$AK$2,IF(AND('Marks Entry'!AK177="B"),'Marks Entry'!$AO$2,IF(AND('Marks Entry'!AK177="C"),'Marks Entry'!$AQ$2,""))),", ",IF(AND('Statement of Marks'!DD177=""),"",IF(AND('Statement of Marks'!DD177="A"),'Marks Entry'!$AS$2,IF(AND('Statement of Marks'!DD177="B"),'Marks Entry'!$AW$2,IF(AND('Statement of Marks'!DD177="C"),'Marks Entry'!$AY$2,"")))))),"")</f>
        <v/>
      </c>
      <c r="T174" s="435" t="str">
        <f>IF(COUNTIF(K174:R174,"F")&gt;0,"",CONCATENATE('Statement of Marks'!GU177,'Statement of Marks'!GW177))</f>
        <v xml:space="preserve">           </v>
      </c>
      <c r="BG174" s="17">
        <f>IFERROR(VLOOKUP(B174,'Statement of Marks'!$B$8:'Statement of Marks'!$HI$207,41,0),"")</f>
        <v>15</v>
      </c>
      <c r="BH174" s="17" t="str">
        <f>IFERROR(VLOOKUP(B174,'Statement of Marks'!$B$8:'Statement of Marks'!$HI$207,66,0),"")</f>
        <v/>
      </c>
      <c r="BI174" s="17">
        <f>IFERROR(VLOOKUP(B174,'Statement of Marks'!$B$8:'Statement of Marks'!$HI$207,91,0),"")</f>
        <v>60</v>
      </c>
      <c r="BJ174" s="17" t="str">
        <f>IFERROR(VLOOKUP(B174,'Statement of Marks'!$B$8:'Statement of Marks'!$HI$207,117,0),"")</f>
        <v/>
      </c>
    </row>
    <row r="175" spans="1:62" ht="24.95" customHeight="1">
      <c r="A175" s="283">
        <f>IF('Statement of Marks'!A178="","",'Statement of Marks'!A178)</f>
        <v>171</v>
      </c>
      <c r="B175" s="283" t="str">
        <f>IF('Statement of Marks'!B178="","",'Statement of Marks'!B178)</f>
        <v/>
      </c>
      <c r="C175" s="283" t="str">
        <f>IF('Statement of Marks'!C178="","",'Statement of Marks'!C178)</f>
        <v/>
      </c>
      <c r="D175" s="430" t="str">
        <f>IF('Statement of Marks'!D178="","",'Statement of Marks'!D178)</f>
        <v/>
      </c>
      <c r="E175" s="431" t="str">
        <f>IF('Statement of Marks'!E178="","",'Statement of Marks'!E178)</f>
        <v/>
      </c>
      <c r="F175" s="431" t="str">
        <f>IF('Statement of Marks'!F178="","",'Statement of Marks'!F178)</f>
        <v/>
      </c>
      <c r="G175" s="431" t="str">
        <f>IF('Statement of Marks'!G178="","",'Statement of Marks'!G178)</f>
        <v/>
      </c>
      <c r="H175" s="432" t="str">
        <f>IF(B175="","",IF('Statement of Marks'!GY178="","",'Statement of Marks'!GY178))</f>
        <v/>
      </c>
      <c r="I175" s="286" t="str">
        <f>IF(B175="","",IF('Statement of Marks'!HB178="","",'Statement of Marks'!HB178))</f>
        <v/>
      </c>
      <c r="J175" s="433" t="str">
        <f>IF(B175="","",IF('Statement of Marks'!HC178="","",'Statement of Marks'!HC178))</f>
        <v/>
      </c>
      <c r="K175" s="295" t="str">
        <f>IF(B175="","",'Statement of Marks'!FJ178)</f>
        <v/>
      </c>
      <c r="L175" s="295" t="str">
        <f>IF(B175="","",'Statement of Marks'!FM178)</f>
        <v/>
      </c>
      <c r="M175" s="295" t="str">
        <f>IF(B175="","",'Statement of Marks'!FP178)</f>
        <v/>
      </c>
      <c r="N175" s="295" t="str">
        <f>IF(B175="","",'Statement of Marks'!FW178)</f>
        <v/>
      </c>
      <c r="O175" s="295" t="str">
        <f>IF(B175="","",'Statement of Marks'!GD178)</f>
        <v/>
      </c>
      <c r="P175" s="295" t="str">
        <f>IF(B175="","",'Statement of Marks'!GK178)</f>
        <v/>
      </c>
      <c r="Q175" s="295" t="str">
        <f>IF(B175="","",'Statement of Marks'!GR178)</f>
        <v/>
      </c>
      <c r="R175" s="295" t="str">
        <f>IF(B175="","",'Statement of Marks'!FF178)</f>
        <v/>
      </c>
      <c r="S175" s="434" t="str">
        <f>IFERROR(IF(B175="","",CONCATENATE(IF(AND('Marks Entry'!U178="A"),'Marks Entry'!$U$2,IF(AND('Marks Entry'!U178="B"),'Marks Entry'!$Y$2,IF(AND('Marks Entry'!U178="C"),'Marks Entry'!$AA$2,""))),", ",IF(AND('Marks Entry'!AC178="A"),'Marks Entry'!$AC$2,IF(AND('Marks Entry'!AC178="B"),'Marks Entry'!$AG$2,IF(AND('Marks Entry'!AC178="C"),'Marks Entry'!$AI$2,""))),", ",IF(AND('Marks Entry'!AK178="A"),'Marks Entry'!$AK$2,IF(AND('Marks Entry'!AK178="B"),'Marks Entry'!$AO$2,IF(AND('Marks Entry'!AK178="C"),'Marks Entry'!$AQ$2,""))),", ",IF(AND('Statement of Marks'!DD178=""),"",IF(AND('Statement of Marks'!DD178="A"),'Marks Entry'!$AS$2,IF(AND('Statement of Marks'!DD178="B"),'Marks Entry'!$AW$2,IF(AND('Statement of Marks'!DD178="C"),'Marks Entry'!$AY$2,"")))))),"")</f>
        <v/>
      </c>
      <c r="T175" s="435" t="str">
        <f>IF(COUNTIF(K175:R175,"F")&gt;0,"",CONCATENATE('Statement of Marks'!GU178,'Statement of Marks'!GW178))</f>
        <v xml:space="preserve">           </v>
      </c>
      <c r="BG175" s="17">
        <f>IFERROR(VLOOKUP(B175,'Statement of Marks'!$B$8:'Statement of Marks'!$HI$207,41,0),"")</f>
        <v>15</v>
      </c>
      <c r="BH175" s="17" t="str">
        <f>IFERROR(VLOOKUP(B175,'Statement of Marks'!$B$8:'Statement of Marks'!$HI$207,66,0),"")</f>
        <v/>
      </c>
      <c r="BI175" s="17">
        <f>IFERROR(VLOOKUP(B175,'Statement of Marks'!$B$8:'Statement of Marks'!$HI$207,91,0),"")</f>
        <v>60</v>
      </c>
      <c r="BJ175" s="17" t="str">
        <f>IFERROR(VLOOKUP(B175,'Statement of Marks'!$B$8:'Statement of Marks'!$HI$207,117,0),"")</f>
        <v/>
      </c>
    </row>
    <row r="176" spans="1:62" ht="24.95" customHeight="1">
      <c r="A176" s="283">
        <f>IF('Statement of Marks'!A179="","",'Statement of Marks'!A179)</f>
        <v>172</v>
      </c>
      <c r="B176" s="283" t="str">
        <f>IF('Statement of Marks'!B179="","",'Statement of Marks'!B179)</f>
        <v/>
      </c>
      <c r="C176" s="283" t="str">
        <f>IF('Statement of Marks'!C179="","",'Statement of Marks'!C179)</f>
        <v/>
      </c>
      <c r="D176" s="430" t="str">
        <f>IF('Statement of Marks'!D179="","",'Statement of Marks'!D179)</f>
        <v/>
      </c>
      <c r="E176" s="431" t="str">
        <f>IF('Statement of Marks'!E179="","",'Statement of Marks'!E179)</f>
        <v/>
      </c>
      <c r="F176" s="431" t="str">
        <f>IF('Statement of Marks'!F179="","",'Statement of Marks'!F179)</f>
        <v/>
      </c>
      <c r="G176" s="431" t="str">
        <f>IF('Statement of Marks'!G179="","",'Statement of Marks'!G179)</f>
        <v/>
      </c>
      <c r="H176" s="432" t="str">
        <f>IF(B176="","",IF('Statement of Marks'!GY179="","",'Statement of Marks'!GY179))</f>
        <v/>
      </c>
      <c r="I176" s="286" t="str">
        <f>IF(B176="","",IF('Statement of Marks'!HB179="","",'Statement of Marks'!HB179))</f>
        <v/>
      </c>
      <c r="J176" s="433" t="str">
        <f>IF(B176="","",IF('Statement of Marks'!HC179="","",'Statement of Marks'!HC179))</f>
        <v/>
      </c>
      <c r="K176" s="295" t="str">
        <f>IF(B176="","",'Statement of Marks'!FJ179)</f>
        <v/>
      </c>
      <c r="L176" s="295" t="str">
        <f>IF(B176="","",'Statement of Marks'!FM179)</f>
        <v/>
      </c>
      <c r="M176" s="295" t="str">
        <f>IF(B176="","",'Statement of Marks'!FP179)</f>
        <v/>
      </c>
      <c r="N176" s="295" t="str">
        <f>IF(B176="","",'Statement of Marks'!FW179)</f>
        <v/>
      </c>
      <c r="O176" s="295" t="str">
        <f>IF(B176="","",'Statement of Marks'!GD179)</f>
        <v/>
      </c>
      <c r="P176" s="295" t="str">
        <f>IF(B176="","",'Statement of Marks'!GK179)</f>
        <v/>
      </c>
      <c r="Q176" s="295" t="str">
        <f>IF(B176="","",'Statement of Marks'!GR179)</f>
        <v/>
      </c>
      <c r="R176" s="295" t="str">
        <f>IF(B176="","",'Statement of Marks'!FF179)</f>
        <v/>
      </c>
      <c r="S176" s="434" t="str">
        <f>IFERROR(IF(B176="","",CONCATENATE(IF(AND('Marks Entry'!U179="A"),'Marks Entry'!$U$2,IF(AND('Marks Entry'!U179="B"),'Marks Entry'!$Y$2,IF(AND('Marks Entry'!U179="C"),'Marks Entry'!$AA$2,""))),", ",IF(AND('Marks Entry'!AC179="A"),'Marks Entry'!$AC$2,IF(AND('Marks Entry'!AC179="B"),'Marks Entry'!$AG$2,IF(AND('Marks Entry'!AC179="C"),'Marks Entry'!$AI$2,""))),", ",IF(AND('Marks Entry'!AK179="A"),'Marks Entry'!$AK$2,IF(AND('Marks Entry'!AK179="B"),'Marks Entry'!$AO$2,IF(AND('Marks Entry'!AK179="C"),'Marks Entry'!$AQ$2,""))),", ",IF(AND('Statement of Marks'!DD179=""),"",IF(AND('Statement of Marks'!DD179="A"),'Marks Entry'!$AS$2,IF(AND('Statement of Marks'!DD179="B"),'Marks Entry'!$AW$2,IF(AND('Statement of Marks'!DD179="C"),'Marks Entry'!$AY$2,"")))))),"")</f>
        <v/>
      </c>
      <c r="T176" s="435" t="str">
        <f>IF(COUNTIF(K176:R176,"F")&gt;0,"",CONCATENATE('Statement of Marks'!GU179,'Statement of Marks'!GW179))</f>
        <v xml:space="preserve">           </v>
      </c>
      <c r="BG176" s="17">
        <f>IFERROR(VLOOKUP(B176,'Statement of Marks'!$B$8:'Statement of Marks'!$HI$207,41,0),"")</f>
        <v>15</v>
      </c>
      <c r="BH176" s="17" t="str">
        <f>IFERROR(VLOOKUP(B176,'Statement of Marks'!$B$8:'Statement of Marks'!$HI$207,66,0),"")</f>
        <v/>
      </c>
      <c r="BI176" s="17">
        <f>IFERROR(VLOOKUP(B176,'Statement of Marks'!$B$8:'Statement of Marks'!$HI$207,91,0),"")</f>
        <v>60</v>
      </c>
      <c r="BJ176" s="17" t="str">
        <f>IFERROR(VLOOKUP(B176,'Statement of Marks'!$B$8:'Statement of Marks'!$HI$207,117,0),"")</f>
        <v/>
      </c>
    </row>
    <row r="177" spans="1:62" ht="24.95" customHeight="1">
      <c r="A177" s="283">
        <f>IF('Statement of Marks'!A180="","",'Statement of Marks'!A180)</f>
        <v>173</v>
      </c>
      <c r="B177" s="283" t="str">
        <f>IF('Statement of Marks'!B180="","",'Statement of Marks'!B180)</f>
        <v/>
      </c>
      <c r="C177" s="283" t="str">
        <f>IF('Statement of Marks'!C180="","",'Statement of Marks'!C180)</f>
        <v/>
      </c>
      <c r="D177" s="430" t="str">
        <f>IF('Statement of Marks'!D180="","",'Statement of Marks'!D180)</f>
        <v/>
      </c>
      <c r="E177" s="431" t="str">
        <f>IF('Statement of Marks'!E180="","",'Statement of Marks'!E180)</f>
        <v/>
      </c>
      <c r="F177" s="431" t="str">
        <f>IF('Statement of Marks'!F180="","",'Statement of Marks'!F180)</f>
        <v/>
      </c>
      <c r="G177" s="431" t="str">
        <f>IF('Statement of Marks'!G180="","",'Statement of Marks'!G180)</f>
        <v/>
      </c>
      <c r="H177" s="432" t="str">
        <f>IF(B177="","",IF('Statement of Marks'!GY180="","",'Statement of Marks'!GY180))</f>
        <v/>
      </c>
      <c r="I177" s="286" t="str">
        <f>IF(B177="","",IF('Statement of Marks'!HB180="","",'Statement of Marks'!HB180))</f>
        <v/>
      </c>
      <c r="J177" s="433" t="str">
        <f>IF(B177="","",IF('Statement of Marks'!HC180="","",'Statement of Marks'!HC180))</f>
        <v/>
      </c>
      <c r="K177" s="295" t="str">
        <f>IF(B177="","",'Statement of Marks'!FJ180)</f>
        <v/>
      </c>
      <c r="L177" s="295" t="str">
        <f>IF(B177="","",'Statement of Marks'!FM180)</f>
        <v/>
      </c>
      <c r="M177" s="295" t="str">
        <f>IF(B177="","",'Statement of Marks'!FP180)</f>
        <v/>
      </c>
      <c r="N177" s="295" t="str">
        <f>IF(B177="","",'Statement of Marks'!FW180)</f>
        <v/>
      </c>
      <c r="O177" s="295" t="str">
        <f>IF(B177="","",'Statement of Marks'!GD180)</f>
        <v/>
      </c>
      <c r="P177" s="295" t="str">
        <f>IF(B177="","",'Statement of Marks'!GK180)</f>
        <v/>
      </c>
      <c r="Q177" s="295" t="str">
        <f>IF(B177="","",'Statement of Marks'!GR180)</f>
        <v/>
      </c>
      <c r="R177" s="295" t="str">
        <f>IF(B177="","",'Statement of Marks'!FF180)</f>
        <v/>
      </c>
      <c r="S177" s="434" t="str">
        <f>IFERROR(IF(B177="","",CONCATENATE(IF(AND('Marks Entry'!U180="A"),'Marks Entry'!$U$2,IF(AND('Marks Entry'!U180="B"),'Marks Entry'!$Y$2,IF(AND('Marks Entry'!U180="C"),'Marks Entry'!$AA$2,""))),", ",IF(AND('Marks Entry'!AC180="A"),'Marks Entry'!$AC$2,IF(AND('Marks Entry'!AC180="B"),'Marks Entry'!$AG$2,IF(AND('Marks Entry'!AC180="C"),'Marks Entry'!$AI$2,""))),", ",IF(AND('Marks Entry'!AK180="A"),'Marks Entry'!$AK$2,IF(AND('Marks Entry'!AK180="B"),'Marks Entry'!$AO$2,IF(AND('Marks Entry'!AK180="C"),'Marks Entry'!$AQ$2,""))),", ",IF(AND('Statement of Marks'!DD180=""),"",IF(AND('Statement of Marks'!DD180="A"),'Marks Entry'!$AS$2,IF(AND('Statement of Marks'!DD180="B"),'Marks Entry'!$AW$2,IF(AND('Statement of Marks'!DD180="C"),'Marks Entry'!$AY$2,"")))))),"")</f>
        <v/>
      </c>
      <c r="T177" s="435" t="str">
        <f>IF(COUNTIF(K177:R177,"F")&gt;0,"",CONCATENATE('Statement of Marks'!GU180,'Statement of Marks'!GW180))</f>
        <v xml:space="preserve">           </v>
      </c>
      <c r="BG177" s="17">
        <f>IFERROR(VLOOKUP(B177,'Statement of Marks'!$B$8:'Statement of Marks'!$HI$207,41,0),"")</f>
        <v>15</v>
      </c>
      <c r="BH177" s="17" t="str">
        <f>IFERROR(VLOOKUP(B177,'Statement of Marks'!$B$8:'Statement of Marks'!$HI$207,66,0),"")</f>
        <v/>
      </c>
      <c r="BI177" s="17">
        <f>IFERROR(VLOOKUP(B177,'Statement of Marks'!$B$8:'Statement of Marks'!$HI$207,91,0),"")</f>
        <v>60</v>
      </c>
      <c r="BJ177" s="17" t="str">
        <f>IFERROR(VLOOKUP(B177,'Statement of Marks'!$B$8:'Statement of Marks'!$HI$207,117,0),"")</f>
        <v/>
      </c>
    </row>
    <row r="178" spans="1:62" ht="24.95" customHeight="1">
      <c r="A178" s="283">
        <f>IF('Statement of Marks'!A181="","",'Statement of Marks'!A181)</f>
        <v>174</v>
      </c>
      <c r="B178" s="283" t="str">
        <f>IF('Statement of Marks'!B181="","",'Statement of Marks'!B181)</f>
        <v/>
      </c>
      <c r="C178" s="283" t="str">
        <f>IF('Statement of Marks'!C181="","",'Statement of Marks'!C181)</f>
        <v/>
      </c>
      <c r="D178" s="430" t="str">
        <f>IF('Statement of Marks'!D181="","",'Statement of Marks'!D181)</f>
        <v/>
      </c>
      <c r="E178" s="431" t="str">
        <f>IF('Statement of Marks'!E181="","",'Statement of Marks'!E181)</f>
        <v/>
      </c>
      <c r="F178" s="431" t="str">
        <f>IF('Statement of Marks'!F181="","",'Statement of Marks'!F181)</f>
        <v/>
      </c>
      <c r="G178" s="431" t="str">
        <f>IF('Statement of Marks'!G181="","",'Statement of Marks'!G181)</f>
        <v/>
      </c>
      <c r="H178" s="432" t="str">
        <f>IF(B178="","",IF('Statement of Marks'!GY181="","",'Statement of Marks'!GY181))</f>
        <v/>
      </c>
      <c r="I178" s="286" t="str">
        <f>IF(B178="","",IF('Statement of Marks'!HB181="","",'Statement of Marks'!HB181))</f>
        <v/>
      </c>
      <c r="J178" s="433" t="str">
        <f>IF(B178="","",IF('Statement of Marks'!HC181="","",'Statement of Marks'!HC181))</f>
        <v/>
      </c>
      <c r="K178" s="295" t="str">
        <f>IF(B178="","",'Statement of Marks'!FJ181)</f>
        <v/>
      </c>
      <c r="L178" s="295" t="str">
        <f>IF(B178="","",'Statement of Marks'!FM181)</f>
        <v/>
      </c>
      <c r="M178" s="295" t="str">
        <f>IF(B178="","",'Statement of Marks'!FP181)</f>
        <v/>
      </c>
      <c r="N178" s="295" t="str">
        <f>IF(B178="","",'Statement of Marks'!FW181)</f>
        <v/>
      </c>
      <c r="O178" s="295" t="str">
        <f>IF(B178="","",'Statement of Marks'!GD181)</f>
        <v/>
      </c>
      <c r="P178" s="295" t="str">
        <f>IF(B178="","",'Statement of Marks'!GK181)</f>
        <v/>
      </c>
      <c r="Q178" s="295" t="str">
        <f>IF(B178="","",'Statement of Marks'!GR181)</f>
        <v/>
      </c>
      <c r="R178" s="295" t="str">
        <f>IF(B178="","",'Statement of Marks'!FF181)</f>
        <v/>
      </c>
      <c r="S178" s="434" t="str">
        <f>IFERROR(IF(B178="","",CONCATENATE(IF(AND('Marks Entry'!U181="A"),'Marks Entry'!$U$2,IF(AND('Marks Entry'!U181="B"),'Marks Entry'!$Y$2,IF(AND('Marks Entry'!U181="C"),'Marks Entry'!$AA$2,""))),", ",IF(AND('Marks Entry'!AC181="A"),'Marks Entry'!$AC$2,IF(AND('Marks Entry'!AC181="B"),'Marks Entry'!$AG$2,IF(AND('Marks Entry'!AC181="C"),'Marks Entry'!$AI$2,""))),", ",IF(AND('Marks Entry'!AK181="A"),'Marks Entry'!$AK$2,IF(AND('Marks Entry'!AK181="B"),'Marks Entry'!$AO$2,IF(AND('Marks Entry'!AK181="C"),'Marks Entry'!$AQ$2,""))),", ",IF(AND('Statement of Marks'!DD181=""),"",IF(AND('Statement of Marks'!DD181="A"),'Marks Entry'!$AS$2,IF(AND('Statement of Marks'!DD181="B"),'Marks Entry'!$AW$2,IF(AND('Statement of Marks'!DD181="C"),'Marks Entry'!$AY$2,"")))))),"")</f>
        <v/>
      </c>
      <c r="T178" s="435" t="str">
        <f>IF(COUNTIF(K178:R178,"F")&gt;0,"",CONCATENATE('Statement of Marks'!GU181,'Statement of Marks'!GW181))</f>
        <v xml:space="preserve">           </v>
      </c>
      <c r="BG178" s="17">
        <f>IFERROR(VLOOKUP(B178,'Statement of Marks'!$B$8:'Statement of Marks'!$HI$207,41,0),"")</f>
        <v>15</v>
      </c>
      <c r="BH178" s="17" t="str">
        <f>IFERROR(VLOOKUP(B178,'Statement of Marks'!$B$8:'Statement of Marks'!$HI$207,66,0),"")</f>
        <v/>
      </c>
      <c r="BI178" s="17">
        <f>IFERROR(VLOOKUP(B178,'Statement of Marks'!$B$8:'Statement of Marks'!$HI$207,91,0),"")</f>
        <v>60</v>
      </c>
      <c r="BJ178" s="17" t="str">
        <f>IFERROR(VLOOKUP(B178,'Statement of Marks'!$B$8:'Statement of Marks'!$HI$207,117,0),"")</f>
        <v/>
      </c>
    </row>
    <row r="179" spans="1:62" ht="24.95" customHeight="1">
      <c r="A179" s="283">
        <f>IF('Statement of Marks'!A182="","",'Statement of Marks'!A182)</f>
        <v>175</v>
      </c>
      <c r="B179" s="283" t="str">
        <f>IF('Statement of Marks'!B182="","",'Statement of Marks'!B182)</f>
        <v/>
      </c>
      <c r="C179" s="283" t="str">
        <f>IF('Statement of Marks'!C182="","",'Statement of Marks'!C182)</f>
        <v/>
      </c>
      <c r="D179" s="430" t="str">
        <f>IF('Statement of Marks'!D182="","",'Statement of Marks'!D182)</f>
        <v/>
      </c>
      <c r="E179" s="431" t="str">
        <f>IF('Statement of Marks'!E182="","",'Statement of Marks'!E182)</f>
        <v/>
      </c>
      <c r="F179" s="431" t="str">
        <f>IF('Statement of Marks'!F182="","",'Statement of Marks'!F182)</f>
        <v/>
      </c>
      <c r="G179" s="431" t="str">
        <f>IF('Statement of Marks'!G182="","",'Statement of Marks'!G182)</f>
        <v/>
      </c>
      <c r="H179" s="432" t="str">
        <f>IF(B179="","",IF('Statement of Marks'!GY182="","",'Statement of Marks'!GY182))</f>
        <v/>
      </c>
      <c r="I179" s="286" t="str">
        <f>IF(B179="","",IF('Statement of Marks'!HB182="","",'Statement of Marks'!HB182))</f>
        <v/>
      </c>
      <c r="J179" s="433" t="str">
        <f>IF(B179="","",IF('Statement of Marks'!HC182="","",'Statement of Marks'!HC182))</f>
        <v/>
      </c>
      <c r="K179" s="295" t="str">
        <f>IF(B179="","",'Statement of Marks'!FJ182)</f>
        <v/>
      </c>
      <c r="L179" s="295" t="str">
        <f>IF(B179="","",'Statement of Marks'!FM182)</f>
        <v/>
      </c>
      <c r="M179" s="295" t="str">
        <f>IF(B179="","",'Statement of Marks'!FP182)</f>
        <v/>
      </c>
      <c r="N179" s="295" t="str">
        <f>IF(B179="","",'Statement of Marks'!FW182)</f>
        <v/>
      </c>
      <c r="O179" s="295" t="str">
        <f>IF(B179="","",'Statement of Marks'!GD182)</f>
        <v/>
      </c>
      <c r="P179" s="295" t="str">
        <f>IF(B179="","",'Statement of Marks'!GK182)</f>
        <v/>
      </c>
      <c r="Q179" s="295" t="str">
        <f>IF(B179="","",'Statement of Marks'!GR182)</f>
        <v/>
      </c>
      <c r="R179" s="295" t="str">
        <f>IF(B179="","",'Statement of Marks'!FF182)</f>
        <v/>
      </c>
      <c r="S179" s="434" t="str">
        <f>IFERROR(IF(B179="","",CONCATENATE(IF(AND('Marks Entry'!U182="A"),'Marks Entry'!$U$2,IF(AND('Marks Entry'!U182="B"),'Marks Entry'!$Y$2,IF(AND('Marks Entry'!U182="C"),'Marks Entry'!$AA$2,""))),", ",IF(AND('Marks Entry'!AC182="A"),'Marks Entry'!$AC$2,IF(AND('Marks Entry'!AC182="B"),'Marks Entry'!$AG$2,IF(AND('Marks Entry'!AC182="C"),'Marks Entry'!$AI$2,""))),", ",IF(AND('Marks Entry'!AK182="A"),'Marks Entry'!$AK$2,IF(AND('Marks Entry'!AK182="B"),'Marks Entry'!$AO$2,IF(AND('Marks Entry'!AK182="C"),'Marks Entry'!$AQ$2,""))),", ",IF(AND('Statement of Marks'!DD182=""),"",IF(AND('Statement of Marks'!DD182="A"),'Marks Entry'!$AS$2,IF(AND('Statement of Marks'!DD182="B"),'Marks Entry'!$AW$2,IF(AND('Statement of Marks'!DD182="C"),'Marks Entry'!$AY$2,"")))))),"")</f>
        <v/>
      </c>
      <c r="T179" s="435" t="str">
        <f>IF(COUNTIF(K179:R179,"F")&gt;0,"",CONCATENATE('Statement of Marks'!GU182,'Statement of Marks'!GW182))</f>
        <v xml:space="preserve">           </v>
      </c>
      <c r="BG179" s="17">
        <f>IFERROR(VLOOKUP(B179,'Statement of Marks'!$B$8:'Statement of Marks'!$HI$207,41,0),"")</f>
        <v>15</v>
      </c>
      <c r="BH179" s="17" t="str">
        <f>IFERROR(VLOOKUP(B179,'Statement of Marks'!$B$8:'Statement of Marks'!$HI$207,66,0),"")</f>
        <v/>
      </c>
      <c r="BI179" s="17">
        <f>IFERROR(VLOOKUP(B179,'Statement of Marks'!$B$8:'Statement of Marks'!$HI$207,91,0),"")</f>
        <v>60</v>
      </c>
      <c r="BJ179" s="17" t="str">
        <f>IFERROR(VLOOKUP(B179,'Statement of Marks'!$B$8:'Statement of Marks'!$HI$207,117,0),"")</f>
        <v/>
      </c>
    </row>
    <row r="180" spans="1:62" ht="24.95" customHeight="1">
      <c r="A180" s="283">
        <f>IF('Statement of Marks'!A183="","",'Statement of Marks'!A183)</f>
        <v>176</v>
      </c>
      <c r="B180" s="283" t="str">
        <f>IF('Statement of Marks'!B183="","",'Statement of Marks'!B183)</f>
        <v/>
      </c>
      <c r="C180" s="283" t="str">
        <f>IF('Statement of Marks'!C183="","",'Statement of Marks'!C183)</f>
        <v/>
      </c>
      <c r="D180" s="430" t="str">
        <f>IF('Statement of Marks'!D183="","",'Statement of Marks'!D183)</f>
        <v/>
      </c>
      <c r="E180" s="431" t="str">
        <f>IF('Statement of Marks'!E183="","",'Statement of Marks'!E183)</f>
        <v/>
      </c>
      <c r="F180" s="431" t="str">
        <f>IF('Statement of Marks'!F183="","",'Statement of Marks'!F183)</f>
        <v/>
      </c>
      <c r="G180" s="431" t="str">
        <f>IF('Statement of Marks'!G183="","",'Statement of Marks'!G183)</f>
        <v/>
      </c>
      <c r="H180" s="432" t="str">
        <f>IF(B180="","",IF('Statement of Marks'!GY183="","",'Statement of Marks'!GY183))</f>
        <v/>
      </c>
      <c r="I180" s="286" t="str">
        <f>IF(B180="","",IF('Statement of Marks'!HB183="","",'Statement of Marks'!HB183))</f>
        <v/>
      </c>
      <c r="J180" s="433" t="str">
        <f>IF(B180="","",IF('Statement of Marks'!HC183="","",'Statement of Marks'!HC183))</f>
        <v/>
      </c>
      <c r="K180" s="295" t="str">
        <f>IF(B180="","",'Statement of Marks'!FJ183)</f>
        <v/>
      </c>
      <c r="L180" s="295" t="str">
        <f>IF(B180="","",'Statement of Marks'!FM183)</f>
        <v/>
      </c>
      <c r="M180" s="295" t="str">
        <f>IF(B180="","",'Statement of Marks'!FP183)</f>
        <v/>
      </c>
      <c r="N180" s="295" t="str">
        <f>IF(B180="","",'Statement of Marks'!FW183)</f>
        <v/>
      </c>
      <c r="O180" s="295" t="str">
        <f>IF(B180="","",'Statement of Marks'!GD183)</f>
        <v/>
      </c>
      <c r="P180" s="295" t="str">
        <f>IF(B180="","",'Statement of Marks'!GK183)</f>
        <v/>
      </c>
      <c r="Q180" s="295" t="str">
        <f>IF(B180="","",'Statement of Marks'!GR183)</f>
        <v/>
      </c>
      <c r="R180" s="295" t="str">
        <f>IF(B180="","",'Statement of Marks'!FF183)</f>
        <v/>
      </c>
      <c r="S180" s="434" t="str">
        <f>IFERROR(IF(B180="","",CONCATENATE(IF(AND('Marks Entry'!U183="A"),'Marks Entry'!$U$2,IF(AND('Marks Entry'!U183="B"),'Marks Entry'!$Y$2,IF(AND('Marks Entry'!U183="C"),'Marks Entry'!$AA$2,""))),", ",IF(AND('Marks Entry'!AC183="A"),'Marks Entry'!$AC$2,IF(AND('Marks Entry'!AC183="B"),'Marks Entry'!$AG$2,IF(AND('Marks Entry'!AC183="C"),'Marks Entry'!$AI$2,""))),", ",IF(AND('Marks Entry'!AK183="A"),'Marks Entry'!$AK$2,IF(AND('Marks Entry'!AK183="B"),'Marks Entry'!$AO$2,IF(AND('Marks Entry'!AK183="C"),'Marks Entry'!$AQ$2,""))),", ",IF(AND('Statement of Marks'!DD183=""),"",IF(AND('Statement of Marks'!DD183="A"),'Marks Entry'!$AS$2,IF(AND('Statement of Marks'!DD183="B"),'Marks Entry'!$AW$2,IF(AND('Statement of Marks'!DD183="C"),'Marks Entry'!$AY$2,"")))))),"")</f>
        <v/>
      </c>
      <c r="T180" s="435" t="str">
        <f>IF(COUNTIF(K180:R180,"F")&gt;0,"",CONCATENATE('Statement of Marks'!GU183,'Statement of Marks'!GW183))</f>
        <v xml:space="preserve">           </v>
      </c>
      <c r="BG180" s="17">
        <f>IFERROR(VLOOKUP(B180,'Statement of Marks'!$B$8:'Statement of Marks'!$HI$207,41,0),"")</f>
        <v>15</v>
      </c>
      <c r="BH180" s="17" t="str">
        <f>IFERROR(VLOOKUP(B180,'Statement of Marks'!$B$8:'Statement of Marks'!$HI$207,66,0),"")</f>
        <v/>
      </c>
      <c r="BI180" s="17">
        <f>IFERROR(VLOOKUP(B180,'Statement of Marks'!$B$8:'Statement of Marks'!$HI$207,91,0),"")</f>
        <v>60</v>
      </c>
      <c r="BJ180" s="17" t="str">
        <f>IFERROR(VLOOKUP(B180,'Statement of Marks'!$B$8:'Statement of Marks'!$HI$207,117,0),"")</f>
        <v/>
      </c>
    </row>
    <row r="181" spans="1:62" ht="24.95" customHeight="1">
      <c r="A181" s="283">
        <f>IF('Statement of Marks'!A184="","",'Statement of Marks'!A184)</f>
        <v>177</v>
      </c>
      <c r="B181" s="283" t="str">
        <f>IF('Statement of Marks'!B184="","",'Statement of Marks'!B184)</f>
        <v/>
      </c>
      <c r="C181" s="283" t="str">
        <f>IF('Statement of Marks'!C184="","",'Statement of Marks'!C184)</f>
        <v/>
      </c>
      <c r="D181" s="430" t="str">
        <f>IF('Statement of Marks'!D184="","",'Statement of Marks'!D184)</f>
        <v/>
      </c>
      <c r="E181" s="431" t="str">
        <f>IF('Statement of Marks'!E184="","",'Statement of Marks'!E184)</f>
        <v/>
      </c>
      <c r="F181" s="431" t="str">
        <f>IF('Statement of Marks'!F184="","",'Statement of Marks'!F184)</f>
        <v/>
      </c>
      <c r="G181" s="431" t="str">
        <f>IF('Statement of Marks'!G184="","",'Statement of Marks'!G184)</f>
        <v/>
      </c>
      <c r="H181" s="432" t="str">
        <f>IF(B181="","",IF('Statement of Marks'!GY184="","",'Statement of Marks'!GY184))</f>
        <v/>
      </c>
      <c r="I181" s="286" t="str">
        <f>IF(B181="","",IF('Statement of Marks'!HB184="","",'Statement of Marks'!HB184))</f>
        <v/>
      </c>
      <c r="J181" s="433" t="str">
        <f>IF(B181="","",IF('Statement of Marks'!HC184="","",'Statement of Marks'!HC184))</f>
        <v/>
      </c>
      <c r="K181" s="295" t="str">
        <f>IF(B181="","",'Statement of Marks'!FJ184)</f>
        <v/>
      </c>
      <c r="L181" s="295" t="str">
        <f>IF(B181="","",'Statement of Marks'!FM184)</f>
        <v/>
      </c>
      <c r="M181" s="295" t="str">
        <f>IF(B181="","",'Statement of Marks'!FP184)</f>
        <v/>
      </c>
      <c r="N181" s="295" t="str">
        <f>IF(B181="","",'Statement of Marks'!FW184)</f>
        <v/>
      </c>
      <c r="O181" s="295" t="str">
        <f>IF(B181="","",'Statement of Marks'!GD184)</f>
        <v/>
      </c>
      <c r="P181" s="295" t="str">
        <f>IF(B181="","",'Statement of Marks'!GK184)</f>
        <v/>
      </c>
      <c r="Q181" s="295" t="str">
        <f>IF(B181="","",'Statement of Marks'!GR184)</f>
        <v/>
      </c>
      <c r="R181" s="295" t="str">
        <f>IF(B181="","",'Statement of Marks'!FF184)</f>
        <v/>
      </c>
      <c r="S181" s="434" t="str">
        <f>IFERROR(IF(B181="","",CONCATENATE(IF(AND('Marks Entry'!U184="A"),'Marks Entry'!$U$2,IF(AND('Marks Entry'!U184="B"),'Marks Entry'!$Y$2,IF(AND('Marks Entry'!U184="C"),'Marks Entry'!$AA$2,""))),", ",IF(AND('Marks Entry'!AC184="A"),'Marks Entry'!$AC$2,IF(AND('Marks Entry'!AC184="B"),'Marks Entry'!$AG$2,IF(AND('Marks Entry'!AC184="C"),'Marks Entry'!$AI$2,""))),", ",IF(AND('Marks Entry'!AK184="A"),'Marks Entry'!$AK$2,IF(AND('Marks Entry'!AK184="B"),'Marks Entry'!$AO$2,IF(AND('Marks Entry'!AK184="C"),'Marks Entry'!$AQ$2,""))),", ",IF(AND('Statement of Marks'!DD184=""),"",IF(AND('Statement of Marks'!DD184="A"),'Marks Entry'!$AS$2,IF(AND('Statement of Marks'!DD184="B"),'Marks Entry'!$AW$2,IF(AND('Statement of Marks'!DD184="C"),'Marks Entry'!$AY$2,"")))))),"")</f>
        <v/>
      </c>
      <c r="T181" s="435" t="str">
        <f>IF(COUNTIF(K181:R181,"F")&gt;0,"",CONCATENATE('Statement of Marks'!GU184,'Statement of Marks'!GW184))</f>
        <v xml:space="preserve">           </v>
      </c>
      <c r="BG181" s="17">
        <f>IFERROR(VLOOKUP(B181,'Statement of Marks'!$B$8:'Statement of Marks'!$HI$207,41,0),"")</f>
        <v>15</v>
      </c>
      <c r="BH181" s="17" t="str">
        <f>IFERROR(VLOOKUP(B181,'Statement of Marks'!$B$8:'Statement of Marks'!$HI$207,66,0),"")</f>
        <v/>
      </c>
      <c r="BI181" s="17">
        <f>IFERROR(VLOOKUP(B181,'Statement of Marks'!$B$8:'Statement of Marks'!$HI$207,91,0),"")</f>
        <v>60</v>
      </c>
      <c r="BJ181" s="17" t="str">
        <f>IFERROR(VLOOKUP(B181,'Statement of Marks'!$B$8:'Statement of Marks'!$HI$207,117,0),"")</f>
        <v/>
      </c>
    </row>
    <row r="182" spans="1:62" ht="24.95" customHeight="1">
      <c r="A182" s="283">
        <f>IF('Statement of Marks'!A185="","",'Statement of Marks'!A185)</f>
        <v>178</v>
      </c>
      <c r="B182" s="283" t="str">
        <f>IF('Statement of Marks'!B185="","",'Statement of Marks'!B185)</f>
        <v/>
      </c>
      <c r="C182" s="283" t="str">
        <f>IF('Statement of Marks'!C185="","",'Statement of Marks'!C185)</f>
        <v/>
      </c>
      <c r="D182" s="430" t="str">
        <f>IF('Statement of Marks'!D185="","",'Statement of Marks'!D185)</f>
        <v/>
      </c>
      <c r="E182" s="431" t="str">
        <f>IF('Statement of Marks'!E185="","",'Statement of Marks'!E185)</f>
        <v/>
      </c>
      <c r="F182" s="431" t="str">
        <f>IF('Statement of Marks'!F185="","",'Statement of Marks'!F185)</f>
        <v/>
      </c>
      <c r="G182" s="431" t="str">
        <f>IF('Statement of Marks'!G185="","",'Statement of Marks'!G185)</f>
        <v/>
      </c>
      <c r="H182" s="432" t="str">
        <f>IF(B182="","",IF('Statement of Marks'!GY185="","",'Statement of Marks'!GY185))</f>
        <v/>
      </c>
      <c r="I182" s="286" t="str">
        <f>IF(B182="","",IF('Statement of Marks'!HB185="","",'Statement of Marks'!HB185))</f>
        <v/>
      </c>
      <c r="J182" s="433" t="str">
        <f>IF(B182="","",IF('Statement of Marks'!HC185="","",'Statement of Marks'!HC185))</f>
        <v/>
      </c>
      <c r="K182" s="295" t="str">
        <f>IF(B182="","",'Statement of Marks'!FJ185)</f>
        <v/>
      </c>
      <c r="L182" s="295" t="str">
        <f>IF(B182="","",'Statement of Marks'!FM185)</f>
        <v/>
      </c>
      <c r="M182" s="295" t="str">
        <f>IF(B182="","",'Statement of Marks'!FP185)</f>
        <v/>
      </c>
      <c r="N182" s="295" t="str">
        <f>IF(B182="","",'Statement of Marks'!FW185)</f>
        <v/>
      </c>
      <c r="O182" s="295" t="str">
        <f>IF(B182="","",'Statement of Marks'!GD185)</f>
        <v/>
      </c>
      <c r="P182" s="295" t="str">
        <f>IF(B182="","",'Statement of Marks'!GK185)</f>
        <v/>
      </c>
      <c r="Q182" s="295" t="str">
        <f>IF(B182="","",'Statement of Marks'!GR185)</f>
        <v/>
      </c>
      <c r="R182" s="295" t="str">
        <f>IF(B182="","",'Statement of Marks'!FF185)</f>
        <v/>
      </c>
      <c r="S182" s="434" t="str">
        <f>IFERROR(IF(B182="","",CONCATENATE(IF(AND('Marks Entry'!U185="A"),'Marks Entry'!$U$2,IF(AND('Marks Entry'!U185="B"),'Marks Entry'!$Y$2,IF(AND('Marks Entry'!U185="C"),'Marks Entry'!$AA$2,""))),", ",IF(AND('Marks Entry'!AC185="A"),'Marks Entry'!$AC$2,IF(AND('Marks Entry'!AC185="B"),'Marks Entry'!$AG$2,IF(AND('Marks Entry'!AC185="C"),'Marks Entry'!$AI$2,""))),", ",IF(AND('Marks Entry'!AK185="A"),'Marks Entry'!$AK$2,IF(AND('Marks Entry'!AK185="B"),'Marks Entry'!$AO$2,IF(AND('Marks Entry'!AK185="C"),'Marks Entry'!$AQ$2,""))),", ",IF(AND('Statement of Marks'!DD185=""),"",IF(AND('Statement of Marks'!DD185="A"),'Marks Entry'!$AS$2,IF(AND('Statement of Marks'!DD185="B"),'Marks Entry'!$AW$2,IF(AND('Statement of Marks'!DD185="C"),'Marks Entry'!$AY$2,"")))))),"")</f>
        <v/>
      </c>
      <c r="T182" s="435" t="str">
        <f>IF(COUNTIF(K182:R182,"F")&gt;0,"",CONCATENATE('Statement of Marks'!GU185,'Statement of Marks'!GW185))</f>
        <v xml:space="preserve">           </v>
      </c>
      <c r="BG182" s="17">
        <f>IFERROR(VLOOKUP(B182,'Statement of Marks'!$B$8:'Statement of Marks'!$HI$207,41,0),"")</f>
        <v>15</v>
      </c>
      <c r="BH182" s="17" t="str">
        <f>IFERROR(VLOOKUP(B182,'Statement of Marks'!$B$8:'Statement of Marks'!$HI$207,66,0),"")</f>
        <v/>
      </c>
      <c r="BI182" s="17">
        <f>IFERROR(VLOOKUP(B182,'Statement of Marks'!$B$8:'Statement of Marks'!$HI$207,91,0),"")</f>
        <v>60</v>
      </c>
      <c r="BJ182" s="17" t="str">
        <f>IFERROR(VLOOKUP(B182,'Statement of Marks'!$B$8:'Statement of Marks'!$HI$207,117,0),"")</f>
        <v/>
      </c>
    </row>
    <row r="183" spans="1:62" ht="24.95" customHeight="1">
      <c r="A183" s="283">
        <f>IF('Statement of Marks'!A186="","",'Statement of Marks'!A186)</f>
        <v>179</v>
      </c>
      <c r="B183" s="283" t="str">
        <f>IF('Statement of Marks'!B186="","",'Statement of Marks'!B186)</f>
        <v/>
      </c>
      <c r="C183" s="283" t="str">
        <f>IF('Statement of Marks'!C186="","",'Statement of Marks'!C186)</f>
        <v/>
      </c>
      <c r="D183" s="430" t="str">
        <f>IF('Statement of Marks'!D186="","",'Statement of Marks'!D186)</f>
        <v/>
      </c>
      <c r="E183" s="431" t="str">
        <f>IF('Statement of Marks'!E186="","",'Statement of Marks'!E186)</f>
        <v/>
      </c>
      <c r="F183" s="431" t="str">
        <f>IF('Statement of Marks'!F186="","",'Statement of Marks'!F186)</f>
        <v/>
      </c>
      <c r="G183" s="431" t="str">
        <f>IF('Statement of Marks'!G186="","",'Statement of Marks'!G186)</f>
        <v/>
      </c>
      <c r="H183" s="432" t="str">
        <f>IF(B183="","",IF('Statement of Marks'!GY186="","",'Statement of Marks'!GY186))</f>
        <v/>
      </c>
      <c r="I183" s="286" t="str">
        <f>IF(B183="","",IF('Statement of Marks'!HB186="","",'Statement of Marks'!HB186))</f>
        <v/>
      </c>
      <c r="J183" s="433" t="str">
        <f>IF(B183="","",IF('Statement of Marks'!HC186="","",'Statement of Marks'!HC186))</f>
        <v/>
      </c>
      <c r="K183" s="295" t="str">
        <f>IF(B183="","",'Statement of Marks'!FJ186)</f>
        <v/>
      </c>
      <c r="L183" s="295" t="str">
        <f>IF(B183="","",'Statement of Marks'!FM186)</f>
        <v/>
      </c>
      <c r="M183" s="295" t="str">
        <f>IF(B183="","",'Statement of Marks'!FP186)</f>
        <v/>
      </c>
      <c r="N183" s="295" t="str">
        <f>IF(B183="","",'Statement of Marks'!FW186)</f>
        <v/>
      </c>
      <c r="O183" s="295" t="str">
        <f>IF(B183="","",'Statement of Marks'!GD186)</f>
        <v/>
      </c>
      <c r="P183" s="295" t="str">
        <f>IF(B183="","",'Statement of Marks'!GK186)</f>
        <v/>
      </c>
      <c r="Q183" s="295" t="str">
        <f>IF(B183="","",'Statement of Marks'!GR186)</f>
        <v/>
      </c>
      <c r="R183" s="295" t="str">
        <f>IF(B183="","",'Statement of Marks'!FF186)</f>
        <v/>
      </c>
      <c r="S183" s="434" t="str">
        <f>IFERROR(IF(B183="","",CONCATENATE(IF(AND('Marks Entry'!U186="A"),'Marks Entry'!$U$2,IF(AND('Marks Entry'!U186="B"),'Marks Entry'!$Y$2,IF(AND('Marks Entry'!U186="C"),'Marks Entry'!$AA$2,""))),", ",IF(AND('Marks Entry'!AC186="A"),'Marks Entry'!$AC$2,IF(AND('Marks Entry'!AC186="B"),'Marks Entry'!$AG$2,IF(AND('Marks Entry'!AC186="C"),'Marks Entry'!$AI$2,""))),", ",IF(AND('Marks Entry'!AK186="A"),'Marks Entry'!$AK$2,IF(AND('Marks Entry'!AK186="B"),'Marks Entry'!$AO$2,IF(AND('Marks Entry'!AK186="C"),'Marks Entry'!$AQ$2,""))),", ",IF(AND('Statement of Marks'!DD186=""),"",IF(AND('Statement of Marks'!DD186="A"),'Marks Entry'!$AS$2,IF(AND('Statement of Marks'!DD186="B"),'Marks Entry'!$AW$2,IF(AND('Statement of Marks'!DD186="C"),'Marks Entry'!$AY$2,"")))))),"")</f>
        <v/>
      </c>
      <c r="T183" s="435" t="str">
        <f>IF(COUNTIF(K183:R183,"F")&gt;0,"",CONCATENATE('Statement of Marks'!GU186,'Statement of Marks'!GW186))</f>
        <v xml:space="preserve">           </v>
      </c>
      <c r="BG183" s="17">
        <f>IFERROR(VLOOKUP(B183,'Statement of Marks'!$B$8:'Statement of Marks'!$HI$207,41,0),"")</f>
        <v>15</v>
      </c>
      <c r="BH183" s="17" t="str">
        <f>IFERROR(VLOOKUP(B183,'Statement of Marks'!$B$8:'Statement of Marks'!$HI$207,66,0),"")</f>
        <v/>
      </c>
      <c r="BI183" s="17">
        <f>IFERROR(VLOOKUP(B183,'Statement of Marks'!$B$8:'Statement of Marks'!$HI$207,91,0),"")</f>
        <v>60</v>
      </c>
      <c r="BJ183" s="17" t="str">
        <f>IFERROR(VLOOKUP(B183,'Statement of Marks'!$B$8:'Statement of Marks'!$HI$207,117,0),"")</f>
        <v/>
      </c>
    </row>
    <row r="184" spans="1:62" ht="24.95" customHeight="1">
      <c r="A184" s="283">
        <f>IF('Statement of Marks'!A187="","",'Statement of Marks'!A187)</f>
        <v>180</v>
      </c>
      <c r="B184" s="283" t="str">
        <f>IF('Statement of Marks'!B187="","",'Statement of Marks'!B187)</f>
        <v/>
      </c>
      <c r="C184" s="283" t="str">
        <f>IF('Statement of Marks'!C187="","",'Statement of Marks'!C187)</f>
        <v/>
      </c>
      <c r="D184" s="430" t="str">
        <f>IF('Statement of Marks'!D187="","",'Statement of Marks'!D187)</f>
        <v/>
      </c>
      <c r="E184" s="431" t="str">
        <f>IF('Statement of Marks'!E187="","",'Statement of Marks'!E187)</f>
        <v/>
      </c>
      <c r="F184" s="431" t="str">
        <f>IF('Statement of Marks'!F187="","",'Statement of Marks'!F187)</f>
        <v/>
      </c>
      <c r="G184" s="431" t="str">
        <f>IF('Statement of Marks'!G187="","",'Statement of Marks'!G187)</f>
        <v/>
      </c>
      <c r="H184" s="432" t="str">
        <f>IF(B184="","",IF('Statement of Marks'!GY187="","",'Statement of Marks'!GY187))</f>
        <v/>
      </c>
      <c r="I184" s="286" t="str">
        <f>IF(B184="","",IF('Statement of Marks'!HB187="","",'Statement of Marks'!HB187))</f>
        <v/>
      </c>
      <c r="J184" s="433" t="str">
        <f>IF(B184="","",IF('Statement of Marks'!HC187="","",'Statement of Marks'!HC187))</f>
        <v/>
      </c>
      <c r="K184" s="295" t="str">
        <f>IF(B184="","",'Statement of Marks'!FJ187)</f>
        <v/>
      </c>
      <c r="L184" s="295" t="str">
        <f>IF(B184="","",'Statement of Marks'!FM187)</f>
        <v/>
      </c>
      <c r="M184" s="295" t="str">
        <f>IF(B184="","",'Statement of Marks'!FP187)</f>
        <v/>
      </c>
      <c r="N184" s="295" t="str">
        <f>IF(B184="","",'Statement of Marks'!FW187)</f>
        <v/>
      </c>
      <c r="O184" s="295" t="str">
        <f>IF(B184="","",'Statement of Marks'!GD187)</f>
        <v/>
      </c>
      <c r="P184" s="295" t="str">
        <f>IF(B184="","",'Statement of Marks'!GK187)</f>
        <v/>
      </c>
      <c r="Q184" s="295" t="str">
        <f>IF(B184="","",'Statement of Marks'!GR187)</f>
        <v/>
      </c>
      <c r="R184" s="295" t="str">
        <f>IF(B184="","",'Statement of Marks'!FF187)</f>
        <v/>
      </c>
      <c r="S184" s="434" t="str">
        <f>IFERROR(IF(B184="","",CONCATENATE(IF(AND('Marks Entry'!U187="A"),'Marks Entry'!$U$2,IF(AND('Marks Entry'!U187="B"),'Marks Entry'!$Y$2,IF(AND('Marks Entry'!U187="C"),'Marks Entry'!$AA$2,""))),", ",IF(AND('Marks Entry'!AC187="A"),'Marks Entry'!$AC$2,IF(AND('Marks Entry'!AC187="B"),'Marks Entry'!$AG$2,IF(AND('Marks Entry'!AC187="C"),'Marks Entry'!$AI$2,""))),", ",IF(AND('Marks Entry'!AK187="A"),'Marks Entry'!$AK$2,IF(AND('Marks Entry'!AK187="B"),'Marks Entry'!$AO$2,IF(AND('Marks Entry'!AK187="C"),'Marks Entry'!$AQ$2,""))),", ",IF(AND('Statement of Marks'!DD187=""),"",IF(AND('Statement of Marks'!DD187="A"),'Marks Entry'!$AS$2,IF(AND('Statement of Marks'!DD187="B"),'Marks Entry'!$AW$2,IF(AND('Statement of Marks'!DD187="C"),'Marks Entry'!$AY$2,"")))))),"")</f>
        <v/>
      </c>
      <c r="T184" s="435" t="str">
        <f>IF(COUNTIF(K184:R184,"F")&gt;0,"",CONCATENATE('Statement of Marks'!GU187,'Statement of Marks'!GW187))</f>
        <v xml:space="preserve">           </v>
      </c>
      <c r="BG184" s="17">
        <f>IFERROR(VLOOKUP(B184,'Statement of Marks'!$B$8:'Statement of Marks'!$HI$207,41,0),"")</f>
        <v>15</v>
      </c>
      <c r="BH184" s="17" t="str">
        <f>IFERROR(VLOOKUP(B184,'Statement of Marks'!$B$8:'Statement of Marks'!$HI$207,66,0),"")</f>
        <v/>
      </c>
      <c r="BI184" s="17">
        <f>IFERROR(VLOOKUP(B184,'Statement of Marks'!$B$8:'Statement of Marks'!$HI$207,91,0),"")</f>
        <v>60</v>
      </c>
      <c r="BJ184" s="17" t="str">
        <f>IFERROR(VLOOKUP(B184,'Statement of Marks'!$B$8:'Statement of Marks'!$HI$207,117,0),"")</f>
        <v/>
      </c>
    </row>
    <row r="185" spans="1:62" ht="24.95" customHeight="1">
      <c r="A185" s="283">
        <f>IF('Statement of Marks'!A188="","",'Statement of Marks'!A188)</f>
        <v>181</v>
      </c>
      <c r="B185" s="283" t="str">
        <f>IF('Statement of Marks'!B188="","",'Statement of Marks'!B188)</f>
        <v/>
      </c>
      <c r="C185" s="283" t="str">
        <f>IF('Statement of Marks'!C188="","",'Statement of Marks'!C188)</f>
        <v/>
      </c>
      <c r="D185" s="430" t="str">
        <f>IF('Statement of Marks'!D188="","",'Statement of Marks'!D188)</f>
        <v/>
      </c>
      <c r="E185" s="431" t="str">
        <f>IF('Statement of Marks'!E188="","",'Statement of Marks'!E188)</f>
        <v/>
      </c>
      <c r="F185" s="431" t="str">
        <f>IF('Statement of Marks'!F188="","",'Statement of Marks'!F188)</f>
        <v/>
      </c>
      <c r="G185" s="431" t="str">
        <f>IF('Statement of Marks'!G188="","",'Statement of Marks'!G188)</f>
        <v/>
      </c>
      <c r="H185" s="432" t="str">
        <f>IF(B185="","",IF('Statement of Marks'!GY188="","",'Statement of Marks'!GY188))</f>
        <v/>
      </c>
      <c r="I185" s="286" t="str">
        <f>IF(B185="","",IF('Statement of Marks'!HB188="","",'Statement of Marks'!HB188))</f>
        <v/>
      </c>
      <c r="J185" s="433" t="str">
        <f>IF(B185="","",IF('Statement of Marks'!HC188="","",'Statement of Marks'!HC188))</f>
        <v/>
      </c>
      <c r="K185" s="295" t="str">
        <f>IF(B185="","",'Statement of Marks'!FJ188)</f>
        <v/>
      </c>
      <c r="L185" s="295" t="str">
        <f>IF(B185="","",'Statement of Marks'!FM188)</f>
        <v/>
      </c>
      <c r="M185" s="295" t="str">
        <f>IF(B185="","",'Statement of Marks'!FP188)</f>
        <v/>
      </c>
      <c r="N185" s="295" t="str">
        <f>IF(B185="","",'Statement of Marks'!FW188)</f>
        <v/>
      </c>
      <c r="O185" s="295" t="str">
        <f>IF(B185="","",'Statement of Marks'!GD188)</f>
        <v/>
      </c>
      <c r="P185" s="295" t="str">
        <f>IF(B185="","",'Statement of Marks'!GK188)</f>
        <v/>
      </c>
      <c r="Q185" s="295" t="str">
        <f>IF(B185="","",'Statement of Marks'!GR188)</f>
        <v/>
      </c>
      <c r="R185" s="295" t="str">
        <f>IF(B185="","",'Statement of Marks'!FF188)</f>
        <v/>
      </c>
      <c r="S185" s="434" t="str">
        <f>IFERROR(IF(B185="","",CONCATENATE(IF(AND('Marks Entry'!U188="A"),'Marks Entry'!$U$2,IF(AND('Marks Entry'!U188="B"),'Marks Entry'!$Y$2,IF(AND('Marks Entry'!U188="C"),'Marks Entry'!$AA$2,""))),", ",IF(AND('Marks Entry'!AC188="A"),'Marks Entry'!$AC$2,IF(AND('Marks Entry'!AC188="B"),'Marks Entry'!$AG$2,IF(AND('Marks Entry'!AC188="C"),'Marks Entry'!$AI$2,""))),", ",IF(AND('Marks Entry'!AK188="A"),'Marks Entry'!$AK$2,IF(AND('Marks Entry'!AK188="B"),'Marks Entry'!$AO$2,IF(AND('Marks Entry'!AK188="C"),'Marks Entry'!$AQ$2,""))),", ",IF(AND('Statement of Marks'!DD188=""),"",IF(AND('Statement of Marks'!DD188="A"),'Marks Entry'!$AS$2,IF(AND('Statement of Marks'!DD188="B"),'Marks Entry'!$AW$2,IF(AND('Statement of Marks'!DD188="C"),'Marks Entry'!$AY$2,"")))))),"")</f>
        <v/>
      </c>
      <c r="T185" s="435" t="str">
        <f>IF(COUNTIF(K185:R185,"F")&gt;0,"",CONCATENATE('Statement of Marks'!GU188,'Statement of Marks'!GW188))</f>
        <v xml:space="preserve">           </v>
      </c>
      <c r="BG185" s="17">
        <f>IFERROR(VLOOKUP(B185,'Statement of Marks'!$B$8:'Statement of Marks'!$HI$207,41,0),"")</f>
        <v>15</v>
      </c>
      <c r="BH185" s="17" t="str">
        <f>IFERROR(VLOOKUP(B185,'Statement of Marks'!$B$8:'Statement of Marks'!$HI$207,66,0),"")</f>
        <v/>
      </c>
      <c r="BI185" s="17">
        <f>IFERROR(VLOOKUP(B185,'Statement of Marks'!$B$8:'Statement of Marks'!$HI$207,91,0),"")</f>
        <v>60</v>
      </c>
      <c r="BJ185" s="17" t="str">
        <f>IFERROR(VLOOKUP(B185,'Statement of Marks'!$B$8:'Statement of Marks'!$HI$207,117,0),"")</f>
        <v/>
      </c>
    </row>
    <row r="186" spans="1:62" ht="24.95" customHeight="1">
      <c r="A186" s="283">
        <f>IF('Statement of Marks'!A189="","",'Statement of Marks'!A189)</f>
        <v>182</v>
      </c>
      <c r="B186" s="283" t="str">
        <f>IF('Statement of Marks'!B189="","",'Statement of Marks'!B189)</f>
        <v/>
      </c>
      <c r="C186" s="283" t="str">
        <f>IF('Statement of Marks'!C189="","",'Statement of Marks'!C189)</f>
        <v/>
      </c>
      <c r="D186" s="430" t="str">
        <f>IF('Statement of Marks'!D189="","",'Statement of Marks'!D189)</f>
        <v/>
      </c>
      <c r="E186" s="431" t="str">
        <f>IF('Statement of Marks'!E189="","",'Statement of Marks'!E189)</f>
        <v/>
      </c>
      <c r="F186" s="431" t="str">
        <f>IF('Statement of Marks'!F189="","",'Statement of Marks'!F189)</f>
        <v/>
      </c>
      <c r="G186" s="431" t="str">
        <f>IF('Statement of Marks'!G189="","",'Statement of Marks'!G189)</f>
        <v/>
      </c>
      <c r="H186" s="432" t="str">
        <f>IF(B186="","",IF('Statement of Marks'!GY189="","",'Statement of Marks'!GY189))</f>
        <v/>
      </c>
      <c r="I186" s="286" t="str">
        <f>IF(B186="","",IF('Statement of Marks'!HB189="","",'Statement of Marks'!HB189))</f>
        <v/>
      </c>
      <c r="J186" s="433" t="str">
        <f>IF(B186="","",IF('Statement of Marks'!HC189="","",'Statement of Marks'!HC189))</f>
        <v/>
      </c>
      <c r="K186" s="295" t="str">
        <f>IF(B186="","",'Statement of Marks'!FJ189)</f>
        <v/>
      </c>
      <c r="L186" s="295" t="str">
        <f>IF(B186="","",'Statement of Marks'!FM189)</f>
        <v/>
      </c>
      <c r="M186" s="295" t="str">
        <f>IF(B186="","",'Statement of Marks'!FP189)</f>
        <v/>
      </c>
      <c r="N186" s="295" t="str">
        <f>IF(B186="","",'Statement of Marks'!FW189)</f>
        <v/>
      </c>
      <c r="O186" s="295" t="str">
        <f>IF(B186="","",'Statement of Marks'!GD189)</f>
        <v/>
      </c>
      <c r="P186" s="295" t="str">
        <f>IF(B186="","",'Statement of Marks'!GK189)</f>
        <v/>
      </c>
      <c r="Q186" s="295" t="str">
        <f>IF(B186="","",'Statement of Marks'!GR189)</f>
        <v/>
      </c>
      <c r="R186" s="295" t="str">
        <f>IF(B186="","",'Statement of Marks'!FF189)</f>
        <v/>
      </c>
      <c r="S186" s="434" t="str">
        <f>IFERROR(IF(B186="","",CONCATENATE(IF(AND('Marks Entry'!U189="A"),'Marks Entry'!$U$2,IF(AND('Marks Entry'!U189="B"),'Marks Entry'!$Y$2,IF(AND('Marks Entry'!U189="C"),'Marks Entry'!$AA$2,""))),", ",IF(AND('Marks Entry'!AC189="A"),'Marks Entry'!$AC$2,IF(AND('Marks Entry'!AC189="B"),'Marks Entry'!$AG$2,IF(AND('Marks Entry'!AC189="C"),'Marks Entry'!$AI$2,""))),", ",IF(AND('Marks Entry'!AK189="A"),'Marks Entry'!$AK$2,IF(AND('Marks Entry'!AK189="B"),'Marks Entry'!$AO$2,IF(AND('Marks Entry'!AK189="C"),'Marks Entry'!$AQ$2,""))),", ",IF(AND('Statement of Marks'!DD189=""),"",IF(AND('Statement of Marks'!DD189="A"),'Marks Entry'!$AS$2,IF(AND('Statement of Marks'!DD189="B"),'Marks Entry'!$AW$2,IF(AND('Statement of Marks'!DD189="C"),'Marks Entry'!$AY$2,"")))))),"")</f>
        <v/>
      </c>
      <c r="T186" s="435" t="str">
        <f>IF(COUNTIF(K186:R186,"F")&gt;0,"",CONCATENATE('Statement of Marks'!GU189,'Statement of Marks'!GW189))</f>
        <v xml:space="preserve">           </v>
      </c>
      <c r="BG186" s="17">
        <f>IFERROR(VLOOKUP(B186,'Statement of Marks'!$B$8:'Statement of Marks'!$HI$207,41,0),"")</f>
        <v>15</v>
      </c>
      <c r="BH186" s="17" t="str">
        <f>IFERROR(VLOOKUP(B186,'Statement of Marks'!$B$8:'Statement of Marks'!$HI$207,66,0),"")</f>
        <v/>
      </c>
      <c r="BI186" s="17">
        <f>IFERROR(VLOOKUP(B186,'Statement of Marks'!$B$8:'Statement of Marks'!$HI$207,91,0),"")</f>
        <v>60</v>
      </c>
      <c r="BJ186" s="17" t="str">
        <f>IFERROR(VLOOKUP(B186,'Statement of Marks'!$B$8:'Statement of Marks'!$HI$207,117,0),"")</f>
        <v/>
      </c>
    </row>
    <row r="187" spans="1:62" ht="24.95" customHeight="1">
      <c r="A187" s="283">
        <f>IF('Statement of Marks'!A190="","",'Statement of Marks'!A190)</f>
        <v>183</v>
      </c>
      <c r="B187" s="283" t="str">
        <f>IF('Statement of Marks'!B190="","",'Statement of Marks'!B190)</f>
        <v/>
      </c>
      <c r="C187" s="283" t="str">
        <f>IF('Statement of Marks'!C190="","",'Statement of Marks'!C190)</f>
        <v/>
      </c>
      <c r="D187" s="430" t="str">
        <f>IF('Statement of Marks'!D190="","",'Statement of Marks'!D190)</f>
        <v/>
      </c>
      <c r="E187" s="431" t="str">
        <f>IF('Statement of Marks'!E190="","",'Statement of Marks'!E190)</f>
        <v/>
      </c>
      <c r="F187" s="431" t="str">
        <f>IF('Statement of Marks'!F190="","",'Statement of Marks'!F190)</f>
        <v/>
      </c>
      <c r="G187" s="431" t="str">
        <f>IF('Statement of Marks'!G190="","",'Statement of Marks'!G190)</f>
        <v/>
      </c>
      <c r="H187" s="432" t="str">
        <f>IF(B187="","",IF('Statement of Marks'!GY190="","",'Statement of Marks'!GY190))</f>
        <v/>
      </c>
      <c r="I187" s="286" t="str">
        <f>IF(B187="","",IF('Statement of Marks'!HB190="","",'Statement of Marks'!HB190))</f>
        <v/>
      </c>
      <c r="J187" s="433" t="str">
        <f>IF(B187="","",IF('Statement of Marks'!HC190="","",'Statement of Marks'!HC190))</f>
        <v/>
      </c>
      <c r="K187" s="295" t="str">
        <f>IF(B187="","",'Statement of Marks'!FJ190)</f>
        <v/>
      </c>
      <c r="L187" s="295" t="str">
        <f>IF(B187="","",'Statement of Marks'!FM190)</f>
        <v/>
      </c>
      <c r="M187" s="295" t="str">
        <f>IF(B187="","",'Statement of Marks'!FP190)</f>
        <v/>
      </c>
      <c r="N187" s="295" t="str">
        <f>IF(B187="","",'Statement of Marks'!FW190)</f>
        <v/>
      </c>
      <c r="O187" s="295" t="str">
        <f>IF(B187="","",'Statement of Marks'!GD190)</f>
        <v/>
      </c>
      <c r="P187" s="295" t="str">
        <f>IF(B187="","",'Statement of Marks'!GK190)</f>
        <v/>
      </c>
      <c r="Q187" s="295" t="str">
        <f>IF(B187="","",'Statement of Marks'!GR190)</f>
        <v/>
      </c>
      <c r="R187" s="295" t="str">
        <f>IF(B187="","",'Statement of Marks'!FF190)</f>
        <v/>
      </c>
      <c r="S187" s="434" t="str">
        <f>IFERROR(IF(B187="","",CONCATENATE(IF(AND('Marks Entry'!U190="A"),'Marks Entry'!$U$2,IF(AND('Marks Entry'!U190="B"),'Marks Entry'!$Y$2,IF(AND('Marks Entry'!U190="C"),'Marks Entry'!$AA$2,""))),", ",IF(AND('Marks Entry'!AC190="A"),'Marks Entry'!$AC$2,IF(AND('Marks Entry'!AC190="B"),'Marks Entry'!$AG$2,IF(AND('Marks Entry'!AC190="C"),'Marks Entry'!$AI$2,""))),", ",IF(AND('Marks Entry'!AK190="A"),'Marks Entry'!$AK$2,IF(AND('Marks Entry'!AK190="B"),'Marks Entry'!$AO$2,IF(AND('Marks Entry'!AK190="C"),'Marks Entry'!$AQ$2,""))),", ",IF(AND('Statement of Marks'!DD190=""),"",IF(AND('Statement of Marks'!DD190="A"),'Marks Entry'!$AS$2,IF(AND('Statement of Marks'!DD190="B"),'Marks Entry'!$AW$2,IF(AND('Statement of Marks'!DD190="C"),'Marks Entry'!$AY$2,"")))))),"")</f>
        <v/>
      </c>
      <c r="T187" s="435" t="str">
        <f>IF(COUNTIF(K187:R187,"F")&gt;0,"",CONCATENATE('Statement of Marks'!GU190,'Statement of Marks'!GW190))</f>
        <v xml:space="preserve">           </v>
      </c>
      <c r="BG187" s="17">
        <f>IFERROR(VLOOKUP(B187,'Statement of Marks'!$B$8:'Statement of Marks'!$HI$207,41,0),"")</f>
        <v>15</v>
      </c>
      <c r="BH187" s="17" t="str">
        <f>IFERROR(VLOOKUP(B187,'Statement of Marks'!$B$8:'Statement of Marks'!$HI$207,66,0),"")</f>
        <v/>
      </c>
      <c r="BI187" s="17">
        <f>IFERROR(VLOOKUP(B187,'Statement of Marks'!$B$8:'Statement of Marks'!$HI$207,91,0),"")</f>
        <v>60</v>
      </c>
      <c r="BJ187" s="17" t="str">
        <f>IFERROR(VLOOKUP(B187,'Statement of Marks'!$B$8:'Statement of Marks'!$HI$207,117,0),"")</f>
        <v/>
      </c>
    </row>
    <row r="188" spans="1:62" ht="24.95" customHeight="1">
      <c r="A188" s="283">
        <f>IF('Statement of Marks'!A191="","",'Statement of Marks'!A191)</f>
        <v>184</v>
      </c>
      <c r="B188" s="283" t="str">
        <f>IF('Statement of Marks'!B191="","",'Statement of Marks'!B191)</f>
        <v/>
      </c>
      <c r="C188" s="283" t="str">
        <f>IF('Statement of Marks'!C191="","",'Statement of Marks'!C191)</f>
        <v/>
      </c>
      <c r="D188" s="430" t="str">
        <f>IF('Statement of Marks'!D191="","",'Statement of Marks'!D191)</f>
        <v/>
      </c>
      <c r="E188" s="431" t="str">
        <f>IF('Statement of Marks'!E191="","",'Statement of Marks'!E191)</f>
        <v/>
      </c>
      <c r="F188" s="431" t="str">
        <f>IF('Statement of Marks'!F191="","",'Statement of Marks'!F191)</f>
        <v/>
      </c>
      <c r="G188" s="431" t="str">
        <f>IF('Statement of Marks'!G191="","",'Statement of Marks'!G191)</f>
        <v/>
      </c>
      <c r="H188" s="432" t="str">
        <f>IF(B188="","",IF('Statement of Marks'!GY191="","",'Statement of Marks'!GY191))</f>
        <v/>
      </c>
      <c r="I188" s="286" t="str">
        <f>IF(B188="","",IF('Statement of Marks'!HB191="","",'Statement of Marks'!HB191))</f>
        <v/>
      </c>
      <c r="J188" s="433" t="str">
        <f>IF(B188="","",IF('Statement of Marks'!HC191="","",'Statement of Marks'!HC191))</f>
        <v/>
      </c>
      <c r="K188" s="295" t="str">
        <f>IF(B188="","",'Statement of Marks'!FJ191)</f>
        <v/>
      </c>
      <c r="L188" s="295" t="str">
        <f>IF(B188="","",'Statement of Marks'!FM191)</f>
        <v/>
      </c>
      <c r="M188" s="295" t="str">
        <f>IF(B188="","",'Statement of Marks'!FP191)</f>
        <v/>
      </c>
      <c r="N188" s="295" t="str">
        <f>IF(B188="","",'Statement of Marks'!FW191)</f>
        <v/>
      </c>
      <c r="O188" s="295" t="str">
        <f>IF(B188="","",'Statement of Marks'!GD191)</f>
        <v/>
      </c>
      <c r="P188" s="295" t="str">
        <f>IF(B188="","",'Statement of Marks'!GK191)</f>
        <v/>
      </c>
      <c r="Q188" s="295" t="str">
        <f>IF(B188="","",'Statement of Marks'!GR191)</f>
        <v/>
      </c>
      <c r="R188" s="295" t="str">
        <f>IF(B188="","",'Statement of Marks'!FF191)</f>
        <v/>
      </c>
      <c r="S188" s="434" t="str">
        <f>IFERROR(IF(B188="","",CONCATENATE(IF(AND('Marks Entry'!U191="A"),'Marks Entry'!$U$2,IF(AND('Marks Entry'!U191="B"),'Marks Entry'!$Y$2,IF(AND('Marks Entry'!U191="C"),'Marks Entry'!$AA$2,""))),", ",IF(AND('Marks Entry'!AC191="A"),'Marks Entry'!$AC$2,IF(AND('Marks Entry'!AC191="B"),'Marks Entry'!$AG$2,IF(AND('Marks Entry'!AC191="C"),'Marks Entry'!$AI$2,""))),", ",IF(AND('Marks Entry'!AK191="A"),'Marks Entry'!$AK$2,IF(AND('Marks Entry'!AK191="B"),'Marks Entry'!$AO$2,IF(AND('Marks Entry'!AK191="C"),'Marks Entry'!$AQ$2,""))),", ",IF(AND('Statement of Marks'!DD191=""),"",IF(AND('Statement of Marks'!DD191="A"),'Marks Entry'!$AS$2,IF(AND('Statement of Marks'!DD191="B"),'Marks Entry'!$AW$2,IF(AND('Statement of Marks'!DD191="C"),'Marks Entry'!$AY$2,"")))))),"")</f>
        <v/>
      </c>
      <c r="T188" s="435" t="str">
        <f>IF(COUNTIF(K188:R188,"F")&gt;0,"",CONCATENATE('Statement of Marks'!GU191,'Statement of Marks'!GW191))</f>
        <v xml:space="preserve">           </v>
      </c>
      <c r="BG188" s="17">
        <f>IFERROR(VLOOKUP(B188,'Statement of Marks'!$B$8:'Statement of Marks'!$HI$207,41,0),"")</f>
        <v>15</v>
      </c>
      <c r="BH188" s="17" t="str">
        <f>IFERROR(VLOOKUP(B188,'Statement of Marks'!$B$8:'Statement of Marks'!$HI$207,66,0),"")</f>
        <v/>
      </c>
      <c r="BI188" s="17">
        <f>IFERROR(VLOOKUP(B188,'Statement of Marks'!$B$8:'Statement of Marks'!$HI$207,91,0),"")</f>
        <v>60</v>
      </c>
      <c r="BJ188" s="17" t="str">
        <f>IFERROR(VLOOKUP(B188,'Statement of Marks'!$B$8:'Statement of Marks'!$HI$207,117,0),"")</f>
        <v/>
      </c>
    </row>
    <row r="189" spans="1:62" ht="24.95" customHeight="1">
      <c r="A189" s="283">
        <f>IF('Statement of Marks'!A192="","",'Statement of Marks'!A192)</f>
        <v>185</v>
      </c>
      <c r="B189" s="283" t="str">
        <f>IF('Statement of Marks'!B192="","",'Statement of Marks'!B192)</f>
        <v/>
      </c>
      <c r="C189" s="283" t="str">
        <f>IF('Statement of Marks'!C192="","",'Statement of Marks'!C192)</f>
        <v/>
      </c>
      <c r="D189" s="430" t="str">
        <f>IF('Statement of Marks'!D192="","",'Statement of Marks'!D192)</f>
        <v/>
      </c>
      <c r="E189" s="431" t="str">
        <f>IF('Statement of Marks'!E192="","",'Statement of Marks'!E192)</f>
        <v/>
      </c>
      <c r="F189" s="431" t="str">
        <f>IF('Statement of Marks'!F192="","",'Statement of Marks'!F192)</f>
        <v/>
      </c>
      <c r="G189" s="431" t="str">
        <f>IF('Statement of Marks'!G192="","",'Statement of Marks'!G192)</f>
        <v/>
      </c>
      <c r="H189" s="432" t="str">
        <f>IF(B189="","",IF('Statement of Marks'!GY192="","",'Statement of Marks'!GY192))</f>
        <v/>
      </c>
      <c r="I189" s="286" t="str">
        <f>IF(B189="","",IF('Statement of Marks'!HB192="","",'Statement of Marks'!HB192))</f>
        <v/>
      </c>
      <c r="J189" s="433" t="str">
        <f>IF(B189="","",IF('Statement of Marks'!HC192="","",'Statement of Marks'!HC192))</f>
        <v/>
      </c>
      <c r="K189" s="295" t="str">
        <f>IF(B189="","",'Statement of Marks'!FJ192)</f>
        <v/>
      </c>
      <c r="L189" s="295" t="str">
        <f>IF(B189="","",'Statement of Marks'!FM192)</f>
        <v/>
      </c>
      <c r="M189" s="295" t="str">
        <f>IF(B189="","",'Statement of Marks'!FP192)</f>
        <v/>
      </c>
      <c r="N189" s="295" t="str">
        <f>IF(B189="","",'Statement of Marks'!FW192)</f>
        <v/>
      </c>
      <c r="O189" s="295" t="str">
        <f>IF(B189="","",'Statement of Marks'!GD192)</f>
        <v/>
      </c>
      <c r="P189" s="295" t="str">
        <f>IF(B189="","",'Statement of Marks'!GK192)</f>
        <v/>
      </c>
      <c r="Q189" s="295" t="str">
        <f>IF(B189="","",'Statement of Marks'!GR192)</f>
        <v/>
      </c>
      <c r="R189" s="295" t="str">
        <f>IF(B189="","",'Statement of Marks'!FF192)</f>
        <v/>
      </c>
      <c r="S189" s="434" t="str">
        <f>IFERROR(IF(B189="","",CONCATENATE(IF(AND('Marks Entry'!U192="A"),'Marks Entry'!$U$2,IF(AND('Marks Entry'!U192="B"),'Marks Entry'!$Y$2,IF(AND('Marks Entry'!U192="C"),'Marks Entry'!$AA$2,""))),", ",IF(AND('Marks Entry'!AC192="A"),'Marks Entry'!$AC$2,IF(AND('Marks Entry'!AC192="B"),'Marks Entry'!$AG$2,IF(AND('Marks Entry'!AC192="C"),'Marks Entry'!$AI$2,""))),", ",IF(AND('Marks Entry'!AK192="A"),'Marks Entry'!$AK$2,IF(AND('Marks Entry'!AK192="B"),'Marks Entry'!$AO$2,IF(AND('Marks Entry'!AK192="C"),'Marks Entry'!$AQ$2,""))),", ",IF(AND('Statement of Marks'!DD192=""),"",IF(AND('Statement of Marks'!DD192="A"),'Marks Entry'!$AS$2,IF(AND('Statement of Marks'!DD192="B"),'Marks Entry'!$AW$2,IF(AND('Statement of Marks'!DD192="C"),'Marks Entry'!$AY$2,"")))))),"")</f>
        <v/>
      </c>
      <c r="T189" s="435" t="str">
        <f>IF(COUNTIF(K189:R189,"F")&gt;0,"",CONCATENATE('Statement of Marks'!GU192,'Statement of Marks'!GW192))</f>
        <v xml:space="preserve">           </v>
      </c>
      <c r="BG189" s="17">
        <f>IFERROR(VLOOKUP(B189,'Statement of Marks'!$B$8:'Statement of Marks'!$HI$207,41,0),"")</f>
        <v>15</v>
      </c>
      <c r="BH189" s="17" t="str">
        <f>IFERROR(VLOOKUP(B189,'Statement of Marks'!$B$8:'Statement of Marks'!$HI$207,66,0),"")</f>
        <v/>
      </c>
      <c r="BI189" s="17">
        <f>IFERROR(VLOOKUP(B189,'Statement of Marks'!$B$8:'Statement of Marks'!$HI$207,91,0),"")</f>
        <v>60</v>
      </c>
      <c r="BJ189" s="17" t="str">
        <f>IFERROR(VLOOKUP(B189,'Statement of Marks'!$B$8:'Statement of Marks'!$HI$207,117,0),"")</f>
        <v/>
      </c>
    </row>
    <row r="190" spans="1:62" ht="24.95" customHeight="1">
      <c r="A190" s="283">
        <f>IF('Statement of Marks'!A193="","",'Statement of Marks'!A193)</f>
        <v>186</v>
      </c>
      <c r="B190" s="283" t="str">
        <f>IF('Statement of Marks'!B193="","",'Statement of Marks'!B193)</f>
        <v/>
      </c>
      <c r="C190" s="283" t="str">
        <f>IF('Statement of Marks'!C193="","",'Statement of Marks'!C193)</f>
        <v/>
      </c>
      <c r="D190" s="430" t="str">
        <f>IF('Statement of Marks'!D193="","",'Statement of Marks'!D193)</f>
        <v/>
      </c>
      <c r="E190" s="431" t="str">
        <f>IF('Statement of Marks'!E193="","",'Statement of Marks'!E193)</f>
        <v/>
      </c>
      <c r="F190" s="431" t="str">
        <f>IF('Statement of Marks'!F193="","",'Statement of Marks'!F193)</f>
        <v/>
      </c>
      <c r="G190" s="431" t="str">
        <f>IF('Statement of Marks'!G193="","",'Statement of Marks'!G193)</f>
        <v/>
      </c>
      <c r="H190" s="432" t="str">
        <f>IF(B190="","",IF('Statement of Marks'!GY193="","",'Statement of Marks'!GY193))</f>
        <v/>
      </c>
      <c r="I190" s="286" t="str">
        <f>IF(B190="","",IF('Statement of Marks'!HB193="","",'Statement of Marks'!HB193))</f>
        <v/>
      </c>
      <c r="J190" s="433" t="str">
        <f>IF(B190="","",IF('Statement of Marks'!HC193="","",'Statement of Marks'!HC193))</f>
        <v/>
      </c>
      <c r="K190" s="295" t="str">
        <f>IF(B190="","",'Statement of Marks'!FJ193)</f>
        <v/>
      </c>
      <c r="L190" s="295" t="str">
        <f>IF(B190="","",'Statement of Marks'!FM193)</f>
        <v/>
      </c>
      <c r="M190" s="295" t="str">
        <f>IF(B190="","",'Statement of Marks'!FP193)</f>
        <v/>
      </c>
      <c r="N190" s="295" t="str">
        <f>IF(B190="","",'Statement of Marks'!FW193)</f>
        <v/>
      </c>
      <c r="O190" s="295" t="str">
        <f>IF(B190="","",'Statement of Marks'!GD193)</f>
        <v/>
      </c>
      <c r="P190" s="295" t="str">
        <f>IF(B190="","",'Statement of Marks'!GK193)</f>
        <v/>
      </c>
      <c r="Q190" s="295" t="str">
        <f>IF(B190="","",'Statement of Marks'!GR193)</f>
        <v/>
      </c>
      <c r="R190" s="295" t="str">
        <f>IF(B190="","",'Statement of Marks'!FF193)</f>
        <v/>
      </c>
      <c r="S190" s="434" t="str">
        <f>IFERROR(IF(B190="","",CONCATENATE(IF(AND('Marks Entry'!U193="A"),'Marks Entry'!$U$2,IF(AND('Marks Entry'!U193="B"),'Marks Entry'!$Y$2,IF(AND('Marks Entry'!U193="C"),'Marks Entry'!$AA$2,""))),", ",IF(AND('Marks Entry'!AC193="A"),'Marks Entry'!$AC$2,IF(AND('Marks Entry'!AC193="B"),'Marks Entry'!$AG$2,IF(AND('Marks Entry'!AC193="C"),'Marks Entry'!$AI$2,""))),", ",IF(AND('Marks Entry'!AK193="A"),'Marks Entry'!$AK$2,IF(AND('Marks Entry'!AK193="B"),'Marks Entry'!$AO$2,IF(AND('Marks Entry'!AK193="C"),'Marks Entry'!$AQ$2,""))),", ",IF(AND('Statement of Marks'!DD193=""),"",IF(AND('Statement of Marks'!DD193="A"),'Marks Entry'!$AS$2,IF(AND('Statement of Marks'!DD193="B"),'Marks Entry'!$AW$2,IF(AND('Statement of Marks'!DD193="C"),'Marks Entry'!$AY$2,"")))))),"")</f>
        <v/>
      </c>
      <c r="T190" s="435" t="str">
        <f>IF(COUNTIF(K190:R190,"F")&gt;0,"",CONCATENATE('Statement of Marks'!GU193,'Statement of Marks'!GW193))</f>
        <v xml:space="preserve">           </v>
      </c>
      <c r="BG190" s="17">
        <f>IFERROR(VLOOKUP(B190,'Statement of Marks'!$B$8:'Statement of Marks'!$HI$207,41,0),"")</f>
        <v>15</v>
      </c>
      <c r="BH190" s="17" t="str">
        <f>IFERROR(VLOOKUP(B190,'Statement of Marks'!$B$8:'Statement of Marks'!$HI$207,66,0),"")</f>
        <v/>
      </c>
      <c r="BI190" s="17">
        <f>IFERROR(VLOOKUP(B190,'Statement of Marks'!$B$8:'Statement of Marks'!$HI$207,91,0),"")</f>
        <v>60</v>
      </c>
      <c r="BJ190" s="17" t="str">
        <f>IFERROR(VLOOKUP(B190,'Statement of Marks'!$B$8:'Statement of Marks'!$HI$207,117,0),"")</f>
        <v/>
      </c>
    </row>
    <row r="191" spans="1:62" ht="24.95" customHeight="1">
      <c r="A191" s="283">
        <f>IF('Statement of Marks'!A194="","",'Statement of Marks'!A194)</f>
        <v>187</v>
      </c>
      <c r="B191" s="283" t="str">
        <f>IF('Statement of Marks'!B194="","",'Statement of Marks'!B194)</f>
        <v/>
      </c>
      <c r="C191" s="283" t="str">
        <f>IF('Statement of Marks'!C194="","",'Statement of Marks'!C194)</f>
        <v/>
      </c>
      <c r="D191" s="430" t="str">
        <f>IF('Statement of Marks'!D194="","",'Statement of Marks'!D194)</f>
        <v/>
      </c>
      <c r="E191" s="431" t="str">
        <f>IF('Statement of Marks'!E194="","",'Statement of Marks'!E194)</f>
        <v/>
      </c>
      <c r="F191" s="431" t="str">
        <f>IF('Statement of Marks'!F194="","",'Statement of Marks'!F194)</f>
        <v/>
      </c>
      <c r="G191" s="431" t="str">
        <f>IF('Statement of Marks'!G194="","",'Statement of Marks'!G194)</f>
        <v/>
      </c>
      <c r="H191" s="432" t="str">
        <f>IF(B191="","",IF('Statement of Marks'!GY194="","",'Statement of Marks'!GY194))</f>
        <v/>
      </c>
      <c r="I191" s="286" t="str">
        <f>IF(B191="","",IF('Statement of Marks'!HB194="","",'Statement of Marks'!HB194))</f>
        <v/>
      </c>
      <c r="J191" s="433" t="str">
        <f>IF(B191="","",IF('Statement of Marks'!HC194="","",'Statement of Marks'!HC194))</f>
        <v/>
      </c>
      <c r="K191" s="295" t="str">
        <f>IF(B191="","",'Statement of Marks'!FJ194)</f>
        <v/>
      </c>
      <c r="L191" s="295" t="str">
        <f>IF(B191="","",'Statement of Marks'!FM194)</f>
        <v/>
      </c>
      <c r="M191" s="295" t="str">
        <f>IF(B191="","",'Statement of Marks'!FP194)</f>
        <v/>
      </c>
      <c r="N191" s="295" t="str">
        <f>IF(B191="","",'Statement of Marks'!FW194)</f>
        <v/>
      </c>
      <c r="O191" s="295" t="str">
        <f>IF(B191="","",'Statement of Marks'!GD194)</f>
        <v/>
      </c>
      <c r="P191" s="295" t="str">
        <f>IF(B191="","",'Statement of Marks'!GK194)</f>
        <v/>
      </c>
      <c r="Q191" s="295" t="str">
        <f>IF(B191="","",'Statement of Marks'!GR194)</f>
        <v/>
      </c>
      <c r="R191" s="295" t="str">
        <f>IF(B191="","",'Statement of Marks'!FF194)</f>
        <v/>
      </c>
      <c r="S191" s="434" t="str">
        <f>IFERROR(IF(B191="","",CONCATENATE(IF(AND('Marks Entry'!U194="A"),'Marks Entry'!$U$2,IF(AND('Marks Entry'!U194="B"),'Marks Entry'!$Y$2,IF(AND('Marks Entry'!U194="C"),'Marks Entry'!$AA$2,""))),", ",IF(AND('Marks Entry'!AC194="A"),'Marks Entry'!$AC$2,IF(AND('Marks Entry'!AC194="B"),'Marks Entry'!$AG$2,IF(AND('Marks Entry'!AC194="C"),'Marks Entry'!$AI$2,""))),", ",IF(AND('Marks Entry'!AK194="A"),'Marks Entry'!$AK$2,IF(AND('Marks Entry'!AK194="B"),'Marks Entry'!$AO$2,IF(AND('Marks Entry'!AK194="C"),'Marks Entry'!$AQ$2,""))),", ",IF(AND('Statement of Marks'!DD194=""),"",IF(AND('Statement of Marks'!DD194="A"),'Marks Entry'!$AS$2,IF(AND('Statement of Marks'!DD194="B"),'Marks Entry'!$AW$2,IF(AND('Statement of Marks'!DD194="C"),'Marks Entry'!$AY$2,"")))))),"")</f>
        <v/>
      </c>
      <c r="T191" s="435" t="str">
        <f>IF(COUNTIF(K191:R191,"F")&gt;0,"",CONCATENATE('Statement of Marks'!GU194,'Statement of Marks'!GW194))</f>
        <v xml:space="preserve">           </v>
      </c>
      <c r="BG191" s="17">
        <f>IFERROR(VLOOKUP(B191,'Statement of Marks'!$B$8:'Statement of Marks'!$HI$207,41,0),"")</f>
        <v>15</v>
      </c>
      <c r="BH191" s="17" t="str">
        <f>IFERROR(VLOOKUP(B191,'Statement of Marks'!$B$8:'Statement of Marks'!$HI$207,66,0),"")</f>
        <v/>
      </c>
      <c r="BI191" s="17">
        <f>IFERROR(VLOOKUP(B191,'Statement of Marks'!$B$8:'Statement of Marks'!$HI$207,91,0),"")</f>
        <v>60</v>
      </c>
      <c r="BJ191" s="17" t="str">
        <f>IFERROR(VLOOKUP(B191,'Statement of Marks'!$B$8:'Statement of Marks'!$HI$207,117,0),"")</f>
        <v/>
      </c>
    </row>
    <row r="192" spans="1:62" ht="24.95" customHeight="1">
      <c r="A192" s="283">
        <f>IF('Statement of Marks'!A195="","",'Statement of Marks'!A195)</f>
        <v>188</v>
      </c>
      <c r="B192" s="283" t="str">
        <f>IF('Statement of Marks'!B195="","",'Statement of Marks'!B195)</f>
        <v/>
      </c>
      <c r="C192" s="283" t="str">
        <f>IF('Statement of Marks'!C195="","",'Statement of Marks'!C195)</f>
        <v/>
      </c>
      <c r="D192" s="430" t="str">
        <f>IF('Statement of Marks'!D195="","",'Statement of Marks'!D195)</f>
        <v/>
      </c>
      <c r="E192" s="431" t="str">
        <f>IF('Statement of Marks'!E195="","",'Statement of Marks'!E195)</f>
        <v/>
      </c>
      <c r="F192" s="431" t="str">
        <f>IF('Statement of Marks'!F195="","",'Statement of Marks'!F195)</f>
        <v/>
      </c>
      <c r="G192" s="431" t="str">
        <f>IF('Statement of Marks'!G195="","",'Statement of Marks'!G195)</f>
        <v/>
      </c>
      <c r="H192" s="432" t="str">
        <f>IF(B192="","",IF('Statement of Marks'!GY195="","",'Statement of Marks'!GY195))</f>
        <v/>
      </c>
      <c r="I192" s="286" t="str">
        <f>IF(B192="","",IF('Statement of Marks'!HB195="","",'Statement of Marks'!HB195))</f>
        <v/>
      </c>
      <c r="J192" s="433" t="str">
        <f>IF(B192="","",IF('Statement of Marks'!HC195="","",'Statement of Marks'!HC195))</f>
        <v/>
      </c>
      <c r="K192" s="295" t="str">
        <f>IF(B192="","",'Statement of Marks'!FJ195)</f>
        <v/>
      </c>
      <c r="L192" s="295" t="str">
        <f>IF(B192="","",'Statement of Marks'!FM195)</f>
        <v/>
      </c>
      <c r="M192" s="295" t="str">
        <f>IF(B192="","",'Statement of Marks'!FP195)</f>
        <v/>
      </c>
      <c r="N192" s="295" t="str">
        <f>IF(B192="","",'Statement of Marks'!FW195)</f>
        <v/>
      </c>
      <c r="O192" s="295" t="str">
        <f>IF(B192="","",'Statement of Marks'!GD195)</f>
        <v/>
      </c>
      <c r="P192" s="295" t="str">
        <f>IF(B192="","",'Statement of Marks'!GK195)</f>
        <v/>
      </c>
      <c r="Q192" s="295" t="str">
        <f>IF(B192="","",'Statement of Marks'!GR195)</f>
        <v/>
      </c>
      <c r="R192" s="295" t="str">
        <f>IF(B192="","",'Statement of Marks'!FF195)</f>
        <v/>
      </c>
      <c r="S192" s="434" t="str">
        <f>IFERROR(IF(B192="","",CONCATENATE(IF(AND('Marks Entry'!U195="A"),'Marks Entry'!$U$2,IF(AND('Marks Entry'!U195="B"),'Marks Entry'!$Y$2,IF(AND('Marks Entry'!U195="C"),'Marks Entry'!$AA$2,""))),", ",IF(AND('Marks Entry'!AC195="A"),'Marks Entry'!$AC$2,IF(AND('Marks Entry'!AC195="B"),'Marks Entry'!$AG$2,IF(AND('Marks Entry'!AC195="C"),'Marks Entry'!$AI$2,""))),", ",IF(AND('Marks Entry'!AK195="A"),'Marks Entry'!$AK$2,IF(AND('Marks Entry'!AK195="B"),'Marks Entry'!$AO$2,IF(AND('Marks Entry'!AK195="C"),'Marks Entry'!$AQ$2,""))),", ",IF(AND('Statement of Marks'!DD195=""),"",IF(AND('Statement of Marks'!DD195="A"),'Marks Entry'!$AS$2,IF(AND('Statement of Marks'!DD195="B"),'Marks Entry'!$AW$2,IF(AND('Statement of Marks'!DD195="C"),'Marks Entry'!$AY$2,"")))))),"")</f>
        <v/>
      </c>
      <c r="T192" s="435" t="str">
        <f>IF(COUNTIF(K192:R192,"F")&gt;0,"",CONCATENATE('Statement of Marks'!GU195,'Statement of Marks'!GW195))</f>
        <v xml:space="preserve">           </v>
      </c>
      <c r="BG192" s="17">
        <f>IFERROR(VLOOKUP(B192,'Statement of Marks'!$B$8:'Statement of Marks'!$HI$207,41,0),"")</f>
        <v>15</v>
      </c>
      <c r="BH192" s="17" t="str">
        <f>IFERROR(VLOOKUP(B192,'Statement of Marks'!$B$8:'Statement of Marks'!$HI$207,66,0),"")</f>
        <v/>
      </c>
      <c r="BI192" s="17">
        <f>IFERROR(VLOOKUP(B192,'Statement of Marks'!$B$8:'Statement of Marks'!$HI$207,91,0),"")</f>
        <v>60</v>
      </c>
      <c r="BJ192" s="17" t="str">
        <f>IFERROR(VLOOKUP(B192,'Statement of Marks'!$B$8:'Statement of Marks'!$HI$207,117,0),"")</f>
        <v/>
      </c>
    </row>
    <row r="193" spans="1:62" ht="24.95" customHeight="1">
      <c r="A193" s="283">
        <f>IF('Statement of Marks'!A196="","",'Statement of Marks'!A196)</f>
        <v>189</v>
      </c>
      <c r="B193" s="283" t="str">
        <f>IF('Statement of Marks'!B196="","",'Statement of Marks'!B196)</f>
        <v/>
      </c>
      <c r="C193" s="283" t="str">
        <f>IF('Statement of Marks'!C196="","",'Statement of Marks'!C196)</f>
        <v/>
      </c>
      <c r="D193" s="430" t="str">
        <f>IF('Statement of Marks'!D196="","",'Statement of Marks'!D196)</f>
        <v/>
      </c>
      <c r="E193" s="431" t="str">
        <f>IF('Statement of Marks'!E196="","",'Statement of Marks'!E196)</f>
        <v/>
      </c>
      <c r="F193" s="431" t="str">
        <f>IF('Statement of Marks'!F196="","",'Statement of Marks'!F196)</f>
        <v/>
      </c>
      <c r="G193" s="431" t="str">
        <f>IF('Statement of Marks'!G196="","",'Statement of Marks'!G196)</f>
        <v/>
      </c>
      <c r="H193" s="432" t="str">
        <f>IF(B193="","",IF('Statement of Marks'!GY196="","",'Statement of Marks'!GY196))</f>
        <v/>
      </c>
      <c r="I193" s="286" t="str">
        <f>IF(B193="","",IF('Statement of Marks'!HB196="","",'Statement of Marks'!HB196))</f>
        <v/>
      </c>
      <c r="J193" s="433" t="str">
        <f>IF(B193="","",IF('Statement of Marks'!HC196="","",'Statement of Marks'!HC196))</f>
        <v/>
      </c>
      <c r="K193" s="295" t="str">
        <f>IF(B193="","",'Statement of Marks'!FJ196)</f>
        <v/>
      </c>
      <c r="L193" s="295" t="str">
        <f>IF(B193="","",'Statement of Marks'!FM196)</f>
        <v/>
      </c>
      <c r="M193" s="295" t="str">
        <f>IF(B193="","",'Statement of Marks'!FP196)</f>
        <v/>
      </c>
      <c r="N193" s="295" t="str">
        <f>IF(B193="","",'Statement of Marks'!FW196)</f>
        <v/>
      </c>
      <c r="O193" s="295" t="str">
        <f>IF(B193="","",'Statement of Marks'!GD196)</f>
        <v/>
      </c>
      <c r="P193" s="295" t="str">
        <f>IF(B193="","",'Statement of Marks'!GK196)</f>
        <v/>
      </c>
      <c r="Q193" s="295" t="str">
        <f>IF(B193="","",'Statement of Marks'!GR196)</f>
        <v/>
      </c>
      <c r="R193" s="295" t="str">
        <f>IF(B193="","",'Statement of Marks'!FF196)</f>
        <v/>
      </c>
      <c r="S193" s="434" t="str">
        <f>IFERROR(IF(B193="","",CONCATENATE(IF(AND('Marks Entry'!U196="A"),'Marks Entry'!$U$2,IF(AND('Marks Entry'!U196="B"),'Marks Entry'!$Y$2,IF(AND('Marks Entry'!U196="C"),'Marks Entry'!$AA$2,""))),", ",IF(AND('Marks Entry'!AC196="A"),'Marks Entry'!$AC$2,IF(AND('Marks Entry'!AC196="B"),'Marks Entry'!$AG$2,IF(AND('Marks Entry'!AC196="C"),'Marks Entry'!$AI$2,""))),", ",IF(AND('Marks Entry'!AK196="A"),'Marks Entry'!$AK$2,IF(AND('Marks Entry'!AK196="B"),'Marks Entry'!$AO$2,IF(AND('Marks Entry'!AK196="C"),'Marks Entry'!$AQ$2,""))),", ",IF(AND('Statement of Marks'!DD196=""),"",IF(AND('Statement of Marks'!DD196="A"),'Marks Entry'!$AS$2,IF(AND('Statement of Marks'!DD196="B"),'Marks Entry'!$AW$2,IF(AND('Statement of Marks'!DD196="C"),'Marks Entry'!$AY$2,"")))))),"")</f>
        <v/>
      </c>
      <c r="T193" s="435" t="str">
        <f>IF(COUNTIF(K193:R193,"F")&gt;0,"",CONCATENATE('Statement of Marks'!GU196,'Statement of Marks'!GW196))</f>
        <v xml:space="preserve">           </v>
      </c>
      <c r="BG193" s="17">
        <f>IFERROR(VLOOKUP(B193,'Statement of Marks'!$B$8:'Statement of Marks'!$HI$207,41,0),"")</f>
        <v>15</v>
      </c>
      <c r="BH193" s="17" t="str">
        <f>IFERROR(VLOOKUP(B193,'Statement of Marks'!$B$8:'Statement of Marks'!$HI$207,66,0),"")</f>
        <v/>
      </c>
      <c r="BI193" s="17">
        <f>IFERROR(VLOOKUP(B193,'Statement of Marks'!$B$8:'Statement of Marks'!$HI$207,91,0),"")</f>
        <v>60</v>
      </c>
      <c r="BJ193" s="17" t="str">
        <f>IFERROR(VLOOKUP(B193,'Statement of Marks'!$B$8:'Statement of Marks'!$HI$207,117,0),"")</f>
        <v/>
      </c>
    </row>
    <row r="194" spans="1:62" ht="24.95" customHeight="1">
      <c r="A194" s="283">
        <f>IF('Statement of Marks'!A197="","",'Statement of Marks'!A197)</f>
        <v>190</v>
      </c>
      <c r="B194" s="283" t="str">
        <f>IF('Statement of Marks'!B197="","",'Statement of Marks'!B197)</f>
        <v/>
      </c>
      <c r="C194" s="283" t="str">
        <f>IF('Statement of Marks'!C197="","",'Statement of Marks'!C197)</f>
        <v/>
      </c>
      <c r="D194" s="430" t="str">
        <f>IF('Statement of Marks'!D197="","",'Statement of Marks'!D197)</f>
        <v/>
      </c>
      <c r="E194" s="431" t="str">
        <f>IF('Statement of Marks'!E197="","",'Statement of Marks'!E197)</f>
        <v/>
      </c>
      <c r="F194" s="431" t="str">
        <f>IF('Statement of Marks'!F197="","",'Statement of Marks'!F197)</f>
        <v/>
      </c>
      <c r="G194" s="431" t="str">
        <f>IF('Statement of Marks'!G197="","",'Statement of Marks'!G197)</f>
        <v/>
      </c>
      <c r="H194" s="432" t="str">
        <f>IF(B194="","",IF('Statement of Marks'!GY197="","",'Statement of Marks'!GY197))</f>
        <v/>
      </c>
      <c r="I194" s="286" t="str">
        <f>IF(B194="","",IF('Statement of Marks'!HB197="","",'Statement of Marks'!HB197))</f>
        <v/>
      </c>
      <c r="J194" s="433" t="str">
        <f>IF(B194="","",IF('Statement of Marks'!HC197="","",'Statement of Marks'!HC197))</f>
        <v/>
      </c>
      <c r="K194" s="295" t="str">
        <f>IF(B194="","",'Statement of Marks'!FJ197)</f>
        <v/>
      </c>
      <c r="L194" s="295" t="str">
        <f>IF(B194="","",'Statement of Marks'!FM197)</f>
        <v/>
      </c>
      <c r="M194" s="295" t="str">
        <f>IF(B194="","",'Statement of Marks'!FP197)</f>
        <v/>
      </c>
      <c r="N194" s="295" t="str">
        <f>IF(B194="","",'Statement of Marks'!FW197)</f>
        <v/>
      </c>
      <c r="O194" s="295" t="str">
        <f>IF(B194="","",'Statement of Marks'!GD197)</f>
        <v/>
      </c>
      <c r="P194" s="295" t="str">
        <f>IF(B194="","",'Statement of Marks'!GK197)</f>
        <v/>
      </c>
      <c r="Q194" s="295" t="str">
        <f>IF(B194="","",'Statement of Marks'!GR197)</f>
        <v/>
      </c>
      <c r="R194" s="295" t="str">
        <f>IF(B194="","",'Statement of Marks'!FF197)</f>
        <v/>
      </c>
      <c r="S194" s="434" t="str">
        <f>IFERROR(IF(B194="","",CONCATENATE(IF(AND('Marks Entry'!U197="A"),'Marks Entry'!$U$2,IF(AND('Marks Entry'!U197="B"),'Marks Entry'!$Y$2,IF(AND('Marks Entry'!U197="C"),'Marks Entry'!$AA$2,""))),", ",IF(AND('Marks Entry'!AC197="A"),'Marks Entry'!$AC$2,IF(AND('Marks Entry'!AC197="B"),'Marks Entry'!$AG$2,IF(AND('Marks Entry'!AC197="C"),'Marks Entry'!$AI$2,""))),", ",IF(AND('Marks Entry'!AK197="A"),'Marks Entry'!$AK$2,IF(AND('Marks Entry'!AK197="B"),'Marks Entry'!$AO$2,IF(AND('Marks Entry'!AK197="C"),'Marks Entry'!$AQ$2,""))),", ",IF(AND('Statement of Marks'!DD197=""),"",IF(AND('Statement of Marks'!DD197="A"),'Marks Entry'!$AS$2,IF(AND('Statement of Marks'!DD197="B"),'Marks Entry'!$AW$2,IF(AND('Statement of Marks'!DD197="C"),'Marks Entry'!$AY$2,"")))))),"")</f>
        <v/>
      </c>
      <c r="T194" s="435" t="str">
        <f>IF(COUNTIF(K194:R194,"F")&gt;0,"",CONCATENATE('Statement of Marks'!GU197,'Statement of Marks'!GW197))</f>
        <v xml:space="preserve">           </v>
      </c>
      <c r="BG194" s="17">
        <f>IFERROR(VLOOKUP(B194,'Statement of Marks'!$B$8:'Statement of Marks'!$HI$207,41,0),"")</f>
        <v>15</v>
      </c>
      <c r="BH194" s="17" t="str">
        <f>IFERROR(VLOOKUP(B194,'Statement of Marks'!$B$8:'Statement of Marks'!$HI$207,66,0),"")</f>
        <v/>
      </c>
      <c r="BI194" s="17">
        <f>IFERROR(VLOOKUP(B194,'Statement of Marks'!$B$8:'Statement of Marks'!$HI$207,91,0),"")</f>
        <v>60</v>
      </c>
      <c r="BJ194" s="17" t="str">
        <f>IFERROR(VLOOKUP(B194,'Statement of Marks'!$B$8:'Statement of Marks'!$HI$207,117,0),"")</f>
        <v/>
      </c>
    </row>
    <row r="195" spans="1:62" ht="24.95" customHeight="1">
      <c r="A195" s="283">
        <f>IF('Statement of Marks'!A198="","",'Statement of Marks'!A198)</f>
        <v>191</v>
      </c>
      <c r="B195" s="283" t="str">
        <f>IF('Statement of Marks'!B198="","",'Statement of Marks'!B198)</f>
        <v/>
      </c>
      <c r="C195" s="283" t="str">
        <f>IF('Statement of Marks'!C198="","",'Statement of Marks'!C198)</f>
        <v/>
      </c>
      <c r="D195" s="430" t="str">
        <f>IF('Statement of Marks'!D198="","",'Statement of Marks'!D198)</f>
        <v/>
      </c>
      <c r="E195" s="431" t="str">
        <f>IF('Statement of Marks'!E198="","",'Statement of Marks'!E198)</f>
        <v/>
      </c>
      <c r="F195" s="431" t="str">
        <f>IF('Statement of Marks'!F198="","",'Statement of Marks'!F198)</f>
        <v/>
      </c>
      <c r="G195" s="431" t="str">
        <f>IF('Statement of Marks'!G198="","",'Statement of Marks'!G198)</f>
        <v/>
      </c>
      <c r="H195" s="432" t="str">
        <f>IF(B195="","",IF('Statement of Marks'!GY198="","",'Statement of Marks'!GY198))</f>
        <v/>
      </c>
      <c r="I195" s="286" t="str">
        <f>IF(B195="","",IF('Statement of Marks'!HB198="","",'Statement of Marks'!HB198))</f>
        <v/>
      </c>
      <c r="J195" s="433" t="str">
        <f>IF(B195="","",IF('Statement of Marks'!HC198="","",'Statement of Marks'!HC198))</f>
        <v/>
      </c>
      <c r="K195" s="295" t="str">
        <f>IF(B195="","",'Statement of Marks'!FJ198)</f>
        <v/>
      </c>
      <c r="L195" s="295" t="str">
        <f>IF(B195="","",'Statement of Marks'!FM198)</f>
        <v/>
      </c>
      <c r="M195" s="295" t="str">
        <f>IF(B195="","",'Statement of Marks'!FP198)</f>
        <v/>
      </c>
      <c r="N195" s="295" t="str">
        <f>IF(B195="","",'Statement of Marks'!FW198)</f>
        <v/>
      </c>
      <c r="O195" s="295" t="str">
        <f>IF(B195="","",'Statement of Marks'!GD198)</f>
        <v/>
      </c>
      <c r="P195" s="295" t="str">
        <f>IF(B195="","",'Statement of Marks'!GK198)</f>
        <v/>
      </c>
      <c r="Q195" s="295" t="str">
        <f>IF(B195="","",'Statement of Marks'!GR198)</f>
        <v/>
      </c>
      <c r="R195" s="295" t="str">
        <f>IF(B195="","",'Statement of Marks'!FF198)</f>
        <v/>
      </c>
      <c r="S195" s="434" t="str">
        <f>IFERROR(IF(B195="","",CONCATENATE(IF(AND('Marks Entry'!U198="A"),'Marks Entry'!$U$2,IF(AND('Marks Entry'!U198="B"),'Marks Entry'!$Y$2,IF(AND('Marks Entry'!U198="C"),'Marks Entry'!$AA$2,""))),", ",IF(AND('Marks Entry'!AC198="A"),'Marks Entry'!$AC$2,IF(AND('Marks Entry'!AC198="B"),'Marks Entry'!$AG$2,IF(AND('Marks Entry'!AC198="C"),'Marks Entry'!$AI$2,""))),", ",IF(AND('Marks Entry'!AK198="A"),'Marks Entry'!$AK$2,IF(AND('Marks Entry'!AK198="B"),'Marks Entry'!$AO$2,IF(AND('Marks Entry'!AK198="C"),'Marks Entry'!$AQ$2,""))),", ",IF(AND('Statement of Marks'!DD198=""),"",IF(AND('Statement of Marks'!DD198="A"),'Marks Entry'!$AS$2,IF(AND('Statement of Marks'!DD198="B"),'Marks Entry'!$AW$2,IF(AND('Statement of Marks'!DD198="C"),'Marks Entry'!$AY$2,"")))))),"")</f>
        <v/>
      </c>
      <c r="T195" s="435" t="str">
        <f>IF(COUNTIF(K195:R195,"F")&gt;0,"",CONCATENATE('Statement of Marks'!GU198,'Statement of Marks'!GW198))</f>
        <v xml:space="preserve">           </v>
      </c>
      <c r="BG195" s="17">
        <f>IFERROR(VLOOKUP(B195,'Statement of Marks'!$B$8:'Statement of Marks'!$HI$207,41,0),"")</f>
        <v>15</v>
      </c>
      <c r="BH195" s="17" t="str">
        <f>IFERROR(VLOOKUP(B195,'Statement of Marks'!$B$8:'Statement of Marks'!$HI$207,66,0),"")</f>
        <v/>
      </c>
      <c r="BI195" s="17">
        <f>IFERROR(VLOOKUP(B195,'Statement of Marks'!$B$8:'Statement of Marks'!$HI$207,91,0),"")</f>
        <v>60</v>
      </c>
      <c r="BJ195" s="17" t="str">
        <f>IFERROR(VLOOKUP(B195,'Statement of Marks'!$B$8:'Statement of Marks'!$HI$207,117,0),"")</f>
        <v/>
      </c>
    </row>
    <row r="196" spans="1:62" ht="24.95" customHeight="1">
      <c r="A196" s="283">
        <f>IF('Statement of Marks'!A199="","",'Statement of Marks'!A199)</f>
        <v>192</v>
      </c>
      <c r="B196" s="283" t="str">
        <f>IF('Statement of Marks'!B199="","",'Statement of Marks'!B199)</f>
        <v/>
      </c>
      <c r="C196" s="283" t="str">
        <f>IF('Statement of Marks'!C199="","",'Statement of Marks'!C199)</f>
        <v/>
      </c>
      <c r="D196" s="430" t="str">
        <f>IF('Statement of Marks'!D199="","",'Statement of Marks'!D199)</f>
        <v/>
      </c>
      <c r="E196" s="431" t="str">
        <f>IF('Statement of Marks'!E199="","",'Statement of Marks'!E199)</f>
        <v/>
      </c>
      <c r="F196" s="431" t="str">
        <f>IF('Statement of Marks'!F199="","",'Statement of Marks'!F199)</f>
        <v/>
      </c>
      <c r="G196" s="431" t="str">
        <f>IF('Statement of Marks'!G199="","",'Statement of Marks'!G199)</f>
        <v/>
      </c>
      <c r="H196" s="432" t="str">
        <f>IF(B196="","",IF('Statement of Marks'!GY199="","",'Statement of Marks'!GY199))</f>
        <v/>
      </c>
      <c r="I196" s="286" t="str">
        <f>IF(B196="","",IF('Statement of Marks'!HB199="","",'Statement of Marks'!HB199))</f>
        <v/>
      </c>
      <c r="J196" s="433" t="str">
        <f>IF(B196="","",IF('Statement of Marks'!HC199="","",'Statement of Marks'!HC199))</f>
        <v/>
      </c>
      <c r="K196" s="295" t="str">
        <f>IF(B196="","",'Statement of Marks'!FJ199)</f>
        <v/>
      </c>
      <c r="L196" s="295" t="str">
        <f>IF(B196="","",'Statement of Marks'!FM199)</f>
        <v/>
      </c>
      <c r="M196" s="295" t="str">
        <f>IF(B196="","",'Statement of Marks'!FP199)</f>
        <v/>
      </c>
      <c r="N196" s="295" t="str">
        <f>IF(B196="","",'Statement of Marks'!FW199)</f>
        <v/>
      </c>
      <c r="O196" s="295" t="str">
        <f>IF(B196="","",'Statement of Marks'!GD199)</f>
        <v/>
      </c>
      <c r="P196" s="295" t="str">
        <f>IF(B196="","",'Statement of Marks'!GK199)</f>
        <v/>
      </c>
      <c r="Q196" s="295" t="str">
        <f>IF(B196="","",'Statement of Marks'!GR199)</f>
        <v/>
      </c>
      <c r="R196" s="295" t="str">
        <f>IF(B196="","",'Statement of Marks'!FF199)</f>
        <v/>
      </c>
      <c r="S196" s="434" t="str">
        <f>IFERROR(IF(B196="","",CONCATENATE(IF(AND('Marks Entry'!U199="A"),'Marks Entry'!$U$2,IF(AND('Marks Entry'!U199="B"),'Marks Entry'!$Y$2,IF(AND('Marks Entry'!U199="C"),'Marks Entry'!$AA$2,""))),", ",IF(AND('Marks Entry'!AC199="A"),'Marks Entry'!$AC$2,IF(AND('Marks Entry'!AC199="B"),'Marks Entry'!$AG$2,IF(AND('Marks Entry'!AC199="C"),'Marks Entry'!$AI$2,""))),", ",IF(AND('Marks Entry'!AK199="A"),'Marks Entry'!$AK$2,IF(AND('Marks Entry'!AK199="B"),'Marks Entry'!$AO$2,IF(AND('Marks Entry'!AK199="C"),'Marks Entry'!$AQ$2,""))),", ",IF(AND('Statement of Marks'!DD199=""),"",IF(AND('Statement of Marks'!DD199="A"),'Marks Entry'!$AS$2,IF(AND('Statement of Marks'!DD199="B"),'Marks Entry'!$AW$2,IF(AND('Statement of Marks'!DD199="C"),'Marks Entry'!$AY$2,"")))))),"")</f>
        <v/>
      </c>
      <c r="T196" s="435" t="str">
        <f>IF(COUNTIF(K196:R196,"F")&gt;0,"",CONCATENATE('Statement of Marks'!GU199,'Statement of Marks'!GW199))</f>
        <v xml:space="preserve">           </v>
      </c>
      <c r="BG196" s="17">
        <f>IFERROR(VLOOKUP(B196,'Statement of Marks'!$B$8:'Statement of Marks'!$HI$207,41,0),"")</f>
        <v>15</v>
      </c>
      <c r="BH196" s="17" t="str">
        <f>IFERROR(VLOOKUP(B196,'Statement of Marks'!$B$8:'Statement of Marks'!$HI$207,66,0),"")</f>
        <v/>
      </c>
      <c r="BI196" s="17">
        <f>IFERROR(VLOOKUP(B196,'Statement of Marks'!$B$8:'Statement of Marks'!$HI$207,91,0),"")</f>
        <v>60</v>
      </c>
      <c r="BJ196" s="17" t="str">
        <f>IFERROR(VLOOKUP(B196,'Statement of Marks'!$B$8:'Statement of Marks'!$HI$207,117,0),"")</f>
        <v/>
      </c>
    </row>
    <row r="197" spans="1:62" ht="24.95" customHeight="1">
      <c r="A197" s="283">
        <f>IF('Statement of Marks'!A200="","",'Statement of Marks'!A200)</f>
        <v>193</v>
      </c>
      <c r="B197" s="283" t="str">
        <f>IF('Statement of Marks'!B200="","",'Statement of Marks'!B200)</f>
        <v/>
      </c>
      <c r="C197" s="283" t="str">
        <f>IF('Statement of Marks'!C200="","",'Statement of Marks'!C200)</f>
        <v/>
      </c>
      <c r="D197" s="430" t="str">
        <f>IF('Statement of Marks'!D200="","",'Statement of Marks'!D200)</f>
        <v/>
      </c>
      <c r="E197" s="431" t="str">
        <f>IF('Statement of Marks'!E200="","",'Statement of Marks'!E200)</f>
        <v/>
      </c>
      <c r="F197" s="431" t="str">
        <f>IF('Statement of Marks'!F200="","",'Statement of Marks'!F200)</f>
        <v/>
      </c>
      <c r="G197" s="431" t="str">
        <f>IF('Statement of Marks'!G200="","",'Statement of Marks'!G200)</f>
        <v/>
      </c>
      <c r="H197" s="432" t="str">
        <f>IF(B197="","",IF('Statement of Marks'!GY200="","",'Statement of Marks'!GY200))</f>
        <v/>
      </c>
      <c r="I197" s="286" t="str">
        <f>IF(B197="","",IF('Statement of Marks'!HB200="","",'Statement of Marks'!HB200))</f>
        <v/>
      </c>
      <c r="J197" s="433" t="str">
        <f>IF(B197="","",IF('Statement of Marks'!HC200="","",'Statement of Marks'!HC200))</f>
        <v/>
      </c>
      <c r="K197" s="295" t="str">
        <f>IF(B197="","",'Statement of Marks'!FJ200)</f>
        <v/>
      </c>
      <c r="L197" s="295" t="str">
        <f>IF(B197="","",'Statement of Marks'!FM200)</f>
        <v/>
      </c>
      <c r="M197" s="295" t="str">
        <f>IF(B197="","",'Statement of Marks'!FP200)</f>
        <v/>
      </c>
      <c r="N197" s="295" t="str">
        <f>IF(B197="","",'Statement of Marks'!FW200)</f>
        <v/>
      </c>
      <c r="O197" s="295" t="str">
        <f>IF(B197="","",'Statement of Marks'!GD200)</f>
        <v/>
      </c>
      <c r="P197" s="295" t="str">
        <f>IF(B197="","",'Statement of Marks'!GK200)</f>
        <v/>
      </c>
      <c r="Q197" s="295" t="str">
        <f>IF(B197="","",'Statement of Marks'!GR200)</f>
        <v/>
      </c>
      <c r="R197" s="295" t="str">
        <f>IF(B197="","",'Statement of Marks'!FF200)</f>
        <v/>
      </c>
      <c r="S197" s="434" t="str">
        <f>IFERROR(IF(B197="","",CONCATENATE(IF(AND('Marks Entry'!U200="A"),'Marks Entry'!$U$2,IF(AND('Marks Entry'!U200="B"),'Marks Entry'!$Y$2,IF(AND('Marks Entry'!U200="C"),'Marks Entry'!$AA$2,""))),", ",IF(AND('Marks Entry'!AC200="A"),'Marks Entry'!$AC$2,IF(AND('Marks Entry'!AC200="B"),'Marks Entry'!$AG$2,IF(AND('Marks Entry'!AC200="C"),'Marks Entry'!$AI$2,""))),", ",IF(AND('Marks Entry'!AK200="A"),'Marks Entry'!$AK$2,IF(AND('Marks Entry'!AK200="B"),'Marks Entry'!$AO$2,IF(AND('Marks Entry'!AK200="C"),'Marks Entry'!$AQ$2,""))),", ",IF(AND('Statement of Marks'!DD200=""),"",IF(AND('Statement of Marks'!DD200="A"),'Marks Entry'!$AS$2,IF(AND('Statement of Marks'!DD200="B"),'Marks Entry'!$AW$2,IF(AND('Statement of Marks'!DD200="C"),'Marks Entry'!$AY$2,"")))))),"")</f>
        <v/>
      </c>
      <c r="T197" s="435" t="str">
        <f>IF(COUNTIF(K197:R197,"F")&gt;0,"",CONCATENATE('Statement of Marks'!GU200,'Statement of Marks'!GW200))</f>
        <v xml:space="preserve">           </v>
      </c>
      <c r="BG197" s="17">
        <f>IFERROR(VLOOKUP(B197,'Statement of Marks'!$B$8:'Statement of Marks'!$HI$207,41,0),"")</f>
        <v>15</v>
      </c>
      <c r="BH197" s="17" t="str">
        <f>IFERROR(VLOOKUP(B197,'Statement of Marks'!$B$8:'Statement of Marks'!$HI$207,66,0),"")</f>
        <v/>
      </c>
      <c r="BI197" s="17">
        <f>IFERROR(VLOOKUP(B197,'Statement of Marks'!$B$8:'Statement of Marks'!$HI$207,91,0),"")</f>
        <v>60</v>
      </c>
      <c r="BJ197" s="17" t="str">
        <f>IFERROR(VLOOKUP(B197,'Statement of Marks'!$B$8:'Statement of Marks'!$HI$207,117,0),"")</f>
        <v/>
      </c>
    </row>
    <row r="198" spans="1:62" ht="24.95" customHeight="1">
      <c r="A198" s="283">
        <f>IF('Statement of Marks'!A201="","",'Statement of Marks'!A201)</f>
        <v>194</v>
      </c>
      <c r="B198" s="283" t="str">
        <f>IF('Statement of Marks'!B201="","",'Statement of Marks'!B201)</f>
        <v/>
      </c>
      <c r="C198" s="283" t="str">
        <f>IF('Statement of Marks'!C201="","",'Statement of Marks'!C201)</f>
        <v/>
      </c>
      <c r="D198" s="430" t="str">
        <f>IF('Statement of Marks'!D201="","",'Statement of Marks'!D201)</f>
        <v/>
      </c>
      <c r="E198" s="431" t="str">
        <f>IF('Statement of Marks'!E201="","",'Statement of Marks'!E201)</f>
        <v/>
      </c>
      <c r="F198" s="431" t="str">
        <f>IF('Statement of Marks'!F201="","",'Statement of Marks'!F201)</f>
        <v/>
      </c>
      <c r="G198" s="431" t="str">
        <f>IF('Statement of Marks'!G201="","",'Statement of Marks'!G201)</f>
        <v/>
      </c>
      <c r="H198" s="432" t="str">
        <f>IF(B198="","",IF('Statement of Marks'!GY201="","",'Statement of Marks'!GY201))</f>
        <v/>
      </c>
      <c r="I198" s="286" t="str">
        <f>IF(B198="","",IF('Statement of Marks'!HB201="","",'Statement of Marks'!HB201))</f>
        <v/>
      </c>
      <c r="J198" s="433" t="str">
        <f>IF(B198="","",IF('Statement of Marks'!HC201="","",'Statement of Marks'!HC201))</f>
        <v/>
      </c>
      <c r="K198" s="295" t="str">
        <f>IF(B198="","",'Statement of Marks'!FJ201)</f>
        <v/>
      </c>
      <c r="L198" s="295" t="str">
        <f>IF(B198="","",'Statement of Marks'!FM201)</f>
        <v/>
      </c>
      <c r="M198" s="295" t="str">
        <f>IF(B198="","",'Statement of Marks'!FP201)</f>
        <v/>
      </c>
      <c r="N198" s="295" t="str">
        <f>IF(B198="","",'Statement of Marks'!FW201)</f>
        <v/>
      </c>
      <c r="O198" s="295" t="str">
        <f>IF(B198="","",'Statement of Marks'!GD201)</f>
        <v/>
      </c>
      <c r="P198" s="295" t="str">
        <f>IF(B198="","",'Statement of Marks'!GK201)</f>
        <v/>
      </c>
      <c r="Q198" s="295" t="str">
        <f>IF(B198="","",'Statement of Marks'!GR201)</f>
        <v/>
      </c>
      <c r="R198" s="295" t="str">
        <f>IF(B198="","",'Statement of Marks'!FF201)</f>
        <v/>
      </c>
      <c r="S198" s="434" t="str">
        <f>IFERROR(IF(B198="","",CONCATENATE(IF(AND('Marks Entry'!U201="A"),'Marks Entry'!$U$2,IF(AND('Marks Entry'!U201="B"),'Marks Entry'!$Y$2,IF(AND('Marks Entry'!U201="C"),'Marks Entry'!$AA$2,""))),", ",IF(AND('Marks Entry'!AC201="A"),'Marks Entry'!$AC$2,IF(AND('Marks Entry'!AC201="B"),'Marks Entry'!$AG$2,IF(AND('Marks Entry'!AC201="C"),'Marks Entry'!$AI$2,""))),", ",IF(AND('Marks Entry'!AK201="A"),'Marks Entry'!$AK$2,IF(AND('Marks Entry'!AK201="B"),'Marks Entry'!$AO$2,IF(AND('Marks Entry'!AK201="C"),'Marks Entry'!$AQ$2,""))),", ",IF(AND('Statement of Marks'!DD201=""),"",IF(AND('Statement of Marks'!DD201="A"),'Marks Entry'!$AS$2,IF(AND('Statement of Marks'!DD201="B"),'Marks Entry'!$AW$2,IF(AND('Statement of Marks'!DD201="C"),'Marks Entry'!$AY$2,"")))))),"")</f>
        <v/>
      </c>
      <c r="T198" s="435" t="str">
        <f>IF(COUNTIF(K198:R198,"F")&gt;0,"",CONCATENATE('Statement of Marks'!GU201,'Statement of Marks'!GW201))</f>
        <v xml:space="preserve">           </v>
      </c>
      <c r="BG198" s="17">
        <f>IFERROR(VLOOKUP(B198,'Statement of Marks'!$B$8:'Statement of Marks'!$HI$207,41,0),"")</f>
        <v>15</v>
      </c>
      <c r="BH198" s="17" t="str">
        <f>IFERROR(VLOOKUP(B198,'Statement of Marks'!$B$8:'Statement of Marks'!$HI$207,66,0),"")</f>
        <v/>
      </c>
      <c r="BI198" s="17">
        <f>IFERROR(VLOOKUP(B198,'Statement of Marks'!$B$8:'Statement of Marks'!$HI$207,91,0),"")</f>
        <v>60</v>
      </c>
      <c r="BJ198" s="17" t="str">
        <f>IFERROR(VLOOKUP(B198,'Statement of Marks'!$B$8:'Statement of Marks'!$HI$207,117,0),"")</f>
        <v/>
      </c>
    </row>
    <row r="199" spans="1:62" ht="24.95" customHeight="1">
      <c r="A199" s="283">
        <f>IF('Statement of Marks'!A202="","",'Statement of Marks'!A202)</f>
        <v>195</v>
      </c>
      <c r="B199" s="283" t="str">
        <f>IF('Statement of Marks'!B202="","",'Statement of Marks'!B202)</f>
        <v/>
      </c>
      <c r="C199" s="283" t="str">
        <f>IF('Statement of Marks'!C202="","",'Statement of Marks'!C202)</f>
        <v/>
      </c>
      <c r="D199" s="430" t="str">
        <f>IF('Statement of Marks'!D202="","",'Statement of Marks'!D202)</f>
        <v/>
      </c>
      <c r="E199" s="431" t="str">
        <f>IF('Statement of Marks'!E202="","",'Statement of Marks'!E202)</f>
        <v/>
      </c>
      <c r="F199" s="431" t="str">
        <f>IF('Statement of Marks'!F202="","",'Statement of Marks'!F202)</f>
        <v/>
      </c>
      <c r="G199" s="431" t="str">
        <f>IF('Statement of Marks'!G202="","",'Statement of Marks'!G202)</f>
        <v/>
      </c>
      <c r="H199" s="432" t="str">
        <f>IF(B199="","",IF('Statement of Marks'!GY202="","",'Statement of Marks'!GY202))</f>
        <v/>
      </c>
      <c r="I199" s="286" t="str">
        <f>IF(B199="","",IF('Statement of Marks'!HB202="","",'Statement of Marks'!HB202))</f>
        <v/>
      </c>
      <c r="J199" s="433" t="str">
        <f>IF(B199="","",IF('Statement of Marks'!HC202="","",'Statement of Marks'!HC202))</f>
        <v/>
      </c>
      <c r="K199" s="295" t="str">
        <f>IF(B199="","",'Statement of Marks'!FJ202)</f>
        <v/>
      </c>
      <c r="L199" s="295" t="str">
        <f>IF(B199="","",'Statement of Marks'!FM202)</f>
        <v/>
      </c>
      <c r="M199" s="295" t="str">
        <f>IF(B199="","",'Statement of Marks'!FP202)</f>
        <v/>
      </c>
      <c r="N199" s="295" t="str">
        <f>IF(B199="","",'Statement of Marks'!FW202)</f>
        <v/>
      </c>
      <c r="O199" s="295" t="str">
        <f>IF(B199="","",'Statement of Marks'!GD202)</f>
        <v/>
      </c>
      <c r="P199" s="295" t="str">
        <f>IF(B199="","",'Statement of Marks'!GK202)</f>
        <v/>
      </c>
      <c r="Q199" s="295" t="str">
        <f>IF(B199="","",'Statement of Marks'!GR202)</f>
        <v/>
      </c>
      <c r="R199" s="295" t="str">
        <f>IF(B199="","",'Statement of Marks'!FF202)</f>
        <v/>
      </c>
      <c r="S199" s="434" t="str">
        <f>IFERROR(IF(B199="","",CONCATENATE(IF(AND('Marks Entry'!U202="A"),'Marks Entry'!$U$2,IF(AND('Marks Entry'!U202="B"),'Marks Entry'!$Y$2,IF(AND('Marks Entry'!U202="C"),'Marks Entry'!$AA$2,""))),", ",IF(AND('Marks Entry'!AC202="A"),'Marks Entry'!$AC$2,IF(AND('Marks Entry'!AC202="B"),'Marks Entry'!$AG$2,IF(AND('Marks Entry'!AC202="C"),'Marks Entry'!$AI$2,""))),", ",IF(AND('Marks Entry'!AK202="A"),'Marks Entry'!$AK$2,IF(AND('Marks Entry'!AK202="B"),'Marks Entry'!$AO$2,IF(AND('Marks Entry'!AK202="C"),'Marks Entry'!$AQ$2,""))),", ",IF(AND('Statement of Marks'!DD202=""),"",IF(AND('Statement of Marks'!DD202="A"),'Marks Entry'!$AS$2,IF(AND('Statement of Marks'!DD202="B"),'Marks Entry'!$AW$2,IF(AND('Statement of Marks'!DD202="C"),'Marks Entry'!$AY$2,"")))))),"")</f>
        <v/>
      </c>
      <c r="T199" s="435" t="str">
        <f>IF(COUNTIF(K199:R199,"F")&gt;0,"",CONCATENATE('Statement of Marks'!GU202,'Statement of Marks'!GW202))</f>
        <v xml:space="preserve">           </v>
      </c>
      <c r="BG199" s="17">
        <f>IFERROR(VLOOKUP(B199,'Statement of Marks'!$B$8:'Statement of Marks'!$HI$207,41,0),"")</f>
        <v>15</v>
      </c>
      <c r="BH199" s="17" t="str">
        <f>IFERROR(VLOOKUP(B199,'Statement of Marks'!$B$8:'Statement of Marks'!$HI$207,66,0),"")</f>
        <v/>
      </c>
      <c r="BI199" s="17">
        <f>IFERROR(VLOOKUP(B199,'Statement of Marks'!$B$8:'Statement of Marks'!$HI$207,91,0),"")</f>
        <v>60</v>
      </c>
      <c r="BJ199" s="17" t="str">
        <f>IFERROR(VLOOKUP(B199,'Statement of Marks'!$B$8:'Statement of Marks'!$HI$207,117,0),"")</f>
        <v/>
      </c>
    </row>
    <row r="200" spans="1:62" ht="24.95" customHeight="1">
      <c r="A200" s="283">
        <f>IF('Statement of Marks'!A203="","",'Statement of Marks'!A203)</f>
        <v>196</v>
      </c>
      <c r="B200" s="283" t="str">
        <f>IF('Statement of Marks'!B203="","",'Statement of Marks'!B203)</f>
        <v/>
      </c>
      <c r="C200" s="283" t="str">
        <f>IF('Statement of Marks'!C203="","",'Statement of Marks'!C203)</f>
        <v/>
      </c>
      <c r="D200" s="430" t="str">
        <f>IF('Statement of Marks'!D203="","",'Statement of Marks'!D203)</f>
        <v/>
      </c>
      <c r="E200" s="431" t="str">
        <f>IF('Statement of Marks'!E203="","",'Statement of Marks'!E203)</f>
        <v/>
      </c>
      <c r="F200" s="431" t="str">
        <f>IF('Statement of Marks'!F203="","",'Statement of Marks'!F203)</f>
        <v/>
      </c>
      <c r="G200" s="431" t="str">
        <f>IF('Statement of Marks'!G203="","",'Statement of Marks'!G203)</f>
        <v/>
      </c>
      <c r="H200" s="432" t="str">
        <f>IF(B200="","",IF('Statement of Marks'!GY203="","",'Statement of Marks'!GY203))</f>
        <v/>
      </c>
      <c r="I200" s="286" t="str">
        <f>IF(B200="","",IF('Statement of Marks'!HB203="","",'Statement of Marks'!HB203))</f>
        <v/>
      </c>
      <c r="J200" s="433" t="str">
        <f>IF(B200="","",IF('Statement of Marks'!HC203="","",'Statement of Marks'!HC203))</f>
        <v/>
      </c>
      <c r="K200" s="295" t="str">
        <f>IF(B200="","",'Statement of Marks'!FJ203)</f>
        <v/>
      </c>
      <c r="L200" s="295" t="str">
        <f>IF(B200="","",'Statement of Marks'!FM203)</f>
        <v/>
      </c>
      <c r="M200" s="295" t="str">
        <f>IF(B200="","",'Statement of Marks'!FP203)</f>
        <v/>
      </c>
      <c r="N200" s="295" t="str">
        <f>IF(B200="","",'Statement of Marks'!FW203)</f>
        <v/>
      </c>
      <c r="O200" s="295" t="str">
        <f>IF(B200="","",'Statement of Marks'!GD203)</f>
        <v/>
      </c>
      <c r="P200" s="295" t="str">
        <f>IF(B200="","",'Statement of Marks'!GK203)</f>
        <v/>
      </c>
      <c r="Q200" s="295" t="str">
        <f>IF(B200="","",'Statement of Marks'!GR203)</f>
        <v/>
      </c>
      <c r="R200" s="295" t="str">
        <f>IF(B200="","",'Statement of Marks'!FF203)</f>
        <v/>
      </c>
      <c r="S200" s="434" t="str">
        <f>IFERROR(IF(B200="","",CONCATENATE(IF(AND('Marks Entry'!U203="A"),'Marks Entry'!$U$2,IF(AND('Marks Entry'!U203="B"),'Marks Entry'!$Y$2,IF(AND('Marks Entry'!U203="C"),'Marks Entry'!$AA$2,""))),", ",IF(AND('Marks Entry'!AC203="A"),'Marks Entry'!$AC$2,IF(AND('Marks Entry'!AC203="B"),'Marks Entry'!$AG$2,IF(AND('Marks Entry'!AC203="C"),'Marks Entry'!$AI$2,""))),", ",IF(AND('Marks Entry'!AK203="A"),'Marks Entry'!$AK$2,IF(AND('Marks Entry'!AK203="B"),'Marks Entry'!$AO$2,IF(AND('Marks Entry'!AK203="C"),'Marks Entry'!$AQ$2,""))),", ",IF(AND('Statement of Marks'!DD203=""),"",IF(AND('Statement of Marks'!DD203="A"),'Marks Entry'!$AS$2,IF(AND('Statement of Marks'!DD203="B"),'Marks Entry'!$AW$2,IF(AND('Statement of Marks'!DD203="C"),'Marks Entry'!$AY$2,"")))))),"")</f>
        <v/>
      </c>
      <c r="T200" s="435" t="str">
        <f>IF(COUNTIF(K200:R200,"F")&gt;0,"",CONCATENATE('Statement of Marks'!GU203,'Statement of Marks'!GW203))</f>
        <v xml:space="preserve">           </v>
      </c>
      <c r="BG200" s="17">
        <f>IFERROR(VLOOKUP(B200,'Statement of Marks'!$B$8:'Statement of Marks'!$HI$207,41,0),"")</f>
        <v>15</v>
      </c>
      <c r="BH200" s="17" t="str">
        <f>IFERROR(VLOOKUP(B200,'Statement of Marks'!$B$8:'Statement of Marks'!$HI$207,66,0),"")</f>
        <v/>
      </c>
      <c r="BI200" s="17">
        <f>IFERROR(VLOOKUP(B200,'Statement of Marks'!$B$8:'Statement of Marks'!$HI$207,91,0),"")</f>
        <v>60</v>
      </c>
      <c r="BJ200" s="17" t="str">
        <f>IFERROR(VLOOKUP(B200,'Statement of Marks'!$B$8:'Statement of Marks'!$HI$207,117,0),"")</f>
        <v/>
      </c>
    </row>
    <row r="201" spans="1:62" ht="24.95" customHeight="1">
      <c r="A201" s="283">
        <f>IF('Statement of Marks'!A204="","",'Statement of Marks'!A204)</f>
        <v>197</v>
      </c>
      <c r="B201" s="283" t="str">
        <f>IF('Statement of Marks'!B204="","",'Statement of Marks'!B204)</f>
        <v/>
      </c>
      <c r="C201" s="283" t="str">
        <f>IF('Statement of Marks'!C204="","",'Statement of Marks'!C204)</f>
        <v/>
      </c>
      <c r="D201" s="430" t="str">
        <f>IF('Statement of Marks'!D204="","",'Statement of Marks'!D204)</f>
        <v/>
      </c>
      <c r="E201" s="431" t="str">
        <f>IF('Statement of Marks'!E204="","",'Statement of Marks'!E204)</f>
        <v/>
      </c>
      <c r="F201" s="431" t="str">
        <f>IF('Statement of Marks'!F204="","",'Statement of Marks'!F204)</f>
        <v/>
      </c>
      <c r="G201" s="431" t="str">
        <f>IF('Statement of Marks'!G204="","",'Statement of Marks'!G204)</f>
        <v/>
      </c>
      <c r="H201" s="432" t="str">
        <f>IF(B201="","",IF('Statement of Marks'!GY204="","",'Statement of Marks'!GY204))</f>
        <v/>
      </c>
      <c r="I201" s="286" t="str">
        <f>IF(B201="","",IF('Statement of Marks'!HB204="","",'Statement of Marks'!HB204))</f>
        <v/>
      </c>
      <c r="J201" s="433" t="str">
        <f>IF(B201="","",IF('Statement of Marks'!HC204="","",'Statement of Marks'!HC204))</f>
        <v/>
      </c>
      <c r="K201" s="295" t="str">
        <f>IF(B201="","",'Statement of Marks'!FJ204)</f>
        <v/>
      </c>
      <c r="L201" s="295" t="str">
        <f>IF(B201="","",'Statement of Marks'!FM204)</f>
        <v/>
      </c>
      <c r="M201" s="295" t="str">
        <f>IF(B201="","",'Statement of Marks'!FP204)</f>
        <v/>
      </c>
      <c r="N201" s="295" t="str">
        <f>IF(B201="","",'Statement of Marks'!FW204)</f>
        <v/>
      </c>
      <c r="O201" s="295" t="str">
        <f>IF(B201="","",'Statement of Marks'!GD204)</f>
        <v/>
      </c>
      <c r="P201" s="295" t="str">
        <f>IF(B201="","",'Statement of Marks'!GK204)</f>
        <v/>
      </c>
      <c r="Q201" s="295" t="str">
        <f>IF(B201="","",'Statement of Marks'!GR204)</f>
        <v/>
      </c>
      <c r="R201" s="295" t="str">
        <f>IF(B201="","",'Statement of Marks'!FF204)</f>
        <v/>
      </c>
      <c r="S201" s="434" t="str">
        <f>IFERROR(IF(B201="","",CONCATENATE(IF(AND('Marks Entry'!U204="A"),'Marks Entry'!$U$2,IF(AND('Marks Entry'!U204="B"),'Marks Entry'!$Y$2,IF(AND('Marks Entry'!U204="C"),'Marks Entry'!$AA$2,""))),", ",IF(AND('Marks Entry'!AC204="A"),'Marks Entry'!$AC$2,IF(AND('Marks Entry'!AC204="B"),'Marks Entry'!$AG$2,IF(AND('Marks Entry'!AC204="C"),'Marks Entry'!$AI$2,""))),", ",IF(AND('Marks Entry'!AK204="A"),'Marks Entry'!$AK$2,IF(AND('Marks Entry'!AK204="B"),'Marks Entry'!$AO$2,IF(AND('Marks Entry'!AK204="C"),'Marks Entry'!$AQ$2,""))),", ",IF(AND('Statement of Marks'!DD204=""),"",IF(AND('Statement of Marks'!DD204="A"),'Marks Entry'!$AS$2,IF(AND('Statement of Marks'!DD204="B"),'Marks Entry'!$AW$2,IF(AND('Statement of Marks'!DD204="C"),'Marks Entry'!$AY$2,"")))))),"")</f>
        <v/>
      </c>
      <c r="T201" s="435" t="str">
        <f>IF(COUNTIF(K201:R201,"F")&gt;0,"",CONCATENATE('Statement of Marks'!GU204,'Statement of Marks'!GW204))</f>
        <v xml:space="preserve">           </v>
      </c>
      <c r="BG201" s="17">
        <f>IFERROR(VLOOKUP(B201,'Statement of Marks'!$B$8:'Statement of Marks'!$HI$207,41,0),"")</f>
        <v>15</v>
      </c>
      <c r="BH201" s="17" t="str">
        <f>IFERROR(VLOOKUP(B201,'Statement of Marks'!$B$8:'Statement of Marks'!$HI$207,66,0),"")</f>
        <v/>
      </c>
      <c r="BI201" s="17">
        <f>IFERROR(VLOOKUP(B201,'Statement of Marks'!$B$8:'Statement of Marks'!$HI$207,91,0),"")</f>
        <v>60</v>
      </c>
      <c r="BJ201" s="17" t="str">
        <f>IFERROR(VLOOKUP(B201,'Statement of Marks'!$B$8:'Statement of Marks'!$HI$207,117,0),"")</f>
        <v/>
      </c>
    </row>
    <row r="202" spans="1:62" ht="24.95" customHeight="1">
      <c r="A202" s="283">
        <f>IF('Statement of Marks'!A205="","",'Statement of Marks'!A205)</f>
        <v>198</v>
      </c>
      <c r="B202" s="283" t="str">
        <f>IF('Statement of Marks'!B205="","",'Statement of Marks'!B205)</f>
        <v/>
      </c>
      <c r="C202" s="283" t="str">
        <f>IF('Statement of Marks'!C205="","",'Statement of Marks'!C205)</f>
        <v/>
      </c>
      <c r="D202" s="430" t="str">
        <f>IF('Statement of Marks'!D205="","",'Statement of Marks'!D205)</f>
        <v/>
      </c>
      <c r="E202" s="431" t="str">
        <f>IF('Statement of Marks'!E205="","",'Statement of Marks'!E205)</f>
        <v/>
      </c>
      <c r="F202" s="431" t="str">
        <f>IF('Statement of Marks'!F205="","",'Statement of Marks'!F205)</f>
        <v/>
      </c>
      <c r="G202" s="431" t="str">
        <f>IF('Statement of Marks'!G205="","",'Statement of Marks'!G205)</f>
        <v/>
      </c>
      <c r="H202" s="432" t="str">
        <f>IF(B202="","",IF('Statement of Marks'!GY205="","",'Statement of Marks'!GY205))</f>
        <v/>
      </c>
      <c r="I202" s="286" t="str">
        <f>IF(B202="","",IF('Statement of Marks'!HB205="","",'Statement of Marks'!HB205))</f>
        <v/>
      </c>
      <c r="J202" s="433" t="str">
        <f>IF(B202="","",IF('Statement of Marks'!HC205="","",'Statement of Marks'!HC205))</f>
        <v/>
      </c>
      <c r="K202" s="295" t="str">
        <f>IF(B202="","",'Statement of Marks'!FJ205)</f>
        <v/>
      </c>
      <c r="L202" s="295" t="str">
        <f>IF(B202="","",'Statement of Marks'!FM205)</f>
        <v/>
      </c>
      <c r="M202" s="295" t="str">
        <f>IF(B202="","",'Statement of Marks'!FP205)</f>
        <v/>
      </c>
      <c r="N202" s="295" t="str">
        <f>IF(B202="","",'Statement of Marks'!FW205)</f>
        <v/>
      </c>
      <c r="O202" s="295" t="str">
        <f>IF(B202="","",'Statement of Marks'!GD205)</f>
        <v/>
      </c>
      <c r="P202" s="295" t="str">
        <f>IF(B202="","",'Statement of Marks'!GK205)</f>
        <v/>
      </c>
      <c r="Q202" s="295" t="str">
        <f>IF(B202="","",'Statement of Marks'!GR205)</f>
        <v/>
      </c>
      <c r="R202" s="295" t="str">
        <f>IF(B202="","",'Statement of Marks'!FF205)</f>
        <v/>
      </c>
      <c r="S202" s="434" t="str">
        <f>IFERROR(IF(B202="","",CONCATENATE(IF(AND('Marks Entry'!U205="A"),'Marks Entry'!$U$2,IF(AND('Marks Entry'!U205="B"),'Marks Entry'!$Y$2,IF(AND('Marks Entry'!U205="C"),'Marks Entry'!$AA$2,""))),", ",IF(AND('Marks Entry'!AC205="A"),'Marks Entry'!$AC$2,IF(AND('Marks Entry'!AC205="B"),'Marks Entry'!$AG$2,IF(AND('Marks Entry'!AC205="C"),'Marks Entry'!$AI$2,""))),", ",IF(AND('Marks Entry'!AK205="A"),'Marks Entry'!$AK$2,IF(AND('Marks Entry'!AK205="B"),'Marks Entry'!$AO$2,IF(AND('Marks Entry'!AK205="C"),'Marks Entry'!$AQ$2,""))),", ",IF(AND('Statement of Marks'!DD205=""),"",IF(AND('Statement of Marks'!DD205="A"),'Marks Entry'!$AS$2,IF(AND('Statement of Marks'!DD205="B"),'Marks Entry'!$AW$2,IF(AND('Statement of Marks'!DD205="C"),'Marks Entry'!$AY$2,"")))))),"")</f>
        <v/>
      </c>
      <c r="T202" s="435" t="str">
        <f>IF(COUNTIF(K202:R202,"F")&gt;0,"",CONCATENATE('Statement of Marks'!GU205,'Statement of Marks'!GW205))</f>
        <v xml:space="preserve">           </v>
      </c>
      <c r="BG202" s="17">
        <f>IFERROR(VLOOKUP(B202,'Statement of Marks'!$B$8:'Statement of Marks'!$HI$207,41,0),"")</f>
        <v>15</v>
      </c>
      <c r="BH202" s="17" t="str">
        <f>IFERROR(VLOOKUP(B202,'Statement of Marks'!$B$8:'Statement of Marks'!$HI$207,66,0),"")</f>
        <v/>
      </c>
      <c r="BI202" s="17">
        <f>IFERROR(VLOOKUP(B202,'Statement of Marks'!$B$8:'Statement of Marks'!$HI$207,91,0),"")</f>
        <v>60</v>
      </c>
      <c r="BJ202" s="17" t="str">
        <f>IFERROR(VLOOKUP(B202,'Statement of Marks'!$B$8:'Statement of Marks'!$HI$207,117,0),"")</f>
        <v/>
      </c>
    </row>
    <row r="203" spans="1:62" ht="24.95" customHeight="1">
      <c r="A203" s="283">
        <f>IF('Statement of Marks'!A206="","",'Statement of Marks'!A206)</f>
        <v>199</v>
      </c>
      <c r="B203" s="283" t="str">
        <f>IF('Statement of Marks'!B206="","",'Statement of Marks'!B206)</f>
        <v/>
      </c>
      <c r="C203" s="283" t="str">
        <f>IF('Statement of Marks'!C206="","",'Statement of Marks'!C206)</f>
        <v/>
      </c>
      <c r="D203" s="430" t="str">
        <f>IF('Statement of Marks'!D206="","",'Statement of Marks'!D206)</f>
        <v/>
      </c>
      <c r="E203" s="431" t="str">
        <f>IF('Statement of Marks'!E206="","",'Statement of Marks'!E206)</f>
        <v/>
      </c>
      <c r="F203" s="431" t="str">
        <f>IF('Statement of Marks'!F206="","",'Statement of Marks'!F206)</f>
        <v/>
      </c>
      <c r="G203" s="431" t="str">
        <f>IF('Statement of Marks'!G206="","",'Statement of Marks'!G206)</f>
        <v/>
      </c>
      <c r="H203" s="432" t="str">
        <f>IF(B203="","",IF('Statement of Marks'!GY206="","",'Statement of Marks'!GY206))</f>
        <v/>
      </c>
      <c r="I203" s="286" t="str">
        <f>IF(B203="","",IF('Statement of Marks'!HB206="","",'Statement of Marks'!HB206))</f>
        <v/>
      </c>
      <c r="J203" s="433" t="str">
        <f>IF(B203="","",IF('Statement of Marks'!HC206="","",'Statement of Marks'!HC206))</f>
        <v/>
      </c>
      <c r="K203" s="295" t="str">
        <f>IF(B203="","",'Statement of Marks'!FJ206)</f>
        <v/>
      </c>
      <c r="L203" s="295" t="str">
        <f>IF(B203="","",'Statement of Marks'!FM206)</f>
        <v/>
      </c>
      <c r="M203" s="295" t="str">
        <f>IF(B203="","",'Statement of Marks'!FP206)</f>
        <v/>
      </c>
      <c r="N203" s="295" t="str">
        <f>IF(B203="","",'Statement of Marks'!FW206)</f>
        <v/>
      </c>
      <c r="O203" s="295" t="str">
        <f>IF(B203="","",'Statement of Marks'!GD206)</f>
        <v/>
      </c>
      <c r="P203" s="295" t="str">
        <f>IF(B203="","",'Statement of Marks'!GK206)</f>
        <v/>
      </c>
      <c r="Q203" s="295" t="str">
        <f>IF(B203="","",'Statement of Marks'!GR206)</f>
        <v/>
      </c>
      <c r="R203" s="295" t="str">
        <f>IF(B203="","",'Statement of Marks'!FF206)</f>
        <v/>
      </c>
      <c r="S203" s="434" t="str">
        <f>IFERROR(IF(B203="","",CONCATENATE(IF(AND('Marks Entry'!U206="A"),'Marks Entry'!$U$2,IF(AND('Marks Entry'!U206="B"),'Marks Entry'!$Y$2,IF(AND('Marks Entry'!U206="C"),'Marks Entry'!$AA$2,""))),", ",IF(AND('Marks Entry'!AC206="A"),'Marks Entry'!$AC$2,IF(AND('Marks Entry'!AC206="B"),'Marks Entry'!$AG$2,IF(AND('Marks Entry'!AC206="C"),'Marks Entry'!$AI$2,""))),", ",IF(AND('Marks Entry'!AK206="A"),'Marks Entry'!$AK$2,IF(AND('Marks Entry'!AK206="B"),'Marks Entry'!$AO$2,IF(AND('Marks Entry'!AK206="C"),'Marks Entry'!$AQ$2,""))),", ",IF(AND('Statement of Marks'!DD206=""),"",IF(AND('Statement of Marks'!DD206="A"),'Marks Entry'!$AS$2,IF(AND('Statement of Marks'!DD206="B"),'Marks Entry'!$AW$2,IF(AND('Statement of Marks'!DD206="C"),'Marks Entry'!$AY$2,"")))))),"")</f>
        <v/>
      </c>
      <c r="T203" s="435" t="str">
        <f>IF(COUNTIF(K203:R203,"F")&gt;0,"",CONCATENATE('Statement of Marks'!GU206,'Statement of Marks'!GW206))</f>
        <v xml:space="preserve">           </v>
      </c>
      <c r="BG203" s="17">
        <f>IFERROR(VLOOKUP(B203,'Statement of Marks'!$B$8:'Statement of Marks'!$HI$207,41,0),"")</f>
        <v>15</v>
      </c>
      <c r="BH203" s="17" t="str">
        <f>IFERROR(VLOOKUP(B203,'Statement of Marks'!$B$8:'Statement of Marks'!$HI$207,66,0),"")</f>
        <v/>
      </c>
      <c r="BI203" s="17">
        <f>IFERROR(VLOOKUP(B203,'Statement of Marks'!$B$8:'Statement of Marks'!$HI$207,91,0),"")</f>
        <v>60</v>
      </c>
      <c r="BJ203" s="17" t="str">
        <f>IFERROR(VLOOKUP(B203,'Statement of Marks'!$B$8:'Statement of Marks'!$HI$207,117,0),"")</f>
        <v/>
      </c>
    </row>
    <row r="204" spans="1:62" ht="24.95" customHeight="1" thickBot="1">
      <c r="A204" s="701">
        <f>IF('Statement of Marks'!A207="","",'Statement of Marks'!A207)</f>
        <v>200</v>
      </c>
      <c r="B204" s="283" t="str">
        <f>IF('Statement of Marks'!B207="","",'Statement of Marks'!B207)</f>
        <v/>
      </c>
      <c r="C204" s="283" t="str">
        <f>IF('Statement of Marks'!C207="","",'Statement of Marks'!C207)</f>
        <v/>
      </c>
      <c r="D204" s="430" t="str">
        <f>IF('Statement of Marks'!D207="","",'Statement of Marks'!D207)</f>
        <v/>
      </c>
      <c r="E204" s="431" t="str">
        <f>IF('Statement of Marks'!E207="","",'Statement of Marks'!E207)</f>
        <v/>
      </c>
      <c r="F204" s="431" t="str">
        <f>IF('Statement of Marks'!F207="","",'Statement of Marks'!F207)</f>
        <v/>
      </c>
      <c r="G204" s="431" t="str">
        <f>IF('Statement of Marks'!G207="","",'Statement of Marks'!G207)</f>
        <v/>
      </c>
      <c r="H204" s="432" t="str">
        <f>IF(B204="","",IF('Statement of Marks'!GY207="","",'Statement of Marks'!GY207))</f>
        <v/>
      </c>
      <c r="I204" s="286" t="str">
        <f>IF(B204="","",IF('Statement of Marks'!HB207="","",'Statement of Marks'!HB207))</f>
        <v/>
      </c>
      <c r="J204" s="433" t="str">
        <f>IF(B204="","",IF('Statement of Marks'!HC207="","",'Statement of Marks'!HC207))</f>
        <v/>
      </c>
      <c r="K204" s="295" t="str">
        <f>IF(B204="","",'Statement of Marks'!FJ207)</f>
        <v/>
      </c>
      <c r="L204" s="295" t="str">
        <f>IF(B204="","",'Statement of Marks'!FM207)</f>
        <v/>
      </c>
      <c r="M204" s="295" t="str">
        <f>IF(B204="","",'Statement of Marks'!FP207)</f>
        <v/>
      </c>
      <c r="N204" s="295" t="str">
        <f>IF(B204="","",'Statement of Marks'!FW207)</f>
        <v/>
      </c>
      <c r="O204" s="295" t="str">
        <f>IF(B204="","",'Statement of Marks'!GD207)</f>
        <v/>
      </c>
      <c r="P204" s="295" t="str">
        <f>IF(B204="","",'Statement of Marks'!GK207)</f>
        <v/>
      </c>
      <c r="Q204" s="295" t="str">
        <f>IF(B204="","",'Statement of Marks'!GR207)</f>
        <v/>
      </c>
      <c r="R204" s="295" t="str">
        <f>IF(B204="","",'Statement of Marks'!FF207)</f>
        <v/>
      </c>
      <c r="S204" s="434" t="str">
        <f>IFERROR(IF(B204="","",CONCATENATE(IF(AND('Marks Entry'!U207="A"),'Marks Entry'!$U$2,IF(AND('Marks Entry'!U207="B"),'Marks Entry'!$Y$2,IF(AND('Marks Entry'!U207="C"),'Marks Entry'!$AA$2,""))),", ",IF(AND('Marks Entry'!AC207="A"),'Marks Entry'!$AC$2,IF(AND('Marks Entry'!AC207="B"),'Marks Entry'!$AG$2,IF(AND('Marks Entry'!AC207="C"),'Marks Entry'!$AI$2,""))),", ",IF(AND('Marks Entry'!AK207="A"),'Marks Entry'!$AK$2,IF(AND('Marks Entry'!AK207="B"),'Marks Entry'!$AO$2,IF(AND('Marks Entry'!AK207="C"),'Marks Entry'!$AQ$2,""))),", ",IF(AND('Statement of Marks'!DD207=""),"",IF(AND('Statement of Marks'!DD207="A"),'Marks Entry'!$AS$2,IF(AND('Statement of Marks'!DD207="B"),'Marks Entry'!$AW$2,IF(AND('Statement of Marks'!DD207="C"),'Marks Entry'!$AY$2,"")))))),"")</f>
        <v/>
      </c>
      <c r="T204" s="435" t="str">
        <f>IF(COUNTIF(K204:R204,"F")&gt;0,"",CONCATENATE('Statement of Marks'!GU207,'Statement of Marks'!GW207))</f>
        <v xml:space="preserve">           </v>
      </c>
      <c r="BG204" s="17">
        <f>IFERROR(VLOOKUP(B204,'Statement of Marks'!$B$8:'Statement of Marks'!$HI$207,41,0),"")</f>
        <v>15</v>
      </c>
      <c r="BH204" s="17" t="str">
        <f>IFERROR(VLOOKUP(B204,'Statement of Marks'!$B$8:'Statement of Marks'!$HI$207,66,0),"")</f>
        <v/>
      </c>
      <c r="BI204" s="17">
        <f>IFERROR(VLOOKUP(B204,'Statement of Marks'!$B$8:'Statement of Marks'!$HI$207,91,0),"")</f>
        <v>60</v>
      </c>
      <c r="BJ204" s="17" t="str">
        <f>IFERROR(VLOOKUP(B204,'Statement of Marks'!$B$8:'Statement of Marks'!$HI$207,117,0),"")</f>
        <v/>
      </c>
    </row>
    <row r="205" spans="1:62" ht="24" customHeight="1" thickTop="1" thickBot="1">
      <c r="A205" s="702"/>
      <c r="B205" s="1522" t="str">
        <f>IF('Master Sheet'!$D$11="Hindi","समग्र परिणाम","All Results")</f>
        <v>समग्र परिणाम</v>
      </c>
      <c r="C205" s="1523"/>
      <c r="D205" s="1523"/>
      <c r="E205" s="1523"/>
      <c r="F205" s="1524"/>
      <c r="G205" s="699"/>
      <c r="H205" s="1525" t="str">
        <f>IF('Master Sheet'!D11="Hindi","विषयवार परीक्षा परिणाम कक्षा -11th","Subject-wise Result Class 11th")</f>
        <v>विषयवार परीक्षा परिणाम कक्षा -11th</v>
      </c>
      <c r="I205" s="1526"/>
      <c r="J205" s="1526"/>
      <c r="K205" s="1526"/>
      <c r="L205" s="1526"/>
      <c r="M205" s="1526"/>
      <c r="N205" s="1526"/>
      <c r="O205" s="1526"/>
      <c r="P205" s="1526"/>
      <c r="Q205" s="1526"/>
      <c r="R205" s="1526"/>
      <c r="S205" s="1526"/>
      <c r="T205" s="1527"/>
      <c r="V205" s="700"/>
      <c r="BG205" s="17" t="str">
        <f>IFERROR(VLOOKUP(B205,'Statement of Marks'!$B$8:'Statement of Marks'!$HI$207,41,0),"")</f>
        <v/>
      </c>
      <c r="BH205" s="17" t="str">
        <f>IFERROR(VLOOKUP(B205,'Statement of Marks'!$B$8:'Statement of Marks'!$HI$207,66,0),"")</f>
        <v/>
      </c>
      <c r="BI205" s="17" t="str">
        <f>IFERROR(VLOOKUP(B205,'Statement of Marks'!$B$8:'Statement of Marks'!$HI$207,91,0),"")</f>
        <v/>
      </c>
      <c r="BJ205" s="17" t="str">
        <f>IFERROR(VLOOKUP(B205,'Statement of Marks'!$B$8:'Statement of Marks'!$HI$207,117,0),"")</f>
        <v/>
      </c>
    </row>
    <row r="206" spans="1:62" ht="21" customHeight="1" thickTop="1">
      <c r="A206" s="437"/>
      <c r="B206" s="1540" t="str">
        <f>IF('Master Sheet'!$D$11="Hindi","विवरण","Details")</f>
        <v>विवरण</v>
      </c>
      <c r="C206" s="1541"/>
      <c r="D206" s="1541"/>
      <c r="E206" s="1544" t="str">
        <f>IF('Master Sheet'!$D$11="Hindi","मुख्य परीक्षा","Main Exam")</f>
        <v>मुख्य परीक्षा</v>
      </c>
      <c r="F206" s="1545"/>
      <c r="G206" s="436"/>
      <c r="H206" s="1550" t="str">
        <f>IF('Master Sheet'!$D$11="Hindi","कुल प्रविष्ट","Total appeared")</f>
        <v>कुल प्रविष्ट</v>
      </c>
      <c r="I206" s="1550"/>
      <c r="J206" s="1550"/>
      <c r="K206" s="704">
        <f>SUM(K211,K213,K214,K215)</f>
        <v>11</v>
      </c>
      <c r="L206" s="704">
        <f t="shared" ref="L206:P206" si="0">SUM(L211,L213,L214,L215)</f>
        <v>11</v>
      </c>
      <c r="M206" s="704">
        <f t="shared" si="0"/>
        <v>11</v>
      </c>
      <c r="N206" s="704">
        <f t="shared" si="0"/>
        <v>11</v>
      </c>
      <c r="O206" s="704">
        <f>SUM(O211,O213,O214,O215)</f>
        <v>7</v>
      </c>
      <c r="P206" s="704">
        <f t="shared" si="0"/>
        <v>4</v>
      </c>
      <c r="Q206" s="704">
        <f>SUM(Q211,Q213,Q214,Q215)</f>
        <v>11</v>
      </c>
      <c r="R206" s="704">
        <f>SUM(R211,R213,R214,R215)</f>
        <v>11</v>
      </c>
      <c r="S206" s="1546" t="str">
        <f>IF('Master Sheet'!D11="Hindi","हस्ताक्षर कक्षाध्यापक","Signature of the class teacher")</f>
        <v>हस्ताक्षर कक्षाध्यापक</v>
      </c>
      <c r="T206" s="1542" t="str">
        <f>CONCATENATE("( ",UPPER('Master Sheet'!D17)," )")</f>
        <v>( YOGESH )</v>
      </c>
    </row>
    <row r="207" spans="1:62" ht="21" customHeight="1">
      <c r="A207" s="437"/>
      <c r="B207" s="1518" t="str">
        <f>IF('Master Sheet'!$D$11="Hindi","कुल प्रविष्ट","Total appeared")</f>
        <v>कुल प्रविष्ट</v>
      </c>
      <c r="C207" s="1519"/>
      <c r="D207" s="1519"/>
      <c r="E207" s="1520"/>
      <c r="F207" s="438">
        <f>COUNTA(B5:B204)-COUNTIF(B5:B204,"nso")-COUNTBLANK(B5:B204)</f>
        <v>11</v>
      </c>
      <c r="G207" s="439"/>
      <c r="H207" s="1373" t="str">
        <f>IF('Master Sheet'!$D$11="Hindi","विशेष योग्यता","Distinction Marks")</f>
        <v>विशेष योग्यता</v>
      </c>
      <c r="I207" s="1373"/>
      <c r="J207" s="1373"/>
      <c r="K207" s="308">
        <f>COUNTIF(K5:K204,"D")</f>
        <v>0</v>
      </c>
      <c r="L207" s="308">
        <f t="shared" ref="L207:P207" si="1">COUNTIF(L5:L204,"D")</f>
        <v>0</v>
      </c>
      <c r="M207" s="308">
        <f t="shared" si="1"/>
        <v>0</v>
      </c>
      <c r="N207" s="308">
        <f t="shared" si="1"/>
        <v>2</v>
      </c>
      <c r="O207" s="308">
        <f t="shared" si="1"/>
        <v>2</v>
      </c>
      <c r="P207" s="308">
        <f t="shared" si="1"/>
        <v>0</v>
      </c>
      <c r="Q207" s="308">
        <f>COUNTIF(Q5:Q204,"A")</f>
        <v>11</v>
      </c>
      <c r="R207" s="308">
        <f>COUNTIF(R5:R204,"A")</f>
        <v>1</v>
      </c>
      <c r="S207" s="1394"/>
      <c r="T207" s="1543"/>
    </row>
    <row r="208" spans="1:62" ht="21" customHeight="1">
      <c r="A208" s="437"/>
      <c r="B208" s="1381" t="str">
        <f>IF('Master Sheet'!$D$11="Hindi","प्रथम श्रेणी","1st Div.")</f>
        <v>प्रथम श्रेणी</v>
      </c>
      <c r="C208" s="1516"/>
      <c r="D208" s="1516"/>
      <c r="E208" s="1517"/>
      <c r="F208" s="438">
        <f>COUNTIF(I5:I204,"I")</f>
        <v>5</v>
      </c>
      <c r="G208" s="440"/>
      <c r="H208" s="1373" t="str">
        <f>IF('Master Sheet'!$D$11="Hindi","प्रथम श्रेणी","1st Div.")</f>
        <v>प्रथम श्रेणी</v>
      </c>
      <c r="I208" s="1373"/>
      <c r="J208" s="1373"/>
      <c r="K208" s="313">
        <f>COUNTIF(K5:K204,"I")</f>
        <v>3</v>
      </c>
      <c r="L208" s="313">
        <f t="shared" ref="L208:P208" si="2">COUNTIF(L5:L204,"I")</f>
        <v>8</v>
      </c>
      <c r="M208" s="313">
        <f t="shared" si="2"/>
        <v>4</v>
      </c>
      <c r="N208" s="313">
        <f t="shared" si="2"/>
        <v>5</v>
      </c>
      <c r="O208" s="313">
        <f t="shared" si="2"/>
        <v>1</v>
      </c>
      <c r="P208" s="313">
        <f t="shared" si="2"/>
        <v>1</v>
      </c>
      <c r="Q208" s="313">
        <f>COUNTIF(Q5:Q204,"B")</f>
        <v>0</v>
      </c>
      <c r="R208" s="313">
        <f>COUNTIF(R5:R204,"B")</f>
        <v>10</v>
      </c>
      <c r="S208" s="1394"/>
      <c r="T208" s="1543"/>
    </row>
    <row r="209" spans="1:20" ht="21" customHeight="1">
      <c r="A209" s="441"/>
      <c r="B209" s="1381" t="str">
        <f>IF('Master Sheet'!$D$11="Hindi","द्वितीय श्रेणी","2nd Div.")</f>
        <v>द्वितीय श्रेणी</v>
      </c>
      <c r="C209" s="1516"/>
      <c r="D209" s="1516"/>
      <c r="E209" s="1517"/>
      <c r="F209" s="438">
        <f>COUNTIF(I5:I204,"II")</f>
        <v>1</v>
      </c>
      <c r="G209" s="440"/>
      <c r="H209" s="1373" t="str">
        <f>IF('Master Sheet'!$D$11="Hindi","द्वितीय श्रेणी","2nd Div.")</f>
        <v>द्वितीय श्रेणी</v>
      </c>
      <c r="I209" s="1373"/>
      <c r="J209" s="1373"/>
      <c r="K209" s="313">
        <f>COUNTIF(K5:K204,"II")</f>
        <v>7</v>
      </c>
      <c r="L209" s="313">
        <f t="shared" ref="L209:P209" si="3">COUNTIF(L5:L204,"II")</f>
        <v>3</v>
      </c>
      <c r="M209" s="313">
        <f t="shared" si="3"/>
        <v>1</v>
      </c>
      <c r="N209" s="313">
        <f t="shared" si="3"/>
        <v>2</v>
      </c>
      <c r="O209" s="313">
        <f t="shared" si="3"/>
        <v>4</v>
      </c>
      <c r="P209" s="313">
        <f t="shared" si="3"/>
        <v>0</v>
      </c>
      <c r="Q209" s="313">
        <f>COUNTIF(Q5:Q204,"C")</f>
        <v>0</v>
      </c>
      <c r="R209" s="313">
        <f>COUNTIF(R5:R204,"C")</f>
        <v>0</v>
      </c>
      <c r="S209" s="1394" t="str">
        <f>IF('Master Sheet'!D11="Hindi","हस्ताक्षर जांचकर्ता","Signature of the checker")</f>
        <v>हस्ताक्षर जांचकर्ता</v>
      </c>
      <c r="T209" s="1543" t="str">
        <f>CONCATENATE("( ",UPPER('Master Sheet'!D15)," )")</f>
        <v>( RAKESH KUMAR )</v>
      </c>
    </row>
    <row r="210" spans="1:20" ht="21" customHeight="1">
      <c r="A210" s="442"/>
      <c r="B210" s="1381" t="str">
        <f>IF('Master Sheet'!$D$11="Hindi","तृतीय श्रेणी","3rd Div.")</f>
        <v>तृतीय श्रेणी</v>
      </c>
      <c r="C210" s="1516"/>
      <c r="D210" s="1516"/>
      <c r="E210" s="1517"/>
      <c r="F210" s="438">
        <f>COUNTIF(I5:I204,"III")</f>
        <v>3</v>
      </c>
      <c r="G210" s="440"/>
      <c r="H210" s="1373" t="str">
        <f>IF('Master Sheet'!$D$11="Hindi","तृतीय श्रेणी","3rd Div.")</f>
        <v>तृतीय श्रेणी</v>
      </c>
      <c r="I210" s="1373"/>
      <c r="J210" s="1373"/>
      <c r="K210" s="317">
        <f>COUNTIF(K5:K204,"III")+COUNTIF(K5:K204,"G")</f>
        <v>1</v>
      </c>
      <c r="L210" s="317">
        <f t="shared" ref="L210:P210" si="4">COUNTIF(L5:L204,"III")+COUNTIF(L5:L204,"G")</f>
        <v>0</v>
      </c>
      <c r="M210" s="317">
        <f t="shared" si="4"/>
        <v>4</v>
      </c>
      <c r="N210" s="317">
        <f t="shared" si="4"/>
        <v>2</v>
      </c>
      <c r="O210" s="317">
        <f t="shared" si="4"/>
        <v>0</v>
      </c>
      <c r="P210" s="317">
        <f t="shared" si="4"/>
        <v>3</v>
      </c>
      <c r="Q210" s="317">
        <f>COUNTIF(Q5:Q204,"III")+COUNTIF(Q5:Q204,"D")</f>
        <v>0</v>
      </c>
      <c r="R210" s="317">
        <f>COUNTIF(R5:R204,"III")+COUNTIF(R5:R204,"D")</f>
        <v>0</v>
      </c>
      <c r="S210" s="1394"/>
      <c r="T210" s="1543"/>
    </row>
    <row r="211" spans="1:20" ht="21" customHeight="1">
      <c r="A211" s="443"/>
      <c r="B211" s="1381" t="str">
        <f>IF('Master Sheet'!$D$11="Hindi","उतीर्ण","Pass")</f>
        <v>उतीर्ण</v>
      </c>
      <c r="C211" s="1516"/>
      <c r="D211" s="1516"/>
      <c r="E211" s="1517"/>
      <c r="F211" s="438">
        <f>COUNTIF(H5:H204,"PASS")+COUNTIF(H5:H204,"BY GRACE PASS")</f>
        <v>9</v>
      </c>
      <c r="G211" s="440"/>
      <c r="H211" s="1373" t="str">
        <f>IF('Master Sheet'!$D$11="Hindi","उतीर्ण","Pass")</f>
        <v>उतीर्ण</v>
      </c>
      <c r="I211" s="1373"/>
      <c r="J211" s="1373"/>
      <c r="K211" s="317">
        <f>SUM(K207,K208,K209,K210)</f>
        <v>11</v>
      </c>
      <c r="L211" s="317">
        <f t="shared" ref="L211:Q211" si="5">SUM(L207,L208,L209,L210)</f>
        <v>11</v>
      </c>
      <c r="M211" s="317">
        <f t="shared" si="5"/>
        <v>9</v>
      </c>
      <c r="N211" s="317">
        <f t="shared" si="5"/>
        <v>11</v>
      </c>
      <c r="O211" s="317">
        <f t="shared" si="5"/>
        <v>7</v>
      </c>
      <c r="P211" s="317">
        <f t="shared" si="5"/>
        <v>4</v>
      </c>
      <c r="Q211" s="317">
        <f t="shared" si="5"/>
        <v>11</v>
      </c>
      <c r="R211" s="317">
        <f>SUM(R207,R208,R209,R210)</f>
        <v>11</v>
      </c>
      <c r="S211" s="1394"/>
      <c r="T211" s="1543"/>
    </row>
    <row r="212" spans="1:20" ht="36" customHeight="1">
      <c r="A212" s="443"/>
      <c r="B212" s="1381" t="str">
        <f>IF('Master Sheet'!$D$11="Hindi","उतीर्ण प्रतिशत","Pass %")</f>
        <v>उतीर्ण प्रतिशत</v>
      </c>
      <c r="C212" s="1516"/>
      <c r="D212" s="1516"/>
      <c r="E212" s="1517"/>
      <c r="F212" s="320">
        <f>IF(F207=0,"",F211/F207*100)</f>
        <v>81.818181818181827</v>
      </c>
      <c r="G212" s="444"/>
      <c r="H212" s="1373" t="str">
        <f>IF('Master Sheet'!$D$11="Hindi","उतीर्ण प्रतिशत","Pass %")</f>
        <v>उतीर्ण प्रतिशत</v>
      </c>
      <c r="I212" s="1373"/>
      <c r="J212" s="1373"/>
      <c r="K212" s="705">
        <f>IF(K206=0,"",K211/K206*100)</f>
        <v>100</v>
      </c>
      <c r="L212" s="705">
        <f t="shared" ref="L212:R212" si="6">IF(L206=0,"",L211/L206*100)</f>
        <v>100</v>
      </c>
      <c r="M212" s="705">
        <f t="shared" si="6"/>
        <v>81.818181818181827</v>
      </c>
      <c r="N212" s="705">
        <f t="shared" si="6"/>
        <v>100</v>
      </c>
      <c r="O212" s="705">
        <f t="shared" si="6"/>
        <v>100</v>
      </c>
      <c r="P212" s="705">
        <f t="shared" si="6"/>
        <v>100</v>
      </c>
      <c r="Q212" s="705">
        <f t="shared" si="6"/>
        <v>100</v>
      </c>
      <c r="R212" s="705">
        <f t="shared" si="6"/>
        <v>100</v>
      </c>
      <c r="S212" s="1394" t="str">
        <f>IF('Master Sheet'!D11="Hindi","हस्ताक्षर परीक्षा प्रभारी","Signature of the exam. Incharge")</f>
        <v>हस्ताक्षर परीक्षा प्रभारी</v>
      </c>
      <c r="T212" s="1543" t="str">
        <f>CONCATENATE("( ",UPPER('Master Sheet'!D14)," )")</f>
        <v>( HEERALAL JAT )</v>
      </c>
    </row>
    <row r="213" spans="1:20" ht="21" customHeight="1">
      <c r="A213" s="443"/>
      <c r="B213" s="1381" t="str">
        <f>IF('Master Sheet'!$D$11="Hindi","अनुतीर्ण","Failed")</f>
        <v>अनुतीर्ण</v>
      </c>
      <c r="C213" s="1516"/>
      <c r="D213" s="1516"/>
      <c r="E213" s="1517"/>
      <c r="F213" s="438">
        <f>COUNTIF(H5:H204,"FAIL")</f>
        <v>1</v>
      </c>
      <c r="G213" s="445"/>
      <c r="H213" s="1521" t="str">
        <f>IF('Master Sheet'!$D$11="Hindi","पूरक","Supp.")</f>
        <v>पूरक</v>
      </c>
      <c r="I213" s="1521"/>
      <c r="J213" s="1521"/>
      <c r="K213" s="325">
        <f>COUNTIF(K5:K204,"S")</f>
        <v>0</v>
      </c>
      <c r="L213" s="325">
        <f t="shared" ref="L213:Q213" si="7">COUNTIF(L5:L204,"S")</f>
        <v>0</v>
      </c>
      <c r="M213" s="325">
        <f t="shared" si="7"/>
        <v>1</v>
      </c>
      <c r="N213" s="325">
        <f t="shared" si="7"/>
        <v>0</v>
      </c>
      <c r="O213" s="325">
        <f t="shared" si="7"/>
        <v>0</v>
      </c>
      <c r="P213" s="325">
        <f t="shared" si="7"/>
        <v>0</v>
      </c>
      <c r="Q213" s="325">
        <f t="shared" si="7"/>
        <v>0</v>
      </c>
      <c r="R213" s="325">
        <f t="shared" ref="R213" si="8">COUNTIF(R5:R204,"S")</f>
        <v>0</v>
      </c>
      <c r="S213" s="1394"/>
      <c r="T213" s="1543"/>
    </row>
    <row r="214" spans="1:20" ht="21" customHeight="1">
      <c r="A214" s="443"/>
      <c r="B214" s="1381" t="str">
        <f>IF('Master Sheet'!$D$11="Hindi","पूरक","Supp.")</f>
        <v>पूरक</v>
      </c>
      <c r="C214" s="1516"/>
      <c r="D214" s="1516"/>
      <c r="E214" s="1517"/>
      <c r="F214" s="438">
        <f>COUNTIF(H5:H204,"SUPPLEMENTARY")</f>
        <v>1</v>
      </c>
      <c r="G214" s="446"/>
      <c r="H214" s="1521" t="str">
        <f>IF('Master Sheet'!$D$11="Hindi","अनुतीर्ण","Failed")</f>
        <v>अनुतीर्ण</v>
      </c>
      <c r="I214" s="1521"/>
      <c r="J214" s="1521"/>
      <c r="K214" s="447">
        <f>COUNTIF(K5:K204,"F")+COUNTIF(K5:K204,"FP")</f>
        <v>0</v>
      </c>
      <c r="L214" s="447">
        <f t="shared" ref="L214:Q214" si="9">COUNTIF(L5:L204,"F")+COUNTIF(L5:L204,"FP")</f>
        <v>0</v>
      </c>
      <c r="M214" s="447">
        <f t="shared" si="9"/>
        <v>1</v>
      </c>
      <c r="N214" s="447">
        <f t="shared" si="9"/>
        <v>0</v>
      </c>
      <c r="O214" s="447">
        <f t="shared" si="9"/>
        <v>0</v>
      </c>
      <c r="P214" s="447">
        <f t="shared" si="9"/>
        <v>0</v>
      </c>
      <c r="Q214" s="447">
        <f t="shared" si="9"/>
        <v>0</v>
      </c>
      <c r="R214" s="447">
        <f t="shared" ref="R214" si="10">COUNTIF(R5:R204,"F")+COUNTIF(R5:R204,"FP")</f>
        <v>0</v>
      </c>
      <c r="S214" s="1394" t="str">
        <f>IF('Master Sheet'!D11="Hindi","हस्ताक्षर संस्था प्रधान","Head of Institute's Signature")</f>
        <v>हस्ताक्षर संस्था प्रधान</v>
      </c>
      <c r="T214" s="1547" t="str">
        <f>CONCATENATE("( ",UPPER('Master Sheet'!D12)," )")</f>
        <v>( USHA PALIYA )</v>
      </c>
    </row>
    <row r="215" spans="1:20" ht="21" customHeight="1">
      <c r="A215" s="437"/>
      <c r="B215" s="1518" t="str">
        <f>IF('Master Sheet'!$D$11="Hindi","परीक्षा परिणाम घोषित दिनांक :-","Date of Result declaration :-")</f>
        <v>परीक्षा परिणाम घोषित दिनांक :-</v>
      </c>
      <c r="C215" s="1519"/>
      <c r="D215" s="1519"/>
      <c r="E215" s="1520"/>
      <c r="F215" s="703">
        <f>'Master Sheet'!D10</f>
        <v>45419</v>
      </c>
      <c r="G215" s="448"/>
      <c r="H215" s="1521" t="str">
        <f>IF('Master Sheet'!$D$11="Hindi","पुनः परीक्षा","Re-Exam")</f>
        <v>पुनः परीक्षा</v>
      </c>
      <c r="I215" s="1521"/>
      <c r="J215" s="1521"/>
      <c r="K215" s="325">
        <f t="shared" ref="K215" si="11">COUNTIF(K5:K204,"RE")</f>
        <v>0</v>
      </c>
      <c r="L215" s="325">
        <f t="shared" ref="L215:Q215" si="12">COUNTIF(L5:L204,"RE")</f>
        <v>0</v>
      </c>
      <c r="M215" s="325">
        <f t="shared" si="12"/>
        <v>0</v>
      </c>
      <c r="N215" s="325">
        <f t="shared" si="12"/>
        <v>0</v>
      </c>
      <c r="O215" s="325">
        <f t="shared" si="12"/>
        <v>0</v>
      </c>
      <c r="P215" s="325">
        <f t="shared" si="12"/>
        <v>0</v>
      </c>
      <c r="Q215" s="325">
        <f t="shared" si="12"/>
        <v>0</v>
      </c>
      <c r="R215" s="325">
        <f t="shared" ref="R215" si="13">COUNTIF(R5:R204,"RE")</f>
        <v>0</v>
      </c>
      <c r="S215" s="1394"/>
      <c r="T215" s="1548"/>
    </row>
    <row r="216" spans="1:20" ht="21" customHeight="1">
      <c r="A216" s="437"/>
      <c r="B216" s="448"/>
      <c r="C216" s="448"/>
      <c r="D216" s="448"/>
      <c r="E216" s="448"/>
      <c r="F216" s="448"/>
      <c r="G216" s="448"/>
      <c r="H216" s="1521" t="str">
        <f>IF('Master Sheet'!$D$11="Hindi","अनुपस्थित","Absent")</f>
        <v>अनुपस्थित</v>
      </c>
      <c r="I216" s="1521"/>
      <c r="J216" s="1521"/>
      <c r="K216" s="325">
        <f t="shared" ref="K216" si="14">COUNTIF(K5:K204,"AB")</f>
        <v>0</v>
      </c>
      <c r="L216" s="325">
        <f t="shared" ref="L216:Q216" si="15">COUNTIF(L5:L204,"AB")</f>
        <v>0</v>
      </c>
      <c r="M216" s="325">
        <f t="shared" si="15"/>
        <v>0</v>
      </c>
      <c r="N216" s="325">
        <f t="shared" si="15"/>
        <v>0</v>
      </c>
      <c r="O216" s="325">
        <f t="shared" si="15"/>
        <v>0</v>
      </c>
      <c r="P216" s="325">
        <f t="shared" si="15"/>
        <v>0</v>
      </c>
      <c r="Q216" s="325">
        <f t="shared" si="15"/>
        <v>0</v>
      </c>
      <c r="R216" s="325">
        <f t="shared" ref="R216" si="16">COUNTIF(R5:R204,"AB")</f>
        <v>0</v>
      </c>
      <c r="S216" s="1394"/>
      <c r="T216" s="1549"/>
    </row>
    <row r="217" spans="1:20" ht="15.75" thickBot="1">
      <c r="A217" s="449"/>
      <c r="B217" s="450"/>
      <c r="C217" s="450"/>
      <c r="D217" s="450"/>
      <c r="E217" s="450"/>
      <c r="F217" s="450"/>
      <c r="G217" s="450"/>
      <c r="H217" s="450"/>
      <c r="I217" s="450"/>
      <c r="J217" s="450"/>
      <c r="K217" s="450"/>
      <c r="L217" s="450"/>
      <c r="M217" s="450"/>
      <c r="N217" s="450"/>
      <c r="O217" s="450"/>
      <c r="P217" s="450"/>
      <c r="Q217" s="450"/>
      <c r="R217" s="450"/>
      <c r="S217" s="451"/>
      <c r="T217" s="452"/>
    </row>
    <row r="218" spans="1:20" ht="19.5" thickTop="1">
      <c r="D218" s="332"/>
    </row>
  </sheetData>
  <sheetProtection password="D1E2" sheet="1" objects="1" scenarios="1" formatColumns="0" formatRows="0"/>
  <protectedRanges>
    <protectedRange password="DC77" sqref="H211 J206:J207 H206:H207 J211" name="Range1"/>
    <protectedRange password="DC77" sqref="J208:J210 H208:H210" name="Range1_1"/>
    <protectedRange password="DC77" sqref="H212 J212" name="Range1_2"/>
    <protectedRange password="DC77" sqref="H213 J213" name="Range1_3"/>
    <protectedRange password="DC77" sqref="H214 J214" name="Range1_4"/>
    <protectedRange password="DC77" sqref="J215:J216 H215:H216" name="Range1_5"/>
  </protectedRanges>
  <mergeCells count="41">
    <mergeCell ref="S209:S211"/>
    <mergeCell ref="S212:S213"/>
    <mergeCell ref="S214:S216"/>
    <mergeCell ref="B206:D206"/>
    <mergeCell ref="T206:T208"/>
    <mergeCell ref="E206:F206"/>
    <mergeCell ref="B207:E207"/>
    <mergeCell ref="B208:E208"/>
    <mergeCell ref="S206:S208"/>
    <mergeCell ref="T212:T213"/>
    <mergeCell ref="T214:T216"/>
    <mergeCell ref="T209:T211"/>
    <mergeCell ref="H215:J215"/>
    <mergeCell ref="H216:J216"/>
    <mergeCell ref="H206:J206"/>
    <mergeCell ref="H207:J207"/>
    <mergeCell ref="H208:J208"/>
    <mergeCell ref="B205:F205"/>
    <mergeCell ref="H205:T205"/>
    <mergeCell ref="K1:T1"/>
    <mergeCell ref="A1:J1"/>
    <mergeCell ref="A2:B3"/>
    <mergeCell ref="G2:G3"/>
    <mergeCell ref="C2:F3"/>
    <mergeCell ref="H2:J3"/>
    <mergeCell ref="T2:T4"/>
    <mergeCell ref="S2:S4"/>
    <mergeCell ref="K2:R3"/>
    <mergeCell ref="B214:E214"/>
    <mergeCell ref="B215:E215"/>
    <mergeCell ref="H214:J214"/>
    <mergeCell ref="B209:E209"/>
    <mergeCell ref="B210:E210"/>
    <mergeCell ref="H211:J211"/>
    <mergeCell ref="H212:J212"/>
    <mergeCell ref="H213:J213"/>
    <mergeCell ref="B212:E212"/>
    <mergeCell ref="B213:E213"/>
    <mergeCell ref="H209:J209"/>
    <mergeCell ref="H210:J210"/>
    <mergeCell ref="B211:E211"/>
  </mergeCells>
  <conditionalFormatting sqref="O208:P209 A5:A205 E206 G206:G213 T206 H2 A1:A2 C2 T214 T212 K2 A4:R4 K206:R207 B5:T204">
    <cfRule type="cellIs" dxfId="11" priority="32" stopIfTrue="1" operator="equal">
      <formula>0</formula>
    </cfRule>
  </conditionalFormatting>
  <conditionalFormatting sqref="G206 E206 O208:P208 H217:H65569 H2 K206:R206">
    <cfRule type="containsText" dxfId="10" priority="31" stopIfTrue="1" operator="containsText" text="iwjd">
      <formula>NOT(ISERROR(SEARCH("iwjd",E2)))</formula>
    </cfRule>
  </conditionalFormatting>
  <conditionalFormatting sqref="H5:H204">
    <cfRule type="containsText" dxfId="9" priority="30" stopIfTrue="1" operator="containsText" text="iwjd">
      <formula>NOT(ISERROR(SEARCH("iwjd",H5)))</formula>
    </cfRule>
  </conditionalFormatting>
  <conditionalFormatting sqref="K206:R216">
    <cfRule type="cellIs" dxfId="8" priority="25" stopIfTrue="1" operator="equal">
      <formula>0</formula>
    </cfRule>
  </conditionalFormatting>
  <conditionalFormatting sqref="H5:H204">
    <cfRule type="containsText" dxfId="7" priority="19" operator="containsText" text="iqu% ijh{kk">
      <formula>NOT(ISERROR(SEARCH("iqu% ijh{kk",H5)))</formula>
    </cfRule>
  </conditionalFormatting>
  <conditionalFormatting sqref="J5:J204">
    <cfRule type="expression" dxfId="6" priority="8">
      <formula>J5=""</formula>
    </cfRule>
    <cfRule type="top10" dxfId="5" priority="61" stopIfTrue="1" rank="3"/>
    <cfRule type="top10" dxfId="4" priority="62" stopIfTrue="1" percent="1" rank="3"/>
  </conditionalFormatting>
  <conditionalFormatting sqref="E206">
    <cfRule type="cellIs" dxfId="3" priority="2" stopIfTrue="1" operator="equal">
      <formula>0</formula>
    </cfRule>
  </conditionalFormatting>
  <conditionalFormatting sqref="E206">
    <cfRule type="containsText" dxfId="2" priority="1" stopIfTrue="1" operator="containsText" text="iwjd">
      <formula>NOT(ISERROR(SEARCH("iwjd",E206)))</formula>
    </cfRule>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codeName="Sheet10">
    <pageSetUpPr fitToPage="1"/>
  </sheetPr>
  <dimension ref="A1:AR26"/>
  <sheetViews>
    <sheetView showGridLines="0" view="pageBreakPreview" zoomScaleSheetLayoutView="100" workbookViewId="0">
      <selection activeCell="AM15" sqref="AM15"/>
    </sheetView>
  </sheetViews>
  <sheetFormatPr defaultRowHeight="15"/>
  <cols>
    <col min="1" max="2" width="9.625" style="116" customWidth="1"/>
    <col min="3" max="6" width="5.875" style="116" customWidth="1"/>
    <col min="7" max="7" width="7.25" style="116" customWidth="1"/>
    <col min="8" max="8" width="6.875" style="116" customWidth="1"/>
    <col min="9" max="9" width="5.875" style="116" customWidth="1"/>
    <col min="10" max="10" width="7.125" style="116" customWidth="1"/>
    <col min="11" max="11" width="7.75" style="116" customWidth="1"/>
    <col min="12" max="12" width="5.875" style="116" customWidth="1"/>
    <col min="13" max="13" width="5.625" style="116" customWidth="1"/>
    <col min="14" max="14" width="6.875" style="17" customWidth="1"/>
    <col min="15" max="15" width="7.125" style="116" customWidth="1"/>
    <col min="16" max="16" width="8" style="116" customWidth="1"/>
    <col min="17" max="20" width="8.625" style="116" customWidth="1"/>
    <col min="21" max="28" width="6.75" style="17" customWidth="1"/>
    <col min="29" max="31" width="9" style="17"/>
    <col min="32" max="32" width="9" hidden="1" customWidth="1"/>
    <col min="33" max="33" width="10.125" hidden="1" customWidth="1"/>
    <col min="34" max="34" width="9" hidden="1" customWidth="1"/>
    <col min="35" max="35" width="9" style="17" hidden="1" customWidth="1"/>
    <col min="36" max="42" width="9" style="17" customWidth="1"/>
    <col min="43" max="44" width="9" style="17" hidden="1" customWidth="1"/>
    <col min="45" max="48" width="9" style="17" customWidth="1"/>
    <col min="49" max="16384" width="9" style="17"/>
  </cols>
  <sheetData>
    <row r="1" spans="1:43" ht="20.25" customHeight="1">
      <c r="A1" s="74"/>
      <c r="B1" s="74"/>
      <c r="C1" s="74"/>
      <c r="D1" s="74"/>
      <c r="E1" s="74"/>
      <c r="F1" s="74"/>
      <c r="G1" s="1551" t="str">
        <f>IF('Master Sheet'!D11="Hindi","वार्षिक रिपोर्ट कार्ड ","Report Card")</f>
        <v xml:space="preserve">वार्षिक रिपोर्ट कार्ड </v>
      </c>
      <c r="H1" s="1551"/>
      <c r="I1" s="1551"/>
      <c r="J1" s="1551"/>
      <c r="K1" s="1551"/>
      <c r="L1" s="1551"/>
      <c r="M1" s="1551"/>
      <c r="N1" s="1551"/>
      <c r="O1" s="1551"/>
      <c r="P1" s="74"/>
      <c r="Q1" s="74"/>
      <c r="R1" s="74"/>
      <c r="S1" s="74"/>
      <c r="T1" s="74"/>
    </row>
    <row r="2" spans="1:43" ht="18.75" customHeight="1" thickBot="1">
      <c r="A2" s="74"/>
      <c r="B2" s="74"/>
      <c r="C2" s="74"/>
      <c r="D2" s="1552" t="str">
        <f>IF('Master Sheet'!D11="Hindi","शिक्षा विभाग, राजस्थान सरकार","Education Department, Rajasthan Government")</f>
        <v>शिक्षा विभाग, राजस्थान सरकार</v>
      </c>
      <c r="E2" s="1552"/>
      <c r="F2" s="1552"/>
      <c r="G2" s="1552"/>
      <c r="H2" s="1552"/>
      <c r="I2" s="1552"/>
      <c r="J2" s="1552"/>
      <c r="K2" s="1552"/>
      <c r="L2" s="1552"/>
      <c r="M2" s="1552"/>
      <c r="N2" s="1552"/>
      <c r="O2" s="1552"/>
      <c r="P2" s="1552"/>
      <c r="Q2" s="1552"/>
      <c r="R2" s="74"/>
      <c r="S2" s="74"/>
      <c r="T2" s="74"/>
    </row>
    <row r="3" spans="1:43" ht="21" customHeight="1">
      <c r="A3" s="1575" t="str">
        <f>IF('Master Sheet'!D11="Hindi",CONCATENATE("विद्यालय का नाम :-","  ",'Master Sheet'!D8),CONCATENATE("School Name :-","  ",'Master Sheet'!D7))</f>
        <v xml:space="preserve">विद्यालय का नाम :-  महात्मा गाँधी राजकीय विद्यालय (अंग्रेजी माध्यम) बर, पाली </v>
      </c>
      <c r="B3" s="1575"/>
      <c r="C3" s="1575"/>
      <c r="D3" s="1575"/>
      <c r="E3" s="1575"/>
      <c r="F3" s="1575"/>
      <c r="G3" s="1575"/>
      <c r="H3" s="1575"/>
      <c r="I3" s="1575"/>
      <c r="J3" s="1575"/>
      <c r="K3" s="1575"/>
      <c r="L3" s="1575"/>
      <c r="M3" s="1575"/>
      <c r="N3" s="1575"/>
      <c r="O3" s="1575"/>
      <c r="P3" s="1575"/>
      <c r="Q3" s="1575"/>
      <c r="R3" s="1575"/>
      <c r="S3" s="1575"/>
      <c r="T3" s="1575"/>
      <c r="AA3" s="1566" t="s">
        <v>101</v>
      </c>
      <c r="AB3" s="1567"/>
      <c r="AC3" s="1568"/>
      <c r="AF3" s="762"/>
      <c r="AG3" s="762"/>
      <c r="AH3" s="762"/>
    </row>
    <row r="4" spans="1:43" ht="21" customHeight="1">
      <c r="A4" s="712"/>
      <c r="B4" s="712"/>
      <c r="C4" s="712"/>
      <c r="D4" s="712"/>
      <c r="E4" s="712"/>
      <c r="F4" s="712"/>
      <c r="G4" s="1576" t="str">
        <f>IF(AND(N6=""),"",IF(AND('Master Sheet'!D6=""),"",IF('Master Sheet'!D11="Hindi",CONCATENATE("(विद्यालय मान्यता क्रमांक व वर्ष : ","  ",'Master Sheet'!D6),CONCATENATE("(School Recognition Number &amp; Years : ","  ",'Master Sheet'!D6))))</f>
        <v>(विद्यालय मान्यता क्रमांक व वर्ष :   शिक्षा/पाली/1995/2001</v>
      </c>
      <c r="H4" s="1576"/>
      <c r="I4" s="1576"/>
      <c r="J4" s="1576"/>
      <c r="K4" s="1576"/>
      <c r="L4" s="1576"/>
      <c r="M4" s="1576"/>
      <c r="N4" s="1576"/>
      <c r="O4" s="1576"/>
      <c r="P4" s="456"/>
      <c r="Q4" s="854"/>
      <c r="R4" s="712"/>
      <c r="S4" s="454"/>
      <c r="T4" s="454"/>
      <c r="AA4" s="1569"/>
      <c r="AB4" s="1570"/>
      <c r="AC4" s="1571"/>
    </row>
    <row r="5" spans="1:43" ht="19.5" customHeight="1">
      <c r="A5" s="1578" t="str">
        <f>IF('Master Sheet'!D11="Hindi","सत्र  :-","Session :-")</f>
        <v>सत्र  :-</v>
      </c>
      <c r="B5" s="1578"/>
      <c r="C5" s="1578"/>
      <c r="D5" s="1560" t="str">
        <f>'Marks Entry'!H1</f>
        <v>2023-2024</v>
      </c>
      <c r="E5" s="1560"/>
      <c r="F5" s="1560"/>
      <c r="G5" s="1560"/>
      <c r="H5" s="1591" t="str">
        <f>IF('Master Sheet'!$D$11="Hindi","संकाय :-","Faculty :-")</f>
        <v>संकाय :-</v>
      </c>
      <c r="I5" s="1591"/>
      <c r="J5" s="1581" t="str">
        <f>IF(P6="","",IF('Marks Entry'!H3="","",'Marks Entry'!H3))</f>
        <v>Arts</v>
      </c>
      <c r="K5" s="1581"/>
      <c r="L5" s="1578"/>
      <c r="M5" s="1578"/>
      <c r="N5" s="1578" t="str">
        <f>IF('Master Sheet'!D11="Hindi","कक्षा  :-","CLASS :- ")</f>
        <v>कक्षा  :-</v>
      </c>
      <c r="O5" s="1578"/>
      <c r="P5" s="1563" t="str">
        <f>IFERROR(CONCATENATE(VLOOKUP($P$6,'Student DATA Entry'!$B$4:$F$203,2,0),"  '",VLOOKUP($P$6,'Student DATA Entry'!$B$4:$F$203,3,0)),"")</f>
        <v>11  'A</v>
      </c>
      <c r="Q5" s="1563"/>
      <c r="R5" s="454"/>
      <c r="S5" s="454"/>
      <c r="T5" s="454"/>
      <c r="AA5" s="1569"/>
      <c r="AB5" s="1570"/>
      <c r="AC5" s="1571"/>
      <c r="AG5" s="763">
        <f>P8</f>
        <v>38090</v>
      </c>
    </row>
    <row r="6" spans="1:43" ht="19.5" customHeight="1">
      <c r="A6" s="1577" t="str">
        <f>IF('Master Sheet'!D11="Hindi","विद्यार्थी का नाम :-","Student's Name :-")</f>
        <v>विद्यार्थी का नाम :-</v>
      </c>
      <c r="B6" s="1577"/>
      <c r="C6" s="1577"/>
      <c r="D6" s="1560" t="str">
        <f>IFERROR(VLOOKUP($P$6,'Statement of Marks'!$B$8:'Statement of Marks'!$HI$207,4,0),"")</f>
        <v>B</v>
      </c>
      <c r="E6" s="1560"/>
      <c r="F6" s="1560"/>
      <c r="G6" s="1560"/>
      <c r="H6" s="1560"/>
      <c r="I6" s="1560"/>
      <c r="J6" s="1560"/>
      <c r="K6" s="1560"/>
      <c r="L6" s="1559"/>
      <c r="M6" s="1559"/>
      <c r="N6" s="1559" t="str">
        <f>IF('Master Sheet'!D11="Hindi","रोल नंबर :-","Roll No. :")</f>
        <v>रोल नंबर :-</v>
      </c>
      <c r="O6" s="1559"/>
      <c r="P6" s="1564">
        <v>1102</v>
      </c>
      <c r="Q6" s="1564"/>
      <c r="R6" s="454"/>
      <c r="S6" s="454"/>
      <c r="T6" s="454"/>
      <c r="AA6" s="1569"/>
      <c r="AB6" s="1570"/>
      <c r="AC6" s="1571"/>
      <c r="AF6">
        <f>YEAR(AG5)</f>
        <v>2004</v>
      </c>
      <c r="AG6">
        <f>MONTH(AG5)</f>
        <v>4</v>
      </c>
      <c r="AH6">
        <f>DAY(AG5)</f>
        <v>13</v>
      </c>
    </row>
    <row r="7" spans="1:43" ht="18.75" customHeight="1">
      <c r="A7" s="1577" t="str">
        <f>IF('Master Sheet'!D11="Hindi","पिता का नाम :-","Father's Name :-")</f>
        <v>पिता का नाम :-</v>
      </c>
      <c r="B7" s="1577"/>
      <c r="C7" s="1577"/>
      <c r="D7" s="1560" t="str">
        <f>IFERROR(VLOOKUP($P$6,'Statement of Marks'!$B$8:'Statement of Marks'!$HI$207,5,0),"")</f>
        <v>Y</v>
      </c>
      <c r="E7" s="1560"/>
      <c r="F7" s="1560"/>
      <c r="G7" s="1560"/>
      <c r="H7" s="1560"/>
      <c r="I7" s="1560"/>
      <c r="J7" s="1560"/>
      <c r="K7" s="1560"/>
      <c r="L7" s="1559"/>
      <c r="M7" s="1559"/>
      <c r="N7" s="1559" t="str">
        <f>IF('Master Sheet'!D11="Hindi","प्रवेशांक :","SR. NO. :")</f>
        <v>प्रवेशांक :</v>
      </c>
      <c r="O7" s="1559"/>
      <c r="P7" s="1556">
        <f>IFERROR(VLOOKUP($P$6,'Statement of Marks'!$B$8:'Statement of Marks'!$HI$207,2,0),"")</f>
        <v>231</v>
      </c>
      <c r="Q7" s="1556"/>
      <c r="R7" s="454"/>
      <c r="S7" s="454"/>
      <c r="T7" s="454"/>
      <c r="AA7" s="1569"/>
      <c r="AB7" s="1570"/>
      <c r="AC7" s="1571"/>
      <c r="AF7" t="str">
        <f>IF(AF6=2000,"दो हजार",IF(AF6=2001,"दो हजार एक",IF(AF6=2002,"दो हजार दो",IF(AF6=2003,"दो हजार तीन",IF(AF6=2004,"दो हजार चार",IF(AF6=2005,"दो हजार पांच",IF(AF6=2006,"दो हजार छः",IF(AF6=2007,"दो हजार सात",IF(AF6=2008,"दो हजार आठ",IF(AF6=2009,"दो हजार नौ",IF(AF6=2010,"दो हजार दस",IF(AF6=2011,"दो हजार इग्यारह",IF(AF6=2012,"दो हजार बारह",IF(AF6=2013,"दो हजार तेरह",IF(AF6=2014,"दो हजार चौदह",IF(AF6=2015,"दो हजार पंद्रह",IF(AF6=2016,"दो हजार सोलह",IF(AF6=2017,"दो हजार सत्रह",IF(AF6=2018,"दो हजार अठारह",IF(AF6=2019,"दो हजार उन्नीस",IF(AF6=2020,"दो हजार बीस",IF(AF6=2021,"दो हजार इक्कीस",IF(AF6=2022,"दो हजार बाइस","")))))))))))))))))))))))</f>
        <v>दो हजार चार</v>
      </c>
      <c r="AG7" t="str">
        <f>IF(AG6=1,"जनवरी",IF(AG6=2,"फरवरी",IF(AG6=3,"मार्च",IF(AG6=4,"अप्रैल",IF(AG6=5,"मई",IF(AG6=6,"जून",IF(AG6=7,"जुलाई",IF(AG6=8,"अगस्त",IF(AG6=9,"सितम्बर",IF(AG6=10,"अक्टूबर",IF(AG6=11,"नवम्बर",IF(AG6=12,"दिसम्बर",""))))))))))))</f>
        <v>अप्रैल</v>
      </c>
      <c r="AH7" t="str">
        <f>IF(AH6=1,"एक",IF(AH6=2,"दो",IF(AH6=3,"तीन",IF(AH6=4,"चार",IF(AH6=5,"पांच",IF(AH6=6,"छः",IF(AH6=7,"सात",IF(AH6=8,"आठ",IF(AH6=9,"नौ",IF(AH6=10,"दस",IF(AH6=11,"इग्यारह",IF(AH6=12,"बारह",IF(AH6=13,"तेरह",IF(AH6=14,"चौदह",IF(AH6=15,"पंद्रह",IF(AH6=16,"सोलह",IF(AH6=17,"सत्रह",IF(AH6=18,"अठारह",IF(AH6=19,"उन्नीस",IF(AH6=20,"बीस",IF(AH6=21,"इक्कीस",IF(AH6=22,"बाइस",IF(AH6=23,"तेईस",IF(AH6=24,"चौबीस",IF(AH6=25,"पचीस",IF(AH6=26,"छबीस",IF(AH6=27,"सताईस",IF(AH6=28,"अठाइस",IF(AH6=29,"उन्नतीस",IF(AH6=30,"तीस",IF(AH6=31,"इकतीस","")))))))))))))))))))))))))))))))</f>
        <v>तेरह</v>
      </c>
    </row>
    <row r="8" spans="1:43" ht="18.75" customHeight="1">
      <c r="A8" s="1577" t="str">
        <f>IF('Master Sheet'!D11="Hindi","माता का नाम :-","Mother's Name :-")</f>
        <v>माता का नाम :-</v>
      </c>
      <c r="B8" s="1577"/>
      <c r="C8" s="1577"/>
      <c r="D8" s="1560" t="str">
        <f>IFERROR(VLOOKUP($P$6,'Statement of Marks'!$B$8:'Statement of Marks'!$HI$207,6,0),"")</f>
        <v>N</v>
      </c>
      <c r="E8" s="1560"/>
      <c r="F8" s="1560"/>
      <c r="G8" s="1560"/>
      <c r="H8" s="1560"/>
      <c r="I8" s="1560"/>
      <c r="J8" s="1560"/>
      <c r="K8" s="1560"/>
      <c r="L8" s="1559"/>
      <c r="M8" s="1559"/>
      <c r="N8" s="1559" t="str">
        <f>IF('Master Sheet'!D11="Hindi","जन्म तिथि :","Date of Birth :")</f>
        <v>जन्म तिथि :</v>
      </c>
      <c r="O8" s="1559"/>
      <c r="P8" s="1557">
        <f>IFERROR(VLOOKUP($P$6,'Statement of Marks'!$B$8:'Statement of Marks'!$HI$207,3,0),"")</f>
        <v>38090</v>
      </c>
      <c r="Q8" s="1557"/>
      <c r="R8" s="1557"/>
      <c r="S8" s="454"/>
      <c r="T8" s="454"/>
      <c r="AA8" s="1569"/>
      <c r="AB8" s="1570"/>
      <c r="AC8" s="1571"/>
      <c r="AG8" t="str">
        <f>CONCATENATE(AH7," ",AG7," ",AF7)</f>
        <v>तेरह अप्रैल दो हजार चार</v>
      </c>
    </row>
    <row r="9" spans="1:43" ht="18.75" customHeight="1">
      <c r="A9" s="663"/>
      <c r="B9" s="663"/>
      <c r="C9" s="663"/>
      <c r="D9" s="662"/>
      <c r="E9" s="662"/>
      <c r="F9" s="662"/>
      <c r="G9" s="662"/>
      <c r="H9" s="662"/>
      <c r="I9" s="662"/>
      <c r="J9" s="662"/>
      <c r="K9" s="855"/>
      <c r="L9" s="855"/>
      <c r="M9" s="1559" t="str">
        <f>IF('Master Sheet'!D11="Hindi","जन्मतिथि शब्दों में :","Date of Birth in Words :")</f>
        <v>जन्मतिथि शब्दों में :</v>
      </c>
      <c r="N9" s="1559"/>
      <c r="O9" s="1559"/>
      <c r="P9" s="1558" t="str">
        <f>IFERROR(IF('Master Sheet'!$D$11="Hindi",AG8,AG10),"")</f>
        <v>तेरह अप्रैल दो हजार चार</v>
      </c>
      <c r="Q9" s="1558"/>
      <c r="R9" s="1558"/>
      <c r="S9" s="1558"/>
      <c r="T9" s="1558"/>
      <c r="AA9" s="1569"/>
      <c r="AB9" s="1570"/>
      <c r="AC9" s="1571"/>
      <c r="AF9" t="str">
        <f>IF(AF6=1961,"NINETEEN SIXTY ONE",IF(AF6=1962,"NINETEEN SIXTY TWO",IF(AF6=1963,"NINETEEN SIXTY THREE",IF(AF6=1964,"NINETEEN SIXTY FOUR",IF(AF6=1965,"NINETEEN SIXTY FIVE",IF(AF6=1966,"NINETEEN SIXTY SIX",IF(AF6=1967,"NINETEEN SIXTY SEVEN",IF(AF6=1968,"NINETEEN SIXTY EIGHT",IF(AF6=1969,"NINETEEN SIXTY NINE",IF(AF6=1970,"NINETEEN SEVENTY",IF(AF6=1971,"NINETEEN SEVENTY ONE",IF(AF6=1972,"NINETEEN SEVENTY TWO",IF(AF6=1973,"NINETEEN SEVENTY THREE",IF(AF6=1974,"NINETEEN SEVENTY FOUR",IF(AF6=1975,"NINETEEN SEVENTY FIVE",IF(AF6=1976,"NINETEEN SEVENTY SIX",IF(AF6=1977,"NINETEEN SEVENTY SEVEN",IF(AF6=1978,"NINETEEN SEVENTY EIGHT",IF(AF6=1979,"NINETEEN SEVENTY NINE",IF(AF6=1980,"NINETEEN EIGHTY",IF(AF6=1981,"NINETEEN EIGHTY ONE",IF(AF6=1982,"NINETEEN EIGHTY TWO",IF(AF6=1983,"NINETEEN EIGHTY THREE",IF(AF6=1984,"NINETEEN EIGHTY FOUR",IF(AF6=1985,"NINETEEN EIGHTY FIVE",IF(AF6=1986,"NINETEEN EIGHTY SIX",IF(AF6=1987,"NINETEEN EIGHTY SEVEN",IF(AF6=1988,"NINETEEN EIGHTY EIGHT",IF(AF6=1989,"NINETEEN EIGHTY NINE",IF(AF6=1990,"NINETEEN NINETY",IF(AF6=1991,"NINETEEN NINETY ONE",IF(AF6=1992,"NINETEEN NINETY TWO",IF(AF6=1993,"NINETEEN NINETY THREE",IF(AF6=1994,"NINETEEN NINETY FOUR",IF(AF6=1995,"NINETEEN NINETY FIVE",IF(AF6=1996,"NINETEEN NINETY SIX",IF(AF6=1997,"NINETEEN NINETY SEVEN",IF(AF6=1998,"NINETEEN NINETY EIGHT",IF(AF6=1999,"NINETEEN NINETY NINE",IF(AF6=2000,"TWO THOUSAND",IF(AF6=2001,"TWO THOUSAND ONE",IF(AF6=2002,"TWO THOUSAND TWO",IF(AF6=2003,"TWO THOUSAND THREE",IF(AF6=2004,"TWO THOUSAND FOUR",IF(AF6=2005,"TWO THOUSAND FIVE",IF(AF6=2006,"TWO THOUSAND SIX",IF(AF6=2007,"TWO THOUSAND SEVEN",IF(AF6=2008,"TWO THOUSAND EIGHT",IF(AF6=2009,"TWO THOUSAND NINE",IF(AF6=2010,"TWO THOUSAND TEN",IF(AF6=2011,"TWO THOUSAND ELEVEN",IF(AF6=2012,"TWO THOUSAND TWELVE",IF(AF6=2013,"TWO THOUSAND THIRTEEN",IF(AF6=2014,"TWO THOUSAND FOURTEEN",IF(AF6=2015,"TWO THOUSAND FIFTEEN",IF(AF6=2016,"TWO THOUSAND SIXTEEN",IF(AF6=2017,"TWO THOUSAND SEVENTEEN",IF(AF6=2018,"TWO THOUSAND EIGHTEEN",IF(AF6=2019,"TWO THOUSAND NINETEEN",IF(AF6=2020,"TWO THOUSAND TWENTY",IF(AF6=2021,"TWO THOUSAND TWENTY ONE",IF(AF6=2022,"TWO THOUSAND TWENTY TWO",IF(AF6=2023,"TWO THOUSAND TWENTY THREE",IF(AF6=2024,"TWO THOUSAND TWENTY FOUR",IF(AF6=2025,"TWO THOUSAND TWENTY FIVE","")))))))))))))))))))))))))))))))))))))))))))))))))))))))))))))))))</f>
        <v>TWO THOUSAND FOUR</v>
      </c>
      <c r="AG9" t="str">
        <f>IF(AG6=1,"JANUARY",IF(AG6=2,"FEBRUARY", IF(AG6=3,"MARCH",IF(AG6=4,"APRIL",IF(AG6=5,"MAY",IF(AG6=6,"JUNE",IF(AG6=7,"JULY",IF(AG6=8,"AUGUST",IF(AG6=9,"SEPTEMBER",IF(AG6=10,"OCTOBER",IF(AG6=11,"NOVEMBER",IF(AG6=12,"DECEMBER",""))))))))))))</f>
        <v>APRIL</v>
      </c>
      <c r="AH9" t="str">
        <f>IF(AH6=1,"1ST",IF(AH6=2,"2ND", IF(AH6=3,"3RD",IF(AH6=4,"FOURTH",IF(AH6=5,"FIFTH",IF(AH6=6,"SIXTH",IF(AH6=7,"7TH",IF(AH6=8,"8TH",IF(AH6=9,"9TH",IF(AH6=10,"10TH",IF(AH6=11,"11TH",IF(AH6=12,"12TH",IF(AH6=13,"13TH",IF(AH6=14,"14TH",IF(AH6=15,"FIFTEEN",IF(AH6=16,"SIXTEEN",IF(AH6=17,"SEVENTEEN",IF(AH6=18,"EIGHTEEN",IF(AH6=19,"NINETEEN",IF(AH6=20,"TWENTY",IF(AH6=21,"TWENTY FIRST",IF(AH6=22,"TWENTY SECOND",IF(AH6=23,"TWENTY THIRD",IF(AH6=24,"TWENTY FOURTH",IF(AH6=25,"TWENTY FIFTH",IF(AH6=26,"TWENTY SIX",IF(AH6=27,"TWENTY SEVEN",IF(AH6=28,"TWENTY EIGHT",IF(AH6=29,"TWENTY NINE",IF(AH6=30,"THIRTY",IF(AH6=31,"THIRTY FIRST","")))))))))))))))))))))))))))))))</f>
        <v>13TH</v>
      </c>
    </row>
    <row r="10" spans="1:43" ht="9" customHeight="1" thickBot="1">
      <c r="A10" s="458"/>
      <c r="B10" s="458"/>
      <c r="C10" s="458"/>
      <c r="D10" s="459"/>
      <c r="E10" s="662"/>
      <c r="F10" s="459"/>
      <c r="G10" s="459"/>
      <c r="H10" s="459"/>
      <c r="I10" s="459"/>
      <c r="J10" s="459"/>
      <c r="K10" s="459"/>
      <c r="L10" s="460"/>
      <c r="M10" s="460"/>
      <c r="N10" s="461"/>
      <c r="O10" s="461"/>
      <c r="P10" s="461"/>
      <c r="Q10" s="461"/>
      <c r="R10" s="454"/>
      <c r="S10" s="454"/>
      <c r="T10" s="454"/>
      <c r="AA10" s="1569"/>
      <c r="AB10" s="1570"/>
      <c r="AC10" s="1571"/>
      <c r="AG10" t="str">
        <f>CONCATENATE(AG9," ",AH9,", ",AF9)</f>
        <v>APRIL 13TH, TWO THOUSAND FOUR</v>
      </c>
    </row>
    <row r="11" spans="1:43" ht="20.25" customHeight="1">
      <c r="A11" s="1594" t="str">
        <f>IF('Master Sheet'!D11="Hindi","विषय का नाम","Subject Name")</f>
        <v>विषय का नाम</v>
      </c>
      <c r="B11" s="1595"/>
      <c r="C11" s="1600" t="str">
        <f>IF('Master Sheet'!$D$11="Hindi","सामयिक परख","Seasonal Exam")</f>
        <v>सामयिक परख</v>
      </c>
      <c r="D11" s="1600"/>
      <c r="E11" s="1600"/>
      <c r="F11" s="1600"/>
      <c r="G11" s="1600" t="str">
        <f>IF('Master Sheet'!$D$11="Hindi","अर्द्धवार्षिक","Half Yearly")</f>
        <v>अर्द्धवार्षिक</v>
      </c>
      <c r="H11" s="1600"/>
      <c r="I11" s="1600"/>
      <c r="J11" s="1598" t="str">
        <f>IF('Master Sheet'!$D$11="Hindi","अर्द्ध वा. तक योग","Total Till H.Y.")</f>
        <v>अर्द्ध वा. तक योग</v>
      </c>
      <c r="K11" s="1600" t="str">
        <f>IF('Master Sheet'!$D$11="Hindi","वार्षिक","Yearly Exam")</f>
        <v>वार्षिक</v>
      </c>
      <c r="L11" s="1600"/>
      <c r="M11" s="1600"/>
      <c r="N11" s="1600"/>
      <c r="O11" s="1592" t="str">
        <f>IF('Master Sheet'!$D$11="Hindi","विषय कुल योग ","Subject Total")</f>
        <v xml:space="preserve">विषय कुल योग </v>
      </c>
      <c r="P11" s="1582" t="str">
        <f>IF('Master Sheet'!D11="Hindi","विषय परिणाम / विषय श्रेणी","Sub. Result /  Sub. Div.")</f>
        <v>विषय परिणाम / विषय श्रेणी</v>
      </c>
      <c r="Q11" s="1561" t="str">
        <f>IF('Master Sheet'!D11="Hindi","विशेष योग्यता प्राप्त विषय","Distinction Marks  Subject")</f>
        <v>विशेष योग्यता प्राप्त विषय</v>
      </c>
      <c r="R11" s="1561"/>
      <c r="S11" s="1561" t="str">
        <f>IF('Master Sheet'!D11="Hindi","पूरक विषय","Supplementary Subject")</f>
        <v>पूरक विषय</v>
      </c>
      <c r="T11" s="1579"/>
      <c r="AA11" s="1569"/>
      <c r="AB11" s="1570"/>
      <c r="AC11" s="1571"/>
    </row>
    <row r="12" spans="1:43" ht="69" customHeight="1">
      <c r="A12" s="1596"/>
      <c r="B12" s="1597"/>
      <c r="C12" s="729" t="str">
        <f>IF('Master Sheet'!$D$11="Hindi","प्रथम परख ","First Test")</f>
        <v xml:space="preserve">प्रथम परख </v>
      </c>
      <c r="D12" s="729" t="str">
        <f>IF('Master Sheet'!$D$11="Hindi","द्वितीय परख","Second Test")</f>
        <v>द्वितीय परख</v>
      </c>
      <c r="E12" s="729" t="str">
        <f>IF('Master Sheet'!$D$11="Hindi","तृतीय परख","Third Test")</f>
        <v>तृतीय परख</v>
      </c>
      <c r="F12" s="713" t="str">
        <f>IF('Master Sheet'!$D$11="Hindi","सा. परख योग","Test Total")</f>
        <v>सा. परख योग</v>
      </c>
      <c r="G12" s="729" t="str">
        <f>IF('Master Sheet'!$D$11="Hindi","सैद्धांतिक","Theoretical")</f>
        <v>सैद्धांतिक</v>
      </c>
      <c r="H12" s="729" t="str">
        <f>IF('Master Sheet'!$D$11="Hindi","प्रायोगिक","Practical")</f>
        <v>प्रायोगिक</v>
      </c>
      <c r="I12" s="789" t="str">
        <f>IF('Master Sheet'!$D$11="Hindi","अर्द्ध वा. योग","Total H.Y.")</f>
        <v>अर्द्ध वा. योग</v>
      </c>
      <c r="J12" s="1599"/>
      <c r="K12" s="729" t="str">
        <f>IF('Master Sheet'!$D$11="Hindi","सैद्धांतिक","Theoretical")</f>
        <v>सैद्धांतिक</v>
      </c>
      <c r="L12" s="729" t="str">
        <f>IF('Master Sheet'!$D$11="Hindi","प्रायोगिक","Practical")</f>
        <v>प्रायोगिक</v>
      </c>
      <c r="M12" s="729" t="str">
        <f>IF('Master Sheet'!$D$11="Hindi","पोर्टफोलियो","Portfolio")</f>
        <v>पोर्टफोलियो</v>
      </c>
      <c r="N12" s="789" t="str">
        <f>IF('Master Sheet'!$D$11="Hindi","वार्षिक योग","Total Yearly")</f>
        <v>वार्षिक योग</v>
      </c>
      <c r="O12" s="1593"/>
      <c r="P12" s="1583"/>
      <c r="Q12" s="1562"/>
      <c r="R12" s="1562"/>
      <c r="S12" s="1562"/>
      <c r="T12" s="1580"/>
      <c r="Y12" s="74"/>
      <c r="AA12" s="1569"/>
      <c r="AB12" s="1570"/>
      <c r="AC12" s="1571"/>
    </row>
    <row r="13" spans="1:43" ht="17.25" customHeight="1" thickBot="1">
      <c r="A13" s="1589" t="s">
        <v>229</v>
      </c>
      <c r="B13" s="1590"/>
      <c r="C13" s="725">
        <v>10</v>
      </c>
      <c r="D13" s="725">
        <v>10</v>
      </c>
      <c r="E13" s="725">
        <v>10</v>
      </c>
      <c r="F13" s="464">
        <v>30</v>
      </c>
      <c r="G13" s="463" t="s">
        <v>283</v>
      </c>
      <c r="H13" s="462" t="s">
        <v>284</v>
      </c>
      <c r="I13" s="792">
        <v>70</v>
      </c>
      <c r="J13" s="730">
        <v>100</v>
      </c>
      <c r="K13" s="463" t="s">
        <v>285</v>
      </c>
      <c r="L13" s="463" t="s">
        <v>142</v>
      </c>
      <c r="M13" s="726">
        <v>20</v>
      </c>
      <c r="N13" s="765">
        <v>100</v>
      </c>
      <c r="O13" s="708">
        <v>200</v>
      </c>
      <c r="P13" s="1584"/>
      <c r="Q13" s="1562"/>
      <c r="R13" s="1562"/>
      <c r="S13" s="1562"/>
      <c r="T13" s="1580"/>
      <c r="Y13" s="74"/>
      <c r="AA13" s="1572"/>
      <c r="AB13" s="1573"/>
      <c r="AC13" s="1574"/>
    </row>
    <row r="14" spans="1:43" ht="24.95" customHeight="1">
      <c r="A14" s="1585" t="str">
        <f>'Statement of Marks'!J3</f>
        <v>Com. Hindi</v>
      </c>
      <c r="B14" s="1586"/>
      <c r="C14" s="92">
        <f>IFERROR(VLOOKUP($P$6,'Statement of Marks'!$B$8:'Statement of Marks'!$HI$207,9,0),"")</f>
        <v>8</v>
      </c>
      <c r="D14" s="92">
        <f>IFERROR(VLOOKUP($P$6,'Statement of Marks'!$B$8:'Statement of Marks'!$HI$207,10,0),"")</f>
        <v>9</v>
      </c>
      <c r="E14" s="92">
        <f>IFERROR(VLOOKUP($P$6,'Statement of Marks'!$B$8:'Statement of Marks'!$HI$207,11,0),"")</f>
        <v>7</v>
      </c>
      <c r="F14" s="465">
        <f>IFERROR(VLOOKUP($P$6,'Statement of Marks'!$B$8:'Statement of Marks'!$HI$207,12,0),"")</f>
        <v>24</v>
      </c>
      <c r="G14" s="92">
        <f>IFERROR(VLOOKUP($P$6,'Statement of Marks'!$B$8:'Statement of Marks'!$HI$207,13,0),"")</f>
        <v>46</v>
      </c>
      <c r="H14" s="92"/>
      <c r="I14" s="793">
        <f>IFERROR(VLOOKUP($P$6,'Statement of Marks'!$B$8:'Statement of Marks'!$HI$207,13,0),"")</f>
        <v>46</v>
      </c>
      <c r="J14" s="730">
        <f>IFERROR(IF(AND($P$6="",A14="",F14="",I14=""),"",SUM(C14,D14,E14,G14,H14)),"")</f>
        <v>70</v>
      </c>
      <c r="K14" s="92">
        <f>IFERROR(VLOOKUP($P$6,'Statement of Marks'!$B$8:'Statement of Marks'!$HI$207,15,0),"")</f>
        <v>45</v>
      </c>
      <c r="L14" s="466"/>
      <c r="M14" s="727"/>
      <c r="N14" s="765">
        <f>IFERROR(VLOOKUP($P$6,'Statement of Marks'!$B$8:'Statement of Marks'!$HI$207,15,0),"")</f>
        <v>45</v>
      </c>
      <c r="O14" s="708">
        <f>IFERROR(VLOOKUP($P$6,'Statement of Marks'!$B$8:'Statement of Marks'!$HI$207,16,0),"")</f>
        <v>115</v>
      </c>
      <c r="P14" s="728" t="str">
        <f>IFERROR(IF(N14="","",IF(VLOOKUP($P$6,'Statement of Marks'!$B$8:'Statement of Marks'!$HI$207,165,0)="D","I",VLOOKUP($P$6,'Statement of Marks'!$B$8:'Statement of Marks'!$HI$207,165,0))),"")</f>
        <v>II</v>
      </c>
      <c r="Q14" s="1553" t="str">
        <f>IF(AND(O14=""),"",IF(AND(O14&gt;=($O$13-COUNTIF(C14:D14,"NA")*10)*75%),A14,""))</f>
        <v/>
      </c>
      <c r="R14" s="1553"/>
      <c r="S14" s="1620" t="str">
        <f>IFERROR(VLOOKUP($P$6,'Statement of Marks'!$B$8:'Statement of Marks'!$HI$207,202,0),"")</f>
        <v xml:space="preserve">    </v>
      </c>
      <c r="T14" s="1621"/>
    </row>
    <row r="15" spans="1:43" ht="24.95" customHeight="1">
      <c r="A15" s="1585" t="str">
        <f>'Statement of Marks'!X3</f>
        <v>Com. English</v>
      </c>
      <c r="B15" s="1586"/>
      <c r="C15" s="92">
        <f>IFERROR(VLOOKUP($P$6,'Statement of Marks'!$B$8:'Statement of Marks'!$HI$207,23,0),"")</f>
        <v>9</v>
      </c>
      <c r="D15" s="92">
        <f>IFERROR(VLOOKUP($P$6,'Statement of Marks'!$B$8:'Statement of Marks'!$HI$207,24,0),"")</f>
        <v>5</v>
      </c>
      <c r="E15" s="92">
        <f>IFERROR(VLOOKUP($P$6,'Statement of Marks'!$B$8:'Statement of Marks'!$HI$207,25,0),"")</f>
        <v>7</v>
      </c>
      <c r="F15" s="465">
        <f>IFERROR(VLOOKUP($P$6,'Statement of Marks'!$B$8:'Statement of Marks'!$HI$207,26,0),"")</f>
        <v>21</v>
      </c>
      <c r="G15" s="92">
        <f>IFERROR(VLOOKUP($P$6,'Statement of Marks'!$B$8:'Statement of Marks'!$HI$207,27,0),"")</f>
        <v>41</v>
      </c>
      <c r="H15" s="92"/>
      <c r="I15" s="793">
        <f>IFERROR(VLOOKUP($P$6,'Statement of Marks'!$B$8:'Statement of Marks'!$HI$207,27,0),"")</f>
        <v>41</v>
      </c>
      <c r="J15" s="730">
        <f>IFERROR(IF(AND($P$6="",A15="",F15="",I15=""),"",SUM(C15,D15,E15,G15,H15)),"")</f>
        <v>62</v>
      </c>
      <c r="K15" s="92">
        <f>IFERROR(VLOOKUP($P$6,'Statement of Marks'!$B$8:'Statement of Marks'!$HI$207,29,0),"")</f>
        <v>71</v>
      </c>
      <c r="L15" s="466"/>
      <c r="M15" s="727"/>
      <c r="N15" s="765">
        <f>IFERROR(VLOOKUP($P$6,'Statement of Marks'!$B$8:'Statement of Marks'!$HI$207,29,0),"")</f>
        <v>71</v>
      </c>
      <c r="O15" s="708">
        <f>IFERROR(VLOOKUP($P$6,'Statement of Marks'!$B$8:'Statement of Marks'!$HI$207,30,0),"")</f>
        <v>133</v>
      </c>
      <c r="P15" s="728" t="str">
        <f>IFERROR(IF(O15="","",IF(VLOOKUP($P$6,'Statement of Marks'!$B$8:'Statement of Marks'!$HI$207,168,0)="D","I",VLOOKUP($P$6,'Statement of Marks'!$B$8:'Statement of Marks'!$HI$207,168,0))),"")</f>
        <v>I</v>
      </c>
      <c r="Q15" s="1553" t="str">
        <f t="shared" ref="Q15:Q17" si="0">IF(AND(O15=""),"",IF(AND(O15&gt;=($O$13-COUNTIF(C15:D15,"NA")*10)*75%),A15,""))</f>
        <v/>
      </c>
      <c r="R15" s="1553"/>
      <c r="S15" s="1622"/>
      <c r="T15" s="1623"/>
      <c r="AQ15" s="17" t="str">
        <f>IFERROR(IF(VLOOKUP(P6,'Statement of Marks'!$B$7:'Statement of Marks'!$IC$206,206,0)="By Grace Pass","By Grace Pass and Promoted to Class 12th",IF(VLOOKUP(P6,'Statement of Marks'!$B$7:'Statement of Marks'!$IC$206,206,0)="PASS","PASS  and Promoted to Class 12th",IF(VLOOKUP(P6,'Statement of Marks'!$B$7:'Statement of Marks'!$IC$206,206,0)="SUPPLEMENTARY","Supplementary",IF(VLOOKUP(P6,'Statement of Marks'!$B$7:'Statement of Marks'!$IC$206,206,0)="Re-Exam","RE-EXAM",IF(VLOOKUP(P6,'Statement of Marks'!$B$7:'Statement of Marks'!$IC$206,206,0)="FAIL","FAIL",""))))),"")</f>
        <v>PASS  and Promoted to Class 12th</v>
      </c>
    </row>
    <row r="16" spans="1:43" ht="24.95" customHeight="1">
      <c r="A16" s="1606" t="str">
        <f>IFERROR(IF(AND(AI16="A"),'Marks Entry'!U2,IF(AND(AI16="B"),'Marks Entry'!Y2,IF(AND(AI16="C"),'Marks Entry'!AA2,""))),"")</f>
        <v>BIOLOGY</v>
      </c>
      <c r="B16" s="1607"/>
      <c r="C16" s="92">
        <f>IFERROR(VLOOKUP($P$6,'Statement of Marks'!$B$8:'Statement of Marks'!$HI$207,38,0),"")</f>
        <v>9</v>
      </c>
      <c r="D16" s="92">
        <f>IFERROR(VLOOKUP($P$6,'Statement of Marks'!$B$8:'Statement of Marks'!$HI$207,39,0),"")</f>
        <v>10</v>
      </c>
      <c r="E16" s="92">
        <f>IFERROR(VLOOKUP($P$6,'Statement of Marks'!$B$8:'Statement of Marks'!$HI$207,40,0),"")</f>
        <v>8</v>
      </c>
      <c r="F16" s="465">
        <f>IFERROR(VLOOKUP($P$6,'Statement of Marks'!$B$8:'Statement of Marks'!$HI$207,41,0),"")</f>
        <v>27</v>
      </c>
      <c r="G16" s="92">
        <f>IFERROR(VLOOKUP($P$6,'Statement of Marks'!$B$8:'Statement of Marks'!$HI$207,42,0),"")</f>
        <v>34</v>
      </c>
      <c r="H16" s="92">
        <f>IFERROR(VLOOKUP($P$6,'Statement of Marks'!$B$8:'Statement of Marks'!$HI$207,43,0),"")</f>
        <v>8</v>
      </c>
      <c r="I16" s="793">
        <f>IFERROR(VLOOKUP($P$6,'Statement of Marks'!$B$8:'Statement of Marks'!$HI$207,44,0),"")</f>
        <v>42</v>
      </c>
      <c r="J16" s="730">
        <f>IFERROR(IF(AND($P$6="",A16="",F16="",I16=""),"",SUM(C16,D16,E16,G16,H16)),"")</f>
        <v>69</v>
      </c>
      <c r="K16" s="92">
        <f>IFERROR(VLOOKUP($P$6,'Statement of Marks'!$B$8:'Statement of Marks'!$HI$207,46,0),"")</f>
        <v>53</v>
      </c>
      <c r="L16" s="92">
        <f>IFERROR(VLOOKUP($P$6,'Statement of Marks'!$B$8:'Statement of Marks'!$HI$207,47,0),"")</f>
        <v>10</v>
      </c>
      <c r="M16" s="727"/>
      <c r="N16" s="765">
        <f>IFERROR(VLOOKUP($P$6,'Statement of Marks'!$B$8:'Statement of Marks'!$HI$207,48,0),"")</f>
        <v>63</v>
      </c>
      <c r="O16" s="708">
        <f>IFERROR(VLOOKUP($P$6,'Statement of Marks'!$B$8:'Statement of Marks'!$HI$207,51,0),"")</f>
        <v>132</v>
      </c>
      <c r="P16" s="728" t="str">
        <f>IFERROR(IF(O16="","",IF(VLOOKUP($P$6,'Statement of Marks'!$B$8:'Statement of Marks'!$HI$207,171,0)="D","I",VLOOKUP($P$6,'Statement of Marks'!$B$8:'Statement of Marks'!$HI$207,171,0))),"")</f>
        <v>I</v>
      </c>
      <c r="Q16" s="1553" t="str">
        <f t="shared" si="0"/>
        <v/>
      </c>
      <c r="R16" s="1553"/>
      <c r="S16" s="1622"/>
      <c r="T16" s="1623"/>
      <c r="AI16" s="17" t="str">
        <f>IFERROR(VLOOKUP($P$6,'Statement of Marks'!$B$8:'Statement of Marks'!$HI$207,37,0),"")</f>
        <v>B</v>
      </c>
      <c r="AQ16" s="17" t="str">
        <f>IFERROR(IF(VLOOKUP(P6,'Statement of Marks'!$B$7:'Statement of Marks'!$IC$206,206,0)="By Grace Pass","सानुग्रह उतीर्ण एवं कक्षा 12 में क्रमोन्नत",IF(VLOOKUP(P6,'Statement of Marks'!$B$7:'Statement of Marks'!$IC$206,206,0)="PASS","उतीर्ण एवं कक्षा 12 में क्रमोन्नत",IF(VLOOKUP(P6,'Statement of Marks'!$B$7:'Statement of Marks'!$IC$206,206,0)="SUPPLEMENTARY","पूरक",IF(VLOOKUP(P6,'Statement of Marks'!$B$7:'Statement of Marks'!$IC$206,206,0)="Re-Exam","पुनः परीक्षा",IF(VLOOKUP(P6,'Statement of Marks'!$B$7:'Statement of Marks'!$IC$206,206,0)="FAIL","अनुतीर्ण",""))))),"")</f>
        <v>उतीर्ण एवं कक्षा 12 में क्रमोन्नत</v>
      </c>
    </row>
    <row r="17" spans="1:43" ht="24.95" customHeight="1">
      <c r="A17" s="1606" t="str">
        <f>IFERROR(IF(AND(AI17="A"),'Marks Entry'!AC2,IF(AND(AI17="B"),'Marks Entry'!AG2,IF(AND(AI17="C"),'Marks Entry'!AI2,""))),"")</f>
        <v>ACCOUNTANCY</v>
      </c>
      <c r="B17" s="1607"/>
      <c r="C17" s="92">
        <f>IFERROR(VLOOKUP($P$6,'Statement of Marks'!$B$8:'Statement of Marks'!$HI$207,61,0),"")</f>
        <v>8</v>
      </c>
      <c r="D17" s="92">
        <f>IFERROR(VLOOKUP($P$6,'Statement of Marks'!$B$8:'Statement of Marks'!$HI$207,62,0),"")</f>
        <v>10</v>
      </c>
      <c r="E17" s="92">
        <f>IFERROR(VLOOKUP($P$6,'Statement of Marks'!$B$8:'Statement of Marks'!$HI$207,63,0),"")</f>
        <v>9</v>
      </c>
      <c r="F17" s="465">
        <f>IFERROR(VLOOKUP($P$6,'Statement of Marks'!$B$8:'Statement of Marks'!$HI$207,64,0),"")</f>
        <v>27</v>
      </c>
      <c r="G17" s="92">
        <f>IFERROR(VLOOKUP($P$6,'Statement of Marks'!$B$8:'Statement of Marks'!$HI$207,65,0),"")</f>
        <v>45</v>
      </c>
      <c r="H17" s="92">
        <f>IFERROR(VLOOKUP($P$6,'Statement of Marks'!$B$8:'Statement of Marks'!$HI$207,66,0),"")</f>
        <v>16</v>
      </c>
      <c r="I17" s="793">
        <f>IFERROR(VLOOKUP($P$6,'Statement of Marks'!$B$8:'Statement of Marks'!$HI$207,67,0),"")</f>
        <v>61</v>
      </c>
      <c r="J17" s="730">
        <f>IFERROR(IF(AND($P$6="",A17="",F17="",I17=""),"",SUM(C17,D17,E17,G17,H17)),"")</f>
        <v>88</v>
      </c>
      <c r="K17" s="92">
        <f>IFERROR(VLOOKUP($P$6,'Statement of Marks'!$B$8:'Statement of Marks'!$HI$207,69,0),"")</f>
        <v>42</v>
      </c>
      <c r="L17" s="92">
        <f>IFERROR(VLOOKUP($P$6,'Statement of Marks'!$B$8:'Statement of Marks'!$HI$207,70,0),"")</f>
        <v>25</v>
      </c>
      <c r="M17" s="727"/>
      <c r="N17" s="765">
        <f>IFERROR(VLOOKUP($P$6,'Statement of Marks'!$B$8:'Statement of Marks'!$HI$207,71,0),"")</f>
        <v>67</v>
      </c>
      <c r="O17" s="708">
        <f>IFERROR(VLOOKUP($P$6,'Statement of Marks'!$B$8:'Statement of Marks'!$HI$207,74,0),"")</f>
        <v>155</v>
      </c>
      <c r="P17" s="728" t="str">
        <f>IFERROR(IF(O17="","",IF(VLOOKUP($P$6,'Statement of Marks'!$B$8:'Statement of Marks'!$HI$207,178,0)="D","I",VLOOKUP($P$6,'Statement of Marks'!$B$8:'Statement of Marks'!$HI$207,178,0))),"")</f>
        <v>I</v>
      </c>
      <c r="Q17" s="1553" t="str">
        <f t="shared" si="0"/>
        <v>ACCOUNTANCY</v>
      </c>
      <c r="R17" s="1553"/>
      <c r="S17" s="1622"/>
      <c r="T17" s="1623"/>
      <c r="AI17" s="17" t="str">
        <f>IFERROR(VLOOKUP($P$6,'Statement of Marks'!$B$8:'Statement of Marks'!$HI$207,60,0),"")</f>
        <v>B</v>
      </c>
      <c r="AQ17" s="17" t="str">
        <f>IF('Master Sheet'!$D$11="Hindi",AQ16,AQ15)</f>
        <v>उतीर्ण एवं कक्षा 12 में क्रमोन्नत</v>
      </c>
    </row>
    <row r="18" spans="1:43" ht="24.95" customHeight="1">
      <c r="A18" s="1606" t="str">
        <f>IFERROR(IF(AND(AI18="A"),'Marks Entry'!AK2,IF(AND(AI18="B"),'Marks Entry'!AO2,IF(AND(AI18="C"),'Marks Entry'!AQ2,""))),"")</f>
        <v>HOME SCIENCE</v>
      </c>
      <c r="B18" s="1607"/>
      <c r="C18" s="92">
        <f>IFERROR(VLOOKUP($P$6,'Statement of Marks'!$B$8:'Statement of Marks'!$HI$207,84,0),"")</f>
        <v>4</v>
      </c>
      <c r="D18" s="92">
        <f>IFERROR(VLOOKUP($P$6,'Statement of Marks'!$B$8:'Statement of Marks'!$HI$207,85,0),"")</f>
        <v>4</v>
      </c>
      <c r="E18" s="92">
        <f>IFERROR(VLOOKUP($P$6,'Statement of Marks'!$B$8:'Statement of Marks'!$HI$207,86,0),"")</f>
        <v>9</v>
      </c>
      <c r="F18" s="465">
        <f>IFERROR(VLOOKUP($P$6,'Statement of Marks'!$B$8:'Statement of Marks'!$HI$207,87,0),"")</f>
        <v>17</v>
      </c>
      <c r="G18" s="92">
        <f>IFERROR(VLOOKUP($P$6,'Statement of Marks'!$B$8:'Statement of Marks'!$HI$207,88,0),"")</f>
        <v>10</v>
      </c>
      <c r="H18" s="92">
        <f>IFERROR(VLOOKUP($P$6,'Statement of Marks'!$B$8:'Statement of Marks'!$HI$207,89,0),"")</f>
        <v>20</v>
      </c>
      <c r="I18" s="793">
        <f>IFERROR(VLOOKUP($P$6,'Statement of Marks'!$B$8:'Statement of Marks'!$HI$207,90,0),"")</f>
        <v>30</v>
      </c>
      <c r="J18" s="730">
        <f>IFERROR(IF(AND($P$6="",A18="",F18="",I18=""),"",SUM(C18,D18,E18,G18,H18)),"")</f>
        <v>47</v>
      </c>
      <c r="K18" s="92">
        <f>IFERROR(VLOOKUP($P$6,'Statement of Marks'!$B$8:'Statement of Marks'!$HI$207,92,0),"")</f>
        <v>45</v>
      </c>
      <c r="L18" s="92">
        <f>IFERROR(VLOOKUP($P$6,'Statement of Marks'!$B$8:'Statement of Marks'!$HI$207,93,0),"")</f>
        <v>15</v>
      </c>
      <c r="M18" s="727"/>
      <c r="N18" s="765">
        <f>IFERROR(VLOOKUP($P$6,'Statement of Marks'!$B$8:'Statement of Marks'!$HI$207,94,0),"")</f>
        <v>60</v>
      </c>
      <c r="O18" s="708">
        <f>IFERROR(VLOOKUP($P$6,'Statement of Marks'!$B$8:'Statement of Marks'!$HI$207,97,0),"")</f>
        <v>107</v>
      </c>
      <c r="P18" s="728" t="str">
        <f>IFERROR(IF(O18="","",IF(VLOOKUP($P$6,'Statement of Marks'!$B$8:'Statement of Marks'!$HI$207,185,0)="D","I",VLOOKUP($P$6,'Statement of Marks'!$B$8:'Statement of Marks'!$HI$207,185,0))),"")</f>
        <v>II</v>
      </c>
      <c r="Q18" s="1553" t="str">
        <f>IF(AND(O18=""),"",IF(AND(O18&gt;=($O$13-COUNTIF(C18:D18,"NA")*10)*75%),A18,""))</f>
        <v/>
      </c>
      <c r="R18" s="1553"/>
      <c r="S18" s="1624"/>
      <c r="T18" s="1625"/>
      <c r="AI18" s="17" t="str">
        <f>IFERROR(VLOOKUP($P$6,'Statement of Marks'!$B$8:'Statement of Marks'!$HI$207,83,0),"")</f>
        <v>B</v>
      </c>
    </row>
    <row r="19" spans="1:43" ht="20.25" customHeight="1">
      <c r="A19" s="1616" t="str">
        <f>IF('Master Sheet'!D11="Hindi","व्यावसायिक शिक्षा / अतिरिक्त विषय","Vocational Education / Additional Subject")</f>
        <v>व्यावसायिक शिक्षा / अतिरिक्त विषय</v>
      </c>
      <c r="B19" s="1617"/>
      <c r="C19" s="1617"/>
      <c r="D19" s="1617"/>
      <c r="E19" s="1617"/>
      <c r="F19" s="1617"/>
      <c r="G19" s="1617"/>
      <c r="H19" s="1617"/>
      <c r="I19" s="1617"/>
      <c r="J19" s="1617"/>
      <c r="K19" s="1617"/>
      <c r="L19" s="1617"/>
      <c r="M19" s="1617"/>
      <c r="N19" s="1618"/>
      <c r="O19" s="1618"/>
      <c r="P19" s="1617"/>
      <c r="Q19" s="1617"/>
      <c r="R19" s="1617"/>
      <c r="S19" s="1617"/>
      <c r="T19" s="1619"/>
      <c r="AI19" s="71"/>
      <c r="AJ19" s="71"/>
      <c r="AK19" s="71"/>
      <c r="AL19" s="71"/>
      <c r="AM19" s="71"/>
      <c r="AN19" s="71"/>
      <c r="AO19" s="71"/>
      <c r="AP19" s="70"/>
      <c r="AQ19" s="70"/>
    </row>
    <row r="20" spans="1:43" ht="24.95" customHeight="1">
      <c r="A20" s="1585" t="str">
        <f>IFERROR(IF(AND(AI20="A"),'Marks Entry'!AS2,IF(AND(AI20="B"),'Marks Entry'!AW2,IF(AND(AI20="C"),'Marks Entry'!AY2,""))),"")</f>
        <v>MATHEMATICS</v>
      </c>
      <c r="B20" s="1586"/>
      <c r="C20" s="92">
        <f>IFERROR(VLOOKUP($P$6,'Statement of Marks'!$B$8:'Statement of Marks'!$HI$207,108,0),"")</f>
        <v>9</v>
      </c>
      <c r="D20" s="92">
        <f>IFERROR(VLOOKUP($P$6,'Statement of Marks'!$B$8:'Statement of Marks'!$HI$207,109,0),"")</f>
        <v>9</v>
      </c>
      <c r="E20" s="92">
        <f>IFERROR(VLOOKUP($P$6,'Statement of Marks'!$B$8:'Statement of Marks'!$HI$207,110,0),"")</f>
        <v>9</v>
      </c>
      <c r="F20" s="92">
        <f>IFERROR(VLOOKUP($P$6,'Statement of Marks'!$B$8:'Statement of Marks'!$HI$207,111,0),"")</f>
        <v>27</v>
      </c>
      <c r="G20" s="93">
        <f>IFERROR(VLOOKUP($P$6,'Statement of Marks'!$B$8:'Statement of Marks'!$HI$207,112,0),"")</f>
        <v>50</v>
      </c>
      <c r="H20" s="93" t="str">
        <f>IFERROR(VLOOKUP($P$6,'Statement of Marks'!$B$8:'Statement of Marks'!$HI$207,113,0),"")</f>
        <v/>
      </c>
      <c r="I20" s="465">
        <f>IFERROR(VLOOKUP($P$6,'Statement of Marks'!$B$8:'Statement of Marks'!$HI$207,114,0),"")</f>
        <v>50</v>
      </c>
      <c r="J20" s="706">
        <f>IFERROR(IF(OR($P$6="",A20="",F20="",I20=""),"",SUM(C20,D20,E20,G20,H20)),"")</f>
        <v>77</v>
      </c>
      <c r="K20" s="92">
        <f>IFERROR(VLOOKUP($P$6,'Statement of Marks'!$B$8:'Statement of Marks'!$HI$207,116,0),"")</f>
        <v>70</v>
      </c>
      <c r="L20" s="92" t="str">
        <f>IFERROR(VLOOKUP($P$6,'Statement of Marks'!$B$8:'Statement of Marks'!$HI$207,118,0),"")</f>
        <v/>
      </c>
      <c r="M20" s="92" t="str">
        <f>IFERROR(VLOOKUP($P$6,'Statement of Marks'!$B$8:'Statement of Marks'!$HI$207,117,0),"")</f>
        <v/>
      </c>
      <c r="N20" s="464">
        <f>IFERROR(VLOOKUP($P$6,'Statement of Marks'!$B$8:'Statement of Marks'!$HI$207,119,0),"")</f>
        <v>70</v>
      </c>
      <c r="O20" s="708">
        <f>IFERROR(VLOOKUP($P$6,'Statement of Marks'!$B$8:'Statement of Marks'!$HI$207,123,0),"")</f>
        <v>147</v>
      </c>
      <c r="P20" s="467" t="str">
        <f>IFERROR(IF(O20="","",IF(VLOOKUP($P$6,'Statement of Marks'!$B$8:'Statement of Marks'!$HI$207,192,0)="D","I",VLOOKUP($P$6,'Statement of Marks'!$B$8:'Statement of Marks'!$HI$207,192,0))),"")</f>
        <v>I</v>
      </c>
      <c r="Q20" s="1565" t="str">
        <f>IF(AND(O20=""),"",IF(AND(O20&gt;=($O$13-COUNTIF(C20:D20,"NA")*10)*75%),A20,""))</f>
        <v/>
      </c>
      <c r="R20" s="1565"/>
      <c r="S20" s="1626"/>
      <c r="T20" s="1627"/>
      <c r="AI20" s="70" t="str">
        <f>IFERROR(VLOOKUP($P$6,'Statement of Marks'!$B$8:'Statement of Marks'!$HI$207,107,0),"")</f>
        <v>A</v>
      </c>
      <c r="AJ20" s="70"/>
      <c r="AK20" s="70"/>
      <c r="AL20" s="70"/>
      <c r="AM20" s="70"/>
      <c r="AN20" s="70"/>
      <c r="AO20" s="70"/>
      <c r="AP20" s="70"/>
      <c r="AQ20" s="70"/>
    </row>
    <row r="21" spans="1:43" ht="48" customHeight="1">
      <c r="A21" s="1601" t="str">
        <f>IF('Master Sheet'!D11="Hindi","प्राप्तांक","Marks Obtained")</f>
        <v>प्राप्तांक</v>
      </c>
      <c r="B21" s="1602"/>
      <c r="C21" s="707">
        <f t="shared" ref="C21:J21" si="1">IF(AND($P$6=""),"",IF(AND(C14="",C15="",C16="",C17="",C18=""),"",SUM(C14:C18)))</f>
        <v>38</v>
      </c>
      <c r="D21" s="707">
        <f t="shared" si="1"/>
        <v>38</v>
      </c>
      <c r="E21" s="707">
        <f t="shared" si="1"/>
        <v>40</v>
      </c>
      <c r="F21" s="707">
        <f t="shared" si="1"/>
        <v>116</v>
      </c>
      <c r="G21" s="707">
        <f t="shared" si="1"/>
        <v>176</v>
      </c>
      <c r="H21" s="707">
        <f t="shared" si="1"/>
        <v>44</v>
      </c>
      <c r="I21" s="707">
        <f t="shared" si="1"/>
        <v>220</v>
      </c>
      <c r="J21" s="707">
        <f t="shared" si="1"/>
        <v>336</v>
      </c>
      <c r="K21" s="707">
        <f>IF(AND($P$6=""),"",IF(AND($K$18="",$L$18="",$M$18=""),SUM(K14,K15,K16,K17,K20),IF(AND('Master Sheet'!$D$19="YES",'Marks Entry'!$BA$1=1),SUM(K14,K15,K16,K17,K20),SUM(K14:K18))))</f>
        <v>256</v>
      </c>
      <c r="L21" s="766">
        <f>IF(AND($P$6=""),"",IF(AND($K$18="",$L$18="",$M$18=""),SUM(L14,L15,L16,L17,L20),IF(AND('Master Sheet'!$D$19="YES",'Marks Entry'!$BA$1=1),SUM(L14,L15,L16,L17,L20),SUM(L14:L18))))</f>
        <v>50</v>
      </c>
      <c r="M21" s="766">
        <f>IF(AND($P$6=""),"",IF(AND($K$18="",$L$18="",$M$18=""),SUM(M14,M15,M16,M17,M20),IF(AND('Master Sheet'!$D$19="YES",'Marks Entry'!$BA$1=1),SUM(M14,M15,M16,M17,M20),SUM(M14:M18))))</f>
        <v>0</v>
      </c>
      <c r="N21" s="766">
        <f>IF(AND($P$6=""),"",IF(AND($K$18="",$L$18="",$M$18=""),SUM(N14,N15,N16,N17,N20),IF(AND('Master Sheet'!$D$19="YES",'Marks Entry'!$BA$1=1),SUM(N14,N15,N16,N17,N20),SUM(N14:N18))))</f>
        <v>306</v>
      </c>
      <c r="O21" s="734">
        <f>IFERROR(VLOOKUP($P$6,'Statement of Marks'!$B$8:'Statement of Marks'!$HI$207,207,0),"")</f>
        <v>642</v>
      </c>
      <c r="P21" s="735">
        <f>IFERROR(VLOOKUP($P$6,'Statement of Marks'!$B$8:'Statement of Marks'!$HI$207,210,0),"")</f>
        <v>64.2</v>
      </c>
      <c r="Q21" s="1603" t="str">
        <f>IFERROR(CONCATENATE(IF('Master Sheet'!$D$11="Hindi","परीक्षा परिणाम","Exam Result")," 
",AQ17),"")</f>
        <v>परीक्षा परिणाम 
उतीर्ण एवं कक्षा 12 में क्रमोन्नत</v>
      </c>
      <c r="R21" s="1604"/>
      <c r="S21" s="1604"/>
      <c r="T21" s="1605"/>
      <c r="W21" s="732"/>
      <c r="X21" s="73"/>
      <c r="AI21" s="72"/>
      <c r="AJ21" s="72"/>
      <c r="AK21" s="72"/>
      <c r="AL21" s="72"/>
      <c r="AM21" s="72"/>
      <c r="AN21" s="72"/>
      <c r="AO21" s="72"/>
      <c r="AP21" s="72"/>
    </row>
    <row r="22" spans="1:43" ht="24.95" customHeight="1">
      <c r="A22" s="1649" t="str">
        <f>IF('Master Sheet'!D11="Hindi","विषय","Subject")</f>
        <v>विषय</v>
      </c>
      <c r="B22" s="1650"/>
      <c r="C22" s="1651"/>
      <c r="D22" s="1658" t="str">
        <f>IF('Master Sheet'!D11="Hindi","पूर्णांक","Max. Marks")</f>
        <v>पूर्णांक</v>
      </c>
      <c r="E22" s="1638"/>
      <c r="F22" s="1639"/>
      <c r="G22" s="1554" t="str">
        <f>IF('Master Sheet'!D11="Hindi","प्राप्तांक","Marks Obtained")</f>
        <v>प्राप्तांक</v>
      </c>
      <c r="H22" s="1555"/>
      <c r="I22" s="1643" t="str">
        <f>IF('Master Sheet'!$D$11="Hindi","विषय ग्रेड","Sub. Grade")</f>
        <v>विषय ग्रेड</v>
      </c>
      <c r="J22" s="1654"/>
      <c r="K22" s="1637" t="str">
        <f>IF('Master Sheet'!D11="Hindi","विषय","Subject")</f>
        <v>विषय</v>
      </c>
      <c r="L22" s="1637"/>
      <c r="M22" s="1637"/>
      <c r="N22" s="1637"/>
      <c r="O22" s="1638" t="str">
        <f>IF('Master Sheet'!D11="Hindi","पूर्णांक","Max. Marks")</f>
        <v>पूर्णांक</v>
      </c>
      <c r="P22" s="1639"/>
      <c r="Q22" s="1554" t="str">
        <f>IF('Master Sheet'!D11="Hindi","प्राप्तांक","Marks Obtained")</f>
        <v>प्राप्तांक</v>
      </c>
      <c r="R22" s="1555"/>
      <c r="S22" s="1643" t="str">
        <f>IF('Master Sheet'!$D$11="Hindi","विषय ग्रेड","Sub. Grade")</f>
        <v>विषय ग्रेड</v>
      </c>
      <c r="T22" s="1644"/>
      <c r="V22" s="73"/>
      <c r="AI22" s="72"/>
      <c r="AJ22" s="72"/>
      <c r="AK22" s="72"/>
      <c r="AL22" s="72"/>
      <c r="AM22" s="72"/>
      <c r="AN22" s="72"/>
      <c r="AO22" s="72"/>
      <c r="AP22" s="72"/>
    </row>
    <row r="23" spans="1:43" ht="24.95" customHeight="1">
      <c r="A23" s="1649" t="str">
        <f>'Statement of Marks'!EC4</f>
        <v>जीवन कौशल</v>
      </c>
      <c r="B23" s="1650"/>
      <c r="C23" s="1651"/>
      <c r="D23" s="1613">
        <f>IF(AND(N6=""),"",IF('Statement of Marks'!EF6="","",'Statement of Marks'!EF6))</f>
        <v>100</v>
      </c>
      <c r="E23" s="1614"/>
      <c r="F23" s="1615"/>
      <c r="G23" s="1611">
        <f>IFERROR(VLOOKUP($P$6,'Statement of Marks'!$B$8:'Statement of Marks'!$HI$207,135,0),"")</f>
        <v>87</v>
      </c>
      <c r="H23" s="1612"/>
      <c r="I23" s="1645" t="str">
        <f>IFERROR(VLOOKUP($P$6,'Statement of Marks'!$B$8:'Statement of Marks'!$HI$207,140,0),"")</f>
        <v>A</v>
      </c>
      <c r="J23" s="1652"/>
      <c r="K23" s="1637" t="str">
        <f>'Statement of Marks'!EY3</f>
        <v xml:space="preserve">आजादी के बाद का स्वर्णिम भारत </v>
      </c>
      <c r="L23" s="1637"/>
      <c r="M23" s="1637"/>
      <c r="N23" s="1637"/>
      <c r="O23" s="1614">
        <f>IF(AND(N6=""),"",IF('Statement of Marks'!FE6="","",'Statement of Marks'!FE6))</f>
        <v>200</v>
      </c>
      <c r="P23" s="1615"/>
      <c r="Q23" s="1611">
        <f>IFERROR(VLOOKUP($P$6,'Statement of Marks'!$B$8:'Statement of Marks'!$HI$207,160,0),"")</f>
        <v>154</v>
      </c>
      <c r="R23" s="1612"/>
      <c r="S23" s="1645" t="str">
        <f>IFERROR(VLOOKUP($P$6,'Statement of Marks'!$B$8:'Statement of Marks'!$HI$207,161,0),"")</f>
        <v>B</v>
      </c>
      <c r="T23" s="1646"/>
      <c r="V23" s="73"/>
      <c r="AI23" s="72"/>
      <c r="AJ23" s="72"/>
      <c r="AK23" s="72"/>
      <c r="AL23" s="72"/>
      <c r="AM23" s="72"/>
      <c r="AN23" s="72"/>
      <c r="AO23" s="72"/>
      <c r="AP23" s="72"/>
    </row>
    <row r="24" spans="1:43" ht="24.95" customHeight="1">
      <c r="A24" s="1587" t="str">
        <f>IF('Master Sheet'!$D$11="Hindi","परीक्षा परिणाम घोषित दिनांक :-","Date of Result declaration :-")</f>
        <v>परीक्षा परिणाम घोषित दिनांक :-</v>
      </c>
      <c r="B24" s="1588"/>
      <c r="C24" s="1588"/>
      <c r="D24" s="1659">
        <f>IF(AND(N6=""),"",IF('Master Sheet'!D10="","",'Master Sheet'!D10))</f>
        <v>45419</v>
      </c>
      <c r="E24" s="1659"/>
      <c r="F24" s="1659"/>
      <c r="G24" s="1610" t="str">
        <f>IF('Master Sheet'!D11="Hindi","कुल कार्य दिवस","Total Working Days")</f>
        <v>कुल कार्य दिवस</v>
      </c>
      <c r="H24" s="1610"/>
      <c r="I24" s="1610"/>
      <c r="J24" s="1653">
        <f>IFERROR(VLOOKUP($P$6,'Statement of Marks'!$B$8:'Statement of Marks'!$HI$207,162,0),"")</f>
        <v>360</v>
      </c>
      <c r="K24" s="1653"/>
      <c r="L24" s="1610" t="str">
        <f>IF('Master Sheet'!D11="Hindi","कुल उपस्थिति","Student's Attendance")</f>
        <v>कुल उपस्थिति</v>
      </c>
      <c r="M24" s="1610"/>
      <c r="N24" s="1610"/>
      <c r="O24" s="1636">
        <f>IFERROR(VLOOKUP($P$6,'Statement of Marks'!$B$8:'Statement of Marks'!$HI$207,163,0),"")</f>
        <v>344</v>
      </c>
      <c r="P24" s="1636"/>
      <c r="Q24" s="1562" t="str">
        <f>IF('Master Sheet'!D11="Hindi","कक्षा में स्थान","Position in the Class")</f>
        <v>कक्षा में स्थान</v>
      </c>
      <c r="R24" s="1562"/>
      <c r="S24" s="1634">
        <f>IFERROR(VLOOKUP($P$6,'Statement of Marks'!$B$8:'Statement of Marks'!$HI$207,211,0),"")</f>
        <v>4.0000000000000329</v>
      </c>
      <c r="T24" s="1635"/>
      <c r="U24" s="74"/>
      <c r="V24" s="73"/>
    </row>
    <row r="25" spans="1:43" ht="36" customHeight="1">
      <c r="A25" s="1655" t="str">
        <f>IF('Master Sheet'!D11="Hindi","हस्ताक्षर कक्षाध्यापक","Signature of the class teacher")</f>
        <v>हस्ताक्षर कक्षाध्यापक</v>
      </c>
      <c r="B25" s="1656"/>
      <c r="C25" s="1656"/>
      <c r="D25" s="1656"/>
      <c r="E25" s="1657"/>
      <c r="F25" s="1608" t="str">
        <f>IF(AND(N6=""),"",CONCATENATE("( ",UPPER('Master Sheet'!D17)," )"))</f>
        <v>( YOGESH )</v>
      </c>
      <c r="G25" s="1608"/>
      <c r="H25" s="1608"/>
      <c r="I25" s="1608"/>
      <c r="J25" s="1608"/>
      <c r="K25" s="1608"/>
      <c r="L25" s="1608"/>
      <c r="M25" s="1609"/>
      <c r="N25" s="1631" t="str">
        <f>IF(AND(N6=""),"",CONCATENATE("( ",UPPER('Master Sheet'!D12)," )"))</f>
        <v>( USHA PALIYA )</v>
      </c>
      <c r="O25" s="1632"/>
      <c r="P25" s="1632"/>
      <c r="Q25" s="1632"/>
      <c r="R25" s="1632"/>
      <c r="S25" s="1632"/>
      <c r="T25" s="1633"/>
      <c r="V25" s="73"/>
    </row>
    <row r="26" spans="1:43" ht="30" customHeight="1" thickBot="1">
      <c r="A26" s="1640" t="str">
        <f>IF('Master Sheet'!D11="Hindi","हस्ताक्षर परीक्षा प्रभारी","Signature of the exam. Incharge")</f>
        <v>हस्ताक्षर परीक्षा प्रभारी</v>
      </c>
      <c r="B26" s="1641"/>
      <c r="C26" s="1641"/>
      <c r="D26" s="1641"/>
      <c r="E26" s="1642"/>
      <c r="F26" s="1647" t="str">
        <f>IF(AND(N6=""),"",CONCATENATE("( ",UPPER('Master Sheet'!D14)," )"))</f>
        <v>( HEERALAL JAT )</v>
      </c>
      <c r="G26" s="1647"/>
      <c r="H26" s="1647"/>
      <c r="I26" s="1647"/>
      <c r="J26" s="1647"/>
      <c r="K26" s="1647"/>
      <c r="L26" s="1647"/>
      <c r="M26" s="1648"/>
      <c r="N26" s="1628" t="str">
        <f>IF('Master Sheet'!D11="Hindi","हस्ताक्षर संस्था प्रधान","Head of Institute's Signature")</f>
        <v>हस्ताक्षर संस्था प्रधान</v>
      </c>
      <c r="O26" s="1629"/>
      <c r="P26" s="1629"/>
      <c r="Q26" s="1629"/>
      <c r="R26" s="1629"/>
      <c r="S26" s="1629"/>
      <c r="T26" s="1630"/>
    </row>
  </sheetData>
  <sheetProtection password="B18B" sheet="1" objects="1" scenarios="1" formatCells="0" formatColumns="0" formatRows="0"/>
  <protectedRanges>
    <protectedRange password="EA02" sqref="A16:B26 K22:L23" name="reports_2"/>
    <protectedRange password="DC77" sqref="J11" name="Range1"/>
    <protectedRange password="DC77" sqref="M12:N12" name="Range1_1"/>
  </protectedRanges>
  <mergeCells count="86">
    <mergeCell ref="D24:F24"/>
    <mergeCell ref="O23:P23"/>
    <mergeCell ref="K23:N23"/>
    <mergeCell ref="A26:E26"/>
    <mergeCell ref="S22:T22"/>
    <mergeCell ref="S23:T23"/>
    <mergeCell ref="Q23:R23"/>
    <mergeCell ref="Q22:R22"/>
    <mergeCell ref="F26:M26"/>
    <mergeCell ref="A23:C23"/>
    <mergeCell ref="I23:J23"/>
    <mergeCell ref="G24:I24"/>
    <mergeCell ref="J24:K24"/>
    <mergeCell ref="I22:J22"/>
    <mergeCell ref="A25:E25"/>
    <mergeCell ref="A22:C22"/>
    <mergeCell ref="D22:F22"/>
    <mergeCell ref="N26:T26"/>
    <mergeCell ref="N25:T25"/>
    <mergeCell ref="Q24:R24"/>
    <mergeCell ref="S24:T24"/>
    <mergeCell ref="O24:P24"/>
    <mergeCell ref="Q21:T21"/>
    <mergeCell ref="A17:B17"/>
    <mergeCell ref="F25:M25"/>
    <mergeCell ref="L24:N24"/>
    <mergeCell ref="G23:H23"/>
    <mergeCell ref="D23:F23"/>
    <mergeCell ref="A18:B18"/>
    <mergeCell ref="A19:T19"/>
    <mergeCell ref="S14:T18"/>
    <mergeCell ref="A16:B16"/>
    <mergeCell ref="Q18:R18"/>
    <mergeCell ref="Q14:R14"/>
    <mergeCell ref="Q16:R16"/>
    <mergeCell ref="A20:B20"/>
    <mergeCell ref="A15:B15"/>
    <mergeCell ref="S20:T20"/>
    <mergeCell ref="A14:B14"/>
    <mergeCell ref="A24:C24"/>
    <mergeCell ref="A13:B13"/>
    <mergeCell ref="H5:I5"/>
    <mergeCell ref="N6:O6"/>
    <mergeCell ref="O11:O12"/>
    <mergeCell ref="N5:O5"/>
    <mergeCell ref="D7:K7"/>
    <mergeCell ref="A11:B12"/>
    <mergeCell ref="J11:J12"/>
    <mergeCell ref="K11:N11"/>
    <mergeCell ref="G11:I11"/>
    <mergeCell ref="C11:F11"/>
    <mergeCell ref="A21:B21"/>
    <mergeCell ref="K22:N22"/>
    <mergeCell ref="O22:P22"/>
    <mergeCell ref="AA3:AC13"/>
    <mergeCell ref="L6:M6"/>
    <mergeCell ref="L8:M8"/>
    <mergeCell ref="N7:O7"/>
    <mergeCell ref="A3:T3"/>
    <mergeCell ref="G4:O4"/>
    <mergeCell ref="A6:C6"/>
    <mergeCell ref="D6:K6"/>
    <mergeCell ref="A5:C5"/>
    <mergeCell ref="L5:M5"/>
    <mergeCell ref="S11:T13"/>
    <mergeCell ref="J5:K5"/>
    <mergeCell ref="P11:P13"/>
    <mergeCell ref="A7:C7"/>
    <mergeCell ref="A8:C8"/>
    <mergeCell ref="L7:M7"/>
    <mergeCell ref="G1:O1"/>
    <mergeCell ref="D2:Q2"/>
    <mergeCell ref="Q15:R15"/>
    <mergeCell ref="Q17:R17"/>
    <mergeCell ref="G22:H22"/>
    <mergeCell ref="P7:Q7"/>
    <mergeCell ref="P8:R8"/>
    <mergeCell ref="P9:T9"/>
    <mergeCell ref="N8:O8"/>
    <mergeCell ref="M9:O9"/>
    <mergeCell ref="D5:G5"/>
    <mergeCell ref="Q11:R13"/>
    <mergeCell ref="D8:K8"/>
    <mergeCell ref="P5:Q5"/>
    <mergeCell ref="P6:Q6"/>
    <mergeCell ref="Q20:R20"/>
  </mergeCells>
  <conditionalFormatting sqref="B21 A21:A23 K22:K23">
    <cfRule type="expression" dxfId="1" priority="13">
      <formula>ISERROR(A21)</formula>
    </cfRule>
  </conditionalFormatting>
  <pageMargins left="0.8" right="0.3" top="0.25" bottom="0.25" header="0" footer="0"/>
  <pageSetup paperSize="9" scale="88"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K299"/>
  <sheetViews>
    <sheetView showGridLines="0" view="pageBreakPreview" zoomScaleNormal="98" zoomScaleSheetLayoutView="100" workbookViewId="0">
      <selection activeCell="P6" sqref="P6"/>
    </sheetView>
  </sheetViews>
  <sheetFormatPr defaultRowHeight="15"/>
  <cols>
    <col min="1" max="1" width="4.25" customWidth="1"/>
    <col min="2" max="2" width="17.375" customWidth="1"/>
    <col min="3" max="8" width="5.125" customWidth="1"/>
    <col min="9" max="9" width="5.25" customWidth="1"/>
    <col min="10" max="14" width="5.125" customWidth="1"/>
    <col min="15" max="15" width="5.625" customWidth="1"/>
    <col min="16" max="16" width="6.875" customWidth="1"/>
    <col min="17" max="17" width="4.625" customWidth="1"/>
    <col min="18" max="18" width="17.375" customWidth="1"/>
    <col min="19" max="29" width="5.125" customWidth="1"/>
    <col min="30" max="31" width="5.625" customWidth="1"/>
    <col min="32" max="32" width="6.5" customWidth="1"/>
    <col min="40" max="40" width="9" hidden="1" customWidth="1"/>
    <col min="42" max="42" width="9" customWidth="1"/>
    <col min="43" max="43" width="9" style="17" hidden="1" customWidth="1"/>
    <col min="44" max="44" width="9" hidden="1" customWidth="1"/>
    <col min="45" max="45" width="10.125" hidden="1" customWidth="1"/>
    <col min="46" max="50" width="9" hidden="1" customWidth="1"/>
    <col min="51" max="51" width="10.125" hidden="1" customWidth="1"/>
    <col min="52" max="56" width="9" hidden="1" customWidth="1"/>
    <col min="57" max="58" width="9" style="17" hidden="1" customWidth="1"/>
    <col min="59" max="63" width="9" hidden="1" customWidth="1"/>
    <col min="64" max="67" width="9" customWidth="1"/>
  </cols>
  <sheetData>
    <row r="1" spans="1:58" s="17" customFormat="1" ht="22.5" customHeight="1">
      <c r="A1" s="100"/>
      <c r="B1" s="94"/>
      <c r="C1" s="1551" t="str">
        <f>IF('Master Sheet'!$D$11="Hindi","वार्षिक रिपोर्ट कार्ड ","Report Card")</f>
        <v xml:space="preserve">वार्षिक रिपोर्ट कार्ड </v>
      </c>
      <c r="D1" s="1551"/>
      <c r="E1" s="1551"/>
      <c r="F1" s="1551"/>
      <c r="G1" s="1551"/>
      <c r="H1" s="1551"/>
      <c r="I1" s="1551"/>
      <c r="J1" s="1551"/>
      <c r="K1" s="1551"/>
      <c r="L1" s="1551"/>
      <c r="M1" s="1551"/>
      <c r="N1" s="1551"/>
      <c r="O1" s="468"/>
      <c r="P1" s="468"/>
      <c r="Q1" s="1723" t="s">
        <v>144</v>
      </c>
      <c r="R1" s="94"/>
      <c r="S1" s="1551" t="str">
        <f>IF('Master Sheet'!$D$11="Hindi","वार्षिक रिपोर्ट कार्ड ","Report Card")</f>
        <v xml:space="preserve">वार्षिक रिपोर्ट कार्ड </v>
      </c>
      <c r="T1" s="1551"/>
      <c r="U1" s="1551"/>
      <c r="V1" s="1551"/>
      <c r="W1" s="1551"/>
      <c r="X1" s="1551"/>
      <c r="Y1" s="1551"/>
      <c r="Z1" s="1551"/>
      <c r="AA1" s="1551"/>
      <c r="AB1" s="1551"/>
      <c r="AC1" s="1551"/>
      <c r="AD1" s="1551"/>
      <c r="AE1" s="468"/>
      <c r="AF1" s="468"/>
      <c r="AH1" s="76"/>
      <c r="AI1" s="1722" t="s">
        <v>287</v>
      </c>
      <c r="AJ1" s="1722"/>
      <c r="AK1" s="1722"/>
      <c r="AL1" s="76"/>
      <c r="AR1"/>
      <c r="AS1"/>
      <c r="AT1"/>
      <c r="AX1"/>
      <c r="AY1"/>
      <c r="AZ1"/>
    </row>
    <row r="2" spans="1:58" s="17" customFormat="1" ht="22.5" customHeight="1">
      <c r="A2" s="100"/>
      <c r="B2" s="94"/>
      <c r="C2" s="1708" t="str">
        <f>IF('Master Sheet'!$D$11="Hindi","शिक्षा विभाग, राजस्थान सरकार","Education Department, Rajasthan Government")</f>
        <v>शिक्षा विभाग, राजस्थान सरकार</v>
      </c>
      <c r="D2" s="1708"/>
      <c r="E2" s="1708"/>
      <c r="F2" s="1708"/>
      <c r="G2" s="1708"/>
      <c r="H2" s="1708"/>
      <c r="I2" s="1708"/>
      <c r="J2" s="1708"/>
      <c r="K2" s="1708"/>
      <c r="L2" s="1708"/>
      <c r="M2" s="1708"/>
      <c r="N2" s="1708"/>
      <c r="O2" s="468"/>
      <c r="P2" s="468"/>
      <c r="Q2" s="1723"/>
      <c r="R2" s="94"/>
      <c r="S2" s="1708" t="str">
        <f>IF('Master Sheet'!$D$11="Hindi","शिक्षा विभाग, राजस्थान सरकार","Education Department, Rajasthan Government")</f>
        <v>शिक्षा विभाग, राजस्थान सरकार</v>
      </c>
      <c r="T2" s="1708"/>
      <c r="U2" s="1708"/>
      <c r="V2" s="1708"/>
      <c r="W2" s="1708"/>
      <c r="X2" s="1708"/>
      <c r="Y2" s="1708"/>
      <c r="Z2" s="1708"/>
      <c r="AA2" s="1708"/>
      <c r="AB2" s="1708"/>
      <c r="AC2" s="1708"/>
      <c r="AD2" s="1708"/>
      <c r="AE2" s="468"/>
      <c r="AF2" s="468"/>
      <c r="AH2" s="76"/>
      <c r="AI2" s="1722"/>
      <c r="AJ2" s="1722"/>
      <c r="AK2" s="1722"/>
      <c r="AL2" s="76"/>
      <c r="AR2"/>
      <c r="AS2"/>
      <c r="AT2"/>
      <c r="AX2"/>
      <c r="AY2"/>
      <c r="AZ2"/>
    </row>
    <row r="3" spans="1:58" s="17" customFormat="1" ht="24.95" customHeight="1">
      <c r="A3" s="100"/>
      <c r="B3" s="1709" t="str">
        <f>IF('Master Sheet'!$D$11="Hindi",CONCATENATE("विद्यालय का नाम :-","  ",'Master Sheet'!$D$8),CONCATENATE("School Name :-","  ",'Master Sheet'!$D$7))</f>
        <v xml:space="preserve">विद्यालय का नाम :-  महात्मा गाँधी राजकीय विद्यालय (अंग्रेजी माध्यम) बर, पाली </v>
      </c>
      <c r="C3" s="1709"/>
      <c r="D3" s="1709"/>
      <c r="E3" s="1709"/>
      <c r="F3" s="1709"/>
      <c r="G3" s="1709"/>
      <c r="H3" s="1709"/>
      <c r="I3" s="1709"/>
      <c r="J3" s="1709"/>
      <c r="K3" s="1709"/>
      <c r="L3" s="1709"/>
      <c r="M3" s="1709"/>
      <c r="N3" s="1709"/>
      <c r="O3" s="1709"/>
      <c r="P3" s="1709"/>
      <c r="Q3" s="1723"/>
      <c r="R3" s="1709" t="str">
        <f>IF('Master Sheet'!$D$11="Hindi",CONCATENATE("विद्यालय का नाम :-","  ",'Master Sheet'!$D$8),CONCATENATE("School Name :-","  ",'Master Sheet'!$D$7))</f>
        <v xml:space="preserve">विद्यालय का नाम :-  महात्मा गाँधी राजकीय विद्यालय (अंग्रेजी माध्यम) बर, पाली </v>
      </c>
      <c r="S3" s="1709"/>
      <c r="T3" s="1709"/>
      <c r="U3" s="1709"/>
      <c r="V3" s="1709"/>
      <c r="W3" s="1709"/>
      <c r="X3" s="1709"/>
      <c r="Y3" s="1709"/>
      <c r="Z3" s="1709"/>
      <c r="AA3" s="1709"/>
      <c r="AB3" s="1709"/>
      <c r="AC3" s="1709"/>
      <c r="AD3" s="1709"/>
      <c r="AE3" s="1709"/>
      <c r="AF3" s="1709"/>
      <c r="AH3" s="76"/>
      <c r="AI3" s="1722"/>
      <c r="AJ3" s="1722"/>
      <c r="AK3" s="1722"/>
      <c r="AL3" s="76"/>
      <c r="AR3" s="762"/>
      <c r="AS3" s="762"/>
      <c r="AT3" s="762"/>
      <c r="AX3" s="762"/>
      <c r="AY3" s="762"/>
      <c r="AZ3" s="762"/>
    </row>
    <row r="4" spans="1:58" s="17" customFormat="1" ht="19.5" customHeight="1" thickBot="1">
      <c r="A4" s="100"/>
      <c r="B4" s="719"/>
      <c r="C4" s="1710" t="str">
        <f>IF(AND(L7=""),"",IF(AND('Master Sheet'!$D$6=""),"",IF('Master Sheet'!$D$11="Hindi",CONCATENATE("(विद्यालय मान्यता क्रमांक व वर्ष : ","  ",'Master Sheet'!$D$6),CONCATENATE("(School Recognition Number &amp; Years : ","  ",'Master Sheet'!$D$6))))</f>
        <v>(विद्यालय मान्यता क्रमांक व वर्ष :   शिक्षा/पाली/1995/2001</v>
      </c>
      <c r="D4" s="1710"/>
      <c r="E4" s="1710"/>
      <c r="F4" s="1710"/>
      <c r="G4" s="1710"/>
      <c r="H4" s="1710"/>
      <c r="I4" s="1710"/>
      <c r="J4" s="1710"/>
      <c r="K4" s="1710"/>
      <c r="L4" s="1710"/>
      <c r="M4" s="1710"/>
      <c r="N4" s="1710"/>
      <c r="O4" s="1710"/>
      <c r="P4" s="719"/>
      <c r="Q4" s="1723"/>
      <c r="R4" s="719"/>
      <c r="S4" s="1710" t="str">
        <f>IF(AND(AB7=""),"",IF(AND('Master Sheet'!$D$6=""),"",IF('Master Sheet'!$D$11="Hindi",CONCATENATE("(विद्यालय मान्यता क्रमांक व वर्ष : ","  ",'Master Sheet'!$D$6),CONCATENATE("(School Recognition Number &amp; Years : ","  ",'Master Sheet'!$D$6))))</f>
        <v>(विद्यालय मान्यता क्रमांक व वर्ष :   शिक्षा/पाली/1995/2001</v>
      </c>
      <c r="T4" s="1710"/>
      <c r="U4" s="1710"/>
      <c r="V4" s="1710"/>
      <c r="W4" s="1710"/>
      <c r="X4" s="1710"/>
      <c r="Y4" s="1710"/>
      <c r="Z4" s="1710"/>
      <c r="AA4" s="1710"/>
      <c r="AB4" s="1710"/>
      <c r="AC4" s="1710"/>
      <c r="AD4" s="1710"/>
      <c r="AE4" s="1710"/>
      <c r="AF4" s="719"/>
      <c r="AH4" s="76"/>
      <c r="AI4" s="76"/>
      <c r="AJ4" s="77"/>
      <c r="AK4" s="76"/>
      <c r="AL4" s="76"/>
      <c r="AR4"/>
      <c r="AS4"/>
      <c r="AT4"/>
      <c r="AX4"/>
      <c r="AY4"/>
      <c r="AZ4"/>
    </row>
    <row r="5" spans="1:58" s="471" customFormat="1" ht="21" customHeight="1" thickBot="1">
      <c r="A5" s="469"/>
      <c r="B5" s="739" t="str">
        <f>IF('Master Sheet'!$D$11="Hindi","सत्र  :-","Session :-")</f>
        <v>सत्र  :-</v>
      </c>
      <c r="C5" s="1711" t="str">
        <f>'Marks Entry'!$H$1</f>
        <v>2023-2024</v>
      </c>
      <c r="D5" s="1711"/>
      <c r="E5" s="1711"/>
      <c r="F5" s="1711"/>
      <c r="G5" s="1711"/>
      <c r="H5" s="1711"/>
      <c r="I5" s="1703" t="str">
        <f>IF('Master Sheet'!$D$11="Hindi","कक्षा  :-","CLASS :- ")</f>
        <v>कक्षा  :-</v>
      </c>
      <c r="J5" s="1703"/>
      <c r="K5" s="1703"/>
      <c r="L5" s="1712" t="str">
        <f>CONCATENATE('Marks Entry'!$H$2," '",'Marks Entry'!$H$3,"'")</f>
        <v>11 'Arts'</v>
      </c>
      <c r="M5" s="1712"/>
      <c r="N5" s="1712"/>
      <c r="O5" s="1712"/>
      <c r="P5" s="710"/>
      <c r="Q5" s="1723"/>
      <c r="R5" s="739" t="str">
        <f>IF('Master Sheet'!$D$11="Hindi","सत्र  :-","Session :-")</f>
        <v>सत्र  :-</v>
      </c>
      <c r="S5" s="1711" t="str">
        <f>'Marks Entry'!$H$1</f>
        <v>2023-2024</v>
      </c>
      <c r="T5" s="1711"/>
      <c r="U5" s="1711"/>
      <c r="V5" s="1711"/>
      <c r="W5" s="1711"/>
      <c r="X5" s="1711"/>
      <c r="Y5" s="1703" t="str">
        <f>IF('Master Sheet'!$D$11="Hindi","कक्षा  :-","CLASS :- ")</f>
        <v>कक्षा  :-</v>
      </c>
      <c r="Z5" s="1703"/>
      <c r="AA5" s="1703"/>
      <c r="AB5" s="1712" t="str">
        <f>CONCATENATE('Marks Entry'!$H$2," '",'Marks Entry'!$H$3,"'")</f>
        <v>11 'Arts'</v>
      </c>
      <c r="AC5" s="1712"/>
      <c r="AD5" s="1712"/>
      <c r="AE5" s="1712"/>
      <c r="AF5" s="720"/>
      <c r="AH5" s="76"/>
      <c r="AI5" s="78"/>
      <c r="AJ5" s="77" t="s">
        <v>145</v>
      </c>
      <c r="AK5" s="78"/>
      <c r="AL5" s="76"/>
      <c r="AQ5" s="17"/>
      <c r="AR5"/>
      <c r="AS5" s="763">
        <f>L8</f>
        <v>37622</v>
      </c>
      <c r="AT5"/>
      <c r="AX5"/>
      <c r="AY5" s="763">
        <f>AB8</f>
        <v>38090</v>
      </c>
      <c r="AZ5"/>
      <c r="BE5" s="17"/>
      <c r="BF5" s="17"/>
    </row>
    <row r="6" spans="1:58" s="471" customFormat="1" ht="21" customHeight="1" thickBot="1">
      <c r="A6" s="469"/>
      <c r="B6" s="740" t="str">
        <f>IF('Master Sheet'!$D$11="Hindi","विद्यार्थी का नाम :-","Student's Name :-")</f>
        <v>विद्यार्थी का नाम :-</v>
      </c>
      <c r="C6" s="1702" t="str">
        <f>IFERROR(VLOOKUP(L7,'Statement of Marks'!$B$8:'Statement of Marks'!$HI$207,4,0),"")</f>
        <v>A</v>
      </c>
      <c r="D6" s="1702"/>
      <c r="E6" s="1702"/>
      <c r="F6" s="1702"/>
      <c r="G6" s="1702"/>
      <c r="H6" s="1702"/>
      <c r="I6" s="1703" t="str">
        <f>IF('Master Sheet'!$D$11="Hindi","प्रवेशांक :","SR. NO. :")</f>
        <v>प्रवेशांक :</v>
      </c>
      <c r="J6" s="1703"/>
      <c r="K6" s="1703"/>
      <c r="L6" s="1706">
        <f>IFERROR(VLOOKUP(L7,'Statement of Marks'!$B$8:'Statement of Marks'!$HI$207,2,0),"")</f>
        <v>230</v>
      </c>
      <c r="M6" s="1706"/>
      <c r="N6" s="1706"/>
      <c r="O6" s="1706"/>
      <c r="P6" s="472"/>
      <c r="Q6" s="1723"/>
      <c r="R6" s="740" t="str">
        <f>IF('Master Sheet'!$D$11="Hindi","विद्यार्थी का नाम :-","Student's Name :-")</f>
        <v>विद्यार्थी का नाम :-</v>
      </c>
      <c r="S6" s="1702" t="str">
        <f>IFERROR(VLOOKUP(AB7,'Statement of Marks'!$B$8:'Statement of Marks'!$HI$207,4,0),"")</f>
        <v>B</v>
      </c>
      <c r="T6" s="1702"/>
      <c r="U6" s="1702"/>
      <c r="V6" s="1702"/>
      <c r="W6" s="1702"/>
      <c r="X6" s="1702"/>
      <c r="Y6" s="1703" t="str">
        <f>IF('Master Sheet'!$D$11="Hindi","प्रवेशांक :","SR. NO. :")</f>
        <v>प्रवेशांक :</v>
      </c>
      <c r="Z6" s="1703"/>
      <c r="AA6" s="1703"/>
      <c r="AB6" s="1706">
        <f>IFERROR(VLOOKUP(AB7,'Statement of Marks'!$B$8:'Statement of Marks'!$HI$207,2,0),"")</f>
        <v>231</v>
      </c>
      <c r="AC6" s="1706"/>
      <c r="AD6" s="1706"/>
      <c r="AE6" s="1706"/>
      <c r="AF6" s="472"/>
      <c r="AH6" s="76"/>
      <c r="AI6" s="76"/>
      <c r="AJ6" s="76"/>
      <c r="AK6" s="76"/>
      <c r="AL6" s="76"/>
      <c r="AQ6" s="17"/>
      <c r="AR6">
        <f>YEAR(AS5)</f>
        <v>2003</v>
      </c>
      <c r="AS6">
        <f>MONTH(AS5)</f>
        <v>1</v>
      </c>
      <c r="AT6">
        <f>DAY(AS5)</f>
        <v>1</v>
      </c>
      <c r="AU6" s="473"/>
      <c r="AX6">
        <f>YEAR(AY5)</f>
        <v>2004</v>
      </c>
      <c r="AY6">
        <f>MONTH(AY5)</f>
        <v>4</v>
      </c>
      <c r="AZ6">
        <f>DAY(AY5)</f>
        <v>13</v>
      </c>
      <c r="BE6" s="17"/>
      <c r="BF6" s="17"/>
    </row>
    <row r="7" spans="1:58" s="471" customFormat="1" ht="21" customHeight="1">
      <c r="A7" s="469"/>
      <c r="B7" s="740" t="str">
        <f>IF('Master Sheet'!$D$11="Hindi","पिता का नाम :-","Father's Name :-")</f>
        <v>पिता का नाम :-</v>
      </c>
      <c r="C7" s="1702" t="str">
        <f>IFERROR(VLOOKUP(L7,'Statement of Marks'!$B$8:'Statement of Marks'!$HI$207,5,0),"")</f>
        <v>X</v>
      </c>
      <c r="D7" s="1702"/>
      <c r="E7" s="1702"/>
      <c r="F7" s="1702"/>
      <c r="G7" s="1702"/>
      <c r="H7" s="1702"/>
      <c r="I7" s="1703" t="str">
        <f>IF('Master Sheet'!$D$11="Hindi","रोल नंबर :-","Roll No. :")</f>
        <v>रोल नंबर :-</v>
      </c>
      <c r="J7" s="1703"/>
      <c r="K7" s="1703"/>
      <c r="L7" s="1707">
        <f>IF(AN10="","",AN10)</f>
        <v>1101</v>
      </c>
      <c r="M7" s="1707"/>
      <c r="N7" s="1707"/>
      <c r="O7" s="717"/>
      <c r="P7" s="472"/>
      <c r="Q7" s="1723"/>
      <c r="R7" s="740" t="str">
        <f>IF('Master Sheet'!$D$11="Hindi","पिता का नाम :-","Father's Name :-")</f>
        <v>पिता का नाम :-</v>
      </c>
      <c r="S7" s="1702" t="str">
        <f>IFERROR(VLOOKUP(AB7,'Statement of Marks'!$B$8:'Statement of Marks'!$HI$207,5,0),"")</f>
        <v>Y</v>
      </c>
      <c r="T7" s="1702"/>
      <c r="U7" s="1702"/>
      <c r="V7" s="1702"/>
      <c r="W7" s="1702"/>
      <c r="X7" s="1702"/>
      <c r="Y7" s="1703" t="str">
        <f>IF('Master Sheet'!$D$11="Hindi","रोल नंबर :-","Roll No. :")</f>
        <v>रोल नंबर :-</v>
      </c>
      <c r="Z7" s="1703"/>
      <c r="AA7" s="1703"/>
      <c r="AB7" s="1707">
        <f>IF(L7="","",IF(AND(L7+1&gt;$AN$11),"",L7+1))</f>
        <v>1102</v>
      </c>
      <c r="AC7" s="1707"/>
      <c r="AD7" s="1707"/>
      <c r="AE7" s="717"/>
      <c r="AF7" s="472"/>
      <c r="AH7" s="1713" t="str">
        <f>IF('Master Sheet'!$D$11="Hindi",AN13,AN12)</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AI7" s="1714"/>
      <c r="AJ7" s="1714"/>
      <c r="AK7" s="1714"/>
      <c r="AL7" s="1715"/>
      <c r="AQ7" s="17"/>
      <c r="AR7" t="str">
        <f>IF(AR6=2000,"दो हजार",IF(AR6=2001,"दो हजार एक",IF(AR6=2002,"दो हजार दो",IF(AR6=2003,"दो हजार तीन",IF(AR6=2004,"दो हजार चार",IF(AR6=2005,"दो हजार पांच",IF(AR6=2006,"दो हजार छः",IF(AR6=2007,"दो हजार सात",IF(AR6=2008,"दो हजार आठ",IF(AR6=2009,"दो हजार नौ",IF(AR6=2010,"दो हजार दस",IF(AR6=2011,"दो हजार इग्यारह",IF(AR6=2012,"दो हजार बारह",IF(AR6=2013,"दो हजार तेरह",IF(AR6=2014,"दो हजार चौदह",IF(AR6=2015,"दो हजार पंद्रह",IF(AR6=2016,"दो हजार सोलह",IF(AR6=2017,"दो हजार सत्रह",IF(AR6=2018,"दो हजार अठारह",IF(AR6=2019,"दो हजार उन्नीस",IF(AR6=2020,"दो हजार बीस",IF(AR6=2021,"दो हजार इक्कीस",IF(AR6=2022,"दो हजार बाइस","")))))))))))))))))))))))</f>
        <v>दो हजार तीन</v>
      </c>
      <c r="AS7" t="str">
        <f>IF(AS6=1,"जनवरी",IF(AS6=2,"फरवरी",IF(AS6=3,"मार्च",IF(AS6=4,"अप्रैल",IF(AS6=5,"मई",IF(AS6=6,"जून",IF(AS6=7,"जुलाई",IF(AS6=8,"अगस्त",IF(AS6=9,"सितम्बर",IF(AS6=10,"अक्टूबर",IF(AS6=11,"नवम्बर",IF(AS6=12,"दिसम्बर",""))))))))))))</f>
        <v>जनवरी</v>
      </c>
      <c r="AT7" t="str">
        <f>IF(AT6=1,"एक",IF(AT6=2,"दो",IF(AT6=3,"तीन",IF(AT6=4,"चार",IF(AT6=5,"पांच",IF(AT6=6,"छः",IF(AT6=7,"सात",IF(AT6=8,"आठ",IF(AT6=9,"नौ",IF(AT6=10,"दस",IF(AT6=11,"इग्यारह",IF(AT6=12,"बारह",IF(AT6=13,"तेरह",IF(AT6=14,"चौदह",IF(AT6=15,"पंद्रह",IF(AT6=16,"सोलह",IF(AT6=17,"सत्रह",IF(AT6=18,"अठारह",IF(AT6=19,"उन्नीस",IF(AT6=20,"बीस",IF(AT6=21,"इक्कीस",IF(AT6=22,"बाइस",IF(AT6=23,"तेईस",IF(AT6=24,"चौबीस",IF(AT6=25,"पचीस",IF(AT6=26,"छबीस",IF(AT6=27,"सताईस",IF(AT6=28,"अठाइस",IF(AT6=29,"उन्नतीस",IF(AT6=30,"तीस",IF(AT6=31,"इकतीस","")))))))))))))))))))))))))))))))</f>
        <v>एक</v>
      </c>
      <c r="AX7" t="str">
        <f>IF(AX6=2000,"दो हजार",IF(AX6=2001,"दो हजार एक",IF(AX6=2002,"दो हजार दो",IF(AX6=2003,"दो हजार तीन",IF(AX6=2004,"दो हजार चार",IF(AX6=2005,"दो हजार पांच",IF(AX6=2006,"दो हजार छः",IF(AX6=2007,"दो हजार सात",IF(AX6=2008,"दो हजार आठ",IF(AX6=2009,"दो हजार नौ",IF(AX6=2010,"दो हजार दस",IF(AX6=2011,"दो हजार इग्यारह",IF(AX6=2012,"दो हजार बारह",IF(AX6=2013,"दो हजार तेरह",IF(AX6=2014,"दो हजार चौदह",IF(AX6=2015,"दो हजार पंद्रह",IF(AX6=2016,"दो हजार सोलह",IF(AX6=2017,"दो हजार सत्रह",IF(AX6=2018,"दो हजार अठारह",IF(AX6=2019,"दो हजार उन्नीस",IF(AX6=2020,"दो हजार बीस",IF(AX6=2021,"दो हजार इक्कीस",IF(AX6=2022,"दो हजार बाइस","")))))))))))))))))))))))</f>
        <v>दो हजार चार</v>
      </c>
      <c r="AY7" t="str">
        <f>IF(AY6=1,"जनवरी",IF(AY6=2,"फरवरी",IF(AY6=3,"मार्च",IF(AY6=4,"अप्रैल",IF(AY6=5,"मई",IF(AY6=6,"जून",IF(AY6=7,"जुलाई",IF(AY6=8,"अगस्त",IF(AY6=9,"सितम्बर",IF(AY6=10,"अक्टूबर",IF(AY6=11,"नवम्बर",IF(AY6=12,"दिसम्बर",""))))))))))))</f>
        <v>अप्रैल</v>
      </c>
      <c r="AZ7" t="str">
        <f>IF(AZ6=1,"एक",IF(AZ6=2,"दो",IF(AZ6=3,"तीन",IF(AZ6=4,"चार",IF(AZ6=5,"पांच",IF(AZ6=6,"छः",IF(AZ6=7,"सात",IF(AZ6=8,"आठ",IF(AZ6=9,"नौ",IF(AZ6=10,"दस",IF(AZ6=11,"इग्यारह",IF(AZ6=12,"बारह",IF(AZ6=13,"तेरह",IF(AZ6=14,"चौदह",IF(AZ6=15,"पंद्रह",IF(AZ6=16,"सोलह",IF(AZ6=17,"सत्रह",IF(AZ6=18,"अठारह",IF(AZ6=19,"उन्नीस",IF(AZ6=20,"बीस",IF(AZ6=21,"इक्कीस",IF(AZ6=22,"बाइस",IF(AZ6=23,"तेईस",IF(AZ6=24,"चौबीस",IF(AZ6=25,"पचीस",IF(AZ6=26,"छबीस",IF(AZ6=27,"सताईस",IF(AZ6=28,"अठाइस",IF(AZ6=29,"उन्नतीस",IF(AZ6=30,"तीस",IF(AZ6=31,"इकतीस","")))))))))))))))))))))))))))))))</f>
        <v>तेरह</v>
      </c>
      <c r="BE7" s="17"/>
      <c r="BF7" s="17"/>
    </row>
    <row r="8" spans="1:58" s="471" customFormat="1" ht="21" customHeight="1">
      <c r="A8" s="469"/>
      <c r="B8" s="739" t="str">
        <f>IF('Master Sheet'!$D$11="Hindi","माता का नाम :-","Mother's Name :-")</f>
        <v>माता का नाम :-</v>
      </c>
      <c r="C8" s="1702" t="str">
        <f>IFERROR(VLOOKUP(L7,'Statement of Marks'!$B$8:'Statement of Marks'!$HI$207,6,0),"")</f>
        <v>M</v>
      </c>
      <c r="D8" s="1702"/>
      <c r="E8" s="1702"/>
      <c r="F8" s="1702"/>
      <c r="G8" s="1702"/>
      <c r="H8" s="1702"/>
      <c r="I8" s="1703" t="str">
        <f>IF('Master Sheet'!$D$11="Hindi","जन्म तिथि :","Date of Birth :")</f>
        <v>जन्म तिथि :</v>
      </c>
      <c r="J8" s="1703"/>
      <c r="K8" s="1703"/>
      <c r="L8" s="1704">
        <f>IFERROR(VLOOKUP(L7,'Statement of Marks'!$B$8:'Statement of Marks'!$HI$207,3,0),"")</f>
        <v>37622</v>
      </c>
      <c r="M8" s="1704"/>
      <c r="N8" s="1704"/>
      <c r="O8" s="1704"/>
      <c r="Q8" s="1723"/>
      <c r="R8" s="739" t="str">
        <f>IF('Master Sheet'!$D$11="Hindi","माता का नाम :-","Mother's Name :-")</f>
        <v>माता का नाम :-</v>
      </c>
      <c r="S8" s="1702" t="str">
        <f>IFERROR(VLOOKUP(AB7,'Statement of Marks'!$B$8:'Statement of Marks'!$HI$207,6,0),"")</f>
        <v>N</v>
      </c>
      <c r="T8" s="1702"/>
      <c r="U8" s="1702"/>
      <c r="V8" s="1702"/>
      <c r="W8" s="1702"/>
      <c r="X8" s="1702"/>
      <c r="Y8" s="1703" t="str">
        <f>IF('Master Sheet'!$D$11="Hindi","जन्म तिथि :","Date of Birth :")</f>
        <v>जन्म तिथि :</v>
      </c>
      <c r="Z8" s="1703"/>
      <c r="AA8" s="1703"/>
      <c r="AB8" s="1704">
        <f>IFERROR(VLOOKUP(AB7,'Statement of Marks'!$B$8:'Statement of Marks'!$HI$207,3,0),"")</f>
        <v>38090</v>
      </c>
      <c r="AC8" s="1704"/>
      <c r="AD8" s="1704"/>
      <c r="AE8" s="1704"/>
      <c r="AH8" s="1716"/>
      <c r="AI8" s="1717"/>
      <c r="AJ8" s="1717"/>
      <c r="AK8" s="1717"/>
      <c r="AL8" s="1718"/>
      <c r="AQ8" s="17"/>
      <c r="AR8"/>
      <c r="AS8" t="str">
        <f>CONCATENATE(AT7," ",AS7," ",AR7)</f>
        <v>एक जनवरी दो हजार तीन</v>
      </c>
      <c r="AT8"/>
      <c r="AX8"/>
      <c r="AY8" t="str">
        <f>CONCATENATE(AZ7," ",AY7," ",AX7)</f>
        <v>तेरह अप्रैल दो हजार चार</v>
      </c>
      <c r="AZ8"/>
      <c r="BE8" s="17"/>
      <c r="BF8" s="17"/>
    </row>
    <row r="9" spans="1:58" s="471" customFormat="1" ht="21" customHeight="1">
      <c r="A9" s="469"/>
      <c r="B9" s="470"/>
      <c r="C9" s="722"/>
      <c r="D9" s="722"/>
      <c r="E9" s="722"/>
      <c r="F9" s="722"/>
      <c r="G9" s="722"/>
      <c r="H9" s="722"/>
      <c r="I9" s="1703" t="str">
        <f>IF('Master Sheet'!$D$11="Hindi","जन्मतिथि शब्दों में :","Date of Birth in Words :")</f>
        <v>जन्मतिथि शब्दों में :</v>
      </c>
      <c r="J9" s="1703"/>
      <c r="K9" s="1703"/>
      <c r="L9" s="1705" t="str">
        <f>IF('Master Sheet'!$D$11="Hindi",AS8,AS10)</f>
        <v>एक जनवरी दो हजार तीन</v>
      </c>
      <c r="M9" s="1705"/>
      <c r="N9" s="1705"/>
      <c r="O9" s="1705"/>
      <c r="P9" s="1705"/>
      <c r="Q9" s="1723"/>
      <c r="R9" s="470"/>
      <c r="S9" s="722"/>
      <c r="T9" s="722"/>
      <c r="U9" s="722"/>
      <c r="V9" s="722"/>
      <c r="W9" s="722"/>
      <c r="X9" s="722"/>
      <c r="Y9" s="1703" t="str">
        <f>IF('Master Sheet'!$D$11="Hindi","जन्मतिथि शब्दों में :","Date of Birth in Words :")</f>
        <v>जन्मतिथि शब्दों में :</v>
      </c>
      <c r="Z9" s="1703"/>
      <c r="AA9" s="1703"/>
      <c r="AB9" s="1705" t="str">
        <f>IF('Master Sheet'!$D$11="Hindi",AY8,AY10)</f>
        <v>तेरह अप्रैल दो हजार चार</v>
      </c>
      <c r="AC9" s="1705"/>
      <c r="AD9" s="1705"/>
      <c r="AE9" s="1705"/>
      <c r="AF9" s="1705"/>
      <c r="AH9" s="1716"/>
      <c r="AI9" s="1717"/>
      <c r="AJ9" s="1717"/>
      <c r="AK9" s="1717"/>
      <c r="AL9" s="1718"/>
      <c r="AQ9" s="17"/>
      <c r="AR9" t="str">
        <f>IF(AR6=1961,"NINETEEN SIXTY ONE",IF(AR6=1962,"NINETEEN SIXTY TWO",IF(AR6=1963,"NINETEEN SIXTY THREE",IF(AR6=1964,"NINETEEN SIXTY FOUR",IF(AR6=1965,"NINETEEN SIXTY FIVE",IF(AR6=1966,"NINETEEN SIXTY SIX",IF(AR6=1967,"NINETEEN SIXTY SEVEN",IF(AR6=1968,"NINETEEN SIXTY EIGHT",IF(AR6=1969,"NINETEEN SIXTY NINE",IF(AR6=1970,"NINETEEN SEVENTY",IF(AR6=1971,"NINETEEN SEVENTY ONE",IF(AR6=1972,"NINETEEN SEVENTY TWO",IF(AR6=1973,"NINETEEN SEVENTY THREE",IF(AR6=1974,"NINETEEN SEVENTY FOUR",IF(AR6=1975,"NINETEEN SEVENTY FIVE",IF(AR6=1976,"NINETEEN SEVENTY SIX",IF(AR6=1977,"NINETEEN SEVENTY SEVEN",IF(AR6=1978,"NINETEEN SEVENTY EIGHT",IF(AR6=1979,"NINETEEN SEVENTY NINE",IF(AR6=1980,"NINETEEN EIGHTY",IF(AR6=1981,"NINETEEN EIGHTY ONE",IF(AR6=1982,"NINETEEN EIGHTY TWO",IF(AR6=1983,"NINETEEN EIGHTY THREE",IF(AR6=1984,"NINETEEN EIGHTY FOUR",IF(AR6=1985,"NINETEEN EIGHTY FIVE",IF(AR6=1986,"NINETEEN EIGHTY SIX",IF(AR6=1987,"NINETEEN EIGHTY SEVEN",IF(AR6=1988,"NINETEEN EIGHTY EIGHT",IF(AR6=1989,"NINETEEN EIGHTY NINE",IF(AR6=1990,"NINETEEN NINETY",IF(AR6=1991,"NINETEEN NINETY ONE",IF(AR6=1992,"NINETEEN NINETY TWO",IF(AR6=1993,"NINETEEN NINETY THREE",IF(AR6=1994,"NINETEEN NINETY FOUR",IF(AR6=1995,"NINETEEN NINETY FIVE",IF(AR6=1996,"NINETEEN NINETY SIX",IF(AR6=1997,"NINETEEN NINETY SEVEN",IF(AR6=1998,"NINETEEN NINETY EIGHT",IF(AR6=1999,"NINETEEN NINETY NINE",IF(AR6=2000,"TWO THOUSAND",IF(AR6=2001,"TWO THOUSAND ONE",IF(AR6=2002,"TWO THOUSAND TWO",IF(AR6=2003,"TWO THOUSAND THREE",IF(AR6=2004,"TWO THOUSAND FOUR",IF(AR6=2005,"TWO THOUSAND FIVE",IF(AR6=2006,"TWO THOUSAND SIX",IF(AR6=2007,"TWO THOUSAND SEVEN",IF(AR6=2008,"TWO THOUSAND EIGHT",IF(AR6=2009,"TWO THOUSAND NINE",IF(AR6=2010,"TWO THOUSAND TEN",IF(AR6=2011,"TWO THOUSAND ELEVEN",IF(AR6=2012,"TWO THOUSAND TWELVE",IF(AR6=2013,"TWO THOUSAND THIRTEEN",IF(AR6=2014,"TWO THOUSAND FOURTEEN",IF(AR6=2015,"TWO THOUSAND FIFTEEN",IF(AR6=2016,"TWO THOUSAND SIXTEEN",IF(AR6=2017,"TWO THOUSAND SEVENTEEN",IF(AR6=2018,"TWO THOUSAND EIGHTEEN",IF(AR6=2019,"TWO THOUSAND NINETEEN",IF(AR6=2020,"TWO THOUSAND TWENTY",IF(AR6=2021,"TWO THOUSAND TWENTY ONE",IF(AR6=2022,"TWO THOUSAND TWENTY TWO",IF(AR6=2023,"TWO THOUSAND TWENTY THREE",IF(AR6=2024,"TWO THOUSAND TWENTY FOUR",IF(AR6=2025,"TWO THOUSAND TWENTY FIVE","")))))))))))))))))))))))))))))))))))))))))))))))))))))))))))))))))</f>
        <v>TWO THOUSAND THREE</v>
      </c>
      <c r="AS9" t="str">
        <f>IF(AS6=1,"JANUARY",IF(AS6=2,"FEBUARY", IF(AS6=3,"MARCH",IF(AS6=4,"APRIL",IF(AS6=5,"MAY",IF(AS6=6,"JUNE",IF(AS6=7,"JULY",IF(AS6=8,"AUGUST",IF(AS6=9,"SEPTEMBER",IF(AS6=10,"OCTOBER",IF(AS6=11,"NOVEMBER",IF(AS6=12,"DECEMBER",""))))))))))))</f>
        <v>JANUARY</v>
      </c>
      <c r="AT9" t="str">
        <f>IF(AT6=1,"1ST",IF(AT6=2,"2ND", IF(AT6=3,"3RD",IF(AT6=4,"FOURTH",IF(AT6=5,"FIFTH",IF(AT6=6,"SIXTH",IF(AT6=7,"7TH",IF(AT6=8,"8TH",IF(AT6=9,"9TH",IF(AT6=10,"10TH",IF(AT6=11,"11TH",IF(AT6=12,"12TH",IF(AT6=13,"13TH",IF(AT6=14,"14TH",IF(AT6=15,"FIFTEEN",IF(AT6=16,"SIXTEEN",IF(AT6=17,"SEVENTEEN",IF(AT6=18,"EIGHTEEN",IF(AT6=19,"NINETEEN",IF(AT6=20,"TWENTY",IF(AT6=21,"TWENTY FIRST",IF(AT6=22,"TWENTY SECOND",IF(AT6=23,"TWENTY THIRD",IF(AT6=24,"TWENTY FOURTH",IF(AT6=25,"TWENTY FIFTH",IF(AT6=26,"TWENTY SIX",IF(AT6=27,"TWENTY SEVEN",IF(AT6=28,"TWENTY EIGHT",IF(AT6=29,"TWENTY NINE",IF(AT6=30,"THIRTY",IF(AT6=31,"THIRTY FIRST","")))))))))))))))))))))))))))))))</f>
        <v>1ST</v>
      </c>
      <c r="AX9" t="str">
        <f>IF(AX6=1961,"NINETEEN SIXTY ONE",IF(AX6=1962,"NINETEEN SIXTY TWO",IF(AX6=1963,"NINETEEN SIXTY THREE",IF(AX6=1964,"NINETEEN SIXTY FOUR",IF(AX6=1965,"NINETEEN SIXTY FIVE",IF(AX6=1966,"NINETEEN SIXTY SIX",IF(AX6=1967,"NINETEEN SIXTY SEVEN",IF(AX6=1968,"NINETEEN SIXTY EIGHT",IF(AX6=1969,"NINETEEN SIXTY NINE",IF(AX6=1970,"NINETEEN SEVENTY",IF(AX6=1971,"NINETEEN SEVENTY ONE",IF(AX6=1972,"NINETEEN SEVENTY TWO",IF(AX6=1973,"NINETEEN SEVENTY THREE",IF(AX6=1974,"NINETEEN SEVENTY FOUR",IF(AX6=1975,"NINETEEN SEVENTY FIVE",IF(AX6=1976,"NINETEEN SEVENTY SIX",IF(AX6=1977,"NINETEEN SEVENTY SEVEN",IF(AX6=1978,"NINETEEN SEVENTY EIGHT",IF(AX6=1979,"NINETEEN SEVENTY NINE",IF(AX6=1980,"NINETEEN EIGHTY",IF(AX6=1981,"NINETEEN EIGHTY ONE",IF(AX6=1982,"NINETEEN EIGHTY TWO",IF(AX6=1983,"NINETEEN EIGHTY THREE",IF(AX6=1984,"NINETEEN EIGHTY FOUR",IF(AX6=1985,"NINETEEN EIGHTY FIVE",IF(AX6=1986,"NINETEEN EIGHTY SIX",IF(AX6=1987,"NINETEEN EIGHTY SEVEN",IF(AX6=1988,"NINETEEN EIGHTY EIGHT",IF(AX6=1989,"NINETEEN EIGHTY NINE",IF(AX6=1990,"NINETEEN NINETY",IF(AX6=1991,"NINETEEN NINETY ONE",IF(AX6=1992,"NINETEEN NINETY TWO",IF(AX6=1993,"NINETEEN NINETY THREE",IF(AX6=1994,"NINETEEN NINETY FOUR",IF(AX6=1995,"NINETEEN NINETY FIVE",IF(AX6=1996,"NINETEEN NINETY SIX",IF(AX6=1997,"NINETEEN NINETY SEVEN",IF(AX6=1998,"NINETEEN NINETY EIGHT",IF(AX6=1999,"NINETEEN NINETY NINE",IF(AX6=2000,"TWO THOUSAND",IF(AX6=2001,"TWO THOUSAND ONE",IF(AX6=2002,"TWO THOUSAND TWO",IF(AX6=2003,"TWO THOUSAND THREE",IF(AX6=2004,"TWO THOUSAND FOUR",IF(AX6=2005,"TWO THOUSAND FIVE",IF(AX6=2006,"TWO THOUSAND SIX",IF(AX6=2007,"TWO THOUSAND SEVEN",IF(AX6=2008,"TWO THOUSAND EIGHT",IF(AX6=2009,"TWO THOUSAND NINE",IF(AX6=2010,"TWO THOUSAND TEN",IF(AX6=2011,"TWO THOUSAND ELEVEN",IF(AX6=2012,"TWO THOUSAND TWELVE",IF(AX6=2013,"TWO THOUSAND THIRTEEN",IF(AX6=2014,"TWO THOUSAND FOURTEEN",IF(AX6=2015,"TWO THOUSAND FIFTEEN",IF(AX6=2016,"TWO THOUSAND SIXTEEN",IF(AX6=2017,"TWO THOUSAND SEVENTEEN",IF(AX6=2018,"TWO THOUSAND EIGHTEEN",IF(AX6=2019,"TWO THOUSAND NINETEEN",IF(AX6=2020,"TWO THOUSAND TWENTY",IF(AX6=2021,"TWO THOUSAND TWENTY ONE",IF(AX6=2022,"TWO THOUSAND TWENTY TWO",IF(AX6=2023,"TWO THOUSAND TWENTY THREE",IF(AX6=2024,"TWO THOUSAND TWENTY FOUR",IF(AX6=2025,"TWO THOUSAND TWENTY FIVE","")))))))))))))))))))))))))))))))))))))))))))))))))))))))))))))))))</f>
        <v>TWO THOUSAND FOUR</v>
      </c>
      <c r="AY9" t="str">
        <f>IF(AY6=1,"JANUARY",IF(AY6=2,"FEBUARY", IF(AY6=3,"MARCH",IF(AY6=4,"APRIL",IF(AY6=5,"MAY",IF(AY6=6,"JUNE",IF(AY6=7,"JULY",IF(AY6=8,"AUGUST",IF(AY6=9,"SEPTEMBER",IF(AY6=10,"OCTOBER",IF(AY6=11,"NOVEMBER",IF(AY6=12,"DECEMBER",""))))))))))))</f>
        <v>APRIL</v>
      </c>
      <c r="AZ9" t="str">
        <f>IF(AZ6=1,"1ST",IF(AZ6=2,"2ND", IF(AZ6=3,"3RD",IF(AZ6=4,"FOURTH",IF(AZ6=5,"FIFTH",IF(AZ6=6,"SIXTH",IF(AZ6=7,"7TH",IF(AZ6=8,"8TH",IF(AZ6=9,"9TH",IF(AZ6=10,"10TH",IF(AZ6=11,"11TH",IF(AZ6=12,"12TH",IF(AZ6=13,"13TH",IF(AZ6=14,"14TH",IF(AZ6=15,"FIFTEEN",IF(AZ6=16,"SIXTEEN",IF(AZ6=17,"SEVENTEEN",IF(AZ6=18,"EIGHTEEN",IF(AZ6=19,"NINETEEN",IF(AZ6=20,"TWENTY",IF(AZ6=21,"TWENTY FIRST",IF(AZ6=22,"TWENTY SECOND",IF(AZ6=23,"TWENTY THIRD",IF(AZ6=24,"TWENTY FOURTH",IF(AZ6=25,"TWENTY FIFTH",IF(AZ6=26,"TWENTY SIX",IF(AZ6=27,"TWENTY SEVEN",IF(AZ6=28,"TWENTY EIGHT",IF(AZ6=29,"TWENTY NINE",IF(AZ6=30,"THIRTY",IF(AZ6=31,"THIRTY FIRST","")))))))))))))))))))))))))))))))</f>
        <v>13TH</v>
      </c>
      <c r="BE9" s="17"/>
      <c r="BF9" s="17"/>
    </row>
    <row r="10" spans="1:58" s="471" customFormat="1" ht="9.75" customHeight="1">
      <c r="A10" s="469"/>
      <c r="B10" s="1696"/>
      <c r="C10" s="1696"/>
      <c r="D10" s="1696"/>
      <c r="E10" s="1696"/>
      <c r="F10" s="1696"/>
      <c r="G10" s="1696"/>
      <c r="H10" s="1696"/>
      <c r="I10" s="1696"/>
      <c r="J10" s="1696"/>
      <c r="K10" s="1696"/>
      <c r="L10" s="1696"/>
      <c r="M10" s="1696"/>
      <c r="N10" s="1696"/>
      <c r="O10" s="1696"/>
      <c r="P10" s="711"/>
      <c r="Q10" s="1723"/>
      <c r="R10" s="1697"/>
      <c r="S10" s="1697"/>
      <c r="T10" s="1697"/>
      <c r="U10" s="1697"/>
      <c r="V10" s="1697"/>
      <c r="W10" s="1697"/>
      <c r="X10" s="1697"/>
      <c r="Y10" s="1697"/>
      <c r="Z10" s="1697"/>
      <c r="AA10" s="1697"/>
      <c r="AB10" s="1697"/>
      <c r="AC10" s="1697"/>
      <c r="AD10" s="1697"/>
      <c r="AE10" s="1697"/>
      <c r="AF10" s="709"/>
      <c r="AH10" s="1716"/>
      <c r="AI10" s="1717"/>
      <c r="AJ10" s="1717"/>
      <c r="AK10" s="1717"/>
      <c r="AL10" s="1718"/>
      <c r="AN10" s="471">
        <f>IF(AI5="",MIN('Statement of Marks'!$B$8:$B$207),AI5)</f>
        <v>1101</v>
      </c>
      <c r="AQ10" s="17"/>
      <c r="AR10"/>
      <c r="AS10" t="str">
        <f>CONCATENATE(AS9," ",AT9,", ",AR9)</f>
        <v>JANUARY 1ST, TWO THOUSAND THREE</v>
      </c>
      <c r="AT10"/>
      <c r="AX10"/>
      <c r="AY10" t="str">
        <f>CONCATENATE(AY9," ",AZ9,", ",AX9)</f>
        <v>APRIL 13TH, TWO THOUSAND FOUR</v>
      </c>
      <c r="AZ10"/>
      <c r="BE10" s="17"/>
      <c r="BF10" s="17"/>
    </row>
    <row r="11" spans="1:58" s="471" customFormat="1" ht="27.75" customHeight="1">
      <c r="A11" s="469"/>
      <c r="B11" s="1698" t="str">
        <f>IF('Master Sheet'!$D$11="Hindi","विषय का नाम","Subject Name")</f>
        <v>विषय का नाम</v>
      </c>
      <c r="C11" s="1699" t="str">
        <f>IF('Master Sheet'!$D$11="Hindi","सामयिक परख","Seasonal Exam")</f>
        <v>सामयिक परख</v>
      </c>
      <c r="D11" s="1699"/>
      <c r="E11" s="1699"/>
      <c r="F11" s="1699"/>
      <c r="G11" s="1699" t="str">
        <f>IF('Master Sheet'!$D$11="Hindi","अर्द्धवार्षिक","Half Yearly")</f>
        <v>अर्द्धवार्षिक</v>
      </c>
      <c r="H11" s="1699"/>
      <c r="I11" s="1699"/>
      <c r="J11" s="1700" t="str">
        <f>IF('Master Sheet'!$D$11="Hindi","अर्द्ध वा. तक योग","Total Till H.Y.")</f>
        <v>अर्द्ध वा. तक योग</v>
      </c>
      <c r="K11" s="1699" t="str">
        <f>IF('Master Sheet'!$D$11="Hindi","वार्षिक","Yearly Exam")</f>
        <v>वार्षिक</v>
      </c>
      <c r="L11" s="1699"/>
      <c r="M11" s="1699"/>
      <c r="N11" s="1699"/>
      <c r="O11" s="1701" t="str">
        <f>IF('Master Sheet'!$D$11="Hindi","विषय कुल योग ","Subject Total")</f>
        <v xml:space="preserve">विषय कुल योग </v>
      </c>
      <c r="P11" s="1686" t="str">
        <f>IF('Master Sheet'!$D$11="Hindi","विषय परिणाम / विषय श्रेणी","Sub. Result /  Sub. Div.")</f>
        <v>विषय परिणाम / विषय श्रेणी</v>
      </c>
      <c r="Q11" s="1723"/>
      <c r="R11" s="1698" t="str">
        <f>IF('Master Sheet'!$D$11="Hindi","विषय का नाम","Subject Name")</f>
        <v>विषय का नाम</v>
      </c>
      <c r="S11" s="1699" t="str">
        <f>IF('Master Sheet'!$D$11="Hindi","सामयिक परख","Seasonal Exam")</f>
        <v>सामयिक परख</v>
      </c>
      <c r="T11" s="1699"/>
      <c r="U11" s="1699"/>
      <c r="V11" s="1699"/>
      <c r="W11" s="1699" t="str">
        <f>IF('Master Sheet'!$D$11="Hindi","अर्द्धवार्षिक","Half Yearly")</f>
        <v>अर्द्धवार्षिक</v>
      </c>
      <c r="X11" s="1699"/>
      <c r="Y11" s="1699"/>
      <c r="Z11" s="1700" t="str">
        <f>IF('Master Sheet'!$D$11="Hindi","अर्द्ध वा. तक योग","Total Till H.Y.")</f>
        <v>अर्द्ध वा. तक योग</v>
      </c>
      <c r="AA11" s="1699" t="str">
        <f>IF('Master Sheet'!$D$11="Hindi","वार्षिक","Yearly Exam")</f>
        <v>वार्षिक</v>
      </c>
      <c r="AB11" s="1699"/>
      <c r="AC11" s="1699"/>
      <c r="AD11" s="1699"/>
      <c r="AE11" s="1701" t="str">
        <f>IF('Master Sheet'!$D$11="Hindi","विषय कुल योग ","Subject Total")</f>
        <v xml:space="preserve">विषय कुल योग </v>
      </c>
      <c r="AF11" s="1686" t="str">
        <f>IF('Master Sheet'!$D$11="Hindi","विषय परिणाम / विषय श्रेणी","Sub. Result /  Sub. Div.")</f>
        <v>विषय परिणाम / विषय श्रेणी</v>
      </c>
      <c r="AH11" s="1716"/>
      <c r="AI11" s="1717"/>
      <c r="AJ11" s="1717"/>
      <c r="AK11" s="1717"/>
      <c r="AL11" s="1718"/>
      <c r="AN11" s="471">
        <f>IF(AK5="",MAX('Statement of Marks'!$B$8:$B$207),AK5)</f>
        <v>1111</v>
      </c>
      <c r="AQ11" s="17"/>
      <c r="AR11"/>
      <c r="AS11"/>
      <c r="AT11"/>
      <c r="AX11"/>
      <c r="AY11"/>
      <c r="AZ11"/>
      <c r="BE11" s="17"/>
      <c r="BF11" s="17"/>
    </row>
    <row r="12" spans="1:58" s="471" customFormat="1" ht="78.75" customHeight="1" thickBot="1">
      <c r="A12" s="469"/>
      <c r="B12" s="1698"/>
      <c r="C12" s="745" t="str">
        <f>IF('Master Sheet'!$D$11="Hindi","प्रथम परख ","First Test")</f>
        <v xml:space="preserve">प्रथम परख </v>
      </c>
      <c r="D12" s="745" t="str">
        <f>IF('Master Sheet'!$D$11="Hindi","द्वितीय परख","Second Test")</f>
        <v>द्वितीय परख</v>
      </c>
      <c r="E12" s="745" t="str">
        <f>IF('Master Sheet'!$D$11="Hindi","तृतीय परख","Third Test")</f>
        <v>तृतीय परख</v>
      </c>
      <c r="F12" s="746" t="str">
        <f>IF('Master Sheet'!$D$11="Hindi","सा. परख योग","Test Total")</f>
        <v>सा. परख योग</v>
      </c>
      <c r="G12" s="745" t="str">
        <f>IF('Master Sheet'!$D$11="Hindi","सैद्धांतिक","Theoretical")</f>
        <v>सैद्धांतिक</v>
      </c>
      <c r="H12" s="745" t="str">
        <f>IF('Master Sheet'!$D$11="Hindi","प्रायोगिक","Practical")</f>
        <v>प्रायोगिक</v>
      </c>
      <c r="I12" s="747" t="str">
        <f>IF('Master Sheet'!$D$11="Hindi","अर्द्ध वा. योग","Total H.Y.")</f>
        <v>अर्द्ध वा. योग</v>
      </c>
      <c r="J12" s="1700"/>
      <c r="K12" s="745" t="str">
        <f>IF('Master Sheet'!$D$11="Hindi","सैद्धांतिक","Theoretical")</f>
        <v>सैद्धांतिक</v>
      </c>
      <c r="L12" s="745" t="str">
        <f>IF('Master Sheet'!$D$11="Hindi","प्रायोगिक","Practical")</f>
        <v>प्रायोगिक</v>
      </c>
      <c r="M12" s="745" t="str">
        <f>IF('Master Sheet'!$D$11="Hindi","पोर्टफोलियो","Portfolio")</f>
        <v>पोर्टफोलियो</v>
      </c>
      <c r="N12" s="747" t="str">
        <f>IF('Master Sheet'!$D$11="Hindi","वार्षिक योग","Total Yearly")</f>
        <v>वार्षिक योग</v>
      </c>
      <c r="O12" s="1701"/>
      <c r="P12" s="1686"/>
      <c r="Q12" s="1723"/>
      <c r="R12" s="1698"/>
      <c r="S12" s="745" t="str">
        <f>IF('Master Sheet'!$D$11="Hindi","प्रथम परख ","First Test")</f>
        <v xml:space="preserve">प्रथम परख </v>
      </c>
      <c r="T12" s="745" t="str">
        <f>IF('Master Sheet'!$D$11="Hindi","द्वितीय परख","Second Test")</f>
        <v>द्वितीय परख</v>
      </c>
      <c r="U12" s="745" t="str">
        <f>IF('Master Sheet'!$D$11="Hindi","तृतीय परख","Third Test")</f>
        <v>तृतीय परख</v>
      </c>
      <c r="V12" s="746" t="str">
        <f>IF('Master Sheet'!$D$11="Hindi","सा. परख योग","Test Total")</f>
        <v>सा. परख योग</v>
      </c>
      <c r="W12" s="745" t="str">
        <f>IF('Master Sheet'!$D$11="Hindi","सैद्धांतिक","Theoretical")</f>
        <v>सैद्धांतिक</v>
      </c>
      <c r="X12" s="745" t="str">
        <f>IF('Master Sheet'!$D$11="Hindi","प्रायोगिक","Practical")</f>
        <v>प्रायोगिक</v>
      </c>
      <c r="Y12" s="747" t="str">
        <f>IF('Master Sheet'!$D$11="Hindi","अर्द्ध वा. योग","Total H.Y.")</f>
        <v>अर्द्ध वा. योग</v>
      </c>
      <c r="Z12" s="1700"/>
      <c r="AA12" s="745" t="str">
        <f>IF('Master Sheet'!$D$11="Hindi","सैद्धांतिक","Theoretical")</f>
        <v>सैद्धांतिक</v>
      </c>
      <c r="AB12" s="745" t="str">
        <f>IF('Master Sheet'!$D$11="Hindi","प्रायोगिक","Practical")</f>
        <v>प्रायोगिक</v>
      </c>
      <c r="AC12" s="745" t="str">
        <f>IF('Master Sheet'!$D$11="Hindi","पोर्टफोलियो","Portfolio")</f>
        <v>पोर्टफोलियो</v>
      </c>
      <c r="AD12" s="747" t="str">
        <f>IF('Master Sheet'!$D$11="Hindi","वार्षिक योग","Total Yearly")</f>
        <v>वार्षिक योग</v>
      </c>
      <c r="AE12" s="1701"/>
      <c r="AF12" s="1686"/>
      <c r="AH12" s="1719"/>
      <c r="AI12" s="1720"/>
      <c r="AJ12" s="1720"/>
      <c r="AK12" s="1720"/>
      <c r="AL12" s="1721"/>
      <c r="AN12" t="s">
        <v>289</v>
      </c>
      <c r="AQ12" s="17"/>
      <c r="AR12"/>
      <c r="AS12"/>
      <c r="AT12"/>
      <c r="AX12"/>
      <c r="AY12"/>
      <c r="AZ12"/>
      <c r="BE12" s="17"/>
      <c r="BF12" s="17"/>
    </row>
    <row r="13" spans="1:58" s="475" customFormat="1" ht="28.5" customHeight="1">
      <c r="A13" s="474"/>
      <c r="B13" s="1698"/>
      <c r="C13" s="742">
        <v>10</v>
      </c>
      <c r="D13" s="742">
        <v>10</v>
      </c>
      <c r="E13" s="742">
        <v>10</v>
      </c>
      <c r="F13" s="794">
        <v>30</v>
      </c>
      <c r="G13" s="743" t="s">
        <v>288</v>
      </c>
      <c r="H13" s="723" t="s">
        <v>284</v>
      </c>
      <c r="I13" s="744">
        <v>70</v>
      </c>
      <c r="J13" s="751">
        <v>100</v>
      </c>
      <c r="K13" s="743" t="s">
        <v>285</v>
      </c>
      <c r="L13" s="723" t="s">
        <v>142</v>
      </c>
      <c r="M13" s="742">
        <v>20</v>
      </c>
      <c r="N13" s="744">
        <v>100</v>
      </c>
      <c r="O13" s="752">
        <v>200</v>
      </c>
      <c r="P13" s="1686"/>
      <c r="Q13" s="1723"/>
      <c r="R13" s="1698"/>
      <c r="S13" s="742">
        <v>10</v>
      </c>
      <c r="T13" s="742">
        <v>10</v>
      </c>
      <c r="U13" s="742">
        <v>10</v>
      </c>
      <c r="V13" s="794">
        <v>30</v>
      </c>
      <c r="W13" s="743" t="s">
        <v>288</v>
      </c>
      <c r="X13" s="723" t="s">
        <v>284</v>
      </c>
      <c r="Y13" s="744">
        <v>70</v>
      </c>
      <c r="Z13" s="751">
        <v>100</v>
      </c>
      <c r="AA13" s="743" t="s">
        <v>285</v>
      </c>
      <c r="AB13" s="723" t="s">
        <v>142</v>
      </c>
      <c r="AC13" s="742">
        <v>20</v>
      </c>
      <c r="AD13" s="744">
        <v>100</v>
      </c>
      <c r="AE13" s="752">
        <v>200</v>
      </c>
      <c r="AF13" s="1686"/>
      <c r="AN13" t="s">
        <v>290</v>
      </c>
      <c r="AQ13" s="17"/>
      <c r="AR13"/>
      <c r="AS13"/>
      <c r="AT13"/>
      <c r="AX13"/>
      <c r="AY13"/>
      <c r="AZ13"/>
      <c r="BE13" s="17"/>
      <c r="BF13" s="17"/>
    </row>
    <row r="14" spans="1:58" s="471" customFormat="1" ht="22.5" customHeight="1">
      <c r="A14" s="469"/>
      <c r="B14" s="716" t="str">
        <f>'Statement of Marks'!$J$3</f>
        <v>Com. Hindi</v>
      </c>
      <c r="C14" s="92">
        <f>IFERROR(VLOOKUP(L7,'Statement of Marks'!$B$8:'Statement of Marks'!$HI$207,9,0),"")</f>
        <v>8</v>
      </c>
      <c r="D14" s="92">
        <f>IFERROR(VLOOKUP(L7,'Statement of Marks'!$B$8:'Statement of Marks'!$HI$207,10,0),"")</f>
        <v>8</v>
      </c>
      <c r="E14" s="92">
        <f>IFERROR(VLOOKUP(L7,'Statement of Marks'!$B$8:'Statement of Marks'!$HI$207,11,0),"")</f>
        <v>9</v>
      </c>
      <c r="F14" s="465">
        <f>IFERROR(VLOOKUP(L7,'Statement of Marks'!$B$8:'Statement of Marks'!$HI$207,12,0),"")</f>
        <v>25</v>
      </c>
      <c r="G14" s="92">
        <f>IFERROR(VLOOKUP(L7,'Statement of Marks'!$B$8:'Statement of Marks'!$HI$207,13,0),"")</f>
        <v>46</v>
      </c>
      <c r="H14" s="92"/>
      <c r="I14" s="793">
        <f>IFERROR(VLOOKUP(L7,'Statement of Marks'!$B$8:'Statement of Marks'!$HI$207,13,0),"")</f>
        <v>46</v>
      </c>
      <c r="J14" s="730">
        <f>IFERROR(IF(AND(L7="",A14="",F14="",I14=""),"",SUM(C14,D14,E14,G14,H14)),"")</f>
        <v>71</v>
      </c>
      <c r="K14" s="92">
        <f>IFERROR(VLOOKUP(L7,'Statement of Marks'!$B$8:'Statement of Marks'!$HI$207,15,0),"")</f>
        <v>70</v>
      </c>
      <c r="L14" s="466"/>
      <c r="M14" s="727"/>
      <c r="N14" s="765">
        <f>IFERROR(VLOOKUP(L7,'Statement of Marks'!$B$8:'Statement of Marks'!$HI$207,15,0),"")</f>
        <v>70</v>
      </c>
      <c r="O14" s="738">
        <f>IFERROR(VLOOKUP(L7,'Statement of Marks'!$B$8:'Statement of Marks'!$HI$207,16,0),"")</f>
        <v>141</v>
      </c>
      <c r="P14" s="728" t="str">
        <f>IFERROR(IF(N14="","",IF(VLOOKUP(L7,'Statement of Marks'!$B$8:'Statement of Marks'!$HI$207,165,0)="D","I",VLOOKUP(L7,'Statement of Marks'!$B$8:'Statement of Marks'!$HI$207,165,0))),"")</f>
        <v>I</v>
      </c>
      <c r="Q14" s="1723"/>
      <c r="R14" s="716" t="str">
        <f>'Statement of Marks'!$J$3</f>
        <v>Com. Hindi</v>
      </c>
      <c r="S14" s="92">
        <f>IFERROR(VLOOKUP(AB7,'Statement of Marks'!$B$8:'Statement of Marks'!$HI$207,9,0),"")</f>
        <v>8</v>
      </c>
      <c r="T14" s="92">
        <f>IFERROR(VLOOKUP(AB7,'Statement of Marks'!$B$8:'Statement of Marks'!$HI$207,10,0),"")</f>
        <v>9</v>
      </c>
      <c r="U14" s="92">
        <f>IFERROR(VLOOKUP(AB7,'Statement of Marks'!$B$8:'Statement of Marks'!$HI$207,11,0),"")</f>
        <v>7</v>
      </c>
      <c r="V14" s="465">
        <f>IFERROR(VLOOKUP(AB7,'Statement of Marks'!$B$8:'Statement of Marks'!$HI$207,12,0),"")</f>
        <v>24</v>
      </c>
      <c r="W14" s="92">
        <f>IFERROR(VLOOKUP(AB7,'Statement of Marks'!$B$8:'Statement of Marks'!$HI$207,13,0),"")</f>
        <v>46</v>
      </c>
      <c r="X14" s="92"/>
      <c r="Y14" s="793">
        <f>IFERROR(VLOOKUP(AB7,'Statement of Marks'!$B$8:'Statement of Marks'!$HI$207,13,0),"")</f>
        <v>46</v>
      </c>
      <c r="Z14" s="730">
        <f>IFERROR(IF(AND(AB7="",Q14="",V14="",Y14=""),"",SUM(S14,T14,U14,W14,X14)),"")</f>
        <v>70</v>
      </c>
      <c r="AA14" s="92">
        <f>IFERROR(VLOOKUP(AB7,'Statement of Marks'!$B$8:'Statement of Marks'!$HI$207,15,0),"")</f>
        <v>45</v>
      </c>
      <c r="AB14" s="466"/>
      <c r="AC14" s="727"/>
      <c r="AD14" s="765">
        <f>IFERROR(VLOOKUP(AB7,'Statement of Marks'!$B$8:'Statement of Marks'!$HI$207,15,0),"")</f>
        <v>45</v>
      </c>
      <c r="AE14" s="738">
        <f>IFERROR(VLOOKUP(AB7,'Statement of Marks'!$B$8:'Statement of Marks'!$HI$207,16,0),"")</f>
        <v>115</v>
      </c>
      <c r="AF14" s="728" t="str">
        <f>IFERROR(IF(AD14="","",IF(VLOOKUP(AB7,'Statement of Marks'!$B$8:'Statement of Marks'!$HI$207,165,0)="D","I",VLOOKUP(AB7,'Statement of Marks'!$B$8:'Statement of Marks'!$HI$207,165,0))),"")</f>
        <v>II</v>
      </c>
      <c r="AQ14" s="17"/>
      <c r="AR14"/>
      <c r="AS14"/>
      <c r="AT14"/>
      <c r="AX14"/>
      <c r="AY14"/>
      <c r="AZ14"/>
      <c r="BE14" s="17"/>
      <c r="BF14" s="17"/>
    </row>
    <row r="15" spans="1:58" s="471" customFormat="1" ht="22.5" customHeight="1">
      <c r="A15" s="469"/>
      <c r="B15" s="716" t="str">
        <f>'Statement of Marks'!$X$3</f>
        <v>Com. English</v>
      </c>
      <c r="C15" s="92">
        <f>IFERROR(VLOOKUP(L7,'Statement of Marks'!$B$8:'Statement of Marks'!$HI$207,23,0),"")</f>
        <v>8</v>
      </c>
      <c r="D15" s="92">
        <f>IFERROR(VLOOKUP(L7,'Statement of Marks'!$B$8:'Statement of Marks'!$HI$207,24,0),"")</f>
        <v>5</v>
      </c>
      <c r="E15" s="92">
        <f>IFERROR(VLOOKUP(L7,'Statement of Marks'!$B$8:'Statement of Marks'!$HI$207,25,0),"")</f>
        <v>8</v>
      </c>
      <c r="F15" s="465">
        <f>IFERROR(VLOOKUP(L7,'Statement of Marks'!$B$8:'Statement of Marks'!$HI$207,26,0),"")</f>
        <v>21</v>
      </c>
      <c r="G15" s="92">
        <f>IFERROR(VLOOKUP(L7,'Statement of Marks'!$B$8:'Statement of Marks'!$HI$207,27,0),"")</f>
        <v>48</v>
      </c>
      <c r="H15" s="92"/>
      <c r="I15" s="793">
        <f>IFERROR(VLOOKUP(L7,'Statement of Marks'!$B$8:'Statement of Marks'!$HI$207,27,0),"")</f>
        <v>48</v>
      </c>
      <c r="J15" s="730">
        <f>IFERROR(IF(AND(L7="",A15="",F15="",I15=""),"",SUM(C15,D15,E15,G15,H15)),"")</f>
        <v>69</v>
      </c>
      <c r="K15" s="92">
        <f>IFERROR(VLOOKUP(L7,'Statement of Marks'!$B$8:'Statement of Marks'!$HI$207,29,0),"")</f>
        <v>74</v>
      </c>
      <c r="L15" s="466"/>
      <c r="M15" s="727"/>
      <c r="N15" s="765">
        <f>IFERROR(VLOOKUP(L7,'Statement of Marks'!$B$8:'Statement of Marks'!$HI$207,29,0),"")</f>
        <v>74</v>
      </c>
      <c r="O15" s="738">
        <f>IFERROR(VLOOKUP(L7,'Statement of Marks'!$B$8:'Statement of Marks'!$HI$207,30,0),"")</f>
        <v>143</v>
      </c>
      <c r="P15" s="728" t="str">
        <f>IFERROR(IF(O15="","",IF(VLOOKUP(L7,'Statement of Marks'!$B$8:'Statement of Marks'!$HI$207,168,0)="D","I",VLOOKUP(L7,'Statement of Marks'!$B$8:'Statement of Marks'!$HI$207,168,0))),"")</f>
        <v>I</v>
      </c>
      <c r="Q15" s="1723"/>
      <c r="R15" s="716" t="str">
        <f>'Statement of Marks'!$X$3</f>
        <v>Com. English</v>
      </c>
      <c r="S15" s="92">
        <f>IFERROR(VLOOKUP(AB7,'Statement of Marks'!$B$8:'Statement of Marks'!$HI$207,23,0),"")</f>
        <v>9</v>
      </c>
      <c r="T15" s="92">
        <f>IFERROR(VLOOKUP(AB7,'Statement of Marks'!$B$8:'Statement of Marks'!$HI$207,24,0),"")</f>
        <v>5</v>
      </c>
      <c r="U15" s="92">
        <f>IFERROR(VLOOKUP(AB7,'Statement of Marks'!$B$8:'Statement of Marks'!$HI$207,25,0),"")</f>
        <v>7</v>
      </c>
      <c r="V15" s="465">
        <f>IFERROR(VLOOKUP(AB7,'Statement of Marks'!$B$8:'Statement of Marks'!$HI$207,26,0),"")</f>
        <v>21</v>
      </c>
      <c r="W15" s="92">
        <f>IFERROR(VLOOKUP(AB7,'Statement of Marks'!$B$8:'Statement of Marks'!$HI$207,27,0),"")</f>
        <v>41</v>
      </c>
      <c r="X15" s="92"/>
      <c r="Y15" s="793">
        <f>IFERROR(VLOOKUP(AB7,'Statement of Marks'!$B$8:'Statement of Marks'!$HI$207,27,0),"")</f>
        <v>41</v>
      </c>
      <c r="Z15" s="730">
        <f>IFERROR(IF(AND(AB7="",Q15="",V15="",Y15=""),"",SUM(S15,T15,U15,W15,X15)),"")</f>
        <v>62</v>
      </c>
      <c r="AA15" s="92">
        <f>IFERROR(VLOOKUP(AB7,'Statement of Marks'!$B$8:'Statement of Marks'!$HI$207,29,0),"")</f>
        <v>71</v>
      </c>
      <c r="AB15" s="466"/>
      <c r="AC15" s="727"/>
      <c r="AD15" s="765">
        <f>IFERROR(VLOOKUP(AB7,'Statement of Marks'!$B$8:'Statement of Marks'!$HI$207,29,0),"")</f>
        <v>71</v>
      </c>
      <c r="AE15" s="738">
        <f>IFERROR(VLOOKUP(AB7,'Statement of Marks'!$B$8:'Statement of Marks'!$HI$207,30,0),"")</f>
        <v>133</v>
      </c>
      <c r="AF15" s="728" t="str">
        <f>IFERROR(IF(AE15="","",IF(VLOOKUP(AB7,'Statement of Marks'!$B$8:'Statement of Marks'!$HI$207,168,0)="D","I",VLOOKUP(AB7,'Statement of Marks'!$B$8:'Statement of Marks'!$HI$207,168,0))),"")</f>
        <v>I</v>
      </c>
      <c r="AQ15" s="17"/>
      <c r="AR15"/>
      <c r="AS15"/>
      <c r="AT15"/>
      <c r="AU15" s="17" t="str">
        <f>IFERROR(VLOOKUP(L7,'Statement of Marks'!$B$8:'Statement of Marks'!$HI$207,37,0),"")</f>
        <v>A</v>
      </c>
      <c r="AV15" s="17" t="str">
        <f>IFERROR(VLOOKUP(AB7,'Statement of Marks'!$B$8:'Statement of Marks'!$HI$207,37,0),"")</f>
        <v>B</v>
      </c>
      <c r="AX15"/>
      <c r="AY15"/>
      <c r="AZ15"/>
      <c r="BE15" s="17" t="str">
        <f>IFERROR(IF(VLOOKUP(AB7,'Statement of Marks'!$B$7:'Statement of Marks'!$IC$206,206,0)="By Grace Pass","By Grace Pass and Promoted to Class 12th",IF(VLOOKUP(AB7,'Statement of Marks'!$B$7:'Statement of Marks'!$IC$206,206,0)="PASS","PASS  and Promoted to Class 12th",IF(VLOOKUP(AB7,'Statement of Marks'!$B$7:'Statement of Marks'!$IC$206,206,0)="SUPPLEMENTARY","Supplementary",IF(VLOOKUP(AB7,'Statement of Marks'!$B$7:'Statement of Marks'!$IC$206,206,0)="Re-Exam","RE-EXAM",IF(VLOOKUP(AB7,'Statement of Marks'!$B$7:'Statement of Marks'!$IC$206,206,0)="FAIL","FAIL",""))))),"")</f>
        <v>PASS  and Promoted to Class 12th</v>
      </c>
      <c r="BF15" s="17" t="str">
        <f>IFERROR(IF(VLOOKUP(L7,'Statement of Marks'!$B$7:'Statement of Marks'!$IC$206,206,0)="By Grace Pass","By Grace Pass and Promoted to Class 12th",IF(VLOOKUP(L7,'Statement of Marks'!$B$7:'Statement of Marks'!$IC$206,206,0)="PASS","PASS  and Promoted to Class 12th",IF(VLOOKUP(L7,'Statement of Marks'!$B$7:'Statement of Marks'!$IC$206,206,0)="SUPPLEMENTARY","Supplementary",IF(VLOOKUP(L7,'Statement of Marks'!$B$7:'Statement of Marks'!$IC$206,206,0)="Re-Exam","RE-EXAM",IF(VLOOKUP(L7,'Statement of Marks'!$B$7:'Statement of Marks'!$IC$206,206,0)="FAIL","FAIL",""))))),"")</f>
        <v>PASS  and Promoted to Class 12th</v>
      </c>
    </row>
    <row r="16" spans="1:58" s="471" customFormat="1" ht="22.5" customHeight="1">
      <c r="A16" s="469"/>
      <c r="B16" s="477" t="str">
        <f>IFERROR(IF(AND(AU15="A"),'Marks Entry'!$U$2,IF(AND(AU15="B"),'Marks Entry'!$Y$2,IF(AND(AU15="C"),'Marks Entry'!$AA$2,""))),"")</f>
        <v>POLITICAL SCIENCE</v>
      </c>
      <c r="C16" s="92">
        <f>IFERROR(VLOOKUP(L7,'Statement of Marks'!$B$8:'Statement of Marks'!$HI$207,38,0),"")</f>
        <v>8</v>
      </c>
      <c r="D16" s="92">
        <f>IFERROR(VLOOKUP(L7,'Statement of Marks'!$B$8:'Statement of Marks'!$HI$207,39,0),"")</f>
        <v>9</v>
      </c>
      <c r="E16" s="92">
        <f>IFERROR(VLOOKUP(L7,'Statement of Marks'!$B$8:'Statement of Marks'!$HI$207,40,0),"")</f>
        <v>10</v>
      </c>
      <c r="F16" s="465">
        <f>IFERROR(VLOOKUP(L7,'Statement of Marks'!$B$8:'Statement of Marks'!$HI$207,41,0),"")</f>
        <v>27</v>
      </c>
      <c r="G16" s="92">
        <f>IFERROR(VLOOKUP(L7,'Statement of Marks'!$B$8:'Statement of Marks'!$HI$207,42,0),"")</f>
        <v>45</v>
      </c>
      <c r="H16" s="92" t="str">
        <f>IFERROR(VLOOKUP(L7,'Statement of Marks'!$B$8:'Statement of Marks'!$HI$207,43,0),"")</f>
        <v/>
      </c>
      <c r="I16" s="793">
        <f>IFERROR(VLOOKUP(L7,'Statement of Marks'!$B$8:'Statement of Marks'!$HI$207,44,0),"")</f>
        <v>45</v>
      </c>
      <c r="J16" s="730">
        <f>IFERROR(IF(AND(L7="",A16="",F16="",I16=""),"",SUM(C16,D16,E16,G16,H16)),"")</f>
        <v>72</v>
      </c>
      <c r="K16" s="92">
        <f>IFERROR(VLOOKUP(L7,'Statement of Marks'!$B$8:'Statement of Marks'!$HI$207,46,0),"")</f>
        <v>57</v>
      </c>
      <c r="L16" s="92" t="str">
        <f>IFERROR(VLOOKUP(L7,'Statement of Marks'!$B$8:'Statement of Marks'!$HI$207,47,0),"")</f>
        <v/>
      </c>
      <c r="M16" s="727"/>
      <c r="N16" s="765">
        <f>IFERROR(VLOOKUP(L7,'Statement of Marks'!$B$8:'Statement of Marks'!$HI$207,48,0),"")</f>
        <v>57</v>
      </c>
      <c r="O16" s="738">
        <f>IFERROR(VLOOKUP(L7,'Statement of Marks'!$B$8:'Statement of Marks'!$HI$207,51,0),"")</f>
        <v>129</v>
      </c>
      <c r="P16" s="728" t="str">
        <f>IFERROR(IF(O16="","",IF(VLOOKUP(L7,'Statement of Marks'!$B$8:'Statement of Marks'!$HI$207,171,0)="D","I",VLOOKUP(L7,'Statement of Marks'!$B$8:'Statement of Marks'!$HI$207,171,0))),"")</f>
        <v>I</v>
      </c>
      <c r="Q16" s="1723"/>
      <c r="R16" s="477" t="str">
        <f>IFERROR(IF(AND(AV15="A"),'Marks Entry'!$U$2,IF(AND(AV15="B"),'Marks Entry'!$Y$2,IF(AND(AV15="C"),'Marks Entry'!$AA$2,""))),"")</f>
        <v>BIOLOGY</v>
      </c>
      <c r="S16" s="92">
        <f>IFERROR(VLOOKUP(AB7,'Statement of Marks'!$B$8:'Statement of Marks'!$HI$207,38,0),"")</f>
        <v>9</v>
      </c>
      <c r="T16" s="92">
        <f>IFERROR(VLOOKUP(AB7,'Statement of Marks'!$B$8:'Statement of Marks'!$HI$207,39,0),"")</f>
        <v>10</v>
      </c>
      <c r="U16" s="92">
        <f>IFERROR(VLOOKUP(AB7,'Statement of Marks'!$B$8:'Statement of Marks'!$HI$207,40,0),"")</f>
        <v>8</v>
      </c>
      <c r="V16" s="465">
        <f>IFERROR(VLOOKUP(AB7,'Statement of Marks'!$B$8:'Statement of Marks'!$HI$207,41,0),"")</f>
        <v>27</v>
      </c>
      <c r="W16" s="92">
        <f>IFERROR(VLOOKUP(AB7,'Statement of Marks'!$B$8:'Statement of Marks'!$HI$207,42,0),"")</f>
        <v>34</v>
      </c>
      <c r="X16" s="92">
        <f>IFERROR(VLOOKUP(AB7,'Statement of Marks'!$B$8:'Statement of Marks'!$HI$207,43,0),"")</f>
        <v>8</v>
      </c>
      <c r="Y16" s="793">
        <f>IFERROR(VLOOKUP(AB7,'Statement of Marks'!$B$8:'Statement of Marks'!$HI$207,44,0),"")</f>
        <v>42</v>
      </c>
      <c r="Z16" s="730">
        <f>IFERROR(IF(AND(AB7="",Q16="",V16="",Y16=""),"",SUM(S16,T16,U16,W16,X16)),"")</f>
        <v>69</v>
      </c>
      <c r="AA16" s="92">
        <f>IFERROR(VLOOKUP(AB7,'Statement of Marks'!$B$8:'Statement of Marks'!$HI$207,46,0),"")</f>
        <v>53</v>
      </c>
      <c r="AB16" s="92">
        <f>IFERROR(VLOOKUP(AB7,'Statement of Marks'!$B$8:'Statement of Marks'!$HI$207,47,0),"")</f>
        <v>10</v>
      </c>
      <c r="AC16" s="727"/>
      <c r="AD16" s="765">
        <f>IFERROR(VLOOKUP(AB7,'Statement of Marks'!$B$8:'Statement of Marks'!$HI$207,48,0),"")</f>
        <v>63</v>
      </c>
      <c r="AE16" s="738">
        <f>IFERROR(VLOOKUP(AB7,'Statement of Marks'!$B$8:'Statement of Marks'!$HI$207,51,0),"")</f>
        <v>132</v>
      </c>
      <c r="AF16" s="728" t="str">
        <f>IFERROR(IF(AE16="","",IF(VLOOKUP(AB7,'Statement of Marks'!$B$8:'Statement of Marks'!$HI$207,171,0)="D","I",VLOOKUP(AB7,'Statement of Marks'!$B$8:'Statement of Marks'!$HI$207,171,0))),"")</f>
        <v>I</v>
      </c>
      <c r="AQ16" s="17"/>
      <c r="AR16"/>
      <c r="AS16"/>
      <c r="AT16"/>
      <c r="AU16" s="17" t="str">
        <f>IFERROR(VLOOKUP(L7,'Statement of Marks'!$B$8:'Statement of Marks'!$HI$207,60,0),"")</f>
        <v>A</v>
      </c>
      <c r="AV16" s="17" t="str">
        <f>IFERROR(VLOOKUP(AB7,'Statement of Marks'!$B$8:'Statement of Marks'!$HI$207,60,0),"")</f>
        <v>B</v>
      </c>
      <c r="AX16"/>
      <c r="AY16"/>
      <c r="AZ16"/>
      <c r="BE16" s="17" t="str">
        <f>IFERROR(IF(VLOOKUP(AB7,'Statement of Marks'!$B$7:'Statement of Marks'!$IC$206,206,0)="By Grace Pass","सानुग्रह उतीर्ण एवं कक्षा 12 में क्रमोन्नत",IF(VLOOKUP(AB7,'Statement of Marks'!$B$7:'Statement of Marks'!$IC$206,206,0)="PASS","उतीर्ण एवं कक्षा 12 में क्रमोन्नत",IF(VLOOKUP(AB7,'Statement of Marks'!$B$7:'Statement of Marks'!$IC$206,206,0)="SUPPLEMENTARY","पूरक",IF(VLOOKUP(AB7,'Statement of Marks'!$B$7:'Statement of Marks'!$IC$206,206,0)="Re-Exam","पुनः परीक्षा",IF(VLOOKUP(AB7,'Statement of Marks'!$B$7:'Statement of Marks'!$IC$206,206,0)="FAIL","अनुतीर्ण",""))))),"")</f>
        <v>उतीर्ण एवं कक्षा 12 में क्रमोन्नत</v>
      </c>
      <c r="BF16" s="17" t="str">
        <f>IFERROR(IF(VLOOKUP(L7,'Statement of Marks'!$B$7:'Statement of Marks'!$IC$206,206,0)="By Grace Pass","सानुग्रह उतीर्ण एवं कक्षा 12 में क्रमोन्नत",IF(VLOOKUP(L7,'Statement of Marks'!$B$7:'Statement of Marks'!$IC$206,206,0)="PASS","उतीर्ण एवं कक्षा 12 में क्रमोन्नत",IF(VLOOKUP(L7,'Statement of Marks'!$B$7:'Statement of Marks'!$IC$206,206,0)="SUPPLEMENTARY","पूरक",IF(VLOOKUP(L7,'Statement of Marks'!$B$7:'Statement of Marks'!$IC$206,206,0)="Re-Exam","पुनः परीक्षा",IF(VLOOKUP(L7,'Statement of Marks'!$B$7:'Statement of Marks'!$IC$206,206,0)="FAIL","अनुतीर्ण",""))))),"")</f>
        <v>उतीर्ण एवं कक्षा 12 में क्रमोन्नत</v>
      </c>
    </row>
    <row r="17" spans="1:58" s="471" customFormat="1" ht="22.5" customHeight="1">
      <c r="A17" s="469"/>
      <c r="B17" s="477" t="str">
        <f>IFERROR(IF(AND(AU16="A"),'Marks Entry'!$AC$2,IF(AND(AU16="B"),'Marks Entry'!$AG$2,IF(AND(AU16="C"),'Marks Entry'!$AI$2,""))),"")</f>
        <v>HISTORY</v>
      </c>
      <c r="C17" s="92">
        <f>IFERROR(VLOOKUP(L7,'Statement of Marks'!$B$8:'Statement of Marks'!$HI$207,61,0),"")</f>
        <v>5</v>
      </c>
      <c r="D17" s="92">
        <f>IFERROR(VLOOKUP(L7,'Statement of Marks'!$B$8:'Statement of Marks'!$HI$207,62,0),"")</f>
        <v>9</v>
      </c>
      <c r="E17" s="92">
        <f>IFERROR(VLOOKUP(L7,'Statement of Marks'!$B$8:'Statement of Marks'!$HI$207,63,0),"")</f>
        <v>8</v>
      </c>
      <c r="F17" s="465">
        <f>IFERROR(VLOOKUP(L7,'Statement of Marks'!$B$8:'Statement of Marks'!$HI$207,64,0),"")</f>
        <v>22</v>
      </c>
      <c r="G17" s="92">
        <f>IFERROR(VLOOKUP(L7,'Statement of Marks'!$B$8:'Statement of Marks'!$HI$207,65,0),"")</f>
        <v>55</v>
      </c>
      <c r="H17" s="92" t="str">
        <f>IFERROR(VLOOKUP(L7,'Statement of Marks'!$B$8:'Statement of Marks'!$HI$207,66,0),"")</f>
        <v/>
      </c>
      <c r="I17" s="793">
        <f>IFERROR(VLOOKUP(L7,'Statement of Marks'!$B$8:'Statement of Marks'!$HI$207,67,0),"")</f>
        <v>55</v>
      </c>
      <c r="J17" s="730">
        <f>IFERROR(IF(AND(L7="",A17="",F17="",I17=""),"",SUM(C17,D17,E17,G17,H17)),"")</f>
        <v>77</v>
      </c>
      <c r="K17" s="92">
        <f>IFERROR(VLOOKUP(L7,'Statement of Marks'!$B$8:'Statement of Marks'!$HI$207,69,0),"")</f>
        <v>81</v>
      </c>
      <c r="L17" s="92" t="str">
        <f>IFERROR(VLOOKUP(L7,'Statement of Marks'!$B$8:'Statement of Marks'!$HI$207,70,0),"")</f>
        <v/>
      </c>
      <c r="M17" s="727"/>
      <c r="N17" s="765">
        <f>IFERROR(VLOOKUP(L7,'Statement of Marks'!$B$8:'Statement of Marks'!$HI$207,71,0),"")</f>
        <v>81</v>
      </c>
      <c r="O17" s="738">
        <f>IFERROR(VLOOKUP(L7,'Statement of Marks'!$B$8:'Statement of Marks'!$HI$207,74,0),"")</f>
        <v>158</v>
      </c>
      <c r="P17" s="728" t="str">
        <f>IFERROR(IF(O17="","",IF(VLOOKUP(L7,'Statement of Marks'!$B$8:'Statement of Marks'!$HI$207,178,0)="D","I",VLOOKUP(L7,'Statement of Marks'!$B$8:'Statement of Marks'!$HI$207,178,0))),"")</f>
        <v>I</v>
      </c>
      <c r="Q17" s="1723"/>
      <c r="R17" s="477" t="str">
        <f>IFERROR(IF(AND(AV16="A"),'Marks Entry'!$AC$2,IF(AND(AV16="B"),'Marks Entry'!$AG$2,IF(AND(AV16="C"),'Marks Entry'!$AI$2,""))),"")</f>
        <v>ACCOUNTANCY</v>
      </c>
      <c r="S17" s="92">
        <f>IFERROR(VLOOKUP(AB7,'Statement of Marks'!$B$8:'Statement of Marks'!$HI$207,61,0),"")</f>
        <v>8</v>
      </c>
      <c r="T17" s="92">
        <f>IFERROR(VLOOKUP(AB7,'Statement of Marks'!$B$8:'Statement of Marks'!$HI$207,62,0),"")</f>
        <v>10</v>
      </c>
      <c r="U17" s="92">
        <f>IFERROR(VLOOKUP(AB7,'Statement of Marks'!$B$8:'Statement of Marks'!$HI$207,63,0),"")</f>
        <v>9</v>
      </c>
      <c r="V17" s="465">
        <f>IFERROR(VLOOKUP(AB7,'Statement of Marks'!$B$8:'Statement of Marks'!$HI$207,64,0),"")</f>
        <v>27</v>
      </c>
      <c r="W17" s="92">
        <f>IFERROR(VLOOKUP(AB7,'Statement of Marks'!$B$8:'Statement of Marks'!$HI$207,65,0),"")</f>
        <v>45</v>
      </c>
      <c r="X17" s="92">
        <f>IFERROR(VLOOKUP(AB7,'Statement of Marks'!$B$8:'Statement of Marks'!$HI$207,66,0),"")</f>
        <v>16</v>
      </c>
      <c r="Y17" s="793">
        <f>IFERROR(VLOOKUP(AB7,'Statement of Marks'!$B$8:'Statement of Marks'!$HI$207,67,0),"")</f>
        <v>61</v>
      </c>
      <c r="Z17" s="730">
        <f>IFERROR(IF(AND(AB7="",Q17="",V17="",Y17=""),"",SUM(S17,T17,U17,W17,X17)),"")</f>
        <v>88</v>
      </c>
      <c r="AA17" s="92">
        <f>IFERROR(VLOOKUP(AB7,'Statement of Marks'!$B$8:'Statement of Marks'!$HI$207,69,0),"")</f>
        <v>42</v>
      </c>
      <c r="AB17" s="92">
        <f>IFERROR(VLOOKUP(AB7,'Statement of Marks'!$B$8:'Statement of Marks'!$HI$207,70,0),"")</f>
        <v>25</v>
      </c>
      <c r="AC17" s="727"/>
      <c r="AD17" s="765">
        <f>IFERROR(VLOOKUP(AB7,'Statement of Marks'!$B$8:'Statement of Marks'!$HI$207,71,0),"")</f>
        <v>67</v>
      </c>
      <c r="AE17" s="738">
        <f>IFERROR(VLOOKUP(AB7,'Statement of Marks'!$B$8:'Statement of Marks'!$HI$207,74,0),"")</f>
        <v>155</v>
      </c>
      <c r="AF17" s="728" t="str">
        <f>IFERROR(IF(AE17="","",IF(VLOOKUP(AB7,'Statement of Marks'!$B$8:'Statement of Marks'!$HI$207,178,0)="D","I",VLOOKUP(AB7,'Statement of Marks'!$B$8:'Statement of Marks'!$HI$207,178,0))),"")</f>
        <v>I</v>
      </c>
      <c r="AQ17" s="17"/>
      <c r="AR17"/>
      <c r="AS17"/>
      <c r="AT17"/>
      <c r="AU17" s="17" t="str">
        <f>IFERROR(VLOOKUP(L7,'Statement of Marks'!$B$8:'Statement of Marks'!$HI$207,83,0),"")</f>
        <v>A</v>
      </c>
      <c r="AV17" s="17" t="str">
        <f>IFERROR(VLOOKUP(AB7,'Statement of Marks'!$B$8:'Statement of Marks'!$HI$207,83,0),"")</f>
        <v>B</v>
      </c>
      <c r="AX17"/>
      <c r="AY17"/>
      <c r="AZ17"/>
      <c r="BE17" s="17" t="str">
        <f>IF('Master Sheet'!$D$11="Hindi",BE16,BE15)</f>
        <v>उतीर्ण एवं कक्षा 12 में क्रमोन्नत</v>
      </c>
      <c r="BF17" s="17" t="str">
        <f>IF('Master Sheet'!$D$11="Hindi",BF16,BF15)</f>
        <v>उतीर्ण एवं कक्षा 12 में क्रमोन्नत</v>
      </c>
    </row>
    <row r="18" spans="1:58" s="471" customFormat="1" ht="22.5" customHeight="1">
      <c r="A18" s="469"/>
      <c r="B18" s="477" t="str">
        <f>IFERROR(IF(AND(AU17="A"),'Marks Entry'!$AK$2,IF(AND(AU17="B"),'Marks Entry'!$AO$2,IF(AND(AU17="C"),'Marks Entry'!$AQ$2,""))),"")</f>
        <v>GEOGRAPHY</v>
      </c>
      <c r="C18" s="92">
        <f>IFERROR(VLOOKUP(L7,'Statement of Marks'!$B$8:'Statement of Marks'!$HI$207,84,0),"")</f>
        <v>5</v>
      </c>
      <c r="D18" s="92">
        <f>IFERROR(VLOOKUP(L7,'Statement of Marks'!$B$8:'Statement of Marks'!$HI$207,85,0),"")</f>
        <v>6</v>
      </c>
      <c r="E18" s="92">
        <f>IFERROR(VLOOKUP(L7,'Statement of Marks'!$B$8:'Statement of Marks'!$HI$207,86,0),"")</f>
        <v>8</v>
      </c>
      <c r="F18" s="465">
        <f>IFERROR(VLOOKUP(L7,'Statement of Marks'!$B$8:'Statement of Marks'!$HI$207,87,0),"")</f>
        <v>19</v>
      </c>
      <c r="G18" s="92">
        <f>IFERROR(VLOOKUP(L7,'Statement of Marks'!$B$8:'Statement of Marks'!$HI$207,88,0),"")</f>
        <v>40</v>
      </c>
      <c r="H18" s="92">
        <f>IFERROR(VLOOKUP(L7,'Statement of Marks'!$B$8:'Statement of Marks'!$HI$207,89,0),"")</f>
        <v>10</v>
      </c>
      <c r="I18" s="793">
        <f>IFERROR(VLOOKUP(L7,'Statement of Marks'!$B$8:'Statement of Marks'!$HI$207,90,0),"")</f>
        <v>50</v>
      </c>
      <c r="J18" s="730">
        <f>IFERROR(IF(AND(L7="",A18="",F18="",I18=""),"",SUM(C18,D18,E18,G18,H18)),"")</f>
        <v>69</v>
      </c>
      <c r="K18" s="92">
        <f>IFERROR(VLOOKUP(L7,'Statement of Marks'!$B$8:'Statement of Marks'!$HI$207,92,0),"")</f>
        <v>56</v>
      </c>
      <c r="L18" s="92">
        <f>IFERROR(VLOOKUP(L7,'Statement of Marks'!$B$8:'Statement of Marks'!$HI$207,93,0),"")</f>
        <v>11</v>
      </c>
      <c r="M18" s="727"/>
      <c r="N18" s="765">
        <f>IFERROR(VLOOKUP(L7,'Statement of Marks'!$B$8:'Statement of Marks'!$HI$207,94,0),"")</f>
        <v>67</v>
      </c>
      <c r="O18" s="738">
        <f>IFERROR(VLOOKUP(L7,'Statement of Marks'!$B$8:'Statement of Marks'!$HI$207,97,0),"")</f>
        <v>136</v>
      </c>
      <c r="P18" s="728" t="str">
        <f>IFERROR(IF(O18="","",IF(VLOOKUP(L7,'Statement of Marks'!$B$8:'Statement of Marks'!$HI$207,185,0)="D","I",VLOOKUP(L7,'Statement of Marks'!$B$8:'Statement of Marks'!$HI$207,185,0))),"")</f>
        <v>I</v>
      </c>
      <c r="Q18" s="1723"/>
      <c r="R18" s="477" t="str">
        <f>IFERROR(IF(AND(AV17="A"),'Marks Entry'!$AK$2,IF(AND(AV17="B"),'Marks Entry'!$AO$2,IF(AND(AV17="C"),'Marks Entry'!$AQ$2,""))),"")</f>
        <v>HOME SCIENCE</v>
      </c>
      <c r="S18" s="92">
        <f>IFERROR(VLOOKUP(AB7,'Statement of Marks'!$B$8:'Statement of Marks'!$HI$207,84,0),"")</f>
        <v>4</v>
      </c>
      <c r="T18" s="92">
        <f>IFERROR(VLOOKUP(AB7,'Statement of Marks'!$B$8:'Statement of Marks'!$HI$207,85,0),"")</f>
        <v>4</v>
      </c>
      <c r="U18" s="92">
        <f>IFERROR(VLOOKUP(AB7,'Statement of Marks'!$B$8:'Statement of Marks'!$HI$207,86,0),"")</f>
        <v>9</v>
      </c>
      <c r="V18" s="465">
        <f>IFERROR(VLOOKUP(AB7,'Statement of Marks'!$B$8:'Statement of Marks'!$HI$207,87,0),"")</f>
        <v>17</v>
      </c>
      <c r="W18" s="92">
        <f>IFERROR(VLOOKUP(AB7,'Statement of Marks'!$B$8:'Statement of Marks'!$HI$207,88,0),"")</f>
        <v>10</v>
      </c>
      <c r="X18" s="92">
        <f>IFERROR(VLOOKUP(AB7,'Statement of Marks'!$B$8:'Statement of Marks'!$HI$207,89,0),"")</f>
        <v>20</v>
      </c>
      <c r="Y18" s="793">
        <f>IFERROR(VLOOKUP(AB7,'Statement of Marks'!$B$8:'Statement of Marks'!$HI$207,90,0),"")</f>
        <v>30</v>
      </c>
      <c r="Z18" s="730">
        <f>IFERROR(IF(AND(AB7="",Q18="",V18="",Y18=""),"",SUM(S18,T18,U18,W18,X18)),"")</f>
        <v>47</v>
      </c>
      <c r="AA18" s="92">
        <f>IFERROR(VLOOKUP(AB7,'Statement of Marks'!$B$8:'Statement of Marks'!$HI$207,92,0),"")</f>
        <v>45</v>
      </c>
      <c r="AB18" s="92">
        <f>IFERROR(VLOOKUP(AB7,'Statement of Marks'!$B$8:'Statement of Marks'!$HI$207,93,0),"")</f>
        <v>15</v>
      </c>
      <c r="AC18" s="727"/>
      <c r="AD18" s="765">
        <f>IFERROR(VLOOKUP(AB7,'Statement of Marks'!$B$8:'Statement of Marks'!$HI$207,94,0),"")</f>
        <v>60</v>
      </c>
      <c r="AE18" s="738">
        <f>IFERROR(VLOOKUP(AB7,'Statement of Marks'!$B$8:'Statement of Marks'!$HI$207,97,0),"")</f>
        <v>107</v>
      </c>
      <c r="AF18" s="728" t="str">
        <f>IFERROR(IF(AE18="","",IF(VLOOKUP(AB7,'Statement of Marks'!$B$8:'Statement of Marks'!$HI$207,185,0)="D","I",VLOOKUP(AB7,'Statement of Marks'!$B$8:'Statement of Marks'!$HI$207,185,0))),"")</f>
        <v>II</v>
      </c>
      <c r="AQ18" s="17"/>
      <c r="AR18"/>
      <c r="AS18"/>
      <c r="AT18"/>
      <c r="AU18" s="471" t="s">
        <v>286</v>
      </c>
      <c r="AV18" s="471" t="s">
        <v>286</v>
      </c>
      <c r="AX18"/>
      <c r="AY18"/>
      <c r="AZ18"/>
      <c r="BE18" s="17"/>
      <c r="BF18" s="17"/>
    </row>
    <row r="19" spans="1:58" s="471" customFormat="1" ht="19.5" customHeight="1">
      <c r="A19" s="469"/>
      <c r="B19" s="1687" t="str">
        <f>IF('Master Sheet'!$D$11="Hindi","व्यावसायिक शिक्षा / अतिरिक्त विषय","Vocational Education / Additional Subject")</f>
        <v>व्यावसायिक शिक्षा / अतिरिक्त विषय</v>
      </c>
      <c r="C19" s="1687"/>
      <c r="D19" s="1687"/>
      <c r="E19" s="1687"/>
      <c r="F19" s="1687"/>
      <c r="G19" s="1687"/>
      <c r="H19" s="1687"/>
      <c r="I19" s="1687"/>
      <c r="J19" s="1687"/>
      <c r="K19" s="1687"/>
      <c r="L19" s="1687"/>
      <c r="M19" s="1687"/>
      <c r="N19" s="1687"/>
      <c r="O19" s="1687"/>
      <c r="P19" s="1687"/>
      <c r="Q19" s="1723"/>
      <c r="R19" s="1687" t="str">
        <f>IF('Master Sheet'!$D$11="Hindi","व्यावसायिक शिक्षा / अतिरिक्त विषय","Vocational Education / Additional Subject")</f>
        <v>व्यावसायिक शिक्षा / अतिरिक्त विषय</v>
      </c>
      <c r="S19" s="1687"/>
      <c r="T19" s="1687"/>
      <c r="U19" s="1687"/>
      <c r="V19" s="1687"/>
      <c r="W19" s="1687"/>
      <c r="X19" s="1687"/>
      <c r="Y19" s="1687"/>
      <c r="Z19" s="1687"/>
      <c r="AA19" s="1687"/>
      <c r="AB19" s="1687"/>
      <c r="AC19" s="1687"/>
      <c r="AD19" s="1687"/>
      <c r="AE19" s="1687"/>
      <c r="AF19" s="1687"/>
      <c r="AQ19" s="70"/>
      <c r="AR19"/>
      <c r="AS19"/>
      <c r="AT19"/>
      <c r="AX19"/>
      <c r="AY19"/>
      <c r="AZ19"/>
      <c r="BE19" s="70"/>
      <c r="BF19" s="70"/>
    </row>
    <row r="20" spans="1:58" s="471" customFormat="1" ht="22.5" customHeight="1">
      <c r="A20" s="469"/>
      <c r="B20" s="477" t="str">
        <f>IFERROR(IF(AND(AU20="A"),'Marks Entry'!$AS$2,IF(AND(AU20="B"),'Marks Entry'!$AW$2,IF(AND(AU20="C"),'Marks Entry'!$AY$2,""))),"")</f>
        <v/>
      </c>
      <c r="C20" s="748" t="str">
        <f>IFERROR(VLOOKUP(L7,'Statement of Marks'!$B$8:'Statement of Marks'!$HI$207,108,0),"")</f>
        <v/>
      </c>
      <c r="D20" s="748" t="str">
        <f>IFERROR(VLOOKUP(L7,'Statement of Marks'!$B$8:'Statement of Marks'!$HI$207,109,0),"")</f>
        <v/>
      </c>
      <c r="E20" s="748" t="str">
        <f>IFERROR(VLOOKUP(L7,'Statement of Marks'!$B$8:'Statement of Marks'!$HI$207,110,0),"")</f>
        <v/>
      </c>
      <c r="F20" s="748" t="str">
        <f>IFERROR(VLOOKUP(L7,'Statement of Marks'!$B$8:'Statement of Marks'!$HI$207,111,0),"")</f>
        <v/>
      </c>
      <c r="G20" s="750" t="str">
        <f>IFERROR(VLOOKUP(L7,'Statement of Marks'!$B$8:'Statement of Marks'!$HI$207,112,0),"")</f>
        <v/>
      </c>
      <c r="H20" s="750" t="str">
        <f>IFERROR(VLOOKUP(L7,'Statement of Marks'!$B$8:'Statement of Marks'!$HI$207,113,0),"")</f>
        <v/>
      </c>
      <c r="I20" s="754" t="str">
        <f>IFERROR(VLOOKUP(L7,'Statement of Marks'!$B$8:'Statement of Marks'!$HI$207,114,0),"")</f>
        <v/>
      </c>
      <c r="J20" s="749" t="str">
        <f>IFERROR(IF(OR(L7="",A20="",F20="",I20=""),"",SUM(C20,D20,E20,G20,H20)),"")</f>
        <v/>
      </c>
      <c r="K20" s="748" t="str">
        <f>IFERROR(VLOOKUP(L7,'Statement of Marks'!$B$8:'Statement of Marks'!$HI$207,116,0),"")</f>
        <v/>
      </c>
      <c r="L20" s="748" t="str">
        <f>IFERROR(VLOOKUP(L7,'Statement of Marks'!$B$8:'Statement of Marks'!$HI$207,118,0),"")</f>
        <v/>
      </c>
      <c r="M20" s="748" t="str">
        <f>IFERROR(VLOOKUP(L7,'Statement of Marks'!$B$8:'Statement of Marks'!$HI$207,117,0),"")</f>
        <v/>
      </c>
      <c r="N20" s="751" t="str">
        <f>IFERROR(VLOOKUP(L7,'Statement of Marks'!$B$8:'Statement of Marks'!$HI$207,119,0),"")</f>
        <v/>
      </c>
      <c r="O20" s="752" t="str">
        <f>IFERROR(VLOOKUP(L7,'Statement of Marks'!$B$8:'Statement of Marks'!$HI$207,123,0),"")</f>
        <v/>
      </c>
      <c r="P20" s="753" t="str">
        <f>IFERROR(IF(O20="","",IF(VLOOKUP(L7,'Statement of Marks'!$B$8:'Statement of Marks'!$HI$207,192,0)="D","I",VLOOKUP(L7,'Statement of Marks'!$B$8:'Statement of Marks'!$HI$207,192,0))),"")</f>
        <v/>
      </c>
      <c r="Q20" s="1723"/>
      <c r="R20" s="477" t="str">
        <f>IFERROR(IF(AND(AV20="A"),'Marks Entry'!$AS$2,IF(AND(AV20="B"),'Marks Entry'!$AW$2,IF(AND(AV20="C"),'Marks Entry'!$AY$2,""))),"")</f>
        <v>MATHEMATICS</v>
      </c>
      <c r="S20" s="748">
        <f>IFERROR(VLOOKUP(AB7,'Statement of Marks'!$B$8:'Statement of Marks'!$HI$207,108,0),"")</f>
        <v>9</v>
      </c>
      <c r="T20" s="748">
        <f>IFERROR(VLOOKUP(AB7,'Statement of Marks'!$B$8:'Statement of Marks'!$HI$207,109,0),"")</f>
        <v>9</v>
      </c>
      <c r="U20" s="748">
        <f>IFERROR(VLOOKUP(AB7,'Statement of Marks'!$B$8:'Statement of Marks'!$HI$207,110,0),"")</f>
        <v>9</v>
      </c>
      <c r="V20" s="748">
        <f>IFERROR(VLOOKUP(AB7,'Statement of Marks'!$B$8:'Statement of Marks'!$HI$207,111,0),"")</f>
        <v>27</v>
      </c>
      <c r="W20" s="750">
        <f>IFERROR(VLOOKUP(AB7,'Statement of Marks'!$B$8:'Statement of Marks'!$HI$207,112,0),"")</f>
        <v>50</v>
      </c>
      <c r="X20" s="750" t="str">
        <f>IFERROR(VLOOKUP(AB7,'Statement of Marks'!$B$8:'Statement of Marks'!$HI$207,113,0),"")</f>
        <v/>
      </c>
      <c r="Y20" s="754">
        <f>IFERROR(VLOOKUP(AB7,'Statement of Marks'!$B$8:'Statement of Marks'!$HI$207,114,0),"")</f>
        <v>50</v>
      </c>
      <c r="Z20" s="749" t="str">
        <f>IFERROR(IF(OR(AB7="",Q20="",V20="",Y20=""),"",SUM(S20,T20,U20,W20,X20)),"")</f>
        <v/>
      </c>
      <c r="AA20" s="748">
        <f>IFERROR(VLOOKUP(AB7,'Statement of Marks'!$B$8:'Statement of Marks'!$HI$207,116,0),"")</f>
        <v>70</v>
      </c>
      <c r="AB20" s="748" t="str">
        <f>IFERROR(VLOOKUP(AB7,'Statement of Marks'!$B$8:'Statement of Marks'!$HI$207,118,0),"")</f>
        <v/>
      </c>
      <c r="AC20" s="748" t="str">
        <f>IFERROR(VLOOKUP(AB7,'Statement of Marks'!$B$8:'Statement of Marks'!$HI$207,117,0),"")</f>
        <v/>
      </c>
      <c r="AD20" s="751">
        <f>IFERROR(VLOOKUP(AB7,'Statement of Marks'!$B$8:'Statement of Marks'!$HI$207,119,0),"")</f>
        <v>70</v>
      </c>
      <c r="AE20" s="752">
        <f>IFERROR(VLOOKUP(AB7,'Statement of Marks'!$B$8:'Statement of Marks'!$HI$207,123,0),"")</f>
        <v>147</v>
      </c>
      <c r="AF20" s="753" t="str">
        <f>IFERROR(IF(AE20="","",IF(VLOOKUP(AB7,'Statement of Marks'!$B$8:'Statement of Marks'!$HI$207,192,0)="D","I",VLOOKUP(AB7,'Statement of Marks'!$B$8:'Statement of Marks'!$HI$207,192,0))),"")</f>
        <v>I</v>
      </c>
      <c r="AQ20" s="70"/>
      <c r="AR20"/>
      <c r="AS20"/>
      <c r="AT20"/>
      <c r="AU20" s="471" t="str">
        <f>IFERROR(VLOOKUP(L7,'Statement of Marks'!$B$8:'Statement of Marks'!$HI$207,107,0),"")</f>
        <v/>
      </c>
      <c r="AV20" s="471" t="str">
        <f>IFERROR(VLOOKUP(AB7,'Statement of Marks'!$B$8:'Statement of Marks'!$HI$207,107,0),"")</f>
        <v>A</v>
      </c>
      <c r="AX20"/>
      <c r="AY20"/>
      <c r="AZ20"/>
      <c r="BE20" s="70"/>
      <c r="BF20" s="70"/>
    </row>
    <row r="21" spans="1:58" s="471" customFormat="1" ht="25.5" customHeight="1">
      <c r="A21" s="469"/>
      <c r="B21" s="1688"/>
      <c r="C21" s="1688"/>
      <c r="D21" s="1688"/>
      <c r="E21" s="1688"/>
      <c r="F21" s="1688"/>
      <c r="G21" s="1688"/>
      <c r="H21" s="1688"/>
      <c r="I21" s="1688"/>
      <c r="J21" s="1688"/>
      <c r="K21" s="1688"/>
      <c r="L21" s="1689" t="str">
        <f>IF('Master Sheet'!$D$11="Hindi","महायोग :","Grand Total :")</f>
        <v>महायोग :</v>
      </c>
      <c r="M21" s="1690"/>
      <c r="N21" s="1690"/>
      <c r="O21" s="755">
        <f>IF(AND(O14="",O15="",O16="",O17="",O18=""),"",IF(AND($K$18="",$L$18="",$M$18=""),SUM(O14,O15,O16,O17,O20),IF(AND('Master Sheet'!$D$19="YES",'Marks Entry'!$BA$1=1),SUM(O14,O15,O16,O17,O20),SUM(O14:O18))))</f>
        <v>707</v>
      </c>
      <c r="P21" s="756">
        <f>IFERROR(VLOOKUP(L7,'Statement of Marks'!$B$8:'Statement of Marks'!$HI$207,210,0),"")</f>
        <v>70.7</v>
      </c>
      <c r="Q21" s="1723"/>
      <c r="R21" s="1688"/>
      <c r="S21" s="1688"/>
      <c r="T21" s="1688"/>
      <c r="U21" s="1688"/>
      <c r="V21" s="1688"/>
      <c r="W21" s="1688"/>
      <c r="X21" s="1688"/>
      <c r="Y21" s="1688"/>
      <c r="Z21" s="1688"/>
      <c r="AA21" s="1688"/>
      <c r="AB21" s="1689" t="str">
        <f>IF('Master Sheet'!$D$11="Hindi","महायोग :","Grand Total :")</f>
        <v>महायोग :</v>
      </c>
      <c r="AC21" s="1690"/>
      <c r="AD21" s="1690"/>
      <c r="AE21" s="755">
        <f>IF(AND(AE14="",AE15="",AE16="",AE17="",AE18=""),"",IF(AND($K$18="",$L$18="",$M$18=""),SUM(AE14,AE15,AE16,AE17,AE20),IF(AND('Master Sheet'!$D$19="YES",'Marks Entry'!$BA$1=1),SUM(AE14,AE15,AE16,AE17,AE20),SUM(AE14:AE18))))</f>
        <v>642</v>
      </c>
      <c r="AF21" s="756">
        <f>IFERROR(VLOOKUP(AB7,'Statement of Marks'!$B$8:'Statement of Marks'!$HI$207,210,0),"")</f>
        <v>64.2</v>
      </c>
      <c r="AQ21" s="17"/>
      <c r="AR21"/>
      <c r="AS21"/>
      <c r="AT21"/>
      <c r="AX21"/>
      <c r="AY21"/>
      <c r="AZ21"/>
      <c r="BE21" s="17"/>
      <c r="BF21" s="17"/>
    </row>
    <row r="22" spans="1:58" s="471" customFormat="1" ht="25.5" customHeight="1">
      <c r="A22" s="469"/>
      <c r="B22" s="478" t="str">
        <f>IF('Master Sheet'!$D$11="Hindi","विषय","Subject")</f>
        <v>विषय</v>
      </c>
      <c r="C22" s="1691" t="str">
        <f>IF('Master Sheet'!$D$11="Hindi","पूर्णांक","Max. Marks")</f>
        <v>पूर्णांक</v>
      </c>
      <c r="D22" s="1691"/>
      <c r="E22" s="1692" t="str">
        <f>IF('Master Sheet'!$D$11="Hindi","प्राप्तांक","Marks Obtained")</f>
        <v>प्राप्तांक</v>
      </c>
      <c r="F22" s="1692"/>
      <c r="G22" s="1693" t="str">
        <f>IF('Master Sheet'!$D$11="Hindi","विषय ग्रेड","Sub. Grade")</f>
        <v>विषय ग्रेड</v>
      </c>
      <c r="H22" s="1693"/>
      <c r="I22" s="1694" t="str">
        <f>IF('Master Sheet'!$D$11="Hindi","विषय","Subject")</f>
        <v>विषय</v>
      </c>
      <c r="J22" s="1695"/>
      <c r="K22" s="1695"/>
      <c r="L22" s="1691" t="str">
        <f>IF('Master Sheet'!$D$11="Hindi","पूर्णांक","Max. Marks")</f>
        <v>पूर्णांक</v>
      </c>
      <c r="M22" s="1691"/>
      <c r="N22" s="1692" t="str">
        <f>IF('Master Sheet'!$D$11="Hindi","प्राप्तांक","Marks Obtained")</f>
        <v>प्राप्तांक</v>
      </c>
      <c r="O22" s="1692"/>
      <c r="P22" s="757" t="str">
        <f>IF('Master Sheet'!$D$11="Hindi","विषय ग्रेड","Sub. Grade")</f>
        <v>विषय ग्रेड</v>
      </c>
      <c r="Q22" s="1723"/>
      <c r="R22" s="478" t="str">
        <f>IF('Master Sheet'!$D$11="Hindi","विषय","Subject")</f>
        <v>विषय</v>
      </c>
      <c r="S22" s="1691" t="str">
        <f>IF('Master Sheet'!$D$11="Hindi","पूर्णांक","Max. Marks")</f>
        <v>पूर्णांक</v>
      </c>
      <c r="T22" s="1691"/>
      <c r="U22" s="1692" t="str">
        <f>IF('Master Sheet'!$D$11="Hindi","प्राप्तांक","Marks Obtained")</f>
        <v>प्राप्तांक</v>
      </c>
      <c r="V22" s="1692"/>
      <c r="W22" s="1693" t="str">
        <f>IF('Master Sheet'!$D$11="Hindi","विषय ग्रेड","Sub. Grade")</f>
        <v>विषय ग्रेड</v>
      </c>
      <c r="X22" s="1693"/>
      <c r="Y22" s="1694" t="str">
        <f>IF('Master Sheet'!$D$11="Hindi","विषय","Subject")</f>
        <v>विषय</v>
      </c>
      <c r="Z22" s="1695"/>
      <c r="AA22" s="1695"/>
      <c r="AB22" s="1691" t="str">
        <f>IF('Master Sheet'!$D$11="Hindi","पूर्णांक","Max. Marks")</f>
        <v>पूर्णांक</v>
      </c>
      <c r="AC22" s="1691"/>
      <c r="AD22" s="1692" t="str">
        <f>IF('Master Sheet'!$D$11="Hindi","प्राप्तांक","Marks Obtained")</f>
        <v>प्राप्तांक</v>
      </c>
      <c r="AE22" s="1692"/>
      <c r="AF22" s="757" t="str">
        <f>IF('Master Sheet'!$D$11="Hindi","विषय ग्रेड","Sub. Grade")</f>
        <v>विषय ग्रेड</v>
      </c>
      <c r="AQ22" s="17"/>
      <c r="AR22"/>
      <c r="AS22"/>
      <c r="AT22"/>
      <c r="AX22"/>
      <c r="AY22"/>
      <c r="AZ22"/>
      <c r="BE22" s="17"/>
      <c r="BF22" s="17"/>
    </row>
    <row r="23" spans="1:58" s="471" customFormat="1" ht="30" customHeight="1">
      <c r="A23" s="469"/>
      <c r="B23" s="760" t="str">
        <f>'Statement of Marks'!$EC$4</f>
        <v>जीवन कौशल</v>
      </c>
      <c r="C23" s="1680">
        <f>IF(AND(L7=""),"",IF('Statement of Marks'!$EF$6="","",'Statement of Marks'!$EF$6))</f>
        <v>100</v>
      </c>
      <c r="D23" s="1680"/>
      <c r="E23" s="1684">
        <f>IFERROR(VLOOKUP(L7,'Statement of Marks'!$B$8:'Statement of Marks'!$HI$207,135,0),"")</f>
        <v>83</v>
      </c>
      <c r="F23" s="1684"/>
      <c r="G23" s="1685" t="str">
        <f>IFERROR(VLOOKUP(L7,'Statement of Marks'!$B$8:'Statement of Marks'!$HI$207,140,0),"")</f>
        <v>A</v>
      </c>
      <c r="H23" s="1685"/>
      <c r="I23" s="1677" t="str">
        <f>'Statement of Marks'!$EY$3</f>
        <v xml:space="preserve">आजादी के बाद का स्वर्णिम भारत </v>
      </c>
      <c r="J23" s="1678"/>
      <c r="K23" s="1679"/>
      <c r="L23" s="1680">
        <f>IF(AND(L7=""),"",IF('Statement of Marks'!$FE$6="","",'Statement of Marks'!$FE$6))</f>
        <v>200</v>
      </c>
      <c r="M23" s="1680"/>
      <c r="N23" s="1681">
        <f>IFERROR(VLOOKUP(L7,'Statement of Marks'!$B$8:'Statement of Marks'!$HI$207,160,0),"")</f>
        <v>170</v>
      </c>
      <c r="O23" s="1681"/>
      <c r="P23" s="758" t="str">
        <f>IFERROR(VLOOKUP(L7,'Statement of Marks'!$B$8:'Statement of Marks'!$HI$207,161,0),"")</f>
        <v>A</v>
      </c>
      <c r="Q23" s="1723"/>
      <c r="R23" s="760" t="str">
        <f>'Statement of Marks'!$EC$4</f>
        <v>जीवन कौशल</v>
      </c>
      <c r="S23" s="1680">
        <f>IF(AND(AB7=""),"",IF('Statement of Marks'!$EF$6="","",'Statement of Marks'!$EF$6))</f>
        <v>100</v>
      </c>
      <c r="T23" s="1680"/>
      <c r="U23" s="1684">
        <f>IFERROR(VLOOKUP(AB7,'Statement of Marks'!$B$8:'Statement of Marks'!$HI$207,135,0),"")</f>
        <v>87</v>
      </c>
      <c r="V23" s="1684"/>
      <c r="W23" s="1685" t="str">
        <f>IFERROR(VLOOKUP(AB7,'Statement of Marks'!$B$8:'Statement of Marks'!$HI$207,140,0),"")</f>
        <v>A</v>
      </c>
      <c r="X23" s="1685"/>
      <c r="Y23" s="1677" t="str">
        <f>'Statement of Marks'!$EY$3</f>
        <v xml:space="preserve">आजादी के बाद का स्वर्णिम भारत </v>
      </c>
      <c r="Z23" s="1678"/>
      <c r="AA23" s="1679"/>
      <c r="AB23" s="1680">
        <f>IF(AND(AB7=""),"",IF('Statement of Marks'!$FE$6="","",'Statement of Marks'!$FE$6))</f>
        <v>200</v>
      </c>
      <c r="AC23" s="1680"/>
      <c r="AD23" s="1681">
        <f>IFERROR(VLOOKUP(AB7,'Statement of Marks'!$B$8:'Statement of Marks'!$HI$207,160,0),"")</f>
        <v>154</v>
      </c>
      <c r="AE23" s="1681"/>
      <c r="AF23" s="758" t="str">
        <f>IFERROR(VLOOKUP(AB7,'Statement of Marks'!$B$8:'Statement of Marks'!$HI$207,161,0),"")</f>
        <v>B</v>
      </c>
      <c r="AQ23" s="17"/>
      <c r="AR23"/>
      <c r="AS23"/>
      <c r="AT23"/>
      <c r="AX23"/>
      <c r="AY23"/>
      <c r="AZ23"/>
      <c r="BE23" s="17"/>
      <c r="BF23" s="17"/>
    </row>
    <row r="24" spans="1:58" s="471" customFormat="1" ht="29.25" customHeight="1">
      <c r="A24" s="469"/>
      <c r="B24" s="759" t="str">
        <f>IF('Master Sheet'!$D$11="Hindi","परीक्षा परिणाम घोषित दिनांक :-","Date of Result declaration :-")</f>
        <v>परीक्षा परिणाम घोषित दिनांक :-</v>
      </c>
      <c r="C24" s="1659">
        <f>IF(AND(L7=""),"",IF('Master Sheet'!$D$10="","",'Master Sheet'!$D$10))</f>
        <v>45419</v>
      </c>
      <c r="D24" s="1659"/>
      <c r="E24" s="1659"/>
      <c r="F24" s="1682" t="str">
        <f>IF('Master Sheet'!$D$11="Hindi","कुल कार्य दिवस","Total Working Days")</f>
        <v>कुल कार्य दिवस</v>
      </c>
      <c r="G24" s="1682"/>
      <c r="H24" s="1682"/>
      <c r="I24" s="741">
        <f>IFERROR(VLOOKUP(L7,'Statement of Marks'!$B$8:'Statement of Marks'!$HI$207,162,0),"")</f>
        <v>350</v>
      </c>
      <c r="J24" s="1683" t="str">
        <f>IF('Master Sheet'!$D$11="Hindi","कुल उपस्थिति","Student's Attendance")</f>
        <v>कुल उपस्थिति</v>
      </c>
      <c r="K24" s="1683"/>
      <c r="L24" s="1683"/>
      <c r="M24" s="476">
        <f>IFERROR(VLOOKUP(L7,'Statement of Marks'!$B$8:'Statement of Marks'!$HI$207,163,0),"")</f>
        <v>340</v>
      </c>
      <c r="N24" s="1673" t="str">
        <f>IF('Master Sheet'!$D$11="Hindi","कक्षा में स्थान","Position in the Class")</f>
        <v>कक्षा में स्थान</v>
      </c>
      <c r="O24" s="1673"/>
      <c r="P24" s="761">
        <f>IFERROR(VLOOKUP(L7,'Statement of Marks'!$B$8:'Statement of Marks'!$HI$207,211,0),"")</f>
        <v>0.99999999999999567</v>
      </c>
      <c r="Q24" s="1723"/>
      <c r="R24" s="759" t="str">
        <f>IF('Master Sheet'!$D$11="Hindi","परीक्षा परिणाम घोषित दिनांक :-","Date of Result declaration :-")</f>
        <v>परीक्षा परिणाम घोषित दिनांक :-</v>
      </c>
      <c r="S24" s="1659">
        <f>IF(AND(AB7=""),"",IF('Master Sheet'!$D$10="","",'Master Sheet'!$D$10))</f>
        <v>45419</v>
      </c>
      <c r="T24" s="1659"/>
      <c r="U24" s="1659"/>
      <c r="V24" s="1682" t="str">
        <f>IF('Master Sheet'!$D$11="Hindi","कुल कार्य दिवस","Total Working Days")</f>
        <v>कुल कार्य दिवस</v>
      </c>
      <c r="W24" s="1682"/>
      <c r="X24" s="1682"/>
      <c r="Y24" s="741">
        <f>IFERROR(VLOOKUP(AB7,'Statement of Marks'!$B$8:'Statement of Marks'!$HI$207,162,0),"")</f>
        <v>360</v>
      </c>
      <c r="Z24" s="1683" t="str">
        <f>IF('Master Sheet'!$D$11="Hindi","कुल उपस्थिति","Student's Attendance")</f>
        <v>कुल उपस्थिति</v>
      </c>
      <c r="AA24" s="1683"/>
      <c r="AB24" s="1683"/>
      <c r="AC24" s="476">
        <f>IFERROR(VLOOKUP(AB7,'Statement of Marks'!$B$8:'Statement of Marks'!$HI$207,163,0),"")</f>
        <v>344</v>
      </c>
      <c r="AD24" s="1673" t="str">
        <f>IF('Master Sheet'!$D$11="Hindi","कक्षा में स्थान","Position in the Class")</f>
        <v>कक्षा में स्थान</v>
      </c>
      <c r="AE24" s="1673"/>
      <c r="AF24" s="761">
        <f>IFERROR(VLOOKUP(AB7,'Statement of Marks'!$B$8:'Statement of Marks'!$HI$207,211,0),"")</f>
        <v>4.0000000000000329</v>
      </c>
      <c r="AQ24" s="17"/>
      <c r="AR24"/>
      <c r="AS24"/>
      <c r="AT24"/>
      <c r="AX24"/>
      <c r="AY24"/>
      <c r="AZ24"/>
      <c r="BE24" s="17"/>
      <c r="BF24" s="17"/>
    </row>
    <row r="25" spans="1:58" s="471" customFormat="1" ht="27.75" customHeight="1">
      <c r="A25" s="469"/>
      <c r="B25" s="1664" t="str">
        <f>IF('Master Sheet'!$D$11="Hindi","मुख्य परीक्षा परिणाम ","Main Exam Result")</f>
        <v xml:space="preserve">मुख्य परीक्षा परिणाम </v>
      </c>
      <c r="C25" s="1665"/>
      <c r="D25" s="1665"/>
      <c r="E25" s="1666"/>
      <c r="F25" s="1667" t="str">
        <f>IF('Master Sheet'!$D$11="Hindi","विशेष योग्यता प्राप्त विषय","Subjects Of Dictation Marks")</f>
        <v>विशेष योग्यता प्राप्त विषय</v>
      </c>
      <c r="G25" s="1667"/>
      <c r="H25" s="1667"/>
      <c r="I25" s="1667"/>
      <c r="J25" s="1667"/>
      <c r="K25" s="1667"/>
      <c r="L25" s="1668" t="str">
        <f>IF('Master Sheet'!$D$11="Hindi","पूरक विषय","Supplementary Subject")</f>
        <v>पूरक विषय</v>
      </c>
      <c r="M25" s="1669"/>
      <c r="N25" s="1665"/>
      <c r="O25" s="1665"/>
      <c r="P25" s="1666"/>
      <c r="Q25" s="1723"/>
      <c r="R25" s="1664" t="str">
        <f>IF('Master Sheet'!$D$11="Hindi","मुख्य परीक्षा परिणाम ","Main Exam Result")</f>
        <v xml:space="preserve">मुख्य परीक्षा परिणाम </v>
      </c>
      <c r="S25" s="1665"/>
      <c r="T25" s="1665"/>
      <c r="U25" s="1666"/>
      <c r="V25" s="1667" t="str">
        <f>IF('Master Sheet'!$D$11="Hindi","विशेष योग्यता प्राप्त विषय","Subjects Of Dictation Marks")</f>
        <v>विशेष योग्यता प्राप्त विषय</v>
      </c>
      <c r="W25" s="1667"/>
      <c r="X25" s="1667"/>
      <c r="Y25" s="1667"/>
      <c r="Z25" s="1667"/>
      <c r="AA25" s="1667"/>
      <c r="AB25" s="1668" t="str">
        <f>IF('Master Sheet'!$D$11="Hindi","पूरक विषय","Supplementary Subject")</f>
        <v>पूरक विषय</v>
      </c>
      <c r="AC25" s="1669"/>
      <c r="AD25" s="1665"/>
      <c r="AE25" s="1665"/>
      <c r="AF25" s="1666"/>
      <c r="AQ25" s="17"/>
      <c r="AR25"/>
      <c r="AS25"/>
      <c r="AT25"/>
      <c r="AX25"/>
      <c r="AY25"/>
      <c r="AZ25"/>
      <c r="BE25" s="17"/>
      <c r="BF25" s="17"/>
    </row>
    <row r="26" spans="1:58" s="471" customFormat="1" ht="42.75" customHeight="1">
      <c r="A26" s="469"/>
      <c r="B26" s="1670" t="str">
        <f>IF('Master Sheet'!D11="Hindi",BF16,BF15)</f>
        <v>उतीर्ण एवं कक्षा 12 में क्रमोन्नत</v>
      </c>
      <c r="C26" s="1671"/>
      <c r="D26" s="1671"/>
      <c r="E26" s="1672"/>
      <c r="F26" s="1673" t="str">
        <f>IFERROR(VLOOKUP(L7,'Statement of Marks'!$B$8:'Statement of Marks'!$HI$207,205,0),"")</f>
        <v xml:space="preserve">   HISTORY  </v>
      </c>
      <c r="G26" s="1673"/>
      <c r="H26" s="1673"/>
      <c r="I26" s="1673"/>
      <c r="J26" s="1673"/>
      <c r="K26" s="1673"/>
      <c r="L26" s="1674" t="str">
        <f>IFERROR(VLOOKUP(L7,'Statement of Marks'!$B$8:'Statement of Marks'!$HI$207,202,0),"")</f>
        <v xml:space="preserve">    </v>
      </c>
      <c r="M26" s="1675"/>
      <c r="N26" s="1675"/>
      <c r="O26" s="1675"/>
      <c r="P26" s="1676"/>
      <c r="Q26" s="1723"/>
      <c r="R26" s="1670" t="str">
        <f>IF('Master Sheet'!D11="Hindi",BE16,BE15)</f>
        <v>उतीर्ण एवं कक्षा 12 में क्रमोन्नत</v>
      </c>
      <c r="S26" s="1671"/>
      <c r="T26" s="1671"/>
      <c r="U26" s="1672"/>
      <c r="V26" s="1673" t="str">
        <f>IFERROR(VLOOKUP(AB7,'Statement of Marks'!$B$8:'Statement of Marks'!$HI$207,205,0),"")</f>
        <v xml:space="preserve">   ACCOUNTANCY  </v>
      </c>
      <c r="W26" s="1673"/>
      <c r="X26" s="1673"/>
      <c r="Y26" s="1673"/>
      <c r="Z26" s="1673"/>
      <c r="AA26" s="1673"/>
      <c r="AB26" s="1674" t="str">
        <f>IFERROR(VLOOKUP(AB7,'Statement of Marks'!$B$8:'Statement of Marks'!$HI$207,202,0),"")</f>
        <v xml:space="preserve">    </v>
      </c>
      <c r="AC26" s="1675"/>
      <c r="AD26" s="1675"/>
      <c r="AE26" s="1675"/>
      <c r="AF26" s="1676"/>
      <c r="AQ26" s="17"/>
      <c r="AR26"/>
      <c r="AS26"/>
      <c r="AT26"/>
      <c r="AX26"/>
      <c r="AY26"/>
      <c r="AZ26"/>
      <c r="BE26" s="17"/>
      <c r="BF26" s="17"/>
    </row>
    <row r="27" spans="1:58" s="471" customFormat="1" ht="52.5" customHeight="1">
      <c r="A27" s="469"/>
      <c r="B27" s="1660" t="str">
        <f>IF(AND(L7=""),"",CONCATENATE("( ",UPPER('Master Sheet'!$D$14)," )"))</f>
        <v>( HEERALAL JAT )</v>
      </c>
      <c r="C27" s="1660"/>
      <c r="D27" s="1660"/>
      <c r="E27" s="715"/>
      <c r="F27" s="1661" t="str">
        <f>IF(AND(L7=""),"",CONCATENATE("( ",UPPER('Master Sheet'!$D$17)," )"))</f>
        <v>( YOGESH )</v>
      </c>
      <c r="G27" s="1661"/>
      <c r="H27" s="1661"/>
      <c r="I27" s="1661"/>
      <c r="J27" s="1661"/>
      <c r="K27" s="1662" t="str">
        <f>IF(AND(L7=""),"",CONCATENATE("( ",UPPER('Master Sheet'!$D$12)," )"))</f>
        <v>( USHA PALIYA )</v>
      </c>
      <c r="L27" s="1662"/>
      <c r="M27" s="1662"/>
      <c r="N27" s="1662"/>
      <c r="O27" s="1662"/>
      <c r="P27" s="1662"/>
      <c r="Q27" s="1723"/>
      <c r="R27" s="1660" t="str">
        <f>IF(AND(AB7=""),"",CONCATENATE("( ",UPPER('Master Sheet'!$D$14)," )"))</f>
        <v>( HEERALAL JAT )</v>
      </c>
      <c r="S27" s="1660"/>
      <c r="T27" s="1660"/>
      <c r="U27" s="715"/>
      <c r="V27" s="1661" t="str">
        <f>IF(AND(AB7=""),"",CONCATENATE("( ",UPPER('Master Sheet'!$D$17)," )"))</f>
        <v>( YOGESH )</v>
      </c>
      <c r="W27" s="1661"/>
      <c r="X27" s="1661"/>
      <c r="Y27" s="1661"/>
      <c r="Z27" s="1661"/>
      <c r="AA27" s="1662" t="str">
        <f>IF(AND(AB7=""),"",CONCATENATE("( ",UPPER('Master Sheet'!$D$12)," )"))</f>
        <v>( USHA PALIYA )</v>
      </c>
      <c r="AB27" s="1662"/>
      <c r="AC27" s="1662"/>
      <c r="AD27" s="1662"/>
      <c r="AE27" s="1662"/>
      <c r="AF27" s="1662"/>
      <c r="AQ27" s="17"/>
      <c r="AR27"/>
      <c r="AS27"/>
      <c r="AT27"/>
      <c r="AX27"/>
      <c r="AY27"/>
      <c r="AZ27"/>
      <c r="BE27" s="17"/>
      <c r="BF27" s="17"/>
    </row>
    <row r="28" spans="1:58" s="471" customFormat="1" ht="24.75" customHeight="1">
      <c r="A28" s="469"/>
      <c r="B28" s="1663" t="str">
        <f>IF('Master Sheet'!$D$11="Hindi","हस्ताक्षर परीक्षा प्रभारी","Signature of the exam. Incharge")</f>
        <v>हस्ताक्षर परीक्षा प्रभारी</v>
      </c>
      <c r="C28" s="1663"/>
      <c r="D28" s="1663"/>
      <c r="E28" s="714"/>
      <c r="F28" s="1663" t="str">
        <f>IF('Master Sheet'!$D$11="Hindi","हस्ताक्षर कक्षाध्यापक","Signature of the class teacher")</f>
        <v>हस्ताक्षर कक्षाध्यापक</v>
      </c>
      <c r="G28" s="1663"/>
      <c r="H28" s="1663"/>
      <c r="I28" s="1663"/>
      <c r="J28" s="1663"/>
      <c r="K28" s="1663" t="str">
        <f>IF('Master Sheet'!$D$11="Hindi","हस्ताक्षर संस्था प्रधान","Head of Institute's Signature")</f>
        <v>हस्ताक्षर संस्था प्रधान</v>
      </c>
      <c r="L28" s="1663"/>
      <c r="M28" s="1663"/>
      <c r="N28" s="1663"/>
      <c r="O28" s="1663"/>
      <c r="P28" s="1663"/>
      <c r="Q28" s="1723"/>
      <c r="R28" s="1663" t="str">
        <f>IF('Master Sheet'!$D$11="Hindi","हस्ताक्षर परीक्षा प्रभारी","Signature of the exam. Incharge")</f>
        <v>हस्ताक्षर परीक्षा प्रभारी</v>
      </c>
      <c r="S28" s="1663"/>
      <c r="T28" s="1663"/>
      <c r="U28" s="714"/>
      <c r="V28" s="1663" t="str">
        <f>IF('Master Sheet'!$D$11="Hindi","हस्ताक्षर कक्षाध्यापक","Signature of the class teacher")</f>
        <v>हस्ताक्षर कक्षाध्यापक</v>
      </c>
      <c r="W28" s="1663"/>
      <c r="X28" s="1663"/>
      <c r="Y28" s="1663"/>
      <c r="Z28" s="1663"/>
      <c r="AA28" s="1663" t="str">
        <f>IF('Master Sheet'!$D$11="Hindi","हस्ताक्षर संस्था प्रधान","Head of Institute's Signature")</f>
        <v>हस्ताक्षर संस्था प्रधान</v>
      </c>
      <c r="AB28" s="1663"/>
      <c r="AC28" s="1663"/>
      <c r="AD28" s="1663"/>
      <c r="AE28" s="1663"/>
      <c r="AF28" s="1663"/>
      <c r="AQ28" s="17"/>
      <c r="AR28"/>
      <c r="AS28"/>
      <c r="AT28"/>
      <c r="AX28"/>
      <c r="AY28"/>
      <c r="AZ28"/>
      <c r="BE28" s="17"/>
      <c r="BF28" s="17"/>
    </row>
    <row r="29" spans="1:58" s="471" customFormat="1">
      <c r="A29" s="469"/>
      <c r="AQ29" s="17"/>
      <c r="AR29"/>
      <c r="AS29"/>
      <c r="AT29"/>
      <c r="AX29"/>
      <c r="AY29"/>
      <c r="AZ29"/>
      <c r="BE29" s="17"/>
      <c r="BF29" s="17"/>
    </row>
    <row r="30" spans="1:58" s="17" customFormat="1" ht="22.5" customHeight="1">
      <c r="A30" s="100"/>
      <c r="B30" s="94"/>
      <c r="C30" s="1551" t="str">
        <f>IF('Master Sheet'!$D$11="Hindi","वार्षिक रिपोर्ट कार्ड ","Report Card")</f>
        <v xml:space="preserve">वार्षिक रिपोर्ट कार्ड </v>
      </c>
      <c r="D30" s="1551"/>
      <c r="E30" s="1551"/>
      <c r="F30" s="1551"/>
      <c r="G30" s="1551"/>
      <c r="H30" s="1551"/>
      <c r="I30" s="1551"/>
      <c r="J30" s="1551"/>
      <c r="K30" s="1551"/>
      <c r="L30" s="1551"/>
      <c r="M30" s="1551"/>
      <c r="N30" s="1551"/>
      <c r="O30" s="468"/>
      <c r="P30" s="468"/>
      <c r="Q30"/>
      <c r="R30" s="94"/>
      <c r="S30" s="1551" t="str">
        <f>IF('Master Sheet'!$D$11="Hindi","वार्षिक रिपोर्ट कार्ड ","Report Card")</f>
        <v xml:space="preserve">वार्षिक रिपोर्ट कार्ड </v>
      </c>
      <c r="T30" s="1551"/>
      <c r="U30" s="1551"/>
      <c r="V30" s="1551"/>
      <c r="W30" s="1551"/>
      <c r="X30" s="1551"/>
      <c r="Y30" s="1551"/>
      <c r="Z30" s="1551"/>
      <c r="AA30" s="1551"/>
      <c r="AB30" s="1551"/>
      <c r="AC30" s="1551"/>
      <c r="AD30" s="1551"/>
      <c r="AE30" s="468"/>
      <c r="AF30" s="468"/>
      <c r="AH30" s="471"/>
      <c r="AI30" s="471"/>
      <c r="AJ30" s="471"/>
      <c r="AK30" s="471"/>
      <c r="AL30" s="471"/>
      <c r="AN30" s="471"/>
      <c r="AR30"/>
      <c r="AS30"/>
      <c r="AT30"/>
      <c r="AX30"/>
      <c r="AY30"/>
      <c r="AZ30"/>
    </row>
    <row r="31" spans="1:58" s="17" customFormat="1" ht="22.5" customHeight="1">
      <c r="A31" s="100"/>
      <c r="B31" s="94"/>
      <c r="C31" s="1708" t="str">
        <f>IF('Master Sheet'!$D$11="Hindi","शिक्षा विभाग, राजस्थान सरकार","Education Department, Rajasthan Government")</f>
        <v>शिक्षा विभाग, राजस्थान सरकार</v>
      </c>
      <c r="D31" s="1708"/>
      <c r="E31" s="1708"/>
      <c r="F31" s="1708"/>
      <c r="G31" s="1708"/>
      <c r="H31" s="1708"/>
      <c r="I31" s="1708"/>
      <c r="J31" s="1708"/>
      <c r="K31" s="1708"/>
      <c r="L31" s="1708"/>
      <c r="M31" s="1708"/>
      <c r="N31" s="1708"/>
      <c r="O31" s="468"/>
      <c r="P31" s="468"/>
      <c r="Q31"/>
      <c r="R31" s="94"/>
      <c r="S31" s="1708" t="str">
        <f>IF('Master Sheet'!$D$11="Hindi","शिक्षा विभाग, राजस्थान सरकार","Education Department, Rajasthan Government")</f>
        <v>शिक्षा विभाग, राजस्थान सरकार</v>
      </c>
      <c r="T31" s="1708"/>
      <c r="U31" s="1708"/>
      <c r="V31" s="1708"/>
      <c r="W31" s="1708"/>
      <c r="X31" s="1708"/>
      <c r="Y31" s="1708"/>
      <c r="Z31" s="1708"/>
      <c r="AA31" s="1708"/>
      <c r="AB31" s="1708"/>
      <c r="AC31" s="1708"/>
      <c r="AD31" s="1708"/>
      <c r="AE31" s="468"/>
      <c r="AF31" s="468"/>
      <c r="AH31" s="471"/>
      <c r="AI31" s="471"/>
      <c r="AJ31" s="471"/>
      <c r="AK31" s="471"/>
      <c r="AL31" s="471"/>
      <c r="AR31"/>
      <c r="AS31"/>
      <c r="AT31"/>
      <c r="AX31"/>
      <c r="AY31"/>
      <c r="AZ31"/>
    </row>
    <row r="32" spans="1:58" s="17" customFormat="1" ht="24.95" customHeight="1">
      <c r="A32" s="100"/>
      <c r="B32" s="1709" t="str">
        <f>IF('Master Sheet'!$D$11="Hindi",CONCATENATE("विद्यालय का नाम :-","  ",'Master Sheet'!$D$8),CONCATENATE("School Name :-","  ",'Master Sheet'!$D$7))</f>
        <v xml:space="preserve">विद्यालय का नाम :-  महात्मा गाँधी राजकीय विद्यालय (अंग्रेजी माध्यम) बर, पाली </v>
      </c>
      <c r="C32" s="1709"/>
      <c r="D32" s="1709"/>
      <c r="E32" s="1709"/>
      <c r="F32" s="1709"/>
      <c r="G32" s="1709"/>
      <c r="H32" s="1709"/>
      <c r="I32" s="1709"/>
      <c r="J32" s="1709"/>
      <c r="K32" s="1709"/>
      <c r="L32" s="1709"/>
      <c r="M32" s="1709"/>
      <c r="N32" s="1709"/>
      <c r="O32" s="1709"/>
      <c r="P32" s="1709"/>
      <c r="Q32"/>
      <c r="R32" s="1709" t="str">
        <f>IF('Master Sheet'!$D$11="Hindi",CONCATENATE("विद्यालय का नाम :-","  ",'Master Sheet'!$D$8),CONCATENATE("School Name :-","  ",'Master Sheet'!$D$7))</f>
        <v xml:space="preserve">विद्यालय का नाम :-  महात्मा गाँधी राजकीय विद्यालय (अंग्रेजी माध्यम) बर, पाली </v>
      </c>
      <c r="S32" s="1709"/>
      <c r="T32" s="1709"/>
      <c r="U32" s="1709"/>
      <c r="V32" s="1709"/>
      <c r="W32" s="1709"/>
      <c r="X32" s="1709"/>
      <c r="Y32" s="1709"/>
      <c r="Z32" s="1709"/>
      <c r="AA32" s="1709"/>
      <c r="AB32" s="1709"/>
      <c r="AC32" s="1709"/>
      <c r="AD32" s="1709"/>
      <c r="AE32" s="1709"/>
      <c r="AF32" s="1709"/>
      <c r="AH32" s="471"/>
      <c r="AI32" s="471"/>
      <c r="AJ32" s="471"/>
      <c r="AK32" s="471"/>
      <c r="AL32" s="471"/>
      <c r="AR32"/>
      <c r="AS32"/>
      <c r="AT32"/>
      <c r="AX32"/>
      <c r="AY32"/>
      <c r="AZ32"/>
    </row>
    <row r="33" spans="1:58" s="17" customFormat="1" ht="19.5" customHeight="1">
      <c r="A33" s="100"/>
      <c r="B33" s="719"/>
      <c r="C33" s="1710" t="str">
        <f>IF(AND(L36=""),"",IF(AND('Master Sheet'!$D$6=""),"",IF('Master Sheet'!$D$11="Hindi",CONCATENATE("(विद्यालय मान्यता क्रमांक व वर्ष : ","  ",'Master Sheet'!$D$6),CONCATENATE("(School Recognition Number &amp; Years : ","  ",'Master Sheet'!$D$6))))</f>
        <v>(विद्यालय मान्यता क्रमांक व वर्ष :   शिक्षा/पाली/1995/2001</v>
      </c>
      <c r="D33" s="1710"/>
      <c r="E33" s="1710"/>
      <c r="F33" s="1710"/>
      <c r="G33" s="1710"/>
      <c r="H33" s="1710"/>
      <c r="I33" s="1710"/>
      <c r="J33" s="1710"/>
      <c r="K33" s="1710"/>
      <c r="L33" s="1710"/>
      <c r="M33" s="1710"/>
      <c r="N33" s="1710"/>
      <c r="O33" s="1710"/>
      <c r="P33" s="719"/>
      <c r="Q33"/>
      <c r="R33" s="719"/>
      <c r="S33" s="1710" t="str">
        <f>IF(AND(AB36=""),"",IF(AND('Master Sheet'!$D$6=""),"",IF('Master Sheet'!$D$11="Hindi",CONCATENATE("(विद्यालय मान्यता क्रमांक व वर्ष : ","  ",'Master Sheet'!$D$6),CONCATENATE("(School Recognition Number &amp; Years : ","  ",'Master Sheet'!$D$6))))</f>
        <v>(विद्यालय मान्यता क्रमांक व वर्ष :   शिक्षा/पाली/1995/2001</v>
      </c>
      <c r="T33" s="1710"/>
      <c r="U33" s="1710"/>
      <c r="V33" s="1710"/>
      <c r="W33" s="1710"/>
      <c r="X33" s="1710"/>
      <c r="Y33" s="1710"/>
      <c r="Z33" s="1710"/>
      <c r="AA33" s="1710"/>
      <c r="AB33" s="1710"/>
      <c r="AC33" s="1710"/>
      <c r="AD33" s="1710"/>
      <c r="AE33" s="1710"/>
      <c r="AF33" s="719"/>
      <c r="AH33" s="471"/>
      <c r="AI33" s="471"/>
      <c r="AJ33" s="471"/>
      <c r="AK33" s="471"/>
      <c r="AL33" s="471"/>
      <c r="AN33" s="99"/>
      <c r="AR33"/>
      <c r="AS33"/>
      <c r="AT33"/>
      <c r="AX33"/>
      <c r="AY33"/>
      <c r="AZ33"/>
    </row>
    <row r="34" spans="1:58" s="471" customFormat="1" ht="21" customHeight="1">
      <c r="A34" s="469"/>
      <c r="B34" s="739" t="str">
        <f>IF('Master Sheet'!$D$11="Hindi","सत्र  :-","Session :-")</f>
        <v>सत्र  :-</v>
      </c>
      <c r="C34" s="1711" t="str">
        <f>'Marks Entry'!$H$1</f>
        <v>2023-2024</v>
      </c>
      <c r="D34" s="1711"/>
      <c r="E34" s="1711"/>
      <c r="F34" s="1711"/>
      <c r="G34" s="1711"/>
      <c r="H34" s="1711"/>
      <c r="I34" s="1703" t="str">
        <f>IF('Master Sheet'!$D$11="Hindi","कक्षा  :-","CLASS :- ")</f>
        <v>कक्षा  :-</v>
      </c>
      <c r="J34" s="1703"/>
      <c r="K34" s="1703"/>
      <c r="L34" s="1712" t="str">
        <f>CONCATENATE('Marks Entry'!$H$2," '",'Marks Entry'!$H$3,"'")</f>
        <v>11 'Arts'</v>
      </c>
      <c r="M34" s="1712"/>
      <c r="N34" s="1712"/>
      <c r="O34" s="1712"/>
      <c r="P34" s="720"/>
      <c r="Q34"/>
      <c r="R34" s="739" t="str">
        <f>IF('Master Sheet'!$D$11="Hindi","सत्र  :-","Session :-")</f>
        <v>सत्र  :-</v>
      </c>
      <c r="S34" s="1711" t="str">
        <f>'Marks Entry'!$H$1</f>
        <v>2023-2024</v>
      </c>
      <c r="T34" s="1711"/>
      <c r="U34" s="1711"/>
      <c r="V34" s="1711"/>
      <c r="W34" s="1711"/>
      <c r="X34" s="1711"/>
      <c r="Y34" s="1703" t="str">
        <f>IF('Master Sheet'!$D$11="Hindi","कक्षा  :-","CLASS :- ")</f>
        <v>कक्षा  :-</v>
      </c>
      <c r="Z34" s="1703"/>
      <c r="AA34" s="1703"/>
      <c r="AB34" s="1712" t="str">
        <f>CONCATENATE('Marks Entry'!$H$2," '",'Marks Entry'!$H$3,"'")</f>
        <v>11 'Arts'</v>
      </c>
      <c r="AC34" s="1712"/>
      <c r="AD34" s="1712"/>
      <c r="AE34" s="1712"/>
      <c r="AF34" s="720"/>
      <c r="AN34" s="99"/>
      <c r="AQ34" s="17"/>
      <c r="AR34"/>
      <c r="AS34" s="763">
        <f>L37</f>
        <v>38414</v>
      </c>
      <c r="AT34"/>
      <c r="AX34"/>
      <c r="AY34" s="763">
        <f>AB37</f>
        <v>38874</v>
      </c>
      <c r="AZ34"/>
      <c r="BE34" s="17"/>
      <c r="BF34" s="17"/>
    </row>
    <row r="35" spans="1:58" s="471" customFormat="1" ht="21" customHeight="1">
      <c r="A35" s="469"/>
      <c r="B35" s="740" t="str">
        <f>IF('Master Sheet'!$D$11="Hindi","विद्यार्थी का नाम :-","Student's Name :-")</f>
        <v>विद्यार्थी का नाम :-</v>
      </c>
      <c r="C35" s="1702" t="str">
        <f>IFERROR(VLOOKUP(L36,'Statement of Marks'!$B$8:'Statement of Marks'!$HI$207,4,0),"")</f>
        <v>C</v>
      </c>
      <c r="D35" s="1702"/>
      <c r="E35" s="1702"/>
      <c r="F35" s="1702"/>
      <c r="G35" s="1702"/>
      <c r="H35" s="1702"/>
      <c r="I35" s="1703" t="str">
        <f>IF('Master Sheet'!$D$11="Hindi","प्रवेशांक :","SR. NO. :")</f>
        <v>प्रवेशांक :</v>
      </c>
      <c r="J35" s="1703"/>
      <c r="K35" s="1703"/>
      <c r="L35" s="1706">
        <f>IFERROR(VLOOKUP(L36,'Statement of Marks'!$B$8:'Statement of Marks'!$HI$207,2,0),"")</f>
        <v>555</v>
      </c>
      <c r="M35" s="1706"/>
      <c r="N35" s="1706"/>
      <c r="O35" s="1706"/>
      <c r="P35" s="472"/>
      <c r="Q35"/>
      <c r="R35" s="740" t="str">
        <f>IF('Master Sheet'!$D$11="Hindi","विद्यार्थी का नाम :-","Student's Name :-")</f>
        <v>विद्यार्थी का नाम :-</v>
      </c>
      <c r="S35" s="1702" t="str">
        <f>IFERROR(VLOOKUP(AB36,'Statement of Marks'!$B$8:'Statement of Marks'!$HI$207,4,0),"")</f>
        <v>D</v>
      </c>
      <c r="T35" s="1702"/>
      <c r="U35" s="1702"/>
      <c r="V35" s="1702"/>
      <c r="W35" s="1702"/>
      <c r="X35" s="1702"/>
      <c r="Y35" s="1703" t="str">
        <f>IF('Master Sheet'!$D$11="Hindi","प्रवेशांक :","SR. NO. :")</f>
        <v>प्रवेशांक :</v>
      </c>
      <c r="Z35" s="1703"/>
      <c r="AA35" s="1703"/>
      <c r="AB35" s="1706">
        <f>IFERROR(VLOOKUP(AB36,'Statement of Marks'!$B$8:'Statement of Marks'!$HI$207,2,0),"")</f>
        <v>444</v>
      </c>
      <c r="AC35" s="1706"/>
      <c r="AD35" s="1706"/>
      <c r="AE35" s="1706"/>
      <c r="AF35" s="472"/>
      <c r="AQ35" s="17"/>
      <c r="AR35">
        <f>YEAR(AS34)</f>
        <v>2005</v>
      </c>
      <c r="AS35">
        <f>MONTH(AS34)</f>
        <v>3</v>
      </c>
      <c r="AT35">
        <f>DAY(AS34)</f>
        <v>3</v>
      </c>
      <c r="AU35" s="473"/>
      <c r="AX35">
        <f>YEAR(AY34)</f>
        <v>2006</v>
      </c>
      <c r="AY35">
        <f>MONTH(AY34)</f>
        <v>6</v>
      </c>
      <c r="AZ35">
        <f>DAY(AY34)</f>
        <v>6</v>
      </c>
      <c r="BE35" s="17"/>
      <c r="BF35" s="17"/>
    </row>
    <row r="36" spans="1:58" s="471" customFormat="1" ht="21" customHeight="1">
      <c r="A36" s="469"/>
      <c r="B36" s="740" t="str">
        <f>IF('Master Sheet'!$D$11="Hindi","पिता का नाम :-","Father's Name :-")</f>
        <v>पिता का नाम :-</v>
      </c>
      <c r="C36" s="1702" t="str">
        <f>IFERROR(VLOOKUP(L36,'Statement of Marks'!$B$8:'Statement of Marks'!$HI$207,5,0),"")</f>
        <v>Z</v>
      </c>
      <c r="D36" s="1702"/>
      <c r="E36" s="1702"/>
      <c r="F36" s="1702"/>
      <c r="G36" s="1702"/>
      <c r="H36" s="1702"/>
      <c r="I36" s="1703" t="str">
        <f>IF('Master Sheet'!$D$11="Hindi","रोल नंबर :-","Roll No. :")</f>
        <v>रोल नंबर :-</v>
      </c>
      <c r="J36" s="1703"/>
      <c r="K36" s="1703"/>
      <c r="L36" s="1707">
        <f>IF(AB7="","",IF(AND(AB7+1&gt;$AN$11),"",AB7+1))</f>
        <v>1103</v>
      </c>
      <c r="M36" s="1707"/>
      <c r="N36" s="1707"/>
      <c r="O36" s="717"/>
      <c r="P36" s="472"/>
      <c r="Q36"/>
      <c r="R36" s="740" t="str">
        <f>IF('Master Sheet'!$D$11="Hindi","पिता का नाम :-","Father's Name :-")</f>
        <v>पिता का नाम :-</v>
      </c>
      <c r="S36" s="1702" t="str">
        <f>IFERROR(VLOOKUP(AB36,'Statement of Marks'!$B$8:'Statement of Marks'!$HI$207,5,0),"")</f>
        <v>W</v>
      </c>
      <c r="T36" s="1702"/>
      <c r="U36" s="1702"/>
      <c r="V36" s="1702"/>
      <c r="W36" s="1702"/>
      <c r="X36" s="1702"/>
      <c r="Y36" s="1703" t="str">
        <f>IF('Master Sheet'!$D$11="Hindi","रोल नंबर :-","Roll No. :")</f>
        <v>रोल नंबर :-</v>
      </c>
      <c r="Z36" s="1703"/>
      <c r="AA36" s="1703"/>
      <c r="AB36" s="1707">
        <f>IF(L36="","",IF(AND(L36+1&gt;$AN$11),"",L36+1))</f>
        <v>1104</v>
      </c>
      <c r="AC36" s="1707"/>
      <c r="AD36" s="1707"/>
      <c r="AE36" s="717"/>
      <c r="AF36" s="472"/>
      <c r="AQ36" s="17"/>
      <c r="AR36" t="str">
        <f>IF(AR35=2000,"दो हजार",IF(AR35=2001,"दो हजार एक",IF(AR35=2002,"दो हजार दो",IF(AR35=2003,"दो हजार तीन",IF(AR35=2004,"दो हजार चार",IF(AR35=2005,"दो हजार पांच",IF(AR35=2006,"दो हजार छः",IF(AR35=2007,"दो हजार सात",IF(AR35=2008,"दो हजार आठ",IF(AR35=2009,"दो हजार नौ",IF(AR35=2010,"दो हजार दस",IF(AR35=2011,"दो हजार इग्यारह",IF(AR35=2012,"दो हजार बारह",IF(AR35=2013,"दो हजार तेरह",IF(AR35=2014,"दो हजार चौदह",IF(AR35=2015,"दो हजार पंद्रह",IF(AR35=2016,"दो हजार सोलह",IF(AR35=2017,"दो हजार सत्रह",IF(AR35=2018,"दो हजार अठारह",IF(AR35=2019,"दो हजार उन्नीस",IF(AR35=2020,"दो हजार बीस",IF(AR35=2021,"दो हजार इक्कीस",IF(AR35=2022,"दो हजार बाइस","")))))))))))))))))))))))</f>
        <v>दो हजार पांच</v>
      </c>
      <c r="AS36" t="str">
        <f>IF(AS35=1,"जनवरी",IF(AS35=2,"फरवरी",IF(AS35=3,"मार्च",IF(AS35=4,"अप्रैल",IF(AS35=5,"मई",IF(AS35=6,"जून",IF(AS35=7,"जुलाई",IF(AS35=8,"अगस्त",IF(AS35=9,"सितम्बर",IF(AS35=10,"अक्टूबर",IF(AS35=11,"नवम्बर",IF(AS35=12,"दिसम्बर",""))))))))))))</f>
        <v>मार्च</v>
      </c>
      <c r="AT36" t="str">
        <f>IF(AT35=1,"एक",IF(AT35=2,"दो",IF(AT35=3,"तीन",IF(AT35=4,"चार",IF(AT35=5,"पांच",IF(AT35=6,"छः",IF(AT35=7,"सात",IF(AT35=8,"आठ",IF(AT35=9,"नौ",IF(AT35=10,"दस",IF(AT35=11,"इग्यारह",IF(AT35=12,"बारह",IF(AT35=13,"तेरह",IF(AT35=14,"चौदह",IF(AT35=15,"पंद्रह",IF(AT35=16,"सोलह",IF(AT35=17,"सत्रह",IF(AT35=18,"अठारह",IF(AT35=19,"उन्नीस",IF(AT35=20,"बीस",IF(AT35=21,"इक्कीस",IF(AT35=22,"बाइस",IF(AT35=23,"तेईस",IF(AT35=24,"चौबीस",IF(AT35=25,"पचीस",IF(AT35=26,"छबीस",IF(AT35=27,"सताईस",IF(AT35=28,"अठाइस",IF(AT35=29,"उन्नतीस",IF(AT35=30,"तीस",IF(AT35=31,"इकतीस","")))))))))))))))))))))))))))))))</f>
        <v>तीन</v>
      </c>
      <c r="AX36" t="str">
        <f>IF(AX35=2000,"दो हजार",IF(AX35=2001,"दो हजार एक",IF(AX35=2002,"दो हजार दो",IF(AX35=2003,"दो हजार तीन",IF(AX35=2004,"दो हजार चार",IF(AX35=2005,"दो हजार पांच",IF(AX35=2006,"दो हजार छः",IF(AX35=2007,"दो हजार सात",IF(AX35=2008,"दो हजार आठ",IF(AX35=2009,"दो हजार नौ",IF(AX35=2010,"दो हजार दस",IF(AX35=2011,"दो हजार इग्यारह",IF(AX35=2012,"दो हजार बारह",IF(AX35=2013,"दो हजार तेरह",IF(AX35=2014,"दो हजार चौदह",IF(AX35=2015,"दो हजार पंद्रह",IF(AX35=2016,"दो हजार सोलह",IF(AX35=2017,"दो हजार सत्रह",IF(AX35=2018,"दो हजार अठारह",IF(AX35=2019,"दो हजार उन्नीस",IF(AX35=2020,"दो हजार बीस",IF(AX35=2021,"दो हजार इक्कीस",IF(AX35=2022,"दो हजार बाइस","")))))))))))))))))))))))</f>
        <v>दो हजार छः</v>
      </c>
      <c r="AY36" t="str">
        <f>IF(AY35=1,"जनवरी",IF(AY35=2,"फरवरी",IF(AY35=3,"मार्च",IF(AY35=4,"अप्रैल",IF(AY35=5,"मई",IF(AY35=6,"जून",IF(AY35=7,"जुलाई",IF(AY35=8,"अगस्त",IF(AY35=9,"सितम्बर",IF(AY35=10,"अक्टूबर",IF(AY35=11,"नवम्बर",IF(AY35=12,"दिसम्बर",""))))))))))))</f>
        <v>जून</v>
      </c>
      <c r="AZ36" t="str">
        <f>IF(AZ35=1,"एक",IF(AZ35=2,"दो",IF(AZ35=3,"तीन",IF(AZ35=4,"चार",IF(AZ35=5,"पांच",IF(AZ35=6,"छः",IF(AZ35=7,"सात",IF(AZ35=8,"आठ",IF(AZ35=9,"नौ",IF(AZ35=10,"दस",IF(AZ35=11,"इग्यारह",IF(AZ35=12,"बारह",IF(AZ35=13,"तेरह",IF(AZ35=14,"चौदह",IF(AZ35=15,"पंद्रह",IF(AZ35=16,"सोलह",IF(AZ35=17,"सत्रह",IF(AZ35=18,"अठारह",IF(AZ35=19,"उन्नीस",IF(AZ35=20,"बीस",IF(AZ35=21,"इक्कीस",IF(AZ35=22,"बाइस",IF(AZ35=23,"तेईस",IF(AZ35=24,"चौबीस",IF(AZ35=25,"पचीस",IF(AZ35=26,"छबीस",IF(AZ35=27,"सताईस",IF(AZ35=28,"अठाइस",IF(AZ35=29,"उन्नतीस",IF(AZ35=30,"तीस",IF(AZ35=31,"इकतीस","")))))))))))))))))))))))))))))))</f>
        <v>छः</v>
      </c>
      <c r="BE36" s="17"/>
      <c r="BF36" s="17"/>
    </row>
    <row r="37" spans="1:58" s="471" customFormat="1" ht="21" customHeight="1">
      <c r="A37" s="469"/>
      <c r="B37" s="739" t="str">
        <f>IF('Master Sheet'!$D$11="Hindi","माता का नाम :-","Mother's Name :-")</f>
        <v>माता का नाम :-</v>
      </c>
      <c r="C37" s="1702" t="str">
        <f>IFERROR(VLOOKUP(L36,'Statement of Marks'!$B$8:'Statement of Marks'!$HI$207,6,0),"")</f>
        <v>O</v>
      </c>
      <c r="D37" s="1702"/>
      <c r="E37" s="1702"/>
      <c r="F37" s="1702"/>
      <c r="G37" s="1702"/>
      <c r="H37" s="1702"/>
      <c r="I37" s="1703" t="str">
        <f>IF('Master Sheet'!$D$11="Hindi","जन्म तिथि :","Date of Birth :")</f>
        <v>जन्म तिथि :</v>
      </c>
      <c r="J37" s="1703"/>
      <c r="K37" s="1703"/>
      <c r="L37" s="1704">
        <f>IFERROR(VLOOKUP(L36,'Statement of Marks'!$B$8:'Statement of Marks'!$HI$207,3,0),"")</f>
        <v>38414</v>
      </c>
      <c r="M37" s="1704"/>
      <c r="N37" s="1704"/>
      <c r="O37" s="1704"/>
      <c r="Q37"/>
      <c r="R37" s="739" t="str">
        <f>IF('Master Sheet'!$D$11="Hindi","माता का नाम :-","Mother's Name :-")</f>
        <v>माता का नाम :-</v>
      </c>
      <c r="S37" s="1702" t="str">
        <f>IFERROR(VLOOKUP(AB36,'Statement of Marks'!$B$8:'Statement of Marks'!$HI$207,6,0),"")</f>
        <v>P</v>
      </c>
      <c r="T37" s="1702"/>
      <c r="U37" s="1702"/>
      <c r="V37" s="1702"/>
      <c r="W37" s="1702"/>
      <c r="X37" s="1702"/>
      <c r="Y37" s="1703" t="str">
        <f>IF('Master Sheet'!$D$11="Hindi","जन्म तिथि :","Date of Birth :")</f>
        <v>जन्म तिथि :</v>
      </c>
      <c r="Z37" s="1703"/>
      <c r="AA37" s="1703"/>
      <c r="AB37" s="1704">
        <f>IFERROR(VLOOKUP(AB36,'Statement of Marks'!$B$8:'Statement of Marks'!$HI$207,3,0),"")</f>
        <v>38874</v>
      </c>
      <c r="AC37" s="1704"/>
      <c r="AD37" s="1704"/>
      <c r="AE37" s="1704"/>
      <c r="AQ37" s="17"/>
      <c r="AR37"/>
      <c r="AS37" t="str">
        <f>CONCATENATE(AT36," ",AS36," ",AR36)</f>
        <v>तीन मार्च दो हजार पांच</v>
      </c>
      <c r="AT37"/>
      <c r="AX37"/>
      <c r="AY37" t="str">
        <f>CONCATENATE(AZ36," ",AY36," ",AX36)</f>
        <v>छः जून दो हजार छः</v>
      </c>
      <c r="AZ37"/>
      <c r="BE37" s="17"/>
      <c r="BF37" s="17"/>
    </row>
    <row r="38" spans="1:58" s="471" customFormat="1" ht="21" customHeight="1">
      <c r="A38" s="469"/>
      <c r="B38" s="470"/>
      <c r="C38" s="722"/>
      <c r="D38" s="722"/>
      <c r="E38" s="722"/>
      <c r="F38" s="722"/>
      <c r="G38" s="722"/>
      <c r="H38" s="722"/>
      <c r="I38" s="1703" t="str">
        <f>IF('Master Sheet'!$D$11="Hindi","जन्मतिथि शब्दों में :","Date of Birth in Words :")</f>
        <v>जन्मतिथि शब्दों में :</v>
      </c>
      <c r="J38" s="1703"/>
      <c r="K38" s="1703"/>
      <c r="L38" s="1705" t="str">
        <f>IF('Master Sheet'!$D$11="Hindi",AS37,AS39)</f>
        <v>तीन मार्च दो हजार पांच</v>
      </c>
      <c r="M38" s="1705"/>
      <c r="N38" s="1705"/>
      <c r="O38" s="1705"/>
      <c r="P38" s="1705"/>
      <c r="Q38"/>
      <c r="R38" s="470"/>
      <c r="S38" s="722"/>
      <c r="T38" s="722"/>
      <c r="U38" s="722"/>
      <c r="V38" s="722"/>
      <c r="W38" s="722"/>
      <c r="X38" s="722"/>
      <c r="Y38" s="1703" t="str">
        <f>IF('Master Sheet'!$D$11="Hindi","जन्मतिथि शब्दों में :","Date of Birth in Words :")</f>
        <v>जन्मतिथि शब्दों में :</v>
      </c>
      <c r="Z38" s="1703"/>
      <c r="AA38" s="1703"/>
      <c r="AB38" s="1705" t="str">
        <f>IF('Master Sheet'!$D$11="Hindi",AY37,AY39)</f>
        <v>छः जून दो हजार छः</v>
      </c>
      <c r="AC38" s="1705"/>
      <c r="AD38" s="1705"/>
      <c r="AE38" s="1705"/>
      <c r="AF38" s="1705"/>
      <c r="AQ38" s="17"/>
      <c r="AR38" t="str">
        <f>IF(AR35=1961,"NINETEEN SIXTY ONE",IF(AR35=1962,"NINETEEN SIXTY TWO",IF(AR35=1963,"NINETEEN SIXTY THREE",IF(AR35=1964,"NINETEEN SIXTY FOUR",IF(AR35=1965,"NINETEEN SIXTY FIVE",IF(AR35=1966,"NINETEEN SIXTY SIX",IF(AR35=1967,"NINETEEN SIXTY SEVEN",IF(AR35=1968,"NINETEEN SIXTY EIGHT",IF(AR35=1969,"NINETEEN SIXTY NINE",IF(AR35=1970,"NINETEEN SEVENTY",IF(AR35=1971,"NINETEEN SEVENTY ONE",IF(AR35=1972,"NINETEEN SEVENTY TWO",IF(AR35=1973,"NINETEEN SEVENTY THREE",IF(AR35=1974,"NINETEEN SEVENTY FOUR",IF(AR35=1975,"NINETEEN SEVENTY FIVE",IF(AR35=1976,"NINETEEN SEVENTY SIX",IF(AR35=1977,"NINETEEN SEVENTY SEVEN",IF(AR35=1978,"NINETEEN SEVENTY EIGHT",IF(AR35=1979,"NINETEEN SEVENTY NINE",IF(AR35=1980,"NINETEEN EIGHTY",IF(AR35=1981,"NINETEEN EIGHTY ONE",IF(AR35=1982,"NINETEEN EIGHTY TWO",IF(AR35=1983,"NINETEEN EIGHTY THREE",IF(AR35=1984,"NINETEEN EIGHTY FOUR",IF(AR35=1985,"NINETEEN EIGHTY FIVE",IF(AR35=1986,"NINETEEN EIGHTY SIX",IF(AR35=1987,"NINETEEN EIGHTY SEVEN",IF(AR35=1988,"NINETEEN EIGHTY EIGHT",IF(AR35=1989,"NINETEEN EIGHTY NINE",IF(AR35=1990,"NINETEEN NINETY",IF(AR35=1991,"NINETEEN NINETY ONE",IF(AR35=1992,"NINETEEN NINETY TWO",IF(AR35=1993,"NINETEEN NINETY THREE",IF(AR35=1994,"NINETEEN NINETY FOUR",IF(AR35=1995,"NINETEEN NINETY FIVE",IF(AR35=1996,"NINETEEN NINETY SIX",IF(AR35=1997,"NINETEEN NINETY SEVEN",IF(AR35=1998,"NINETEEN NINETY EIGHT",IF(AR35=1999,"NINETEEN NINETY NINE",IF(AR35=2000,"TWO THOUSAND",IF(AR35=2001,"TWO THOUSAND ONE",IF(AR35=2002,"TWO THOUSAND TWO",IF(AR35=2003,"TWO THOUSAND THREE",IF(AR35=2004,"TWO THOUSAND FOUR",IF(AR35=2005,"TWO THOUSAND FIVE",IF(AR35=2006,"TWO THOUSAND SIX",IF(AR35=2007,"TWO THOUSAND SEVEN",IF(AR35=2008,"TWO THOUSAND EIGHT",IF(AR35=2009,"TWO THOUSAND NINE",IF(AR35=2010,"TWO THOUSAND TEN",IF(AR35=2011,"TWO THOUSAND ELEVEN",IF(AR35=2012,"TWO THOUSAND TWELVE",IF(AR35=2013,"TWO THOUSAND THIRTEEN",IF(AR35=2014,"TWO THOUSAND FOURTEEN",IF(AR35=2015,"TWO THOUSAND FIFTEEN",IF(AR35=2016,"TWO THOUSAND SIXTEEN",IF(AR35=2017,"TWO THOUSAND SEVENTEEN",IF(AR35=2018,"TWO THOUSAND EIGHTEEN",IF(AR35=2019,"TWO THOUSAND NINETEEN",IF(AR35=2020,"TWO THOUSAND TWENTY",IF(AR35=2021,"TWO THOUSAND TWENTY ONE",IF(AR35=2022,"TWO THOUSAND TWENTY TWO",IF(AR35=2023,"TWO THOUSAND TWENTY THREE",IF(AR35=2024,"TWO THOUSAND TWENTY FOUR",IF(AR35=2025,"TWO THOUSAND TWENTY FIVE","")))))))))))))))))))))))))))))))))))))))))))))))))))))))))))))))))</f>
        <v>TWO THOUSAND FIVE</v>
      </c>
      <c r="AS38" t="str">
        <f>IF(AS35=1,"JANUARY",IF(AS35=2,"FEBUARY", IF(AS35=3,"MARCH",IF(AS35=4,"APRIL",IF(AS35=5,"MAY",IF(AS35=6,"JUNE",IF(AS35=7,"JULY",IF(AS35=8,"AUGUST",IF(AS35=9,"SEPTEMBER",IF(AS35=10,"OCTOBER",IF(AS35=11,"NOVEMBER",IF(AS35=12,"DECEMBER",""))))))))))))</f>
        <v>MARCH</v>
      </c>
      <c r="AT38" t="str">
        <f>IF(AT35=1,"1ST",IF(AT35=2,"2ND", IF(AT35=3,"3RD",IF(AT35=4,"FOURTH",IF(AT35=5,"FIFTH",IF(AT35=6,"SIXTH",IF(AT35=7,"7TH",IF(AT35=8,"8TH",IF(AT35=9,"9TH",IF(AT35=10,"10TH",IF(AT35=11,"11TH",IF(AT35=12,"12TH",IF(AT35=13,"13TH",IF(AT35=14,"14TH",IF(AT35=15,"FIFTEEN",IF(AT35=16,"SIXTEEN",IF(AT35=17,"SEVENTEEN",IF(AT35=18,"EIGHTEEN",IF(AT35=19,"NINETEEN",IF(AT35=20,"TWENTY",IF(AT35=21,"TWENTY FIRST",IF(AT35=22,"TWENTY SECOND",IF(AT35=23,"TWENTY THIRD",IF(AT35=24,"TWENTY FOURTH",IF(AT35=25,"TWENTY FIFTH",IF(AT35=26,"TWENTY SIX",IF(AT35=27,"TWENTY SEVEN",IF(AT35=28,"TWENTY EIGHT",IF(AT35=29,"TWENTY NINE",IF(AT35=30,"THIRTY",IF(AT35=31,"THIRTY FIRST","")))))))))))))))))))))))))))))))</f>
        <v>3RD</v>
      </c>
      <c r="AX38" t="str">
        <f>IF(AX35=1961,"NINETEEN SIXTY ONE",IF(AX35=1962,"NINETEEN SIXTY TWO",IF(AX35=1963,"NINETEEN SIXTY THREE",IF(AX35=1964,"NINETEEN SIXTY FOUR",IF(AX35=1965,"NINETEEN SIXTY FIVE",IF(AX35=1966,"NINETEEN SIXTY SIX",IF(AX35=1967,"NINETEEN SIXTY SEVEN",IF(AX35=1968,"NINETEEN SIXTY EIGHT",IF(AX35=1969,"NINETEEN SIXTY NINE",IF(AX35=1970,"NINETEEN SEVENTY",IF(AX35=1971,"NINETEEN SEVENTY ONE",IF(AX35=1972,"NINETEEN SEVENTY TWO",IF(AX35=1973,"NINETEEN SEVENTY THREE",IF(AX35=1974,"NINETEEN SEVENTY FOUR",IF(AX35=1975,"NINETEEN SEVENTY FIVE",IF(AX35=1976,"NINETEEN SEVENTY SIX",IF(AX35=1977,"NINETEEN SEVENTY SEVEN",IF(AX35=1978,"NINETEEN SEVENTY EIGHT",IF(AX35=1979,"NINETEEN SEVENTY NINE",IF(AX35=1980,"NINETEEN EIGHTY",IF(AX35=1981,"NINETEEN EIGHTY ONE",IF(AX35=1982,"NINETEEN EIGHTY TWO",IF(AX35=1983,"NINETEEN EIGHTY THREE",IF(AX35=1984,"NINETEEN EIGHTY FOUR",IF(AX35=1985,"NINETEEN EIGHTY FIVE",IF(AX35=1986,"NINETEEN EIGHTY SIX",IF(AX35=1987,"NINETEEN EIGHTY SEVEN",IF(AX35=1988,"NINETEEN EIGHTY EIGHT",IF(AX35=1989,"NINETEEN EIGHTY NINE",IF(AX35=1990,"NINETEEN NINETY",IF(AX35=1991,"NINETEEN NINETY ONE",IF(AX35=1992,"NINETEEN NINETY TWO",IF(AX35=1993,"NINETEEN NINETY THREE",IF(AX35=1994,"NINETEEN NINETY FOUR",IF(AX35=1995,"NINETEEN NINETY FIVE",IF(AX35=1996,"NINETEEN NINETY SIX",IF(AX35=1997,"NINETEEN NINETY SEVEN",IF(AX35=1998,"NINETEEN NINETY EIGHT",IF(AX35=1999,"NINETEEN NINETY NINE",IF(AX35=2000,"TWO THOUSAND",IF(AX35=2001,"TWO THOUSAND ONE",IF(AX35=2002,"TWO THOUSAND TWO",IF(AX35=2003,"TWO THOUSAND THREE",IF(AX35=2004,"TWO THOUSAND FOUR",IF(AX35=2005,"TWO THOUSAND FIVE",IF(AX35=2006,"TWO THOUSAND SIX",IF(AX35=2007,"TWO THOUSAND SEVEN",IF(AX35=2008,"TWO THOUSAND EIGHT",IF(AX35=2009,"TWO THOUSAND NINE",IF(AX35=2010,"TWO THOUSAND TEN",IF(AX35=2011,"TWO THOUSAND ELEVEN",IF(AX35=2012,"TWO THOUSAND TWELVE",IF(AX35=2013,"TWO THOUSAND THIRTEEN",IF(AX35=2014,"TWO THOUSAND FOURTEEN",IF(AX35=2015,"TWO THOUSAND FIFTEEN",IF(AX35=2016,"TWO THOUSAND SIXTEEN",IF(AX35=2017,"TWO THOUSAND SEVENTEEN",IF(AX35=2018,"TWO THOUSAND EIGHTEEN",IF(AX35=2019,"TWO THOUSAND NINETEEN",IF(AX35=2020,"TWO THOUSAND TWENTY",IF(AX35=2021,"TWO THOUSAND TWENTY ONE",IF(AX35=2022,"TWO THOUSAND TWENTY TWO",IF(AX35=2023,"TWO THOUSAND TWENTY THREE",IF(AX35=2024,"TWO THOUSAND TWENTY FOUR",IF(AX35=2025,"TWO THOUSAND TWENTY FIVE","")))))))))))))))))))))))))))))))))))))))))))))))))))))))))))))))))</f>
        <v>TWO THOUSAND SIX</v>
      </c>
      <c r="AY38" t="str">
        <f>IF(AY35=1,"JANUARY",IF(AY35=2,"FEBUARY", IF(AY35=3,"MARCH",IF(AY35=4,"APRIL",IF(AY35=5,"MAY",IF(AY35=6,"JUNE",IF(AY35=7,"JULY",IF(AY35=8,"AUGUST",IF(AY35=9,"SEPTEMBER",IF(AY35=10,"OCTOBER",IF(AY35=11,"NOVEMBER",IF(AY35=12,"DECEMBER",""))))))))))))</f>
        <v>JUNE</v>
      </c>
      <c r="AZ38" t="str">
        <f>IF(AZ35=1,"1ST",IF(AZ35=2,"2ND", IF(AZ35=3,"3RD",IF(AZ35=4,"FOURTH",IF(AZ35=5,"FIFTH",IF(AZ35=6,"SIXTH",IF(AZ35=7,"7TH",IF(AZ35=8,"8TH",IF(AZ35=9,"9TH",IF(AZ35=10,"10TH",IF(AZ35=11,"11TH",IF(AZ35=12,"12TH",IF(AZ35=13,"13TH",IF(AZ35=14,"14TH",IF(AZ35=15,"FIFTEEN",IF(AZ35=16,"SIXTEEN",IF(AZ35=17,"SEVENTEEN",IF(AZ35=18,"EIGHTEEN",IF(AZ35=19,"NINETEEN",IF(AZ35=20,"TWENTY",IF(AZ35=21,"TWENTY FIRST",IF(AZ35=22,"TWENTY SECOND",IF(AZ35=23,"TWENTY THIRD",IF(AZ35=24,"TWENTY FOURTH",IF(AZ35=25,"TWENTY FIFTH",IF(AZ35=26,"TWENTY SIX",IF(AZ35=27,"TWENTY SEVEN",IF(AZ35=28,"TWENTY EIGHT",IF(AZ35=29,"TWENTY NINE",IF(AZ35=30,"THIRTY",IF(AZ35=31,"THIRTY FIRST","")))))))))))))))))))))))))))))))</f>
        <v>SIXTH</v>
      </c>
      <c r="BE38" s="17"/>
      <c r="BF38" s="17"/>
    </row>
    <row r="39" spans="1:58" s="471" customFormat="1" ht="9.75" customHeight="1">
      <c r="A39" s="469"/>
      <c r="B39" s="1696"/>
      <c r="C39" s="1696"/>
      <c r="D39" s="1696"/>
      <c r="E39" s="1696"/>
      <c r="F39" s="1696"/>
      <c r="G39" s="1696"/>
      <c r="H39" s="1696"/>
      <c r="I39" s="1696"/>
      <c r="J39" s="1696"/>
      <c r="K39" s="1696"/>
      <c r="L39" s="1696"/>
      <c r="M39" s="1696"/>
      <c r="N39" s="1696"/>
      <c r="O39" s="1696"/>
      <c r="P39" s="721"/>
      <c r="Q39"/>
      <c r="R39" s="1697"/>
      <c r="S39" s="1697"/>
      <c r="T39" s="1697"/>
      <c r="U39" s="1697"/>
      <c r="V39" s="1697"/>
      <c r="W39" s="1697"/>
      <c r="X39" s="1697"/>
      <c r="Y39" s="1697"/>
      <c r="Z39" s="1697"/>
      <c r="AA39" s="1697"/>
      <c r="AB39" s="1697"/>
      <c r="AC39" s="1697"/>
      <c r="AD39" s="1697"/>
      <c r="AE39" s="1697"/>
      <c r="AF39" s="718"/>
      <c r="AQ39" s="17"/>
      <c r="AR39"/>
      <c r="AS39" t="str">
        <f>CONCATENATE(AS38," ",AT38,", ",AR38)</f>
        <v>MARCH 3RD, TWO THOUSAND FIVE</v>
      </c>
      <c r="AT39"/>
      <c r="AX39"/>
      <c r="AY39" t="str">
        <f>CONCATENATE(AY38," ",AZ38,", ",AX38)</f>
        <v>JUNE SIXTH, TWO THOUSAND SIX</v>
      </c>
      <c r="AZ39"/>
      <c r="BE39" s="17"/>
      <c r="BF39" s="17"/>
    </row>
    <row r="40" spans="1:58" s="471" customFormat="1" ht="27.75" customHeight="1">
      <c r="A40" s="469"/>
      <c r="B40" s="1698" t="str">
        <f>IF('Master Sheet'!$D$11="Hindi","विषय का नाम","Subject Name")</f>
        <v>विषय का नाम</v>
      </c>
      <c r="C40" s="1699" t="str">
        <f>IF('Master Sheet'!$D$11="Hindi","सामयिक परख","Seasonal Exam")</f>
        <v>सामयिक परख</v>
      </c>
      <c r="D40" s="1699"/>
      <c r="E40" s="1699"/>
      <c r="F40" s="1699"/>
      <c r="G40" s="1699" t="str">
        <f>IF('Master Sheet'!$D$11="Hindi","अर्द्धवार्षिक","Half Yearly")</f>
        <v>अर्द्धवार्षिक</v>
      </c>
      <c r="H40" s="1699"/>
      <c r="I40" s="1699"/>
      <c r="J40" s="1700" t="str">
        <f>IF('Master Sheet'!$D$11="Hindi","अर्द्ध वा. तक योग","Total Till H.Y.")</f>
        <v>अर्द्ध वा. तक योग</v>
      </c>
      <c r="K40" s="1699" t="str">
        <f>IF('Master Sheet'!$D$11="Hindi","वार्षिक","Yearly Exam")</f>
        <v>वार्षिक</v>
      </c>
      <c r="L40" s="1699"/>
      <c r="M40" s="1699"/>
      <c r="N40" s="1699"/>
      <c r="O40" s="1701" t="str">
        <f>IF('Master Sheet'!$D$11="Hindi","विषय कुल योग ","Subject Total")</f>
        <v xml:space="preserve">विषय कुल योग </v>
      </c>
      <c r="P40" s="1686" t="str">
        <f>IF('Master Sheet'!$D$11="Hindi","विषय परिणाम / विषय श्रेणी","Sub. Result /  Sub. Div.")</f>
        <v>विषय परिणाम / विषय श्रेणी</v>
      </c>
      <c r="Q40"/>
      <c r="R40" s="1698" t="str">
        <f>IF('Master Sheet'!$D$11="Hindi","विषय का नाम","Subject Name")</f>
        <v>विषय का नाम</v>
      </c>
      <c r="S40" s="1699" t="str">
        <f>IF('Master Sheet'!$D$11="Hindi","सामयिक परख","Seasonal Exam")</f>
        <v>सामयिक परख</v>
      </c>
      <c r="T40" s="1699"/>
      <c r="U40" s="1699"/>
      <c r="V40" s="1699"/>
      <c r="W40" s="1699" t="str">
        <f>IF('Master Sheet'!$D$11="Hindi","अर्द्धवार्षिक","Half Yearly")</f>
        <v>अर्द्धवार्षिक</v>
      </c>
      <c r="X40" s="1699"/>
      <c r="Y40" s="1699"/>
      <c r="Z40" s="1700" t="str">
        <f>IF('Master Sheet'!$D$11="Hindi","अर्द्ध वा. तक योग","Total Till H.Y.")</f>
        <v>अर्द्ध वा. तक योग</v>
      </c>
      <c r="AA40" s="1699" t="str">
        <f>IF('Master Sheet'!$D$11="Hindi","वार्षिक","Yearly Exam")</f>
        <v>वार्षिक</v>
      </c>
      <c r="AB40" s="1699"/>
      <c r="AC40" s="1699"/>
      <c r="AD40" s="1699"/>
      <c r="AE40" s="1701" t="str">
        <f>IF('Master Sheet'!$D$11="Hindi","विषय कुल योग ","Subject Total")</f>
        <v xml:space="preserve">विषय कुल योग </v>
      </c>
      <c r="AF40" s="1686" t="str">
        <f>IF('Master Sheet'!$D$11="Hindi","विषय परिणाम / विषय श्रेणी","Sub. Result /  Sub. Div.")</f>
        <v>विषय परिणाम / विषय श्रेणी</v>
      </c>
      <c r="AQ40" s="17"/>
      <c r="AR40"/>
      <c r="AS40"/>
      <c r="AT40"/>
      <c r="AX40"/>
      <c r="AY40"/>
      <c r="AZ40"/>
      <c r="BE40" s="17"/>
      <c r="BF40" s="17"/>
    </row>
    <row r="41" spans="1:58" s="471" customFormat="1" ht="78.75" customHeight="1">
      <c r="A41" s="469"/>
      <c r="B41" s="1698"/>
      <c r="C41" s="745" t="str">
        <f>IF('Master Sheet'!$D$11="Hindi","प्रथम परख ","First Test")</f>
        <v xml:space="preserve">प्रथम परख </v>
      </c>
      <c r="D41" s="745" t="str">
        <f>IF('Master Sheet'!$D$11="Hindi","द्वितीय परख","Second Test")</f>
        <v>द्वितीय परख</v>
      </c>
      <c r="E41" s="745" t="str">
        <f>IF('Master Sheet'!$D$11="Hindi","तृतीय परख","Third Test")</f>
        <v>तृतीय परख</v>
      </c>
      <c r="F41" s="746" t="str">
        <f>IF('Master Sheet'!$D$11="Hindi","सा. परख योग","Test Total")</f>
        <v>सा. परख योग</v>
      </c>
      <c r="G41" s="745" t="str">
        <f>IF('Master Sheet'!$D$11="Hindi","सैद्धांतिक","Theoretical")</f>
        <v>सैद्धांतिक</v>
      </c>
      <c r="H41" s="745" t="str">
        <f>IF('Master Sheet'!$D$11="Hindi","प्रायोगिक","Practical")</f>
        <v>प्रायोगिक</v>
      </c>
      <c r="I41" s="747" t="str">
        <f>IF('Master Sheet'!$D$11="Hindi","अर्द्ध वा. योग","Total H.Y.")</f>
        <v>अर्द्ध वा. योग</v>
      </c>
      <c r="J41" s="1700"/>
      <c r="K41" s="745" t="str">
        <f>IF('Master Sheet'!$D$11="Hindi","सैद्धांतिक","Theoretical")</f>
        <v>सैद्धांतिक</v>
      </c>
      <c r="L41" s="745" t="str">
        <f>IF('Master Sheet'!$D$11="Hindi","प्रायोगिक","Practical")</f>
        <v>प्रायोगिक</v>
      </c>
      <c r="M41" s="745" t="str">
        <f>IF('Master Sheet'!$D$11="Hindi","पोर्टफोलियो","Portfolio")</f>
        <v>पोर्टफोलियो</v>
      </c>
      <c r="N41" s="747" t="str">
        <f>IF('Master Sheet'!$D$11="Hindi","वार्षिक योग","Total Yearly")</f>
        <v>वार्षिक योग</v>
      </c>
      <c r="O41" s="1701"/>
      <c r="P41" s="1686"/>
      <c r="Q41"/>
      <c r="R41" s="1698"/>
      <c r="S41" s="745" t="str">
        <f>IF('Master Sheet'!$D$11="Hindi","प्रथम परख ","First Test")</f>
        <v xml:space="preserve">प्रथम परख </v>
      </c>
      <c r="T41" s="745" t="str">
        <f>IF('Master Sheet'!$D$11="Hindi","द्वितीय परख","Second Test")</f>
        <v>द्वितीय परख</v>
      </c>
      <c r="U41" s="745" t="str">
        <f>IF('Master Sheet'!$D$11="Hindi","तृतीय परख","Third Test")</f>
        <v>तृतीय परख</v>
      </c>
      <c r="V41" s="746" t="str">
        <f>IF('Master Sheet'!$D$11="Hindi","सा. परख योग","Test Total")</f>
        <v>सा. परख योग</v>
      </c>
      <c r="W41" s="745" t="str">
        <f>IF('Master Sheet'!$D$11="Hindi","सैद्धांतिक","Theoretical")</f>
        <v>सैद्धांतिक</v>
      </c>
      <c r="X41" s="745" t="str">
        <f>IF('Master Sheet'!$D$11="Hindi","प्रायोगिक","Practical")</f>
        <v>प्रायोगिक</v>
      </c>
      <c r="Y41" s="747" t="str">
        <f>IF('Master Sheet'!$D$11="Hindi","अर्द्ध वा. योग","Total H.Y.")</f>
        <v>अर्द्ध वा. योग</v>
      </c>
      <c r="Z41" s="1700"/>
      <c r="AA41" s="745" t="str">
        <f>IF('Master Sheet'!$D$11="Hindi","सैद्धांतिक","Theoretical")</f>
        <v>सैद्धांतिक</v>
      </c>
      <c r="AB41" s="745" t="str">
        <f>IF('Master Sheet'!$D$11="Hindi","प्रायोगिक","Practical")</f>
        <v>प्रायोगिक</v>
      </c>
      <c r="AC41" s="745" t="str">
        <f>IF('Master Sheet'!$D$11="Hindi","पोर्टफोलियो","Portfolio")</f>
        <v>पोर्टफोलियो</v>
      </c>
      <c r="AD41" s="747" t="str">
        <f>IF('Master Sheet'!$D$11="Hindi","वार्षिक योग","Total Yearly")</f>
        <v>वार्षिक योग</v>
      </c>
      <c r="AE41" s="1701"/>
      <c r="AF41" s="1686"/>
      <c r="AQ41" s="17"/>
      <c r="AR41"/>
      <c r="AS41"/>
      <c r="AT41"/>
      <c r="AX41"/>
      <c r="AY41"/>
      <c r="AZ41"/>
      <c r="BE41" s="17"/>
      <c r="BF41" s="17"/>
    </row>
    <row r="42" spans="1:58" s="475" customFormat="1" ht="28.5" customHeight="1">
      <c r="A42" s="474"/>
      <c r="B42" s="1698"/>
      <c r="C42" s="742">
        <v>10</v>
      </c>
      <c r="D42" s="742">
        <v>10</v>
      </c>
      <c r="E42" s="742">
        <v>10</v>
      </c>
      <c r="F42" s="794">
        <v>30</v>
      </c>
      <c r="G42" s="743" t="s">
        <v>288</v>
      </c>
      <c r="H42" s="723" t="s">
        <v>284</v>
      </c>
      <c r="I42" s="744">
        <v>70</v>
      </c>
      <c r="J42" s="751">
        <v>100</v>
      </c>
      <c r="K42" s="743" t="s">
        <v>285</v>
      </c>
      <c r="L42" s="723" t="s">
        <v>142</v>
      </c>
      <c r="M42" s="742">
        <v>20</v>
      </c>
      <c r="N42" s="744">
        <v>100</v>
      </c>
      <c r="O42" s="752">
        <v>200</v>
      </c>
      <c r="P42" s="1686"/>
      <c r="Q42"/>
      <c r="R42" s="1698"/>
      <c r="S42" s="742">
        <v>10</v>
      </c>
      <c r="T42" s="742">
        <v>10</v>
      </c>
      <c r="U42" s="742">
        <v>10</v>
      </c>
      <c r="V42" s="794">
        <v>30</v>
      </c>
      <c r="W42" s="743" t="s">
        <v>288</v>
      </c>
      <c r="X42" s="723" t="s">
        <v>284</v>
      </c>
      <c r="Y42" s="744">
        <v>70</v>
      </c>
      <c r="Z42" s="751">
        <v>100</v>
      </c>
      <c r="AA42" s="743" t="s">
        <v>285</v>
      </c>
      <c r="AB42" s="723" t="s">
        <v>142</v>
      </c>
      <c r="AC42" s="742">
        <v>20</v>
      </c>
      <c r="AD42" s="744">
        <v>100</v>
      </c>
      <c r="AE42" s="752">
        <v>200</v>
      </c>
      <c r="AF42" s="1686"/>
      <c r="AQ42" s="17"/>
      <c r="AR42"/>
      <c r="AS42"/>
      <c r="AT42"/>
      <c r="AX42"/>
      <c r="AY42"/>
      <c r="AZ42"/>
      <c r="BE42" s="17"/>
      <c r="BF42" s="17"/>
    </row>
    <row r="43" spans="1:58" s="471" customFormat="1" ht="22.5" customHeight="1">
      <c r="A43" s="469"/>
      <c r="B43" s="716" t="str">
        <f>'Statement of Marks'!$J$3</f>
        <v>Com. Hindi</v>
      </c>
      <c r="C43" s="92">
        <f>IFERROR(VLOOKUP(L36,'Statement of Marks'!$B$8:'Statement of Marks'!$HI$207,9,0),"")</f>
        <v>9</v>
      </c>
      <c r="D43" s="92">
        <f>IFERROR(VLOOKUP(L36,'Statement of Marks'!$B$8:'Statement of Marks'!$HI$207,10,0),"")</f>
        <v>9</v>
      </c>
      <c r="E43" s="92">
        <f>IFERROR(VLOOKUP(L36,'Statement of Marks'!$B$8:'Statement of Marks'!$HI$207,11,0),"")</f>
        <v>8</v>
      </c>
      <c r="F43" s="465">
        <f>IFERROR(VLOOKUP(L36,'Statement of Marks'!$B$8:'Statement of Marks'!$HI$207,12,0),"")</f>
        <v>26</v>
      </c>
      <c r="G43" s="92">
        <f>IFERROR(VLOOKUP(L36,'Statement of Marks'!$B$8:'Statement of Marks'!$HI$207,13,0),"")</f>
        <v>41</v>
      </c>
      <c r="H43" s="92"/>
      <c r="I43" s="793">
        <f>IFERROR(VLOOKUP(L36,'Statement of Marks'!$B$8:'Statement of Marks'!$HI$207,13,0),"")</f>
        <v>41</v>
      </c>
      <c r="J43" s="730">
        <f>IFERROR(IF(AND(L36="",A43="",F43="",I43=""),"",SUM(C43,D43,E43,G43,H43)),"")</f>
        <v>67</v>
      </c>
      <c r="K43" s="92">
        <f>IFERROR(VLOOKUP(L36,'Statement of Marks'!$B$8:'Statement of Marks'!$HI$207,15,0),"")</f>
        <v>65</v>
      </c>
      <c r="L43" s="466"/>
      <c r="M43" s="727"/>
      <c r="N43" s="765">
        <f>IFERROR(VLOOKUP(L36,'Statement of Marks'!$B$8:'Statement of Marks'!$HI$207,15,0),"")</f>
        <v>65</v>
      </c>
      <c r="O43" s="738">
        <f>IFERROR(VLOOKUP(L36,'Statement of Marks'!$B$8:'Statement of Marks'!$HI$207,16,0),"")</f>
        <v>132</v>
      </c>
      <c r="P43" s="728" t="str">
        <f>IFERROR(IF(N43="","",IF(VLOOKUP(L36,'Statement of Marks'!$B$8:'Statement of Marks'!$HI$207,165,0)="D","I",VLOOKUP(L36,'Statement of Marks'!$B$8:'Statement of Marks'!$HI$207,165,0))),"")</f>
        <v>I</v>
      </c>
      <c r="Q43"/>
      <c r="R43" s="716" t="str">
        <f>'Statement of Marks'!$J$3</f>
        <v>Com. Hindi</v>
      </c>
      <c r="S43" s="92">
        <f>IFERROR(VLOOKUP(AB36,'Statement of Marks'!$B$8:'Statement of Marks'!$HI$207,9,0),"")</f>
        <v>5</v>
      </c>
      <c r="T43" s="92">
        <f>IFERROR(VLOOKUP(AB36,'Statement of Marks'!$B$8:'Statement of Marks'!$HI$207,10,0),"")</f>
        <v>7</v>
      </c>
      <c r="U43" s="92">
        <f>IFERROR(VLOOKUP(AB36,'Statement of Marks'!$B$8:'Statement of Marks'!$HI$207,11,0),"")</f>
        <v>8</v>
      </c>
      <c r="V43" s="465">
        <f>IFERROR(VLOOKUP(AB36,'Statement of Marks'!$B$8:'Statement of Marks'!$HI$207,12,0),"")</f>
        <v>20</v>
      </c>
      <c r="W43" s="92">
        <f>IFERROR(VLOOKUP(AB36,'Statement of Marks'!$B$8:'Statement of Marks'!$HI$207,13,0),"")</f>
        <v>32</v>
      </c>
      <c r="X43" s="92"/>
      <c r="Y43" s="793">
        <f>IFERROR(VLOOKUP(AB36,'Statement of Marks'!$B$8:'Statement of Marks'!$HI$207,13,0),"")</f>
        <v>32</v>
      </c>
      <c r="Z43" s="730">
        <f>IFERROR(IF(AND(AB36="",Q43="",V43="",Y43=""),"",SUM(S43,T43,U43,W43,X43)),"")</f>
        <v>52</v>
      </c>
      <c r="AA43" s="92">
        <f>IFERROR(VLOOKUP(AB36,'Statement of Marks'!$B$8:'Statement of Marks'!$HI$207,15,0),"")</f>
        <v>54</v>
      </c>
      <c r="AB43" s="466"/>
      <c r="AC43" s="727"/>
      <c r="AD43" s="765">
        <f>IFERROR(VLOOKUP(AB36,'Statement of Marks'!$B$8:'Statement of Marks'!$HI$207,15,0),"")</f>
        <v>54</v>
      </c>
      <c r="AE43" s="738">
        <f>IFERROR(VLOOKUP(AB36,'Statement of Marks'!$B$8:'Statement of Marks'!$HI$207,16,0),"")</f>
        <v>106</v>
      </c>
      <c r="AF43" s="728" t="str">
        <f>IFERROR(IF(AD43="","",IF(VLOOKUP(AB36,'Statement of Marks'!$B$8:'Statement of Marks'!$HI$207,165,0)="D","I",VLOOKUP(AB36,'Statement of Marks'!$B$8:'Statement of Marks'!$HI$207,165,0))),"")</f>
        <v>II</v>
      </c>
      <c r="AQ43" s="17"/>
      <c r="AR43"/>
      <c r="AS43"/>
      <c r="AT43"/>
      <c r="AX43"/>
      <c r="AY43"/>
      <c r="AZ43"/>
      <c r="BE43" s="17"/>
      <c r="BF43" s="17"/>
    </row>
    <row r="44" spans="1:58" s="471" customFormat="1" ht="22.5" customHeight="1">
      <c r="A44" s="469"/>
      <c r="B44" s="716" t="str">
        <f>'Statement of Marks'!$X$3</f>
        <v>Com. English</v>
      </c>
      <c r="C44" s="92">
        <f>IFERROR(VLOOKUP(L36,'Statement of Marks'!$B$8:'Statement of Marks'!$HI$207,23,0),"")</f>
        <v>9</v>
      </c>
      <c r="D44" s="92">
        <f>IFERROR(VLOOKUP(L36,'Statement of Marks'!$B$8:'Statement of Marks'!$HI$207,24,0),"")</f>
        <v>6</v>
      </c>
      <c r="E44" s="92">
        <f>IFERROR(VLOOKUP(L36,'Statement of Marks'!$B$8:'Statement of Marks'!$HI$207,25,0),"")</f>
        <v>9</v>
      </c>
      <c r="F44" s="465">
        <f>IFERROR(VLOOKUP(L36,'Statement of Marks'!$B$8:'Statement of Marks'!$HI$207,26,0),"")</f>
        <v>24</v>
      </c>
      <c r="G44" s="92">
        <f>IFERROR(VLOOKUP(L36,'Statement of Marks'!$B$8:'Statement of Marks'!$HI$207,27,0),"")</f>
        <v>42</v>
      </c>
      <c r="H44" s="92"/>
      <c r="I44" s="793">
        <f>IFERROR(VLOOKUP(L36,'Statement of Marks'!$B$8:'Statement of Marks'!$HI$207,27,0),"")</f>
        <v>42</v>
      </c>
      <c r="J44" s="730">
        <f>IFERROR(IF(AND(L36="",A44="",F44="",I44=""),"",SUM(C44,D44,E44,G44,H44)),"")</f>
        <v>66</v>
      </c>
      <c r="K44" s="92">
        <f>IFERROR(VLOOKUP(L36,'Statement of Marks'!$B$8:'Statement of Marks'!$HI$207,29,0),"")</f>
        <v>70</v>
      </c>
      <c r="L44" s="466"/>
      <c r="M44" s="727"/>
      <c r="N44" s="765">
        <f>IFERROR(VLOOKUP(L36,'Statement of Marks'!$B$8:'Statement of Marks'!$HI$207,29,0),"")</f>
        <v>70</v>
      </c>
      <c r="O44" s="738">
        <f>IFERROR(VLOOKUP(L36,'Statement of Marks'!$B$8:'Statement of Marks'!$HI$207,30,0),"")</f>
        <v>136</v>
      </c>
      <c r="P44" s="728" t="str">
        <f>IFERROR(IF(O44="","",IF(VLOOKUP(L36,'Statement of Marks'!$B$8:'Statement of Marks'!$HI$207,168,0)="D","I",VLOOKUP(L36,'Statement of Marks'!$B$8:'Statement of Marks'!$HI$207,168,0))),"")</f>
        <v>I</v>
      </c>
      <c r="Q44"/>
      <c r="R44" s="716" t="str">
        <f>'Statement of Marks'!$X$3</f>
        <v>Com. English</v>
      </c>
      <c r="S44" s="92">
        <f>IFERROR(VLOOKUP(AB36,'Statement of Marks'!$B$8:'Statement of Marks'!$HI$207,23,0),"")</f>
        <v>3</v>
      </c>
      <c r="T44" s="92">
        <f>IFERROR(VLOOKUP(AB36,'Statement of Marks'!$B$8:'Statement of Marks'!$HI$207,24,0),"")</f>
        <v>3</v>
      </c>
      <c r="U44" s="92">
        <f>IFERROR(VLOOKUP(AB36,'Statement of Marks'!$B$8:'Statement of Marks'!$HI$207,25,0),"")</f>
        <v>9</v>
      </c>
      <c r="V44" s="465">
        <f>IFERROR(VLOOKUP(AB36,'Statement of Marks'!$B$8:'Statement of Marks'!$HI$207,26,0),"")</f>
        <v>15</v>
      </c>
      <c r="W44" s="92">
        <f>IFERROR(VLOOKUP(AB36,'Statement of Marks'!$B$8:'Statement of Marks'!$HI$207,27,0),"")</f>
        <v>48</v>
      </c>
      <c r="X44" s="92"/>
      <c r="Y44" s="793">
        <f>IFERROR(VLOOKUP(AB36,'Statement of Marks'!$B$8:'Statement of Marks'!$HI$207,27,0),"")</f>
        <v>48</v>
      </c>
      <c r="Z44" s="730">
        <f>IFERROR(IF(AND(AB36="",Q44="",V44="",Y44=""),"",SUM(S44,T44,U44,W44,X44)),"")</f>
        <v>63</v>
      </c>
      <c r="AA44" s="92">
        <f>IFERROR(VLOOKUP(AB36,'Statement of Marks'!$B$8:'Statement of Marks'!$HI$207,29,0),"")</f>
        <v>73</v>
      </c>
      <c r="AB44" s="466"/>
      <c r="AC44" s="727"/>
      <c r="AD44" s="765">
        <f>IFERROR(VLOOKUP(AB36,'Statement of Marks'!$B$8:'Statement of Marks'!$HI$207,29,0),"")</f>
        <v>73</v>
      </c>
      <c r="AE44" s="738">
        <f>IFERROR(VLOOKUP(AB36,'Statement of Marks'!$B$8:'Statement of Marks'!$HI$207,30,0),"")</f>
        <v>136</v>
      </c>
      <c r="AF44" s="728" t="str">
        <f>IFERROR(IF(AE44="","",IF(VLOOKUP(AB36,'Statement of Marks'!$B$8:'Statement of Marks'!$HI$207,168,0)="D","I",VLOOKUP(AB36,'Statement of Marks'!$B$8:'Statement of Marks'!$HI$207,168,0))),"")</f>
        <v>I</v>
      </c>
      <c r="AQ44" s="17"/>
      <c r="AR44"/>
      <c r="AS44"/>
      <c r="AT44"/>
      <c r="AU44" s="17" t="str">
        <f>IFERROR(VLOOKUP(L36,'Statement of Marks'!$B$8:'Statement of Marks'!$HI$207,37,0),"")</f>
        <v>A</v>
      </c>
      <c r="AV44" s="17" t="str">
        <f>IFERROR(VLOOKUP(AB36,'Statement of Marks'!$B$8:'Statement of Marks'!$HI$207,37,0),"")</f>
        <v>B</v>
      </c>
      <c r="AX44"/>
      <c r="AY44"/>
      <c r="AZ44"/>
      <c r="BE44" s="17" t="str">
        <f>IFERROR(IF(VLOOKUP(AB36,'Statement of Marks'!$B$7:'Statement of Marks'!$IC$206,206,0)="By Grace Pass","By Grace Pass and Promoted to Class 12th",IF(VLOOKUP(AB36,'Statement of Marks'!$B$7:'Statement of Marks'!$IC$206,206,0)="PASS","PASS  and Promoted to Class 12th",IF(VLOOKUP(AB36,'Statement of Marks'!$B$7:'Statement of Marks'!$IC$206,206,0)="SUPPLEMENTARY","Supplementary",IF(VLOOKUP(AB36,'Statement of Marks'!$B$7:'Statement of Marks'!$IC$206,206,0)="Re-Exam","RE-EXAM",IF(VLOOKUP(AB36,'Statement of Marks'!$B$7:'Statement of Marks'!$IC$206,206,0)="FAIL","FAIL",""))))),"")</f>
        <v>PASS  and Promoted to Class 12th</v>
      </c>
      <c r="BF44" s="17" t="str">
        <f>IFERROR(IF(VLOOKUP(L36,'Statement of Marks'!$B$7:'Statement of Marks'!$IC$206,206,0)="By Grace Pass","By Grace Pass and Promoted to Class 12th",IF(VLOOKUP(L36,'Statement of Marks'!$B$7:'Statement of Marks'!$IC$206,206,0)="PASS","PASS  and Promoted to Class 12th",IF(VLOOKUP(L36,'Statement of Marks'!$B$7:'Statement of Marks'!$IC$206,206,0)="SUPPLEMENTARY","Supplementary",IF(VLOOKUP(L36,'Statement of Marks'!$B$7:'Statement of Marks'!$IC$206,206,0)="Re-Exam","RE-EXAM",IF(VLOOKUP(L36,'Statement of Marks'!$B$7:'Statement of Marks'!$IC$206,206,0)="FAIL","FAIL",""))))),"")</f>
        <v>PASS  and Promoted to Class 12th</v>
      </c>
    </row>
    <row r="45" spans="1:58" s="471" customFormat="1" ht="22.5" customHeight="1">
      <c r="A45" s="469"/>
      <c r="B45" s="477" t="str">
        <f>IFERROR(IF(AND(AU44="A"),'Marks Entry'!$U$2,IF(AND(AU44="B"),'Marks Entry'!$Y$2,IF(AND(AU44="C"),'Marks Entry'!$AA$2,""))),"")</f>
        <v>POLITICAL SCIENCE</v>
      </c>
      <c r="C45" s="92">
        <f>IFERROR(VLOOKUP(L36,'Statement of Marks'!$B$8:'Statement of Marks'!$HI$207,38,0),"")</f>
        <v>9</v>
      </c>
      <c r="D45" s="92">
        <f>IFERROR(VLOOKUP(L36,'Statement of Marks'!$B$8:'Statement of Marks'!$HI$207,39,0),"")</f>
        <v>9</v>
      </c>
      <c r="E45" s="92">
        <f>IFERROR(VLOOKUP(L36,'Statement of Marks'!$B$8:'Statement of Marks'!$HI$207,40,0),"")</f>
        <v>9</v>
      </c>
      <c r="F45" s="465">
        <f>IFERROR(VLOOKUP(L36,'Statement of Marks'!$B$8:'Statement of Marks'!$HI$207,41,0),"")</f>
        <v>27</v>
      </c>
      <c r="G45" s="92">
        <f>IFERROR(VLOOKUP(L36,'Statement of Marks'!$B$8:'Statement of Marks'!$HI$207,42,0),"")</f>
        <v>40</v>
      </c>
      <c r="H45" s="92" t="str">
        <f>IFERROR(VLOOKUP(L36,'Statement of Marks'!$B$8:'Statement of Marks'!$HI$207,43,0),"")</f>
        <v/>
      </c>
      <c r="I45" s="793">
        <f>IFERROR(VLOOKUP(L36,'Statement of Marks'!$B$8:'Statement of Marks'!$HI$207,44,0),"")</f>
        <v>40</v>
      </c>
      <c r="J45" s="730">
        <f>IFERROR(IF(AND(L36="",A45="",F45="",I45=""),"",SUM(C45,D45,E45,G45,H45)),"")</f>
        <v>67</v>
      </c>
      <c r="K45" s="92">
        <f>IFERROR(VLOOKUP(L36,'Statement of Marks'!$B$8:'Statement of Marks'!$HI$207,46,0),"")</f>
        <v>45</v>
      </c>
      <c r="L45" s="92" t="str">
        <f>IFERROR(VLOOKUP(L36,'Statement of Marks'!$B$8:'Statement of Marks'!$HI$207,47,0),"")</f>
        <v/>
      </c>
      <c r="M45" s="727"/>
      <c r="N45" s="765">
        <f>IFERROR(VLOOKUP(L36,'Statement of Marks'!$B$8:'Statement of Marks'!$HI$207,48,0),"")</f>
        <v>45</v>
      </c>
      <c r="O45" s="738">
        <f>IFERROR(VLOOKUP(L36,'Statement of Marks'!$B$8:'Statement of Marks'!$HI$207,51,0),"")</f>
        <v>112</v>
      </c>
      <c r="P45" s="728" t="str">
        <f>IFERROR(IF(O45="","",IF(VLOOKUP(L36,'Statement of Marks'!$B$8:'Statement of Marks'!$HI$207,171,0)="D","I",VLOOKUP(L36,'Statement of Marks'!$B$8:'Statement of Marks'!$HI$207,171,0))),"")</f>
        <v>II</v>
      </c>
      <c r="Q45"/>
      <c r="R45" s="477" t="str">
        <f>IFERROR(IF(AND(AV44="A"),'Marks Entry'!$U$2,IF(AND(AV44="B"),'Marks Entry'!$Y$2,IF(AND(AV44="C"),'Marks Entry'!$AA$2,""))),"")</f>
        <v>BIOLOGY</v>
      </c>
      <c r="S45" s="92">
        <f>IFERROR(VLOOKUP(AB36,'Statement of Marks'!$B$8:'Statement of Marks'!$HI$207,38,0),"")</f>
        <v>8</v>
      </c>
      <c r="T45" s="92">
        <f>IFERROR(VLOOKUP(AB36,'Statement of Marks'!$B$8:'Statement of Marks'!$HI$207,39,0),"")</f>
        <v>9</v>
      </c>
      <c r="U45" s="92">
        <f>IFERROR(VLOOKUP(AB36,'Statement of Marks'!$B$8:'Statement of Marks'!$HI$207,40,0),"")</f>
        <v>7</v>
      </c>
      <c r="V45" s="465">
        <f>IFERROR(VLOOKUP(AB36,'Statement of Marks'!$B$8:'Statement of Marks'!$HI$207,41,0),"")</f>
        <v>24</v>
      </c>
      <c r="W45" s="92">
        <f>IFERROR(VLOOKUP(AB36,'Statement of Marks'!$B$8:'Statement of Marks'!$HI$207,42,0),"")</f>
        <v>28</v>
      </c>
      <c r="X45" s="92">
        <f>IFERROR(VLOOKUP(AB36,'Statement of Marks'!$B$8:'Statement of Marks'!$HI$207,43,0),"")</f>
        <v>10</v>
      </c>
      <c r="Y45" s="793">
        <f>IFERROR(VLOOKUP(AB36,'Statement of Marks'!$B$8:'Statement of Marks'!$HI$207,44,0),"")</f>
        <v>38</v>
      </c>
      <c r="Z45" s="730">
        <f>IFERROR(IF(AND(AB36="",Q45="",V45="",Y45=""),"",SUM(S45,T45,U45,W45,X45)),"")</f>
        <v>62</v>
      </c>
      <c r="AA45" s="92">
        <f>IFERROR(VLOOKUP(AB36,'Statement of Marks'!$B$8:'Statement of Marks'!$HI$207,46,0),"")</f>
        <v>47</v>
      </c>
      <c r="AB45" s="92">
        <f>IFERROR(VLOOKUP(AB36,'Statement of Marks'!$B$8:'Statement of Marks'!$HI$207,47,0),"")</f>
        <v>19</v>
      </c>
      <c r="AC45" s="727"/>
      <c r="AD45" s="765">
        <f>IFERROR(VLOOKUP(AB36,'Statement of Marks'!$B$8:'Statement of Marks'!$HI$207,48,0),"")</f>
        <v>66</v>
      </c>
      <c r="AE45" s="738">
        <f>IFERROR(VLOOKUP(AB36,'Statement of Marks'!$B$8:'Statement of Marks'!$HI$207,51,0),"")</f>
        <v>128</v>
      </c>
      <c r="AF45" s="728" t="str">
        <f>IFERROR(IF(AE45="","",IF(VLOOKUP(AB36,'Statement of Marks'!$B$8:'Statement of Marks'!$HI$207,171,0)="D","I",VLOOKUP(AB36,'Statement of Marks'!$B$8:'Statement of Marks'!$HI$207,171,0))),"")</f>
        <v>I</v>
      </c>
      <c r="AQ45" s="17"/>
      <c r="AR45"/>
      <c r="AS45"/>
      <c r="AT45"/>
      <c r="AU45" s="17" t="str">
        <f>IFERROR(VLOOKUP(L36,'Statement of Marks'!$B$8:'Statement of Marks'!$HI$207,60,0),"")</f>
        <v>B</v>
      </c>
      <c r="AV45" s="17" t="str">
        <f>IFERROR(VLOOKUP(AB36,'Statement of Marks'!$B$8:'Statement of Marks'!$HI$207,60,0),"")</f>
        <v>A</v>
      </c>
      <c r="AX45"/>
      <c r="AY45"/>
      <c r="AZ45"/>
      <c r="BE45" s="17" t="str">
        <f>IFERROR(IF(VLOOKUP(AB36,'Statement of Marks'!$B$7:'Statement of Marks'!$IC$206,206,0)="By Grace Pass","सानुग्रह उतीर्ण एवं कक्षा 12 में क्रमोन्नत",IF(VLOOKUP(AB36,'Statement of Marks'!$B$7:'Statement of Marks'!$IC$206,206,0)="PASS","उतीर्ण एवं कक्षा 12 में क्रमोन्नत",IF(VLOOKUP(AB36,'Statement of Marks'!$B$7:'Statement of Marks'!$IC$206,206,0)="SUPPLEMENTARY","पूरक",IF(VLOOKUP(AB36,'Statement of Marks'!$B$7:'Statement of Marks'!$IC$206,206,0)="Re-Exam","पुनः परीक्षा",IF(VLOOKUP(AB36,'Statement of Marks'!$B$7:'Statement of Marks'!$IC$206,206,0)="FAIL","अनुतीर्ण",""))))),"")</f>
        <v>उतीर्ण एवं कक्षा 12 में क्रमोन्नत</v>
      </c>
      <c r="BF45" s="17" t="str">
        <f>IFERROR(IF(VLOOKUP(L36,'Statement of Marks'!$B$7:'Statement of Marks'!$IC$206,206,0)="By Grace Pass","सानुग्रह उतीर्ण एवं कक्षा 12 में क्रमोन्नत",IF(VLOOKUP(L36,'Statement of Marks'!$B$7:'Statement of Marks'!$IC$206,206,0)="PASS","उतीर्ण एवं कक्षा 12 में क्रमोन्नत",IF(VLOOKUP(L36,'Statement of Marks'!$B$7:'Statement of Marks'!$IC$206,206,0)="SUPPLEMENTARY","पूरक",IF(VLOOKUP(L36,'Statement of Marks'!$B$7:'Statement of Marks'!$IC$206,206,0)="Re-Exam","पुनः परीक्षा",IF(VLOOKUP(L36,'Statement of Marks'!$B$7:'Statement of Marks'!$IC$206,206,0)="FAIL","अनुतीर्ण",""))))),"")</f>
        <v>उतीर्ण एवं कक्षा 12 में क्रमोन्नत</v>
      </c>
    </row>
    <row r="46" spans="1:58" s="471" customFormat="1" ht="22.5" customHeight="1">
      <c r="A46" s="469"/>
      <c r="B46" s="477" t="str">
        <f>IFERROR(IF(AND(AU45="A"),'Marks Entry'!$AC$2,IF(AND(AU45="B"),'Marks Entry'!$AG$2,IF(AND(AU45="C"),'Marks Entry'!$AI$2,""))),"")</f>
        <v>ACCOUNTANCY</v>
      </c>
      <c r="C46" s="92">
        <f>IFERROR(VLOOKUP(L36,'Statement of Marks'!$B$8:'Statement of Marks'!$HI$207,61,0),"")</f>
        <v>9</v>
      </c>
      <c r="D46" s="92">
        <f>IFERROR(VLOOKUP(L36,'Statement of Marks'!$B$8:'Statement of Marks'!$HI$207,62,0),"")</f>
        <v>10</v>
      </c>
      <c r="E46" s="92">
        <f>IFERROR(VLOOKUP(L36,'Statement of Marks'!$B$8:'Statement of Marks'!$HI$207,63,0),"")</f>
        <v>8</v>
      </c>
      <c r="F46" s="465">
        <f>IFERROR(VLOOKUP(L36,'Statement of Marks'!$B$8:'Statement of Marks'!$HI$207,64,0),"")</f>
        <v>27</v>
      </c>
      <c r="G46" s="92">
        <f>IFERROR(VLOOKUP(L36,'Statement of Marks'!$B$8:'Statement of Marks'!$HI$207,65,0),"")</f>
        <v>30</v>
      </c>
      <c r="H46" s="92">
        <f>IFERROR(VLOOKUP(L36,'Statement of Marks'!$B$8:'Statement of Marks'!$HI$207,66,0),"")</f>
        <v>11</v>
      </c>
      <c r="I46" s="793">
        <f>IFERROR(VLOOKUP(L36,'Statement of Marks'!$B$8:'Statement of Marks'!$HI$207,67,0),"")</f>
        <v>41</v>
      </c>
      <c r="J46" s="730">
        <f>IFERROR(IF(AND(L36="",A46="",F46="",I46=""),"",SUM(C46,D46,E46,G46,H46)),"")</f>
        <v>68</v>
      </c>
      <c r="K46" s="92">
        <f>IFERROR(VLOOKUP(L36,'Statement of Marks'!$B$8:'Statement of Marks'!$HI$207,69,0),"")</f>
        <v>54</v>
      </c>
      <c r="L46" s="92">
        <f>IFERROR(VLOOKUP(L36,'Statement of Marks'!$B$8:'Statement of Marks'!$HI$207,70,0),"")</f>
        <v>24</v>
      </c>
      <c r="M46" s="727"/>
      <c r="N46" s="765">
        <f>IFERROR(VLOOKUP(L36,'Statement of Marks'!$B$8:'Statement of Marks'!$HI$207,71,0),"")</f>
        <v>78</v>
      </c>
      <c r="O46" s="738">
        <f>IFERROR(VLOOKUP(L36,'Statement of Marks'!$B$8:'Statement of Marks'!$HI$207,74,0),"")</f>
        <v>146</v>
      </c>
      <c r="P46" s="728" t="str">
        <f>IFERROR(IF(O46="","",IF(VLOOKUP(L36,'Statement of Marks'!$B$8:'Statement of Marks'!$HI$207,178,0)="D","I",VLOOKUP(L36,'Statement of Marks'!$B$8:'Statement of Marks'!$HI$207,178,0))),"")</f>
        <v>I</v>
      </c>
      <c r="Q46"/>
      <c r="R46" s="477" t="str">
        <f>IFERROR(IF(AND(AV45="A"),'Marks Entry'!$AC$2,IF(AND(AV45="B"),'Marks Entry'!$AG$2,IF(AND(AV45="C"),'Marks Entry'!$AI$2,""))),"")</f>
        <v>HISTORY</v>
      </c>
      <c r="S46" s="92">
        <f>IFERROR(VLOOKUP(AB36,'Statement of Marks'!$B$8:'Statement of Marks'!$HI$207,61,0),"")</f>
        <v>5</v>
      </c>
      <c r="T46" s="92">
        <f>IFERROR(VLOOKUP(AB36,'Statement of Marks'!$B$8:'Statement of Marks'!$HI$207,62,0),"")</f>
        <v>5</v>
      </c>
      <c r="U46" s="92">
        <f>IFERROR(VLOOKUP(AB36,'Statement of Marks'!$B$8:'Statement of Marks'!$HI$207,63,0),"")</f>
        <v>7</v>
      </c>
      <c r="V46" s="465">
        <f>IFERROR(VLOOKUP(AB36,'Statement of Marks'!$B$8:'Statement of Marks'!$HI$207,64,0),"")</f>
        <v>17</v>
      </c>
      <c r="W46" s="92">
        <f>IFERROR(VLOOKUP(AB36,'Statement of Marks'!$B$8:'Statement of Marks'!$HI$207,65,0),"")</f>
        <v>32</v>
      </c>
      <c r="X46" s="92" t="str">
        <f>IFERROR(VLOOKUP(AB36,'Statement of Marks'!$B$8:'Statement of Marks'!$HI$207,66,0),"")</f>
        <v/>
      </c>
      <c r="Y46" s="793">
        <f>IFERROR(VLOOKUP(AB36,'Statement of Marks'!$B$8:'Statement of Marks'!$HI$207,67,0),"")</f>
        <v>32</v>
      </c>
      <c r="Z46" s="730">
        <f>IFERROR(IF(AND(AB36="",Q46="",V46="",Y46=""),"",SUM(S46,T46,U46,W46,X46)),"")</f>
        <v>49</v>
      </c>
      <c r="AA46" s="92">
        <f>IFERROR(VLOOKUP(AB36,'Statement of Marks'!$B$8:'Statement of Marks'!$HI$207,69,0),"")</f>
        <v>56</v>
      </c>
      <c r="AB46" s="92" t="str">
        <f>IFERROR(VLOOKUP(AB36,'Statement of Marks'!$B$8:'Statement of Marks'!$HI$207,70,0),"")</f>
        <v/>
      </c>
      <c r="AC46" s="727"/>
      <c r="AD46" s="765">
        <f>IFERROR(VLOOKUP(AB36,'Statement of Marks'!$B$8:'Statement of Marks'!$HI$207,71,0),"")</f>
        <v>56</v>
      </c>
      <c r="AE46" s="738">
        <f>IFERROR(VLOOKUP(AB36,'Statement of Marks'!$B$8:'Statement of Marks'!$HI$207,74,0),"")</f>
        <v>105</v>
      </c>
      <c r="AF46" s="728" t="str">
        <f>IFERROR(IF(AE46="","",IF(VLOOKUP(AB36,'Statement of Marks'!$B$8:'Statement of Marks'!$HI$207,178,0)="D","I",VLOOKUP(AB36,'Statement of Marks'!$B$8:'Statement of Marks'!$HI$207,178,0))),"")</f>
        <v>II</v>
      </c>
      <c r="AQ46" s="17"/>
      <c r="AR46"/>
      <c r="AS46"/>
      <c r="AT46"/>
      <c r="AU46" s="17" t="str">
        <f>IFERROR(VLOOKUP(L36,'Statement of Marks'!$B$8:'Statement of Marks'!$HI$207,83,0),"")</f>
        <v>A</v>
      </c>
      <c r="AV46" s="17" t="str">
        <f>IFERROR(VLOOKUP(AB36,'Statement of Marks'!$B$8:'Statement of Marks'!$HI$207,83,0),"")</f>
        <v>A</v>
      </c>
      <c r="AX46"/>
      <c r="AY46"/>
      <c r="AZ46"/>
      <c r="BE46" s="17" t="str">
        <f>IF('Master Sheet'!$D$11="Hindi",BE45,BE44)</f>
        <v>उतीर्ण एवं कक्षा 12 में क्रमोन्नत</v>
      </c>
      <c r="BF46" s="17" t="str">
        <f>IF('Master Sheet'!$D$11="Hindi",BF45,BF44)</f>
        <v>उतीर्ण एवं कक्षा 12 में क्रमोन्नत</v>
      </c>
    </row>
    <row r="47" spans="1:58" s="471" customFormat="1" ht="22.5" customHeight="1">
      <c r="A47" s="469"/>
      <c r="B47" s="477" t="str">
        <f>IFERROR(IF(AND(AU46="A"),'Marks Entry'!$AK$2,IF(AND(AU46="B"),'Marks Entry'!$AO$2,IF(AND(AU46="C"),'Marks Entry'!$AQ$2,""))),"")</f>
        <v>GEOGRAPHY</v>
      </c>
      <c r="C47" s="92">
        <f>IFERROR(VLOOKUP(L36,'Statement of Marks'!$B$8:'Statement of Marks'!$HI$207,84,0),"")</f>
        <v>6</v>
      </c>
      <c r="D47" s="92">
        <f>IFERROR(VLOOKUP(L36,'Statement of Marks'!$B$8:'Statement of Marks'!$HI$207,85,0),"")</f>
        <v>7</v>
      </c>
      <c r="E47" s="92">
        <f>IFERROR(VLOOKUP(L36,'Statement of Marks'!$B$8:'Statement of Marks'!$HI$207,86,0),"")</f>
        <v>8</v>
      </c>
      <c r="F47" s="465">
        <f>IFERROR(VLOOKUP(L36,'Statement of Marks'!$B$8:'Statement of Marks'!$HI$207,87,0),"")</f>
        <v>21</v>
      </c>
      <c r="G47" s="92">
        <f>IFERROR(VLOOKUP(L36,'Statement of Marks'!$B$8:'Statement of Marks'!$HI$207,88,0),"")</f>
        <v>31</v>
      </c>
      <c r="H47" s="92">
        <f>IFERROR(VLOOKUP(L36,'Statement of Marks'!$B$8:'Statement of Marks'!$HI$207,89,0),"")</f>
        <v>11</v>
      </c>
      <c r="I47" s="793">
        <f>IFERROR(VLOOKUP(L36,'Statement of Marks'!$B$8:'Statement of Marks'!$HI$207,90,0),"")</f>
        <v>42</v>
      </c>
      <c r="J47" s="730">
        <f>IFERROR(IF(AND(L36="",A47="",F47="",I47=""),"",SUM(C47,D47,E47,G47,H47)),"")</f>
        <v>63</v>
      </c>
      <c r="K47" s="92">
        <f>IFERROR(VLOOKUP(L36,'Statement of Marks'!$B$8:'Statement of Marks'!$HI$207,92,0),"")</f>
        <v>40</v>
      </c>
      <c r="L47" s="92">
        <f>IFERROR(VLOOKUP(L36,'Statement of Marks'!$B$8:'Statement of Marks'!$HI$207,93,0),"")</f>
        <v>12</v>
      </c>
      <c r="M47" s="727"/>
      <c r="N47" s="765">
        <f>IFERROR(VLOOKUP(L36,'Statement of Marks'!$B$8:'Statement of Marks'!$HI$207,94,0),"")</f>
        <v>52</v>
      </c>
      <c r="O47" s="738">
        <f>IFERROR(VLOOKUP(L36,'Statement of Marks'!$B$8:'Statement of Marks'!$HI$207,97,0),"")</f>
        <v>115</v>
      </c>
      <c r="P47" s="728" t="str">
        <f>IFERROR(IF(O47="","",IF(VLOOKUP(L36,'Statement of Marks'!$B$8:'Statement of Marks'!$HI$207,185,0)="D","I",VLOOKUP(L36,'Statement of Marks'!$B$8:'Statement of Marks'!$HI$207,185,0))),"")</f>
        <v>II</v>
      </c>
      <c r="Q47"/>
      <c r="R47" s="477" t="str">
        <f>IFERROR(IF(AND(AV46="A"),'Marks Entry'!$AK$2,IF(AND(AV46="B"),'Marks Entry'!$AO$2,IF(AND(AV46="C"),'Marks Entry'!$AQ$2,""))),"")</f>
        <v>GEOGRAPHY</v>
      </c>
      <c r="S47" s="92">
        <f>IFERROR(VLOOKUP(AB36,'Statement of Marks'!$B$8:'Statement of Marks'!$HI$207,84,0),"")</f>
        <v>3</v>
      </c>
      <c r="T47" s="92">
        <f>IFERROR(VLOOKUP(AB36,'Statement of Marks'!$B$8:'Statement of Marks'!$HI$207,85,0),"")</f>
        <v>7</v>
      </c>
      <c r="U47" s="92">
        <f>IFERROR(VLOOKUP(AB36,'Statement of Marks'!$B$8:'Statement of Marks'!$HI$207,86,0),"")</f>
        <v>9</v>
      </c>
      <c r="V47" s="465">
        <f>IFERROR(VLOOKUP(AB36,'Statement of Marks'!$B$8:'Statement of Marks'!$HI$207,87,0),"")</f>
        <v>19</v>
      </c>
      <c r="W47" s="92">
        <f>IFERROR(VLOOKUP(AB36,'Statement of Marks'!$B$8:'Statement of Marks'!$HI$207,88,0),"")</f>
        <v>45</v>
      </c>
      <c r="X47" s="92">
        <f>IFERROR(VLOOKUP(AB36,'Statement of Marks'!$B$8:'Statement of Marks'!$HI$207,89,0),"")</f>
        <v>15</v>
      </c>
      <c r="Y47" s="793">
        <f>IFERROR(VLOOKUP(AB36,'Statement of Marks'!$B$8:'Statement of Marks'!$HI$207,90,0),"")</f>
        <v>60</v>
      </c>
      <c r="Z47" s="730">
        <f>IFERROR(IF(AND(AB36="",Q47="",V47="",Y47=""),"",SUM(S47,T47,U47,W47,X47)),"")</f>
        <v>79</v>
      </c>
      <c r="AA47" s="92">
        <f>IFERROR(VLOOKUP(AB36,'Statement of Marks'!$B$8:'Statement of Marks'!$HI$207,92,0),"")</f>
        <v>65</v>
      </c>
      <c r="AB47" s="92">
        <f>IFERROR(VLOOKUP(AB36,'Statement of Marks'!$B$8:'Statement of Marks'!$HI$207,93,0),"")</f>
        <v>28</v>
      </c>
      <c r="AC47" s="727"/>
      <c r="AD47" s="765">
        <f>IFERROR(VLOOKUP(AB36,'Statement of Marks'!$B$8:'Statement of Marks'!$HI$207,94,0),"")</f>
        <v>93</v>
      </c>
      <c r="AE47" s="738">
        <f>IFERROR(VLOOKUP(AB36,'Statement of Marks'!$B$8:'Statement of Marks'!$HI$207,97,0),"")</f>
        <v>172</v>
      </c>
      <c r="AF47" s="728" t="str">
        <f>IFERROR(IF(AE47="","",IF(VLOOKUP(AB36,'Statement of Marks'!$B$8:'Statement of Marks'!$HI$207,185,0)="D","I",VLOOKUP(AB36,'Statement of Marks'!$B$8:'Statement of Marks'!$HI$207,185,0))),"")</f>
        <v>I</v>
      </c>
      <c r="AQ47" s="17"/>
      <c r="AR47"/>
      <c r="AS47"/>
      <c r="AT47"/>
      <c r="AU47" s="471" t="s">
        <v>286</v>
      </c>
      <c r="AV47" s="471" t="s">
        <v>286</v>
      </c>
      <c r="AX47"/>
      <c r="AY47"/>
      <c r="AZ47"/>
      <c r="BE47" s="17"/>
      <c r="BF47" s="17"/>
    </row>
    <row r="48" spans="1:58" s="471" customFormat="1" ht="19.5" customHeight="1">
      <c r="A48" s="469"/>
      <c r="B48" s="1687" t="str">
        <f>IF('Master Sheet'!$D$11="Hindi","व्यावसायिक शिक्षा / अतिरिक्त विषय","Vocational Education / Additional Subject")</f>
        <v>व्यावसायिक शिक्षा / अतिरिक्त विषय</v>
      </c>
      <c r="C48" s="1687"/>
      <c r="D48" s="1687"/>
      <c r="E48" s="1687"/>
      <c r="F48" s="1687"/>
      <c r="G48" s="1687"/>
      <c r="H48" s="1687"/>
      <c r="I48" s="1687"/>
      <c r="J48" s="1687"/>
      <c r="K48" s="1687"/>
      <c r="L48" s="1687"/>
      <c r="M48" s="1687"/>
      <c r="N48" s="1687"/>
      <c r="O48" s="1687"/>
      <c r="P48" s="1687"/>
      <c r="Q48"/>
      <c r="R48" s="1687" t="str">
        <f>IF('Master Sheet'!$D$11="Hindi","व्यावसायिक शिक्षा / अतिरिक्त विषय","Vocational Education / Additional Subject")</f>
        <v>व्यावसायिक शिक्षा / अतिरिक्त विषय</v>
      </c>
      <c r="S48" s="1687"/>
      <c r="T48" s="1687"/>
      <c r="U48" s="1687"/>
      <c r="V48" s="1687"/>
      <c r="W48" s="1687"/>
      <c r="X48" s="1687"/>
      <c r="Y48" s="1687"/>
      <c r="Z48" s="1687"/>
      <c r="AA48" s="1687"/>
      <c r="AB48" s="1687"/>
      <c r="AC48" s="1687"/>
      <c r="AD48" s="1687"/>
      <c r="AE48" s="1687"/>
      <c r="AF48" s="1687"/>
      <c r="AQ48" s="17"/>
      <c r="AR48"/>
      <c r="AS48"/>
      <c r="AT48"/>
      <c r="AX48"/>
      <c r="AY48"/>
      <c r="AZ48"/>
      <c r="BE48" s="17"/>
      <c r="BF48" s="17"/>
    </row>
    <row r="49" spans="1:58" s="471" customFormat="1" ht="22.5" customHeight="1">
      <c r="A49" s="469"/>
      <c r="B49" s="477" t="str">
        <f>IFERROR(IF(AND(AU49="A"),'Marks Entry'!$AS$2,IF(AND(AU49="B"),'Marks Entry'!$AW$2,IF(AND(AU49="C"),'Marks Entry'!$AY$2,""))),"")</f>
        <v/>
      </c>
      <c r="C49" s="748" t="str">
        <f>IFERROR(VLOOKUP(L36,'Statement of Marks'!$B$8:'Statement of Marks'!$HI$207,108,0),"")</f>
        <v/>
      </c>
      <c r="D49" s="748" t="str">
        <f>IFERROR(VLOOKUP(L36,'Statement of Marks'!$B$8:'Statement of Marks'!$HI$207,109,0),"")</f>
        <v/>
      </c>
      <c r="E49" s="748" t="str">
        <f>IFERROR(VLOOKUP(L36,'Statement of Marks'!$B$8:'Statement of Marks'!$HI$207,110,0),"")</f>
        <v/>
      </c>
      <c r="F49" s="748" t="str">
        <f>IFERROR(VLOOKUP(L36,'Statement of Marks'!$B$8:'Statement of Marks'!$HI$207,111,0),"")</f>
        <v/>
      </c>
      <c r="G49" s="750" t="str">
        <f>IFERROR(VLOOKUP(L36,'Statement of Marks'!$B$8:'Statement of Marks'!$HI$207,112,0),"")</f>
        <v/>
      </c>
      <c r="H49" s="750" t="str">
        <f>IFERROR(VLOOKUP(L36,'Statement of Marks'!$B$8:'Statement of Marks'!$HI$207,113,0),"")</f>
        <v/>
      </c>
      <c r="I49" s="754" t="str">
        <f>IFERROR(VLOOKUP(L36,'Statement of Marks'!$B$8:'Statement of Marks'!$HI$207,114,0),"")</f>
        <v/>
      </c>
      <c r="J49" s="749" t="str">
        <f>IFERROR(IF(OR(L36="",A49="",F49="",I49=""),"",SUM(C49,D49,E49,G49,H49)),"")</f>
        <v/>
      </c>
      <c r="K49" s="748" t="str">
        <f>IFERROR(VLOOKUP(L36,'Statement of Marks'!$B$8:'Statement of Marks'!$HI$207,116,0),"")</f>
        <v/>
      </c>
      <c r="L49" s="748" t="str">
        <f>IFERROR(VLOOKUP(L36,'Statement of Marks'!$B$8:'Statement of Marks'!$HI$207,118,0),"")</f>
        <v/>
      </c>
      <c r="M49" s="748" t="str">
        <f>IFERROR(VLOOKUP(L36,'Statement of Marks'!$B$8:'Statement of Marks'!$HI$207,117,0),"")</f>
        <v/>
      </c>
      <c r="N49" s="751" t="str">
        <f>IFERROR(VLOOKUP(L36,'Statement of Marks'!$B$8:'Statement of Marks'!$HI$207,119,0),"")</f>
        <v/>
      </c>
      <c r="O49" s="752" t="str">
        <f>IFERROR(VLOOKUP(L36,'Statement of Marks'!$B$8:'Statement of Marks'!$HI$207,123,0),"")</f>
        <v/>
      </c>
      <c r="P49" s="753" t="str">
        <f>IFERROR(IF(O49="","",IF(VLOOKUP(L36,'Statement of Marks'!$B$8:'Statement of Marks'!$HI$207,192,0)="D","I",VLOOKUP(L36,'Statement of Marks'!$B$8:'Statement of Marks'!$HI$207,192,0))),"")</f>
        <v/>
      </c>
      <c r="Q49"/>
      <c r="R49" s="477" t="str">
        <f>IFERROR(IF(AND(AV49="A"),'Marks Entry'!$AS$2,IF(AND(AV49="B"),'Marks Entry'!$AW$2,IF(AND(AV49="C"),'Marks Entry'!$AY$2,""))),"")</f>
        <v>TOURISM AND TRAVEL</v>
      </c>
      <c r="S49" s="748" t="str">
        <f>IFERROR(VLOOKUP(AB36,'Statement of Marks'!$B$8:'Statement of Marks'!$HI$207,108,0),"")</f>
        <v/>
      </c>
      <c r="T49" s="748" t="str">
        <f>IFERROR(VLOOKUP(AB36,'Statement of Marks'!$B$8:'Statement of Marks'!$HI$207,109,0),"")</f>
        <v/>
      </c>
      <c r="U49" s="748" t="str">
        <f>IFERROR(VLOOKUP(AB36,'Statement of Marks'!$B$8:'Statement of Marks'!$HI$207,110,0),"")</f>
        <v/>
      </c>
      <c r="V49" s="748" t="str">
        <f>IFERROR(VLOOKUP(AB36,'Statement of Marks'!$B$8:'Statement of Marks'!$HI$207,111,0),"")</f>
        <v/>
      </c>
      <c r="W49" s="750" t="str">
        <f>IFERROR(VLOOKUP(AB36,'Statement of Marks'!$B$8:'Statement of Marks'!$HI$207,112,0),"")</f>
        <v/>
      </c>
      <c r="X49" s="750" t="str">
        <f>IFERROR(VLOOKUP(AB36,'Statement of Marks'!$B$8:'Statement of Marks'!$HI$207,113,0),"")</f>
        <v/>
      </c>
      <c r="Y49" s="754" t="str">
        <f>IFERROR(VLOOKUP(AB36,'Statement of Marks'!$B$8:'Statement of Marks'!$HI$207,114,0),"")</f>
        <v/>
      </c>
      <c r="Z49" s="749" t="str">
        <f>IFERROR(IF(OR(AB36="",Q49="",V49="",Y49=""),"",SUM(S49,T49,U49,W49,X49)),"")</f>
        <v/>
      </c>
      <c r="AA49" s="748">
        <f>IFERROR(VLOOKUP(AB36,'Statement of Marks'!$B$8:'Statement of Marks'!$HI$207,116,0),"")</f>
        <v>25</v>
      </c>
      <c r="AB49" s="748">
        <f>IFERROR(VLOOKUP(AB36,'Statement of Marks'!$B$8:'Statement of Marks'!$HI$207,118,0),"")</f>
        <v>45</v>
      </c>
      <c r="AC49" s="748">
        <f>IFERROR(VLOOKUP(AB36,'Statement of Marks'!$B$8:'Statement of Marks'!$HI$207,117,0),"")</f>
        <v>18</v>
      </c>
      <c r="AD49" s="751">
        <f>IFERROR(VLOOKUP(AB36,'Statement of Marks'!$B$8:'Statement of Marks'!$HI$207,119,0),"")</f>
        <v>88</v>
      </c>
      <c r="AE49" s="752">
        <f>IFERROR(VLOOKUP(AB36,'Statement of Marks'!$B$8:'Statement of Marks'!$HI$207,123,0),"")</f>
        <v>88</v>
      </c>
      <c r="AF49" s="753" t="str">
        <f>IFERROR(IF(AE49="","",IF(VLOOKUP(AB36,'Statement of Marks'!$B$8:'Statement of Marks'!$HI$207,192,0)="D","I",VLOOKUP(AB36,'Statement of Marks'!$B$8:'Statement of Marks'!$HI$207,192,0))),"")</f>
        <v>III</v>
      </c>
      <c r="AQ49" s="17"/>
      <c r="AR49"/>
      <c r="AS49"/>
      <c r="AT49"/>
      <c r="AU49" s="471" t="str">
        <f>IFERROR(VLOOKUP(L36,'Statement of Marks'!$B$8:'Statement of Marks'!$HI$207,107,0),"")</f>
        <v/>
      </c>
      <c r="AV49" s="471" t="str">
        <f>IFERROR(VLOOKUP(AB36,'Statement of Marks'!$B$8:'Statement of Marks'!$HI$207,107,0),"")</f>
        <v>B</v>
      </c>
      <c r="AX49"/>
      <c r="AY49"/>
      <c r="AZ49"/>
      <c r="BE49" s="17"/>
      <c r="BF49" s="17"/>
    </row>
    <row r="50" spans="1:58" s="471" customFormat="1" ht="25.5" customHeight="1">
      <c r="A50" s="469"/>
      <c r="B50" s="1688"/>
      <c r="C50" s="1688"/>
      <c r="D50" s="1688"/>
      <c r="E50" s="1688"/>
      <c r="F50" s="1688"/>
      <c r="G50" s="1688"/>
      <c r="H50" s="1688"/>
      <c r="I50" s="1688"/>
      <c r="J50" s="1688"/>
      <c r="K50" s="1688"/>
      <c r="L50" s="1689" t="str">
        <f>IF('Master Sheet'!$D$11="Hindi","महायोग :","Grand Total :")</f>
        <v>महायोग :</v>
      </c>
      <c r="M50" s="1690"/>
      <c r="N50" s="1690"/>
      <c r="O50" s="755">
        <f>IF(AND(O43="",O44="",O45="",O46="",O47=""),"",IF(AND($K$18="",$L$18="",$M$18=""),SUM(O43,O44,O45,O46,O49),IF(AND('Master Sheet'!$D$19="YES",'Marks Entry'!$BA$1=1),SUM(O43,O44,O45,O46,O49),SUM(O43:O47))))</f>
        <v>641</v>
      </c>
      <c r="P50" s="756">
        <f>IFERROR(VLOOKUP(L36,'Statement of Marks'!$B$8:'Statement of Marks'!$HI$207,210,0),"")</f>
        <v>64.099999999999994</v>
      </c>
      <c r="Q50"/>
      <c r="R50" s="1688"/>
      <c r="S50" s="1688"/>
      <c r="T50" s="1688"/>
      <c r="U50" s="1688"/>
      <c r="V50" s="1688"/>
      <c r="W50" s="1688"/>
      <c r="X50" s="1688"/>
      <c r="Y50" s="1688"/>
      <c r="Z50" s="1688"/>
      <c r="AA50" s="1688"/>
      <c r="AB50" s="1689" t="str">
        <f>IF('Master Sheet'!$D$11="Hindi","महायोग :","Grand Total :")</f>
        <v>महायोग :</v>
      </c>
      <c r="AC50" s="1690"/>
      <c r="AD50" s="1690"/>
      <c r="AE50" s="755">
        <f>IF(AND(AE43="",AE44="",AE45="",AE46="",AE47=""),"",IF(AND($K$18="",$L$18="",$M$18=""),SUM(AE43,AE44,AE45,AE46,AE49),IF(AND('Master Sheet'!$D$19="YES",'Marks Entry'!$BA$1=1),SUM(AE43,AE44,AE45,AE46,AE49),SUM(AE43:AE47))))</f>
        <v>647</v>
      </c>
      <c r="AF50" s="756">
        <f>IFERROR(VLOOKUP(AB36,'Statement of Marks'!$B$8:'Statement of Marks'!$HI$207,210,0),"")</f>
        <v>64.7</v>
      </c>
      <c r="AQ50" s="17"/>
      <c r="AR50"/>
      <c r="AS50"/>
      <c r="AT50"/>
      <c r="AX50"/>
      <c r="AY50"/>
      <c r="AZ50"/>
      <c r="BE50" s="17"/>
      <c r="BF50" s="17"/>
    </row>
    <row r="51" spans="1:58" s="471" customFormat="1" ht="25.5" customHeight="1">
      <c r="A51" s="469"/>
      <c r="B51" s="478" t="str">
        <f>IF('Master Sheet'!$D$11="Hindi","विषय","Subject")</f>
        <v>विषय</v>
      </c>
      <c r="C51" s="1691" t="str">
        <f>IF('Master Sheet'!$D$11="Hindi","पूर्णांक","Max. Marks")</f>
        <v>पूर्णांक</v>
      </c>
      <c r="D51" s="1691"/>
      <c r="E51" s="1692" t="str">
        <f>IF('Master Sheet'!$D$11="Hindi","प्राप्तांक","Marks Obtained")</f>
        <v>प्राप्तांक</v>
      </c>
      <c r="F51" s="1692"/>
      <c r="G51" s="1693" t="str">
        <f>IF('Master Sheet'!$D$11="Hindi","विषय ग्रेड","Sub. Grade")</f>
        <v>विषय ग्रेड</v>
      </c>
      <c r="H51" s="1693"/>
      <c r="I51" s="1694" t="str">
        <f>IF('Master Sheet'!$D$11="Hindi","विषय","Subject")</f>
        <v>विषय</v>
      </c>
      <c r="J51" s="1695"/>
      <c r="K51" s="1695"/>
      <c r="L51" s="1691" t="str">
        <f>IF('Master Sheet'!$D$11="Hindi","पूर्णांक","Max. Marks")</f>
        <v>पूर्णांक</v>
      </c>
      <c r="M51" s="1691"/>
      <c r="N51" s="1692" t="str">
        <f>IF('Master Sheet'!$D$11="Hindi","प्राप्तांक","Marks Obtained")</f>
        <v>प्राप्तांक</v>
      </c>
      <c r="O51" s="1692"/>
      <c r="P51" s="757" t="str">
        <f>IF('Master Sheet'!$D$11="Hindi","विषय ग्रेड","Sub. Grade")</f>
        <v>विषय ग्रेड</v>
      </c>
      <c r="Q51"/>
      <c r="R51" s="478" t="str">
        <f>IF('Master Sheet'!$D$11="Hindi","विषय","Subject")</f>
        <v>विषय</v>
      </c>
      <c r="S51" s="1691" t="str">
        <f>IF('Master Sheet'!$D$11="Hindi","पूर्णांक","Max. Marks")</f>
        <v>पूर्णांक</v>
      </c>
      <c r="T51" s="1691"/>
      <c r="U51" s="1692" t="str">
        <f>IF('Master Sheet'!$D$11="Hindi","प्राप्तांक","Marks Obtained")</f>
        <v>प्राप्तांक</v>
      </c>
      <c r="V51" s="1692"/>
      <c r="W51" s="1693" t="str">
        <f>IF('Master Sheet'!$D$11="Hindi","विषय ग्रेड","Sub. Grade")</f>
        <v>विषय ग्रेड</v>
      </c>
      <c r="X51" s="1693"/>
      <c r="Y51" s="1694" t="str">
        <f>IF('Master Sheet'!$D$11="Hindi","विषय","Subject")</f>
        <v>विषय</v>
      </c>
      <c r="Z51" s="1695"/>
      <c r="AA51" s="1695"/>
      <c r="AB51" s="1691" t="str">
        <f>IF('Master Sheet'!$D$11="Hindi","पूर्णांक","Max. Marks")</f>
        <v>पूर्णांक</v>
      </c>
      <c r="AC51" s="1691"/>
      <c r="AD51" s="1692" t="str">
        <f>IF('Master Sheet'!$D$11="Hindi","प्राप्तांक","Marks Obtained")</f>
        <v>प्राप्तांक</v>
      </c>
      <c r="AE51" s="1692"/>
      <c r="AF51" s="757" t="str">
        <f>IF('Master Sheet'!$D$11="Hindi","विषय ग्रेड","Sub. Grade")</f>
        <v>विषय ग्रेड</v>
      </c>
      <c r="AQ51" s="17"/>
      <c r="AR51"/>
      <c r="AS51"/>
      <c r="AT51"/>
      <c r="AX51"/>
      <c r="AY51"/>
      <c r="AZ51"/>
      <c r="BE51" s="17"/>
      <c r="BF51" s="17"/>
    </row>
    <row r="52" spans="1:58" s="471" customFormat="1" ht="30" customHeight="1">
      <c r="A52" s="469"/>
      <c r="B52" s="760" t="str">
        <f>'Statement of Marks'!$EC$4</f>
        <v>जीवन कौशल</v>
      </c>
      <c r="C52" s="1680">
        <f>IF(AND(L36=""),"",IF('Statement of Marks'!$EF$6="","",'Statement of Marks'!$EF$6))</f>
        <v>100</v>
      </c>
      <c r="D52" s="1680"/>
      <c r="E52" s="1684">
        <f>IFERROR(VLOOKUP(L36,'Statement of Marks'!$B$8:'Statement of Marks'!$HI$207,135,0),"")</f>
        <v>87</v>
      </c>
      <c r="F52" s="1684"/>
      <c r="G52" s="1685" t="str">
        <f>IFERROR(VLOOKUP(L36,'Statement of Marks'!$B$8:'Statement of Marks'!$HI$207,140,0),"")</f>
        <v>A</v>
      </c>
      <c r="H52" s="1685"/>
      <c r="I52" s="1677" t="str">
        <f>'Statement of Marks'!$EY$3</f>
        <v xml:space="preserve">आजादी के बाद का स्वर्णिम भारत </v>
      </c>
      <c r="J52" s="1678"/>
      <c r="K52" s="1679"/>
      <c r="L52" s="1680">
        <f>IF(AND(L36=""),"",IF('Statement of Marks'!$FE$6="","",'Statement of Marks'!$FE$6))</f>
        <v>200</v>
      </c>
      <c r="M52" s="1680"/>
      <c r="N52" s="1681">
        <f>IFERROR(VLOOKUP(L36,'Statement of Marks'!$B$8:'Statement of Marks'!$HI$207,160,0),"")</f>
        <v>154</v>
      </c>
      <c r="O52" s="1681"/>
      <c r="P52" s="758" t="str">
        <f>IFERROR(VLOOKUP(L36,'Statement of Marks'!$B$8:'Statement of Marks'!$HI$207,161,0),"")</f>
        <v>B</v>
      </c>
      <c r="Q52"/>
      <c r="R52" s="760" t="str">
        <f>'Statement of Marks'!$EC$4</f>
        <v>जीवन कौशल</v>
      </c>
      <c r="S52" s="1680">
        <f>IF(AND(AB36=""),"",IF('Statement of Marks'!$EF$6="","",'Statement of Marks'!$EF$6))</f>
        <v>100</v>
      </c>
      <c r="T52" s="1680"/>
      <c r="U52" s="1684">
        <f>IFERROR(VLOOKUP(AB36,'Statement of Marks'!$B$8:'Statement of Marks'!$HI$207,135,0),"")</f>
        <v>81</v>
      </c>
      <c r="V52" s="1684"/>
      <c r="W52" s="1685" t="str">
        <f>IFERROR(VLOOKUP(AB36,'Statement of Marks'!$B$8:'Statement of Marks'!$HI$207,140,0),"")</f>
        <v>A</v>
      </c>
      <c r="X52" s="1685"/>
      <c r="Y52" s="1677" t="str">
        <f>'Statement of Marks'!$EY$3</f>
        <v xml:space="preserve">आजादी के बाद का स्वर्णिम भारत </v>
      </c>
      <c r="Z52" s="1678"/>
      <c r="AA52" s="1679"/>
      <c r="AB52" s="1680">
        <f>IF(AND(AB36=""),"",IF('Statement of Marks'!$FE$6="","",'Statement of Marks'!$FE$6))</f>
        <v>200</v>
      </c>
      <c r="AC52" s="1680"/>
      <c r="AD52" s="1681">
        <f>IFERROR(VLOOKUP(AB36,'Statement of Marks'!$B$8:'Statement of Marks'!$HI$207,160,0),"")</f>
        <v>154</v>
      </c>
      <c r="AE52" s="1681"/>
      <c r="AF52" s="758" t="str">
        <f>IFERROR(VLOOKUP(AB36,'Statement of Marks'!$B$8:'Statement of Marks'!$HI$207,161,0),"")</f>
        <v>B</v>
      </c>
      <c r="AQ52" s="17"/>
      <c r="AR52"/>
      <c r="AS52"/>
      <c r="AT52"/>
      <c r="AX52"/>
      <c r="AY52"/>
      <c r="AZ52"/>
      <c r="BE52" s="17"/>
      <c r="BF52" s="17"/>
    </row>
    <row r="53" spans="1:58" s="471" customFormat="1" ht="29.25" customHeight="1">
      <c r="A53" s="469"/>
      <c r="B53" s="782" t="str">
        <f>IF('Master Sheet'!$D$11="Hindi","परीक्षा परिणाम घोषित दिनांक :-","Date of Result declaration :-")</f>
        <v>परीक्षा परिणाम घोषित दिनांक :-</v>
      </c>
      <c r="C53" s="1659">
        <f>IF(AND(L36=""),"",IF('Master Sheet'!$D$10="","",'Master Sheet'!$D$10))</f>
        <v>45419</v>
      </c>
      <c r="D53" s="1659"/>
      <c r="E53" s="1659"/>
      <c r="F53" s="1682" t="str">
        <f>IF('Master Sheet'!$D$11="Hindi","कुल कार्य दिवस","Total Working Days")</f>
        <v>कुल कार्य दिवस</v>
      </c>
      <c r="G53" s="1682"/>
      <c r="H53" s="1682"/>
      <c r="I53" s="741">
        <f>IFERROR(VLOOKUP(L36,'Statement of Marks'!$B$8:'Statement of Marks'!$HI$207,162,0),"")</f>
        <v>370</v>
      </c>
      <c r="J53" s="1683" t="str">
        <f>IF('Master Sheet'!$D$11="Hindi","कुल उपस्थिति","Student's Attendance")</f>
        <v>कुल उपस्थिति</v>
      </c>
      <c r="K53" s="1683"/>
      <c r="L53" s="1683"/>
      <c r="M53" s="476">
        <f>IFERROR(VLOOKUP(L36,'Statement of Marks'!$B$8:'Statement of Marks'!$HI$207,163,0),"")</f>
        <v>346</v>
      </c>
      <c r="N53" s="1673" t="str">
        <f>IF('Master Sheet'!$D$11="Hindi","कक्षा में स्थान","Position in the Class")</f>
        <v>कक्षा में स्थान</v>
      </c>
      <c r="O53" s="1673"/>
      <c r="P53" s="761">
        <f>IFERROR(VLOOKUP(L36,'Statement of Marks'!$B$8:'Statement of Marks'!$HI$207,211,0),"")</f>
        <v>5.0000000000000329</v>
      </c>
      <c r="Q53"/>
      <c r="R53" s="759" t="str">
        <f>IF('Master Sheet'!$D$11="Hindi","परीक्षा परिणाम घोषित दिनांक :-","Date of Result declaration :-")</f>
        <v>परीक्षा परिणाम घोषित दिनांक :-</v>
      </c>
      <c r="S53" s="1659">
        <f>IF(AND(AB36=""),"",IF('Master Sheet'!$D$10="","",'Master Sheet'!$D$10))</f>
        <v>45419</v>
      </c>
      <c r="T53" s="1659"/>
      <c r="U53" s="1659"/>
      <c r="V53" s="1682" t="str">
        <f>IF('Master Sheet'!$D$11="Hindi","कुल कार्य दिवस","Total Working Days")</f>
        <v>कुल कार्य दिवस</v>
      </c>
      <c r="W53" s="1682"/>
      <c r="X53" s="1682"/>
      <c r="Y53" s="741">
        <f>IFERROR(VLOOKUP(AB36,'Statement of Marks'!$B$8:'Statement of Marks'!$HI$207,162,0),"")</f>
        <v>340</v>
      </c>
      <c r="Z53" s="1683" t="str">
        <f>IF('Master Sheet'!$D$11="Hindi","कुल उपस्थिति","Student's Attendance")</f>
        <v>कुल उपस्थिति</v>
      </c>
      <c r="AA53" s="1683"/>
      <c r="AB53" s="1683"/>
      <c r="AC53" s="476">
        <f>IFERROR(VLOOKUP(AB36,'Statement of Marks'!$B$8:'Statement of Marks'!$HI$207,163,0),"")</f>
        <v>330</v>
      </c>
      <c r="AD53" s="1673" t="str">
        <f>IF('Master Sheet'!$D$11="Hindi","कक्षा में स्थान","Position in the Class")</f>
        <v>कक्षा में स्थान</v>
      </c>
      <c r="AE53" s="1673"/>
      <c r="AF53" s="761">
        <f>IFERROR(VLOOKUP(AB36,'Statement of Marks'!$B$8:'Statement of Marks'!$HI$207,211,0),"")</f>
        <v>3.0000000000000329</v>
      </c>
      <c r="AQ53" s="17"/>
      <c r="AR53"/>
      <c r="AS53"/>
      <c r="AT53"/>
      <c r="AX53"/>
      <c r="AY53"/>
      <c r="AZ53"/>
      <c r="BE53" s="17"/>
      <c r="BF53" s="17"/>
    </row>
    <row r="54" spans="1:58" s="471" customFormat="1" ht="27.75" customHeight="1">
      <c r="A54" s="469"/>
      <c r="B54" s="1664" t="str">
        <f>IF('Master Sheet'!$D$11="Hindi","मुख्य परीक्षा परिणाम ","Main Exam Result")</f>
        <v xml:space="preserve">मुख्य परीक्षा परिणाम </v>
      </c>
      <c r="C54" s="1665"/>
      <c r="D54" s="1665"/>
      <c r="E54" s="1666"/>
      <c r="F54" s="1667" t="str">
        <f>IF('Master Sheet'!$D$11="Hindi","विशेष योग्यता प्राप्त विषय","Subjects Of Dictation Marks")</f>
        <v>विशेष योग्यता प्राप्त विषय</v>
      </c>
      <c r="G54" s="1667"/>
      <c r="H54" s="1667"/>
      <c r="I54" s="1667"/>
      <c r="J54" s="1667"/>
      <c r="K54" s="1667"/>
      <c r="L54" s="1668" t="str">
        <f>IF('Master Sheet'!$D$11="Hindi","पूरक विषय","Supplementary Subject")</f>
        <v>पूरक विषय</v>
      </c>
      <c r="M54" s="1669"/>
      <c r="N54" s="1665"/>
      <c r="O54" s="1665"/>
      <c r="P54" s="1666"/>
      <c r="Q54"/>
      <c r="R54" s="1664" t="str">
        <f>IF('Master Sheet'!$D$11="Hindi","मुख्य परीक्षा परिणाम ","Main Exam Result")</f>
        <v xml:space="preserve">मुख्य परीक्षा परिणाम </v>
      </c>
      <c r="S54" s="1665"/>
      <c r="T54" s="1665"/>
      <c r="U54" s="1666"/>
      <c r="V54" s="1667" t="str">
        <f>IF('Master Sheet'!$D$11="Hindi","विशेष योग्यता प्राप्त विषय","Subjects Of Dictation Marks")</f>
        <v>विशेष योग्यता प्राप्त विषय</v>
      </c>
      <c r="W54" s="1667"/>
      <c r="X54" s="1667"/>
      <c r="Y54" s="1667"/>
      <c r="Z54" s="1667"/>
      <c r="AA54" s="1667"/>
      <c r="AB54" s="1668" t="str">
        <f>IF('Master Sheet'!$D$11="Hindi","पूरक विषय","Supplementary Subject")</f>
        <v>पूरक विषय</v>
      </c>
      <c r="AC54" s="1669"/>
      <c r="AD54" s="1665"/>
      <c r="AE54" s="1665"/>
      <c r="AF54" s="1666"/>
      <c r="AQ54" s="17"/>
      <c r="AR54"/>
      <c r="AS54"/>
      <c r="AT54"/>
      <c r="AX54"/>
      <c r="AY54"/>
      <c r="AZ54"/>
      <c r="BE54" s="17"/>
      <c r="BF54" s="17"/>
    </row>
    <row r="55" spans="1:58" s="471" customFormat="1" ht="42.75" customHeight="1">
      <c r="A55" s="469"/>
      <c r="B55" s="1670" t="str">
        <f>IF('Master Sheet'!D40="Hindi",BF45,BF44)</f>
        <v>PASS  and Promoted to Class 12th</v>
      </c>
      <c r="C55" s="1671"/>
      <c r="D55" s="1671"/>
      <c r="E55" s="1672"/>
      <c r="F55" s="1673" t="str">
        <f>IFERROR(VLOOKUP(L36,'Statement of Marks'!$B$8:'Statement of Marks'!$HI$207,205,0),"")</f>
        <v xml:space="preserve">     </v>
      </c>
      <c r="G55" s="1673"/>
      <c r="H55" s="1673"/>
      <c r="I55" s="1673"/>
      <c r="J55" s="1673"/>
      <c r="K55" s="1673"/>
      <c r="L55" s="1674" t="str">
        <f>IFERROR(VLOOKUP(L36,'Statement of Marks'!$B$8:'Statement of Marks'!$HI$207,202,0),"")</f>
        <v xml:space="preserve">    </v>
      </c>
      <c r="M55" s="1675"/>
      <c r="N55" s="1675"/>
      <c r="O55" s="1675"/>
      <c r="P55" s="1676"/>
      <c r="Q55"/>
      <c r="R55" s="1670" t="str">
        <f>IF('Master Sheet'!D40="Hindi",BE45,BE44)</f>
        <v>PASS  and Promoted to Class 12th</v>
      </c>
      <c r="S55" s="1671"/>
      <c r="T55" s="1671"/>
      <c r="U55" s="1672"/>
      <c r="V55" s="1673" t="str">
        <f>IFERROR(VLOOKUP(AB36,'Statement of Marks'!$B$8:'Statement of Marks'!$HI$207,205,0),"")</f>
        <v xml:space="preserve">    GEOGRAPHY </v>
      </c>
      <c r="W55" s="1673"/>
      <c r="X55" s="1673"/>
      <c r="Y55" s="1673"/>
      <c r="Z55" s="1673"/>
      <c r="AA55" s="1673"/>
      <c r="AB55" s="1674" t="str">
        <f>IFERROR(VLOOKUP(AB36,'Statement of Marks'!$B$8:'Statement of Marks'!$HI$207,202,0),"")</f>
        <v xml:space="preserve">    </v>
      </c>
      <c r="AC55" s="1675"/>
      <c r="AD55" s="1675"/>
      <c r="AE55" s="1675"/>
      <c r="AF55" s="1676"/>
      <c r="AQ55" s="17"/>
      <c r="AR55"/>
      <c r="AS55"/>
      <c r="AT55"/>
      <c r="AX55"/>
      <c r="AY55"/>
      <c r="AZ55"/>
      <c r="BE55" s="17"/>
      <c r="BF55" s="17"/>
    </row>
    <row r="56" spans="1:58" s="471" customFormat="1" ht="52.5" customHeight="1">
      <c r="A56" s="469"/>
      <c r="B56" s="1660" t="str">
        <f>IF(AND(L36=""),"",CONCATENATE("( ",UPPER('Master Sheet'!$D$14)," )"))</f>
        <v>( HEERALAL JAT )</v>
      </c>
      <c r="C56" s="1660"/>
      <c r="D56" s="1660"/>
      <c r="E56" s="715"/>
      <c r="F56" s="1661" t="str">
        <f>IF(AND(L36=""),"",CONCATENATE("( ",UPPER('Master Sheet'!$D$17)," )"))</f>
        <v>( YOGESH )</v>
      </c>
      <c r="G56" s="1661"/>
      <c r="H56" s="1661"/>
      <c r="I56" s="1661"/>
      <c r="J56" s="1661"/>
      <c r="K56" s="1662" t="str">
        <f>IF(AND(L36=""),"",CONCATENATE("( ",UPPER('Master Sheet'!$D$12)," )"))</f>
        <v>( USHA PALIYA )</v>
      </c>
      <c r="L56" s="1662"/>
      <c r="M56" s="1662"/>
      <c r="N56" s="1662"/>
      <c r="O56" s="1662"/>
      <c r="P56" s="1662"/>
      <c r="Q56"/>
      <c r="R56" s="1660" t="str">
        <f>IF(AND(AB36=""),"",CONCATENATE("( ",UPPER('Master Sheet'!$D$14)," )"))</f>
        <v>( HEERALAL JAT )</v>
      </c>
      <c r="S56" s="1660"/>
      <c r="T56" s="1660"/>
      <c r="U56" s="715"/>
      <c r="V56" s="1661" t="str">
        <f>IF(AND(AB36=""),"",CONCATENATE("( ",UPPER('Master Sheet'!$D$17)," )"))</f>
        <v>( YOGESH )</v>
      </c>
      <c r="W56" s="1661"/>
      <c r="X56" s="1661"/>
      <c r="Y56" s="1661"/>
      <c r="Z56" s="1661"/>
      <c r="AA56" s="1662" t="str">
        <f>IF(AND(AB36=""),"",CONCATENATE("( ",UPPER('Master Sheet'!$D$12)," )"))</f>
        <v>( USHA PALIYA )</v>
      </c>
      <c r="AB56" s="1662"/>
      <c r="AC56" s="1662"/>
      <c r="AD56" s="1662"/>
      <c r="AE56" s="1662"/>
      <c r="AF56" s="1662"/>
      <c r="AQ56" s="17"/>
      <c r="AR56"/>
      <c r="AS56"/>
      <c r="AT56"/>
      <c r="AX56"/>
      <c r="AY56"/>
      <c r="AZ56"/>
      <c r="BE56" s="17"/>
      <c r="BF56" s="17"/>
    </row>
    <row r="57" spans="1:58" s="471" customFormat="1" ht="24.75" customHeight="1">
      <c r="A57" s="469"/>
      <c r="B57" s="1663" t="str">
        <f>IF('Master Sheet'!$D$11="Hindi","हस्ताक्षर परीक्षा प्रभारी","Signature of the exam. Incharge")</f>
        <v>हस्ताक्षर परीक्षा प्रभारी</v>
      </c>
      <c r="C57" s="1663"/>
      <c r="D57" s="1663"/>
      <c r="E57" s="714"/>
      <c r="F57" s="1663" t="str">
        <f>IF('Master Sheet'!$D$11="Hindi","हस्ताक्षर कक्षाध्यापक","Signature of the class teacher")</f>
        <v>हस्ताक्षर कक्षाध्यापक</v>
      </c>
      <c r="G57" s="1663"/>
      <c r="H57" s="1663"/>
      <c r="I57" s="1663"/>
      <c r="J57" s="1663"/>
      <c r="K57" s="1663" t="str">
        <f>IF('Master Sheet'!$D$11="Hindi","हस्ताक्षर संस्था प्रधान","Head of Institute's Signature")</f>
        <v>हस्ताक्षर संस्था प्रधान</v>
      </c>
      <c r="L57" s="1663"/>
      <c r="M57" s="1663"/>
      <c r="N57" s="1663"/>
      <c r="O57" s="1663"/>
      <c r="P57" s="1663"/>
      <c r="Q57"/>
      <c r="R57" s="1663" t="str">
        <f>IF('Master Sheet'!$D$11="Hindi","हस्ताक्षर परीक्षा प्रभारी","Signature of the exam. Incharge")</f>
        <v>हस्ताक्षर परीक्षा प्रभारी</v>
      </c>
      <c r="S57" s="1663"/>
      <c r="T57" s="1663"/>
      <c r="U57" s="714"/>
      <c r="V57" s="1663" t="str">
        <f>IF('Master Sheet'!$D$11="Hindi","हस्ताक्षर कक्षाध्यापक","Signature of the class teacher")</f>
        <v>हस्ताक्षर कक्षाध्यापक</v>
      </c>
      <c r="W57" s="1663"/>
      <c r="X57" s="1663"/>
      <c r="Y57" s="1663"/>
      <c r="Z57" s="1663"/>
      <c r="AA57" s="1663" t="str">
        <f>IF('Master Sheet'!$D$11="Hindi","हस्ताक्षर संस्था प्रधान","Head of Institute's Signature")</f>
        <v>हस्ताक्षर संस्था प्रधान</v>
      </c>
      <c r="AB57" s="1663"/>
      <c r="AC57" s="1663"/>
      <c r="AD57" s="1663"/>
      <c r="AE57" s="1663"/>
      <c r="AF57" s="1663"/>
      <c r="AQ57" s="17"/>
      <c r="AR57"/>
      <c r="AS57"/>
      <c r="AT57"/>
      <c r="AX57"/>
      <c r="AY57"/>
      <c r="AZ57"/>
      <c r="BE57" s="17"/>
      <c r="BF57" s="17"/>
    </row>
    <row r="58" spans="1:58">
      <c r="AN58" s="471"/>
    </row>
    <row r="59" spans="1:58" s="17" customFormat="1" ht="22.5" customHeight="1">
      <c r="A59" s="100"/>
      <c r="B59" s="94"/>
      <c r="C59" s="1551" t="str">
        <f>IF('Master Sheet'!$D$11="Hindi","वार्षिक रिपोर्ट कार्ड ","Report Card")</f>
        <v xml:space="preserve">वार्षिक रिपोर्ट कार्ड </v>
      </c>
      <c r="D59" s="1551"/>
      <c r="E59" s="1551"/>
      <c r="F59" s="1551"/>
      <c r="G59" s="1551"/>
      <c r="H59" s="1551"/>
      <c r="I59" s="1551"/>
      <c r="J59" s="1551"/>
      <c r="K59" s="1551"/>
      <c r="L59" s="1551"/>
      <c r="M59" s="1551"/>
      <c r="N59" s="1551"/>
      <c r="O59" s="468"/>
      <c r="P59" s="468"/>
      <c r="Q59"/>
      <c r="R59" s="94"/>
      <c r="S59" s="1551" t="str">
        <f>IF('Master Sheet'!$D$11="Hindi","वार्षिक रिपोर्ट कार्ड ","Report Card")</f>
        <v xml:space="preserve">वार्षिक रिपोर्ट कार्ड </v>
      </c>
      <c r="T59" s="1551"/>
      <c r="U59" s="1551"/>
      <c r="V59" s="1551"/>
      <c r="W59" s="1551"/>
      <c r="X59" s="1551"/>
      <c r="Y59" s="1551"/>
      <c r="Z59" s="1551"/>
      <c r="AA59" s="1551"/>
      <c r="AB59" s="1551"/>
      <c r="AC59" s="1551"/>
      <c r="AD59" s="1551"/>
      <c r="AE59" s="468"/>
      <c r="AF59" s="468"/>
      <c r="AH59" s="471"/>
      <c r="AI59" s="471"/>
      <c r="AJ59" s="471"/>
      <c r="AK59" s="471"/>
      <c r="AL59" s="471"/>
      <c r="AN59" s="471"/>
      <c r="AR59"/>
      <c r="AS59"/>
      <c r="AT59"/>
      <c r="AX59"/>
      <c r="AY59"/>
      <c r="AZ59"/>
    </row>
    <row r="60" spans="1:58" s="17" customFormat="1" ht="22.5" customHeight="1">
      <c r="A60" s="100"/>
      <c r="B60" s="94"/>
      <c r="C60" s="1708" t="str">
        <f>IF('Master Sheet'!$D$11="Hindi","शिक्षा विभाग, राजस्थान सरकार","Education Department, Rajasthan Government")</f>
        <v>शिक्षा विभाग, राजस्थान सरकार</v>
      </c>
      <c r="D60" s="1708"/>
      <c r="E60" s="1708"/>
      <c r="F60" s="1708"/>
      <c r="G60" s="1708"/>
      <c r="H60" s="1708"/>
      <c r="I60" s="1708"/>
      <c r="J60" s="1708"/>
      <c r="K60" s="1708"/>
      <c r="L60" s="1708"/>
      <c r="M60" s="1708"/>
      <c r="N60" s="1708"/>
      <c r="O60" s="468"/>
      <c r="P60" s="468"/>
      <c r="Q60"/>
      <c r="R60" s="94"/>
      <c r="S60" s="1708" t="str">
        <f>IF('Master Sheet'!$D$11="Hindi","शिक्षा विभाग, राजस्थान सरकार","Education Department, Rajasthan Government")</f>
        <v>शिक्षा विभाग, राजस्थान सरकार</v>
      </c>
      <c r="T60" s="1708"/>
      <c r="U60" s="1708"/>
      <c r="V60" s="1708"/>
      <c r="W60" s="1708"/>
      <c r="X60" s="1708"/>
      <c r="Y60" s="1708"/>
      <c r="Z60" s="1708"/>
      <c r="AA60" s="1708"/>
      <c r="AB60" s="1708"/>
      <c r="AC60" s="1708"/>
      <c r="AD60" s="1708"/>
      <c r="AE60" s="468"/>
      <c r="AF60" s="468"/>
      <c r="AH60" s="471"/>
      <c r="AI60" s="471"/>
      <c r="AJ60" s="471"/>
      <c r="AK60" s="471"/>
      <c r="AL60" s="471"/>
      <c r="AR60"/>
      <c r="AS60"/>
      <c r="AT60"/>
      <c r="AX60"/>
      <c r="AY60"/>
      <c r="AZ60"/>
    </row>
    <row r="61" spans="1:58" s="17" customFormat="1" ht="24.95" customHeight="1">
      <c r="A61" s="100"/>
      <c r="B61" s="1709" t="str">
        <f>IF('Master Sheet'!$D$11="Hindi",CONCATENATE("विद्यालय का नाम :-","  ",'Master Sheet'!$D$8),CONCATENATE("School Name :-","  ",'Master Sheet'!$D$7))</f>
        <v xml:space="preserve">विद्यालय का नाम :-  महात्मा गाँधी राजकीय विद्यालय (अंग्रेजी माध्यम) बर, पाली </v>
      </c>
      <c r="C61" s="1709"/>
      <c r="D61" s="1709"/>
      <c r="E61" s="1709"/>
      <c r="F61" s="1709"/>
      <c r="G61" s="1709"/>
      <c r="H61" s="1709"/>
      <c r="I61" s="1709"/>
      <c r="J61" s="1709"/>
      <c r="K61" s="1709"/>
      <c r="L61" s="1709"/>
      <c r="M61" s="1709"/>
      <c r="N61" s="1709"/>
      <c r="O61" s="1709"/>
      <c r="P61" s="1709"/>
      <c r="Q61"/>
      <c r="R61" s="1709" t="str">
        <f>IF('Master Sheet'!$D$11="Hindi",CONCATENATE("विद्यालय का नाम :-","  ",'Master Sheet'!$D$8),CONCATENATE("School Name :-","  ",'Master Sheet'!$D$7))</f>
        <v xml:space="preserve">विद्यालय का नाम :-  महात्मा गाँधी राजकीय विद्यालय (अंग्रेजी माध्यम) बर, पाली </v>
      </c>
      <c r="S61" s="1709"/>
      <c r="T61" s="1709"/>
      <c r="U61" s="1709"/>
      <c r="V61" s="1709"/>
      <c r="W61" s="1709"/>
      <c r="X61" s="1709"/>
      <c r="Y61" s="1709"/>
      <c r="Z61" s="1709"/>
      <c r="AA61" s="1709"/>
      <c r="AB61" s="1709"/>
      <c r="AC61" s="1709"/>
      <c r="AD61" s="1709"/>
      <c r="AE61" s="1709"/>
      <c r="AF61" s="1709"/>
      <c r="AH61" s="471"/>
      <c r="AI61" s="471"/>
      <c r="AJ61" s="471"/>
      <c r="AK61" s="471"/>
      <c r="AL61" s="471"/>
      <c r="AR61"/>
      <c r="AS61"/>
      <c r="AT61"/>
      <c r="AX61"/>
      <c r="AY61"/>
      <c r="AZ61"/>
    </row>
    <row r="62" spans="1:58" s="17" customFormat="1" ht="19.5" customHeight="1">
      <c r="A62" s="100"/>
      <c r="B62" s="719"/>
      <c r="C62" s="1710" t="str">
        <f>IF(AND(L65=""),"",IF(AND('Master Sheet'!$D$6=""),"",IF('Master Sheet'!$D$11="Hindi",CONCATENATE("(विद्यालय मान्यता क्रमांक व वर्ष : ","  ",'Master Sheet'!$D$6),CONCATENATE("(School Recognition Number &amp; Years : ","  ",'Master Sheet'!$D$6))))</f>
        <v>(विद्यालय मान्यता क्रमांक व वर्ष :   शिक्षा/पाली/1995/2001</v>
      </c>
      <c r="D62" s="1710"/>
      <c r="E62" s="1710"/>
      <c r="F62" s="1710"/>
      <c r="G62" s="1710"/>
      <c r="H62" s="1710"/>
      <c r="I62" s="1710"/>
      <c r="J62" s="1710"/>
      <c r="K62" s="1710"/>
      <c r="L62" s="1710"/>
      <c r="M62" s="1710"/>
      <c r="N62" s="1710"/>
      <c r="O62" s="1710"/>
      <c r="P62" s="719"/>
      <c r="Q62"/>
      <c r="R62" s="719"/>
      <c r="S62" s="1710" t="str">
        <f>IF(AND(AB65=""),"",IF(AND('Master Sheet'!$D$6=""),"",IF('Master Sheet'!$D$11="Hindi",CONCATENATE("(विद्यालय मान्यता क्रमांक व वर्ष : ","  ",'Master Sheet'!$D$6),CONCATENATE("(School Recognition Number &amp; Years : ","  ",'Master Sheet'!$D$6))))</f>
        <v>(विद्यालय मान्यता क्रमांक व वर्ष :   शिक्षा/पाली/1995/2001</v>
      </c>
      <c r="T62" s="1710"/>
      <c r="U62" s="1710"/>
      <c r="V62" s="1710"/>
      <c r="W62" s="1710"/>
      <c r="X62" s="1710"/>
      <c r="Y62" s="1710"/>
      <c r="Z62" s="1710"/>
      <c r="AA62" s="1710"/>
      <c r="AB62" s="1710"/>
      <c r="AC62" s="1710"/>
      <c r="AD62" s="1710"/>
      <c r="AE62" s="1710"/>
      <c r="AF62" s="719"/>
      <c r="AH62" s="471"/>
      <c r="AI62" s="471"/>
      <c r="AJ62" s="471"/>
      <c r="AK62" s="471"/>
      <c r="AL62" s="471"/>
      <c r="AN62" s="99"/>
      <c r="AR62"/>
      <c r="AS62"/>
      <c r="AT62"/>
      <c r="AX62"/>
      <c r="AY62"/>
      <c r="AZ62"/>
    </row>
    <row r="63" spans="1:58" s="471" customFormat="1" ht="21" customHeight="1">
      <c r="A63" s="469"/>
      <c r="B63" s="739" t="str">
        <f>IF('Master Sheet'!$D$11="Hindi","सत्र  :-","Session :-")</f>
        <v>सत्र  :-</v>
      </c>
      <c r="C63" s="1711" t="str">
        <f>'Marks Entry'!$H$1</f>
        <v>2023-2024</v>
      </c>
      <c r="D63" s="1711"/>
      <c r="E63" s="1711"/>
      <c r="F63" s="1711"/>
      <c r="G63" s="1711"/>
      <c r="H63" s="1711"/>
      <c r="I63" s="1703" t="str">
        <f>IF('Master Sheet'!$D$11="Hindi","कक्षा  :-","CLASS :- ")</f>
        <v>कक्षा  :-</v>
      </c>
      <c r="J63" s="1703"/>
      <c r="K63" s="1703"/>
      <c r="L63" s="1712" t="str">
        <f>CONCATENATE('Marks Entry'!$H$2," '",'Marks Entry'!$H$3,"'")</f>
        <v>11 'Arts'</v>
      </c>
      <c r="M63" s="1712"/>
      <c r="N63" s="1712"/>
      <c r="O63" s="1712"/>
      <c r="P63" s="720"/>
      <c r="Q63"/>
      <c r="R63" s="739" t="str">
        <f>IF('Master Sheet'!$D$11="Hindi","सत्र  :-","Session :-")</f>
        <v>सत्र  :-</v>
      </c>
      <c r="S63" s="1711" t="str">
        <f>'Marks Entry'!$H$1</f>
        <v>2023-2024</v>
      </c>
      <c r="T63" s="1711"/>
      <c r="U63" s="1711"/>
      <c r="V63" s="1711"/>
      <c r="W63" s="1711"/>
      <c r="X63" s="1711"/>
      <c r="Y63" s="1703" t="str">
        <f>IF('Master Sheet'!$D$11="Hindi","कक्षा  :-","CLASS :- ")</f>
        <v>कक्षा  :-</v>
      </c>
      <c r="Z63" s="1703"/>
      <c r="AA63" s="1703"/>
      <c r="AB63" s="1712" t="str">
        <f>CONCATENATE('Marks Entry'!$H$2," '",'Marks Entry'!$H$3,"'")</f>
        <v>11 'Arts'</v>
      </c>
      <c r="AC63" s="1712"/>
      <c r="AD63" s="1712"/>
      <c r="AE63" s="1712"/>
      <c r="AF63" s="720"/>
      <c r="AN63" s="99"/>
      <c r="AQ63" s="17"/>
      <c r="AR63"/>
      <c r="AS63" s="763">
        <f>L66</f>
        <v>39270</v>
      </c>
      <c r="AT63"/>
      <c r="AX63"/>
      <c r="AY63" s="763">
        <f>AB66</f>
        <v>39668</v>
      </c>
      <c r="AZ63"/>
      <c r="BE63" s="17"/>
      <c r="BF63" s="17"/>
    </row>
    <row r="64" spans="1:58" s="471" customFormat="1" ht="21" customHeight="1">
      <c r="A64" s="469"/>
      <c r="B64" s="740" t="str">
        <f>IF('Master Sheet'!$D$11="Hindi","विद्यार्थी का नाम :-","Student's Name :-")</f>
        <v>विद्यार्थी का नाम :-</v>
      </c>
      <c r="C64" s="1702" t="str">
        <f>IFERROR(VLOOKUP(L65,'Statement of Marks'!$B$8:'Statement of Marks'!$HI$207,4,0),"")</f>
        <v>E</v>
      </c>
      <c r="D64" s="1702"/>
      <c r="E64" s="1702"/>
      <c r="F64" s="1702"/>
      <c r="G64" s="1702"/>
      <c r="H64" s="1702"/>
      <c r="I64" s="1703" t="str">
        <f>IF('Master Sheet'!$D$11="Hindi","प्रवेशांक :","SR. NO. :")</f>
        <v>प्रवेशांक :</v>
      </c>
      <c r="J64" s="1703"/>
      <c r="K64" s="1703"/>
      <c r="L64" s="1706">
        <f>IFERROR(VLOOKUP(L65,'Statement of Marks'!$B$8:'Statement of Marks'!$HI$207,2,0),"")</f>
        <v>333</v>
      </c>
      <c r="M64" s="1706"/>
      <c r="N64" s="1706"/>
      <c r="O64" s="1706"/>
      <c r="P64" s="472"/>
      <c r="Q64"/>
      <c r="R64" s="740" t="str">
        <f>IF('Master Sheet'!$D$11="Hindi","विद्यार्थी का नाम :-","Student's Name :-")</f>
        <v>विद्यार्थी का नाम :-</v>
      </c>
      <c r="S64" s="1702" t="str">
        <f>IFERROR(VLOOKUP(AB65,'Statement of Marks'!$B$8:'Statement of Marks'!$HI$207,4,0),"")</f>
        <v>F</v>
      </c>
      <c r="T64" s="1702"/>
      <c r="U64" s="1702"/>
      <c r="V64" s="1702"/>
      <c r="W64" s="1702"/>
      <c r="X64" s="1702"/>
      <c r="Y64" s="1703" t="str">
        <f>IF('Master Sheet'!$D$11="Hindi","प्रवेशांक :","SR. NO. :")</f>
        <v>प्रवेशांक :</v>
      </c>
      <c r="Z64" s="1703"/>
      <c r="AA64" s="1703"/>
      <c r="AB64" s="1706">
        <f>IFERROR(VLOOKUP(AB65,'Statement of Marks'!$B$8:'Statement of Marks'!$HI$207,2,0),"")</f>
        <v>666</v>
      </c>
      <c r="AC64" s="1706"/>
      <c r="AD64" s="1706"/>
      <c r="AE64" s="1706"/>
      <c r="AF64" s="472"/>
      <c r="AQ64" s="17"/>
      <c r="AR64">
        <f>YEAR(AS63)</f>
        <v>2007</v>
      </c>
      <c r="AS64">
        <f>MONTH(AS63)</f>
        <v>7</v>
      </c>
      <c r="AT64">
        <f>DAY(AS63)</f>
        <v>7</v>
      </c>
      <c r="AU64" s="473"/>
      <c r="AX64">
        <f>YEAR(AY63)</f>
        <v>2008</v>
      </c>
      <c r="AY64">
        <f>MONTH(AY63)</f>
        <v>8</v>
      </c>
      <c r="AZ64">
        <f>DAY(AY63)</f>
        <v>8</v>
      </c>
      <c r="BE64" s="17"/>
      <c r="BF64" s="17"/>
    </row>
    <row r="65" spans="1:58" s="471" customFormat="1" ht="21" customHeight="1">
      <c r="A65" s="469"/>
      <c r="B65" s="740" t="str">
        <f>IF('Master Sheet'!$D$11="Hindi","पिता का नाम :-","Father's Name :-")</f>
        <v>पिता का नाम :-</v>
      </c>
      <c r="C65" s="1702" t="str">
        <f>IFERROR(VLOOKUP(L65,'Statement of Marks'!$B$8:'Statement of Marks'!$HI$207,5,0),"")</f>
        <v>V</v>
      </c>
      <c r="D65" s="1702"/>
      <c r="E65" s="1702"/>
      <c r="F65" s="1702"/>
      <c r="G65" s="1702"/>
      <c r="H65" s="1702"/>
      <c r="I65" s="1703" t="str">
        <f>IF('Master Sheet'!$D$11="Hindi","रोल नंबर :-","Roll No. :")</f>
        <v>रोल नंबर :-</v>
      </c>
      <c r="J65" s="1703"/>
      <c r="K65" s="1703"/>
      <c r="L65" s="1707">
        <f>IF(AB36="","",IF(AND(AB36+1&gt;$AN$11),"",AB36+1))</f>
        <v>1105</v>
      </c>
      <c r="M65" s="1707"/>
      <c r="N65" s="1707"/>
      <c r="O65" s="717"/>
      <c r="P65" s="472"/>
      <c r="Q65"/>
      <c r="R65" s="740" t="str">
        <f>IF('Master Sheet'!$D$11="Hindi","पिता का नाम :-","Father's Name :-")</f>
        <v>पिता का नाम :-</v>
      </c>
      <c r="S65" s="1702" t="str">
        <f>IFERROR(VLOOKUP(AB65,'Statement of Marks'!$B$8:'Statement of Marks'!$HI$207,5,0),"")</f>
        <v>U</v>
      </c>
      <c r="T65" s="1702"/>
      <c r="U65" s="1702"/>
      <c r="V65" s="1702"/>
      <c r="W65" s="1702"/>
      <c r="X65" s="1702"/>
      <c r="Y65" s="1703" t="str">
        <f>IF('Master Sheet'!$D$11="Hindi","रोल नंबर :-","Roll No. :")</f>
        <v>रोल नंबर :-</v>
      </c>
      <c r="Z65" s="1703"/>
      <c r="AA65" s="1703"/>
      <c r="AB65" s="1707">
        <f>IF(L65="","",IF(AND(L65+1&gt;$AN$11),"",L65+1))</f>
        <v>1106</v>
      </c>
      <c r="AC65" s="1707"/>
      <c r="AD65" s="1707"/>
      <c r="AE65" s="717"/>
      <c r="AF65" s="472"/>
      <c r="AQ65" s="17"/>
      <c r="AR65" t="str">
        <f>IF(AR64=2000,"दो हजार",IF(AR64=2001,"दो हजार एक",IF(AR64=2002,"दो हजार दो",IF(AR64=2003,"दो हजार तीन",IF(AR64=2004,"दो हजार चार",IF(AR64=2005,"दो हजार पांच",IF(AR64=2006,"दो हजार छः",IF(AR64=2007,"दो हजार सात",IF(AR64=2008,"दो हजार आठ",IF(AR64=2009,"दो हजार नौ",IF(AR64=2010,"दो हजार दस",IF(AR64=2011,"दो हजार इग्यारह",IF(AR64=2012,"दो हजार बारह",IF(AR64=2013,"दो हजार तेरह",IF(AR64=2014,"दो हजार चौदह",IF(AR64=2015,"दो हजार पंद्रह",IF(AR64=2016,"दो हजार सोलह",IF(AR64=2017,"दो हजार सत्रह",IF(AR64=2018,"दो हजार अठारह",IF(AR64=2019,"दो हजार उन्नीस",IF(AR64=2020,"दो हजार बीस",IF(AR64=2021,"दो हजार इक्कीस",IF(AR64=2022,"दो हजार बाइस","")))))))))))))))))))))))</f>
        <v>दो हजार सात</v>
      </c>
      <c r="AS65" t="str">
        <f>IF(AS64=1,"जनवरी",IF(AS64=2,"फरवरी",IF(AS64=3,"मार्च",IF(AS64=4,"अप्रैल",IF(AS64=5,"मई",IF(AS64=6,"जून",IF(AS64=7,"जुलाई",IF(AS64=8,"अगस्त",IF(AS64=9,"सितम्बर",IF(AS64=10,"अक्टूबर",IF(AS64=11,"नवम्बर",IF(AS64=12,"दिसम्बर",""))))))))))))</f>
        <v>जुलाई</v>
      </c>
      <c r="AT65" t="str">
        <f>IF(AT64=1,"एक",IF(AT64=2,"दो",IF(AT64=3,"तीन",IF(AT64=4,"चार",IF(AT64=5,"पांच",IF(AT64=6,"छः",IF(AT64=7,"सात",IF(AT64=8,"आठ",IF(AT64=9,"नौ",IF(AT64=10,"दस",IF(AT64=11,"इग्यारह",IF(AT64=12,"बारह",IF(AT64=13,"तेरह",IF(AT64=14,"चौदह",IF(AT64=15,"पंद्रह",IF(AT64=16,"सोलह",IF(AT64=17,"सत्रह",IF(AT64=18,"अठारह",IF(AT64=19,"उन्नीस",IF(AT64=20,"बीस",IF(AT64=21,"इक्कीस",IF(AT64=22,"बाइस",IF(AT64=23,"तेईस",IF(AT64=24,"चौबीस",IF(AT64=25,"पचीस",IF(AT64=26,"छबीस",IF(AT64=27,"सताईस",IF(AT64=28,"अठाइस",IF(AT64=29,"उन्नतीस",IF(AT64=30,"तीस",IF(AT64=31,"इकतीस","")))))))))))))))))))))))))))))))</f>
        <v>सात</v>
      </c>
      <c r="AX65" t="str">
        <f>IF(AX64=2000,"दो हजार",IF(AX64=2001,"दो हजार एक",IF(AX64=2002,"दो हजार दो",IF(AX64=2003,"दो हजार तीन",IF(AX64=2004,"दो हजार चार",IF(AX64=2005,"दो हजार पांच",IF(AX64=2006,"दो हजार छः",IF(AX64=2007,"दो हजार सात",IF(AX64=2008,"दो हजार आठ",IF(AX64=2009,"दो हजार नौ",IF(AX64=2010,"दो हजार दस",IF(AX64=2011,"दो हजार इग्यारह",IF(AX64=2012,"दो हजार बारह",IF(AX64=2013,"दो हजार तेरह",IF(AX64=2014,"दो हजार चौदह",IF(AX64=2015,"दो हजार पंद्रह",IF(AX64=2016,"दो हजार सोलह",IF(AX64=2017,"दो हजार सत्रह",IF(AX64=2018,"दो हजार अठारह",IF(AX64=2019,"दो हजार उन्नीस",IF(AX64=2020,"दो हजार बीस",IF(AX64=2021,"दो हजार इक्कीस",IF(AX64=2022,"दो हजार बाइस","")))))))))))))))))))))))</f>
        <v>दो हजार आठ</v>
      </c>
      <c r="AY65" t="str">
        <f>IF(AY64=1,"जनवरी",IF(AY64=2,"फरवरी",IF(AY64=3,"मार्च",IF(AY64=4,"अप्रैल",IF(AY64=5,"मई",IF(AY64=6,"जून",IF(AY64=7,"जुलाई",IF(AY64=8,"अगस्त",IF(AY64=9,"सितम्बर",IF(AY64=10,"अक्टूबर",IF(AY64=11,"नवम्बर",IF(AY64=12,"दिसम्बर",""))))))))))))</f>
        <v>अगस्त</v>
      </c>
      <c r="AZ65" t="str">
        <f>IF(AZ64=1,"एक",IF(AZ64=2,"दो",IF(AZ64=3,"तीन",IF(AZ64=4,"चार",IF(AZ64=5,"पांच",IF(AZ64=6,"छः",IF(AZ64=7,"सात",IF(AZ64=8,"आठ",IF(AZ64=9,"नौ",IF(AZ64=10,"दस",IF(AZ64=11,"इग्यारह",IF(AZ64=12,"बारह",IF(AZ64=13,"तेरह",IF(AZ64=14,"चौदह",IF(AZ64=15,"पंद्रह",IF(AZ64=16,"सोलह",IF(AZ64=17,"सत्रह",IF(AZ64=18,"अठारह",IF(AZ64=19,"उन्नीस",IF(AZ64=20,"बीस",IF(AZ64=21,"इक्कीस",IF(AZ64=22,"बाइस",IF(AZ64=23,"तेईस",IF(AZ64=24,"चौबीस",IF(AZ64=25,"पचीस",IF(AZ64=26,"छबीस",IF(AZ64=27,"सताईस",IF(AZ64=28,"अठाइस",IF(AZ64=29,"उन्नतीस",IF(AZ64=30,"तीस",IF(AZ64=31,"इकतीस","")))))))))))))))))))))))))))))))</f>
        <v>आठ</v>
      </c>
      <c r="BE65" s="17"/>
      <c r="BF65" s="17"/>
    </row>
    <row r="66" spans="1:58" s="471" customFormat="1" ht="21" customHeight="1">
      <c r="A66" s="469"/>
      <c r="B66" s="739" t="str">
        <f>IF('Master Sheet'!$D$11="Hindi","माता का नाम :-","Mother's Name :-")</f>
        <v>माता का नाम :-</v>
      </c>
      <c r="C66" s="1702" t="str">
        <f>IFERROR(VLOOKUP(L65,'Statement of Marks'!$B$8:'Statement of Marks'!$HI$207,6,0),"")</f>
        <v>Q</v>
      </c>
      <c r="D66" s="1702"/>
      <c r="E66" s="1702"/>
      <c r="F66" s="1702"/>
      <c r="G66" s="1702"/>
      <c r="H66" s="1702"/>
      <c r="I66" s="1703" t="str">
        <f>IF('Master Sheet'!$D$11="Hindi","जन्म तिथि :","Date of Birth :")</f>
        <v>जन्म तिथि :</v>
      </c>
      <c r="J66" s="1703"/>
      <c r="K66" s="1703"/>
      <c r="L66" s="1704">
        <f>IFERROR(VLOOKUP(L65,'Statement of Marks'!$B$8:'Statement of Marks'!$HI$207,3,0),"")</f>
        <v>39270</v>
      </c>
      <c r="M66" s="1704"/>
      <c r="N66" s="1704"/>
      <c r="O66" s="1704"/>
      <c r="Q66"/>
      <c r="R66" s="739" t="str">
        <f>IF('Master Sheet'!$D$11="Hindi","माता का नाम :-","Mother's Name :-")</f>
        <v>माता का नाम :-</v>
      </c>
      <c r="S66" s="1702" t="str">
        <f>IFERROR(VLOOKUP(AB65,'Statement of Marks'!$B$8:'Statement of Marks'!$HI$207,6,0),"")</f>
        <v>R</v>
      </c>
      <c r="T66" s="1702"/>
      <c r="U66" s="1702"/>
      <c r="V66" s="1702"/>
      <c r="W66" s="1702"/>
      <c r="X66" s="1702"/>
      <c r="Y66" s="1703" t="str">
        <f>IF('Master Sheet'!$D$11="Hindi","जन्म तिथि :","Date of Birth :")</f>
        <v>जन्म तिथि :</v>
      </c>
      <c r="Z66" s="1703"/>
      <c r="AA66" s="1703"/>
      <c r="AB66" s="1704">
        <f>IFERROR(VLOOKUP(AB65,'Statement of Marks'!$B$8:'Statement of Marks'!$HI$207,3,0),"")</f>
        <v>39668</v>
      </c>
      <c r="AC66" s="1704"/>
      <c r="AD66" s="1704"/>
      <c r="AE66" s="1704"/>
      <c r="AQ66" s="17"/>
      <c r="AR66"/>
      <c r="AS66" t="str">
        <f>CONCATENATE(AT65," ",AS65," ",AR65)</f>
        <v>सात जुलाई दो हजार सात</v>
      </c>
      <c r="AT66"/>
      <c r="AX66"/>
      <c r="AY66" t="str">
        <f>CONCATENATE(AZ65," ",AY65," ",AX65)</f>
        <v>आठ अगस्त दो हजार आठ</v>
      </c>
      <c r="AZ66"/>
      <c r="BE66" s="17"/>
      <c r="BF66" s="17"/>
    </row>
    <row r="67" spans="1:58" s="471" customFormat="1" ht="21" customHeight="1">
      <c r="A67" s="469"/>
      <c r="B67" s="470"/>
      <c r="C67" s="722"/>
      <c r="D67" s="722"/>
      <c r="E67" s="722"/>
      <c r="F67" s="722"/>
      <c r="G67" s="722"/>
      <c r="H67" s="722"/>
      <c r="I67" s="1703" t="str">
        <f>IF('Master Sheet'!$D$11="Hindi","जन्मतिथि शब्दों में :","Date of Birth in Words :")</f>
        <v>जन्मतिथि शब्दों में :</v>
      </c>
      <c r="J67" s="1703"/>
      <c r="K67" s="1703"/>
      <c r="L67" s="1705" t="str">
        <f>IF('Master Sheet'!$D$11="Hindi",AS66,AS68)</f>
        <v>सात जुलाई दो हजार सात</v>
      </c>
      <c r="M67" s="1705"/>
      <c r="N67" s="1705"/>
      <c r="O67" s="1705"/>
      <c r="P67" s="1705"/>
      <c r="Q67"/>
      <c r="R67" s="470"/>
      <c r="S67" s="722"/>
      <c r="T67" s="722"/>
      <c r="U67" s="722"/>
      <c r="V67" s="722"/>
      <c r="W67" s="722"/>
      <c r="X67" s="722"/>
      <c r="Y67" s="1703" t="str">
        <f>IF('Master Sheet'!$D$11="Hindi","जन्मतिथि शब्दों में :","Date of Birth in Words :")</f>
        <v>जन्मतिथि शब्दों में :</v>
      </c>
      <c r="Z67" s="1703"/>
      <c r="AA67" s="1703"/>
      <c r="AB67" s="1705" t="str">
        <f>IF('Master Sheet'!$D$11="Hindi",AY66,AY68)</f>
        <v>आठ अगस्त दो हजार आठ</v>
      </c>
      <c r="AC67" s="1705"/>
      <c r="AD67" s="1705"/>
      <c r="AE67" s="1705"/>
      <c r="AF67" s="1705"/>
      <c r="AQ67" s="17"/>
      <c r="AR67" t="str">
        <f>IF(AR64=1961,"NINETEEN SIXTY ONE",IF(AR64=1962,"NINETEEN SIXTY TWO",IF(AR64=1963,"NINETEEN SIXTY THREE",IF(AR64=1964,"NINETEEN SIXTY FOUR",IF(AR64=1965,"NINETEEN SIXTY FIVE",IF(AR64=1966,"NINETEEN SIXTY SIX",IF(AR64=1967,"NINETEEN SIXTY SEVEN",IF(AR64=1968,"NINETEEN SIXTY EIGHT",IF(AR64=1969,"NINETEEN SIXTY NINE",IF(AR64=1970,"NINETEEN SEVENTY",IF(AR64=1971,"NINETEEN SEVENTY ONE",IF(AR64=1972,"NINETEEN SEVENTY TWO",IF(AR64=1973,"NINETEEN SEVENTY THREE",IF(AR64=1974,"NINETEEN SEVENTY FOUR",IF(AR64=1975,"NINETEEN SEVENTY FIVE",IF(AR64=1976,"NINETEEN SEVENTY SIX",IF(AR64=1977,"NINETEEN SEVENTY SEVEN",IF(AR64=1978,"NINETEEN SEVENTY EIGHT",IF(AR64=1979,"NINETEEN SEVENTY NINE",IF(AR64=1980,"NINETEEN EIGHTY",IF(AR64=1981,"NINETEEN EIGHTY ONE",IF(AR64=1982,"NINETEEN EIGHTY TWO",IF(AR64=1983,"NINETEEN EIGHTY THREE",IF(AR64=1984,"NINETEEN EIGHTY FOUR",IF(AR64=1985,"NINETEEN EIGHTY FIVE",IF(AR64=1986,"NINETEEN EIGHTY SIX",IF(AR64=1987,"NINETEEN EIGHTY SEVEN",IF(AR64=1988,"NINETEEN EIGHTY EIGHT",IF(AR64=1989,"NINETEEN EIGHTY NINE",IF(AR64=1990,"NINETEEN NINETY",IF(AR64=1991,"NINETEEN NINETY ONE",IF(AR64=1992,"NINETEEN NINETY TWO",IF(AR64=1993,"NINETEEN NINETY THREE",IF(AR64=1994,"NINETEEN NINETY FOUR",IF(AR64=1995,"NINETEEN NINETY FIVE",IF(AR64=1996,"NINETEEN NINETY SIX",IF(AR64=1997,"NINETEEN NINETY SEVEN",IF(AR64=1998,"NINETEEN NINETY EIGHT",IF(AR64=1999,"NINETEEN NINETY NINE",IF(AR64=2000,"TWO THOUSAND",IF(AR64=2001,"TWO THOUSAND ONE",IF(AR64=2002,"TWO THOUSAND TWO",IF(AR64=2003,"TWO THOUSAND THREE",IF(AR64=2004,"TWO THOUSAND FOUR",IF(AR64=2005,"TWO THOUSAND FIVE",IF(AR64=2006,"TWO THOUSAND SIX",IF(AR64=2007,"TWO THOUSAND SEVEN",IF(AR64=2008,"TWO THOUSAND EIGHT",IF(AR64=2009,"TWO THOUSAND NINE",IF(AR64=2010,"TWO THOUSAND TEN",IF(AR64=2011,"TWO THOUSAND ELEVEN",IF(AR64=2012,"TWO THOUSAND TWELVE",IF(AR64=2013,"TWO THOUSAND THIRTEEN",IF(AR64=2014,"TWO THOUSAND FOURTEEN",IF(AR64=2015,"TWO THOUSAND FIFTEEN",IF(AR64=2016,"TWO THOUSAND SIXTEEN",IF(AR64=2017,"TWO THOUSAND SEVENTEEN",IF(AR64=2018,"TWO THOUSAND EIGHTEEN",IF(AR64=2019,"TWO THOUSAND NINETEEN",IF(AR64=2020,"TWO THOUSAND TWENTY",IF(AR64=2021,"TWO THOUSAND TWENTY ONE",IF(AR64=2022,"TWO THOUSAND TWENTY TWO",IF(AR64=2023,"TWO THOUSAND TWENTY THREE",IF(AR64=2024,"TWO THOUSAND TWENTY FOUR",IF(AR64=2025,"TWO THOUSAND TWENTY FIVE","")))))))))))))))))))))))))))))))))))))))))))))))))))))))))))))))))</f>
        <v>TWO THOUSAND SEVEN</v>
      </c>
      <c r="AS67" t="str">
        <f>IF(AS64=1,"JANUARY",IF(AS64=2,"FEBUARY", IF(AS64=3,"MARCH",IF(AS64=4,"APRIL",IF(AS64=5,"MAY",IF(AS64=6,"JUNE",IF(AS64=7,"JULY",IF(AS64=8,"AUGUST",IF(AS64=9,"SEPTEMBER",IF(AS64=10,"OCTOBER",IF(AS64=11,"NOVEMBER",IF(AS64=12,"DECEMBER",""))))))))))))</f>
        <v>JULY</v>
      </c>
      <c r="AT67" t="str">
        <f>IF(AT64=1,"1ST",IF(AT64=2,"2ND", IF(AT64=3,"3RD",IF(AT64=4,"FOURTH",IF(AT64=5,"FIFTH",IF(AT64=6,"SIXTH",IF(AT64=7,"7TH",IF(AT64=8,"8TH",IF(AT64=9,"9TH",IF(AT64=10,"10TH",IF(AT64=11,"11TH",IF(AT64=12,"12TH",IF(AT64=13,"13TH",IF(AT64=14,"14TH",IF(AT64=15,"FIFTEEN",IF(AT64=16,"SIXTEEN",IF(AT64=17,"SEVENTEEN",IF(AT64=18,"EIGHTEEN",IF(AT64=19,"NINETEEN",IF(AT64=20,"TWENTY",IF(AT64=21,"TWENTY FIRST",IF(AT64=22,"TWENTY SECOND",IF(AT64=23,"TWENTY THIRD",IF(AT64=24,"TWENTY FOURTH",IF(AT64=25,"TWENTY FIFTH",IF(AT64=26,"TWENTY SIX",IF(AT64=27,"TWENTY SEVEN",IF(AT64=28,"TWENTY EIGHT",IF(AT64=29,"TWENTY NINE",IF(AT64=30,"THIRTY",IF(AT64=31,"THIRTY FIRST","")))))))))))))))))))))))))))))))</f>
        <v>7TH</v>
      </c>
      <c r="AX67" t="str">
        <f>IF(AX64=1961,"NINETEEN SIXTY ONE",IF(AX64=1962,"NINETEEN SIXTY TWO",IF(AX64=1963,"NINETEEN SIXTY THREE",IF(AX64=1964,"NINETEEN SIXTY FOUR",IF(AX64=1965,"NINETEEN SIXTY FIVE",IF(AX64=1966,"NINETEEN SIXTY SIX",IF(AX64=1967,"NINETEEN SIXTY SEVEN",IF(AX64=1968,"NINETEEN SIXTY EIGHT",IF(AX64=1969,"NINETEEN SIXTY NINE",IF(AX64=1970,"NINETEEN SEVENTY",IF(AX64=1971,"NINETEEN SEVENTY ONE",IF(AX64=1972,"NINETEEN SEVENTY TWO",IF(AX64=1973,"NINETEEN SEVENTY THREE",IF(AX64=1974,"NINETEEN SEVENTY FOUR",IF(AX64=1975,"NINETEEN SEVENTY FIVE",IF(AX64=1976,"NINETEEN SEVENTY SIX",IF(AX64=1977,"NINETEEN SEVENTY SEVEN",IF(AX64=1978,"NINETEEN SEVENTY EIGHT",IF(AX64=1979,"NINETEEN SEVENTY NINE",IF(AX64=1980,"NINETEEN EIGHTY",IF(AX64=1981,"NINETEEN EIGHTY ONE",IF(AX64=1982,"NINETEEN EIGHTY TWO",IF(AX64=1983,"NINETEEN EIGHTY THREE",IF(AX64=1984,"NINETEEN EIGHTY FOUR",IF(AX64=1985,"NINETEEN EIGHTY FIVE",IF(AX64=1986,"NINETEEN EIGHTY SIX",IF(AX64=1987,"NINETEEN EIGHTY SEVEN",IF(AX64=1988,"NINETEEN EIGHTY EIGHT",IF(AX64=1989,"NINETEEN EIGHTY NINE",IF(AX64=1990,"NINETEEN NINETY",IF(AX64=1991,"NINETEEN NINETY ONE",IF(AX64=1992,"NINETEEN NINETY TWO",IF(AX64=1993,"NINETEEN NINETY THREE",IF(AX64=1994,"NINETEEN NINETY FOUR",IF(AX64=1995,"NINETEEN NINETY FIVE",IF(AX64=1996,"NINETEEN NINETY SIX",IF(AX64=1997,"NINETEEN NINETY SEVEN",IF(AX64=1998,"NINETEEN NINETY EIGHT",IF(AX64=1999,"NINETEEN NINETY NINE",IF(AX64=2000,"TWO THOUSAND",IF(AX64=2001,"TWO THOUSAND ONE",IF(AX64=2002,"TWO THOUSAND TWO",IF(AX64=2003,"TWO THOUSAND THREE",IF(AX64=2004,"TWO THOUSAND FOUR",IF(AX64=2005,"TWO THOUSAND FIVE",IF(AX64=2006,"TWO THOUSAND SIX",IF(AX64=2007,"TWO THOUSAND SEVEN",IF(AX64=2008,"TWO THOUSAND EIGHT",IF(AX64=2009,"TWO THOUSAND NINE",IF(AX64=2010,"TWO THOUSAND TEN",IF(AX64=2011,"TWO THOUSAND ELEVEN",IF(AX64=2012,"TWO THOUSAND TWELVE",IF(AX64=2013,"TWO THOUSAND THIRTEEN",IF(AX64=2014,"TWO THOUSAND FOURTEEN",IF(AX64=2015,"TWO THOUSAND FIFTEEN",IF(AX64=2016,"TWO THOUSAND SIXTEEN",IF(AX64=2017,"TWO THOUSAND SEVENTEEN",IF(AX64=2018,"TWO THOUSAND EIGHTEEN",IF(AX64=2019,"TWO THOUSAND NINETEEN",IF(AX64=2020,"TWO THOUSAND TWENTY",IF(AX64=2021,"TWO THOUSAND TWENTY ONE",IF(AX64=2022,"TWO THOUSAND TWENTY TWO",IF(AX64=2023,"TWO THOUSAND TWENTY THREE",IF(AX64=2024,"TWO THOUSAND TWENTY FOUR",IF(AX64=2025,"TWO THOUSAND TWENTY FIVE","")))))))))))))))))))))))))))))))))))))))))))))))))))))))))))))))))</f>
        <v>TWO THOUSAND EIGHT</v>
      </c>
      <c r="AY67" t="str">
        <f>IF(AY64=1,"JANUARY",IF(AY64=2,"FEBUARY", IF(AY64=3,"MARCH",IF(AY64=4,"APRIL",IF(AY64=5,"MAY",IF(AY64=6,"JUNE",IF(AY64=7,"JULY",IF(AY64=8,"AUGUST",IF(AY64=9,"SEPTEMBER",IF(AY64=10,"OCTOBER",IF(AY64=11,"NOVEMBER",IF(AY64=12,"DECEMBER",""))))))))))))</f>
        <v>AUGUST</v>
      </c>
      <c r="AZ67" t="str">
        <f>IF(AZ64=1,"1ST",IF(AZ64=2,"2ND", IF(AZ64=3,"3RD",IF(AZ64=4,"FOURTH",IF(AZ64=5,"FIFTH",IF(AZ64=6,"SIXTH",IF(AZ64=7,"7TH",IF(AZ64=8,"8TH",IF(AZ64=9,"9TH",IF(AZ64=10,"10TH",IF(AZ64=11,"11TH",IF(AZ64=12,"12TH",IF(AZ64=13,"13TH",IF(AZ64=14,"14TH",IF(AZ64=15,"FIFTEEN",IF(AZ64=16,"SIXTEEN",IF(AZ64=17,"SEVENTEEN",IF(AZ64=18,"EIGHTEEN",IF(AZ64=19,"NINETEEN",IF(AZ64=20,"TWENTY",IF(AZ64=21,"TWENTY FIRST",IF(AZ64=22,"TWENTY SECOND",IF(AZ64=23,"TWENTY THIRD",IF(AZ64=24,"TWENTY FOURTH",IF(AZ64=25,"TWENTY FIFTH",IF(AZ64=26,"TWENTY SIX",IF(AZ64=27,"TWENTY SEVEN",IF(AZ64=28,"TWENTY EIGHT",IF(AZ64=29,"TWENTY NINE",IF(AZ64=30,"THIRTY",IF(AZ64=31,"THIRTY FIRST","")))))))))))))))))))))))))))))))</f>
        <v>8TH</v>
      </c>
      <c r="BE67" s="17"/>
      <c r="BF67" s="17"/>
    </row>
    <row r="68" spans="1:58" s="471" customFormat="1" ht="9.75" customHeight="1">
      <c r="A68" s="469"/>
      <c r="B68" s="1696"/>
      <c r="C68" s="1696"/>
      <c r="D68" s="1696"/>
      <c r="E68" s="1696"/>
      <c r="F68" s="1696"/>
      <c r="G68" s="1696"/>
      <c r="H68" s="1696"/>
      <c r="I68" s="1696"/>
      <c r="J68" s="1696"/>
      <c r="K68" s="1696"/>
      <c r="L68" s="1696"/>
      <c r="M68" s="1696"/>
      <c r="N68" s="1696"/>
      <c r="O68" s="1696"/>
      <c r="P68" s="721"/>
      <c r="Q68"/>
      <c r="R68" s="1697"/>
      <c r="S68" s="1697"/>
      <c r="T68" s="1697"/>
      <c r="U68" s="1697"/>
      <c r="V68" s="1697"/>
      <c r="W68" s="1697"/>
      <c r="X68" s="1697"/>
      <c r="Y68" s="1697"/>
      <c r="Z68" s="1697"/>
      <c r="AA68" s="1697"/>
      <c r="AB68" s="1697"/>
      <c r="AC68" s="1697"/>
      <c r="AD68" s="1697"/>
      <c r="AE68" s="1697"/>
      <c r="AF68" s="718"/>
      <c r="AQ68" s="17"/>
      <c r="AR68"/>
      <c r="AS68" t="str">
        <f>CONCATENATE(AS67," ",AT67,", ",AR67)</f>
        <v>JULY 7TH, TWO THOUSAND SEVEN</v>
      </c>
      <c r="AT68"/>
      <c r="AX68"/>
      <c r="AY68" t="str">
        <f>CONCATENATE(AY67," ",AZ67,", ",AX67)</f>
        <v>AUGUST 8TH, TWO THOUSAND EIGHT</v>
      </c>
      <c r="AZ68"/>
      <c r="BE68" s="17"/>
      <c r="BF68" s="17"/>
    </row>
    <row r="69" spans="1:58" s="471" customFormat="1" ht="27.75" customHeight="1">
      <c r="A69" s="469"/>
      <c r="B69" s="1698" t="str">
        <f>IF('Master Sheet'!$D$11="Hindi","विषय का नाम","Subject Name")</f>
        <v>विषय का नाम</v>
      </c>
      <c r="C69" s="1699" t="str">
        <f>IF('Master Sheet'!$D$11="Hindi","सामयिक परख","Seasonal Exam")</f>
        <v>सामयिक परख</v>
      </c>
      <c r="D69" s="1699"/>
      <c r="E69" s="1699"/>
      <c r="F69" s="1699"/>
      <c r="G69" s="1699" t="str">
        <f>IF('Master Sheet'!$D$11="Hindi","अर्द्धवार्षिक","Half Yearly")</f>
        <v>अर्द्धवार्षिक</v>
      </c>
      <c r="H69" s="1699"/>
      <c r="I69" s="1699"/>
      <c r="J69" s="1700" t="str">
        <f>IF('Master Sheet'!$D$11="Hindi","अर्द्ध वा. तक योग","Total Till H.Y.")</f>
        <v>अर्द्ध वा. तक योग</v>
      </c>
      <c r="K69" s="1699" t="str">
        <f>IF('Master Sheet'!$D$11="Hindi","वार्षिक","Yearly Exam")</f>
        <v>वार्षिक</v>
      </c>
      <c r="L69" s="1699"/>
      <c r="M69" s="1699"/>
      <c r="N69" s="1699"/>
      <c r="O69" s="1701" t="str">
        <f>IF('Master Sheet'!$D$11="Hindi","विषय कुल योग ","Subject Total")</f>
        <v xml:space="preserve">विषय कुल योग </v>
      </c>
      <c r="P69" s="1686" t="str">
        <f>IF('Master Sheet'!$D$11="Hindi","विषय परिणाम / विषय श्रेणी","Sub. Result /  Sub. Div.")</f>
        <v>विषय परिणाम / विषय श्रेणी</v>
      </c>
      <c r="Q69"/>
      <c r="R69" s="1698" t="str">
        <f>IF('Master Sheet'!$D$11="Hindi","विषय का नाम","Subject Name")</f>
        <v>विषय का नाम</v>
      </c>
      <c r="S69" s="1699" t="str">
        <f>IF('Master Sheet'!$D$11="Hindi","सामयिक परख","Seasonal Exam")</f>
        <v>सामयिक परख</v>
      </c>
      <c r="T69" s="1699"/>
      <c r="U69" s="1699"/>
      <c r="V69" s="1699"/>
      <c r="W69" s="1699" t="str">
        <f>IF('Master Sheet'!$D$11="Hindi","अर्द्धवार्षिक","Half Yearly")</f>
        <v>अर्द्धवार्षिक</v>
      </c>
      <c r="X69" s="1699"/>
      <c r="Y69" s="1699"/>
      <c r="Z69" s="1700" t="str">
        <f>IF('Master Sheet'!$D$11="Hindi","अर्द्ध वा. तक योग","Total Till H.Y.")</f>
        <v>अर्द्ध वा. तक योग</v>
      </c>
      <c r="AA69" s="1699" t="str">
        <f>IF('Master Sheet'!$D$11="Hindi","वार्षिक","Yearly Exam")</f>
        <v>वार्षिक</v>
      </c>
      <c r="AB69" s="1699"/>
      <c r="AC69" s="1699"/>
      <c r="AD69" s="1699"/>
      <c r="AE69" s="1701" t="str">
        <f>IF('Master Sheet'!$D$11="Hindi","विषय कुल योग ","Subject Total")</f>
        <v xml:space="preserve">विषय कुल योग </v>
      </c>
      <c r="AF69" s="1686" t="str">
        <f>IF('Master Sheet'!$D$11="Hindi","विषय परिणाम / विषय श्रेणी","Sub. Result /  Sub. Div.")</f>
        <v>विषय परिणाम / विषय श्रेणी</v>
      </c>
      <c r="AQ69" s="17"/>
      <c r="AR69"/>
      <c r="AS69"/>
      <c r="AT69"/>
      <c r="AX69"/>
      <c r="AY69"/>
      <c r="AZ69"/>
      <c r="BE69" s="17"/>
      <c r="BF69" s="17"/>
    </row>
    <row r="70" spans="1:58" s="471" customFormat="1" ht="78.75" customHeight="1">
      <c r="A70" s="469"/>
      <c r="B70" s="1698"/>
      <c r="C70" s="745" t="str">
        <f>IF('Master Sheet'!$D$11="Hindi","प्रथम परख ","First Test")</f>
        <v xml:space="preserve">प्रथम परख </v>
      </c>
      <c r="D70" s="745" t="str">
        <f>IF('Master Sheet'!$D$11="Hindi","द्वितीय परख","Second Test")</f>
        <v>द्वितीय परख</v>
      </c>
      <c r="E70" s="745" t="str">
        <f>IF('Master Sheet'!$D$11="Hindi","तृतीय परख","Third Test")</f>
        <v>तृतीय परख</v>
      </c>
      <c r="F70" s="746" t="str">
        <f>IF('Master Sheet'!$D$11="Hindi","सा. परख योग","Test Total")</f>
        <v>सा. परख योग</v>
      </c>
      <c r="G70" s="745" t="str">
        <f>IF('Master Sheet'!$D$11="Hindi","सैद्धांतिक","Theoretical")</f>
        <v>सैद्धांतिक</v>
      </c>
      <c r="H70" s="745" t="str">
        <f>IF('Master Sheet'!$D$11="Hindi","प्रायोगिक","Practical")</f>
        <v>प्रायोगिक</v>
      </c>
      <c r="I70" s="747" t="str">
        <f>IF('Master Sheet'!$D$11="Hindi","अर्द्ध वा. योग","Total H.Y.")</f>
        <v>अर्द्ध वा. योग</v>
      </c>
      <c r="J70" s="1700"/>
      <c r="K70" s="745" t="str">
        <f>IF('Master Sheet'!$D$11="Hindi","सैद्धांतिक","Theoretical")</f>
        <v>सैद्धांतिक</v>
      </c>
      <c r="L70" s="745" t="str">
        <f>IF('Master Sheet'!$D$11="Hindi","प्रायोगिक","Practical")</f>
        <v>प्रायोगिक</v>
      </c>
      <c r="M70" s="745" t="str">
        <f>IF('Master Sheet'!$D$11="Hindi","पोर्टफोलियो","Portfolio")</f>
        <v>पोर्टफोलियो</v>
      </c>
      <c r="N70" s="747" t="str">
        <f>IF('Master Sheet'!$D$11="Hindi","वार्षिक योग","Total Yearly")</f>
        <v>वार्षिक योग</v>
      </c>
      <c r="O70" s="1701"/>
      <c r="P70" s="1686"/>
      <c r="Q70"/>
      <c r="R70" s="1698"/>
      <c r="S70" s="745" t="str">
        <f>IF('Master Sheet'!$D$11="Hindi","प्रथम परख ","First Test")</f>
        <v xml:space="preserve">प्रथम परख </v>
      </c>
      <c r="T70" s="745" t="str">
        <f>IF('Master Sheet'!$D$11="Hindi","द्वितीय परख","Second Test")</f>
        <v>द्वितीय परख</v>
      </c>
      <c r="U70" s="745" t="str">
        <f>IF('Master Sheet'!$D$11="Hindi","तृतीय परख","Third Test")</f>
        <v>तृतीय परख</v>
      </c>
      <c r="V70" s="746" t="str">
        <f>IF('Master Sheet'!$D$11="Hindi","सा. परख योग","Test Total")</f>
        <v>सा. परख योग</v>
      </c>
      <c r="W70" s="745" t="str">
        <f>IF('Master Sheet'!$D$11="Hindi","सैद्धांतिक","Theoretical")</f>
        <v>सैद्धांतिक</v>
      </c>
      <c r="X70" s="745" t="str">
        <f>IF('Master Sheet'!$D$11="Hindi","प्रायोगिक","Practical")</f>
        <v>प्रायोगिक</v>
      </c>
      <c r="Y70" s="747" t="str">
        <f>IF('Master Sheet'!$D$11="Hindi","अर्द्ध वा. योग","Total H.Y.")</f>
        <v>अर्द्ध वा. योग</v>
      </c>
      <c r="Z70" s="1700"/>
      <c r="AA70" s="745" t="str">
        <f>IF('Master Sheet'!$D$11="Hindi","सैद्धांतिक","Theoretical")</f>
        <v>सैद्धांतिक</v>
      </c>
      <c r="AB70" s="745" t="str">
        <f>IF('Master Sheet'!$D$11="Hindi","प्रायोगिक","Practical")</f>
        <v>प्रायोगिक</v>
      </c>
      <c r="AC70" s="745" t="str">
        <f>IF('Master Sheet'!$D$11="Hindi","पोर्टफोलियो","Portfolio")</f>
        <v>पोर्टफोलियो</v>
      </c>
      <c r="AD70" s="747" t="str">
        <f>IF('Master Sheet'!$D$11="Hindi","वार्षिक योग","Total Yearly")</f>
        <v>वार्षिक योग</v>
      </c>
      <c r="AE70" s="1701"/>
      <c r="AF70" s="1686"/>
      <c r="AQ70" s="17"/>
      <c r="AR70"/>
      <c r="AS70"/>
      <c r="AT70"/>
      <c r="AX70"/>
      <c r="AY70"/>
      <c r="AZ70"/>
      <c r="BE70" s="17"/>
      <c r="BF70" s="17"/>
    </row>
    <row r="71" spans="1:58" s="475" customFormat="1" ht="28.5" customHeight="1">
      <c r="A71" s="474"/>
      <c r="B71" s="1698"/>
      <c r="C71" s="742">
        <v>10</v>
      </c>
      <c r="D71" s="742">
        <v>10</v>
      </c>
      <c r="E71" s="742">
        <v>10</v>
      </c>
      <c r="F71" s="794">
        <v>30</v>
      </c>
      <c r="G71" s="743" t="s">
        <v>288</v>
      </c>
      <c r="H71" s="723" t="s">
        <v>284</v>
      </c>
      <c r="I71" s="744">
        <v>70</v>
      </c>
      <c r="J71" s="751">
        <v>100</v>
      </c>
      <c r="K71" s="743" t="s">
        <v>285</v>
      </c>
      <c r="L71" s="723" t="s">
        <v>142</v>
      </c>
      <c r="M71" s="742">
        <v>20</v>
      </c>
      <c r="N71" s="744">
        <v>100</v>
      </c>
      <c r="O71" s="752">
        <v>200</v>
      </c>
      <c r="P71" s="1686"/>
      <c r="Q71"/>
      <c r="R71" s="1698"/>
      <c r="S71" s="742">
        <v>10</v>
      </c>
      <c r="T71" s="742">
        <v>10</v>
      </c>
      <c r="U71" s="742">
        <v>10</v>
      </c>
      <c r="V71" s="794">
        <v>30</v>
      </c>
      <c r="W71" s="743" t="s">
        <v>288</v>
      </c>
      <c r="X71" s="723" t="s">
        <v>284</v>
      </c>
      <c r="Y71" s="744">
        <v>70</v>
      </c>
      <c r="Z71" s="751">
        <v>100</v>
      </c>
      <c r="AA71" s="743" t="s">
        <v>285</v>
      </c>
      <c r="AB71" s="723" t="s">
        <v>142</v>
      </c>
      <c r="AC71" s="742">
        <v>20</v>
      </c>
      <c r="AD71" s="744">
        <v>100</v>
      </c>
      <c r="AE71" s="752">
        <v>200</v>
      </c>
      <c r="AF71" s="1686"/>
      <c r="AQ71" s="17"/>
      <c r="AR71"/>
      <c r="AS71"/>
      <c r="AT71"/>
      <c r="AX71"/>
      <c r="AY71"/>
      <c r="AZ71"/>
      <c r="BE71" s="17"/>
      <c r="BF71" s="17"/>
    </row>
    <row r="72" spans="1:58" s="471" customFormat="1" ht="22.5" customHeight="1">
      <c r="A72" s="469"/>
      <c r="B72" s="716" t="str">
        <f>'Statement of Marks'!$J$3</f>
        <v>Com. Hindi</v>
      </c>
      <c r="C72" s="92">
        <f>IFERROR(VLOOKUP(L65,'Statement of Marks'!$B$8:'Statement of Marks'!$HI$207,9,0),"")</f>
        <v>7</v>
      </c>
      <c r="D72" s="92">
        <f>IFERROR(VLOOKUP(L65,'Statement of Marks'!$B$8:'Statement of Marks'!$HI$207,10,0),"")</f>
        <v>9</v>
      </c>
      <c r="E72" s="92">
        <f>IFERROR(VLOOKUP(L65,'Statement of Marks'!$B$8:'Statement of Marks'!$HI$207,11,0),"")</f>
        <v>8</v>
      </c>
      <c r="F72" s="465">
        <f>IFERROR(VLOOKUP(L65,'Statement of Marks'!$B$8:'Statement of Marks'!$HI$207,12,0),"")</f>
        <v>24</v>
      </c>
      <c r="G72" s="92">
        <f>IFERROR(VLOOKUP(L65,'Statement of Marks'!$B$8:'Statement of Marks'!$HI$207,13,0),"")</f>
        <v>36</v>
      </c>
      <c r="H72" s="92"/>
      <c r="I72" s="793">
        <f>IFERROR(VLOOKUP(L65,'Statement of Marks'!$B$8:'Statement of Marks'!$HI$207,13,0),"")</f>
        <v>36</v>
      </c>
      <c r="J72" s="730">
        <f>IFERROR(IF(AND(L65="",A72="",F72="",I72=""),"",SUM(C72,D72,E72,G72,H72)),"")</f>
        <v>60</v>
      </c>
      <c r="K72" s="92">
        <f>IFERROR(VLOOKUP(L65,'Statement of Marks'!$B$8:'Statement of Marks'!$HI$207,15,0),"")</f>
        <v>63</v>
      </c>
      <c r="L72" s="466"/>
      <c r="M72" s="727"/>
      <c r="N72" s="765">
        <f>IFERROR(VLOOKUP(L65,'Statement of Marks'!$B$8:'Statement of Marks'!$HI$207,15,0),"")</f>
        <v>63</v>
      </c>
      <c r="O72" s="738">
        <f>IFERROR(VLOOKUP(L65,'Statement of Marks'!$B$8:'Statement of Marks'!$HI$207,16,0),"")</f>
        <v>123</v>
      </c>
      <c r="P72" s="728" t="str">
        <f>IFERROR(IF(N72="","",IF(VLOOKUP(L65,'Statement of Marks'!$B$8:'Statement of Marks'!$HI$207,165,0)="D","I",VLOOKUP(L65,'Statement of Marks'!$B$8:'Statement of Marks'!$HI$207,165,0))),"")</f>
        <v>I</v>
      </c>
      <c r="Q72"/>
      <c r="R72" s="716" t="str">
        <f>'Statement of Marks'!$J$3</f>
        <v>Com. Hindi</v>
      </c>
      <c r="S72" s="92">
        <f>IFERROR(VLOOKUP(AB65,'Statement of Marks'!$B$8:'Statement of Marks'!$HI$207,9,0),"")</f>
        <v>10</v>
      </c>
      <c r="T72" s="92">
        <f>IFERROR(VLOOKUP(AB65,'Statement of Marks'!$B$8:'Statement of Marks'!$HI$207,10,0),"")</f>
        <v>9</v>
      </c>
      <c r="U72" s="92">
        <f>IFERROR(VLOOKUP(AB65,'Statement of Marks'!$B$8:'Statement of Marks'!$HI$207,11,0),"")</f>
        <v>8</v>
      </c>
      <c r="V72" s="465">
        <f>IFERROR(VLOOKUP(AB65,'Statement of Marks'!$B$8:'Statement of Marks'!$HI$207,12,0),"")</f>
        <v>27</v>
      </c>
      <c r="W72" s="92">
        <f>IFERROR(VLOOKUP(AB65,'Statement of Marks'!$B$8:'Statement of Marks'!$HI$207,13,0),"")</f>
        <v>42</v>
      </c>
      <c r="X72" s="92"/>
      <c r="Y72" s="793">
        <f>IFERROR(VLOOKUP(AB65,'Statement of Marks'!$B$8:'Statement of Marks'!$HI$207,13,0),"")</f>
        <v>42</v>
      </c>
      <c r="Z72" s="730">
        <f>IFERROR(IF(AND(AB65="",Q72="",V72="",Y72=""),"",SUM(S72,T72,U72,W72,X72)),"")</f>
        <v>69</v>
      </c>
      <c r="AA72" s="92">
        <f>IFERROR(VLOOKUP(AB65,'Statement of Marks'!$B$8:'Statement of Marks'!$HI$207,15,0),"")</f>
        <v>45</v>
      </c>
      <c r="AB72" s="466"/>
      <c r="AC72" s="727"/>
      <c r="AD72" s="765">
        <f>IFERROR(VLOOKUP(AB65,'Statement of Marks'!$B$8:'Statement of Marks'!$HI$207,15,0),"")</f>
        <v>45</v>
      </c>
      <c r="AE72" s="738">
        <f>IFERROR(VLOOKUP(AB65,'Statement of Marks'!$B$8:'Statement of Marks'!$HI$207,16,0),"")</f>
        <v>114</v>
      </c>
      <c r="AF72" s="728" t="str">
        <f>IFERROR(IF(AD72="","",IF(VLOOKUP(AB65,'Statement of Marks'!$B$8:'Statement of Marks'!$HI$207,165,0)="D","I",VLOOKUP(AB65,'Statement of Marks'!$B$8:'Statement of Marks'!$HI$207,165,0))),"")</f>
        <v>II</v>
      </c>
      <c r="AQ72" s="17"/>
      <c r="AR72"/>
      <c r="AS72"/>
      <c r="AT72"/>
      <c r="AX72"/>
      <c r="AY72"/>
      <c r="AZ72"/>
      <c r="BE72" s="17"/>
      <c r="BF72" s="17"/>
    </row>
    <row r="73" spans="1:58" s="471" customFormat="1" ht="22.5" customHeight="1">
      <c r="A73" s="469"/>
      <c r="B73" s="716" t="str">
        <f>'Statement of Marks'!$X$3</f>
        <v>Com. English</v>
      </c>
      <c r="C73" s="92">
        <f>IFERROR(VLOOKUP(L65,'Statement of Marks'!$B$8:'Statement of Marks'!$HI$207,23,0),"")</f>
        <v>9</v>
      </c>
      <c r="D73" s="92">
        <f>IFERROR(VLOOKUP(L65,'Statement of Marks'!$B$8:'Statement of Marks'!$HI$207,24,0),"")</f>
        <v>5</v>
      </c>
      <c r="E73" s="92">
        <f>IFERROR(VLOOKUP(L65,'Statement of Marks'!$B$8:'Statement of Marks'!$HI$207,25,0),"")</f>
        <v>9</v>
      </c>
      <c r="F73" s="465">
        <f>IFERROR(VLOOKUP(L65,'Statement of Marks'!$B$8:'Statement of Marks'!$HI$207,26,0),"")</f>
        <v>23</v>
      </c>
      <c r="G73" s="92">
        <f>IFERROR(VLOOKUP(L65,'Statement of Marks'!$B$8:'Statement of Marks'!$HI$207,27,0),"")</f>
        <v>47</v>
      </c>
      <c r="H73" s="92"/>
      <c r="I73" s="793">
        <f>IFERROR(VLOOKUP(L65,'Statement of Marks'!$B$8:'Statement of Marks'!$HI$207,27,0),"")</f>
        <v>47</v>
      </c>
      <c r="J73" s="730">
        <f>IFERROR(IF(AND(L65="",A73="",F73="",I73=""),"",SUM(C73,D73,E73,G73,H73)),"")</f>
        <v>70</v>
      </c>
      <c r="K73" s="92">
        <f>IFERROR(VLOOKUP(L65,'Statement of Marks'!$B$8:'Statement of Marks'!$HI$207,29,0),"")</f>
        <v>63</v>
      </c>
      <c r="L73" s="466"/>
      <c r="M73" s="727"/>
      <c r="N73" s="765">
        <f>IFERROR(VLOOKUP(L65,'Statement of Marks'!$B$8:'Statement of Marks'!$HI$207,29,0),"")</f>
        <v>63</v>
      </c>
      <c r="O73" s="738">
        <f>IFERROR(VLOOKUP(L65,'Statement of Marks'!$B$8:'Statement of Marks'!$HI$207,30,0),"")</f>
        <v>133</v>
      </c>
      <c r="P73" s="728" t="str">
        <f>IFERROR(IF(O73="","",IF(VLOOKUP(L65,'Statement of Marks'!$B$8:'Statement of Marks'!$HI$207,168,0)="D","I",VLOOKUP(L65,'Statement of Marks'!$B$8:'Statement of Marks'!$HI$207,168,0))),"")</f>
        <v>I</v>
      </c>
      <c r="Q73"/>
      <c r="R73" s="716" t="str">
        <f>'Statement of Marks'!$X$3</f>
        <v>Com. English</v>
      </c>
      <c r="S73" s="92">
        <f>IFERROR(VLOOKUP(AB65,'Statement of Marks'!$B$8:'Statement of Marks'!$HI$207,23,0),"")</f>
        <v>10</v>
      </c>
      <c r="T73" s="92">
        <f>IFERROR(VLOOKUP(AB65,'Statement of Marks'!$B$8:'Statement of Marks'!$HI$207,24,0),"")</f>
        <v>9</v>
      </c>
      <c r="U73" s="92">
        <f>IFERROR(VLOOKUP(AB65,'Statement of Marks'!$B$8:'Statement of Marks'!$HI$207,25,0),"")</f>
        <v>9</v>
      </c>
      <c r="V73" s="465">
        <f>IFERROR(VLOOKUP(AB65,'Statement of Marks'!$B$8:'Statement of Marks'!$HI$207,26,0),"")</f>
        <v>28</v>
      </c>
      <c r="W73" s="92">
        <f>IFERROR(VLOOKUP(AB65,'Statement of Marks'!$B$8:'Statement of Marks'!$HI$207,27,0),"")</f>
        <v>46</v>
      </c>
      <c r="X73" s="92"/>
      <c r="Y73" s="793">
        <f>IFERROR(VLOOKUP(AB65,'Statement of Marks'!$B$8:'Statement of Marks'!$HI$207,27,0),"")</f>
        <v>46</v>
      </c>
      <c r="Z73" s="730">
        <f>IFERROR(IF(AND(AB65="",Q73="",V73="",Y73=""),"",SUM(S73,T73,U73,W73,X73)),"")</f>
        <v>74</v>
      </c>
      <c r="AA73" s="92">
        <f>IFERROR(VLOOKUP(AB65,'Statement of Marks'!$B$8:'Statement of Marks'!$HI$207,29,0),"")</f>
        <v>65</v>
      </c>
      <c r="AB73" s="466"/>
      <c r="AC73" s="727"/>
      <c r="AD73" s="765">
        <f>IFERROR(VLOOKUP(AB65,'Statement of Marks'!$B$8:'Statement of Marks'!$HI$207,29,0),"")</f>
        <v>65</v>
      </c>
      <c r="AE73" s="738">
        <f>IFERROR(VLOOKUP(AB65,'Statement of Marks'!$B$8:'Statement of Marks'!$HI$207,30,0),"")</f>
        <v>139</v>
      </c>
      <c r="AF73" s="728" t="str">
        <f>IFERROR(IF(AE73="","",IF(VLOOKUP(AB65,'Statement of Marks'!$B$8:'Statement of Marks'!$HI$207,168,0)="D","I",VLOOKUP(AB65,'Statement of Marks'!$B$8:'Statement of Marks'!$HI$207,168,0))),"")</f>
        <v>I</v>
      </c>
      <c r="AQ73" s="17"/>
      <c r="AR73"/>
      <c r="AS73"/>
      <c r="AT73"/>
      <c r="AU73" s="17" t="str">
        <f>IFERROR(VLOOKUP(L65,'Statement of Marks'!$B$8:'Statement of Marks'!$HI$207,37,0),"")</f>
        <v>B</v>
      </c>
      <c r="AV73" s="17" t="str">
        <f>IFERROR(VLOOKUP(AB65,'Statement of Marks'!$B$8:'Statement of Marks'!$HI$207,37,0),"")</f>
        <v>A</v>
      </c>
      <c r="AX73"/>
      <c r="AY73"/>
      <c r="AZ73"/>
      <c r="BE73" s="17" t="str">
        <f>IFERROR(IF(VLOOKUP(AB65,'Statement of Marks'!$B$7:'Statement of Marks'!$IC$206,206,0)="By Grace Pass","By Grace Pass and Promoted to Class 12th",IF(VLOOKUP(AB65,'Statement of Marks'!$B$7:'Statement of Marks'!$IC$206,206,0)="PASS","PASS  and Promoted to Class 12th",IF(VLOOKUP(AB65,'Statement of Marks'!$B$7:'Statement of Marks'!$IC$206,206,0)="SUPPLEMENTARY","Supplementary",IF(VLOOKUP(AB65,'Statement of Marks'!$B$7:'Statement of Marks'!$IC$206,206,0)="Re-Exam","RE-EXAM",IF(VLOOKUP(AB65,'Statement of Marks'!$B$7:'Statement of Marks'!$IC$206,206,0)="FAIL","FAIL",""))))),"")</f>
        <v>PASS  and Promoted to Class 12th</v>
      </c>
      <c r="BF73" s="17" t="str">
        <f>IFERROR(IF(VLOOKUP(L65,'Statement of Marks'!$B$7:'Statement of Marks'!$IC$206,206,0)="By Grace Pass","By Grace Pass and Promoted to Class 12th",IF(VLOOKUP(L65,'Statement of Marks'!$B$7:'Statement of Marks'!$IC$206,206,0)="PASS","PASS  and Promoted to Class 12th",IF(VLOOKUP(L65,'Statement of Marks'!$B$7:'Statement of Marks'!$IC$206,206,0)="SUPPLEMENTARY","Supplementary",IF(VLOOKUP(L65,'Statement of Marks'!$B$7:'Statement of Marks'!$IC$206,206,0)="Re-Exam","RE-EXAM",IF(VLOOKUP(L65,'Statement of Marks'!$B$7:'Statement of Marks'!$IC$206,206,0)="FAIL","FAIL",""))))),"")</f>
        <v>PASS  and Promoted to Class 12th</v>
      </c>
    </row>
    <row r="74" spans="1:58" s="471" customFormat="1" ht="22.5" customHeight="1">
      <c r="A74" s="469"/>
      <c r="B74" s="477" t="str">
        <f>IFERROR(IF(AND(AU73="A"),'Marks Entry'!$U$2,IF(AND(AU73="B"),'Marks Entry'!$Y$2,IF(AND(AU73="C"),'Marks Entry'!$AA$2,""))),"")</f>
        <v>BIOLOGY</v>
      </c>
      <c r="C74" s="92">
        <f>IFERROR(VLOOKUP(L65,'Statement of Marks'!$B$8:'Statement of Marks'!$HI$207,38,0),"")</f>
        <v>7</v>
      </c>
      <c r="D74" s="92">
        <f>IFERROR(VLOOKUP(L65,'Statement of Marks'!$B$8:'Statement of Marks'!$HI$207,39,0),"")</f>
        <v>9</v>
      </c>
      <c r="E74" s="92">
        <f>IFERROR(VLOOKUP(L65,'Statement of Marks'!$B$8:'Statement of Marks'!$HI$207,40,0),"")</f>
        <v>7</v>
      </c>
      <c r="F74" s="465">
        <f>IFERROR(VLOOKUP(L65,'Statement of Marks'!$B$8:'Statement of Marks'!$HI$207,41,0),"")</f>
        <v>23</v>
      </c>
      <c r="G74" s="92">
        <f>IFERROR(VLOOKUP(L65,'Statement of Marks'!$B$8:'Statement of Marks'!$HI$207,42,0),"")</f>
        <v>22</v>
      </c>
      <c r="H74" s="92">
        <f>IFERROR(VLOOKUP(L65,'Statement of Marks'!$B$8:'Statement of Marks'!$HI$207,43,0),"")</f>
        <v>9</v>
      </c>
      <c r="I74" s="793">
        <f>IFERROR(VLOOKUP(L65,'Statement of Marks'!$B$8:'Statement of Marks'!$HI$207,44,0),"")</f>
        <v>31</v>
      </c>
      <c r="J74" s="730">
        <f>IFERROR(IF(AND(L65="",A74="",F74="",I74=""),"",SUM(C74,D74,E74,G74,H74)),"")</f>
        <v>54</v>
      </c>
      <c r="K74" s="92">
        <f>IFERROR(VLOOKUP(L65,'Statement of Marks'!$B$8:'Statement of Marks'!$HI$207,46,0),"")</f>
        <v>56</v>
      </c>
      <c r="L74" s="92">
        <f>IFERROR(VLOOKUP(L65,'Statement of Marks'!$B$8:'Statement of Marks'!$HI$207,47,0),"")</f>
        <v>18</v>
      </c>
      <c r="M74" s="727"/>
      <c r="N74" s="765">
        <f>IFERROR(VLOOKUP(L65,'Statement of Marks'!$B$8:'Statement of Marks'!$HI$207,48,0),"")</f>
        <v>74</v>
      </c>
      <c r="O74" s="738">
        <f>IFERROR(VLOOKUP(L65,'Statement of Marks'!$B$8:'Statement of Marks'!$HI$207,51,0),"")</f>
        <v>128</v>
      </c>
      <c r="P74" s="728" t="str">
        <f>IFERROR(IF(O74="","",IF(VLOOKUP(L65,'Statement of Marks'!$B$8:'Statement of Marks'!$HI$207,171,0)="D","I",VLOOKUP(L65,'Statement of Marks'!$B$8:'Statement of Marks'!$HI$207,171,0))),"")</f>
        <v>I</v>
      </c>
      <c r="Q74"/>
      <c r="R74" s="477" t="str">
        <f>IFERROR(IF(AND(AV73="A"),'Marks Entry'!$U$2,IF(AND(AV73="B"),'Marks Entry'!$Y$2,IF(AND(AV73="C"),'Marks Entry'!$AA$2,""))),"")</f>
        <v>POLITICAL SCIENCE</v>
      </c>
      <c r="S74" s="92">
        <f>IFERROR(VLOOKUP(AB65,'Statement of Marks'!$B$8:'Statement of Marks'!$HI$207,38,0),"")</f>
        <v>10</v>
      </c>
      <c r="T74" s="92">
        <f>IFERROR(VLOOKUP(AB65,'Statement of Marks'!$B$8:'Statement of Marks'!$HI$207,39,0),"")</f>
        <v>10</v>
      </c>
      <c r="U74" s="92">
        <f>IFERROR(VLOOKUP(AB65,'Statement of Marks'!$B$8:'Statement of Marks'!$HI$207,40,0),"")</f>
        <v>7</v>
      </c>
      <c r="V74" s="465">
        <f>IFERROR(VLOOKUP(AB65,'Statement of Marks'!$B$8:'Statement of Marks'!$HI$207,41,0),"")</f>
        <v>27</v>
      </c>
      <c r="W74" s="92">
        <f>IFERROR(VLOOKUP(AB65,'Statement of Marks'!$B$8:'Statement of Marks'!$HI$207,42,0),"")</f>
        <v>20</v>
      </c>
      <c r="X74" s="92" t="str">
        <f>IFERROR(VLOOKUP(AB65,'Statement of Marks'!$B$8:'Statement of Marks'!$HI$207,43,0),"")</f>
        <v/>
      </c>
      <c r="Y74" s="793">
        <f>IFERROR(VLOOKUP(AB65,'Statement of Marks'!$B$8:'Statement of Marks'!$HI$207,44,0),"")</f>
        <v>20</v>
      </c>
      <c r="Z74" s="730">
        <f>IFERROR(IF(AND(AB65="",Q74="",V74="",Y74=""),"",SUM(S74,T74,U74,W74,X74)),"")</f>
        <v>47</v>
      </c>
      <c r="AA74" s="92">
        <f>IFERROR(VLOOKUP(AB65,'Statement of Marks'!$B$8:'Statement of Marks'!$HI$207,46,0),"")</f>
        <v>25</v>
      </c>
      <c r="AB74" s="92" t="str">
        <f>IFERROR(VLOOKUP(AB65,'Statement of Marks'!$B$8:'Statement of Marks'!$HI$207,47,0),"")</f>
        <v/>
      </c>
      <c r="AC74" s="727"/>
      <c r="AD74" s="765">
        <f>IFERROR(VLOOKUP(AB65,'Statement of Marks'!$B$8:'Statement of Marks'!$HI$207,48,0),"")</f>
        <v>25</v>
      </c>
      <c r="AE74" s="738">
        <f>IFERROR(VLOOKUP(AB65,'Statement of Marks'!$B$8:'Statement of Marks'!$HI$207,51,0),"")</f>
        <v>72</v>
      </c>
      <c r="AF74" s="728" t="str">
        <f>IFERROR(IF(AE74="","",IF(VLOOKUP(AB65,'Statement of Marks'!$B$8:'Statement of Marks'!$HI$207,171,0)="D","I",VLOOKUP(AB65,'Statement of Marks'!$B$8:'Statement of Marks'!$HI$207,171,0))),"")</f>
        <v>III</v>
      </c>
      <c r="AQ74" s="17"/>
      <c r="AR74"/>
      <c r="AS74"/>
      <c r="AT74"/>
      <c r="AU74" s="17" t="str">
        <f>IFERROR(VLOOKUP(L65,'Statement of Marks'!$B$8:'Statement of Marks'!$HI$207,60,0),"")</f>
        <v>B</v>
      </c>
      <c r="AV74" s="17" t="str">
        <f>IFERROR(VLOOKUP(AB65,'Statement of Marks'!$B$8:'Statement of Marks'!$HI$207,60,0),"")</f>
        <v>C</v>
      </c>
      <c r="AX74"/>
      <c r="AY74"/>
      <c r="AZ74"/>
      <c r="BE74" s="17" t="str">
        <f>IFERROR(IF(VLOOKUP(AB65,'Statement of Marks'!$B$7:'Statement of Marks'!$IC$206,206,0)="By Grace Pass","सानुग्रह उतीर्ण एवं कक्षा 12 में क्रमोन्नत",IF(VLOOKUP(AB65,'Statement of Marks'!$B$7:'Statement of Marks'!$IC$206,206,0)="PASS","उतीर्ण एवं कक्षा 12 में क्रमोन्नत",IF(VLOOKUP(AB65,'Statement of Marks'!$B$7:'Statement of Marks'!$IC$206,206,0)="SUPPLEMENTARY","पूरक",IF(VLOOKUP(AB65,'Statement of Marks'!$B$7:'Statement of Marks'!$IC$206,206,0)="Re-Exam","पुनः परीक्षा",IF(VLOOKUP(AB65,'Statement of Marks'!$B$7:'Statement of Marks'!$IC$206,206,0)="FAIL","अनुतीर्ण",""))))),"")</f>
        <v>उतीर्ण एवं कक्षा 12 में क्रमोन्नत</v>
      </c>
      <c r="BF74" s="17" t="str">
        <f>IFERROR(IF(VLOOKUP(L65,'Statement of Marks'!$B$7:'Statement of Marks'!$IC$206,206,0)="By Grace Pass","सानुग्रह उतीर्ण एवं कक्षा 12 में क्रमोन्नत",IF(VLOOKUP(L65,'Statement of Marks'!$B$7:'Statement of Marks'!$IC$206,206,0)="PASS","उतीर्ण एवं कक्षा 12 में क्रमोन्नत",IF(VLOOKUP(L65,'Statement of Marks'!$B$7:'Statement of Marks'!$IC$206,206,0)="SUPPLEMENTARY","पूरक",IF(VLOOKUP(L65,'Statement of Marks'!$B$7:'Statement of Marks'!$IC$206,206,0)="Re-Exam","पुनः परीक्षा",IF(VLOOKUP(L65,'Statement of Marks'!$B$7:'Statement of Marks'!$IC$206,206,0)="FAIL","अनुतीर्ण",""))))),"")</f>
        <v>उतीर्ण एवं कक्षा 12 में क्रमोन्नत</v>
      </c>
    </row>
    <row r="75" spans="1:58" s="471" customFormat="1" ht="22.5" customHeight="1">
      <c r="A75" s="469"/>
      <c r="B75" s="477" t="str">
        <f>IFERROR(IF(AND(AU74="A"),'Marks Entry'!$AC$2,IF(AND(AU74="B"),'Marks Entry'!$AG$2,IF(AND(AU74="C"),'Marks Entry'!$AI$2,""))),"")</f>
        <v>ACCOUNTANCY</v>
      </c>
      <c r="C75" s="92">
        <f>IFERROR(VLOOKUP(L65,'Statement of Marks'!$B$8:'Statement of Marks'!$HI$207,61,0),"")</f>
        <v>7</v>
      </c>
      <c r="D75" s="92">
        <f>IFERROR(VLOOKUP(L65,'Statement of Marks'!$B$8:'Statement of Marks'!$HI$207,62,0),"")</f>
        <v>9</v>
      </c>
      <c r="E75" s="92">
        <f>IFERROR(VLOOKUP(L65,'Statement of Marks'!$B$8:'Statement of Marks'!$HI$207,63,0),"")</f>
        <v>4</v>
      </c>
      <c r="F75" s="465">
        <f>IFERROR(VLOOKUP(L65,'Statement of Marks'!$B$8:'Statement of Marks'!$HI$207,64,0),"")</f>
        <v>20</v>
      </c>
      <c r="G75" s="92">
        <f>IFERROR(VLOOKUP(L65,'Statement of Marks'!$B$8:'Statement of Marks'!$HI$207,65,0),"")</f>
        <v>30</v>
      </c>
      <c r="H75" s="92">
        <f>IFERROR(VLOOKUP(L65,'Statement of Marks'!$B$8:'Statement of Marks'!$HI$207,66,0),"")</f>
        <v>12</v>
      </c>
      <c r="I75" s="793">
        <f>IFERROR(VLOOKUP(L65,'Statement of Marks'!$B$8:'Statement of Marks'!$HI$207,67,0),"")</f>
        <v>42</v>
      </c>
      <c r="J75" s="730">
        <f>IFERROR(IF(AND(L65="",A75="",F75="",I75=""),"",SUM(C75,D75,E75,G75,H75)),"")</f>
        <v>62</v>
      </c>
      <c r="K75" s="92">
        <f>IFERROR(VLOOKUP(L65,'Statement of Marks'!$B$8:'Statement of Marks'!$HI$207,69,0),"")</f>
        <v>58</v>
      </c>
      <c r="L75" s="92">
        <f>IFERROR(VLOOKUP(L65,'Statement of Marks'!$B$8:'Statement of Marks'!$HI$207,70,0),"")</f>
        <v>16</v>
      </c>
      <c r="M75" s="727"/>
      <c r="N75" s="765">
        <f>IFERROR(VLOOKUP(L65,'Statement of Marks'!$B$8:'Statement of Marks'!$HI$207,71,0),"")</f>
        <v>74</v>
      </c>
      <c r="O75" s="738">
        <f>IFERROR(VLOOKUP(L65,'Statement of Marks'!$B$8:'Statement of Marks'!$HI$207,74,0),"")</f>
        <v>136</v>
      </c>
      <c r="P75" s="728" t="str">
        <f>IFERROR(IF(O75="","",IF(VLOOKUP(L65,'Statement of Marks'!$B$8:'Statement of Marks'!$HI$207,178,0)="D","I",VLOOKUP(L65,'Statement of Marks'!$B$8:'Statement of Marks'!$HI$207,178,0))),"")</f>
        <v>I</v>
      </c>
      <c r="Q75"/>
      <c r="R75" s="477" t="str">
        <f>IFERROR(IF(AND(AV74="A"),'Marks Entry'!$AC$2,IF(AND(AV74="B"),'Marks Entry'!$AG$2,IF(AND(AV74="C"),'Marks Entry'!$AI$2,""))),"")</f>
        <v>ECONOMICS</v>
      </c>
      <c r="S75" s="92">
        <f>IFERROR(VLOOKUP(AB65,'Statement of Marks'!$B$8:'Statement of Marks'!$HI$207,61,0),"")</f>
        <v>10</v>
      </c>
      <c r="T75" s="92">
        <f>IFERROR(VLOOKUP(AB65,'Statement of Marks'!$B$8:'Statement of Marks'!$HI$207,62,0),"")</f>
        <v>10</v>
      </c>
      <c r="U75" s="92">
        <f>IFERROR(VLOOKUP(AB65,'Statement of Marks'!$B$8:'Statement of Marks'!$HI$207,63,0),"")</f>
        <v>5</v>
      </c>
      <c r="V75" s="465">
        <f>IFERROR(VLOOKUP(AB65,'Statement of Marks'!$B$8:'Statement of Marks'!$HI$207,64,0),"")</f>
        <v>25</v>
      </c>
      <c r="W75" s="92">
        <f>IFERROR(VLOOKUP(AB65,'Statement of Marks'!$B$8:'Statement of Marks'!$HI$207,65,0),"")</f>
        <v>41</v>
      </c>
      <c r="X75" s="92" t="str">
        <f>IFERROR(VLOOKUP(AB65,'Statement of Marks'!$B$8:'Statement of Marks'!$HI$207,66,0),"")</f>
        <v/>
      </c>
      <c r="Y75" s="793">
        <f>IFERROR(VLOOKUP(AB65,'Statement of Marks'!$B$8:'Statement of Marks'!$HI$207,67,0),"")</f>
        <v>41</v>
      </c>
      <c r="Z75" s="730">
        <f>IFERROR(IF(AND(AB65="",Q75="",V75="",Y75=""),"",SUM(S75,T75,U75,W75,X75)),"")</f>
        <v>66</v>
      </c>
      <c r="AA75" s="92">
        <f>IFERROR(VLOOKUP(AB65,'Statement of Marks'!$B$8:'Statement of Marks'!$HI$207,69,0),"")</f>
        <v>60</v>
      </c>
      <c r="AB75" s="92" t="str">
        <f>IFERROR(VLOOKUP(AB65,'Statement of Marks'!$B$8:'Statement of Marks'!$HI$207,70,0),"")</f>
        <v/>
      </c>
      <c r="AC75" s="727"/>
      <c r="AD75" s="765">
        <f>IFERROR(VLOOKUP(AB65,'Statement of Marks'!$B$8:'Statement of Marks'!$HI$207,71,0),"")</f>
        <v>60</v>
      </c>
      <c r="AE75" s="738">
        <f>IFERROR(VLOOKUP(AB65,'Statement of Marks'!$B$8:'Statement of Marks'!$HI$207,74,0),"")</f>
        <v>126</v>
      </c>
      <c r="AF75" s="728" t="str">
        <f>IFERROR(IF(AE75="","",IF(VLOOKUP(AB65,'Statement of Marks'!$B$8:'Statement of Marks'!$HI$207,178,0)="D","I",VLOOKUP(AB65,'Statement of Marks'!$B$8:'Statement of Marks'!$HI$207,178,0))),"")</f>
        <v>I</v>
      </c>
      <c r="AQ75" s="17"/>
      <c r="AR75"/>
      <c r="AS75"/>
      <c r="AT75"/>
      <c r="AU75" s="17" t="str">
        <f>IFERROR(VLOOKUP(L65,'Statement of Marks'!$B$8:'Statement of Marks'!$HI$207,83,0),"")</f>
        <v>A</v>
      </c>
      <c r="AV75" s="17" t="str">
        <f>IFERROR(VLOOKUP(AB65,'Statement of Marks'!$B$8:'Statement of Marks'!$HI$207,83,0),"")</f>
        <v>A</v>
      </c>
      <c r="AX75"/>
      <c r="AY75"/>
      <c r="AZ75"/>
      <c r="BE75" s="17" t="str">
        <f>IF('Master Sheet'!$D$11="Hindi",BE74,BE73)</f>
        <v>उतीर्ण एवं कक्षा 12 में क्रमोन्नत</v>
      </c>
      <c r="BF75" s="17" t="str">
        <f>IF('Master Sheet'!$D$11="Hindi",BF74,BF73)</f>
        <v>उतीर्ण एवं कक्षा 12 में क्रमोन्नत</v>
      </c>
    </row>
    <row r="76" spans="1:58" s="471" customFormat="1" ht="22.5" customHeight="1">
      <c r="A76" s="469"/>
      <c r="B76" s="477" t="str">
        <f>IFERROR(IF(AND(AU75="A"),'Marks Entry'!$AK$2,IF(AND(AU75="B"),'Marks Entry'!$AO$2,IF(AND(AU75="C"),'Marks Entry'!$AQ$2,""))),"")</f>
        <v>GEOGRAPHY</v>
      </c>
      <c r="C76" s="92">
        <f>IFERROR(VLOOKUP(L65,'Statement of Marks'!$B$8:'Statement of Marks'!$HI$207,84,0),"")</f>
        <v>8</v>
      </c>
      <c r="D76" s="92">
        <f>IFERROR(VLOOKUP(L65,'Statement of Marks'!$B$8:'Statement of Marks'!$HI$207,85,0),"")</f>
        <v>8</v>
      </c>
      <c r="E76" s="92">
        <f>IFERROR(VLOOKUP(L65,'Statement of Marks'!$B$8:'Statement of Marks'!$HI$207,86,0),"")</f>
        <v>8</v>
      </c>
      <c r="F76" s="465">
        <f>IFERROR(VLOOKUP(L65,'Statement of Marks'!$B$8:'Statement of Marks'!$HI$207,87,0),"")</f>
        <v>24</v>
      </c>
      <c r="G76" s="92">
        <f>IFERROR(VLOOKUP(L65,'Statement of Marks'!$B$8:'Statement of Marks'!$HI$207,88,0),"")</f>
        <v>44</v>
      </c>
      <c r="H76" s="92">
        <f>IFERROR(VLOOKUP(L65,'Statement of Marks'!$B$8:'Statement of Marks'!$HI$207,89,0),"")</f>
        <v>16</v>
      </c>
      <c r="I76" s="793">
        <f>IFERROR(VLOOKUP(L65,'Statement of Marks'!$B$8:'Statement of Marks'!$HI$207,90,0),"")</f>
        <v>60</v>
      </c>
      <c r="J76" s="730">
        <f>IFERROR(IF(AND(L65="",A76="",F76="",I76=""),"",SUM(C76,D76,E76,G76,H76)),"")</f>
        <v>84</v>
      </c>
      <c r="K76" s="92">
        <f>IFERROR(VLOOKUP(L65,'Statement of Marks'!$B$8:'Statement of Marks'!$HI$207,92,0),"")</f>
        <v>60</v>
      </c>
      <c r="L76" s="92">
        <f>IFERROR(VLOOKUP(L65,'Statement of Marks'!$B$8:'Statement of Marks'!$HI$207,93,0),"")</f>
        <v>22</v>
      </c>
      <c r="M76" s="727"/>
      <c r="N76" s="765">
        <f>IFERROR(VLOOKUP(L65,'Statement of Marks'!$B$8:'Statement of Marks'!$HI$207,94,0),"")</f>
        <v>82</v>
      </c>
      <c r="O76" s="738">
        <f>IFERROR(VLOOKUP(L65,'Statement of Marks'!$B$8:'Statement of Marks'!$HI$207,97,0),"")</f>
        <v>166</v>
      </c>
      <c r="P76" s="728" t="str">
        <f>IFERROR(IF(O76="","",IF(VLOOKUP(L65,'Statement of Marks'!$B$8:'Statement of Marks'!$HI$207,185,0)="D","I",VLOOKUP(L65,'Statement of Marks'!$B$8:'Statement of Marks'!$HI$207,185,0))),"")</f>
        <v>I</v>
      </c>
      <c r="Q76"/>
      <c r="R76" s="477" t="str">
        <f>IFERROR(IF(AND(AV75="A"),'Marks Entry'!$AK$2,IF(AND(AV75="B"),'Marks Entry'!$AO$2,IF(AND(AV75="C"),'Marks Entry'!$AQ$2,""))),"")</f>
        <v>GEOGRAPHY</v>
      </c>
      <c r="S76" s="92">
        <f>IFERROR(VLOOKUP(AB65,'Statement of Marks'!$B$8:'Statement of Marks'!$HI$207,84,0),"")</f>
        <v>5</v>
      </c>
      <c r="T76" s="92">
        <f>IFERROR(VLOOKUP(AB65,'Statement of Marks'!$B$8:'Statement of Marks'!$HI$207,85,0),"")</f>
        <v>5</v>
      </c>
      <c r="U76" s="92">
        <f>IFERROR(VLOOKUP(AB65,'Statement of Marks'!$B$8:'Statement of Marks'!$HI$207,86,0),"")</f>
        <v>5</v>
      </c>
      <c r="V76" s="465">
        <f>IFERROR(VLOOKUP(AB65,'Statement of Marks'!$B$8:'Statement of Marks'!$HI$207,87,0),"")</f>
        <v>15</v>
      </c>
      <c r="W76" s="92">
        <f>IFERROR(VLOOKUP(AB65,'Statement of Marks'!$B$8:'Statement of Marks'!$HI$207,88,0),"")</f>
        <v>25</v>
      </c>
      <c r="X76" s="92">
        <f>IFERROR(VLOOKUP(AB65,'Statement of Marks'!$B$8:'Statement of Marks'!$HI$207,89,0),"")</f>
        <v>15</v>
      </c>
      <c r="Y76" s="793">
        <f>IFERROR(VLOOKUP(AB65,'Statement of Marks'!$B$8:'Statement of Marks'!$HI$207,90,0),"")</f>
        <v>40</v>
      </c>
      <c r="Z76" s="730">
        <f>IFERROR(IF(AND(AB65="",Q76="",V76="",Y76=""),"",SUM(S76,T76,U76,W76,X76)),"")</f>
        <v>55</v>
      </c>
      <c r="AA76" s="92">
        <f>IFERROR(VLOOKUP(AB65,'Statement of Marks'!$B$8:'Statement of Marks'!$HI$207,92,0),"")</f>
        <v>35</v>
      </c>
      <c r="AB76" s="92">
        <f>IFERROR(VLOOKUP(AB65,'Statement of Marks'!$B$8:'Statement of Marks'!$HI$207,93,0),"")</f>
        <v>20</v>
      </c>
      <c r="AC76" s="727"/>
      <c r="AD76" s="765">
        <f>IFERROR(VLOOKUP(AB65,'Statement of Marks'!$B$8:'Statement of Marks'!$HI$207,94,0),"")</f>
        <v>55</v>
      </c>
      <c r="AE76" s="738">
        <f>IFERROR(VLOOKUP(AB65,'Statement of Marks'!$B$8:'Statement of Marks'!$HI$207,97,0),"")</f>
        <v>110</v>
      </c>
      <c r="AF76" s="728" t="str">
        <f>IFERROR(IF(AE76="","",IF(VLOOKUP(AB65,'Statement of Marks'!$B$8:'Statement of Marks'!$HI$207,185,0)="D","I",VLOOKUP(AB65,'Statement of Marks'!$B$8:'Statement of Marks'!$HI$207,185,0))),"")</f>
        <v>II</v>
      </c>
      <c r="AQ76" s="17"/>
      <c r="AR76"/>
      <c r="AS76"/>
      <c r="AT76"/>
      <c r="AU76" s="471" t="s">
        <v>286</v>
      </c>
      <c r="AV76" s="471" t="s">
        <v>286</v>
      </c>
      <c r="AX76"/>
      <c r="AY76"/>
      <c r="AZ76"/>
      <c r="BE76" s="17"/>
      <c r="BF76" s="17"/>
    </row>
    <row r="77" spans="1:58" s="471" customFormat="1" ht="19.5" customHeight="1">
      <c r="A77" s="469"/>
      <c r="B77" s="1687" t="str">
        <f>IF('Master Sheet'!$D$11="Hindi","व्यावसायिक शिक्षा / अतिरिक्त विषय","Vocational Education / Additional Subject")</f>
        <v>व्यावसायिक शिक्षा / अतिरिक्त विषय</v>
      </c>
      <c r="C77" s="1687"/>
      <c r="D77" s="1687"/>
      <c r="E77" s="1687"/>
      <c r="F77" s="1687"/>
      <c r="G77" s="1687"/>
      <c r="H77" s="1687"/>
      <c r="I77" s="1687"/>
      <c r="J77" s="1687"/>
      <c r="K77" s="1687"/>
      <c r="L77" s="1687"/>
      <c r="M77" s="1687"/>
      <c r="N77" s="1687"/>
      <c r="O77" s="1687"/>
      <c r="P77" s="1687"/>
      <c r="Q77"/>
      <c r="R77" s="1687" t="str">
        <f>IF('Master Sheet'!$D$11="Hindi","व्यावसायिक शिक्षा / अतिरिक्त विषय","Vocational Education / Additional Subject")</f>
        <v>व्यावसायिक शिक्षा / अतिरिक्त विषय</v>
      </c>
      <c r="S77" s="1687"/>
      <c r="T77" s="1687"/>
      <c r="U77" s="1687"/>
      <c r="V77" s="1687"/>
      <c r="W77" s="1687"/>
      <c r="X77" s="1687"/>
      <c r="Y77" s="1687"/>
      <c r="Z77" s="1687"/>
      <c r="AA77" s="1687"/>
      <c r="AB77" s="1687"/>
      <c r="AC77" s="1687"/>
      <c r="AD77" s="1687"/>
      <c r="AE77" s="1687"/>
      <c r="AF77" s="1687"/>
      <c r="AQ77" s="17"/>
      <c r="AR77"/>
      <c r="AS77"/>
      <c r="AT77"/>
      <c r="AX77"/>
      <c r="AY77"/>
      <c r="AZ77"/>
      <c r="BE77" s="17"/>
      <c r="BF77" s="17"/>
    </row>
    <row r="78" spans="1:58" s="471" customFormat="1" ht="22.5" customHeight="1">
      <c r="A78" s="469"/>
      <c r="B78" s="477" t="str">
        <f>IFERROR(IF(AND(AU78="A"),'Marks Entry'!$AS$2,IF(AND(AU78="B"),'Marks Entry'!$AW$2,IF(AND(AU78="C"),'Marks Entry'!$AY$2,""))),"")</f>
        <v>TOURISM AND TRAVEL</v>
      </c>
      <c r="C78" s="748" t="str">
        <f>IFERROR(VLOOKUP(L65,'Statement of Marks'!$B$8:'Statement of Marks'!$HI$207,108,0),"")</f>
        <v/>
      </c>
      <c r="D78" s="748" t="str">
        <f>IFERROR(VLOOKUP(L65,'Statement of Marks'!$B$8:'Statement of Marks'!$HI$207,109,0),"")</f>
        <v/>
      </c>
      <c r="E78" s="748" t="str">
        <f>IFERROR(VLOOKUP(L65,'Statement of Marks'!$B$8:'Statement of Marks'!$HI$207,110,0),"")</f>
        <v/>
      </c>
      <c r="F78" s="748" t="str">
        <f>IFERROR(VLOOKUP(L65,'Statement of Marks'!$B$8:'Statement of Marks'!$HI$207,111,0),"")</f>
        <v/>
      </c>
      <c r="G78" s="750" t="str">
        <f>IFERROR(VLOOKUP(L65,'Statement of Marks'!$B$8:'Statement of Marks'!$HI$207,112,0),"")</f>
        <v/>
      </c>
      <c r="H78" s="750" t="str">
        <f>IFERROR(VLOOKUP(L65,'Statement of Marks'!$B$8:'Statement of Marks'!$HI$207,113,0),"")</f>
        <v/>
      </c>
      <c r="I78" s="754" t="str">
        <f>IFERROR(VLOOKUP(L65,'Statement of Marks'!$B$8:'Statement of Marks'!$HI$207,114,0),"")</f>
        <v/>
      </c>
      <c r="J78" s="749" t="str">
        <f>IFERROR(IF(OR(L65="",A78="",F78="",I78=""),"",SUM(C78,D78,E78,G78,H78)),"")</f>
        <v/>
      </c>
      <c r="K78" s="748">
        <f>IFERROR(VLOOKUP(L65,'Statement of Marks'!$B$8:'Statement of Marks'!$HI$207,116,0),"")</f>
        <v>27</v>
      </c>
      <c r="L78" s="748">
        <f>IFERROR(VLOOKUP(L65,'Statement of Marks'!$B$8:'Statement of Marks'!$HI$207,118,0),"")</f>
        <v>46</v>
      </c>
      <c r="M78" s="748">
        <f>IFERROR(VLOOKUP(L65,'Statement of Marks'!$B$8:'Statement of Marks'!$HI$207,117,0),"")</f>
        <v>18</v>
      </c>
      <c r="N78" s="751">
        <f>IFERROR(VLOOKUP(L65,'Statement of Marks'!$B$8:'Statement of Marks'!$HI$207,119,0),"")</f>
        <v>91</v>
      </c>
      <c r="O78" s="752">
        <f>IFERROR(VLOOKUP(L65,'Statement of Marks'!$B$8:'Statement of Marks'!$HI$207,123,0),"")</f>
        <v>91</v>
      </c>
      <c r="P78" s="753" t="str">
        <f>IFERROR(IF(O78="","",IF(VLOOKUP(L65,'Statement of Marks'!$B$8:'Statement of Marks'!$HI$207,192,0)="D","I",VLOOKUP(L65,'Statement of Marks'!$B$8:'Statement of Marks'!$HI$207,192,0))),"")</f>
        <v>III</v>
      </c>
      <c r="Q78"/>
      <c r="R78" s="477" t="str">
        <f>IFERROR(IF(AND(AV78="A"),'Marks Entry'!$AS$2,IF(AND(AV78="B"),'Marks Entry'!$AW$2,IF(AND(AV78="C"),'Marks Entry'!$AY$2,""))),"")</f>
        <v>TOURISM AND TRAVEL</v>
      </c>
      <c r="S78" s="748" t="str">
        <f>IFERROR(VLOOKUP(AB65,'Statement of Marks'!$B$8:'Statement of Marks'!$HI$207,108,0),"")</f>
        <v/>
      </c>
      <c r="T78" s="748" t="str">
        <f>IFERROR(VLOOKUP(AB65,'Statement of Marks'!$B$8:'Statement of Marks'!$HI$207,109,0),"")</f>
        <v/>
      </c>
      <c r="U78" s="748" t="str">
        <f>IFERROR(VLOOKUP(AB65,'Statement of Marks'!$B$8:'Statement of Marks'!$HI$207,110,0),"")</f>
        <v/>
      </c>
      <c r="V78" s="748" t="str">
        <f>IFERROR(VLOOKUP(AB65,'Statement of Marks'!$B$8:'Statement of Marks'!$HI$207,111,0),"")</f>
        <v/>
      </c>
      <c r="W78" s="750" t="str">
        <f>IFERROR(VLOOKUP(AB65,'Statement of Marks'!$B$8:'Statement of Marks'!$HI$207,112,0),"")</f>
        <v/>
      </c>
      <c r="X78" s="750" t="str">
        <f>IFERROR(VLOOKUP(AB65,'Statement of Marks'!$B$8:'Statement of Marks'!$HI$207,113,0),"")</f>
        <v/>
      </c>
      <c r="Y78" s="754" t="str">
        <f>IFERROR(VLOOKUP(AB65,'Statement of Marks'!$B$8:'Statement of Marks'!$HI$207,114,0),"")</f>
        <v/>
      </c>
      <c r="Z78" s="749" t="str">
        <f>IFERROR(IF(OR(AB65="",Q78="",V78="",Y78=""),"",SUM(S78,T78,U78,W78,X78)),"")</f>
        <v/>
      </c>
      <c r="AA78" s="748">
        <f>IFERROR(VLOOKUP(AB65,'Statement of Marks'!$B$8:'Statement of Marks'!$HI$207,116,0),"")</f>
        <v>25</v>
      </c>
      <c r="AB78" s="748">
        <f>IFERROR(VLOOKUP(AB65,'Statement of Marks'!$B$8:'Statement of Marks'!$HI$207,118,0),"")</f>
        <v>40</v>
      </c>
      <c r="AC78" s="748">
        <f>IFERROR(VLOOKUP(AB65,'Statement of Marks'!$B$8:'Statement of Marks'!$HI$207,117,0),"")</f>
        <v>15</v>
      </c>
      <c r="AD78" s="751">
        <f>IFERROR(VLOOKUP(AB65,'Statement of Marks'!$B$8:'Statement of Marks'!$HI$207,119,0),"")</f>
        <v>80</v>
      </c>
      <c r="AE78" s="752">
        <f>IFERROR(VLOOKUP(AB65,'Statement of Marks'!$B$8:'Statement of Marks'!$HI$207,123,0),"")</f>
        <v>80</v>
      </c>
      <c r="AF78" s="753" t="str">
        <f>IFERROR(IF(AE78="","",IF(VLOOKUP(AB65,'Statement of Marks'!$B$8:'Statement of Marks'!$HI$207,192,0)="D","I",VLOOKUP(AB65,'Statement of Marks'!$B$8:'Statement of Marks'!$HI$207,192,0))),"")</f>
        <v>III</v>
      </c>
      <c r="AQ78" s="17"/>
      <c r="AR78"/>
      <c r="AS78"/>
      <c r="AT78"/>
      <c r="AU78" s="471" t="str">
        <f>IFERROR(VLOOKUP(L65,'Statement of Marks'!$B$8:'Statement of Marks'!$HI$207,107,0),"")</f>
        <v>B</v>
      </c>
      <c r="AV78" s="471" t="str">
        <f>IFERROR(VLOOKUP(AB65,'Statement of Marks'!$B$8:'Statement of Marks'!$HI$207,107,0),"")</f>
        <v>B</v>
      </c>
      <c r="AX78"/>
      <c r="AY78"/>
      <c r="AZ78"/>
      <c r="BE78" s="17"/>
      <c r="BF78" s="17"/>
    </row>
    <row r="79" spans="1:58" s="471" customFormat="1" ht="25.5" customHeight="1">
      <c r="A79" s="469"/>
      <c r="B79" s="1688"/>
      <c r="C79" s="1688"/>
      <c r="D79" s="1688"/>
      <c r="E79" s="1688"/>
      <c r="F79" s="1688"/>
      <c r="G79" s="1688"/>
      <c r="H79" s="1688"/>
      <c r="I79" s="1688"/>
      <c r="J79" s="1688"/>
      <c r="K79" s="1688"/>
      <c r="L79" s="1689" t="str">
        <f>IF('Master Sheet'!$D$11="Hindi","महायोग :","Grand Total :")</f>
        <v>महायोग :</v>
      </c>
      <c r="M79" s="1690"/>
      <c r="N79" s="1690"/>
      <c r="O79" s="755">
        <f>IF(AND(O72="",O73="",O74="",O75="",O76=""),"",IF(AND($K$18="",$L$18="",$M$18=""),SUM(O72,O73,O74,O75,O78),IF(AND('Master Sheet'!$D$19="YES",'Marks Entry'!$BA$1=1),SUM(O72,O73,O74,O75,O78),SUM(O72:O76))))</f>
        <v>686</v>
      </c>
      <c r="P79" s="756">
        <f>IFERROR(VLOOKUP(L65,'Statement of Marks'!$B$8:'Statement of Marks'!$HI$207,210,0),"")</f>
        <v>68.600000000000009</v>
      </c>
      <c r="Q79"/>
      <c r="R79" s="1688"/>
      <c r="S79" s="1688"/>
      <c r="T79" s="1688"/>
      <c r="U79" s="1688"/>
      <c r="V79" s="1688"/>
      <c r="W79" s="1688"/>
      <c r="X79" s="1688"/>
      <c r="Y79" s="1688"/>
      <c r="Z79" s="1688"/>
      <c r="AA79" s="1688"/>
      <c r="AB79" s="1689" t="str">
        <f>IF('Master Sheet'!$D$11="Hindi","महायोग :","Grand Total :")</f>
        <v>महायोग :</v>
      </c>
      <c r="AC79" s="1690"/>
      <c r="AD79" s="1690"/>
      <c r="AE79" s="755">
        <f>IF(AND(AE72="",AE73="",AE74="",AE75="",AE76=""),"",IF(AND($K$18="",$L$18="",$M$18=""),SUM(AE72,AE73,AE74,AE75,AE78),IF(AND('Master Sheet'!$D$19="YES",'Marks Entry'!$BA$1=1),SUM(AE72,AE73,AE74,AE75,AE78),SUM(AE72:AE76))))</f>
        <v>561</v>
      </c>
      <c r="AF79" s="756">
        <f>IFERROR(VLOOKUP(AB65,'Statement of Marks'!$B$8:'Statement of Marks'!$HI$207,210,0),"")</f>
        <v>56.100000000000009</v>
      </c>
      <c r="AQ79" s="17"/>
      <c r="AR79"/>
      <c r="AS79"/>
      <c r="AT79"/>
      <c r="AX79"/>
      <c r="AY79"/>
      <c r="AZ79"/>
      <c r="BE79" s="17"/>
      <c r="BF79" s="17"/>
    </row>
    <row r="80" spans="1:58" s="471" customFormat="1" ht="25.5" customHeight="1">
      <c r="A80" s="469"/>
      <c r="B80" s="478" t="str">
        <f>IF('Master Sheet'!$D$11="Hindi","विषय","Subject")</f>
        <v>विषय</v>
      </c>
      <c r="C80" s="1691" t="str">
        <f>IF('Master Sheet'!$D$11="Hindi","पूर्णांक","Max. Marks")</f>
        <v>पूर्णांक</v>
      </c>
      <c r="D80" s="1691"/>
      <c r="E80" s="1692" t="str">
        <f>IF('Master Sheet'!$D$11="Hindi","प्राप्तांक","Marks Obtained")</f>
        <v>प्राप्तांक</v>
      </c>
      <c r="F80" s="1692"/>
      <c r="G80" s="1693" t="str">
        <f>IF('Master Sheet'!$D$11="Hindi","विषय ग्रेड","Sub. Grade")</f>
        <v>विषय ग्रेड</v>
      </c>
      <c r="H80" s="1693"/>
      <c r="I80" s="1694" t="str">
        <f>IF('Master Sheet'!$D$11="Hindi","विषय","Subject")</f>
        <v>विषय</v>
      </c>
      <c r="J80" s="1695"/>
      <c r="K80" s="1695"/>
      <c r="L80" s="1691" t="str">
        <f>IF('Master Sheet'!$D$11="Hindi","पूर्णांक","Max. Marks")</f>
        <v>पूर्णांक</v>
      </c>
      <c r="M80" s="1691"/>
      <c r="N80" s="1692" t="str">
        <f>IF('Master Sheet'!$D$11="Hindi","प्राप्तांक","Marks Obtained")</f>
        <v>प्राप्तांक</v>
      </c>
      <c r="O80" s="1692"/>
      <c r="P80" s="757" t="str">
        <f>IF('Master Sheet'!$D$11="Hindi","विषय ग्रेड","Sub. Grade")</f>
        <v>विषय ग्रेड</v>
      </c>
      <c r="Q80"/>
      <c r="R80" s="478" t="str">
        <f>IF('Master Sheet'!$D$11="Hindi","विषय","Subject")</f>
        <v>विषय</v>
      </c>
      <c r="S80" s="1691" t="str">
        <f>IF('Master Sheet'!$D$11="Hindi","पूर्णांक","Max. Marks")</f>
        <v>पूर्णांक</v>
      </c>
      <c r="T80" s="1691"/>
      <c r="U80" s="1692" t="str">
        <f>IF('Master Sheet'!$D$11="Hindi","प्राप्तांक","Marks Obtained")</f>
        <v>प्राप्तांक</v>
      </c>
      <c r="V80" s="1692"/>
      <c r="W80" s="1693" t="str">
        <f>IF('Master Sheet'!$D$11="Hindi","विषय ग्रेड","Sub. Grade")</f>
        <v>विषय ग्रेड</v>
      </c>
      <c r="X80" s="1693"/>
      <c r="Y80" s="1694" t="str">
        <f>IF('Master Sheet'!$D$11="Hindi","विषय","Subject")</f>
        <v>विषय</v>
      </c>
      <c r="Z80" s="1695"/>
      <c r="AA80" s="1695"/>
      <c r="AB80" s="1691" t="str">
        <f>IF('Master Sheet'!$D$11="Hindi","पूर्णांक","Max. Marks")</f>
        <v>पूर्णांक</v>
      </c>
      <c r="AC80" s="1691"/>
      <c r="AD80" s="1692" t="str">
        <f>IF('Master Sheet'!$D$11="Hindi","प्राप्तांक","Marks Obtained")</f>
        <v>प्राप्तांक</v>
      </c>
      <c r="AE80" s="1692"/>
      <c r="AF80" s="757" t="str">
        <f>IF('Master Sheet'!$D$11="Hindi","विषय ग्रेड","Sub. Grade")</f>
        <v>विषय ग्रेड</v>
      </c>
      <c r="AQ80" s="17"/>
      <c r="AR80"/>
      <c r="AS80"/>
      <c r="AT80"/>
      <c r="AX80"/>
      <c r="AY80"/>
      <c r="AZ80"/>
      <c r="BE80" s="17"/>
      <c r="BF80" s="17"/>
    </row>
    <row r="81" spans="1:58" s="471" customFormat="1" ht="30" customHeight="1">
      <c r="A81" s="469"/>
      <c r="B81" s="760" t="str">
        <f>'Statement of Marks'!$EC$4</f>
        <v>जीवन कौशल</v>
      </c>
      <c r="C81" s="1680">
        <f>IF(AND(L65=""),"",IF('Statement of Marks'!$EF$6="","",'Statement of Marks'!$EF$6))</f>
        <v>100</v>
      </c>
      <c r="D81" s="1680"/>
      <c r="E81" s="1684">
        <f>IFERROR(VLOOKUP(L65,'Statement of Marks'!$B$8:'Statement of Marks'!$HI$207,135,0),"")</f>
        <v>83</v>
      </c>
      <c r="F81" s="1684"/>
      <c r="G81" s="1685" t="str">
        <f>IFERROR(VLOOKUP(L65,'Statement of Marks'!$B$8:'Statement of Marks'!$HI$207,140,0),"")</f>
        <v>A</v>
      </c>
      <c r="H81" s="1685"/>
      <c r="I81" s="1677" t="str">
        <f>'Statement of Marks'!$EY$3</f>
        <v xml:space="preserve">आजादी के बाद का स्वर्णिम भारत </v>
      </c>
      <c r="J81" s="1678"/>
      <c r="K81" s="1679"/>
      <c r="L81" s="1680">
        <f>IF(AND(L65=""),"",IF('Statement of Marks'!$FE$6="","",'Statement of Marks'!$FE$6))</f>
        <v>200</v>
      </c>
      <c r="M81" s="1680"/>
      <c r="N81" s="1681">
        <f>IFERROR(VLOOKUP(L65,'Statement of Marks'!$B$8:'Statement of Marks'!$HI$207,160,0),"")</f>
        <v>154</v>
      </c>
      <c r="O81" s="1681"/>
      <c r="P81" s="758" t="str">
        <f>IFERROR(VLOOKUP(L65,'Statement of Marks'!$B$8:'Statement of Marks'!$HI$207,161,0),"")</f>
        <v>B</v>
      </c>
      <c r="Q81"/>
      <c r="R81" s="760" t="str">
        <f>'Statement of Marks'!$EC$4</f>
        <v>जीवन कौशल</v>
      </c>
      <c r="S81" s="1680">
        <f>IF(AND(AB65=""),"",IF('Statement of Marks'!$EF$6="","",'Statement of Marks'!$EF$6))</f>
        <v>100</v>
      </c>
      <c r="T81" s="1680"/>
      <c r="U81" s="1684">
        <f>IFERROR(VLOOKUP(AB65,'Statement of Marks'!$B$8:'Statement of Marks'!$HI$207,135,0),"")</f>
        <v>85</v>
      </c>
      <c r="V81" s="1684"/>
      <c r="W81" s="1685" t="str">
        <f>IFERROR(VLOOKUP(AB65,'Statement of Marks'!$B$8:'Statement of Marks'!$HI$207,140,0),"")</f>
        <v>A</v>
      </c>
      <c r="X81" s="1685"/>
      <c r="Y81" s="1677" t="str">
        <f>'Statement of Marks'!$EY$3</f>
        <v xml:space="preserve">आजादी के बाद का स्वर्णिम भारत </v>
      </c>
      <c r="Z81" s="1678"/>
      <c r="AA81" s="1679"/>
      <c r="AB81" s="1680">
        <f>IF(AND(AB65=""),"",IF('Statement of Marks'!$FE$6="","",'Statement of Marks'!$FE$6))</f>
        <v>200</v>
      </c>
      <c r="AC81" s="1680"/>
      <c r="AD81" s="1681">
        <f>IFERROR(VLOOKUP(AB65,'Statement of Marks'!$B$8:'Statement of Marks'!$HI$207,160,0),"")</f>
        <v>148</v>
      </c>
      <c r="AE81" s="1681"/>
      <c r="AF81" s="758" t="str">
        <f>IFERROR(VLOOKUP(AB65,'Statement of Marks'!$B$8:'Statement of Marks'!$HI$207,161,0),"")</f>
        <v>B</v>
      </c>
      <c r="AQ81" s="17"/>
      <c r="AR81"/>
      <c r="AS81"/>
      <c r="AT81"/>
      <c r="AX81"/>
      <c r="AY81"/>
      <c r="AZ81"/>
      <c r="BE81" s="17"/>
      <c r="BF81" s="17"/>
    </row>
    <row r="82" spans="1:58" s="471" customFormat="1" ht="29.25" customHeight="1">
      <c r="A82" s="469"/>
      <c r="B82" s="759" t="str">
        <f>IF('Master Sheet'!$D$11="Hindi","परीक्षा परिणाम घोषित दिनांक :-","Date of Result declaration :-")</f>
        <v>परीक्षा परिणाम घोषित दिनांक :-</v>
      </c>
      <c r="C82" s="1659">
        <f>IF(AND(L65=""),"",IF('Master Sheet'!$D$10="","",'Master Sheet'!$D$10))</f>
        <v>45419</v>
      </c>
      <c r="D82" s="1659"/>
      <c r="E82" s="1659"/>
      <c r="F82" s="1682" t="str">
        <f>IF('Master Sheet'!$D$11="Hindi","कुल कार्य दिवस","Total Working Days")</f>
        <v>कुल कार्य दिवस</v>
      </c>
      <c r="G82" s="1682"/>
      <c r="H82" s="1682"/>
      <c r="I82" s="741">
        <f>IFERROR(VLOOKUP(L65,'Statement of Marks'!$B$8:'Statement of Marks'!$HI$207,162,0),"")</f>
        <v>320</v>
      </c>
      <c r="J82" s="1683" t="str">
        <f>IF('Master Sheet'!$D$11="Hindi","कुल उपस्थिति","Student's Attendance")</f>
        <v>कुल उपस्थिति</v>
      </c>
      <c r="K82" s="1683"/>
      <c r="L82" s="1683"/>
      <c r="M82" s="476">
        <f>IFERROR(VLOOKUP(L65,'Statement of Marks'!$B$8:'Statement of Marks'!$HI$207,163,0),"")</f>
        <v>318</v>
      </c>
      <c r="N82" s="1673" t="str">
        <f>IF('Master Sheet'!$D$11="Hindi","कक्षा में स्थान","Position in the Class")</f>
        <v>कक्षा में स्थान</v>
      </c>
      <c r="O82" s="1673"/>
      <c r="P82" s="761">
        <f>IFERROR(VLOOKUP(L65,'Statement of Marks'!$B$8:'Statement of Marks'!$HI$207,211,0),"")</f>
        <v>1.9999999999999905</v>
      </c>
      <c r="Q82"/>
      <c r="R82" s="759" t="str">
        <f>IF('Master Sheet'!$D$11="Hindi","परीक्षा परिणाम घोषित दिनांक :-","Date of Result declaration :-")</f>
        <v>परीक्षा परिणाम घोषित दिनांक :-</v>
      </c>
      <c r="S82" s="1659">
        <f>IF(AND(AB65=""),"",IF('Master Sheet'!$D$10="","",'Master Sheet'!$D$10))</f>
        <v>45419</v>
      </c>
      <c r="T82" s="1659"/>
      <c r="U82" s="1659"/>
      <c r="V82" s="1682" t="str">
        <f>IF('Master Sheet'!$D$11="Hindi","कुल कार्य दिवस","Total Working Days")</f>
        <v>कुल कार्य दिवस</v>
      </c>
      <c r="W82" s="1682"/>
      <c r="X82" s="1682"/>
      <c r="Y82" s="741">
        <f>IFERROR(VLOOKUP(AB65,'Statement of Marks'!$B$8:'Statement of Marks'!$HI$207,162,0),"")</f>
        <v>320</v>
      </c>
      <c r="Z82" s="1683" t="str">
        <f>IF('Master Sheet'!$D$11="Hindi","कुल उपस्थिति","Student's Attendance")</f>
        <v>कुल उपस्थिति</v>
      </c>
      <c r="AA82" s="1683"/>
      <c r="AB82" s="1683"/>
      <c r="AC82" s="476">
        <f>IFERROR(VLOOKUP(AB65,'Statement of Marks'!$B$8:'Statement of Marks'!$HI$207,163,0),"")</f>
        <v>310</v>
      </c>
      <c r="AD82" s="1673" t="str">
        <f>IF('Master Sheet'!$D$11="Hindi","कक्षा में स्थान","Position in the Class")</f>
        <v>कक्षा में स्थान</v>
      </c>
      <c r="AE82" s="1673"/>
      <c r="AF82" s="761">
        <f>IFERROR(VLOOKUP(AB65,'Statement of Marks'!$B$8:'Statement of Marks'!$HI$207,211,0),"")</f>
        <v>6.0000000000000329</v>
      </c>
      <c r="AQ82" s="17"/>
      <c r="AR82"/>
      <c r="AS82"/>
      <c r="AT82"/>
      <c r="AX82"/>
      <c r="AY82"/>
      <c r="AZ82"/>
      <c r="BE82" s="17"/>
      <c r="BF82" s="17"/>
    </row>
    <row r="83" spans="1:58" s="471" customFormat="1" ht="27.75" customHeight="1">
      <c r="A83" s="469"/>
      <c r="B83" s="1664" t="str">
        <f>IF('Master Sheet'!$D$11="Hindi","मुख्य परीक्षा परिणाम ","Main Exam Result")</f>
        <v xml:space="preserve">मुख्य परीक्षा परिणाम </v>
      </c>
      <c r="C83" s="1665"/>
      <c r="D83" s="1665"/>
      <c r="E83" s="1666"/>
      <c r="F83" s="1667" t="str">
        <f>IF('Master Sheet'!$D$11="Hindi","विशेष योग्यता प्राप्त विषय","Subjects Of Dictation Marks")</f>
        <v>विशेष योग्यता प्राप्त विषय</v>
      </c>
      <c r="G83" s="1667"/>
      <c r="H83" s="1667"/>
      <c r="I83" s="1667"/>
      <c r="J83" s="1667"/>
      <c r="K83" s="1667"/>
      <c r="L83" s="1668" t="str">
        <f>IF('Master Sheet'!$D$11="Hindi","पूरक विषय","Supplementary Subject")</f>
        <v>पूरक विषय</v>
      </c>
      <c r="M83" s="1669"/>
      <c r="N83" s="1665"/>
      <c r="O83" s="1665"/>
      <c r="P83" s="1666"/>
      <c r="Q83"/>
      <c r="R83" s="1664" t="str">
        <f>IF('Master Sheet'!$D$11="Hindi","मुख्य परीक्षा परिणाम ","Main Exam Result")</f>
        <v xml:space="preserve">मुख्य परीक्षा परिणाम </v>
      </c>
      <c r="S83" s="1665"/>
      <c r="T83" s="1665"/>
      <c r="U83" s="1666"/>
      <c r="V83" s="1667" t="str">
        <f>IF('Master Sheet'!$D$11="Hindi","विशेष योग्यता प्राप्त विषय","Subjects Of Dictation Marks")</f>
        <v>विशेष योग्यता प्राप्त विषय</v>
      </c>
      <c r="W83" s="1667"/>
      <c r="X83" s="1667"/>
      <c r="Y83" s="1667"/>
      <c r="Z83" s="1667"/>
      <c r="AA83" s="1667"/>
      <c r="AB83" s="1668" t="str">
        <f>IF('Master Sheet'!$D$11="Hindi","पूरक विषय","Supplementary Subject")</f>
        <v>पूरक विषय</v>
      </c>
      <c r="AC83" s="1669"/>
      <c r="AD83" s="1665"/>
      <c r="AE83" s="1665"/>
      <c r="AF83" s="1666"/>
      <c r="AQ83" s="17"/>
      <c r="AR83"/>
      <c r="AS83"/>
      <c r="AT83"/>
      <c r="AX83"/>
      <c r="AY83"/>
      <c r="AZ83"/>
      <c r="BE83" s="17"/>
      <c r="BF83" s="17"/>
    </row>
    <row r="84" spans="1:58" s="471" customFormat="1" ht="42.75" customHeight="1">
      <c r="A84" s="469"/>
      <c r="B84" s="1670" t="str">
        <f>IF('Master Sheet'!D69="Hindi",BF74,BF73)</f>
        <v>PASS  and Promoted to Class 12th</v>
      </c>
      <c r="C84" s="1671"/>
      <c r="D84" s="1671"/>
      <c r="E84" s="1672"/>
      <c r="F84" s="1673" t="str">
        <f>IFERROR(VLOOKUP(L65,'Statement of Marks'!$B$8:'Statement of Marks'!$HI$207,205,0),"")</f>
        <v xml:space="preserve">    GEOGRAPHY </v>
      </c>
      <c r="G84" s="1673"/>
      <c r="H84" s="1673"/>
      <c r="I84" s="1673"/>
      <c r="J84" s="1673"/>
      <c r="K84" s="1673"/>
      <c r="L84" s="1674" t="str">
        <f>IFERROR(VLOOKUP(L65,'Statement of Marks'!$B$8:'Statement of Marks'!$HI$207,202,0),"")</f>
        <v xml:space="preserve">    </v>
      </c>
      <c r="M84" s="1675"/>
      <c r="N84" s="1675"/>
      <c r="O84" s="1675"/>
      <c r="P84" s="1676"/>
      <c r="Q84"/>
      <c r="R84" s="1670" t="str">
        <f>IF('Master Sheet'!D69="Hindi",BE74,BE73)</f>
        <v>PASS  and Promoted to Class 12th</v>
      </c>
      <c r="S84" s="1671"/>
      <c r="T84" s="1671"/>
      <c r="U84" s="1672"/>
      <c r="V84" s="1673" t="str">
        <f>IFERROR(VLOOKUP(AB65,'Statement of Marks'!$B$8:'Statement of Marks'!$HI$207,205,0),"")</f>
        <v xml:space="preserve">     </v>
      </c>
      <c r="W84" s="1673"/>
      <c r="X84" s="1673"/>
      <c r="Y84" s="1673"/>
      <c r="Z84" s="1673"/>
      <c r="AA84" s="1673"/>
      <c r="AB84" s="1674" t="str">
        <f>IFERROR(VLOOKUP(AB65,'Statement of Marks'!$B$8:'Statement of Marks'!$HI$207,202,0),"")</f>
        <v xml:space="preserve">    </v>
      </c>
      <c r="AC84" s="1675"/>
      <c r="AD84" s="1675"/>
      <c r="AE84" s="1675"/>
      <c r="AF84" s="1676"/>
      <c r="AQ84" s="17"/>
      <c r="AR84"/>
      <c r="AS84"/>
      <c r="AT84"/>
      <c r="AX84"/>
      <c r="AY84"/>
      <c r="AZ84"/>
      <c r="BE84" s="17"/>
      <c r="BF84" s="17"/>
    </row>
    <row r="85" spans="1:58" s="471" customFormat="1" ht="52.5" customHeight="1">
      <c r="A85" s="469"/>
      <c r="B85" s="1660" t="str">
        <f>IF(AND(L65=""),"",CONCATENATE("( ",UPPER('Master Sheet'!$D$14)," )"))</f>
        <v>( HEERALAL JAT )</v>
      </c>
      <c r="C85" s="1660"/>
      <c r="D85" s="1660"/>
      <c r="E85" s="715"/>
      <c r="F85" s="1661" t="str">
        <f>IF(AND(L65=""),"",CONCATENATE("( ",UPPER('Master Sheet'!$D$17)," )"))</f>
        <v>( YOGESH )</v>
      </c>
      <c r="G85" s="1661"/>
      <c r="H85" s="1661"/>
      <c r="I85" s="1661"/>
      <c r="J85" s="1661"/>
      <c r="K85" s="1662" t="str">
        <f>IF(AND(L65=""),"",CONCATENATE("( ",UPPER('Master Sheet'!$D$12)," )"))</f>
        <v>( USHA PALIYA )</v>
      </c>
      <c r="L85" s="1662"/>
      <c r="M85" s="1662"/>
      <c r="N85" s="1662"/>
      <c r="O85" s="1662"/>
      <c r="P85" s="1662"/>
      <c r="Q85"/>
      <c r="R85" s="1660" t="str">
        <f>IF(AND(AB65=""),"",CONCATENATE("( ",UPPER('Master Sheet'!$D$14)," )"))</f>
        <v>( HEERALAL JAT )</v>
      </c>
      <c r="S85" s="1660"/>
      <c r="T85" s="1660"/>
      <c r="U85" s="715"/>
      <c r="V85" s="1661" t="str">
        <f>IF(AND(AB65=""),"",CONCATENATE("( ",UPPER('Master Sheet'!$D$17)," )"))</f>
        <v>( YOGESH )</v>
      </c>
      <c r="W85" s="1661"/>
      <c r="X85" s="1661"/>
      <c r="Y85" s="1661"/>
      <c r="Z85" s="1661"/>
      <c r="AA85" s="1662" t="str">
        <f>IF(AND(AB65=""),"",CONCATENATE("( ",UPPER('Master Sheet'!$D$12)," )"))</f>
        <v>( USHA PALIYA )</v>
      </c>
      <c r="AB85" s="1662"/>
      <c r="AC85" s="1662"/>
      <c r="AD85" s="1662"/>
      <c r="AE85" s="1662"/>
      <c r="AF85" s="1662"/>
      <c r="AQ85" s="17"/>
      <c r="AR85"/>
      <c r="AS85"/>
      <c r="AT85"/>
      <c r="AX85"/>
      <c r="AY85"/>
      <c r="AZ85"/>
      <c r="BE85" s="17"/>
      <c r="BF85" s="17"/>
    </row>
    <row r="86" spans="1:58" s="471" customFormat="1" ht="24.75" customHeight="1">
      <c r="A86" s="469"/>
      <c r="B86" s="1663" t="str">
        <f>IF('Master Sheet'!$D$11="Hindi","हस्ताक्षर परीक्षा प्रभारी","Signature of the exam. Incharge")</f>
        <v>हस्ताक्षर परीक्षा प्रभारी</v>
      </c>
      <c r="C86" s="1663"/>
      <c r="D86" s="1663"/>
      <c r="E86" s="714"/>
      <c r="F86" s="1663" t="str">
        <f>IF('Master Sheet'!$D$11="Hindi","हस्ताक्षर कक्षाध्यापक","Signature of the class teacher")</f>
        <v>हस्ताक्षर कक्षाध्यापक</v>
      </c>
      <c r="G86" s="1663"/>
      <c r="H86" s="1663"/>
      <c r="I86" s="1663"/>
      <c r="J86" s="1663"/>
      <c r="K86" s="1663" t="str">
        <f>IF('Master Sheet'!$D$11="Hindi","हस्ताक्षर संस्था प्रधान","Head of Institute's Signature")</f>
        <v>हस्ताक्षर संस्था प्रधान</v>
      </c>
      <c r="L86" s="1663"/>
      <c r="M86" s="1663"/>
      <c r="N86" s="1663"/>
      <c r="O86" s="1663"/>
      <c r="P86" s="1663"/>
      <c r="Q86"/>
      <c r="R86" s="1663" t="str">
        <f>IF('Master Sheet'!$D$11="Hindi","हस्ताक्षर परीक्षा प्रभारी","Signature of the exam. Incharge")</f>
        <v>हस्ताक्षर परीक्षा प्रभारी</v>
      </c>
      <c r="S86" s="1663"/>
      <c r="T86" s="1663"/>
      <c r="U86" s="714"/>
      <c r="V86" s="1663" t="str">
        <f>IF('Master Sheet'!$D$11="Hindi","हस्ताक्षर कक्षाध्यापक","Signature of the class teacher")</f>
        <v>हस्ताक्षर कक्षाध्यापक</v>
      </c>
      <c r="W86" s="1663"/>
      <c r="X86" s="1663"/>
      <c r="Y86" s="1663"/>
      <c r="Z86" s="1663"/>
      <c r="AA86" s="1663" t="str">
        <f>IF('Master Sheet'!$D$11="Hindi","हस्ताक्षर संस्था प्रधान","Head of Institute's Signature")</f>
        <v>हस्ताक्षर संस्था प्रधान</v>
      </c>
      <c r="AB86" s="1663"/>
      <c r="AC86" s="1663"/>
      <c r="AD86" s="1663"/>
      <c r="AE86" s="1663"/>
      <c r="AF86" s="1663"/>
      <c r="AQ86" s="17"/>
      <c r="AR86"/>
      <c r="AS86"/>
      <c r="AT86"/>
      <c r="AX86"/>
      <c r="AY86"/>
      <c r="AZ86"/>
      <c r="BE86" s="17"/>
      <c r="BF86" s="17"/>
    </row>
    <row r="87" spans="1:58">
      <c r="AN87" s="471"/>
    </row>
    <row r="88" spans="1:58" s="17" customFormat="1" ht="22.5" customHeight="1">
      <c r="A88" s="100"/>
      <c r="B88" s="94"/>
      <c r="C88" s="1551" t="str">
        <f>IF('Master Sheet'!$D$11="Hindi","वार्षिक रिपोर्ट कार्ड ","Report Card")</f>
        <v xml:space="preserve">वार्षिक रिपोर्ट कार्ड </v>
      </c>
      <c r="D88" s="1551"/>
      <c r="E88" s="1551"/>
      <c r="F88" s="1551"/>
      <c r="G88" s="1551"/>
      <c r="H88" s="1551"/>
      <c r="I88" s="1551"/>
      <c r="J88" s="1551"/>
      <c r="K88" s="1551"/>
      <c r="L88" s="1551"/>
      <c r="M88" s="1551"/>
      <c r="N88" s="1551"/>
      <c r="O88" s="468"/>
      <c r="P88" s="468"/>
      <c r="Q88"/>
      <c r="R88" s="94"/>
      <c r="S88" s="1551" t="str">
        <f>IF('Master Sheet'!$D$11="Hindi","वार्षिक रिपोर्ट कार्ड ","Report Card")</f>
        <v xml:space="preserve">वार्षिक रिपोर्ट कार्ड </v>
      </c>
      <c r="T88" s="1551"/>
      <c r="U88" s="1551"/>
      <c r="V88" s="1551"/>
      <c r="W88" s="1551"/>
      <c r="X88" s="1551"/>
      <c r="Y88" s="1551"/>
      <c r="Z88" s="1551"/>
      <c r="AA88" s="1551"/>
      <c r="AB88" s="1551"/>
      <c r="AC88" s="1551"/>
      <c r="AD88" s="1551"/>
      <c r="AE88" s="468"/>
      <c r="AF88" s="468"/>
      <c r="AH88" s="471"/>
      <c r="AI88" s="471"/>
      <c r="AJ88" s="471"/>
      <c r="AK88" s="471"/>
      <c r="AL88" s="471"/>
      <c r="AN88" s="471"/>
      <c r="AR88"/>
      <c r="AS88"/>
      <c r="AT88"/>
      <c r="AX88"/>
      <c r="AY88"/>
      <c r="AZ88"/>
    </row>
    <row r="89" spans="1:58" s="17" customFormat="1" ht="22.5" customHeight="1">
      <c r="A89" s="100"/>
      <c r="B89" s="94"/>
      <c r="C89" s="1708" t="str">
        <f>IF('Master Sheet'!$D$11="Hindi","शिक्षा विभाग, राजस्थान सरकार","Education Department, Rajasthan Government")</f>
        <v>शिक्षा विभाग, राजस्थान सरकार</v>
      </c>
      <c r="D89" s="1708"/>
      <c r="E89" s="1708"/>
      <c r="F89" s="1708"/>
      <c r="G89" s="1708"/>
      <c r="H89" s="1708"/>
      <c r="I89" s="1708"/>
      <c r="J89" s="1708"/>
      <c r="K89" s="1708"/>
      <c r="L89" s="1708"/>
      <c r="M89" s="1708"/>
      <c r="N89" s="1708"/>
      <c r="O89" s="468"/>
      <c r="P89" s="468"/>
      <c r="Q89"/>
      <c r="R89" s="94"/>
      <c r="S89" s="1708" t="str">
        <f>IF('Master Sheet'!$D$11="Hindi","शिक्षा विभाग, राजस्थान सरकार","Education Department, Rajasthan Government")</f>
        <v>शिक्षा विभाग, राजस्थान सरकार</v>
      </c>
      <c r="T89" s="1708"/>
      <c r="U89" s="1708"/>
      <c r="V89" s="1708"/>
      <c r="W89" s="1708"/>
      <c r="X89" s="1708"/>
      <c r="Y89" s="1708"/>
      <c r="Z89" s="1708"/>
      <c r="AA89" s="1708"/>
      <c r="AB89" s="1708"/>
      <c r="AC89" s="1708"/>
      <c r="AD89" s="1708"/>
      <c r="AE89" s="468"/>
      <c r="AF89" s="468"/>
      <c r="AH89" s="471"/>
      <c r="AI89" s="471"/>
      <c r="AJ89" s="471"/>
      <c r="AK89" s="471"/>
      <c r="AL89" s="471"/>
      <c r="AR89"/>
      <c r="AS89"/>
      <c r="AT89"/>
      <c r="AX89"/>
      <c r="AY89"/>
      <c r="AZ89"/>
    </row>
    <row r="90" spans="1:58" s="17" customFormat="1" ht="24.95" customHeight="1">
      <c r="A90" s="100"/>
      <c r="B90" s="1709" t="str">
        <f>IF('Master Sheet'!$D$11="Hindi",CONCATENATE("विद्यालय का नाम :-","  ",'Master Sheet'!$D$8),CONCATENATE("School Name :-","  ",'Master Sheet'!$D$7))</f>
        <v xml:space="preserve">विद्यालय का नाम :-  महात्मा गाँधी राजकीय विद्यालय (अंग्रेजी माध्यम) बर, पाली </v>
      </c>
      <c r="C90" s="1709"/>
      <c r="D90" s="1709"/>
      <c r="E90" s="1709"/>
      <c r="F90" s="1709"/>
      <c r="G90" s="1709"/>
      <c r="H90" s="1709"/>
      <c r="I90" s="1709"/>
      <c r="J90" s="1709"/>
      <c r="K90" s="1709"/>
      <c r="L90" s="1709"/>
      <c r="M90" s="1709"/>
      <c r="N90" s="1709"/>
      <c r="O90" s="1709"/>
      <c r="P90" s="1709"/>
      <c r="Q90"/>
      <c r="R90" s="1709" t="str">
        <f>IF('Master Sheet'!$D$11="Hindi",CONCATENATE("विद्यालय का नाम :-","  ",'Master Sheet'!$D$8),CONCATENATE("School Name :-","  ",'Master Sheet'!$D$7))</f>
        <v xml:space="preserve">विद्यालय का नाम :-  महात्मा गाँधी राजकीय विद्यालय (अंग्रेजी माध्यम) बर, पाली </v>
      </c>
      <c r="S90" s="1709"/>
      <c r="T90" s="1709"/>
      <c r="U90" s="1709"/>
      <c r="V90" s="1709"/>
      <c r="W90" s="1709"/>
      <c r="X90" s="1709"/>
      <c r="Y90" s="1709"/>
      <c r="Z90" s="1709"/>
      <c r="AA90" s="1709"/>
      <c r="AB90" s="1709"/>
      <c r="AC90" s="1709"/>
      <c r="AD90" s="1709"/>
      <c r="AE90" s="1709"/>
      <c r="AF90" s="1709"/>
      <c r="AH90" s="471"/>
      <c r="AI90" s="471"/>
      <c r="AJ90" s="471"/>
      <c r="AK90" s="471"/>
      <c r="AL90" s="471"/>
      <c r="AR90"/>
      <c r="AS90"/>
      <c r="AT90"/>
      <c r="AX90"/>
      <c r="AY90"/>
      <c r="AZ90"/>
    </row>
    <row r="91" spans="1:58" s="17" customFormat="1" ht="19.5" customHeight="1">
      <c r="A91" s="100"/>
      <c r="B91" s="719"/>
      <c r="C91" s="1710" t="str">
        <f>IF(AND(L94=""),"",IF(AND('Master Sheet'!$D$6=""),"",IF('Master Sheet'!$D$11="Hindi",CONCATENATE("(विद्यालय मान्यता क्रमांक व वर्ष : ","  ",'Master Sheet'!$D$6),CONCATENATE("(School Recognition Number &amp; Years : ","  ",'Master Sheet'!$D$6))))</f>
        <v>(विद्यालय मान्यता क्रमांक व वर्ष :   शिक्षा/पाली/1995/2001</v>
      </c>
      <c r="D91" s="1710"/>
      <c r="E91" s="1710"/>
      <c r="F91" s="1710"/>
      <c r="G91" s="1710"/>
      <c r="H91" s="1710"/>
      <c r="I91" s="1710"/>
      <c r="J91" s="1710"/>
      <c r="K91" s="1710"/>
      <c r="L91" s="1710"/>
      <c r="M91" s="1710"/>
      <c r="N91" s="1710"/>
      <c r="O91" s="1710"/>
      <c r="P91" s="719"/>
      <c r="Q91"/>
      <c r="R91" s="719"/>
      <c r="S91" s="1710" t="str">
        <f>IF(AND(AB94=""),"",IF(AND('Master Sheet'!$D$6=""),"",IF('Master Sheet'!$D$11="Hindi",CONCATENATE("(विद्यालय मान्यता क्रमांक व वर्ष : ","  ",'Master Sheet'!$D$6),CONCATENATE("(School Recognition Number &amp; Years : ","  ",'Master Sheet'!$D$6))))</f>
        <v>(विद्यालय मान्यता क्रमांक व वर्ष :   शिक्षा/पाली/1995/2001</v>
      </c>
      <c r="T91" s="1710"/>
      <c r="U91" s="1710"/>
      <c r="V91" s="1710"/>
      <c r="W91" s="1710"/>
      <c r="X91" s="1710"/>
      <c r="Y91" s="1710"/>
      <c r="Z91" s="1710"/>
      <c r="AA91" s="1710"/>
      <c r="AB91" s="1710"/>
      <c r="AC91" s="1710"/>
      <c r="AD91" s="1710"/>
      <c r="AE91" s="1710"/>
      <c r="AF91" s="719"/>
      <c r="AH91" s="471"/>
      <c r="AI91" s="471"/>
      <c r="AJ91" s="471"/>
      <c r="AK91" s="471"/>
      <c r="AL91" s="471"/>
      <c r="AN91" s="99"/>
      <c r="AR91"/>
      <c r="AS91"/>
      <c r="AT91"/>
      <c r="AX91"/>
      <c r="AY91"/>
      <c r="AZ91"/>
    </row>
    <row r="92" spans="1:58" s="471" customFormat="1" ht="21" customHeight="1">
      <c r="A92" s="469"/>
      <c r="B92" s="739" t="str">
        <f>IF('Master Sheet'!$D$11="Hindi","सत्र  :-","Session :-")</f>
        <v>सत्र  :-</v>
      </c>
      <c r="C92" s="1711" t="str">
        <f>'Marks Entry'!$H$1</f>
        <v>2023-2024</v>
      </c>
      <c r="D92" s="1711"/>
      <c r="E92" s="1711"/>
      <c r="F92" s="1711"/>
      <c r="G92" s="1711"/>
      <c r="H92" s="1711"/>
      <c r="I92" s="1703" t="str">
        <f>IF('Master Sheet'!$D$11="Hindi","कक्षा  :-","CLASS :- ")</f>
        <v>कक्षा  :-</v>
      </c>
      <c r="J92" s="1703"/>
      <c r="K92" s="1703"/>
      <c r="L92" s="1712" t="str">
        <f>CONCATENATE('Marks Entry'!$H$2," '",'Marks Entry'!$H$3,"'")</f>
        <v>11 'Arts'</v>
      </c>
      <c r="M92" s="1712"/>
      <c r="N92" s="1712"/>
      <c r="O92" s="1712"/>
      <c r="P92" s="720"/>
      <c r="Q92"/>
      <c r="R92" s="739" t="str">
        <f>IF('Master Sheet'!$D$11="Hindi","सत्र  :-","Session :-")</f>
        <v>सत्र  :-</v>
      </c>
      <c r="S92" s="1711" t="str">
        <f>'Marks Entry'!$H$1</f>
        <v>2023-2024</v>
      </c>
      <c r="T92" s="1711"/>
      <c r="U92" s="1711"/>
      <c r="V92" s="1711"/>
      <c r="W92" s="1711"/>
      <c r="X92" s="1711"/>
      <c r="Y92" s="1703" t="str">
        <f>IF('Master Sheet'!$D$11="Hindi","कक्षा  :-","CLASS :- ")</f>
        <v>कक्षा  :-</v>
      </c>
      <c r="Z92" s="1703"/>
      <c r="AA92" s="1703"/>
      <c r="AB92" s="1712" t="str">
        <f>CONCATENATE('Marks Entry'!$H$2," '",'Marks Entry'!$H$3,"'")</f>
        <v>11 'Arts'</v>
      </c>
      <c r="AC92" s="1712"/>
      <c r="AD92" s="1712"/>
      <c r="AE92" s="1712"/>
      <c r="AF92" s="720"/>
      <c r="AN92" s="99"/>
      <c r="AQ92" s="17"/>
      <c r="AR92"/>
      <c r="AS92" s="763">
        <f>L95</f>
        <v>40065</v>
      </c>
      <c r="AT92"/>
      <c r="AX92"/>
      <c r="AY92" s="763">
        <f>AB95</f>
        <v>39763</v>
      </c>
      <c r="AZ92"/>
      <c r="BE92" s="17"/>
      <c r="BF92" s="17"/>
    </row>
    <row r="93" spans="1:58" s="471" customFormat="1" ht="21" customHeight="1">
      <c r="A93" s="469"/>
      <c r="B93" s="740" t="str">
        <f>IF('Master Sheet'!$D$11="Hindi","विद्यार्थी का नाम :-","Student's Name :-")</f>
        <v>विद्यार्थी का नाम :-</v>
      </c>
      <c r="C93" s="1702" t="str">
        <f>IFERROR(VLOOKUP(L94,'Statement of Marks'!$B$8:'Statement of Marks'!$HI$207,4,0),"")</f>
        <v>G</v>
      </c>
      <c r="D93" s="1702"/>
      <c r="E93" s="1702"/>
      <c r="F93" s="1702"/>
      <c r="G93" s="1702"/>
      <c r="H93" s="1702"/>
      <c r="I93" s="1703" t="str">
        <f>IF('Master Sheet'!$D$11="Hindi","प्रवेशांक :","SR. NO. :")</f>
        <v>प्रवेशांक :</v>
      </c>
      <c r="J93" s="1703"/>
      <c r="K93" s="1703"/>
      <c r="L93" s="1706">
        <f>IFERROR(VLOOKUP(L94,'Statement of Marks'!$B$8:'Statement of Marks'!$HI$207,2,0),"")</f>
        <v>222</v>
      </c>
      <c r="M93" s="1706"/>
      <c r="N93" s="1706"/>
      <c r="O93" s="1706"/>
      <c r="P93" s="472"/>
      <c r="Q93"/>
      <c r="R93" s="740" t="str">
        <f>IF('Master Sheet'!$D$11="Hindi","विद्यार्थी का नाम :-","Student's Name :-")</f>
        <v>विद्यार्थी का नाम :-</v>
      </c>
      <c r="S93" s="1702" t="str">
        <f>IFERROR(VLOOKUP(AB94,'Statement of Marks'!$B$8:'Statement of Marks'!$HI$207,4,0),"")</f>
        <v>O</v>
      </c>
      <c r="T93" s="1702"/>
      <c r="U93" s="1702"/>
      <c r="V93" s="1702"/>
      <c r="W93" s="1702"/>
      <c r="X93" s="1702"/>
      <c r="Y93" s="1703" t="str">
        <f>IF('Master Sheet'!$D$11="Hindi","प्रवेशांक :","SR. NO. :")</f>
        <v>प्रवेशांक :</v>
      </c>
      <c r="Z93" s="1703"/>
      <c r="AA93" s="1703"/>
      <c r="AB93" s="1706">
        <f>IFERROR(VLOOKUP(AB94,'Statement of Marks'!$B$8:'Statement of Marks'!$HI$207,2,0),"")</f>
        <v>123</v>
      </c>
      <c r="AC93" s="1706"/>
      <c r="AD93" s="1706"/>
      <c r="AE93" s="1706"/>
      <c r="AF93" s="472"/>
      <c r="AQ93" s="17"/>
      <c r="AR93">
        <f>YEAR(AS92)</f>
        <v>2009</v>
      </c>
      <c r="AS93">
        <f>MONTH(AS92)</f>
        <v>9</v>
      </c>
      <c r="AT93">
        <f>DAY(AS92)</f>
        <v>9</v>
      </c>
      <c r="AU93" s="473"/>
      <c r="AX93">
        <f>YEAR(AY92)</f>
        <v>2008</v>
      </c>
      <c r="AY93">
        <f>MONTH(AY92)</f>
        <v>11</v>
      </c>
      <c r="AZ93">
        <f>DAY(AY92)</f>
        <v>11</v>
      </c>
      <c r="BE93" s="17"/>
      <c r="BF93" s="17"/>
    </row>
    <row r="94" spans="1:58" s="471" customFormat="1" ht="21" customHeight="1">
      <c r="A94" s="469"/>
      <c r="B94" s="740" t="str">
        <f>IF('Master Sheet'!$D$11="Hindi","पिता का नाम :-","Father's Name :-")</f>
        <v>पिता का नाम :-</v>
      </c>
      <c r="C94" s="1702" t="str">
        <f>IFERROR(VLOOKUP(L94,'Statement of Marks'!$B$8:'Statement of Marks'!$HI$207,5,0),"")</f>
        <v>T</v>
      </c>
      <c r="D94" s="1702"/>
      <c r="E94" s="1702"/>
      <c r="F94" s="1702"/>
      <c r="G94" s="1702"/>
      <c r="H94" s="1702"/>
      <c r="I94" s="1703" t="str">
        <f>IF('Master Sheet'!$D$11="Hindi","रोल नंबर :-","Roll No. :")</f>
        <v>रोल नंबर :-</v>
      </c>
      <c r="J94" s="1703"/>
      <c r="K94" s="1703"/>
      <c r="L94" s="1707">
        <f>IF(AB65="","",IF(AND(AB65+1&gt;$AN$11),"",AB65+1))</f>
        <v>1107</v>
      </c>
      <c r="M94" s="1707"/>
      <c r="N94" s="1707"/>
      <c r="O94" s="717"/>
      <c r="P94" s="472"/>
      <c r="Q94"/>
      <c r="R94" s="740" t="str">
        <f>IF('Master Sheet'!$D$11="Hindi","पिता का नाम :-","Father's Name :-")</f>
        <v>पिता का नाम :-</v>
      </c>
      <c r="S94" s="1702" t="str">
        <f>IFERROR(VLOOKUP(AB94,'Statement of Marks'!$B$8:'Statement of Marks'!$HI$207,5,0),"")</f>
        <v>R</v>
      </c>
      <c r="T94" s="1702"/>
      <c r="U94" s="1702"/>
      <c r="V94" s="1702"/>
      <c r="W94" s="1702"/>
      <c r="X94" s="1702"/>
      <c r="Y94" s="1703" t="str">
        <f>IF('Master Sheet'!$D$11="Hindi","रोल नंबर :-","Roll No. :")</f>
        <v>रोल नंबर :-</v>
      </c>
      <c r="Z94" s="1703"/>
      <c r="AA94" s="1703"/>
      <c r="AB94" s="1707">
        <f>IF(L94="","",IF(AND(L94+1&gt;$AN$11),"",L94+1))</f>
        <v>1108</v>
      </c>
      <c r="AC94" s="1707"/>
      <c r="AD94" s="1707"/>
      <c r="AE94" s="717"/>
      <c r="AF94" s="472"/>
      <c r="AQ94" s="17"/>
      <c r="AR94" t="str">
        <f>IF(AR93=2000,"दो हजार",IF(AR93=2001,"दो हजार एक",IF(AR93=2002,"दो हजार दो",IF(AR93=2003,"दो हजार तीन",IF(AR93=2004,"दो हजार चार",IF(AR93=2005,"दो हजार पांच",IF(AR93=2006,"दो हजार छः",IF(AR93=2007,"दो हजार सात",IF(AR93=2008,"दो हजार आठ",IF(AR93=2009,"दो हजार नौ",IF(AR93=2010,"दो हजार दस",IF(AR93=2011,"दो हजार इग्यारह",IF(AR93=2012,"दो हजार बारह",IF(AR93=2013,"दो हजार तेरह",IF(AR93=2014,"दो हजार चौदह",IF(AR93=2015,"दो हजार पंद्रह",IF(AR93=2016,"दो हजार सोलह",IF(AR93=2017,"दो हजार सत्रह",IF(AR93=2018,"दो हजार अठारह",IF(AR93=2019,"दो हजार उन्नीस",IF(AR93=2020,"दो हजार बीस",IF(AR93=2021,"दो हजार इक्कीस",IF(AR93=2022,"दो हजार बाइस","")))))))))))))))))))))))</f>
        <v>दो हजार नौ</v>
      </c>
      <c r="AS94" t="str">
        <f>IF(AS93=1,"जनवरी",IF(AS93=2,"फरवरी",IF(AS93=3,"मार्च",IF(AS93=4,"अप्रैल",IF(AS93=5,"मई",IF(AS93=6,"जून",IF(AS93=7,"जुलाई",IF(AS93=8,"अगस्त",IF(AS93=9,"सितम्बर",IF(AS93=10,"अक्टूबर",IF(AS93=11,"नवम्बर",IF(AS93=12,"दिसम्बर",""))))))))))))</f>
        <v>सितम्बर</v>
      </c>
      <c r="AT94" t="str">
        <f>IF(AT93=1,"एक",IF(AT93=2,"दो",IF(AT93=3,"तीन",IF(AT93=4,"चार",IF(AT93=5,"पांच",IF(AT93=6,"छः",IF(AT93=7,"सात",IF(AT93=8,"आठ",IF(AT93=9,"नौ",IF(AT93=10,"दस",IF(AT93=11,"इग्यारह",IF(AT93=12,"बारह",IF(AT93=13,"तेरह",IF(AT93=14,"चौदह",IF(AT93=15,"पंद्रह",IF(AT93=16,"सोलह",IF(AT93=17,"सत्रह",IF(AT93=18,"अठारह",IF(AT93=19,"उन्नीस",IF(AT93=20,"बीस",IF(AT93=21,"इक्कीस",IF(AT93=22,"बाइस",IF(AT93=23,"तेईस",IF(AT93=24,"चौबीस",IF(AT93=25,"पचीस",IF(AT93=26,"छबीस",IF(AT93=27,"सताईस",IF(AT93=28,"अठाइस",IF(AT93=29,"उन्नतीस",IF(AT93=30,"तीस",IF(AT93=31,"इकतीस","")))))))))))))))))))))))))))))))</f>
        <v>नौ</v>
      </c>
      <c r="AX94" t="str">
        <f>IF(AX93=2000,"दो हजार",IF(AX93=2001,"दो हजार एक",IF(AX93=2002,"दो हजार दो",IF(AX93=2003,"दो हजार तीन",IF(AX93=2004,"दो हजार चार",IF(AX93=2005,"दो हजार पांच",IF(AX93=2006,"दो हजार छः",IF(AX93=2007,"दो हजार सात",IF(AX93=2008,"दो हजार आठ",IF(AX93=2009,"दो हजार नौ",IF(AX93=2010,"दो हजार दस",IF(AX93=2011,"दो हजार इग्यारह",IF(AX93=2012,"दो हजार बारह",IF(AX93=2013,"दो हजार तेरह",IF(AX93=2014,"दो हजार चौदह",IF(AX93=2015,"दो हजार पंद्रह",IF(AX93=2016,"दो हजार सोलह",IF(AX93=2017,"दो हजार सत्रह",IF(AX93=2018,"दो हजार अठारह",IF(AX93=2019,"दो हजार उन्नीस",IF(AX93=2020,"दो हजार बीस",IF(AX93=2021,"दो हजार इक्कीस",IF(AX93=2022,"दो हजार बाइस","")))))))))))))))))))))))</f>
        <v>दो हजार आठ</v>
      </c>
      <c r="AY94" t="str">
        <f>IF(AY93=1,"जनवरी",IF(AY93=2,"फरवरी",IF(AY93=3,"मार्च",IF(AY93=4,"अप्रैल",IF(AY93=5,"मई",IF(AY93=6,"जून",IF(AY93=7,"जुलाई",IF(AY93=8,"अगस्त",IF(AY93=9,"सितम्बर",IF(AY93=10,"अक्टूबर",IF(AY93=11,"नवम्बर",IF(AY93=12,"दिसम्बर",""))))))))))))</f>
        <v>नवम्बर</v>
      </c>
      <c r="AZ94" t="str">
        <f>IF(AZ93=1,"एक",IF(AZ93=2,"दो",IF(AZ93=3,"तीन",IF(AZ93=4,"चार",IF(AZ93=5,"पांच",IF(AZ93=6,"छः",IF(AZ93=7,"सात",IF(AZ93=8,"आठ",IF(AZ93=9,"नौ",IF(AZ93=10,"दस",IF(AZ93=11,"इग्यारह",IF(AZ93=12,"बारह",IF(AZ93=13,"तेरह",IF(AZ93=14,"चौदह",IF(AZ93=15,"पंद्रह",IF(AZ93=16,"सोलह",IF(AZ93=17,"सत्रह",IF(AZ93=18,"अठारह",IF(AZ93=19,"उन्नीस",IF(AZ93=20,"बीस",IF(AZ93=21,"इक्कीस",IF(AZ93=22,"बाइस",IF(AZ93=23,"तेईस",IF(AZ93=24,"चौबीस",IF(AZ93=25,"पचीस",IF(AZ93=26,"छबीस",IF(AZ93=27,"सताईस",IF(AZ93=28,"अठाइस",IF(AZ93=29,"उन्नतीस",IF(AZ93=30,"तीस",IF(AZ93=31,"इकतीस","")))))))))))))))))))))))))))))))</f>
        <v>इग्यारह</v>
      </c>
      <c r="BE94" s="17"/>
      <c r="BF94" s="17"/>
    </row>
    <row r="95" spans="1:58" s="471" customFormat="1" ht="21" customHeight="1">
      <c r="A95" s="469"/>
      <c r="B95" s="739" t="str">
        <f>IF('Master Sheet'!$D$11="Hindi","माता का नाम :-","Mother's Name :-")</f>
        <v>माता का नाम :-</v>
      </c>
      <c r="C95" s="1702" t="str">
        <f>IFERROR(VLOOKUP(L94,'Statement of Marks'!$B$8:'Statement of Marks'!$HI$207,6,0),"")</f>
        <v>S</v>
      </c>
      <c r="D95" s="1702"/>
      <c r="E95" s="1702"/>
      <c r="F95" s="1702"/>
      <c r="G95" s="1702"/>
      <c r="H95" s="1702"/>
      <c r="I95" s="1703" t="str">
        <f>IF('Master Sheet'!$D$11="Hindi","जन्म तिथि :","Date of Birth :")</f>
        <v>जन्म तिथि :</v>
      </c>
      <c r="J95" s="1703"/>
      <c r="K95" s="1703"/>
      <c r="L95" s="1704">
        <f>IFERROR(VLOOKUP(L94,'Statement of Marks'!$B$8:'Statement of Marks'!$HI$207,3,0),"")</f>
        <v>40065</v>
      </c>
      <c r="M95" s="1704"/>
      <c r="N95" s="1704"/>
      <c r="O95" s="1704"/>
      <c r="Q95"/>
      <c r="R95" s="739" t="str">
        <f>IF('Master Sheet'!$D$11="Hindi","माता का नाम :-","Mother's Name :-")</f>
        <v>माता का नाम :-</v>
      </c>
      <c r="S95" s="1702" t="str">
        <f>IFERROR(VLOOKUP(AB94,'Statement of Marks'!$B$8:'Statement of Marks'!$HI$207,6,0),"")</f>
        <v>I</v>
      </c>
      <c r="T95" s="1702"/>
      <c r="U95" s="1702"/>
      <c r="V95" s="1702"/>
      <c r="W95" s="1702"/>
      <c r="X95" s="1702"/>
      <c r="Y95" s="1703" t="str">
        <f>IF('Master Sheet'!$D$11="Hindi","जन्म तिथि :","Date of Birth :")</f>
        <v>जन्म तिथि :</v>
      </c>
      <c r="Z95" s="1703"/>
      <c r="AA95" s="1703"/>
      <c r="AB95" s="1704">
        <f>IFERROR(VLOOKUP(AB94,'Statement of Marks'!$B$8:'Statement of Marks'!$HI$207,3,0),"")</f>
        <v>39763</v>
      </c>
      <c r="AC95" s="1704"/>
      <c r="AD95" s="1704"/>
      <c r="AE95" s="1704"/>
      <c r="AQ95" s="17"/>
      <c r="AR95"/>
      <c r="AS95" t="str">
        <f>CONCATENATE(AT94," ",AS94," ",AR94)</f>
        <v>नौ सितम्बर दो हजार नौ</v>
      </c>
      <c r="AT95"/>
      <c r="AX95"/>
      <c r="AY95" t="str">
        <f>CONCATENATE(AZ94," ",AY94," ",AX94)</f>
        <v>इग्यारह नवम्बर दो हजार आठ</v>
      </c>
      <c r="AZ95"/>
      <c r="BE95" s="17"/>
      <c r="BF95" s="17"/>
    </row>
    <row r="96" spans="1:58" s="471" customFormat="1" ht="21" customHeight="1">
      <c r="A96" s="469"/>
      <c r="B96" s="470"/>
      <c r="C96" s="722"/>
      <c r="D96" s="722"/>
      <c r="E96" s="722"/>
      <c r="F96" s="722"/>
      <c r="G96" s="722"/>
      <c r="H96" s="722"/>
      <c r="I96" s="1703" t="str">
        <f>IF('Master Sheet'!$D$11="Hindi","जन्मतिथि शब्दों में :","Date of Birth in Words :")</f>
        <v>जन्मतिथि शब्दों में :</v>
      </c>
      <c r="J96" s="1703"/>
      <c r="K96" s="1703"/>
      <c r="L96" s="1705" t="str">
        <f>IF('Master Sheet'!$D$11="Hindi",AS95,AS97)</f>
        <v>नौ सितम्बर दो हजार नौ</v>
      </c>
      <c r="M96" s="1705"/>
      <c r="N96" s="1705"/>
      <c r="O96" s="1705"/>
      <c r="P96" s="1705"/>
      <c r="Q96"/>
      <c r="R96" s="470"/>
      <c r="S96" s="722"/>
      <c r="T96" s="722"/>
      <c r="U96" s="722"/>
      <c r="V96" s="722"/>
      <c r="W96" s="722"/>
      <c r="X96" s="722"/>
      <c r="Y96" s="1703" t="str">
        <f>IF('Master Sheet'!$D$11="Hindi","जन्मतिथि शब्दों में :","Date of Birth in Words :")</f>
        <v>जन्मतिथि शब्दों में :</v>
      </c>
      <c r="Z96" s="1703"/>
      <c r="AA96" s="1703"/>
      <c r="AB96" s="1705" t="str">
        <f>IF('Master Sheet'!$D$11="Hindi",AY95,AY97)</f>
        <v>इग्यारह नवम्बर दो हजार आठ</v>
      </c>
      <c r="AC96" s="1705"/>
      <c r="AD96" s="1705"/>
      <c r="AE96" s="1705"/>
      <c r="AF96" s="1705"/>
      <c r="AQ96" s="17"/>
      <c r="AR96" t="str">
        <f>IF(AR93=1961,"NINETEEN SIXTY ONE",IF(AR93=1962,"NINETEEN SIXTY TWO",IF(AR93=1963,"NINETEEN SIXTY THREE",IF(AR93=1964,"NINETEEN SIXTY FOUR",IF(AR93=1965,"NINETEEN SIXTY FIVE",IF(AR93=1966,"NINETEEN SIXTY SIX",IF(AR93=1967,"NINETEEN SIXTY SEVEN",IF(AR93=1968,"NINETEEN SIXTY EIGHT",IF(AR93=1969,"NINETEEN SIXTY NINE",IF(AR93=1970,"NINETEEN SEVENTY",IF(AR93=1971,"NINETEEN SEVENTY ONE",IF(AR93=1972,"NINETEEN SEVENTY TWO",IF(AR93=1973,"NINETEEN SEVENTY THREE",IF(AR93=1974,"NINETEEN SEVENTY FOUR",IF(AR93=1975,"NINETEEN SEVENTY FIVE",IF(AR93=1976,"NINETEEN SEVENTY SIX",IF(AR93=1977,"NINETEEN SEVENTY SEVEN",IF(AR93=1978,"NINETEEN SEVENTY EIGHT",IF(AR93=1979,"NINETEEN SEVENTY NINE",IF(AR93=1980,"NINETEEN EIGHTY",IF(AR93=1981,"NINETEEN EIGHTY ONE",IF(AR93=1982,"NINETEEN EIGHTY TWO",IF(AR93=1983,"NINETEEN EIGHTY THREE",IF(AR93=1984,"NINETEEN EIGHTY FOUR",IF(AR93=1985,"NINETEEN EIGHTY FIVE",IF(AR93=1986,"NINETEEN EIGHTY SIX",IF(AR93=1987,"NINETEEN EIGHTY SEVEN",IF(AR93=1988,"NINETEEN EIGHTY EIGHT",IF(AR93=1989,"NINETEEN EIGHTY NINE",IF(AR93=1990,"NINETEEN NINETY",IF(AR93=1991,"NINETEEN NINETY ONE",IF(AR93=1992,"NINETEEN NINETY TWO",IF(AR93=1993,"NINETEEN NINETY THREE",IF(AR93=1994,"NINETEEN NINETY FOUR",IF(AR93=1995,"NINETEEN NINETY FIVE",IF(AR93=1996,"NINETEEN NINETY SIX",IF(AR93=1997,"NINETEEN NINETY SEVEN",IF(AR93=1998,"NINETEEN NINETY EIGHT",IF(AR93=1999,"NINETEEN NINETY NINE",IF(AR93=2000,"TWO THOUSAND",IF(AR93=2001,"TWO THOUSAND ONE",IF(AR93=2002,"TWO THOUSAND TWO",IF(AR93=2003,"TWO THOUSAND THREE",IF(AR93=2004,"TWO THOUSAND FOUR",IF(AR93=2005,"TWO THOUSAND FIVE",IF(AR93=2006,"TWO THOUSAND SIX",IF(AR93=2007,"TWO THOUSAND SEVEN",IF(AR93=2008,"TWO THOUSAND EIGHT",IF(AR93=2009,"TWO THOUSAND NINE",IF(AR93=2010,"TWO THOUSAND TEN",IF(AR93=2011,"TWO THOUSAND ELEVEN",IF(AR93=2012,"TWO THOUSAND TWELVE",IF(AR93=2013,"TWO THOUSAND THIRTEEN",IF(AR93=2014,"TWO THOUSAND FOURTEEN",IF(AR93=2015,"TWO THOUSAND FIFTEEN",IF(AR93=2016,"TWO THOUSAND SIXTEEN",IF(AR93=2017,"TWO THOUSAND SEVENTEEN",IF(AR93=2018,"TWO THOUSAND EIGHTEEN",IF(AR93=2019,"TWO THOUSAND NINETEEN",IF(AR93=2020,"TWO THOUSAND TWENTY",IF(AR93=2021,"TWO THOUSAND TWENTY ONE",IF(AR93=2022,"TWO THOUSAND TWENTY TWO",IF(AR93=2023,"TWO THOUSAND TWENTY THREE",IF(AR93=2024,"TWO THOUSAND TWENTY FOUR",IF(AR93=2025,"TWO THOUSAND TWENTY FIVE","")))))))))))))))))))))))))))))))))))))))))))))))))))))))))))))))))</f>
        <v>TWO THOUSAND NINE</v>
      </c>
      <c r="AS96" t="str">
        <f>IF(AS93=1,"JANUARY",IF(AS93=2,"FEBUARY", IF(AS93=3,"MARCH",IF(AS93=4,"APRIL",IF(AS93=5,"MAY",IF(AS93=6,"JUNE",IF(AS93=7,"JULY",IF(AS93=8,"AUGUST",IF(AS93=9,"SEPTEMBER",IF(AS93=10,"OCTOBER",IF(AS93=11,"NOVEMBER",IF(AS93=12,"DECEMBER",""))))))))))))</f>
        <v>SEPTEMBER</v>
      </c>
      <c r="AT96" t="str">
        <f>IF(AT93=1,"1ST",IF(AT93=2,"2ND", IF(AT93=3,"3RD",IF(AT93=4,"FOURTH",IF(AT93=5,"FIFTH",IF(AT93=6,"SIXTH",IF(AT93=7,"7TH",IF(AT93=8,"8TH",IF(AT93=9,"9TH",IF(AT93=10,"10TH",IF(AT93=11,"11TH",IF(AT93=12,"12TH",IF(AT93=13,"13TH",IF(AT93=14,"14TH",IF(AT93=15,"FIFTEEN",IF(AT93=16,"SIXTEEN",IF(AT93=17,"SEVENTEEN",IF(AT93=18,"EIGHTEEN",IF(AT93=19,"NINETEEN",IF(AT93=20,"TWENTY",IF(AT93=21,"TWENTY FIRST",IF(AT93=22,"TWENTY SECOND",IF(AT93=23,"TWENTY THIRD",IF(AT93=24,"TWENTY FOURTH",IF(AT93=25,"TWENTY FIFTH",IF(AT93=26,"TWENTY SIX",IF(AT93=27,"TWENTY SEVEN",IF(AT93=28,"TWENTY EIGHT",IF(AT93=29,"TWENTY NINE",IF(AT93=30,"THIRTY",IF(AT93=31,"THIRTY FIRST","")))))))))))))))))))))))))))))))</f>
        <v>9TH</v>
      </c>
      <c r="AX96" t="str">
        <f>IF(AX93=1961,"NINETEEN SIXTY ONE",IF(AX93=1962,"NINETEEN SIXTY TWO",IF(AX93=1963,"NINETEEN SIXTY THREE",IF(AX93=1964,"NINETEEN SIXTY FOUR",IF(AX93=1965,"NINETEEN SIXTY FIVE",IF(AX93=1966,"NINETEEN SIXTY SIX",IF(AX93=1967,"NINETEEN SIXTY SEVEN",IF(AX93=1968,"NINETEEN SIXTY EIGHT",IF(AX93=1969,"NINETEEN SIXTY NINE",IF(AX93=1970,"NINETEEN SEVENTY",IF(AX93=1971,"NINETEEN SEVENTY ONE",IF(AX93=1972,"NINETEEN SEVENTY TWO",IF(AX93=1973,"NINETEEN SEVENTY THREE",IF(AX93=1974,"NINETEEN SEVENTY FOUR",IF(AX93=1975,"NINETEEN SEVENTY FIVE",IF(AX93=1976,"NINETEEN SEVENTY SIX",IF(AX93=1977,"NINETEEN SEVENTY SEVEN",IF(AX93=1978,"NINETEEN SEVENTY EIGHT",IF(AX93=1979,"NINETEEN SEVENTY NINE",IF(AX93=1980,"NINETEEN EIGHTY",IF(AX93=1981,"NINETEEN EIGHTY ONE",IF(AX93=1982,"NINETEEN EIGHTY TWO",IF(AX93=1983,"NINETEEN EIGHTY THREE",IF(AX93=1984,"NINETEEN EIGHTY FOUR",IF(AX93=1985,"NINETEEN EIGHTY FIVE",IF(AX93=1986,"NINETEEN EIGHTY SIX",IF(AX93=1987,"NINETEEN EIGHTY SEVEN",IF(AX93=1988,"NINETEEN EIGHTY EIGHT",IF(AX93=1989,"NINETEEN EIGHTY NINE",IF(AX93=1990,"NINETEEN NINETY",IF(AX93=1991,"NINETEEN NINETY ONE",IF(AX93=1992,"NINETEEN NINETY TWO",IF(AX93=1993,"NINETEEN NINETY THREE",IF(AX93=1994,"NINETEEN NINETY FOUR",IF(AX93=1995,"NINETEEN NINETY FIVE",IF(AX93=1996,"NINETEEN NINETY SIX",IF(AX93=1997,"NINETEEN NINETY SEVEN",IF(AX93=1998,"NINETEEN NINETY EIGHT",IF(AX93=1999,"NINETEEN NINETY NINE",IF(AX93=2000,"TWO THOUSAND",IF(AX93=2001,"TWO THOUSAND ONE",IF(AX93=2002,"TWO THOUSAND TWO",IF(AX93=2003,"TWO THOUSAND THREE",IF(AX93=2004,"TWO THOUSAND FOUR",IF(AX93=2005,"TWO THOUSAND FIVE",IF(AX93=2006,"TWO THOUSAND SIX",IF(AX93=2007,"TWO THOUSAND SEVEN",IF(AX93=2008,"TWO THOUSAND EIGHT",IF(AX93=2009,"TWO THOUSAND NINE",IF(AX93=2010,"TWO THOUSAND TEN",IF(AX93=2011,"TWO THOUSAND ELEVEN",IF(AX93=2012,"TWO THOUSAND TWELVE",IF(AX93=2013,"TWO THOUSAND THIRTEEN",IF(AX93=2014,"TWO THOUSAND FOURTEEN",IF(AX93=2015,"TWO THOUSAND FIFTEEN",IF(AX93=2016,"TWO THOUSAND SIXTEEN",IF(AX93=2017,"TWO THOUSAND SEVENTEEN",IF(AX93=2018,"TWO THOUSAND EIGHTEEN",IF(AX93=2019,"TWO THOUSAND NINETEEN",IF(AX93=2020,"TWO THOUSAND TWENTY",IF(AX93=2021,"TWO THOUSAND TWENTY ONE",IF(AX93=2022,"TWO THOUSAND TWENTY TWO",IF(AX93=2023,"TWO THOUSAND TWENTY THREE",IF(AX93=2024,"TWO THOUSAND TWENTY FOUR",IF(AX93=2025,"TWO THOUSAND TWENTY FIVE","")))))))))))))))))))))))))))))))))))))))))))))))))))))))))))))))))</f>
        <v>TWO THOUSAND EIGHT</v>
      </c>
      <c r="AY96" t="str">
        <f>IF(AY93=1,"JANUARY",IF(AY93=2,"FEBUARY", IF(AY93=3,"MARCH",IF(AY93=4,"APRIL",IF(AY93=5,"MAY",IF(AY93=6,"JUNE",IF(AY93=7,"JULY",IF(AY93=8,"AUGUST",IF(AY93=9,"SEPTEMBER",IF(AY93=10,"OCTOBER",IF(AY93=11,"NOVEMBER",IF(AY93=12,"DECEMBER",""))))))))))))</f>
        <v>NOVEMBER</v>
      </c>
      <c r="AZ96" t="str">
        <f>IF(AZ93=1,"1ST",IF(AZ93=2,"2ND", IF(AZ93=3,"3RD",IF(AZ93=4,"FOURTH",IF(AZ93=5,"FIFTH",IF(AZ93=6,"SIXTH",IF(AZ93=7,"7TH",IF(AZ93=8,"8TH",IF(AZ93=9,"9TH",IF(AZ93=10,"10TH",IF(AZ93=11,"11TH",IF(AZ93=12,"12TH",IF(AZ93=13,"13TH",IF(AZ93=14,"14TH",IF(AZ93=15,"FIFTEEN",IF(AZ93=16,"SIXTEEN",IF(AZ93=17,"SEVENTEEN",IF(AZ93=18,"EIGHTEEN",IF(AZ93=19,"NINETEEN",IF(AZ93=20,"TWENTY",IF(AZ93=21,"TWENTY FIRST",IF(AZ93=22,"TWENTY SECOND",IF(AZ93=23,"TWENTY THIRD",IF(AZ93=24,"TWENTY FOURTH",IF(AZ93=25,"TWENTY FIFTH",IF(AZ93=26,"TWENTY SIX",IF(AZ93=27,"TWENTY SEVEN",IF(AZ93=28,"TWENTY EIGHT",IF(AZ93=29,"TWENTY NINE",IF(AZ93=30,"THIRTY",IF(AZ93=31,"THIRTY FIRST","")))))))))))))))))))))))))))))))</f>
        <v>11TH</v>
      </c>
      <c r="BE96" s="17"/>
      <c r="BF96" s="17"/>
    </row>
    <row r="97" spans="1:58" s="471" customFormat="1" ht="9.75" customHeight="1">
      <c r="A97" s="469"/>
      <c r="B97" s="1696"/>
      <c r="C97" s="1696"/>
      <c r="D97" s="1696"/>
      <c r="E97" s="1696"/>
      <c r="F97" s="1696"/>
      <c r="G97" s="1696"/>
      <c r="H97" s="1696"/>
      <c r="I97" s="1696"/>
      <c r="J97" s="1696"/>
      <c r="K97" s="1696"/>
      <c r="L97" s="1696"/>
      <c r="M97" s="1696"/>
      <c r="N97" s="1696"/>
      <c r="O97" s="1696"/>
      <c r="P97" s="721"/>
      <c r="Q97"/>
      <c r="R97" s="1697"/>
      <c r="S97" s="1697"/>
      <c r="T97" s="1697"/>
      <c r="U97" s="1697"/>
      <c r="V97" s="1697"/>
      <c r="W97" s="1697"/>
      <c r="X97" s="1697"/>
      <c r="Y97" s="1697"/>
      <c r="Z97" s="1697"/>
      <c r="AA97" s="1697"/>
      <c r="AB97" s="1697"/>
      <c r="AC97" s="1697"/>
      <c r="AD97" s="1697"/>
      <c r="AE97" s="1697"/>
      <c r="AF97" s="718"/>
      <c r="AQ97" s="17"/>
      <c r="AR97"/>
      <c r="AS97" t="str">
        <f>CONCATENATE(AS96," ",AT96,", ",AR96)</f>
        <v>SEPTEMBER 9TH, TWO THOUSAND NINE</v>
      </c>
      <c r="AT97"/>
      <c r="AX97"/>
      <c r="AY97" t="str">
        <f>CONCATENATE(AY96," ",AZ96,", ",AX96)</f>
        <v>NOVEMBER 11TH, TWO THOUSAND EIGHT</v>
      </c>
      <c r="AZ97"/>
      <c r="BE97" s="17"/>
      <c r="BF97" s="17"/>
    </row>
    <row r="98" spans="1:58" s="471" customFormat="1" ht="27.75" customHeight="1">
      <c r="A98" s="469"/>
      <c r="B98" s="1698" t="str">
        <f>IF('Master Sheet'!$D$11="Hindi","विषय का नाम","Subject Name")</f>
        <v>विषय का नाम</v>
      </c>
      <c r="C98" s="1699" t="str">
        <f>IF('Master Sheet'!$D$11="Hindi","सामयिक परख","Seasonal Exam")</f>
        <v>सामयिक परख</v>
      </c>
      <c r="D98" s="1699"/>
      <c r="E98" s="1699"/>
      <c r="F98" s="1699"/>
      <c r="G98" s="1699" t="str">
        <f>IF('Master Sheet'!$D$11="Hindi","अर्द्धवार्षिक","Half Yearly")</f>
        <v>अर्द्धवार्षिक</v>
      </c>
      <c r="H98" s="1699"/>
      <c r="I98" s="1699"/>
      <c r="J98" s="1700" t="str">
        <f>IF('Master Sheet'!$D$11="Hindi","अर्द्ध वा. तक योग","Total Till H.Y.")</f>
        <v>अर्द्ध वा. तक योग</v>
      </c>
      <c r="K98" s="1699" t="str">
        <f>IF('Master Sheet'!$D$11="Hindi","वार्षिक","Yearly Exam")</f>
        <v>वार्षिक</v>
      </c>
      <c r="L98" s="1699"/>
      <c r="M98" s="1699"/>
      <c r="N98" s="1699"/>
      <c r="O98" s="1701" t="str">
        <f>IF('Master Sheet'!$D$11="Hindi","विषय कुल योग ","Subject Total")</f>
        <v xml:space="preserve">विषय कुल योग </v>
      </c>
      <c r="P98" s="1686" t="str">
        <f>IF('Master Sheet'!$D$11="Hindi","विषय परिणाम / विषय श्रेणी","Sub. Result /  Sub. Div.")</f>
        <v>विषय परिणाम / विषय श्रेणी</v>
      </c>
      <c r="Q98"/>
      <c r="R98" s="1698" t="str">
        <f>IF('Master Sheet'!$D$11="Hindi","विषय का नाम","Subject Name")</f>
        <v>विषय का नाम</v>
      </c>
      <c r="S98" s="1699" t="str">
        <f>IF('Master Sheet'!$D$11="Hindi","सामयिक परख","Seasonal Exam")</f>
        <v>सामयिक परख</v>
      </c>
      <c r="T98" s="1699"/>
      <c r="U98" s="1699"/>
      <c r="V98" s="1699"/>
      <c r="W98" s="1699" t="str">
        <f>IF('Master Sheet'!$D$11="Hindi","अर्द्धवार्षिक","Half Yearly")</f>
        <v>अर्द्धवार्षिक</v>
      </c>
      <c r="X98" s="1699"/>
      <c r="Y98" s="1699"/>
      <c r="Z98" s="1700" t="str">
        <f>IF('Master Sheet'!$D$11="Hindi","अर्द्ध वा. तक योग","Total Till H.Y.")</f>
        <v>अर्द्ध वा. तक योग</v>
      </c>
      <c r="AA98" s="1699" t="str">
        <f>IF('Master Sheet'!$D$11="Hindi","वार्षिक","Yearly Exam")</f>
        <v>वार्षिक</v>
      </c>
      <c r="AB98" s="1699"/>
      <c r="AC98" s="1699"/>
      <c r="AD98" s="1699"/>
      <c r="AE98" s="1701" t="str">
        <f>IF('Master Sheet'!$D$11="Hindi","विषय कुल योग ","Subject Total")</f>
        <v xml:space="preserve">विषय कुल योग </v>
      </c>
      <c r="AF98" s="1686" t="str">
        <f>IF('Master Sheet'!$D$11="Hindi","विषय परिणाम / विषय श्रेणी","Sub. Result /  Sub. Div.")</f>
        <v>विषय परिणाम / विषय श्रेणी</v>
      </c>
      <c r="AQ98" s="17"/>
      <c r="AR98"/>
      <c r="AS98"/>
      <c r="AT98"/>
      <c r="AX98"/>
      <c r="AY98"/>
      <c r="AZ98"/>
      <c r="BE98" s="17"/>
      <c r="BF98" s="17"/>
    </row>
    <row r="99" spans="1:58" s="471" customFormat="1" ht="78.75" customHeight="1">
      <c r="A99" s="469"/>
      <c r="B99" s="1698"/>
      <c r="C99" s="745" t="str">
        <f>IF('Master Sheet'!$D$11="Hindi","प्रथम परख ","First Test")</f>
        <v xml:space="preserve">प्रथम परख </v>
      </c>
      <c r="D99" s="745" t="str">
        <f>IF('Master Sheet'!$D$11="Hindi","द्वितीय परख","Second Test")</f>
        <v>द्वितीय परख</v>
      </c>
      <c r="E99" s="745" t="str">
        <f>IF('Master Sheet'!$D$11="Hindi","तृतीय परख","Third Test")</f>
        <v>तृतीय परख</v>
      </c>
      <c r="F99" s="746" t="str">
        <f>IF('Master Sheet'!$D$11="Hindi","सा. परख योग","Test Total")</f>
        <v>सा. परख योग</v>
      </c>
      <c r="G99" s="745" t="str">
        <f>IF('Master Sheet'!$D$11="Hindi","सैद्धांतिक","Theoretical")</f>
        <v>सैद्धांतिक</v>
      </c>
      <c r="H99" s="745" t="str">
        <f>IF('Master Sheet'!$D$11="Hindi","प्रायोगिक","Practical")</f>
        <v>प्रायोगिक</v>
      </c>
      <c r="I99" s="747" t="str">
        <f>IF('Master Sheet'!$D$11="Hindi","अर्द्ध वा. योग","Total H.Y.")</f>
        <v>अर्द्ध वा. योग</v>
      </c>
      <c r="J99" s="1700"/>
      <c r="K99" s="745" t="str">
        <f>IF('Master Sheet'!$D$11="Hindi","सैद्धांतिक","Theoretical")</f>
        <v>सैद्धांतिक</v>
      </c>
      <c r="L99" s="745" t="str">
        <f>IF('Master Sheet'!$D$11="Hindi","प्रायोगिक","Practical")</f>
        <v>प्रायोगिक</v>
      </c>
      <c r="M99" s="745" t="str">
        <f>IF('Master Sheet'!$D$11="Hindi","पोर्टफोलियो","Portfolio")</f>
        <v>पोर्टफोलियो</v>
      </c>
      <c r="N99" s="747" t="str">
        <f>IF('Master Sheet'!$D$11="Hindi","वार्षिक योग","Total Yearly")</f>
        <v>वार्षिक योग</v>
      </c>
      <c r="O99" s="1701"/>
      <c r="P99" s="1686"/>
      <c r="Q99"/>
      <c r="R99" s="1698"/>
      <c r="S99" s="745" t="str">
        <f>IF('Master Sheet'!$D$11="Hindi","प्रथम परख ","First Test")</f>
        <v xml:space="preserve">प्रथम परख </v>
      </c>
      <c r="T99" s="745" t="str">
        <f>IF('Master Sheet'!$D$11="Hindi","द्वितीय परख","Second Test")</f>
        <v>द्वितीय परख</v>
      </c>
      <c r="U99" s="745" t="str">
        <f>IF('Master Sheet'!$D$11="Hindi","तृतीय परख","Third Test")</f>
        <v>तृतीय परख</v>
      </c>
      <c r="V99" s="746" t="str">
        <f>IF('Master Sheet'!$D$11="Hindi","सा. परख योग","Test Total")</f>
        <v>सा. परख योग</v>
      </c>
      <c r="W99" s="745" t="str">
        <f>IF('Master Sheet'!$D$11="Hindi","सैद्धांतिक","Theoretical")</f>
        <v>सैद्धांतिक</v>
      </c>
      <c r="X99" s="745" t="str">
        <f>IF('Master Sheet'!$D$11="Hindi","प्रायोगिक","Practical")</f>
        <v>प्रायोगिक</v>
      </c>
      <c r="Y99" s="747" t="str">
        <f>IF('Master Sheet'!$D$11="Hindi","अर्द्ध वा. योग","Total H.Y.")</f>
        <v>अर्द्ध वा. योग</v>
      </c>
      <c r="Z99" s="1700"/>
      <c r="AA99" s="745" t="str">
        <f>IF('Master Sheet'!$D$11="Hindi","सैद्धांतिक","Theoretical")</f>
        <v>सैद्धांतिक</v>
      </c>
      <c r="AB99" s="745" t="str">
        <f>IF('Master Sheet'!$D$11="Hindi","प्रायोगिक","Practical")</f>
        <v>प्रायोगिक</v>
      </c>
      <c r="AC99" s="745" t="str">
        <f>IF('Master Sheet'!$D$11="Hindi","पोर्टफोलियो","Portfolio")</f>
        <v>पोर्टफोलियो</v>
      </c>
      <c r="AD99" s="747" t="str">
        <f>IF('Master Sheet'!$D$11="Hindi","वार्षिक योग","Total Yearly")</f>
        <v>वार्षिक योग</v>
      </c>
      <c r="AE99" s="1701"/>
      <c r="AF99" s="1686"/>
      <c r="AQ99" s="17"/>
      <c r="AR99"/>
      <c r="AS99"/>
      <c r="AT99"/>
      <c r="AX99"/>
      <c r="AY99"/>
      <c r="AZ99"/>
      <c r="BE99" s="17"/>
      <c r="BF99" s="17"/>
    </row>
    <row r="100" spans="1:58" s="475" customFormat="1" ht="28.5" customHeight="1">
      <c r="A100" s="474"/>
      <c r="B100" s="1698"/>
      <c r="C100" s="742">
        <v>10</v>
      </c>
      <c r="D100" s="742">
        <v>10</v>
      </c>
      <c r="E100" s="742">
        <v>10</v>
      </c>
      <c r="F100" s="794">
        <v>30</v>
      </c>
      <c r="G100" s="743" t="s">
        <v>288</v>
      </c>
      <c r="H100" s="723" t="s">
        <v>284</v>
      </c>
      <c r="I100" s="744">
        <v>70</v>
      </c>
      <c r="J100" s="751">
        <v>100</v>
      </c>
      <c r="K100" s="743" t="s">
        <v>285</v>
      </c>
      <c r="L100" s="723" t="s">
        <v>142</v>
      </c>
      <c r="M100" s="742">
        <v>20</v>
      </c>
      <c r="N100" s="744">
        <v>100</v>
      </c>
      <c r="O100" s="752">
        <v>200</v>
      </c>
      <c r="P100" s="1686"/>
      <c r="Q100"/>
      <c r="R100" s="1698"/>
      <c r="S100" s="742">
        <v>10</v>
      </c>
      <c r="T100" s="742">
        <v>10</v>
      </c>
      <c r="U100" s="742">
        <v>10</v>
      </c>
      <c r="V100" s="794">
        <v>30</v>
      </c>
      <c r="W100" s="743" t="s">
        <v>288</v>
      </c>
      <c r="X100" s="723" t="s">
        <v>284</v>
      </c>
      <c r="Y100" s="744">
        <v>70</v>
      </c>
      <c r="Z100" s="751">
        <v>100</v>
      </c>
      <c r="AA100" s="743" t="s">
        <v>285</v>
      </c>
      <c r="AB100" s="723" t="s">
        <v>142</v>
      </c>
      <c r="AC100" s="742">
        <v>20</v>
      </c>
      <c r="AD100" s="744">
        <v>100</v>
      </c>
      <c r="AE100" s="752">
        <v>200</v>
      </c>
      <c r="AF100" s="1686"/>
      <c r="AQ100" s="17"/>
      <c r="AR100"/>
      <c r="AS100"/>
      <c r="AT100"/>
      <c r="AX100"/>
      <c r="AY100"/>
      <c r="AZ100"/>
      <c r="BE100" s="17"/>
      <c r="BF100" s="17"/>
    </row>
    <row r="101" spans="1:58" s="471" customFormat="1" ht="22.5" customHeight="1">
      <c r="A101" s="469"/>
      <c r="B101" s="716" t="str">
        <f>'Statement of Marks'!$J$3</f>
        <v>Com. Hindi</v>
      </c>
      <c r="C101" s="92">
        <f>IFERROR(VLOOKUP(L94,'Statement of Marks'!$B$8:'Statement of Marks'!$HI$207,9,0),"")</f>
        <v>7</v>
      </c>
      <c r="D101" s="92">
        <f>IFERROR(VLOOKUP(L94,'Statement of Marks'!$B$8:'Statement of Marks'!$HI$207,10,0),"")</f>
        <v>9</v>
      </c>
      <c r="E101" s="92">
        <f>IFERROR(VLOOKUP(L94,'Statement of Marks'!$B$8:'Statement of Marks'!$HI$207,11,0),"")</f>
        <v>8</v>
      </c>
      <c r="F101" s="465">
        <f>IFERROR(VLOOKUP(L94,'Statement of Marks'!$B$8:'Statement of Marks'!$HI$207,12,0),"")</f>
        <v>24</v>
      </c>
      <c r="G101" s="92">
        <f>IFERROR(VLOOKUP(L94,'Statement of Marks'!$B$8:'Statement of Marks'!$HI$207,13,0),"")</f>
        <v>43</v>
      </c>
      <c r="H101" s="92"/>
      <c r="I101" s="793">
        <f>IFERROR(VLOOKUP(L94,'Statement of Marks'!$B$8:'Statement of Marks'!$HI$207,13,0),"")</f>
        <v>43</v>
      </c>
      <c r="J101" s="730">
        <f>IFERROR(IF(AND(L94="",A101="",F101="",I101=""),"",SUM(C101,D101,E101,G101,H101)),"")</f>
        <v>67</v>
      </c>
      <c r="K101" s="92">
        <f>IFERROR(VLOOKUP(L94,'Statement of Marks'!$B$8:'Statement of Marks'!$HI$207,15,0),"")</f>
        <v>43</v>
      </c>
      <c r="L101" s="466"/>
      <c r="M101" s="727"/>
      <c r="N101" s="765">
        <f>IFERROR(VLOOKUP(L94,'Statement of Marks'!$B$8:'Statement of Marks'!$HI$207,15,0),"")</f>
        <v>43</v>
      </c>
      <c r="O101" s="738">
        <f>IFERROR(VLOOKUP(L94,'Statement of Marks'!$B$8:'Statement of Marks'!$HI$207,16,0),"")</f>
        <v>110</v>
      </c>
      <c r="P101" s="728" t="str">
        <f>IFERROR(IF(N101="","",IF(VLOOKUP(L94,'Statement of Marks'!$B$8:'Statement of Marks'!$HI$207,165,0)="D","I",VLOOKUP(L94,'Statement of Marks'!$B$8:'Statement of Marks'!$HI$207,165,0))),"")</f>
        <v>II</v>
      </c>
      <c r="Q101"/>
      <c r="R101" s="716" t="str">
        <f>'Statement of Marks'!$J$3</f>
        <v>Com. Hindi</v>
      </c>
      <c r="S101" s="92">
        <f>IFERROR(VLOOKUP(AB94,'Statement of Marks'!$B$8:'Statement of Marks'!$HI$207,9,0),"")</f>
        <v>10</v>
      </c>
      <c r="T101" s="92">
        <f>IFERROR(VLOOKUP(AB94,'Statement of Marks'!$B$8:'Statement of Marks'!$HI$207,10,0),"")</f>
        <v>10</v>
      </c>
      <c r="U101" s="92">
        <f>IFERROR(VLOOKUP(AB94,'Statement of Marks'!$B$8:'Statement of Marks'!$HI$207,11,0),"")</f>
        <v>8</v>
      </c>
      <c r="V101" s="465">
        <f>IFERROR(VLOOKUP(AB94,'Statement of Marks'!$B$8:'Statement of Marks'!$HI$207,12,0),"")</f>
        <v>28</v>
      </c>
      <c r="W101" s="92">
        <f>IFERROR(VLOOKUP(AB94,'Statement of Marks'!$B$8:'Statement of Marks'!$HI$207,13,0),"")</f>
        <v>46</v>
      </c>
      <c r="X101" s="92"/>
      <c r="Y101" s="793">
        <f>IFERROR(VLOOKUP(AB94,'Statement of Marks'!$B$8:'Statement of Marks'!$HI$207,13,0),"")</f>
        <v>46</v>
      </c>
      <c r="Z101" s="730">
        <f>IFERROR(IF(AND(AB94="",Q101="",V101="",Y101=""),"",SUM(S101,T101,U101,W101,X101)),"")</f>
        <v>74</v>
      </c>
      <c r="AA101" s="92">
        <f>IFERROR(VLOOKUP(AB94,'Statement of Marks'!$B$8:'Statement of Marks'!$HI$207,15,0),"")</f>
        <v>25</v>
      </c>
      <c r="AB101" s="466"/>
      <c r="AC101" s="727"/>
      <c r="AD101" s="765">
        <f>IFERROR(VLOOKUP(AB94,'Statement of Marks'!$B$8:'Statement of Marks'!$HI$207,15,0),"")</f>
        <v>25</v>
      </c>
      <c r="AE101" s="738">
        <f>IFERROR(VLOOKUP(AB94,'Statement of Marks'!$B$8:'Statement of Marks'!$HI$207,16,0),"")</f>
        <v>99</v>
      </c>
      <c r="AF101" s="728" t="str">
        <f>IFERROR(IF(AD101="","",IF(VLOOKUP(AB94,'Statement of Marks'!$B$8:'Statement of Marks'!$HI$207,165,0)="D","I",VLOOKUP(AB94,'Statement of Marks'!$B$8:'Statement of Marks'!$HI$207,165,0))),"")</f>
        <v>II</v>
      </c>
      <c r="AQ101" s="17"/>
      <c r="AR101"/>
      <c r="AS101"/>
      <c r="AT101"/>
      <c r="AX101"/>
      <c r="AY101"/>
      <c r="AZ101"/>
      <c r="BE101" s="17"/>
      <c r="BF101" s="17"/>
    </row>
    <row r="102" spans="1:58" s="471" customFormat="1" ht="22.5" customHeight="1">
      <c r="A102" s="469"/>
      <c r="B102" s="716" t="str">
        <f>'Statement of Marks'!$X$3</f>
        <v>Com. English</v>
      </c>
      <c r="C102" s="92">
        <f>IFERROR(VLOOKUP(L94,'Statement of Marks'!$B$8:'Statement of Marks'!$HI$207,23,0),"")</f>
        <v>10</v>
      </c>
      <c r="D102" s="92">
        <f>IFERROR(VLOOKUP(L94,'Statement of Marks'!$B$8:'Statement of Marks'!$HI$207,24,0),"")</f>
        <v>6</v>
      </c>
      <c r="E102" s="92">
        <f>IFERROR(VLOOKUP(L94,'Statement of Marks'!$B$8:'Statement of Marks'!$HI$207,25,0),"")</f>
        <v>9</v>
      </c>
      <c r="F102" s="465">
        <f>IFERROR(VLOOKUP(L94,'Statement of Marks'!$B$8:'Statement of Marks'!$HI$207,26,0),"")</f>
        <v>25</v>
      </c>
      <c r="G102" s="92">
        <f>IFERROR(VLOOKUP(L94,'Statement of Marks'!$B$8:'Statement of Marks'!$HI$207,27,0),"")</f>
        <v>41</v>
      </c>
      <c r="H102" s="92"/>
      <c r="I102" s="793">
        <f>IFERROR(VLOOKUP(L94,'Statement of Marks'!$B$8:'Statement of Marks'!$HI$207,27,0),"")</f>
        <v>41</v>
      </c>
      <c r="J102" s="730">
        <f>IFERROR(IF(AND(L94="",A102="",F102="",I102=""),"",SUM(C102,D102,E102,G102,H102)),"")</f>
        <v>66</v>
      </c>
      <c r="K102" s="92">
        <f>IFERROR(VLOOKUP(L94,'Statement of Marks'!$B$8:'Statement of Marks'!$HI$207,29,0),"")</f>
        <v>64</v>
      </c>
      <c r="L102" s="466"/>
      <c r="M102" s="727"/>
      <c r="N102" s="765">
        <f>IFERROR(VLOOKUP(L94,'Statement of Marks'!$B$8:'Statement of Marks'!$HI$207,29,0),"")</f>
        <v>64</v>
      </c>
      <c r="O102" s="738">
        <f>IFERROR(VLOOKUP(L94,'Statement of Marks'!$B$8:'Statement of Marks'!$HI$207,30,0),"")</f>
        <v>130</v>
      </c>
      <c r="P102" s="728" t="str">
        <f>IFERROR(IF(O102="","",IF(VLOOKUP(L94,'Statement of Marks'!$B$8:'Statement of Marks'!$HI$207,168,0)="D","I",VLOOKUP(L94,'Statement of Marks'!$B$8:'Statement of Marks'!$HI$207,168,0))),"")</f>
        <v>I</v>
      </c>
      <c r="Q102"/>
      <c r="R102" s="716" t="str">
        <f>'Statement of Marks'!$X$3</f>
        <v>Com. English</v>
      </c>
      <c r="S102" s="92">
        <f>IFERROR(VLOOKUP(AB94,'Statement of Marks'!$B$8:'Statement of Marks'!$HI$207,23,0),"")</f>
        <v>8</v>
      </c>
      <c r="T102" s="92">
        <f>IFERROR(VLOOKUP(AB94,'Statement of Marks'!$B$8:'Statement of Marks'!$HI$207,24,0),"")</f>
        <v>5</v>
      </c>
      <c r="U102" s="92">
        <f>IFERROR(VLOOKUP(AB94,'Statement of Marks'!$B$8:'Statement of Marks'!$HI$207,25,0),"")</f>
        <v>9</v>
      </c>
      <c r="V102" s="465">
        <f>IFERROR(VLOOKUP(AB94,'Statement of Marks'!$B$8:'Statement of Marks'!$HI$207,26,0),"")</f>
        <v>22</v>
      </c>
      <c r="W102" s="92">
        <f>IFERROR(VLOOKUP(AB94,'Statement of Marks'!$B$8:'Statement of Marks'!$HI$207,27,0),"")</f>
        <v>42</v>
      </c>
      <c r="X102" s="92"/>
      <c r="Y102" s="793">
        <f>IFERROR(VLOOKUP(AB94,'Statement of Marks'!$B$8:'Statement of Marks'!$HI$207,27,0),"")</f>
        <v>42</v>
      </c>
      <c r="Z102" s="730">
        <f>IFERROR(IF(AND(AB94="",Q102="",V102="",Y102=""),"",SUM(S102,T102,U102,W102,X102)),"")</f>
        <v>64</v>
      </c>
      <c r="AA102" s="92">
        <f>IFERROR(VLOOKUP(AB94,'Statement of Marks'!$B$8:'Statement of Marks'!$HI$207,29,0),"")</f>
        <v>61</v>
      </c>
      <c r="AB102" s="466"/>
      <c r="AC102" s="727"/>
      <c r="AD102" s="765">
        <f>IFERROR(VLOOKUP(AB94,'Statement of Marks'!$B$8:'Statement of Marks'!$HI$207,29,0),"")</f>
        <v>61</v>
      </c>
      <c r="AE102" s="738">
        <f>IFERROR(VLOOKUP(AB94,'Statement of Marks'!$B$8:'Statement of Marks'!$HI$207,30,0),"")</f>
        <v>125</v>
      </c>
      <c r="AF102" s="728" t="str">
        <f>IFERROR(IF(AE102="","",IF(VLOOKUP(AB94,'Statement of Marks'!$B$8:'Statement of Marks'!$HI$207,168,0)="D","I",VLOOKUP(AB94,'Statement of Marks'!$B$8:'Statement of Marks'!$HI$207,168,0))),"")</f>
        <v>I</v>
      </c>
      <c r="AQ102" s="17"/>
      <c r="AR102"/>
      <c r="AS102"/>
      <c r="AT102"/>
      <c r="AU102" s="17" t="str">
        <f>IFERROR(VLOOKUP(L94,'Statement of Marks'!$B$8:'Statement of Marks'!$HI$207,37,0),"")</f>
        <v>A</v>
      </c>
      <c r="AV102" s="17" t="str">
        <f>IFERROR(VLOOKUP(AB94,'Statement of Marks'!$B$8:'Statement of Marks'!$HI$207,37,0),"")</f>
        <v>A</v>
      </c>
      <c r="AX102"/>
      <c r="AY102"/>
      <c r="AZ102"/>
      <c r="BE102" s="17" t="str">
        <f>IFERROR(IF(VLOOKUP(AB94,'Statement of Marks'!$B$7:'Statement of Marks'!$IC$206,206,0)="By Grace Pass","By Grace Pass and Promoted to Class 12th",IF(VLOOKUP(AB94,'Statement of Marks'!$B$7:'Statement of Marks'!$IC$206,206,0)="PASS","PASS  and Promoted to Class 12th",IF(VLOOKUP(AB94,'Statement of Marks'!$B$7:'Statement of Marks'!$IC$206,206,0)="SUPPLEMENTARY","Supplementary",IF(VLOOKUP(AB94,'Statement of Marks'!$B$7:'Statement of Marks'!$IC$206,206,0)="Re-Exam","RE-EXAM",IF(VLOOKUP(AB94,'Statement of Marks'!$B$7:'Statement of Marks'!$IC$206,206,0)="FAIL","FAIL",""))))),"")</f>
        <v>By Grace Pass and Promoted to Class 12th</v>
      </c>
      <c r="BF102" s="17" t="str">
        <f>IFERROR(IF(VLOOKUP(L94,'Statement of Marks'!$B$7:'Statement of Marks'!$IC$206,206,0)="By Grace Pass","By Grace Pass and Promoted to Class 12th",IF(VLOOKUP(L94,'Statement of Marks'!$B$7:'Statement of Marks'!$IC$206,206,0)="PASS","PASS  and Promoted to Class 12th",IF(VLOOKUP(L94,'Statement of Marks'!$B$7:'Statement of Marks'!$IC$206,206,0)="SUPPLEMENTARY","Supplementary",IF(VLOOKUP(L94,'Statement of Marks'!$B$7:'Statement of Marks'!$IC$206,206,0)="Re-Exam","RE-EXAM",IF(VLOOKUP(L94,'Statement of Marks'!$B$7:'Statement of Marks'!$IC$206,206,0)="FAIL","FAIL",""))))),"")</f>
        <v>Supplementary</v>
      </c>
    </row>
    <row r="103" spans="1:58" s="471" customFormat="1" ht="22.5" customHeight="1">
      <c r="A103" s="469"/>
      <c r="B103" s="477" t="str">
        <f>IFERROR(IF(AND(AU102="A"),'Marks Entry'!$U$2,IF(AND(AU102="B"),'Marks Entry'!$Y$2,IF(AND(AU102="C"),'Marks Entry'!$AA$2,""))),"")</f>
        <v>POLITICAL SCIENCE</v>
      </c>
      <c r="C103" s="92">
        <f>IFERROR(VLOOKUP(L94,'Statement of Marks'!$B$8:'Statement of Marks'!$HI$207,38,0),"")</f>
        <v>7</v>
      </c>
      <c r="D103" s="92">
        <f>IFERROR(VLOOKUP(L94,'Statement of Marks'!$B$8:'Statement of Marks'!$HI$207,39,0),"")</f>
        <v>4</v>
      </c>
      <c r="E103" s="92">
        <f>IFERROR(VLOOKUP(L94,'Statement of Marks'!$B$8:'Statement of Marks'!$HI$207,40,0),"")</f>
        <v>6</v>
      </c>
      <c r="F103" s="465">
        <f>IFERROR(VLOOKUP(L94,'Statement of Marks'!$B$8:'Statement of Marks'!$HI$207,41,0),"")</f>
        <v>17</v>
      </c>
      <c r="G103" s="92">
        <f>IFERROR(VLOOKUP(L94,'Statement of Marks'!$B$8:'Statement of Marks'!$HI$207,42,0),"")</f>
        <v>14</v>
      </c>
      <c r="H103" s="92" t="str">
        <f>IFERROR(VLOOKUP(L94,'Statement of Marks'!$B$8:'Statement of Marks'!$HI$207,43,0),"")</f>
        <v/>
      </c>
      <c r="I103" s="793">
        <f>IFERROR(VLOOKUP(L94,'Statement of Marks'!$B$8:'Statement of Marks'!$HI$207,44,0),"")</f>
        <v>14</v>
      </c>
      <c r="J103" s="730">
        <f>IFERROR(IF(AND(L94="",A103="",F103="",I103=""),"",SUM(C103,D103,E103,G103,H103)),"")</f>
        <v>31</v>
      </c>
      <c r="K103" s="92">
        <f>IFERROR(VLOOKUP(L94,'Statement of Marks'!$B$8:'Statement of Marks'!$HI$207,46,0),"")</f>
        <v>30</v>
      </c>
      <c r="L103" s="92" t="str">
        <f>IFERROR(VLOOKUP(L94,'Statement of Marks'!$B$8:'Statement of Marks'!$HI$207,47,0),"")</f>
        <v/>
      </c>
      <c r="M103" s="727"/>
      <c r="N103" s="765">
        <f>IFERROR(VLOOKUP(L94,'Statement of Marks'!$B$8:'Statement of Marks'!$HI$207,48,0),"")</f>
        <v>30</v>
      </c>
      <c r="O103" s="738">
        <f>IFERROR(VLOOKUP(L94,'Statement of Marks'!$B$8:'Statement of Marks'!$HI$207,51,0),"")</f>
        <v>61</v>
      </c>
      <c r="P103" s="728" t="str">
        <f>IFERROR(IF(O103="","",IF(VLOOKUP(L94,'Statement of Marks'!$B$8:'Statement of Marks'!$HI$207,171,0)="D","I",VLOOKUP(L94,'Statement of Marks'!$B$8:'Statement of Marks'!$HI$207,171,0))),"")</f>
        <v>S</v>
      </c>
      <c r="Q103"/>
      <c r="R103" s="477" t="str">
        <f>IFERROR(IF(AND(AV102="A"),'Marks Entry'!$U$2,IF(AND(AV102="B"),'Marks Entry'!$Y$2,IF(AND(AV102="C"),'Marks Entry'!$AA$2,""))),"")</f>
        <v>POLITICAL SCIENCE</v>
      </c>
      <c r="S103" s="92">
        <f>IFERROR(VLOOKUP(AB94,'Statement of Marks'!$B$8:'Statement of Marks'!$HI$207,38,0),"")</f>
        <v>10</v>
      </c>
      <c r="T103" s="92">
        <f>IFERROR(VLOOKUP(AB94,'Statement of Marks'!$B$8:'Statement of Marks'!$HI$207,39,0),"")</f>
        <v>5</v>
      </c>
      <c r="U103" s="92">
        <f>IFERROR(VLOOKUP(AB94,'Statement of Marks'!$B$8:'Statement of Marks'!$HI$207,40,0),"")</f>
        <v>7</v>
      </c>
      <c r="V103" s="465">
        <f>IFERROR(VLOOKUP(AB94,'Statement of Marks'!$B$8:'Statement of Marks'!$HI$207,41,0),"")</f>
        <v>22</v>
      </c>
      <c r="W103" s="92">
        <f>IFERROR(VLOOKUP(AB94,'Statement of Marks'!$B$8:'Statement of Marks'!$HI$207,42,0),"")</f>
        <v>17</v>
      </c>
      <c r="X103" s="92" t="str">
        <f>IFERROR(VLOOKUP(AB94,'Statement of Marks'!$B$8:'Statement of Marks'!$HI$207,43,0),"")</f>
        <v/>
      </c>
      <c r="Y103" s="793">
        <f>IFERROR(VLOOKUP(AB94,'Statement of Marks'!$B$8:'Statement of Marks'!$HI$207,44,0),"")</f>
        <v>17</v>
      </c>
      <c r="Z103" s="730">
        <f>IFERROR(IF(AND(AB94="",Q103="",V103="",Y103=""),"",SUM(S103,T103,U103,W103,X103)),"")</f>
        <v>39</v>
      </c>
      <c r="AA103" s="92">
        <f>IFERROR(VLOOKUP(AB94,'Statement of Marks'!$B$8:'Statement of Marks'!$HI$207,46,0),"")</f>
        <v>27</v>
      </c>
      <c r="AB103" s="92" t="str">
        <f>IFERROR(VLOOKUP(AB94,'Statement of Marks'!$B$8:'Statement of Marks'!$HI$207,47,0),"")</f>
        <v/>
      </c>
      <c r="AC103" s="727"/>
      <c r="AD103" s="765">
        <f>IFERROR(VLOOKUP(AB94,'Statement of Marks'!$B$8:'Statement of Marks'!$HI$207,48,0),"")</f>
        <v>27</v>
      </c>
      <c r="AE103" s="738">
        <f>IFERROR(VLOOKUP(AB94,'Statement of Marks'!$B$8:'Statement of Marks'!$HI$207,51,0),"")</f>
        <v>66</v>
      </c>
      <c r="AF103" s="728" t="str">
        <f>IFERROR(IF(AE103="","",IF(VLOOKUP(AB94,'Statement of Marks'!$B$8:'Statement of Marks'!$HI$207,171,0)="D","I",VLOOKUP(AB94,'Statement of Marks'!$B$8:'Statement of Marks'!$HI$207,171,0))),"")</f>
        <v>G</v>
      </c>
      <c r="AQ103" s="17"/>
      <c r="AR103"/>
      <c r="AS103"/>
      <c r="AT103"/>
      <c r="AU103" s="17" t="str">
        <f>IFERROR(VLOOKUP(L94,'Statement of Marks'!$B$8:'Statement of Marks'!$HI$207,60,0),"")</f>
        <v>A</v>
      </c>
      <c r="AV103" s="17" t="str">
        <f>IFERROR(VLOOKUP(AB94,'Statement of Marks'!$B$8:'Statement of Marks'!$HI$207,60,0),"")</f>
        <v>A</v>
      </c>
      <c r="AX103"/>
      <c r="AY103"/>
      <c r="AZ103"/>
      <c r="BE103" s="17" t="str">
        <f>IFERROR(IF(VLOOKUP(AB94,'Statement of Marks'!$B$7:'Statement of Marks'!$IC$206,206,0)="By Grace Pass","सानुग्रह उतीर्ण एवं कक्षा 12 में क्रमोन्नत",IF(VLOOKUP(AB94,'Statement of Marks'!$B$7:'Statement of Marks'!$IC$206,206,0)="PASS","उतीर्ण एवं कक्षा 12 में क्रमोन्नत",IF(VLOOKUP(AB94,'Statement of Marks'!$B$7:'Statement of Marks'!$IC$206,206,0)="SUPPLEMENTARY","पूरक",IF(VLOOKUP(AB94,'Statement of Marks'!$B$7:'Statement of Marks'!$IC$206,206,0)="Re-Exam","पुनः परीक्षा",IF(VLOOKUP(AB94,'Statement of Marks'!$B$7:'Statement of Marks'!$IC$206,206,0)="FAIL","अनुतीर्ण",""))))),"")</f>
        <v>सानुग्रह उतीर्ण एवं कक्षा 12 में क्रमोन्नत</v>
      </c>
      <c r="BF103" s="17" t="str">
        <f>IFERROR(IF(VLOOKUP(L94,'Statement of Marks'!$B$7:'Statement of Marks'!$IC$206,206,0)="By Grace Pass","सानुग्रह उतीर्ण एवं कक्षा 12 में क्रमोन्नत",IF(VLOOKUP(L94,'Statement of Marks'!$B$7:'Statement of Marks'!$IC$206,206,0)="PASS","उतीर्ण एवं कक्षा 12 में क्रमोन्नत",IF(VLOOKUP(L94,'Statement of Marks'!$B$7:'Statement of Marks'!$IC$206,206,0)="SUPPLEMENTARY","पूरक",IF(VLOOKUP(L94,'Statement of Marks'!$B$7:'Statement of Marks'!$IC$206,206,0)="Re-Exam","पुनः परीक्षा",IF(VLOOKUP(L94,'Statement of Marks'!$B$7:'Statement of Marks'!$IC$206,206,0)="FAIL","अनुतीर्ण",""))))),"")</f>
        <v>पूरक</v>
      </c>
    </row>
    <row r="104" spans="1:58" s="471" customFormat="1" ht="22.5" customHeight="1">
      <c r="A104" s="469"/>
      <c r="B104" s="477" t="str">
        <f>IFERROR(IF(AND(AU103="A"),'Marks Entry'!$AC$2,IF(AND(AU103="B"),'Marks Entry'!$AG$2,IF(AND(AU103="C"),'Marks Entry'!$AI$2,""))),"")</f>
        <v>HISTORY</v>
      </c>
      <c r="C104" s="92">
        <f>IFERROR(VLOOKUP(L94,'Statement of Marks'!$B$8:'Statement of Marks'!$HI$207,61,0),"")</f>
        <v>8</v>
      </c>
      <c r="D104" s="92">
        <f>IFERROR(VLOOKUP(L94,'Statement of Marks'!$B$8:'Statement of Marks'!$HI$207,62,0),"")</f>
        <v>10</v>
      </c>
      <c r="E104" s="92">
        <f>IFERROR(VLOOKUP(L94,'Statement of Marks'!$B$8:'Statement of Marks'!$HI$207,63,0),"")</f>
        <v>8</v>
      </c>
      <c r="F104" s="465">
        <f>IFERROR(VLOOKUP(L94,'Statement of Marks'!$B$8:'Statement of Marks'!$HI$207,64,0),"")</f>
        <v>26</v>
      </c>
      <c r="G104" s="92">
        <f>IFERROR(VLOOKUP(L94,'Statement of Marks'!$B$8:'Statement of Marks'!$HI$207,65,0),"")</f>
        <v>45</v>
      </c>
      <c r="H104" s="92" t="str">
        <f>IFERROR(VLOOKUP(L94,'Statement of Marks'!$B$8:'Statement of Marks'!$HI$207,66,0),"")</f>
        <v/>
      </c>
      <c r="I104" s="793">
        <f>IFERROR(VLOOKUP(L94,'Statement of Marks'!$B$8:'Statement of Marks'!$HI$207,67,0),"")</f>
        <v>45</v>
      </c>
      <c r="J104" s="730">
        <f>IFERROR(IF(AND(L94="",A104="",F104="",I104=""),"",SUM(C104,D104,E104,G104,H104)),"")</f>
        <v>71</v>
      </c>
      <c r="K104" s="92">
        <f>IFERROR(VLOOKUP(L94,'Statement of Marks'!$B$8:'Statement of Marks'!$HI$207,69,0),"")</f>
        <v>54</v>
      </c>
      <c r="L104" s="92" t="str">
        <f>IFERROR(VLOOKUP(L94,'Statement of Marks'!$B$8:'Statement of Marks'!$HI$207,70,0),"")</f>
        <v/>
      </c>
      <c r="M104" s="727"/>
      <c r="N104" s="765">
        <f>IFERROR(VLOOKUP(L94,'Statement of Marks'!$B$8:'Statement of Marks'!$HI$207,71,0),"")</f>
        <v>54</v>
      </c>
      <c r="O104" s="738">
        <f>IFERROR(VLOOKUP(L94,'Statement of Marks'!$B$8:'Statement of Marks'!$HI$207,74,0),"")</f>
        <v>125</v>
      </c>
      <c r="P104" s="728" t="str">
        <f>IFERROR(IF(O104="","",IF(VLOOKUP(L94,'Statement of Marks'!$B$8:'Statement of Marks'!$HI$207,178,0)="D","I",VLOOKUP(L94,'Statement of Marks'!$B$8:'Statement of Marks'!$HI$207,178,0))),"")</f>
        <v>I</v>
      </c>
      <c r="Q104"/>
      <c r="R104" s="477" t="str">
        <f>IFERROR(IF(AND(AV103="A"),'Marks Entry'!$AC$2,IF(AND(AV103="B"),'Marks Entry'!$AG$2,IF(AND(AV103="C"),'Marks Entry'!$AI$2,""))),"")</f>
        <v>HISTORY</v>
      </c>
      <c r="S104" s="92">
        <f>IFERROR(VLOOKUP(AB94,'Statement of Marks'!$B$8:'Statement of Marks'!$HI$207,61,0),"")</f>
        <v>10</v>
      </c>
      <c r="T104" s="92">
        <f>IFERROR(VLOOKUP(AB94,'Statement of Marks'!$B$8:'Statement of Marks'!$HI$207,62,0),"")</f>
        <v>10</v>
      </c>
      <c r="U104" s="92">
        <f>IFERROR(VLOOKUP(AB94,'Statement of Marks'!$B$8:'Statement of Marks'!$HI$207,63,0),"")</f>
        <v>7</v>
      </c>
      <c r="V104" s="465">
        <f>IFERROR(VLOOKUP(AB94,'Statement of Marks'!$B$8:'Statement of Marks'!$HI$207,64,0),"")</f>
        <v>27</v>
      </c>
      <c r="W104" s="92">
        <f>IFERROR(VLOOKUP(AB94,'Statement of Marks'!$B$8:'Statement of Marks'!$HI$207,65,0),"")</f>
        <v>32</v>
      </c>
      <c r="X104" s="92" t="str">
        <f>IFERROR(VLOOKUP(AB94,'Statement of Marks'!$B$8:'Statement of Marks'!$HI$207,66,0),"")</f>
        <v/>
      </c>
      <c r="Y104" s="793">
        <f>IFERROR(VLOOKUP(AB94,'Statement of Marks'!$B$8:'Statement of Marks'!$HI$207,67,0),"")</f>
        <v>32</v>
      </c>
      <c r="Z104" s="730">
        <f>IFERROR(IF(AND(AB94="",Q104="",V104="",Y104=""),"",SUM(S104,T104,U104,W104,X104)),"")</f>
        <v>59</v>
      </c>
      <c r="AA104" s="92">
        <f>IFERROR(VLOOKUP(AB94,'Statement of Marks'!$B$8:'Statement of Marks'!$HI$207,69,0),"")</f>
        <v>65</v>
      </c>
      <c r="AB104" s="92" t="str">
        <f>IFERROR(VLOOKUP(AB94,'Statement of Marks'!$B$8:'Statement of Marks'!$HI$207,70,0),"")</f>
        <v/>
      </c>
      <c r="AC104" s="727"/>
      <c r="AD104" s="765">
        <f>IFERROR(VLOOKUP(AB94,'Statement of Marks'!$B$8:'Statement of Marks'!$HI$207,71,0),"")</f>
        <v>65</v>
      </c>
      <c r="AE104" s="738">
        <f>IFERROR(VLOOKUP(AB94,'Statement of Marks'!$B$8:'Statement of Marks'!$HI$207,74,0),"")</f>
        <v>124</v>
      </c>
      <c r="AF104" s="728" t="str">
        <f>IFERROR(IF(AE104="","",IF(VLOOKUP(AB94,'Statement of Marks'!$B$8:'Statement of Marks'!$HI$207,178,0)="D","I",VLOOKUP(AB94,'Statement of Marks'!$B$8:'Statement of Marks'!$HI$207,178,0))),"")</f>
        <v>I</v>
      </c>
      <c r="AQ104" s="17"/>
      <c r="AR104"/>
      <c r="AS104"/>
      <c r="AT104"/>
      <c r="AU104" s="17" t="str">
        <f>IFERROR(VLOOKUP(L94,'Statement of Marks'!$B$8:'Statement of Marks'!$HI$207,83,0),"")</f>
        <v>B</v>
      </c>
      <c r="AV104" s="17" t="str">
        <f>IFERROR(VLOOKUP(AB94,'Statement of Marks'!$B$8:'Statement of Marks'!$HI$207,83,0),"")</f>
        <v>B</v>
      </c>
      <c r="AX104"/>
      <c r="AY104"/>
      <c r="AZ104"/>
      <c r="BE104" s="17" t="str">
        <f>IF('Master Sheet'!$D$11="Hindi",BE103,BE102)</f>
        <v>सानुग्रह उतीर्ण एवं कक्षा 12 में क्रमोन्नत</v>
      </c>
      <c r="BF104" s="17" t="str">
        <f>IF('Master Sheet'!$D$11="Hindi",BF103,BF102)</f>
        <v>पूरक</v>
      </c>
    </row>
    <row r="105" spans="1:58" s="471" customFormat="1" ht="22.5" customHeight="1">
      <c r="A105" s="469"/>
      <c r="B105" s="477" t="str">
        <f>IFERROR(IF(AND(AU104="A"),'Marks Entry'!$AK$2,IF(AND(AU104="B"),'Marks Entry'!$AO$2,IF(AND(AU104="C"),'Marks Entry'!$AQ$2,""))),"")</f>
        <v>HOME SCIENCE</v>
      </c>
      <c r="C105" s="92">
        <f>IFERROR(VLOOKUP(L94,'Statement of Marks'!$B$8:'Statement of Marks'!$HI$207,84,0),"")</f>
        <v>4</v>
      </c>
      <c r="D105" s="92">
        <f>IFERROR(VLOOKUP(L94,'Statement of Marks'!$B$8:'Statement of Marks'!$HI$207,85,0),"")</f>
        <v>4</v>
      </c>
      <c r="E105" s="92">
        <f>IFERROR(VLOOKUP(L94,'Statement of Marks'!$B$8:'Statement of Marks'!$HI$207,86,0),"")</f>
        <v>9</v>
      </c>
      <c r="F105" s="465">
        <f>IFERROR(VLOOKUP(L94,'Statement of Marks'!$B$8:'Statement of Marks'!$HI$207,87,0),"")</f>
        <v>17</v>
      </c>
      <c r="G105" s="92">
        <f>IFERROR(VLOOKUP(L94,'Statement of Marks'!$B$8:'Statement of Marks'!$HI$207,88,0),"")</f>
        <v>32</v>
      </c>
      <c r="H105" s="92" t="str">
        <f>IFERROR(VLOOKUP(L94,'Statement of Marks'!$B$8:'Statement of Marks'!$HI$207,89,0),"")</f>
        <v/>
      </c>
      <c r="I105" s="793">
        <f>IFERROR(VLOOKUP(L94,'Statement of Marks'!$B$8:'Statement of Marks'!$HI$207,90,0),"")</f>
        <v>32</v>
      </c>
      <c r="J105" s="730">
        <f>IFERROR(IF(AND(L94="",A105="",F105="",I105=""),"",SUM(C105,D105,E105,G105,H105)),"")</f>
        <v>49</v>
      </c>
      <c r="K105" s="92" t="str">
        <f>IFERROR(VLOOKUP(L94,'Statement of Marks'!$B$8:'Statement of Marks'!$HI$207,92,0),"")</f>
        <v/>
      </c>
      <c r="L105" s="92" t="str">
        <f>IFERROR(VLOOKUP(L94,'Statement of Marks'!$B$8:'Statement of Marks'!$HI$207,93,0),"")</f>
        <v/>
      </c>
      <c r="M105" s="727"/>
      <c r="N105" s="765" t="str">
        <f>IFERROR(VLOOKUP(L94,'Statement of Marks'!$B$8:'Statement of Marks'!$HI$207,94,0),"")</f>
        <v/>
      </c>
      <c r="O105" s="738">
        <f>IFERROR(VLOOKUP(L94,'Statement of Marks'!$B$8:'Statement of Marks'!$HI$207,97,0),"")</f>
        <v>49</v>
      </c>
      <c r="P105" s="728" t="str">
        <f>IFERROR(IF(O105="","",IF(VLOOKUP(L94,'Statement of Marks'!$B$8:'Statement of Marks'!$HI$207,185,0)="D","I",VLOOKUP(L94,'Statement of Marks'!$B$8:'Statement of Marks'!$HI$207,185,0))),"")</f>
        <v/>
      </c>
      <c r="Q105"/>
      <c r="R105" s="477" t="str">
        <f>IFERROR(IF(AND(AV104="A"),'Marks Entry'!$AK$2,IF(AND(AV104="B"),'Marks Entry'!$AO$2,IF(AND(AV104="C"),'Marks Entry'!$AQ$2,""))),"")</f>
        <v>HOME SCIENCE</v>
      </c>
      <c r="S105" s="92">
        <f>IFERROR(VLOOKUP(AB94,'Statement of Marks'!$B$8:'Statement of Marks'!$HI$207,84,0),"")</f>
        <v>3</v>
      </c>
      <c r="T105" s="92">
        <f>IFERROR(VLOOKUP(AB94,'Statement of Marks'!$B$8:'Statement of Marks'!$HI$207,85,0),"")</f>
        <v>3</v>
      </c>
      <c r="U105" s="92">
        <f>IFERROR(VLOOKUP(AB94,'Statement of Marks'!$B$8:'Statement of Marks'!$HI$207,86,0),"")</f>
        <v>7</v>
      </c>
      <c r="V105" s="465">
        <f>IFERROR(VLOOKUP(AB94,'Statement of Marks'!$B$8:'Statement of Marks'!$HI$207,87,0),"")</f>
        <v>13</v>
      </c>
      <c r="W105" s="92">
        <f>IFERROR(VLOOKUP(AB94,'Statement of Marks'!$B$8:'Statement of Marks'!$HI$207,88,0),"")</f>
        <v>10</v>
      </c>
      <c r="X105" s="92" t="str">
        <f>IFERROR(VLOOKUP(AB94,'Statement of Marks'!$B$8:'Statement of Marks'!$HI$207,89,0),"")</f>
        <v/>
      </c>
      <c r="Y105" s="793">
        <f>IFERROR(VLOOKUP(AB94,'Statement of Marks'!$B$8:'Statement of Marks'!$HI$207,90,0),"")</f>
        <v>10</v>
      </c>
      <c r="Z105" s="730">
        <f>IFERROR(IF(AND(AB94="",Q105="",V105="",Y105=""),"",SUM(S105,T105,U105,W105,X105)),"")</f>
        <v>23</v>
      </c>
      <c r="AA105" s="92" t="str">
        <f>IFERROR(VLOOKUP(AB94,'Statement of Marks'!$B$8:'Statement of Marks'!$HI$207,92,0),"")</f>
        <v/>
      </c>
      <c r="AB105" s="92" t="str">
        <f>IFERROR(VLOOKUP(AB94,'Statement of Marks'!$B$8:'Statement of Marks'!$HI$207,93,0),"")</f>
        <v/>
      </c>
      <c r="AC105" s="727"/>
      <c r="AD105" s="765" t="str">
        <f>IFERROR(VLOOKUP(AB94,'Statement of Marks'!$B$8:'Statement of Marks'!$HI$207,94,0),"")</f>
        <v/>
      </c>
      <c r="AE105" s="738">
        <f>IFERROR(VLOOKUP(AB94,'Statement of Marks'!$B$8:'Statement of Marks'!$HI$207,97,0),"")</f>
        <v>23</v>
      </c>
      <c r="AF105" s="728" t="str">
        <f>IFERROR(IF(AE105="","",IF(VLOOKUP(AB94,'Statement of Marks'!$B$8:'Statement of Marks'!$HI$207,185,0)="D","I",VLOOKUP(AB94,'Statement of Marks'!$B$8:'Statement of Marks'!$HI$207,185,0))),"")</f>
        <v/>
      </c>
      <c r="AQ105" s="17"/>
      <c r="AR105"/>
      <c r="AS105"/>
      <c r="AT105"/>
      <c r="AU105" s="471" t="s">
        <v>286</v>
      </c>
      <c r="AV105" s="471" t="s">
        <v>286</v>
      </c>
      <c r="AX105"/>
      <c r="AY105"/>
      <c r="AZ105"/>
      <c r="BE105" s="17"/>
      <c r="BF105" s="17"/>
    </row>
    <row r="106" spans="1:58" s="471" customFormat="1" ht="19.5" customHeight="1">
      <c r="A106" s="469"/>
      <c r="B106" s="1687" t="str">
        <f>IF('Master Sheet'!$D$11="Hindi","व्यावसायिक शिक्षा / अतिरिक्त विषय","Vocational Education / Additional Subject")</f>
        <v>व्यावसायिक शिक्षा / अतिरिक्त विषय</v>
      </c>
      <c r="C106" s="1687"/>
      <c r="D106" s="1687"/>
      <c r="E106" s="1687"/>
      <c r="F106" s="1687"/>
      <c r="G106" s="1687"/>
      <c r="H106" s="1687"/>
      <c r="I106" s="1687"/>
      <c r="J106" s="1687"/>
      <c r="K106" s="1687"/>
      <c r="L106" s="1687"/>
      <c r="M106" s="1687"/>
      <c r="N106" s="1687"/>
      <c r="O106" s="1687"/>
      <c r="P106" s="1687"/>
      <c r="Q106"/>
      <c r="R106" s="1687" t="str">
        <f>IF('Master Sheet'!$D$11="Hindi","व्यावसायिक शिक्षा / अतिरिक्त विषय","Vocational Education / Additional Subject")</f>
        <v>व्यावसायिक शिक्षा / अतिरिक्त विषय</v>
      </c>
      <c r="S106" s="1687"/>
      <c r="T106" s="1687"/>
      <c r="U106" s="1687"/>
      <c r="V106" s="1687"/>
      <c r="W106" s="1687"/>
      <c r="X106" s="1687"/>
      <c r="Y106" s="1687"/>
      <c r="Z106" s="1687"/>
      <c r="AA106" s="1687"/>
      <c r="AB106" s="1687"/>
      <c r="AC106" s="1687"/>
      <c r="AD106" s="1687"/>
      <c r="AE106" s="1687"/>
      <c r="AF106" s="1687"/>
      <c r="AQ106" s="17"/>
      <c r="AR106"/>
      <c r="AS106"/>
      <c r="AT106"/>
      <c r="AX106"/>
      <c r="AY106"/>
      <c r="AZ106"/>
      <c r="BE106" s="17"/>
      <c r="BF106" s="17"/>
    </row>
    <row r="107" spans="1:58" s="471" customFormat="1" ht="22.5" customHeight="1">
      <c r="A107" s="469"/>
      <c r="B107" s="477" t="str">
        <f>IFERROR(IF(AND(AU107="A"),'Marks Entry'!$AS$2,IF(AND(AU107="B"),'Marks Entry'!$AW$2,IF(AND(AU107="C"),'Marks Entry'!$AY$2,""))),"")</f>
        <v/>
      </c>
      <c r="C107" s="748" t="str">
        <f>IFERROR(VLOOKUP(L94,'Statement of Marks'!$B$8:'Statement of Marks'!$HI$207,108,0),"")</f>
        <v/>
      </c>
      <c r="D107" s="748" t="str">
        <f>IFERROR(VLOOKUP(L94,'Statement of Marks'!$B$8:'Statement of Marks'!$HI$207,109,0),"")</f>
        <v/>
      </c>
      <c r="E107" s="748" t="str">
        <f>IFERROR(VLOOKUP(L94,'Statement of Marks'!$B$8:'Statement of Marks'!$HI$207,110,0),"")</f>
        <v/>
      </c>
      <c r="F107" s="748" t="str">
        <f>IFERROR(VLOOKUP(L94,'Statement of Marks'!$B$8:'Statement of Marks'!$HI$207,111,0),"")</f>
        <v/>
      </c>
      <c r="G107" s="750" t="str">
        <f>IFERROR(VLOOKUP(L94,'Statement of Marks'!$B$8:'Statement of Marks'!$HI$207,112,0),"")</f>
        <v/>
      </c>
      <c r="H107" s="750" t="str">
        <f>IFERROR(VLOOKUP(L94,'Statement of Marks'!$B$8:'Statement of Marks'!$HI$207,113,0),"")</f>
        <v/>
      </c>
      <c r="I107" s="754" t="str">
        <f>IFERROR(VLOOKUP(L94,'Statement of Marks'!$B$8:'Statement of Marks'!$HI$207,114,0),"")</f>
        <v/>
      </c>
      <c r="J107" s="749" t="str">
        <f>IFERROR(IF(OR(L94="",A107="",F107="",I107=""),"",SUM(C107,D107,E107,G107,H107)),"")</f>
        <v/>
      </c>
      <c r="K107" s="748" t="str">
        <f>IFERROR(VLOOKUP(L94,'Statement of Marks'!$B$8:'Statement of Marks'!$HI$207,116,0),"")</f>
        <v/>
      </c>
      <c r="L107" s="748" t="str">
        <f>IFERROR(VLOOKUP(L94,'Statement of Marks'!$B$8:'Statement of Marks'!$HI$207,118,0),"")</f>
        <v/>
      </c>
      <c r="M107" s="748" t="str">
        <f>IFERROR(VLOOKUP(L94,'Statement of Marks'!$B$8:'Statement of Marks'!$HI$207,117,0),"")</f>
        <v/>
      </c>
      <c r="N107" s="751" t="str">
        <f>IFERROR(VLOOKUP(L94,'Statement of Marks'!$B$8:'Statement of Marks'!$HI$207,119,0),"")</f>
        <v/>
      </c>
      <c r="O107" s="752" t="str">
        <f>IFERROR(VLOOKUP(L94,'Statement of Marks'!$B$8:'Statement of Marks'!$HI$207,123,0),"")</f>
        <v/>
      </c>
      <c r="P107" s="753" t="str">
        <f>IFERROR(IF(O107="","",IF(VLOOKUP(L94,'Statement of Marks'!$B$8:'Statement of Marks'!$HI$207,192,0)="D","I",VLOOKUP(L94,'Statement of Marks'!$B$8:'Statement of Marks'!$HI$207,192,0))),"")</f>
        <v/>
      </c>
      <c r="Q107"/>
      <c r="R107" s="477" t="str">
        <f>IFERROR(IF(AND(AV107="A"),'Marks Entry'!$AS$2,IF(AND(AV107="B"),'Marks Entry'!$AW$2,IF(AND(AV107="C"),'Marks Entry'!$AY$2,""))),"")</f>
        <v/>
      </c>
      <c r="S107" s="748" t="str">
        <f>IFERROR(VLOOKUP(AB94,'Statement of Marks'!$B$8:'Statement of Marks'!$HI$207,108,0),"")</f>
        <v/>
      </c>
      <c r="T107" s="748" t="str">
        <f>IFERROR(VLOOKUP(AB94,'Statement of Marks'!$B$8:'Statement of Marks'!$HI$207,109,0),"")</f>
        <v/>
      </c>
      <c r="U107" s="748" t="str">
        <f>IFERROR(VLOOKUP(AB94,'Statement of Marks'!$B$8:'Statement of Marks'!$HI$207,110,0),"")</f>
        <v/>
      </c>
      <c r="V107" s="748" t="str">
        <f>IFERROR(VLOOKUP(AB94,'Statement of Marks'!$B$8:'Statement of Marks'!$HI$207,111,0),"")</f>
        <v/>
      </c>
      <c r="W107" s="750" t="str">
        <f>IFERROR(VLOOKUP(AB94,'Statement of Marks'!$B$8:'Statement of Marks'!$HI$207,112,0),"")</f>
        <v/>
      </c>
      <c r="X107" s="750" t="str">
        <f>IFERROR(VLOOKUP(AB94,'Statement of Marks'!$B$8:'Statement of Marks'!$HI$207,113,0),"")</f>
        <v/>
      </c>
      <c r="Y107" s="754" t="str">
        <f>IFERROR(VLOOKUP(AB94,'Statement of Marks'!$B$8:'Statement of Marks'!$HI$207,114,0),"")</f>
        <v/>
      </c>
      <c r="Z107" s="749" t="str">
        <f>IFERROR(IF(OR(AB94="",Q107="",V107="",Y107=""),"",SUM(S107,T107,U107,W107,X107)),"")</f>
        <v/>
      </c>
      <c r="AA107" s="748" t="str">
        <f>IFERROR(VLOOKUP(AB94,'Statement of Marks'!$B$8:'Statement of Marks'!$HI$207,116,0),"")</f>
        <v/>
      </c>
      <c r="AB107" s="748" t="str">
        <f>IFERROR(VLOOKUP(AB94,'Statement of Marks'!$B$8:'Statement of Marks'!$HI$207,118,0),"")</f>
        <v/>
      </c>
      <c r="AC107" s="748" t="str">
        <f>IFERROR(VLOOKUP(AB94,'Statement of Marks'!$B$8:'Statement of Marks'!$HI$207,117,0),"")</f>
        <v/>
      </c>
      <c r="AD107" s="751" t="str">
        <f>IFERROR(VLOOKUP(AB94,'Statement of Marks'!$B$8:'Statement of Marks'!$HI$207,119,0),"")</f>
        <v/>
      </c>
      <c r="AE107" s="752" t="str">
        <f>IFERROR(VLOOKUP(AB94,'Statement of Marks'!$B$8:'Statement of Marks'!$HI$207,123,0),"")</f>
        <v/>
      </c>
      <c r="AF107" s="753" t="str">
        <f>IFERROR(IF(AE107="","",IF(VLOOKUP(AB94,'Statement of Marks'!$B$8:'Statement of Marks'!$HI$207,192,0)="D","I",VLOOKUP(AB94,'Statement of Marks'!$B$8:'Statement of Marks'!$HI$207,192,0))),"")</f>
        <v/>
      </c>
      <c r="AQ107" s="17"/>
      <c r="AR107"/>
      <c r="AS107"/>
      <c r="AT107"/>
      <c r="AU107" s="471" t="str">
        <f>IFERROR(VLOOKUP(L94,'Statement of Marks'!$B$8:'Statement of Marks'!$HI$207,107,0),"")</f>
        <v/>
      </c>
      <c r="AV107" s="471" t="str">
        <f>IFERROR(VLOOKUP(AB94,'Statement of Marks'!$B$8:'Statement of Marks'!$HI$207,107,0),"")</f>
        <v/>
      </c>
      <c r="AX107"/>
      <c r="AY107"/>
      <c r="AZ107"/>
      <c r="BE107" s="17"/>
      <c r="BF107" s="17"/>
    </row>
    <row r="108" spans="1:58" s="471" customFormat="1" ht="25.5" customHeight="1">
      <c r="A108" s="469"/>
      <c r="B108" s="1688"/>
      <c r="C108" s="1688"/>
      <c r="D108" s="1688"/>
      <c r="E108" s="1688"/>
      <c r="F108" s="1688"/>
      <c r="G108" s="1688"/>
      <c r="H108" s="1688"/>
      <c r="I108" s="1688"/>
      <c r="J108" s="1688"/>
      <c r="K108" s="1688"/>
      <c r="L108" s="1689" t="str">
        <f>IF('Master Sheet'!$D$11="Hindi","महायोग :","Grand Total :")</f>
        <v>महायोग :</v>
      </c>
      <c r="M108" s="1690"/>
      <c r="N108" s="1690"/>
      <c r="O108" s="755">
        <f>IF(AND(O101="",O102="",O103="",O104="",O105=""),"",IF(AND($K$18="",$L$18="",$M$18=""),SUM(O101,O102,O103,O104,O107),IF(AND('Master Sheet'!$D$19="YES",'Marks Entry'!$BA$1=1),SUM(O101,O102,O103,O104,O107),SUM(O101:O105))))</f>
        <v>475</v>
      </c>
      <c r="P108" s="756" t="str">
        <f>IFERROR(VLOOKUP(L94,'Statement of Marks'!$B$8:'Statement of Marks'!$HI$207,210,0),"")</f>
        <v/>
      </c>
      <c r="Q108"/>
      <c r="R108" s="1688"/>
      <c r="S108" s="1688"/>
      <c r="T108" s="1688"/>
      <c r="U108" s="1688"/>
      <c r="V108" s="1688"/>
      <c r="W108" s="1688"/>
      <c r="X108" s="1688"/>
      <c r="Y108" s="1688"/>
      <c r="Z108" s="1688"/>
      <c r="AA108" s="1688"/>
      <c r="AB108" s="1689" t="str">
        <f>IF('Master Sheet'!$D$11="Hindi","महायोग :","Grand Total :")</f>
        <v>महायोग :</v>
      </c>
      <c r="AC108" s="1690"/>
      <c r="AD108" s="1690"/>
      <c r="AE108" s="755">
        <f>IF(AND(AE101="",AE102="",AE103="",AE104="",AE105=""),"",IF(AND($K$18="",$L$18="",$M$18=""),SUM(AE101,AE102,AE103,AE104,AE107),IF(AND('Master Sheet'!$D$19="YES",'Marks Entry'!$BA$1=1),SUM(AE101,AE102,AE103,AE104,AE107),SUM(AE101:AE105))))</f>
        <v>437</v>
      </c>
      <c r="AF108" s="756">
        <f>IFERROR(VLOOKUP(AB94,'Statement of Marks'!$B$8:'Statement of Marks'!$HI$207,210,0),"")</f>
        <v>43.7</v>
      </c>
      <c r="AQ108" s="17"/>
      <c r="AR108"/>
      <c r="AS108"/>
      <c r="AT108"/>
      <c r="AX108"/>
      <c r="AY108"/>
      <c r="AZ108"/>
      <c r="BE108" s="17"/>
      <c r="BF108" s="17"/>
    </row>
    <row r="109" spans="1:58" s="471" customFormat="1" ht="25.5" customHeight="1">
      <c r="A109" s="469"/>
      <c r="B109" s="478" t="str">
        <f>IF('Master Sheet'!$D$11="Hindi","विषय","Subject")</f>
        <v>विषय</v>
      </c>
      <c r="C109" s="1691" t="str">
        <f>IF('Master Sheet'!$D$11="Hindi","पूर्णांक","Max. Marks")</f>
        <v>पूर्णांक</v>
      </c>
      <c r="D109" s="1691"/>
      <c r="E109" s="1692" t="str">
        <f>IF('Master Sheet'!$D$11="Hindi","प्राप्तांक","Marks Obtained")</f>
        <v>प्राप्तांक</v>
      </c>
      <c r="F109" s="1692"/>
      <c r="G109" s="1693" t="str">
        <f>IF('Master Sheet'!$D$11="Hindi","विषय ग्रेड","Sub. Grade")</f>
        <v>विषय ग्रेड</v>
      </c>
      <c r="H109" s="1693"/>
      <c r="I109" s="1694" t="str">
        <f>IF('Master Sheet'!$D$11="Hindi","विषय","Subject")</f>
        <v>विषय</v>
      </c>
      <c r="J109" s="1695"/>
      <c r="K109" s="1695"/>
      <c r="L109" s="1691" t="str">
        <f>IF('Master Sheet'!$D$11="Hindi","पूर्णांक","Max. Marks")</f>
        <v>पूर्णांक</v>
      </c>
      <c r="M109" s="1691"/>
      <c r="N109" s="1692" t="str">
        <f>IF('Master Sheet'!$D$11="Hindi","प्राप्तांक","Marks Obtained")</f>
        <v>प्राप्तांक</v>
      </c>
      <c r="O109" s="1692"/>
      <c r="P109" s="757" t="str">
        <f>IF('Master Sheet'!$D$11="Hindi","विषय ग्रेड","Sub. Grade")</f>
        <v>विषय ग्रेड</v>
      </c>
      <c r="Q109"/>
      <c r="R109" s="478" t="str">
        <f>IF('Master Sheet'!$D$11="Hindi","विषय","Subject")</f>
        <v>विषय</v>
      </c>
      <c r="S109" s="1691" t="str">
        <f>IF('Master Sheet'!$D$11="Hindi","पूर्णांक","Max. Marks")</f>
        <v>पूर्णांक</v>
      </c>
      <c r="T109" s="1691"/>
      <c r="U109" s="1692" t="str">
        <f>IF('Master Sheet'!$D$11="Hindi","प्राप्तांक","Marks Obtained")</f>
        <v>प्राप्तांक</v>
      </c>
      <c r="V109" s="1692"/>
      <c r="W109" s="1693" t="str">
        <f>IF('Master Sheet'!$D$11="Hindi","विषय ग्रेड","Sub. Grade")</f>
        <v>विषय ग्रेड</v>
      </c>
      <c r="X109" s="1693"/>
      <c r="Y109" s="1694" t="str">
        <f>IF('Master Sheet'!$D$11="Hindi","विषय","Subject")</f>
        <v>विषय</v>
      </c>
      <c r="Z109" s="1695"/>
      <c r="AA109" s="1695"/>
      <c r="AB109" s="1691" t="str">
        <f>IF('Master Sheet'!$D$11="Hindi","पूर्णांक","Max. Marks")</f>
        <v>पूर्णांक</v>
      </c>
      <c r="AC109" s="1691"/>
      <c r="AD109" s="1692" t="str">
        <f>IF('Master Sheet'!$D$11="Hindi","प्राप्तांक","Marks Obtained")</f>
        <v>प्राप्तांक</v>
      </c>
      <c r="AE109" s="1692"/>
      <c r="AF109" s="757" t="str">
        <f>IF('Master Sheet'!$D$11="Hindi","विषय ग्रेड","Sub. Grade")</f>
        <v>विषय ग्रेड</v>
      </c>
      <c r="AQ109" s="17"/>
      <c r="AR109"/>
      <c r="AS109"/>
      <c r="AT109"/>
      <c r="AX109"/>
      <c r="AY109"/>
      <c r="AZ109"/>
      <c r="BE109" s="17"/>
      <c r="BF109" s="17"/>
    </row>
    <row r="110" spans="1:58" s="471" customFormat="1" ht="30" customHeight="1">
      <c r="A110" s="469"/>
      <c r="B110" s="760" t="str">
        <f>'Statement of Marks'!$EC$4</f>
        <v>जीवन कौशल</v>
      </c>
      <c r="C110" s="1680">
        <f>IF(AND(L94=""),"",IF('Statement of Marks'!$EF$6="","",'Statement of Marks'!$EF$6))</f>
        <v>100</v>
      </c>
      <c r="D110" s="1680"/>
      <c r="E110" s="1684">
        <f>IFERROR(VLOOKUP(L94,'Statement of Marks'!$B$8:'Statement of Marks'!$HI$207,135,0),"")</f>
        <v>85</v>
      </c>
      <c r="F110" s="1684"/>
      <c r="G110" s="1685" t="str">
        <f>IFERROR(VLOOKUP(L94,'Statement of Marks'!$B$8:'Statement of Marks'!$HI$207,140,0),"")</f>
        <v>A</v>
      </c>
      <c r="H110" s="1685"/>
      <c r="I110" s="1677" t="str">
        <f>'Statement of Marks'!$EY$3</f>
        <v xml:space="preserve">आजादी के बाद का स्वर्णिम भारत </v>
      </c>
      <c r="J110" s="1678"/>
      <c r="K110" s="1679"/>
      <c r="L110" s="1680">
        <f>IF(AND(L94=""),"",IF('Statement of Marks'!$FE$6="","",'Statement of Marks'!$FE$6))</f>
        <v>200</v>
      </c>
      <c r="M110" s="1680"/>
      <c r="N110" s="1681">
        <f>IFERROR(VLOOKUP(L94,'Statement of Marks'!$B$8:'Statement of Marks'!$HI$207,160,0),"")</f>
        <v>149</v>
      </c>
      <c r="O110" s="1681"/>
      <c r="P110" s="758" t="str">
        <f>IFERROR(VLOOKUP(L94,'Statement of Marks'!$B$8:'Statement of Marks'!$HI$207,161,0),"")</f>
        <v>B</v>
      </c>
      <c r="Q110"/>
      <c r="R110" s="760" t="str">
        <f>'Statement of Marks'!$EC$4</f>
        <v>जीवन कौशल</v>
      </c>
      <c r="S110" s="1680">
        <f>IF(AND(AB94=""),"",IF('Statement of Marks'!$EF$6="","",'Statement of Marks'!$EF$6))</f>
        <v>100</v>
      </c>
      <c r="T110" s="1680"/>
      <c r="U110" s="1684">
        <f>IFERROR(VLOOKUP(AB94,'Statement of Marks'!$B$8:'Statement of Marks'!$HI$207,135,0),"")</f>
        <v>85</v>
      </c>
      <c r="V110" s="1684"/>
      <c r="W110" s="1685" t="str">
        <f>IFERROR(VLOOKUP(AB94,'Statement of Marks'!$B$8:'Statement of Marks'!$HI$207,140,0),"")</f>
        <v>A</v>
      </c>
      <c r="X110" s="1685"/>
      <c r="Y110" s="1677" t="str">
        <f>'Statement of Marks'!$EY$3</f>
        <v xml:space="preserve">आजादी के बाद का स्वर्णिम भारत </v>
      </c>
      <c r="Z110" s="1678"/>
      <c r="AA110" s="1679"/>
      <c r="AB110" s="1680">
        <f>IF(AND(AB94=""),"",IF('Statement of Marks'!$FE$6="","",'Statement of Marks'!$FE$6))</f>
        <v>200</v>
      </c>
      <c r="AC110" s="1680"/>
      <c r="AD110" s="1681">
        <f>IFERROR(VLOOKUP(AB94,'Statement of Marks'!$B$8:'Statement of Marks'!$HI$207,160,0),"")</f>
        <v>141</v>
      </c>
      <c r="AE110" s="1681"/>
      <c r="AF110" s="758" t="str">
        <f>IFERROR(VLOOKUP(AB94,'Statement of Marks'!$B$8:'Statement of Marks'!$HI$207,161,0),"")</f>
        <v>B</v>
      </c>
      <c r="AQ110" s="17"/>
      <c r="AR110"/>
      <c r="AS110"/>
      <c r="AT110"/>
      <c r="AX110"/>
      <c r="AY110"/>
      <c r="AZ110"/>
      <c r="BE110" s="17"/>
      <c r="BF110" s="17"/>
    </row>
    <row r="111" spans="1:58" s="471" customFormat="1" ht="29.25" customHeight="1">
      <c r="A111" s="469"/>
      <c r="B111" s="759" t="str">
        <f>IF('Master Sheet'!$D$11="Hindi","परीक्षा परिणाम घोषित दिनांक :-","Date of Result declaration :-")</f>
        <v>परीक्षा परिणाम घोषित दिनांक :-</v>
      </c>
      <c r="C111" s="1659">
        <f>IF(AND(L94=""),"",IF('Master Sheet'!$D$10="","",'Master Sheet'!$D$10))</f>
        <v>45419</v>
      </c>
      <c r="D111" s="1659"/>
      <c r="E111" s="1659"/>
      <c r="F111" s="1682" t="str">
        <f>IF('Master Sheet'!$D$11="Hindi","कुल कार्य दिवस","Total Working Days")</f>
        <v>कुल कार्य दिवस</v>
      </c>
      <c r="G111" s="1682"/>
      <c r="H111" s="1682"/>
      <c r="I111" s="741">
        <f>IFERROR(VLOOKUP(L94,'Statement of Marks'!$B$8:'Statement of Marks'!$HI$207,162,0),"")</f>
        <v>380</v>
      </c>
      <c r="J111" s="1683" t="str">
        <f>IF('Master Sheet'!$D$11="Hindi","कुल उपस्थिति","Student's Attendance")</f>
        <v>कुल उपस्थिति</v>
      </c>
      <c r="K111" s="1683"/>
      <c r="L111" s="1683"/>
      <c r="M111" s="476">
        <f>IFERROR(VLOOKUP(L94,'Statement of Marks'!$B$8:'Statement of Marks'!$HI$207,163,0),"")</f>
        <v>370</v>
      </c>
      <c r="N111" s="1673" t="str">
        <f>IF('Master Sheet'!$D$11="Hindi","कक्षा में स्थान","Position in the Class")</f>
        <v>कक्षा में स्थान</v>
      </c>
      <c r="O111" s="1673"/>
      <c r="P111" s="761" t="str">
        <f>IFERROR(VLOOKUP(L94,'Statement of Marks'!$B$8:'Statement of Marks'!$HI$207,211,0),"")</f>
        <v/>
      </c>
      <c r="Q111"/>
      <c r="R111" s="759" t="str">
        <f>IF('Master Sheet'!$D$11="Hindi","परीक्षा परिणाम घोषित दिनांक :-","Date of Result declaration :-")</f>
        <v>परीक्षा परिणाम घोषित दिनांक :-</v>
      </c>
      <c r="S111" s="1659">
        <f>IF(AND(AB94=""),"",IF('Master Sheet'!$D$10="","",'Master Sheet'!$D$10))</f>
        <v>45419</v>
      </c>
      <c r="T111" s="1659"/>
      <c r="U111" s="1659"/>
      <c r="V111" s="1682" t="str">
        <f>IF('Master Sheet'!$D$11="Hindi","कुल कार्य दिवस","Total Working Days")</f>
        <v>कुल कार्य दिवस</v>
      </c>
      <c r="W111" s="1682"/>
      <c r="X111" s="1682"/>
      <c r="Y111" s="741">
        <f>IFERROR(VLOOKUP(AB94,'Statement of Marks'!$B$8:'Statement of Marks'!$HI$207,162,0),"")</f>
        <v>360</v>
      </c>
      <c r="Z111" s="1683" t="str">
        <f>IF('Master Sheet'!$D$11="Hindi","कुल उपस्थिति","Student's Attendance")</f>
        <v>कुल उपस्थिति</v>
      </c>
      <c r="AA111" s="1683"/>
      <c r="AB111" s="1683"/>
      <c r="AC111" s="476">
        <f>IFERROR(VLOOKUP(AB94,'Statement of Marks'!$B$8:'Statement of Marks'!$HI$207,163,0),"")</f>
        <v>330</v>
      </c>
      <c r="AD111" s="1673" t="str">
        <f>IF('Master Sheet'!$D$11="Hindi","कक्षा में स्थान","Position in the Class")</f>
        <v>कक्षा में स्थान</v>
      </c>
      <c r="AE111" s="1673"/>
      <c r="AF111" s="761">
        <f>IFERROR(VLOOKUP(AB94,'Statement of Marks'!$B$8:'Statement of Marks'!$HI$207,211,0),"")</f>
        <v>8.000000000000032</v>
      </c>
      <c r="AQ111" s="17"/>
      <c r="AR111"/>
      <c r="AS111"/>
      <c r="AT111"/>
      <c r="AX111"/>
      <c r="AY111"/>
      <c r="AZ111"/>
      <c r="BE111" s="17"/>
      <c r="BF111" s="17"/>
    </row>
    <row r="112" spans="1:58" s="471" customFormat="1" ht="27.75" customHeight="1">
      <c r="A112" s="469"/>
      <c r="B112" s="1664" t="str">
        <f>IF('Master Sheet'!$D$11="Hindi","मुख्य परीक्षा परिणाम ","Main Exam Result")</f>
        <v xml:space="preserve">मुख्य परीक्षा परिणाम </v>
      </c>
      <c r="C112" s="1665"/>
      <c r="D112" s="1665"/>
      <c r="E112" s="1666"/>
      <c r="F112" s="1667" t="str">
        <f>IF('Master Sheet'!$D$11="Hindi","विशेष योग्यता प्राप्त विषय","Subjects Of Dictation Marks")</f>
        <v>विशेष योग्यता प्राप्त विषय</v>
      </c>
      <c r="G112" s="1667"/>
      <c r="H112" s="1667"/>
      <c r="I112" s="1667"/>
      <c r="J112" s="1667"/>
      <c r="K112" s="1667"/>
      <c r="L112" s="1668" t="str">
        <f>IF('Master Sheet'!$D$11="Hindi","पूरक विषय","Supplementary Subject")</f>
        <v>पूरक विषय</v>
      </c>
      <c r="M112" s="1669"/>
      <c r="N112" s="1665"/>
      <c r="O112" s="1665"/>
      <c r="P112" s="1666"/>
      <c r="Q112"/>
      <c r="R112" s="1664" t="str">
        <f>IF('Master Sheet'!$D$11="Hindi","मुख्य परीक्षा परिणाम ","Main Exam Result")</f>
        <v xml:space="preserve">मुख्य परीक्षा परिणाम </v>
      </c>
      <c r="S112" s="1665"/>
      <c r="T112" s="1665"/>
      <c r="U112" s="1666"/>
      <c r="V112" s="1667" t="str">
        <f>IF('Master Sheet'!$D$11="Hindi","विशेष योग्यता प्राप्त विषय","Subjects Of Dictation Marks")</f>
        <v>विशेष योग्यता प्राप्त विषय</v>
      </c>
      <c r="W112" s="1667"/>
      <c r="X112" s="1667"/>
      <c r="Y112" s="1667"/>
      <c r="Z112" s="1667"/>
      <c r="AA112" s="1667"/>
      <c r="AB112" s="1668" t="str">
        <f>IF('Master Sheet'!$D$11="Hindi","पूरक विषय","Supplementary Subject")</f>
        <v>पूरक विषय</v>
      </c>
      <c r="AC112" s="1669"/>
      <c r="AD112" s="1665"/>
      <c r="AE112" s="1665"/>
      <c r="AF112" s="1666"/>
      <c r="AQ112" s="17"/>
      <c r="AR112"/>
      <c r="AS112"/>
      <c r="AT112"/>
      <c r="AX112"/>
      <c r="AY112"/>
      <c r="AZ112"/>
      <c r="BE112" s="17"/>
      <c r="BF112" s="17"/>
    </row>
    <row r="113" spans="1:58" s="471" customFormat="1" ht="42.75" customHeight="1">
      <c r="A113" s="469"/>
      <c r="B113" s="1670" t="str">
        <f>IF('Master Sheet'!D98="Hindi",BF103,BF102)</f>
        <v>Supplementary</v>
      </c>
      <c r="C113" s="1671"/>
      <c r="D113" s="1671"/>
      <c r="E113" s="1672"/>
      <c r="F113" s="1673" t="str">
        <f>IFERROR(VLOOKUP(L94,'Statement of Marks'!$B$8:'Statement of Marks'!$HI$207,205,0),"")</f>
        <v xml:space="preserve">     </v>
      </c>
      <c r="G113" s="1673"/>
      <c r="H113" s="1673"/>
      <c r="I113" s="1673"/>
      <c r="J113" s="1673"/>
      <c r="K113" s="1673"/>
      <c r="L113" s="1674" t="str">
        <f>IFERROR(VLOOKUP(L94,'Statement of Marks'!$B$8:'Statement of Marks'!$HI$207,202,0),"")</f>
        <v xml:space="preserve">  POLITICAL SCIENCE  </v>
      </c>
      <c r="M113" s="1675"/>
      <c r="N113" s="1675"/>
      <c r="O113" s="1675"/>
      <c r="P113" s="1676"/>
      <c r="Q113"/>
      <c r="R113" s="1670" t="str">
        <f>IF('Master Sheet'!D98="Hindi",BE103,BE102)</f>
        <v>By Grace Pass and Promoted to Class 12th</v>
      </c>
      <c r="S113" s="1671"/>
      <c r="T113" s="1671"/>
      <c r="U113" s="1672"/>
      <c r="V113" s="1673" t="str">
        <f>IFERROR(VLOOKUP(AB94,'Statement of Marks'!$B$8:'Statement of Marks'!$HI$207,205,0),"")</f>
        <v xml:space="preserve">     </v>
      </c>
      <c r="W113" s="1673"/>
      <c r="X113" s="1673"/>
      <c r="Y113" s="1673"/>
      <c r="Z113" s="1673"/>
      <c r="AA113" s="1673"/>
      <c r="AB113" s="1674" t="str">
        <f>IFERROR(VLOOKUP(AB94,'Statement of Marks'!$B$8:'Statement of Marks'!$HI$207,202,0),"")</f>
        <v xml:space="preserve">    </v>
      </c>
      <c r="AC113" s="1675"/>
      <c r="AD113" s="1675"/>
      <c r="AE113" s="1675"/>
      <c r="AF113" s="1676"/>
      <c r="AQ113" s="17"/>
      <c r="AR113"/>
      <c r="AS113"/>
      <c r="AT113"/>
      <c r="AX113"/>
      <c r="AY113"/>
      <c r="AZ113"/>
      <c r="BE113" s="17"/>
      <c r="BF113" s="17"/>
    </row>
    <row r="114" spans="1:58" s="471" customFormat="1" ht="52.5" customHeight="1">
      <c r="A114" s="469"/>
      <c r="B114" s="1660" t="str">
        <f>IF(AND(L94=""),"",CONCATENATE("( ",UPPER('Master Sheet'!$D$14)," )"))</f>
        <v>( HEERALAL JAT )</v>
      </c>
      <c r="C114" s="1660"/>
      <c r="D114" s="1660"/>
      <c r="E114" s="715"/>
      <c r="F114" s="1661" t="str">
        <f>IF(AND(L94=""),"",CONCATENATE("( ",UPPER('Master Sheet'!$D$17)," )"))</f>
        <v>( YOGESH )</v>
      </c>
      <c r="G114" s="1661"/>
      <c r="H114" s="1661"/>
      <c r="I114" s="1661"/>
      <c r="J114" s="1661"/>
      <c r="K114" s="1662" t="str">
        <f>IF(AND(L94=""),"",CONCATENATE("( ",UPPER('Master Sheet'!$D$12)," )"))</f>
        <v>( USHA PALIYA )</v>
      </c>
      <c r="L114" s="1662"/>
      <c r="M114" s="1662"/>
      <c r="N114" s="1662"/>
      <c r="O114" s="1662"/>
      <c r="P114" s="1662"/>
      <c r="Q114"/>
      <c r="R114" s="1660" t="str">
        <f>IF(AND(AB94=""),"",CONCATENATE("( ",UPPER('Master Sheet'!$D$14)," )"))</f>
        <v>( HEERALAL JAT )</v>
      </c>
      <c r="S114" s="1660"/>
      <c r="T114" s="1660"/>
      <c r="U114" s="715"/>
      <c r="V114" s="1661" t="str">
        <f>IF(AND(AB94=""),"",CONCATENATE("( ",UPPER('Master Sheet'!$D$17)," )"))</f>
        <v>( YOGESH )</v>
      </c>
      <c r="W114" s="1661"/>
      <c r="X114" s="1661"/>
      <c r="Y114" s="1661"/>
      <c r="Z114" s="1661"/>
      <c r="AA114" s="1662" t="str">
        <f>IF(AND(AB94=""),"",CONCATENATE("( ",UPPER('Master Sheet'!$D$12)," )"))</f>
        <v>( USHA PALIYA )</v>
      </c>
      <c r="AB114" s="1662"/>
      <c r="AC114" s="1662"/>
      <c r="AD114" s="1662"/>
      <c r="AE114" s="1662"/>
      <c r="AF114" s="1662"/>
      <c r="AQ114" s="17"/>
      <c r="AR114"/>
      <c r="AS114"/>
      <c r="AT114"/>
      <c r="AX114"/>
      <c r="AY114"/>
      <c r="AZ114"/>
      <c r="BE114" s="17"/>
      <c r="BF114" s="17"/>
    </row>
    <row r="115" spans="1:58" s="471" customFormat="1" ht="24.75" customHeight="1">
      <c r="A115" s="469"/>
      <c r="B115" s="1663" t="str">
        <f>IF('Master Sheet'!$D$11="Hindi","हस्ताक्षर परीक्षा प्रभारी","Signature of the exam. Incharge")</f>
        <v>हस्ताक्षर परीक्षा प्रभारी</v>
      </c>
      <c r="C115" s="1663"/>
      <c r="D115" s="1663"/>
      <c r="E115" s="714"/>
      <c r="F115" s="1663" t="str">
        <f>IF('Master Sheet'!$D$11="Hindi","हस्ताक्षर कक्षाध्यापक","Signature of the class teacher")</f>
        <v>हस्ताक्षर कक्षाध्यापक</v>
      </c>
      <c r="G115" s="1663"/>
      <c r="H115" s="1663"/>
      <c r="I115" s="1663"/>
      <c r="J115" s="1663"/>
      <c r="K115" s="1663" t="str">
        <f>IF('Master Sheet'!$D$11="Hindi","हस्ताक्षर संस्था प्रधान","Head of Institute's Signature")</f>
        <v>हस्ताक्षर संस्था प्रधान</v>
      </c>
      <c r="L115" s="1663"/>
      <c r="M115" s="1663"/>
      <c r="N115" s="1663"/>
      <c r="O115" s="1663"/>
      <c r="P115" s="1663"/>
      <c r="Q115"/>
      <c r="R115" s="1663" t="str">
        <f>IF('Master Sheet'!$D$11="Hindi","हस्ताक्षर परीक्षा प्रभारी","Signature of the exam. Incharge")</f>
        <v>हस्ताक्षर परीक्षा प्रभारी</v>
      </c>
      <c r="S115" s="1663"/>
      <c r="T115" s="1663"/>
      <c r="U115" s="714"/>
      <c r="V115" s="1663" t="str">
        <f>IF('Master Sheet'!$D$11="Hindi","हस्ताक्षर कक्षाध्यापक","Signature of the class teacher")</f>
        <v>हस्ताक्षर कक्षाध्यापक</v>
      </c>
      <c r="W115" s="1663"/>
      <c r="X115" s="1663"/>
      <c r="Y115" s="1663"/>
      <c r="Z115" s="1663"/>
      <c r="AA115" s="1663" t="str">
        <f>IF('Master Sheet'!$D$11="Hindi","हस्ताक्षर संस्था प्रधान","Head of Institute's Signature")</f>
        <v>हस्ताक्षर संस्था प्रधान</v>
      </c>
      <c r="AB115" s="1663"/>
      <c r="AC115" s="1663"/>
      <c r="AD115" s="1663"/>
      <c r="AE115" s="1663"/>
      <c r="AF115" s="1663"/>
      <c r="AQ115" s="17"/>
      <c r="AR115"/>
      <c r="AS115"/>
      <c r="AT115"/>
      <c r="AX115"/>
      <c r="AY115"/>
      <c r="AZ115"/>
      <c r="BE115" s="17"/>
      <c r="BF115" s="17"/>
    </row>
    <row r="116" spans="1:58">
      <c r="AN116" s="471"/>
    </row>
    <row r="117" spans="1:58" s="17" customFormat="1" ht="22.5" customHeight="1">
      <c r="A117" s="100"/>
      <c r="B117" s="94"/>
      <c r="C117" s="1551" t="str">
        <f>IF('Master Sheet'!$D$11="Hindi","वार्षिक रिपोर्ट कार्ड ","Report Card")</f>
        <v xml:space="preserve">वार्षिक रिपोर्ट कार्ड </v>
      </c>
      <c r="D117" s="1551"/>
      <c r="E117" s="1551"/>
      <c r="F117" s="1551"/>
      <c r="G117" s="1551"/>
      <c r="H117" s="1551"/>
      <c r="I117" s="1551"/>
      <c r="J117" s="1551"/>
      <c r="K117" s="1551"/>
      <c r="L117" s="1551"/>
      <c r="M117" s="1551"/>
      <c r="N117" s="1551"/>
      <c r="O117" s="468"/>
      <c r="P117" s="468"/>
      <c r="Q117"/>
      <c r="R117" s="94"/>
      <c r="S117" s="1551" t="str">
        <f>IF('Master Sheet'!$D$11="Hindi","वार्षिक रिपोर्ट कार्ड ","Report Card")</f>
        <v xml:space="preserve">वार्षिक रिपोर्ट कार्ड </v>
      </c>
      <c r="T117" s="1551"/>
      <c r="U117" s="1551"/>
      <c r="V117" s="1551"/>
      <c r="W117" s="1551"/>
      <c r="X117" s="1551"/>
      <c r="Y117" s="1551"/>
      <c r="Z117" s="1551"/>
      <c r="AA117" s="1551"/>
      <c r="AB117" s="1551"/>
      <c r="AC117" s="1551"/>
      <c r="AD117" s="1551"/>
      <c r="AE117" s="468"/>
      <c r="AF117" s="468"/>
      <c r="AH117" s="471"/>
      <c r="AI117" s="471"/>
      <c r="AJ117" s="471"/>
      <c r="AK117" s="471"/>
      <c r="AL117" s="471"/>
      <c r="AN117" s="471"/>
      <c r="AR117"/>
      <c r="AS117"/>
      <c r="AT117"/>
      <c r="AX117"/>
      <c r="AY117"/>
      <c r="AZ117"/>
    </row>
    <row r="118" spans="1:58" s="17" customFormat="1" ht="22.5" customHeight="1">
      <c r="A118" s="100"/>
      <c r="B118" s="94"/>
      <c r="C118" s="1708" t="str">
        <f>IF('Master Sheet'!$D$11="Hindi","शिक्षा विभाग, राजस्थान सरकार","Education Department, Rajasthan Government")</f>
        <v>शिक्षा विभाग, राजस्थान सरकार</v>
      </c>
      <c r="D118" s="1708"/>
      <c r="E118" s="1708"/>
      <c r="F118" s="1708"/>
      <c r="G118" s="1708"/>
      <c r="H118" s="1708"/>
      <c r="I118" s="1708"/>
      <c r="J118" s="1708"/>
      <c r="K118" s="1708"/>
      <c r="L118" s="1708"/>
      <c r="M118" s="1708"/>
      <c r="N118" s="1708"/>
      <c r="O118" s="468"/>
      <c r="P118" s="468"/>
      <c r="Q118"/>
      <c r="R118" s="94"/>
      <c r="S118" s="1708" t="str">
        <f>IF('Master Sheet'!$D$11="Hindi","शिक्षा विभाग, राजस्थान सरकार","Education Department, Rajasthan Government")</f>
        <v>शिक्षा विभाग, राजस्थान सरकार</v>
      </c>
      <c r="T118" s="1708"/>
      <c r="U118" s="1708"/>
      <c r="V118" s="1708"/>
      <c r="W118" s="1708"/>
      <c r="X118" s="1708"/>
      <c r="Y118" s="1708"/>
      <c r="Z118" s="1708"/>
      <c r="AA118" s="1708"/>
      <c r="AB118" s="1708"/>
      <c r="AC118" s="1708"/>
      <c r="AD118" s="1708"/>
      <c r="AE118" s="468"/>
      <c r="AF118" s="468"/>
      <c r="AH118" s="471"/>
      <c r="AI118" s="471"/>
      <c r="AJ118" s="471"/>
      <c r="AK118" s="471"/>
      <c r="AL118" s="471"/>
      <c r="AR118"/>
      <c r="AS118"/>
      <c r="AT118"/>
      <c r="AX118"/>
      <c r="AY118"/>
      <c r="AZ118"/>
    </row>
    <row r="119" spans="1:58" s="17" customFormat="1" ht="24.95" customHeight="1">
      <c r="A119" s="100"/>
      <c r="B119" s="1709" t="str">
        <f>IF('Master Sheet'!$D$11="Hindi",CONCATENATE("विद्यालय का नाम :-","  ",'Master Sheet'!$D$8),CONCATENATE("School Name :-","  ",'Master Sheet'!$D$7))</f>
        <v xml:space="preserve">विद्यालय का नाम :-  महात्मा गाँधी राजकीय विद्यालय (अंग्रेजी माध्यम) बर, पाली </v>
      </c>
      <c r="C119" s="1709"/>
      <c r="D119" s="1709"/>
      <c r="E119" s="1709"/>
      <c r="F119" s="1709"/>
      <c r="G119" s="1709"/>
      <c r="H119" s="1709"/>
      <c r="I119" s="1709"/>
      <c r="J119" s="1709"/>
      <c r="K119" s="1709"/>
      <c r="L119" s="1709"/>
      <c r="M119" s="1709"/>
      <c r="N119" s="1709"/>
      <c r="O119" s="1709"/>
      <c r="P119" s="1709"/>
      <c r="Q119"/>
      <c r="R119" s="1709" t="str">
        <f>IF('Master Sheet'!$D$11="Hindi",CONCATENATE("विद्यालय का नाम :-","  ",'Master Sheet'!$D$8),CONCATENATE("School Name :-","  ",'Master Sheet'!$D$7))</f>
        <v xml:space="preserve">विद्यालय का नाम :-  महात्मा गाँधी राजकीय विद्यालय (अंग्रेजी माध्यम) बर, पाली </v>
      </c>
      <c r="S119" s="1709"/>
      <c r="T119" s="1709"/>
      <c r="U119" s="1709"/>
      <c r="V119" s="1709"/>
      <c r="W119" s="1709"/>
      <c r="X119" s="1709"/>
      <c r="Y119" s="1709"/>
      <c r="Z119" s="1709"/>
      <c r="AA119" s="1709"/>
      <c r="AB119" s="1709"/>
      <c r="AC119" s="1709"/>
      <c r="AD119" s="1709"/>
      <c r="AE119" s="1709"/>
      <c r="AF119" s="1709"/>
      <c r="AH119" s="471"/>
      <c r="AI119" s="471"/>
      <c r="AJ119" s="471"/>
      <c r="AK119" s="471"/>
      <c r="AL119" s="471"/>
      <c r="AR119"/>
      <c r="AS119"/>
      <c r="AT119"/>
      <c r="AX119"/>
      <c r="AY119"/>
      <c r="AZ119"/>
    </row>
    <row r="120" spans="1:58" s="17" customFormat="1" ht="19.5" customHeight="1">
      <c r="A120" s="100"/>
      <c r="B120" s="719"/>
      <c r="C120" s="1710" t="str">
        <f>IF(AND(L123=""),"",IF(AND('Master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D120" s="1710"/>
      <c r="E120" s="1710"/>
      <c r="F120" s="1710"/>
      <c r="G120" s="1710"/>
      <c r="H120" s="1710"/>
      <c r="I120" s="1710"/>
      <c r="J120" s="1710"/>
      <c r="K120" s="1710"/>
      <c r="L120" s="1710"/>
      <c r="M120" s="1710"/>
      <c r="N120" s="1710"/>
      <c r="O120" s="1710"/>
      <c r="P120" s="719"/>
      <c r="Q120"/>
      <c r="R120" s="719"/>
      <c r="S120" s="1710" t="str">
        <f>IF(AND(AB123=""),"",IF(AND('Master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T120" s="1710"/>
      <c r="U120" s="1710"/>
      <c r="V120" s="1710"/>
      <c r="W120" s="1710"/>
      <c r="X120" s="1710"/>
      <c r="Y120" s="1710"/>
      <c r="Z120" s="1710"/>
      <c r="AA120" s="1710"/>
      <c r="AB120" s="1710"/>
      <c r="AC120" s="1710"/>
      <c r="AD120" s="1710"/>
      <c r="AE120" s="1710"/>
      <c r="AF120" s="719"/>
      <c r="AH120" s="471"/>
      <c r="AI120" s="471"/>
      <c r="AJ120" s="471"/>
      <c r="AK120" s="471"/>
      <c r="AL120" s="471"/>
      <c r="AN120" s="99"/>
      <c r="AR120"/>
      <c r="AS120"/>
      <c r="AT120"/>
      <c r="AX120"/>
      <c r="AY120"/>
      <c r="AZ120"/>
    </row>
    <row r="121" spans="1:58" s="471" customFormat="1" ht="21" customHeight="1">
      <c r="A121" s="469"/>
      <c r="B121" s="739" t="str">
        <f>IF('Master Sheet'!$D$11="Hindi","सत्र  :-","Session :-")</f>
        <v>सत्र  :-</v>
      </c>
      <c r="C121" s="1711" t="str">
        <f>'Marks Entry'!$H$1</f>
        <v>2023-2024</v>
      </c>
      <c r="D121" s="1711"/>
      <c r="E121" s="1711"/>
      <c r="F121" s="1711"/>
      <c r="G121" s="1711"/>
      <c r="H121" s="1711"/>
      <c r="I121" s="1703" t="str">
        <f>IF('Master Sheet'!$D$11="Hindi","कक्षा  :-","CLASS :- ")</f>
        <v>कक्षा  :-</v>
      </c>
      <c r="J121" s="1703"/>
      <c r="K121" s="1703"/>
      <c r="L121" s="1712" t="str">
        <f>CONCATENATE('Marks Entry'!$H$2," '",'Marks Entry'!$H$3,"'")</f>
        <v>11 'Arts'</v>
      </c>
      <c r="M121" s="1712"/>
      <c r="N121" s="1712"/>
      <c r="O121" s="1712"/>
      <c r="P121" s="720"/>
      <c r="Q121"/>
      <c r="R121" s="739" t="str">
        <f>IF('Master Sheet'!$D$11="Hindi","सत्र  :-","Session :-")</f>
        <v>सत्र  :-</v>
      </c>
      <c r="S121" s="1711" t="str">
        <f>'Marks Entry'!$H$1</f>
        <v>2023-2024</v>
      </c>
      <c r="T121" s="1711"/>
      <c r="U121" s="1711"/>
      <c r="V121" s="1711"/>
      <c r="W121" s="1711"/>
      <c r="X121" s="1711"/>
      <c r="Y121" s="1703" t="str">
        <f>IF('Master Sheet'!$D$11="Hindi","कक्षा  :-","CLASS :- ")</f>
        <v>कक्षा  :-</v>
      </c>
      <c r="Z121" s="1703"/>
      <c r="AA121" s="1703"/>
      <c r="AB121" s="1712" t="str">
        <f>CONCATENATE('Marks Entry'!$H$2," '",'Marks Entry'!$H$3,"'")</f>
        <v>11 'Arts'</v>
      </c>
      <c r="AC121" s="1712"/>
      <c r="AD121" s="1712"/>
      <c r="AE121" s="1712"/>
      <c r="AF121" s="720"/>
      <c r="AN121" s="99"/>
      <c r="AQ121" s="17"/>
      <c r="AR121"/>
      <c r="AS121" s="763">
        <f>L124</f>
        <v>40795</v>
      </c>
      <c r="AT121"/>
      <c r="AX121"/>
      <c r="AY121" s="763">
        <f>AB124</f>
        <v>38841</v>
      </c>
      <c r="AZ121"/>
      <c r="BE121" s="17"/>
      <c r="BF121" s="17"/>
    </row>
    <row r="122" spans="1:58" s="471" customFormat="1" ht="21" customHeight="1">
      <c r="A122" s="469"/>
      <c r="B122" s="740" t="str">
        <f>IF('Master Sheet'!$D$11="Hindi","विद्यार्थी का नाम :-","Student's Name :-")</f>
        <v>विद्यार्थी का नाम :-</v>
      </c>
      <c r="C122" s="1702" t="str">
        <f>IFERROR(VLOOKUP(L123,'Statement of Marks'!$B$8:'Statement of Marks'!$HI$207,4,0),"")</f>
        <v>P</v>
      </c>
      <c r="D122" s="1702"/>
      <c r="E122" s="1702"/>
      <c r="F122" s="1702"/>
      <c r="G122" s="1702"/>
      <c r="H122" s="1702"/>
      <c r="I122" s="1703" t="str">
        <f>IF('Master Sheet'!$D$11="Hindi","प्रवेशांक :","SR. NO. :")</f>
        <v>प्रवेशांक :</v>
      </c>
      <c r="J122" s="1703"/>
      <c r="K122" s="1703"/>
      <c r="L122" s="1706">
        <f>IFERROR(VLOOKUP(L123,'Statement of Marks'!$B$8:'Statement of Marks'!$HI$207,2,0),"")</f>
        <v>345</v>
      </c>
      <c r="M122" s="1706"/>
      <c r="N122" s="1706"/>
      <c r="O122" s="1706"/>
      <c r="P122" s="472"/>
      <c r="Q122"/>
      <c r="R122" s="740" t="str">
        <f>IF('Master Sheet'!$D$11="Hindi","विद्यार्थी का नाम :-","Student's Name :-")</f>
        <v>विद्यार्थी का नाम :-</v>
      </c>
      <c r="S122" s="1702" t="str">
        <f>IFERROR(VLOOKUP(AB123,'Statement of Marks'!$B$8:'Statement of Marks'!$HI$207,4,0),"")</f>
        <v>S</v>
      </c>
      <c r="T122" s="1702"/>
      <c r="U122" s="1702"/>
      <c r="V122" s="1702"/>
      <c r="W122" s="1702"/>
      <c r="X122" s="1702"/>
      <c r="Y122" s="1703" t="str">
        <f>IF('Master Sheet'!$D$11="Hindi","प्रवेशांक :","SR. NO. :")</f>
        <v>प्रवेशांक :</v>
      </c>
      <c r="Z122" s="1703"/>
      <c r="AA122" s="1703"/>
      <c r="AB122" s="1706">
        <f>IFERROR(VLOOKUP(AB123,'Statement of Marks'!$B$8:'Statement of Marks'!$HI$207,2,0),"")</f>
        <v>678</v>
      </c>
      <c r="AC122" s="1706"/>
      <c r="AD122" s="1706"/>
      <c r="AE122" s="1706"/>
      <c r="AF122" s="472"/>
      <c r="AQ122" s="17"/>
      <c r="AR122">
        <f>YEAR(AS121)</f>
        <v>2011</v>
      </c>
      <c r="AS122">
        <f>MONTH(AS121)</f>
        <v>9</v>
      </c>
      <c r="AT122">
        <f>DAY(AS121)</f>
        <v>9</v>
      </c>
      <c r="AU122" s="473"/>
      <c r="AX122">
        <f>YEAR(AY121)</f>
        <v>2006</v>
      </c>
      <c r="AY122">
        <f>MONTH(AY121)</f>
        <v>5</v>
      </c>
      <c r="AZ122">
        <f>DAY(AY121)</f>
        <v>4</v>
      </c>
      <c r="BE122" s="17"/>
      <c r="BF122" s="17"/>
    </row>
    <row r="123" spans="1:58" s="471" customFormat="1" ht="21" customHeight="1">
      <c r="A123" s="469"/>
      <c r="B123" s="740" t="str">
        <f>IF('Master Sheet'!$D$11="Hindi","पिता का नाम :-","Father's Name :-")</f>
        <v>पिता का नाम :-</v>
      </c>
      <c r="C123" s="1702" t="str">
        <f>IFERROR(VLOOKUP(L123,'Statement of Marks'!$B$8:'Statement of Marks'!$HI$207,5,0),"")</f>
        <v>P</v>
      </c>
      <c r="D123" s="1702"/>
      <c r="E123" s="1702"/>
      <c r="F123" s="1702"/>
      <c r="G123" s="1702"/>
      <c r="H123" s="1702"/>
      <c r="I123" s="1703" t="str">
        <f>IF('Master Sheet'!$D$11="Hindi","रोल नंबर :-","Roll No. :")</f>
        <v>रोल नंबर :-</v>
      </c>
      <c r="J123" s="1703"/>
      <c r="K123" s="1703"/>
      <c r="L123" s="1707">
        <f>IF(AB94="","",IF(AND(AB94+1&gt;$AN$11),"",AB94+1))</f>
        <v>1109</v>
      </c>
      <c r="M123" s="1707"/>
      <c r="N123" s="1707"/>
      <c r="O123" s="717"/>
      <c r="P123" s="472"/>
      <c r="Q123"/>
      <c r="R123" s="740" t="str">
        <f>IF('Master Sheet'!$D$11="Hindi","पिता का नाम :-","Father's Name :-")</f>
        <v>पिता का नाम :-</v>
      </c>
      <c r="S123" s="1702" t="str">
        <f>IFERROR(VLOOKUP(AB123,'Statement of Marks'!$B$8:'Statement of Marks'!$HI$207,5,0),"")</f>
        <v>M</v>
      </c>
      <c r="T123" s="1702"/>
      <c r="U123" s="1702"/>
      <c r="V123" s="1702"/>
      <c r="W123" s="1702"/>
      <c r="X123" s="1702"/>
      <c r="Y123" s="1703" t="str">
        <f>IF('Master Sheet'!$D$11="Hindi","रोल नंबर :-","Roll No. :")</f>
        <v>रोल नंबर :-</v>
      </c>
      <c r="Z123" s="1703"/>
      <c r="AA123" s="1703"/>
      <c r="AB123" s="1707">
        <f>IF(L123="","",IF(AND(L123+1&gt;$AN$11),"",L123+1))</f>
        <v>1110</v>
      </c>
      <c r="AC123" s="1707"/>
      <c r="AD123" s="1707"/>
      <c r="AE123" s="717"/>
      <c r="AF123" s="472"/>
      <c r="AQ123" s="17"/>
      <c r="AR123" t="str">
        <f>IF(AR122=2000,"दो हजार",IF(AR122=2001,"दो हजार एक",IF(AR122=2002,"दो हजार दो",IF(AR122=2003,"दो हजार तीन",IF(AR122=2004,"दो हजार चार",IF(AR122=2005,"दो हजार पांच",IF(AR122=2006,"दो हजार छः",IF(AR122=2007,"दो हजार सात",IF(AR122=2008,"दो हजार आठ",IF(AR122=2009,"दो हजार नौ",IF(AR122=2010,"दो हजार दस",IF(AR122=2011,"दो हजार इग्यारह",IF(AR122=2012,"दो हजार बारह",IF(AR122=2013,"दो हजार तेरह",IF(AR122=2014,"दो हजार चौदह",IF(AR122=2015,"दो हजार पंद्रह",IF(AR122=2016,"दो हजार सोलह",IF(AR122=2017,"दो हजार सत्रह",IF(AR122=2018,"दो हजार अठारह",IF(AR122=2019,"दो हजार उन्नीस",IF(AR122=2020,"दो हजार बीस",IF(AR122=2021,"दो हजार इक्कीस",IF(AR122=2022,"दो हजार बाइस","")))))))))))))))))))))))</f>
        <v>दो हजार इग्यारह</v>
      </c>
      <c r="AS123" t="str">
        <f>IF(AS122=1,"जनवरी",IF(AS122=2,"फरवरी",IF(AS122=3,"मार्च",IF(AS122=4,"अप्रैल",IF(AS122=5,"मई",IF(AS122=6,"जून",IF(AS122=7,"जुलाई",IF(AS122=8,"अगस्त",IF(AS122=9,"सितम्बर",IF(AS122=10,"अक्टूबर",IF(AS122=11,"नवम्बर",IF(AS122=12,"दिसम्बर",""))))))))))))</f>
        <v>सितम्बर</v>
      </c>
      <c r="AT123" t="str">
        <f>IF(AT122=1,"एक",IF(AT122=2,"दो",IF(AT122=3,"तीन",IF(AT122=4,"चार",IF(AT122=5,"पांच",IF(AT122=6,"छः",IF(AT122=7,"सात",IF(AT122=8,"आठ",IF(AT122=9,"नौ",IF(AT122=10,"दस",IF(AT122=11,"इग्यारह",IF(AT122=12,"बारह",IF(AT122=13,"तेरह",IF(AT122=14,"चौदह",IF(AT122=15,"पंद्रह",IF(AT122=16,"सोलह",IF(AT122=17,"सत्रह",IF(AT122=18,"अठारह",IF(AT122=19,"उन्नीस",IF(AT122=20,"बीस",IF(AT122=21,"इक्कीस",IF(AT122=22,"बाइस",IF(AT122=23,"तेईस",IF(AT122=24,"चौबीस",IF(AT122=25,"पचीस",IF(AT122=26,"छबीस",IF(AT122=27,"सताईस",IF(AT122=28,"अठाइस",IF(AT122=29,"उन्नतीस",IF(AT122=30,"तीस",IF(AT122=31,"इकतीस","")))))))))))))))))))))))))))))))</f>
        <v>नौ</v>
      </c>
      <c r="AX123" t="str">
        <f>IF(AX122=2000,"दो हजार",IF(AX122=2001,"दो हजार एक",IF(AX122=2002,"दो हजार दो",IF(AX122=2003,"दो हजार तीन",IF(AX122=2004,"दो हजार चार",IF(AX122=2005,"दो हजार पांच",IF(AX122=2006,"दो हजार छः",IF(AX122=2007,"दो हजार सात",IF(AX122=2008,"दो हजार आठ",IF(AX122=2009,"दो हजार नौ",IF(AX122=2010,"दो हजार दस",IF(AX122=2011,"दो हजार इग्यारह",IF(AX122=2012,"दो हजार बारह",IF(AX122=2013,"दो हजार तेरह",IF(AX122=2014,"दो हजार चौदह",IF(AX122=2015,"दो हजार पंद्रह",IF(AX122=2016,"दो हजार सोलह",IF(AX122=2017,"दो हजार सत्रह",IF(AX122=2018,"दो हजार अठारह",IF(AX122=2019,"दो हजार उन्नीस",IF(AX122=2020,"दो हजार बीस",IF(AX122=2021,"दो हजार इक्कीस",IF(AX122=2022,"दो हजार बाइस","")))))))))))))))))))))))</f>
        <v>दो हजार छः</v>
      </c>
      <c r="AY123" t="str">
        <f>IF(AY122=1,"जनवरी",IF(AY122=2,"फरवरी",IF(AY122=3,"मार्च",IF(AY122=4,"अप्रैल",IF(AY122=5,"मई",IF(AY122=6,"जून",IF(AY122=7,"जुलाई",IF(AY122=8,"अगस्त",IF(AY122=9,"सितम्बर",IF(AY122=10,"अक्टूबर",IF(AY122=11,"नवम्बर",IF(AY122=12,"दिसम्बर",""))))))))))))</f>
        <v>मई</v>
      </c>
      <c r="AZ123" t="str">
        <f>IF(AZ122=1,"एक",IF(AZ122=2,"दो",IF(AZ122=3,"तीन",IF(AZ122=4,"चार",IF(AZ122=5,"पांच",IF(AZ122=6,"छः",IF(AZ122=7,"सात",IF(AZ122=8,"आठ",IF(AZ122=9,"नौ",IF(AZ122=10,"दस",IF(AZ122=11,"इग्यारह",IF(AZ122=12,"बारह",IF(AZ122=13,"तेरह",IF(AZ122=14,"चौदह",IF(AZ122=15,"पंद्रह",IF(AZ122=16,"सोलह",IF(AZ122=17,"सत्रह",IF(AZ122=18,"अठारह",IF(AZ122=19,"उन्नीस",IF(AZ122=20,"बीस",IF(AZ122=21,"इक्कीस",IF(AZ122=22,"बाइस",IF(AZ122=23,"तेईस",IF(AZ122=24,"चौबीस",IF(AZ122=25,"पचीस",IF(AZ122=26,"छबीस",IF(AZ122=27,"सताईस",IF(AZ122=28,"अठाइस",IF(AZ122=29,"उन्नतीस",IF(AZ122=30,"तीस",IF(AZ122=31,"इकतीस","")))))))))))))))))))))))))))))))</f>
        <v>चार</v>
      </c>
      <c r="BE123" s="17"/>
      <c r="BF123" s="17"/>
    </row>
    <row r="124" spans="1:58" s="471" customFormat="1" ht="21" customHeight="1">
      <c r="A124" s="469"/>
      <c r="B124" s="739" t="str">
        <f>IF('Master Sheet'!$D$11="Hindi","माता का नाम :-","Mother's Name :-")</f>
        <v>माता का नाम :-</v>
      </c>
      <c r="C124" s="1702" t="str">
        <f>IFERROR(VLOOKUP(L123,'Statement of Marks'!$B$8:'Statement of Marks'!$HI$207,6,0),"")</f>
        <v>N</v>
      </c>
      <c r="D124" s="1702"/>
      <c r="E124" s="1702"/>
      <c r="F124" s="1702"/>
      <c r="G124" s="1702"/>
      <c r="H124" s="1702"/>
      <c r="I124" s="1703" t="str">
        <f>IF('Master Sheet'!$D$11="Hindi","जन्म तिथि :","Date of Birth :")</f>
        <v>जन्म तिथि :</v>
      </c>
      <c r="J124" s="1703"/>
      <c r="K124" s="1703"/>
      <c r="L124" s="1704">
        <f>IFERROR(VLOOKUP(L123,'Statement of Marks'!$B$8:'Statement of Marks'!$HI$207,3,0),"")</f>
        <v>40795</v>
      </c>
      <c r="M124" s="1704"/>
      <c r="N124" s="1704"/>
      <c r="O124" s="1704"/>
      <c r="Q124"/>
      <c r="R124" s="739" t="str">
        <f>IF('Master Sheet'!$D$11="Hindi","माता का नाम :-","Mother's Name :-")</f>
        <v>माता का नाम :-</v>
      </c>
      <c r="S124" s="1702" t="str">
        <f>IFERROR(VLOOKUP(AB123,'Statement of Marks'!$B$8:'Statement of Marks'!$HI$207,6,0),"")</f>
        <v>B</v>
      </c>
      <c r="T124" s="1702"/>
      <c r="U124" s="1702"/>
      <c r="V124" s="1702"/>
      <c r="W124" s="1702"/>
      <c r="X124" s="1702"/>
      <c r="Y124" s="1703" t="str">
        <f>IF('Master Sheet'!$D$11="Hindi","जन्म तिथि :","Date of Birth :")</f>
        <v>जन्म तिथि :</v>
      </c>
      <c r="Z124" s="1703"/>
      <c r="AA124" s="1703"/>
      <c r="AB124" s="1704">
        <f>IFERROR(VLOOKUP(AB123,'Statement of Marks'!$B$8:'Statement of Marks'!$HI$207,3,0),"")</f>
        <v>38841</v>
      </c>
      <c r="AC124" s="1704"/>
      <c r="AD124" s="1704"/>
      <c r="AE124" s="1704"/>
      <c r="AQ124" s="17"/>
      <c r="AR124"/>
      <c r="AS124" t="str">
        <f>CONCATENATE(AT123," ",AS123," ",AR123)</f>
        <v>नौ सितम्बर दो हजार इग्यारह</v>
      </c>
      <c r="AT124"/>
      <c r="AX124"/>
      <c r="AY124" t="str">
        <f>CONCATENATE(AZ123," ",AY123," ",AX123)</f>
        <v>चार मई दो हजार छः</v>
      </c>
      <c r="AZ124"/>
      <c r="BE124" s="17"/>
      <c r="BF124" s="17"/>
    </row>
    <row r="125" spans="1:58" s="471" customFormat="1" ht="21" customHeight="1">
      <c r="A125" s="469"/>
      <c r="B125" s="470"/>
      <c r="C125" s="722"/>
      <c r="D125" s="722"/>
      <c r="E125" s="722"/>
      <c r="F125" s="722"/>
      <c r="G125" s="722"/>
      <c r="H125" s="722"/>
      <c r="I125" s="1703" t="str">
        <f>IF('Master Sheet'!$D$11="Hindi","जन्मतिथि शब्दों में :","Date of Birth in Words :")</f>
        <v>जन्मतिथि शब्दों में :</v>
      </c>
      <c r="J125" s="1703"/>
      <c r="K125" s="1703"/>
      <c r="L125" s="1705" t="str">
        <f>IF('Master Sheet'!$D$11="Hindi",AS124,AS126)</f>
        <v>नौ सितम्बर दो हजार इग्यारह</v>
      </c>
      <c r="M125" s="1705"/>
      <c r="N125" s="1705"/>
      <c r="O125" s="1705"/>
      <c r="P125" s="1705"/>
      <c r="Q125"/>
      <c r="R125" s="470"/>
      <c r="S125" s="722"/>
      <c r="T125" s="722"/>
      <c r="U125" s="722"/>
      <c r="V125" s="722"/>
      <c r="W125" s="722"/>
      <c r="X125" s="722"/>
      <c r="Y125" s="1703" t="str">
        <f>IF('Master Sheet'!$D$11="Hindi","जन्मतिथि शब्दों में :","Date of Birth in Words :")</f>
        <v>जन्मतिथि शब्दों में :</v>
      </c>
      <c r="Z125" s="1703"/>
      <c r="AA125" s="1703"/>
      <c r="AB125" s="1705" t="str">
        <f>IF('Master Sheet'!$D$11="Hindi",AY124,AY126)</f>
        <v>चार मई दो हजार छः</v>
      </c>
      <c r="AC125" s="1705"/>
      <c r="AD125" s="1705"/>
      <c r="AE125" s="1705"/>
      <c r="AF125" s="1705"/>
      <c r="AQ125" s="17"/>
      <c r="AR125" t="str">
        <f>IF(AR122=1961,"NINETEEN SIXTY ONE",IF(AR122=1962,"NINETEEN SIXTY TWO",IF(AR122=1963,"NINETEEN SIXTY THREE",IF(AR122=1964,"NINETEEN SIXTY FOUR",IF(AR122=1965,"NINETEEN SIXTY FIVE",IF(AR122=1966,"NINETEEN SIXTY SIX",IF(AR122=1967,"NINETEEN SIXTY SEVEN",IF(AR122=1968,"NINETEEN SIXTY EIGHT",IF(AR122=1969,"NINETEEN SIXTY NINE",IF(AR122=1970,"NINETEEN SEVENTY",IF(AR122=1971,"NINETEEN SEVENTY ONE",IF(AR122=1972,"NINETEEN SEVENTY TWO",IF(AR122=1973,"NINETEEN SEVENTY THREE",IF(AR122=1974,"NINETEEN SEVENTY FOUR",IF(AR122=1975,"NINETEEN SEVENTY FIVE",IF(AR122=1976,"NINETEEN SEVENTY SIX",IF(AR122=1977,"NINETEEN SEVENTY SEVEN",IF(AR122=1978,"NINETEEN SEVENTY EIGHT",IF(AR122=1979,"NINETEEN SEVENTY NINE",IF(AR122=1980,"NINETEEN EIGHTY",IF(AR122=1981,"NINETEEN EIGHTY ONE",IF(AR122=1982,"NINETEEN EIGHTY TWO",IF(AR122=1983,"NINETEEN EIGHTY THREE",IF(AR122=1984,"NINETEEN EIGHTY FOUR",IF(AR122=1985,"NINETEEN EIGHTY FIVE",IF(AR122=1986,"NINETEEN EIGHTY SIX",IF(AR122=1987,"NINETEEN EIGHTY SEVEN",IF(AR122=1988,"NINETEEN EIGHTY EIGHT",IF(AR122=1989,"NINETEEN EIGHTY NINE",IF(AR122=1990,"NINETEEN NINETY",IF(AR122=1991,"NINETEEN NINETY ONE",IF(AR122=1992,"NINETEEN NINETY TWO",IF(AR122=1993,"NINETEEN NINETY THREE",IF(AR122=1994,"NINETEEN NINETY FOUR",IF(AR122=1995,"NINETEEN NINETY FIVE",IF(AR122=1996,"NINETEEN NINETY SIX",IF(AR122=1997,"NINETEEN NINETY SEVEN",IF(AR122=1998,"NINETEEN NINETY EIGHT",IF(AR122=1999,"NINETEEN NINETY NINE",IF(AR122=2000,"TWO THOUSAND",IF(AR122=2001,"TWO THOUSAND ONE",IF(AR122=2002,"TWO THOUSAND TWO",IF(AR122=2003,"TWO THOUSAND THREE",IF(AR122=2004,"TWO THOUSAND FOUR",IF(AR122=2005,"TWO THOUSAND FIVE",IF(AR122=2006,"TWO THOUSAND SIX",IF(AR122=2007,"TWO THOUSAND SEVEN",IF(AR122=2008,"TWO THOUSAND EIGHT",IF(AR122=2009,"TWO THOUSAND NINE",IF(AR122=2010,"TWO THOUSAND TEN",IF(AR122=2011,"TWO THOUSAND ELEVEN",IF(AR122=2012,"TWO THOUSAND TWELVE",IF(AR122=2013,"TWO THOUSAND THIRTEEN",IF(AR122=2014,"TWO THOUSAND FOURTEEN",IF(AR122=2015,"TWO THOUSAND FIFTEEN",IF(AR122=2016,"TWO THOUSAND SIXTEEN",IF(AR122=2017,"TWO THOUSAND SEVENTEEN",IF(AR122=2018,"TWO THOUSAND EIGHTEEN",IF(AR122=2019,"TWO THOUSAND NINETEEN",IF(AR122=2020,"TWO THOUSAND TWENTY",IF(AR122=2021,"TWO THOUSAND TWENTY ONE",IF(AR122=2022,"TWO THOUSAND TWENTY TWO",IF(AR122=2023,"TWO THOUSAND TWENTY THREE",IF(AR122=2024,"TWO THOUSAND TWENTY FOUR",IF(AR122=2025,"TWO THOUSAND TWENTY FIVE","")))))))))))))))))))))))))))))))))))))))))))))))))))))))))))))))))</f>
        <v>TWO THOUSAND ELEVEN</v>
      </c>
      <c r="AS125" t="str">
        <f>IF(AS122=1,"JANUARY",IF(AS122=2,"FEBUARY", IF(AS122=3,"MARCH",IF(AS122=4,"APRIL",IF(AS122=5,"MAY",IF(AS122=6,"JUNE",IF(AS122=7,"JULY",IF(AS122=8,"AUGUST",IF(AS122=9,"SEPTEMBER",IF(AS122=10,"OCTOBER",IF(AS122=11,"NOVEMBER",IF(AS122=12,"DECEMBER",""))))))))))))</f>
        <v>SEPTEMBER</v>
      </c>
      <c r="AT125" t="str">
        <f>IF(AT122=1,"1ST",IF(AT122=2,"2ND", IF(AT122=3,"3RD",IF(AT122=4,"FOURTH",IF(AT122=5,"FIFTH",IF(AT122=6,"SIXTH",IF(AT122=7,"7TH",IF(AT122=8,"8TH",IF(AT122=9,"9TH",IF(AT122=10,"10TH",IF(AT122=11,"11TH",IF(AT122=12,"12TH",IF(AT122=13,"13TH",IF(AT122=14,"14TH",IF(AT122=15,"FIFTEEN",IF(AT122=16,"SIXTEEN",IF(AT122=17,"SEVENTEEN",IF(AT122=18,"EIGHTEEN",IF(AT122=19,"NINETEEN",IF(AT122=20,"TWENTY",IF(AT122=21,"TWENTY FIRST",IF(AT122=22,"TWENTY SECOND",IF(AT122=23,"TWENTY THIRD",IF(AT122=24,"TWENTY FOURTH",IF(AT122=25,"TWENTY FIFTH",IF(AT122=26,"TWENTY SIX",IF(AT122=27,"TWENTY SEVEN",IF(AT122=28,"TWENTY EIGHT",IF(AT122=29,"TWENTY NINE",IF(AT122=30,"THIRTY",IF(AT122=31,"THIRTY FIRST","")))))))))))))))))))))))))))))))</f>
        <v>9TH</v>
      </c>
      <c r="AX125" t="str">
        <f>IF(AX122=1961,"NINETEEN SIXTY ONE",IF(AX122=1962,"NINETEEN SIXTY TWO",IF(AX122=1963,"NINETEEN SIXTY THREE",IF(AX122=1964,"NINETEEN SIXTY FOUR",IF(AX122=1965,"NINETEEN SIXTY FIVE",IF(AX122=1966,"NINETEEN SIXTY SIX",IF(AX122=1967,"NINETEEN SIXTY SEVEN",IF(AX122=1968,"NINETEEN SIXTY EIGHT",IF(AX122=1969,"NINETEEN SIXTY NINE",IF(AX122=1970,"NINETEEN SEVENTY",IF(AX122=1971,"NINETEEN SEVENTY ONE",IF(AX122=1972,"NINETEEN SEVENTY TWO",IF(AX122=1973,"NINETEEN SEVENTY THREE",IF(AX122=1974,"NINETEEN SEVENTY FOUR",IF(AX122=1975,"NINETEEN SEVENTY FIVE",IF(AX122=1976,"NINETEEN SEVENTY SIX",IF(AX122=1977,"NINETEEN SEVENTY SEVEN",IF(AX122=1978,"NINETEEN SEVENTY EIGHT",IF(AX122=1979,"NINETEEN SEVENTY NINE",IF(AX122=1980,"NINETEEN EIGHTY",IF(AX122=1981,"NINETEEN EIGHTY ONE",IF(AX122=1982,"NINETEEN EIGHTY TWO",IF(AX122=1983,"NINETEEN EIGHTY THREE",IF(AX122=1984,"NINETEEN EIGHTY FOUR",IF(AX122=1985,"NINETEEN EIGHTY FIVE",IF(AX122=1986,"NINETEEN EIGHTY SIX",IF(AX122=1987,"NINETEEN EIGHTY SEVEN",IF(AX122=1988,"NINETEEN EIGHTY EIGHT",IF(AX122=1989,"NINETEEN EIGHTY NINE",IF(AX122=1990,"NINETEEN NINETY",IF(AX122=1991,"NINETEEN NINETY ONE",IF(AX122=1992,"NINETEEN NINETY TWO",IF(AX122=1993,"NINETEEN NINETY THREE",IF(AX122=1994,"NINETEEN NINETY FOUR",IF(AX122=1995,"NINETEEN NINETY FIVE",IF(AX122=1996,"NINETEEN NINETY SIX",IF(AX122=1997,"NINETEEN NINETY SEVEN",IF(AX122=1998,"NINETEEN NINETY EIGHT",IF(AX122=1999,"NINETEEN NINETY NINE",IF(AX122=2000,"TWO THOUSAND",IF(AX122=2001,"TWO THOUSAND ONE",IF(AX122=2002,"TWO THOUSAND TWO",IF(AX122=2003,"TWO THOUSAND THREE",IF(AX122=2004,"TWO THOUSAND FOUR",IF(AX122=2005,"TWO THOUSAND FIVE",IF(AX122=2006,"TWO THOUSAND SIX",IF(AX122=2007,"TWO THOUSAND SEVEN",IF(AX122=2008,"TWO THOUSAND EIGHT",IF(AX122=2009,"TWO THOUSAND NINE",IF(AX122=2010,"TWO THOUSAND TEN",IF(AX122=2011,"TWO THOUSAND ELEVEN",IF(AX122=2012,"TWO THOUSAND TWELVE",IF(AX122=2013,"TWO THOUSAND THIRTEEN",IF(AX122=2014,"TWO THOUSAND FOURTEEN",IF(AX122=2015,"TWO THOUSAND FIFTEEN",IF(AX122=2016,"TWO THOUSAND SIXTEEN",IF(AX122=2017,"TWO THOUSAND SEVENTEEN",IF(AX122=2018,"TWO THOUSAND EIGHTEEN",IF(AX122=2019,"TWO THOUSAND NINETEEN",IF(AX122=2020,"TWO THOUSAND TWENTY",IF(AX122=2021,"TWO THOUSAND TWENTY ONE",IF(AX122=2022,"TWO THOUSAND TWENTY TWO",IF(AX122=2023,"TWO THOUSAND TWENTY THREE",IF(AX122=2024,"TWO THOUSAND TWENTY FOUR",IF(AX122=2025,"TWO THOUSAND TWENTY FIVE","")))))))))))))))))))))))))))))))))))))))))))))))))))))))))))))))))</f>
        <v>TWO THOUSAND SIX</v>
      </c>
      <c r="AY125" t="str">
        <f>IF(AY122=1,"JANUARY",IF(AY122=2,"FEBUARY", IF(AY122=3,"MARCH",IF(AY122=4,"APRIL",IF(AY122=5,"MAY",IF(AY122=6,"JUNE",IF(AY122=7,"JULY",IF(AY122=8,"AUGUST",IF(AY122=9,"SEPTEMBER",IF(AY122=10,"OCTOBER",IF(AY122=11,"NOVEMBER",IF(AY122=12,"DECEMBER",""))))))))))))</f>
        <v>MAY</v>
      </c>
      <c r="AZ125" t="str">
        <f>IF(AZ122=1,"1ST",IF(AZ122=2,"2ND", IF(AZ122=3,"3RD",IF(AZ122=4,"FOURTH",IF(AZ122=5,"FIFTH",IF(AZ122=6,"SIXTH",IF(AZ122=7,"7TH",IF(AZ122=8,"8TH",IF(AZ122=9,"9TH",IF(AZ122=10,"10TH",IF(AZ122=11,"11TH",IF(AZ122=12,"12TH",IF(AZ122=13,"13TH",IF(AZ122=14,"14TH",IF(AZ122=15,"FIFTEEN",IF(AZ122=16,"SIXTEEN",IF(AZ122=17,"SEVENTEEN",IF(AZ122=18,"EIGHTEEN",IF(AZ122=19,"NINETEEN",IF(AZ122=20,"TWENTY",IF(AZ122=21,"TWENTY FIRST",IF(AZ122=22,"TWENTY SECOND",IF(AZ122=23,"TWENTY THIRD",IF(AZ122=24,"TWENTY FOURTH",IF(AZ122=25,"TWENTY FIFTH",IF(AZ122=26,"TWENTY SIX",IF(AZ122=27,"TWENTY SEVEN",IF(AZ122=28,"TWENTY EIGHT",IF(AZ122=29,"TWENTY NINE",IF(AZ122=30,"THIRTY",IF(AZ122=31,"THIRTY FIRST","")))))))))))))))))))))))))))))))</f>
        <v>FOURTH</v>
      </c>
      <c r="BE125" s="17"/>
      <c r="BF125" s="17"/>
    </row>
    <row r="126" spans="1:58" s="471" customFormat="1" ht="9.75" customHeight="1">
      <c r="A126" s="469"/>
      <c r="B126" s="1696"/>
      <c r="C126" s="1696"/>
      <c r="D126" s="1696"/>
      <c r="E126" s="1696"/>
      <c r="F126" s="1696"/>
      <c r="G126" s="1696"/>
      <c r="H126" s="1696"/>
      <c r="I126" s="1696"/>
      <c r="J126" s="1696"/>
      <c r="K126" s="1696"/>
      <c r="L126" s="1696"/>
      <c r="M126" s="1696"/>
      <c r="N126" s="1696"/>
      <c r="O126" s="1696"/>
      <c r="P126" s="721"/>
      <c r="Q126"/>
      <c r="R126" s="1697"/>
      <c r="S126" s="1697"/>
      <c r="T126" s="1697"/>
      <c r="U126" s="1697"/>
      <c r="V126" s="1697"/>
      <c r="W126" s="1697"/>
      <c r="X126" s="1697"/>
      <c r="Y126" s="1697"/>
      <c r="Z126" s="1697"/>
      <c r="AA126" s="1697"/>
      <c r="AB126" s="1697"/>
      <c r="AC126" s="1697"/>
      <c r="AD126" s="1697"/>
      <c r="AE126" s="1697"/>
      <c r="AF126" s="718"/>
      <c r="AQ126" s="17"/>
      <c r="AR126"/>
      <c r="AS126" t="str">
        <f>CONCATENATE(AS125," ",AT125,", ",AR125)</f>
        <v>SEPTEMBER 9TH, TWO THOUSAND ELEVEN</v>
      </c>
      <c r="AT126"/>
      <c r="AX126"/>
      <c r="AY126" t="str">
        <f>CONCATENATE(AY125," ",AZ125,", ",AX125)</f>
        <v>MAY FOURTH, TWO THOUSAND SIX</v>
      </c>
      <c r="AZ126"/>
      <c r="BE126" s="17"/>
      <c r="BF126" s="17"/>
    </row>
    <row r="127" spans="1:58" s="471" customFormat="1" ht="27.75" customHeight="1">
      <c r="A127" s="469"/>
      <c r="B127" s="1698" t="str">
        <f>IF('Master Sheet'!$D$11="Hindi","विषय का नाम","Subject Name")</f>
        <v>विषय का नाम</v>
      </c>
      <c r="C127" s="1699" t="str">
        <f>IF('Master Sheet'!$D$11="Hindi","सामयिक परख","Seasonal Exam")</f>
        <v>सामयिक परख</v>
      </c>
      <c r="D127" s="1699"/>
      <c r="E127" s="1699"/>
      <c r="F127" s="1699"/>
      <c r="G127" s="1699" t="str">
        <f>IF('Master Sheet'!$D$11="Hindi","अर्द्धवार्षिक","Half Yearly")</f>
        <v>अर्द्धवार्षिक</v>
      </c>
      <c r="H127" s="1699"/>
      <c r="I127" s="1699"/>
      <c r="J127" s="1700" t="str">
        <f>IF('Master Sheet'!$D$11="Hindi","अर्द्ध वा. तक योग","Total Till H.Y.")</f>
        <v>अर्द्ध वा. तक योग</v>
      </c>
      <c r="K127" s="1699" t="str">
        <f>IF('Master Sheet'!$D$11="Hindi","वार्षिक","Yearly Exam")</f>
        <v>वार्षिक</v>
      </c>
      <c r="L127" s="1699"/>
      <c r="M127" s="1699"/>
      <c r="N127" s="1699"/>
      <c r="O127" s="1701" t="str">
        <f>IF('Master Sheet'!$D$11="Hindi","विषय कुल योग ","Subject Total")</f>
        <v xml:space="preserve">विषय कुल योग </v>
      </c>
      <c r="P127" s="1686" t="str">
        <f>IF('Master Sheet'!$D$11="Hindi","विषय परिणाम / विषय श्रेणी","Sub. Result /  Sub. Div.")</f>
        <v>विषय परिणाम / विषय श्रेणी</v>
      </c>
      <c r="Q127"/>
      <c r="R127" s="1698" t="str">
        <f>IF('Master Sheet'!$D$11="Hindi","विषय का नाम","Subject Name")</f>
        <v>विषय का नाम</v>
      </c>
      <c r="S127" s="1699" t="str">
        <f>IF('Master Sheet'!$D$11="Hindi","सामयिक परख","Seasonal Exam")</f>
        <v>सामयिक परख</v>
      </c>
      <c r="T127" s="1699"/>
      <c r="U127" s="1699"/>
      <c r="V127" s="1699"/>
      <c r="W127" s="1699" t="str">
        <f>IF('Master Sheet'!$D$11="Hindi","अर्द्धवार्षिक","Half Yearly")</f>
        <v>अर्द्धवार्षिक</v>
      </c>
      <c r="X127" s="1699"/>
      <c r="Y127" s="1699"/>
      <c r="Z127" s="1700" t="str">
        <f>IF('Master Sheet'!$D$11="Hindi","अर्द्ध वा. तक योग","Total Till H.Y.")</f>
        <v>अर्द्ध वा. तक योग</v>
      </c>
      <c r="AA127" s="1699" t="str">
        <f>IF('Master Sheet'!$D$11="Hindi","वार्षिक","Yearly Exam")</f>
        <v>वार्षिक</v>
      </c>
      <c r="AB127" s="1699"/>
      <c r="AC127" s="1699"/>
      <c r="AD127" s="1699"/>
      <c r="AE127" s="1701" t="str">
        <f>IF('Master Sheet'!$D$11="Hindi","विषय कुल योग ","Subject Total")</f>
        <v xml:space="preserve">विषय कुल योग </v>
      </c>
      <c r="AF127" s="1686" t="str">
        <f>IF('Master Sheet'!$D$11="Hindi","विषय परिणाम / विषय श्रेणी","Sub. Result /  Sub. Div.")</f>
        <v>विषय परिणाम / विषय श्रेणी</v>
      </c>
      <c r="AQ127" s="17"/>
      <c r="AR127"/>
      <c r="AS127"/>
      <c r="AT127"/>
      <c r="AX127"/>
      <c r="AY127"/>
      <c r="AZ127"/>
      <c r="BE127" s="17"/>
      <c r="BF127" s="17"/>
    </row>
    <row r="128" spans="1:58" s="471" customFormat="1" ht="78.75" customHeight="1">
      <c r="A128" s="469"/>
      <c r="B128" s="1698"/>
      <c r="C128" s="745" t="str">
        <f>IF('Master Sheet'!$D$11="Hindi","प्रथम परख ","First Test")</f>
        <v xml:space="preserve">प्रथम परख </v>
      </c>
      <c r="D128" s="745" t="str">
        <f>IF('Master Sheet'!$D$11="Hindi","द्वितीय परख","Second Test")</f>
        <v>द्वितीय परख</v>
      </c>
      <c r="E128" s="745" t="str">
        <f>IF('Master Sheet'!$D$11="Hindi","तृतीय परख","Third Test")</f>
        <v>तृतीय परख</v>
      </c>
      <c r="F128" s="746" t="str">
        <f>IF('Master Sheet'!$D$11="Hindi","सा. परख योग","Test Total")</f>
        <v>सा. परख योग</v>
      </c>
      <c r="G128" s="745" t="str">
        <f>IF('Master Sheet'!$D$11="Hindi","सैद्धांतिक","Theoretical")</f>
        <v>सैद्धांतिक</v>
      </c>
      <c r="H128" s="745" t="str">
        <f>IF('Master Sheet'!$D$11="Hindi","प्रायोगिक","Practical")</f>
        <v>प्रायोगिक</v>
      </c>
      <c r="I128" s="747" t="str">
        <f>IF('Master Sheet'!$D$11="Hindi","अर्द्ध वा. योग","Total H.Y.")</f>
        <v>अर्द्ध वा. योग</v>
      </c>
      <c r="J128" s="1700"/>
      <c r="K128" s="745" t="str">
        <f>IF('Master Sheet'!$D$11="Hindi","सैद्धांतिक","Theoretical")</f>
        <v>सैद्धांतिक</v>
      </c>
      <c r="L128" s="745" t="str">
        <f>IF('Master Sheet'!$D$11="Hindi","प्रायोगिक","Practical")</f>
        <v>प्रायोगिक</v>
      </c>
      <c r="M128" s="745" t="str">
        <f>IF('Master Sheet'!$D$11="Hindi","पोर्टफोलियो","Portfolio")</f>
        <v>पोर्टफोलियो</v>
      </c>
      <c r="N128" s="747" t="str">
        <f>IF('Master Sheet'!$D$11="Hindi","वार्षिक योग","Total Yearly")</f>
        <v>वार्षिक योग</v>
      </c>
      <c r="O128" s="1701"/>
      <c r="P128" s="1686"/>
      <c r="Q128"/>
      <c r="R128" s="1698"/>
      <c r="S128" s="745" t="str">
        <f>IF('Master Sheet'!$D$11="Hindi","प्रथम परख ","First Test")</f>
        <v xml:space="preserve">प्रथम परख </v>
      </c>
      <c r="T128" s="745" t="str">
        <f>IF('Master Sheet'!$D$11="Hindi","द्वितीय परख","Second Test")</f>
        <v>द्वितीय परख</v>
      </c>
      <c r="U128" s="745" t="str">
        <f>IF('Master Sheet'!$D$11="Hindi","तृतीय परख","Third Test")</f>
        <v>तृतीय परख</v>
      </c>
      <c r="V128" s="746" t="str">
        <f>IF('Master Sheet'!$D$11="Hindi","सा. परख योग","Test Total")</f>
        <v>सा. परख योग</v>
      </c>
      <c r="W128" s="745" t="str">
        <f>IF('Master Sheet'!$D$11="Hindi","सैद्धांतिक","Theoretical")</f>
        <v>सैद्धांतिक</v>
      </c>
      <c r="X128" s="745" t="str">
        <f>IF('Master Sheet'!$D$11="Hindi","प्रायोगिक","Practical")</f>
        <v>प्रायोगिक</v>
      </c>
      <c r="Y128" s="747" t="str">
        <f>IF('Master Sheet'!$D$11="Hindi","अर्द्ध वा. योग","Total H.Y.")</f>
        <v>अर्द्ध वा. योग</v>
      </c>
      <c r="Z128" s="1700"/>
      <c r="AA128" s="745" t="str">
        <f>IF('Master Sheet'!$D$11="Hindi","सैद्धांतिक","Theoretical")</f>
        <v>सैद्धांतिक</v>
      </c>
      <c r="AB128" s="745" t="str">
        <f>IF('Master Sheet'!$D$11="Hindi","प्रायोगिक","Practical")</f>
        <v>प्रायोगिक</v>
      </c>
      <c r="AC128" s="745" t="str">
        <f>IF('Master Sheet'!$D$11="Hindi","पोर्टफोलियो","Portfolio")</f>
        <v>पोर्टफोलियो</v>
      </c>
      <c r="AD128" s="747" t="str">
        <f>IF('Master Sheet'!$D$11="Hindi","वार्षिक योग","Total Yearly")</f>
        <v>वार्षिक योग</v>
      </c>
      <c r="AE128" s="1701"/>
      <c r="AF128" s="1686"/>
      <c r="AQ128" s="17"/>
      <c r="AR128"/>
      <c r="AS128"/>
      <c r="AT128"/>
      <c r="AX128"/>
      <c r="AY128"/>
      <c r="AZ128"/>
      <c r="BE128" s="17"/>
      <c r="BF128" s="17"/>
    </row>
    <row r="129" spans="1:58" s="475" customFormat="1" ht="28.5" customHeight="1">
      <c r="A129" s="474"/>
      <c r="B129" s="1698"/>
      <c r="C129" s="742">
        <v>10</v>
      </c>
      <c r="D129" s="742">
        <v>10</v>
      </c>
      <c r="E129" s="742">
        <v>10</v>
      </c>
      <c r="F129" s="794">
        <v>30</v>
      </c>
      <c r="G129" s="743" t="s">
        <v>288</v>
      </c>
      <c r="H129" s="723" t="s">
        <v>284</v>
      </c>
      <c r="I129" s="744">
        <v>70</v>
      </c>
      <c r="J129" s="751">
        <v>100</v>
      </c>
      <c r="K129" s="743" t="s">
        <v>285</v>
      </c>
      <c r="L129" s="723" t="s">
        <v>142</v>
      </c>
      <c r="M129" s="742">
        <v>20</v>
      </c>
      <c r="N129" s="744">
        <v>100</v>
      </c>
      <c r="O129" s="752">
        <v>200</v>
      </c>
      <c r="P129" s="1686"/>
      <c r="Q129"/>
      <c r="R129" s="1698"/>
      <c r="S129" s="742">
        <v>10</v>
      </c>
      <c r="T129" s="742">
        <v>10</v>
      </c>
      <c r="U129" s="742">
        <v>10</v>
      </c>
      <c r="V129" s="794">
        <v>30</v>
      </c>
      <c r="W129" s="743" t="s">
        <v>288</v>
      </c>
      <c r="X129" s="723" t="s">
        <v>284</v>
      </c>
      <c r="Y129" s="744">
        <v>70</v>
      </c>
      <c r="Z129" s="751">
        <v>100</v>
      </c>
      <c r="AA129" s="743" t="s">
        <v>285</v>
      </c>
      <c r="AB129" s="723" t="s">
        <v>142</v>
      </c>
      <c r="AC129" s="742">
        <v>20</v>
      </c>
      <c r="AD129" s="744">
        <v>100</v>
      </c>
      <c r="AE129" s="752">
        <v>200</v>
      </c>
      <c r="AF129" s="1686"/>
      <c r="AQ129" s="17"/>
      <c r="AR129"/>
      <c r="AS129"/>
      <c r="AT129"/>
      <c r="AX129"/>
      <c r="AY129"/>
      <c r="AZ129"/>
      <c r="BE129" s="17"/>
      <c r="BF129" s="17"/>
    </row>
    <row r="130" spans="1:58" s="471" customFormat="1" ht="22.5" customHeight="1">
      <c r="A130" s="469"/>
      <c r="B130" s="716" t="str">
        <f>'Statement of Marks'!$J$3</f>
        <v>Com. Hindi</v>
      </c>
      <c r="C130" s="92">
        <f>IFERROR(VLOOKUP(L123,'Statement of Marks'!$B$8:'Statement of Marks'!$HI$207,9,0),"")</f>
        <v>9</v>
      </c>
      <c r="D130" s="92">
        <f>IFERROR(VLOOKUP(L123,'Statement of Marks'!$B$8:'Statement of Marks'!$HI$207,10,0),"")</f>
        <v>9</v>
      </c>
      <c r="E130" s="92">
        <f>IFERROR(VLOOKUP(L123,'Statement of Marks'!$B$8:'Statement of Marks'!$HI$207,11,0),"")</f>
        <v>8</v>
      </c>
      <c r="F130" s="465">
        <f>IFERROR(VLOOKUP(L123,'Statement of Marks'!$B$8:'Statement of Marks'!$HI$207,12,0),"")</f>
        <v>26</v>
      </c>
      <c r="G130" s="92">
        <f>IFERROR(VLOOKUP(L123,'Statement of Marks'!$B$8:'Statement of Marks'!$HI$207,13,0),"")</f>
        <v>37</v>
      </c>
      <c r="H130" s="92"/>
      <c r="I130" s="793">
        <f>IFERROR(VLOOKUP(L123,'Statement of Marks'!$B$8:'Statement of Marks'!$HI$207,13,0),"")</f>
        <v>37</v>
      </c>
      <c r="J130" s="730">
        <f>IFERROR(IF(AND(L123="",A130="",F130="",I130=""),"",SUM(C130,D130,E130,G130,H130)),"")</f>
        <v>63</v>
      </c>
      <c r="K130" s="92">
        <f>IFERROR(VLOOKUP(L123,'Statement of Marks'!$B$8:'Statement of Marks'!$HI$207,15,0),"")</f>
        <v>35</v>
      </c>
      <c r="L130" s="466"/>
      <c r="M130" s="727"/>
      <c r="N130" s="765">
        <f>IFERROR(VLOOKUP(L123,'Statement of Marks'!$B$8:'Statement of Marks'!$HI$207,15,0),"")</f>
        <v>35</v>
      </c>
      <c r="O130" s="738">
        <f>IFERROR(VLOOKUP(L123,'Statement of Marks'!$B$8:'Statement of Marks'!$HI$207,16,0),"")</f>
        <v>98</v>
      </c>
      <c r="P130" s="728" t="str">
        <f>IFERROR(IF(N130="","",IF(VLOOKUP(L123,'Statement of Marks'!$B$8:'Statement of Marks'!$HI$207,165,0)="D","I",VLOOKUP(L123,'Statement of Marks'!$B$8:'Statement of Marks'!$HI$207,165,0))),"")</f>
        <v>II</v>
      </c>
      <c r="Q130"/>
      <c r="R130" s="716" t="str">
        <f>'Statement of Marks'!$J$3</f>
        <v>Com. Hindi</v>
      </c>
      <c r="S130" s="92">
        <f>IFERROR(VLOOKUP(AB123,'Statement of Marks'!$B$8:'Statement of Marks'!$HI$207,9,0),"")</f>
        <v>7</v>
      </c>
      <c r="T130" s="92">
        <f>IFERROR(VLOOKUP(AB123,'Statement of Marks'!$B$8:'Statement of Marks'!$HI$207,10,0),"")</f>
        <v>10</v>
      </c>
      <c r="U130" s="92">
        <f>IFERROR(VLOOKUP(AB123,'Statement of Marks'!$B$8:'Statement of Marks'!$HI$207,11,0),"")</f>
        <v>8</v>
      </c>
      <c r="V130" s="465">
        <f>IFERROR(VLOOKUP(AB123,'Statement of Marks'!$B$8:'Statement of Marks'!$HI$207,12,0),"")</f>
        <v>25</v>
      </c>
      <c r="W130" s="92">
        <f>IFERROR(VLOOKUP(AB123,'Statement of Marks'!$B$8:'Statement of Marks'!$HI$207,13,0),"")</f>
        <v>44</v>
      </c>
      <c r="X130" s="92"/>
      <c r="Y130" s="793">
        <f>IFERROR(VLOOKUP(AB123,'Statement of Marks'!$B$8:'Statement of Marks'!$HI$207,13,0),"")</f>
        <v>44</v>
      </c>
      <c r="Z130" s="730">
        <f>IFERROR(IF(AND(AB123="",Q130="",V130="",Y130=""),"",SUM(S130,T130,U130,W130,X130)),"")</f>
        <v>69</v>
      </c>
      <c r="AA130" s="92">
        <f>IFERROR(VLOOKUP(AB123,'Statement of Marks'!$B$8:'Statement of Marks'!$HI$207,15,0),"")</f>
        <v>30</v>
      </c>
      <c r="AB130" s="466"/>
      <c r="AC130" s="727"/>
      <c r="AD130" s="765">
        <f>IFERROR(VLOOKUP(AB123,'Statement of Marks'!$B$8:'Statement of Marks'!$HI$207,15,0),"")</f>
        <v>30</v>
      </c>
      <c r="AE130" s="738">
        <f>IFERROR(VLOOKUP(AB123,'Statement of Marks'!$B$8:'Statement of Marks'!$HI$207,16,0),"")</f>
        <v>99</v>
      </c>
      <c r="AF130" s="728" t="str">
        <f>IFERROR(IF(AD130="","",IF(VLOOKUP(AB123,'Statement of Marks'!$B$8:'Statement of Marks'!$HI$207,165,0)="D","I",VLOOKUP(AB123,'Statement of Marks'!$B$8:'Statement of Marks'!$HI$207,165,0))),"")</f>
        <v>II</v>
      </c>
      <c r="AQ130" s="17"/>
      <c r="AR130"/>
      <c r="AS130"/>
      <c r="AT130"/>
      <c r="AX130"/>
      <c r="AY130"/>
      <c r="AZ130"/>
      <c r="BE130" s="17"/>
      <c r="BF130" s="17"/>
    </row>
    <row r="131" spans="1:58" s="471" customFormat="1" ht="22.5" customHeight="1">
      <c r="A131" s="469"/>
      <c r="B131" s="716" t="str">
        <f>'Statement of Marks'!$X$3</f>
        <v>Com. English</v>
      </c>
      <c r="C131" s="92">
        <f>IFERROR(VLOOKUP(L123,'Statement of Marks'!$B$8:'Statement of Marks'!$HI$207,23,0),"")</f>
        <v>8</v>
      </c>
      <c r="D131" s="92">
        <f>IFERROR(VLOOKUP(L123,'Statement of Marks'!$B$8:'Statement of Marks'!$HI$207,24,0),"")</f>
        <v>4</v>
      </c>
      <c r="E131" s="92">
        <f>IFERROR(VLOOKUP(L123,'Statement of Marks'!$B$8:'Statement of Marks'!$HI$207,25,0),"")</f>
        <v>9</v>
      </c>
      <c r="F131" s="465">
        <f>IFERROR(VLOOKUP(L123,'Statement of Marks'!$B$8:'Statement of Marks'!$HI$207,26,0),"")</f>
        <v>21</v>
      </c>
      <c r="G131" s="92">
        <f>IFERROR(VLOOKUP(L123,'Statement of Marks'!$B$8:'Statement of Marks'!$HI$207,27,0),"")</f>
        <v>38</v>
      </c>
      <c r="H131" s="92"/>
      <c r="I131" s="793">
        <f>IFERROR(VLOOKUP(L123,'Statement of Marks'!$B$8:'Statement of Marks'!$HI$207,27,0),"")</f>
        <v>38</v>
      </c>
      <c r="J131" s="730">
        <f>IFERROR(IF(AND(L123="",A131="",F131="",I131=""),"",SUM(C131,D131,E131,G131,H131)),"")</f>
        <v>59</v>
      </c>
      <c r="K131" s="92">
        <f>IFERROR(VLOOKUP(L123,'Statement of Marks'!$B$8:'Statement of Marks'!$HI$207,29,0),"")</f>
        <v>45</v>
      </c>
      <c r="L131" s="466"/>
      <c r="M131" s="727"/>
      <c r="N131" s="765">
        <f>IFERROR(VLOOKUP(L123,'Statement of Marks'!$B$8:'Statement of Marks'!$HI$207,29,0),"")</f>
        <v>45</v>
      </c>
      <c r="O131" s="738">
        <f>IFERROR(VLOOKUP(L123,'Statement of Marks'!$B$8:'Statement of Marks'!$HI$207,30,0),"")</f>
        <v>104</v>
      </c>
      <c r="P131" s="728" t="str">
        <f>IFERROR(IF(O131="","",IF(VLOOKUP(L123,'Statement of Marks'!$B$8:'Statement of Marks'!$HI$207,168,0)="D","I",VLOOKUP(L123,'Statement of Marks'!$B$8:'Statement of Marks'!$HI$207,168,0))),"")</f>
        <v>II</v>
      </c>
      <c r="Q131"/>
      <c r="R131" s="716" t="str">
        <f>'Statement of Marks'!$X$3</f>
        <v>Com. English</v>
      </c>
      <c r="S131" s="92">
        <f>IFERROR(VLOOKUP(AB123,'Statement of Marks'!$B$8:'Statement of Marks'!$HI$207,23,0),"")</f>
        <v>8</v>
      </c>
      <c r="T131" s="92">
        <f>IFERROR(VLOOKUP(AB123,'Statement of Marks'!$B$8:'Statement of Marks'!$HI$207,24,0),"")</f>
        <v>4</v>
      </c>
      <c r="U131" s="92">
        <f>IFERROR(VLOOKUP(AB123,'Statement of Marks'!$B$8:'Statement of Marks'!$HI$207,25,0),"")</f>
        <v>9</v>
      </c>
      <c r="V131" s="465">
        <f>IFERROR(VLOOKUP(AB123,'Statement of Marks'!$B$8:'Statement of Marks'!$HI$207,26,0),"")</f>
        <v>21</v>
      </c>
      <c r="W131" s="92">
        <f>IFERROR(VLOOKUP(AB123,'Statement of Marks'!$B$8:'Statement of Marks'!$HI$207,27,0),"")</f>
        <v>35</v>
      </c>
      <c r="X131" s="92"/>
      <c r="Y131" s="793">
        <f>IFERROR(VLOOKUP(AB123,'Statement of Marks'!$B$8:'Statement of Marks'!$HI$207,27,0),"")</f>
        <v>35</v>
      </c>
      <c r="Z131" s="730">
        <f>IFERROR(IF(AND(AB123="",Q131="",V131="",Y131=""),"",SUM(S131,T131,U131,W131,X131)),"")</f>
        <v>56</v>
      </c>
      <c r="AA131" s="92">
        <f>IFERROR(VLOOKUP(AB123,'Statement of Marks'!$B$8:'Statement of Marks'!$HI$207,29,0),"")</f>
        <v>46</v>
      </c>
      <c r="AB131" s="466"/>
      <c r="AC131" s="727"/>
      <c r="AD131" s="765">
        <f>IFERROR(VLOOKUP(AB123,'Statement of Marks'!$B$8:'Statement of Marks'!$HI$207,29,0),"")</f>
        <v>46</v>
      </c>
      <c r="AE131" s="738">
        <f>IFERROR(VLOOKUP(AB123,'Statement of Marks'!$B$8:'Statement of Marks'!$HI$207,30,0),"")</f>
        <v>102</v>
      </c>
      <c r="AF131" s="728" t="str">
        <f>IFERROR(IF(AE131="","",IF(VLOOKUP(AB123,'Statement of Marks'!$B$8:'Statement of Marks'!$HI$207,168,0)="D","I",VLOOKUP(AB123,'Statement of Marks'!$B$8:'Statement of Marks'!$HI$207,168,0))),"")</f>
        <v>II</v>
      </c>
      <c r="AQ131" s="17"/>
      <c r="AR131"/>
      <c r="AS131"/>
      <c r="AT131"/>
      <c r="AU131" s="17" t="str">
        <f>IFERROR(VLOOKUP(L123,'Statement of Marks'!$B$8:'Statement of Marks'!$HI$207,37,0),"")</f>
        <v>A</v>
      </c>
      <c r="AV131" s="17" t="str">
        <f>IFERROR(VLOOKUP(AB123,'Statement of Marks'!$B$8:'Statement of Marks'!$HI$207,37,0),"")</f>
        <v>A</v>
      </c>
      <c r="AX131"/>
      <c r="AY131"/>
      <c r="AZ131"/>
      <c r="BE131" s="17" t="str">
        <f>IFERROR(IF(VLOOKUP(AB123,'Statement of Marks'!$B$7:'Statement of Marks'!$IC$206,206,0)="By Grace Pass","By Grace Pass and Promoted to Class 12th",IF(VLOOKUP(AB123,'Statement of Marks'!$B$7:'Statement of Marks'!$IC$206,206,0)="PASS","PASS  and Promoted to Class 12th",IF(VLOOKUP(AB123,'Statement of Marks'!$B$7:'Statement of Marks'!$IC$206,206,0)="SUPPLEMENTARY","Supplementary",IF(VLOOKUP(AB123,'Statement of Marks'!$B$7:'Statement of Marks'!$IC$206,206,0)="Re-Exam","RE-EXAM",IF(VLOOKUP(AB123,'Statement of Marks'!$B$7:'Statement of Marks'!$IC$206,206,0)="FAIL","FAIL",""))))),"")</f>
        <v>By Grace Pass and Promoted to Class 12th</v>
      </c>
      <c r="BF131" s="17" t="str">
        <f>IFERROR(IF(VLOOKUP(L123,'Statement of Marks'!$B$7:'Statement of Marks'!$IC$206,206,0)="By Grace Pass","By Grace Pass and Promoted to Class 12th",IF(VLOOKUP(L123,'Statement of Marks'!$B$7:'Statement of Marks'!$IC$206,206,0)="PASS","PASS  and Promoted to Class 12th",IF(VLOOKUP(L123,'Statement of Marks'!$B$7:'Statement of Marks'!$IC$206,206,0)="SUPPLEMENTARY","Supplementary",IF(VLOOKUP(L123,'Statement of Marks'!$B$7:'Statement of Marks'!$IC$206,206,0)="Re-Exam","RE-EXAM",IF(VLOOKUP(L123,'Statement of Marks'!$B$7:'Statement of Marks'!$IC$206,206,0)="FAIL","FAIL",""))))),"")</f>
        <v>FAIL</v>
      </c>
    </row>
    <row r="132" spans="1:58" s="471" customFormat="1" ht="22.5" customHeight="1">
      <c r="A132" s="469"/>
      <c r="B132" s="477" t="str">
        <f>IFERROR(IF(AND(AU131="A"),'Marks Entry'!$U$2,IF(AND(AU131="B"),'Marks Entry'!$Y$2,IF(AND(AU131="C"),'Marks Entry'!$AA$2,""))),"")</f>
        <v>POLITICAL SCIENCE</v>
      </c>
      <c r="C132" s="92">
        <f>IFERROR(VLOOKUP(L123,'Statement of Marks'!$B$8:'Statement of Marks'!$HI$207,38,0),"")</f>
        <v>7</v>
      </c>
      <c r="D132" s="92">
        <f>IFERROR(VLOOKUP(L123,'Statement of Marks'!$B$8:'Statement of Marks'!$HI$207,39,0),"")</f>
        <v>9</v>
      </c>
      <c r="E132" s="92">
        <f>IFERROR(VLOOKUP(L123,'Statement of Marks'!$B$8:'Statement of Marks'!$HI$207,40,0),"")</f>
        <v>7</v>
      </c>
      <c r="F132" s="465">
        <f>IFERROR(VLOOKUP(L123,'Statement of Marks'!$B$8:'Statement of Marks'!$HI$207,41,0),"")</f>
        <v>23</v>
      </c>
      <c r="G132" s="92">
        <f>IFERROR(VLOOKUP(L123,'Statement of Marks'!$B$8:'Statement of Marks'!$HI$207,42,0),"")</f>
        <v>10</v>
      </c>
      <c r="H132" s="92" t="str">
        <f>IFERROR(VLOOKUP(L123,'Statement of Marks'!$B$8:'Statement of Marks'!$HI$207,43,0),"")</f>
        <v/>
      </c>
      <c r="I132" s="793">
        <f>IFERROR(VLOOKUP(L123,'Statement of Marks'!$B$8:'Statement of Marks'!$HI$207,44,0),"")</f>
        <v>10</v>
      </c>
      <c r="J132" s="730">
        <f>IFERROR(IF(AND(L123="",A132="",F132="",I132=""),"",SUM(C132,D132,E132,G132,H132)),"")</f>
        <v>33</v>
      </c>
      <c r="K132" s="92">
        <f>IFERROR(VLOOKUP(L123,'Statement of Marks'!$B$8:'Statement of Marks'!$HI$207,46,0),"")</f>
        <v>10</v>
      </c>
      <c r="L132" s="92" t="str">
        <f>IFERROR(VLOOKUP(L123,'Statement of Marks'!$B$8:'Statement of Marks'!$HI$207,47,0),"")</f>
        <v/>
      </c>
      <c r="M132" s="727"/>
      <c r="N132" s="765">
        <f>IFERROR(VLOOKUP(L123,'Statement of Marks'!$B$8:'Statement of Marks'!$HI$207,48,0),"")</f>
        <v>10</v>
      </c>
      <c r="O132" s="738">
        <f>IFERROR(VLOOKUP(L123,'Statement of Marks'!$B$8:'Statement of Marks'!$HI$207,51,0),"")</f>
        <v>43</v>
      </c>
      <c r="P132" s="728" t="str">
        <f>IFERROR(IF(O132="","",IF(VLOOKUP(L123,'Statement of Marks'!$B$8:'Statement of Marks'!$HI$207,171,0)="D","I",VLOOKUP(L123,'Statement of Marks'!$B$8:'Statement of Marks'!$HI$207,171,0))),"")</f>
        <v>F</v>
      </c>
      <c r="Q132"/>
      <c r="R132" s="477" t="str">
        <f>IFERROR(IF(AND(AV131="A"),'Marks Entry'!$U$2,IF(AND(AV131="B"),'Marks Entry'!$Y$2,IF(AND(AV131="C"),'Marks Entry'!$AA$2,""))),"")</f>
        <v>POLITICAL SCIENCE</v>
      </c>
      <c r="S132" s="92" t="str">
        <f>IFERROR(VLOOKUP(AB123,'Statement of Marks'!$B$8:'Statement of Marks'!$HI$207,38,0),"")</f>
        <v>na</v>
      </c>
      <c r="T132" s="92">
        <f>IFERROR(VLOOKUP(AB123,'Statement of Marks'!$B$8:'Statement of Marks'!$HI$207,39,0),"")</f>
        <v>7</v>
      </c>
      <c r="U132" s="92">
        <f>IFERROR(VLOOKUP(AB123,'Statement of Marks'!$B$8:'Statement of Marks'!$HI$207,40,0),"")</f>
        <v>7</v>
      </c>
      <c r="V132" s="465">
        <f>IFERROR(VLOOKUP(AB123,'Statement of Marks'!$B$8:'Statement of Marks'!$HI$207,41,0),"")</f>
        <v>14</v>
      </c>
      <c r="W132" s="92">
        <f>IFERROR(VLOOKUP(AB123,'Statement of Marks'!$B$8:'Statement of Marks'!$HI$207,42,0),"")</f>
        <v>15</v>
      </c>
      <c r="X132" s="92" t="str">
        <f>IFERROR(VLOOKUP(AB123,'Statement of Marks'!$B$8:'Statement of Marks'!$HI$207,43,0),"")</f>
        <v/>
      </c>
      <c r="Y132" s="793">
        <f>IFERROR(VLOOKUP(AB123,'Statement of Marks'!$B$8:'Statement of Marks'!$HI$207,44,0),"")</f>
        <v>15</v>
      </c>
      <c r="Z132" s="730">
        <f>IFERROR(IF(AND(AB123="",Q132="",V132="",Y132=""),"",SUM(S132,T132,U132,W132,X132)),"")</f>
        <v>29</v>
      </c>
      <c r="AA132" s="92">
        <f>IFERROR(VLOOKUP(AB123,'Statement of Marks'!$B$8:'Statement of Marks'!$HI$207,46,0),"")</f>
        <v>36</v>
      </c>
      <c r="AB132" s="92" t="str">
        <f>IFERROR(VLOOKUP(AB123,'Statement of Marks'!$B$8:'Statement of Marks'!$HI$207,47,0),"")</f>
        <v/>
      </c>
      <c r="AC132" s="727"/>
      <c r="AD132" s="765">
        <f>IFERROR(VLOOKUP(AB123,'Statement of Marks'!$B$8:'Statement of Marks'!$HI$207,48,0),"")</f>
        <v>36</v>
      </c>
      <c r="AE132" s="738">
        <f>IFERROR(VLOOKUP(AB123,'Statement of Marks'!$B$8:'Statement of Marks'!$HI$207,51,0),"")</f>
        <v>65</v>
      </c>
      <c r="AF132" s="728" t="str">
        <f>IFERROR(IF(AE132="","",IF(VLOOKUP(AB123,'Statement of Marks'!$B$8:'Statement of Marks'!$HI$207,171,0)="D","I",VLOOKUP(AB123,'Statement of Marks'!$B$8:'Statement of Marks'!$HI$207,171,0))),"")</f>
        <v>G</v>
      </c>
      <c r="AQ132" s="17"/>
      <c r="AR132"/>
      <c r="AS132"/>
      <c r="AT132"/>
      <c r="AU132" s="17" t="str">
        <f>IFERROR(VLOOKUP(L123,'Statement of Marks'!$B$8:'Statement of Marks'!$HI$207,60,0),"")</f>
        <v>A</v>
      </c>
      <c r="AV132" s="17" t="str">
        <f>IFERROR(VLOOKUP(AB123,'Statement of Marks'!$B$8:'Statement of Marks'!$HI$207,60,0),"")</f>
        <v>A</v>
      </c>
      <c r="AX132"/>
      <c r="AY132"/>
      <c r="AZ132"/>
      <c r="BE132" s="17" t="str">
        <f>IFERROR(IF(VLOOKUP(AB123,'Statement of Marks'!$B$7:'Statement of Marks'!$IC$206,206,0)="By Grace Pass","सानुग्रह उतीर्ण एवं कक्षा 12 में क्रमोन्नत",IF(VLOOKUP(AB123,'Statement of Marks'!$B$7:'Statement of Marks'!$IC$206,206,0)="PASS","उतीर्ण एवं कक्षा 12 में क्रमोन्नत",IF(VLOOKUP(AB123,'Statement of Marks'!$B$7:'Statement of Marks'!$IC$206,206,0)="SUPPLEMENTARY","पूरक",IF(VLOOKUP(AB123,'Statement of Marks'!$B$7:'Statement of Marks'!$IC$206,206,0)="Re-Exam","पुनः परीक्षा",IF(VLOOKUP(AB123,'Statement of Marks'!$B$7:'Statement of Marks'!$IC$206,206,0)="FAIL","अनुतीर्ण",""))))),"")</f>
        <v>सानुग्रह उतीर्ण एवं कक्षा 12 में क्रमोन्नत</v>
      </c>
      <c r="BF132" s="17" t="str">
        <f>IFERROR(IF(VLOOKUP(L123,'Statement of Marks'!$B$7:'Statement of Marks'!$IC$206,206,0)="By Grace Pass","सानुग्रह उतीर्ण एवं कक्षा 12 में क्रमोन्नत",IF(VLOOKUP(L123,'Statement of Marks'!$B$7:'Statement of Marks'!$IC$206,206,0)="PASS","उतीर्ण एवं कक्षा 12 में क्रमोन्नत",IF(VLOOKUP(L123,'Statement of Marks'!$B$7:'Statement of Marks'!$IC$206,206,0)="SUPPLEMENTARY","पूरक",IF(VLOOKUP(L123,'Statement of Marks'!$B$7:'Statement of Marks'!$IC$206,206,0)="Re-Exam","पुनः परीक्षा",IF(VLOOKUP(L123,'Statement of Marks'!$B$7:'Statement of Marks'!$IC$206,206,0)="FAIL","अनुतीर्ण",""))))),"")</f>
        <v>अनुतीर्ण</v>
      </c>
    </row>
    <row r="133" spans="1:58" s="471" customFormat="1" ht="22.5" customHeight="1">
      <c r="A133" s="469"/>
      <c r="B133" s="477" t="str">
        <f>IFERROR(IF(AND(AU132="A"),'Marks Entry'!$AC$2,IF(AND(AU132="B"),'Marks Entry'!$AG$2,IF(AND(AU132="C"),'Marks Entry'!$AI$2,""))),"")</f>
        <v>HISTORY</v>
      </c>
      <c r="C133" s="92">
        <f>IFERROR(VLOOKUP(L123,'Statement of Marks'!$B$8:'Statement of Marks'!$HI$207,61,0),"")</f>
        <v>5</v>
      </c>
      <c r="D133" s="92">
        <f>IFERROR(VLOOKUP(L123,'Statement of Marks'!$B$8:'Statement of Marks'!$HI$207,62,0),"")</f>
        <v>2</v>
      </c>
      <c r="E133" s="92" t="str">
        <f>IFERROR(VLOOKUP(L123,'Statement of Marks'!$B$8:'Statement of Marks'!$HI$207,63,0),"")</f>
        <v/>
      </c>
      <c r="F133" s="465">
        <f>IFERROR(VLOOKUP(L123,'Statement of Marks'!$B$8:'Statement of Marks'!$HI$207,64,0),"")</f>
        <v>7</v>
      </c>
      <c r="G133" s="92">
        <f>IFERROR(VLOOKUP(L123,'Statement of Marks'!$B$8:'Statement of Marks'!$HI$207,65,0),"")</f>
        <v>37</v>
      </c>
      <c r="H133" s="92" t="str">
        <f>IFERROR(VLOOKUP(L123,'Statement of Marks'!$B$8:'Statement of Marks'!$HI$207,66,0),"")</f>
        <v/>
      </c>
      <c r="I133" s="793">
        <f>IFERROR(VLOOKUP(L123,'Statement of Marks'!$B$8:'Statement of Marks'!$HI$207,67,0),"")</f>
        <v>37</v>
      </c>
      <c r="J133" s="730">
        <f>IFERROR(IF(AND(L123="",A133="",F133="",I133=""),"",SUM(C133,D133,E133,G133,H133)),"")</f>
        <v>44</v>
      </c>
      <c r="K133" s="92">
        <f>IFERROR(VLOOKUP(L123,'Statement of Marks'!$B$8:'Statement of Marks'!$HI$207,69,0),"")</f>
        <v>69</v>
      </c>
      <c r="L133" s="92" t="str">
        <f>IFERROR(VLOOKUP(L123,'Statement of Marks'!$B$8:'Statement of Marks'!$HI$207,70,0),"")</f>
        <v/>
      </c>
      <c r="M133" s="727"/>
      <c r="N133" s="765">
        <f>IFERROR(VLOOKUP(L123,'Statement of Marks'!$B$8:'Statement of Marks'!$HI$207,71,0),"")</f>
        <v>69</v>
      </c>
      <c r="O133" s="738">
        <f>IFERROR(VLOOKUP(L123,'Statement of Marks'!$B$8:'Statement of Marks'!$HI$207,74,0),"")</f>
        <v>113</v>
      </c>
      <c r="P133" s="728" t="str">
        <f>IFERROR(IF(O133="","",IF(VLOOKUP(L123,'Statement of Marks'!$B$8:'Statement of Marks'!$HI$207,178,0)="D","I",VLOOKUP(L123,'Statement of Marks'!$B$8:'Statement of Marks'!$HI$207,178,0))),"")</f>
        <v>II</v>
      </c>
      <c r="Q133"/>
      <c r="R133" s="477" t="str">
        <f>IFERROR(IF(AND(AV132="A"),'Marks Entry'!$AC$2,IF(AND(AV132="B"),'Marks Entry'!$AG$2,IF(AND(AV132="C"),'Marks Entry'!$AI$2,""))),"")</f>
        <v>HISTORY</v>
      </c>
      <c r="S133" s="92">
        <f>IFERROR(VLOOKUP(AB123,'Statement of Marks'!$B$8:'Statement of Marks'!$HI$207,61,0),"")</f>
        <v>9</v>
      </c>
      <c r="T133" s="92">
        <f>IFERROR(VLOOKUP(AB123,'Statement of Marks'!$B$8:'Statement of Marks'!$HI$207,62,0),"")</f>
        <v>7</v>
      </c>
      <c r="U133" s="92" t="str">
        <f>IFERROR(VLOOKUP(AB123,'Statement of Marks'!$B$8:'Statement of Marks'!$HI$207,63,0),"")</f>
        <v/>
      </c>
      <c r="V133" s="465">
        <f>IFERROR(VLOOKUP(AB123,'Statement of Marks'!$B$8:'Statement of Marks'!$HI$207,64,0),"")</f>
        <v>16</v>
      </c>
      <c r="W133" s="92">
        <f>IFERROR(VLOOKUP(AB123,'Statement of Marks'!$B$8:'Statement of Marks'!$HI$207,65,0),"")</f>
        <v>35</v>
      </c>
      <c r="X133" s="92" t="str">
        <f>IFERROR(VLOOKUP(AB123,'Statement of Marks'!$B$8:'Statement of Marks'!$HI$207,66,0),"")</f>
        <v/>
      </c>
      <c r="Y133" s="793">
        <f>IFERROR(VLOOKUP(AB123,'Statement of Marks'!$B$8:'Statement of Marks'!$HI$207,67,0),"")</f>
        <v>35</v>
      </c>
      <c r="Z133" s="730">
        <f>IFERROR(IF(AND(AB123="",Q133="",V133="",Y133=""),"",SUM(S133,T133,U133,W133,X133)),"")</f>
        <v>51</v>
      </c>
      <c r="AA133" s="92">
        <f>IFERROR(VLOOKUP(AB123,'Statement of Marks'!$B$8:'Statement of Marks'!$HI$207,69,0),"")</f>
        <v>35</v>
      </c>
      <c r="AB133" s="92" t="str">
        <f>IFERROR(VLOOKUP(AB123,'Statement of Marks'!$B$8:'Statement of Marks'!$HI$207,70,0),"")</f>
        <v/>
      </c>
      <c r="AC133" s="727"/>
      <c r="AD133" s="765">
        <f>IFERROR(VLOOKUP(AB123,'Statement of Marks'!$B$8:'Statement of Marks'!$HI$207,71,0),"")</f>
        <v>35</v>
      </c>
      <c r="AE133" s="738">
        <f>IFERROR(VLOOKUP(AB123,'Statement of Marks'!$B$8:'Statement of Marks'!$HI$207,74,0),"")</f>
        <v>86</v>
      </c>
      <c r="AF133" s="728" t="str">
        <f>IFERROR(IF(AE133="","",IF(VLOOKUP(AB123,'Statement of Marks'!$B$8:'Statement of Marks'!$HI$207,178,0)="D","I",VLOOKUP(AB123,'Statement of Marks'!$B$8:'Statement of Marks'!$HI$207,178,0))),"")</f>
        <v>III</v>
      </c>
      <c r="AQ133" s="17"/>
      <c r="AR133"/>
      <c r="AS133"/>
      <c r="AT133"/>
      <c r="AU133" s="17" t="str">
        <f>IFERROR(VLOOKUP(L123,'Statement of Marks'!$B$8:'Statement of Marks'!$HI$207,83,0),"")</f>
        <v>B</v>
      </c>
      <c r="AV133" s="17" t="str">
        <f>IFERROR(VLOOKUP(AB123,'Statement of Marks'!$B$8:'Statement of Marks'!$HI$207,83,0),"")</f>
        <v>C</v>
      </c>
      <c r="AX133"/>
      <c r="AY133"/>
      <c r="AZ133"/>
      <c r="BE133" s="17" t="str">
        <f>IF('Master Sheet'!$D$11="Hindi",BE132,BE131)</f>
        <v>सानुग्रह उतीर्ण एवं कक्षा 12 में क्रमोन्नत</v>
      </c>
      <c r="BF133" s="17" t="str">
        <f>IF('Master Sheet'!$D$11="Hindi",BF132,BF131)</f>
        <v>अनुतीर्ण</v>
      </c>
    </row>
    <row r="134" spans="1:58" s="471" customFormat="1" ht="22.5" customHeight="1">
      <c r="A134" s="469"/>
      <c r="B134" s="477" t="str">
        <f>IFERROR(IF(AND(AU133="A"),'Marks Entry'!$AK$2,IF(AND(AU133="B"),'Marks Entry'!$AO$2,IF(AND(AU133="C"),'Marks Entry'!$AQ$2,""))),"")</f>
        <v>HOME SCIENCE</v>
      </c>
      <c r="C134" s="92">
        <f>IFERROR(VLOOKUP(L123,'Statement of Marks'!$B$8:'Statement of Marks'!$HI$207,84,0),"")</f>
        <v>3</v>
      </c>
      <c r="D134" s="92">
        <f>IFERROR(VLOOKUP(L123,'Statement of Marks'!$B$8:'Statement of Marks'!$HI$207,85,0),"")</f>
        <v>3</v>
      </c>
      <c r="E134" s="92">
        <f>IFERROR(VLOOKUP(L123,'Statement of Marks'!$B$8:'Statement of Marks'!$HI$207,86,0),"")</f>
        <v>7</v>
      </c>
      <c r="F134" s="465">
        <f>IFERROR(VLOOKUP(L123,'Statement of Marks'!$B$8:'Statement of Marks'!$HI$207,87,0),"")</f>
        <v>13</v>
      </c>
      <c r="G134" s="92">
        <f>IFERROR(VLOOKUP(L123,'Statement of Marks'!$B$8:'Statement of Marks'!$HI$207,88,0),"")</f>
        <v>47</v>
      </c>
      <c r="H134" s="92" t="str">
        <f>IFERROR(VLOOKUP(L123,'Statement of Marks'!$B$8:'Statement of Marks'!$HI$207,89,0),"")</f>
        <v/>
      </c>
      <c r="I134" s="793">
        <f>IFERROR(VLOOKUP(L123,'Statement of Marks'!$B$8:'Statement of Marks'!$HI$207,90,0),"")</f>
        <v>47</v>
      </c>
      <c r="J134" s="730">
        <f>IFERROR(IF(AND(L123="",A134="",F134="",I134=""),"",SUM(C134,D134,E134,G134,H134)),"")</f>
        <v>60</v>
      </c>
      <c r="K134" s="92" t="str">
        <f>IFERROR(VLOOKUP(L123,'Statement of Marks'!$B$8:'Statement of Marks'!$HI$207,92,0),"")</f>
        <v/>
      </c>
      <c r="L134" s="92" t="str">
        <f>IFERROR(VLOOKUP(L123,'Statement of Marks'!$B$8:'Statement of Marks'!$HI$207,93,0),"")</f>
        <v/>
      </c>
      <c r="M134" s="727"/>
      <c r="N134" s="765" t="str">
        <f>IFERROR(VLOOKUP(L123,'Statement of Marks'!$B$8:'Statement of Marks'!$HI$207,94,0),"")</f>
        <v/>
      </c>
      <c r="O134" s="738">
        <f>IFERROR(VLOOKUP(L123,'Statement of Marks'!$B$8:'Statement of Marks'!$HI$207,97,0),"")</f>
        <v>60</v>
      </c>
      <c r="P134" s="728" t="str">
        <f>IFERROR(IF(O134="","",IF(VLOOKUP(L123,'Statement of Marks'!$B$8:'Statement of Marks'!$HI$207,185,0)="D","I",VLOOKUP(L123,'Statement of Marks'!$B$8:'Statement of Marks'!$HI$207,185,0))),"")</f>
        <v/>
      </c>
      <c r="Q134"/>
      <c r="R134" s="477" t="str">
        <f>IFERROR(IF(AND(AV133="A"),'Marks Entry'!$AK$2,IF(AND(AV133="B"),'Marks Entry'!$AO$2,IF(AND(AV133="C"),'Marks Entry'!$AQ$2,""))),"")</f>
        <v>TYPING</v>
      </c>
      <c r="S134" s="92">
        <f>IFERROR(VLOOKUP(AB123,'Statement of Marks'!$B$8:'Statement of Marks'!$HI$207,84,0),"")</f>
        <v>3</v>
      </c>
      <c r="T134" s="92">
        <f>IFERROR(VLOOKUP(AB123,'Statement of Marks'!$B$8:'Statement of Marks'!$HI$207,85,0),"")</f>
        <v>5</v>
      </c>
      <c r="U134" s="92">
        <f>IFERROR(VLOOKUP(AB123,'Statement of Marks'!$B$8:'Statement of Marks'!$HI$207,86,0),"")</f>
        <v>7</v>
      </c>
      <c r="V134" s="465">
        <f>IFERROR(VLOOKUP(AB123,'Statement of Marks'!$B$8:'Statement of Marks'!$HI$207,87,0),"")</f>
        <v>15</v>
      </c>
      <c r="W134" s="92">
        <f>IFERROR(VLOOKUP(AB123,'Statement of Marks'!$B$8:'Statement of Marks'!$HI$207,88,0),"")</f>
        <v>45</v>
      </c>
      <c r="X134" s="92" t="str">
        <f>IFERROR(VLOOKUP(AB123,'Statement of Marks'!$B$8:'Statement of Marks'!$HI$207,89,0),"")</f>
        <v/>
      </c>
      <c r="Y134" s="793">
        <f>IFERROR(VLOOKUP(AB123,'Statement of Marks'!$B$8:'Statement of Marks'!$HI$207,90,0),"")</f>
        <v>45</v>
      </c>
      <c r="Z134" s="730">
        <f>IFERROR(IF(AND(AB123="",Q134="",V134="",Y134=""),"",SUM(S134,T134,U134,W134,X134)),"")</f>
        <v>60</v>
      </c>
      <c r="AA134" s="92" t="str">
        <f>IFERROR(VLOOKUP(AB123,'Statement of Marks'!$B$8:'Statement of Marks'!$HI$207,92,0),"")</f>
        <v/>
      </c>
      <c r="AB134" s="92" t="str">
        <f>IFERROR(VLOOKUP(AB123,'Statement of Marks'!$B$8:'Statement of Marks'!$HI$207,93,0),"")</f>
        <v/>
      </c>
      <c r="AC134" s="727"/>
      <c r="AD134" s="765" t="str">
        <f>IFERROR(VLOOKUP(AB123,'Statement of Marks'!$B$8:'Statement of Marks'!$HI$207,94,0),"")</f>
        <v/>
      </c>
      <c r="AE134" s="738">
        <f>IFERROR(VLOOKUP(AB123,'Statement of Marks'!$B$8:'Statement of Marks'!$HI$207,97,0),"")</f>
        <v>60</v>
      </c>
      <c r="AF134" s="728" t="str">
        <f>IFERROR(IF(AE134="","",IF(VLOOKUP(AB123,'Statement of Marks'!$B$8:'Statement of Marks'!$HI$207,185,0)="D","I",VLOOKUP(AB123,'Statement of Marks'!$B$8:'Statement of Marks'!$HI$207,185,0))),"")</f>
        <v/>
      </c>
      <c r="AQ134" s="17"/>
      <c r="AR134"/>
      <c r="AS134"/>
      <c r="AT134"/>
      <c r="AU134" s="471" t="s">
        <v>286</v>
      </c>
      <c r="AV134" s="471" t="s">
        <v>286</v>
      </c>
      <c r="AX134"/>
      <c r="AY134"/>
      <c r="AZ134"/>
      <c r="BE134" s="17"/>
      <c r="BF134" s="17"/>
    </row>
    <row r="135" spans="1:58" s="471" customFormat="1" ht="19.5" customHeight="1">
      <c r="A135" s="469"/>
      <c r="B135" s="1687" t="str">
        <f>IF('Master Sheet'!$D$11="Hindi","व्यावसायिक शिक्षा / अतिरिक्त विषय","Vocational Education / Additional Subject")</f>
        <v>व्यावसायिक शिक्षा / अतिरिक्त विषय</v>
      </c>
      <c r="C135" s="1687"/>
      <c r="D135" s="1687"/>
      <c r="E135" s="1687"/>
      <c r="F135" s="1687"/>
      <c r="G135" s="1687"/>
      <c r="H135" s="1687"/>
      <c r="I135" s="1687"/>
      <c r="J135" s="1687"/>
      <c r="K135" s="1687"/>
      <c r="L135" s="1687"/>
      <c r="M135" s="1687"/>
      <c r="N135" s="1687"/>
      <c r="O135" s="1687"/>
      <c r="P135" s="1687"/>
      <c r="Q135"/>
      <c r="R135" s="1687" t="str">
        <f>IF('Master Sheet'!$D$11="Hindi","व्यावसायिक शिक्षा / अतिरिक्त विषय","Vocational Education / Additional Subject")</f>
        <v>व्यावसायिक शिक्षा / अतिरिक्त विषय</v>
      </c>
      <c r="S135" s="1687"/>
      <c r="T135" s="1687"/>
      <c r="U135" s="1687"/>
      <c r="V135" s="1687"/>
      <c r="W135" s="1687"/>
      <c r="X135" s="1687"/>
      <c r="Y135" s="1687"/>
      <c r="Z135" s="1687"/>
      <c r="AA135" s="1687"/>
      <c r="AB135" s="1687"/>
      <c r="AC135" s="1687"/>
      <c r="AD135" s="1687"/>
      <c r="AE135" s="1687"/>
      <c r="AF135" s="1687"/>
      <c r="AQ135" s="17"/>
      <c r="AR135"/>
      <c r="AS135"/>
      <c r="AT135"/>
      <c r="AX135"/>
      <c r="AY135"/>
      <c r="AZ135"/>
      <c r="BE135" s="17"/>
      <c r="BF135" s="17"/>
    </row>
    <row r="136" spans="1:58" s="471" customFormat="1" ht="22.5" customHeight="1">
      <c r="A136" s="469"/>
      <c r="B136" s="477" t="str">
        <f>IFERROR(IF(AND(AU136="A"),'Marks Entry'!$AS$2,IF(AND(AU136="B"),'Marks Entry'!$AW$2,IF(AND(AU136="C"),'Marks Entry'!$AY$2,""))),"")</f>
        <v/>
      </c>
      <c r="C136" s="748" t="str">
        <f>IFERROR(VLOOKUP(L123,'Statement of Marks'!$B$8:'Statement of Marks'!$HI$207,108,0),"")</f>
        <v/>
      </c>
      <c r="D136" s="748" t="str">
        <f>IFERROR(VLOOKUP(L123,'Statement of Marks'!$B$8:'Statement of Marks'!$HI$207,109,0),"")</f>
        <v/>
      </c>
      <c r="E136" s="748" t="str">
        <f>IFERROR(VLOOKUP(L123,'Statement of Marks'!$B$8:'Statement of Marks'!$HI$207,110,0),"")</f>
        <v/>
      </c>
      <c r="F136" s="748" t="str">
        <f>IFERROR(VLOOKUP(L123,'Statement of Marks'!$B$8:'Statement of Marks'!$HI$207,111,0),"")</f>
        <v/>
      </c>
      <c r="G136" s="750" t="str">
        <f>IFERROR(VLOOKUP(L123,'Statement of Marks'!$B$8:'Statement of Marks'!$HI$207,112,0),"")</f>
        <v/>
      </c>
      <c r="H136" s="750" t="str">
        <f>IFERROR(VLOOKUP(L123,'Statement of Marks'!$B$8:'Statement of Marks'!$HI$207,113,0),"")</f>
        <v/>
      </c>
      <c r="I136" s="754" t="str">
        <f>IFERROR(VLOOKUP(L123,'Statement of Marks'!$B$8:'Statement of Marks'!$HI$207,114,0),"")</f>
        <v/>
      </c>
      <c r="J136" s="749" t="str">
        <f>IFERROR(IF(OR(L123="",A136="",F136="",I136=""),"",SUM(C136,D136,E136,G136,H136)),"")</f>
        <v/>
      </c>
      <c r="K136" s="748" t="str">
        <f>IFERROR(VLOOKUP(L123,'Statement of Marks'!$B$8:'Statement of Marks'!$HI$207,116,0),"")</f>
        <v/>
      </c>
      <c r="L136" s="748" t="str">
        <f>IFERROR(VLOOKUP(L123,'Statement of Marks'!$B$8:'Statement of Marks'!$HI$207,118,0),"")</f>
        <v/>
      </c>
      <c r="M136" s="748" t="str">
        <f>IFERROR(VLOOKUP(L123,'Statement of Marks'!$B$8:'Statement of Marks'!$HI$207,117,0),"")</f>
        <v/>
      </c>
      <c r="N136" s="751" t="str">
        <f>IFERROR(VLOOKUP(L123,'Statement of Marks'!$B$8:'Statement of Marks'!$HI$207,119,0),"")</f>
        <v/>
      </c>
      <c r="O136" s="752" t="str">
        <f>IFERROR(VLOOKUP(L123,'Statement of Marks'!$B$8:'Statement of Marks'!$HI$207,123,0),"")</f>
        <v/>
      </c>
      <c r="P136" s="753" t="str">
        <f>IFERROR(IF(O136="","",IF(VLOOKUP(L123,'Statement of Marks'!$B$8:'Statement of Marks'!$HI$207,192,0)="D","I",VLOOKUP(L123,'Statement of Marks'!$B$8:'Statement of Marks'!$HI$207,192,0))),"")</f>
        <v/>
      </c>
      <c r="Q136"/>
      <c r="R136" s="477" t="str">
        <f>IFERROR(IF(AND(AV136="A"),'Marks Entry'!$AS$2,IF(AND(AV136="B"),'Marks Entry'!$AW$2,IF(AND(AV136="C"),'Marks Entry'!$AY$2,""))),"")</f>
        <v/>
      </c>
      <c r="S136" s="748" t="str">
        <f>IFERROR(VLOOKUP(AB123,'Statement of Marks'!$B$8:'Statement of Marks'!$HI$207,108,0),"")</f>
        <v/>
      </c>
      <c r="T136" s="748" t="str">
        <f>IFERROR(VLOOKUP(AB123,'Statement of Marks'!$B$8:'Statement of Marks'!$HI$207,109,0),"")</f>
        <v/>
      </c>
      <c r="U136" s="748" t="str">
        <f>IFERROR(VLOOKUP(AB123,'Statement of Marks'!$B$8:'Statement of Marks'!$HI$207,110,0),"")</f>
        <v/>
      </c>
      <c r="V136" s="748" t="str">
        <f>IFERROR(VLOOKUP(AB123,'Statement of Marks'!$B$8:'Statement of Marks'!$HI$207,111,0),"")</f>
        <v/>
      </c>
      <c r="W136" s="750" t="str">
        <f>IFERROR(VLOOKUP(AB123,'Statement of Marks'!$B$8:'Statement of Marks'!$HI$207,112,0),"")</f>
        <v/>
      </c>
      <c r="X136" s="750" t="str">
        <f>IFERROR(VLOOKUP(AB123,'Statement of Marks'!$B$8:'Statement of Marks'!$HI$207,113,0),"")</f>
        <v/>
      </c>
      <c r="Y136" s="754" t="str">
        <f>IFERROR(VLOOKUP(AB123,'Statement of Marks'!$B$8:'Statement of Marks'!$HI$207,114,0),"")</f>
        <v/>
      </c>
      <c r="Z136" s="749" t="str">
        <f>IFERROR(IF(OR(AB123="",Q136="",V136="",Y136=""),"",SUM(S136,T136,U136,W136,X136)),"")</f>
        <v/>
      </c>
      <c r="AA136" s="748" t="str">
        <f>IFERROR(VLOOKUP(AB123,'Statement of Marks'!$B$8:'Statement of Marks'!$HI$207,116,0),"")</f>
        <v/>
      </c>
      <c r="AB136" s="748" t="str">
        <f>IFERROR(VLOOKUP(AB123,'Statement of Marks'!$B$8:'Statement of Marks'!$HI$207,118,0),"")</f>
        <v/>
      </c>
      <c r="AC136" s="748" t="str">
        <f>IFERROR(VLOOKUP(AB123,'Statement of Marks'!$B$8:'Statement of Marks'!$HI$207,117,0),"")</f>
        <v/>
      </c>
      <c r="AD136" s="751" t="str">
        <f>IFERROR(VLOOKUP(AB123,'Statement of Marks'!$B$8:'Statement of Marks'!$HI$207,119,0),"")</f>
        <v/>
      </c>
      <c r="AE136" s="752" t="str">
        <f>IFERROR(VLOOKUP(AB123,'Statement of Marks'!$B$8:'Statement of Marks'!$HI$207,123,0),"")</f>
        <v/>
      </c>
      <c r="AF136" s="753" t="str">
        <f>IFERROR(IF(AE136="","",IF(VLOOKUP(AB123,'Statement of Marks'!$B$8:'Statement of Marks'!$HI$207,192,0)="D","I",VLOOKUP(AB123,'Statement of Marks'!$B$8:'Statement of Marks'!$HI$207,192,0))),"")</f>
        <v/>
      </c>
      <c r="AQ136" s="17"/>
      <c r="AR136"/>
      <c r="AS136"/>
      <c r="AT136"/>
      <c r="AU136" s="471" t="str">
        <f>IFERROR(VLOOKUP(L123,'Statement of Marks'!$B$8:'Statement of Marks'!$HI$207,107,0),"")</f>
        <v/>
      </c>
      <c r="AV136" s="471" t="str">
        <f>IFERROR(VLOOKUP(AB123,'Statement of Marks'!$B$8:'Statement of Marks'!$HI$207,107,0),"")</f>
        <v/>
      </c>
      <c r="AX136"/>
      <c r="AY136"/>
      <c r="AZ136"/>
      <c r="BE136" s="17"/>
      <c r="BF136" s="17"/>
    </row>
    <row r="137" spans="1:58" s="471" customFormat="1" ht="25.5" customHeight="1">
      <c r="A137" s="469"/>
      <c r="B137" s="1688"/>
      <c r="C137" s="1688"/>
      <c r="D137" s="1688"/>
      <c r="E137" s="1688"/>
      <c r="F137" s="1688"/>
      <c r="G137" s="1688"/>
      <c r="H137" s="1688"/>
      <c r="I137" s="1688"/>
      <c r="J137" s="1688"/>
      <c r="K137" s="1688"/>
      <c r="L137" s="1689" t="str">
        <f>IF('Master Sheet'!$D$11="Hindi","महायोग :","Grand Total :")</f>
        <v>महायोग :</v>
      </c>
      <c r="M137" s="1690"/>
      <c r="N137" s="1690"/>
      <c r="O137" s="755">
        <f>IF(AND(O130="",O131="",O132="",O133="",O134=""),"",IF(AND($K$18="",$L$18="",$M$18=""),SUM(O130,O131,O132,O133,O136),IF(AND('Master Sheet'!$D$19="YES",'Marks Entry'!$BA$1=1),SUM(O130,O131,O132,O133,O136),SUM(O130:O134))))</f>
        <v>418</v>
      </c>
      <c r="P137" s="756" t="str">
        <f>IFERROR(VLOOKUP(L123,'Statement of Marks'!$B$8:'Statement of Marks'!$HI$207,210,0),"")</f>
        <v/>
      </c>
      <c r="Q137"/>
      <c r="R137" s="1688"/>
      <c r="S137" s="1688"/>
      <c r="T137" s="1688"/>
      <c r="U137" s="1688"/>
      <c r="V137" s="1688"/>
      <c r="W137" s="1688"/>
      <c r="X137" s="1688"/>
      <c r="Y137" s="1688"/>
      <c r="Z137" s="1688"/>
      <c r="AA137" s="1688"/>
      <c r="AB137" s="1689" t="str">
        <f>IF('Master Sheet'!$D$11="Hindi","महायोग :","Grand Total :")</f>
        <v>महायोग :</v>
      </c>
      <c r="AC137" s="1690"/>
      <c r="AD137" s="1690"/>
      <c r="AE137" s="755">
        <f>IF(AND(AE130="",AE131="",AE132="",AE133="",AE134=""),"",IF(AND($K$18="",$L$18="",$M$18=""),SUM(AE130,AE131,AE132,AE133,AE136),IF(AND('Master Sheet'!$D$19="YES",'Marks Entry'!$BA$1=1),SUM(AE130,AE131,AE132,AE133,AE136),SUM(AE130:AE134))))</f>
        <v>412</v>
      </c>
      <c r="AF137" s="756">
        <f>IFERROR(VLOOKUP(AB123,'Statement of Marks'!$B$8:'Statement of Marks'!$HI$207,210,0),"")</f>
        <v>41.616161616161619</v>
      </c>
      <c r="AQ137" s="17"/>
      <c r="AR137"/>
      <c r="AS137"/>
      <c r="AT137"/>
      <c r="AX137"/>
      <c r="AY137"/>
      <c r="AZ137"/>
      <c r="BE137" s="17"/>
      <c r="BF137" s="17"/>
    </row>
    <row r="138" spans="1:58" s="471" customFormat="1" ht="25.5" customHeight="1">
      <c r="A138" s="469"/>
      <c r="B138" s="478" t="str">
        <f>IF('Master Sheet'!$D$11="Hindi","विषय","Subject")</f>
        <v>विषय</v>
      </c>
      <c r="C138" s="1691" t="str">
        <f>IF('Master Sheet'!$D$11="Hindi","पूर्णांक","Max. Marks")</f>
        <v>पूर्णांक</v>
      </c>
      <c r="D138" s="1691"/>
      <c r="E138" s="1692" t="str">
        <f>IF('Master Sheet'!$D$11="Hindi","प्राप्तांक","Marks Obtained")</f>
        <v>प्राप्तांक</v>
      </c>
      <c r="F138" s="1692"/>
      <c r="G138" s="1693" t="str">
        <f>IF('Master Sheet'!$D$11="Hindi","विषय ग्रेड","Sub. Grade")</f>
        <v>विषय ग्रेड</v>
      </c>
      <c r="H138" s="1693"/>
      <c r="I138" s="1694" t="str">
        <f>IF('Master Sheet'!$D$11="Hindi","विषय","Subject")</f>
        <v>विषय</v>
      </c>
      <c r="J138" s="1695"/>
      <c r="K138" s="1695"/>
      <c r="L138" s="1691" t="str">
        <f>IF('Master Sheet'!$D$11="Hindi","पूर्णांक","Max. Marks")</f>
        <v>पूर्णांक</v>
      </c>
      <c r="M138" s="1691"/>
      <c r="N138" s="1692" t="str">
        <f>IF('Master Sheet'!$D$11="Hindi","प्राप्तांक","Marks Obtained")</f>
        <v>प्राप्तांक</v>
      </c>
      <c r="O138" s="1692"/>
      <c r="P138" s="757" t="str">
        <f>IF('Master Sheet'!$D$11="Hindi","विषय ग्रेड","Sub. Grade")</f>
        <v>विषय ग्रेड</v>
      </c>
      <c r="Q138"/>
      <c r="R138" s="478" t="str">
        <f>IF('Master Sheet'!$D$11="Hindi","विषय","Subject")</f>
        <v>विषय</v>
      </c>
      <c r="S138" s="1691" t="str">
        <f>IF('Master Sheet'!$D$11="Hindi","पूर्णांक","Max. Marks")</f>
        <v>पूर्णांक</v>
      </c>
      <c r="T138" s="1691"/>
      <c r="U138" s="1692" t="str">
        <f>IF('Master Sheet'!$D$11="Hindi","प्राप्तांक","Marks Obtained")</f>
        <v>प्राप्तांक</v>
      </c>
      <c r="V138" s="1692"/>
      <c r="W138" s="1693" t="str">
        <f>IF('Master Sheet'!$D$11="Hindi","विषय ग्रेड","Sub. Grade")</f>
        <v>विषय ग्रेड</v>
      </c>
      <c r="X138" s="1693"/>
      <c r="Y138" s="1694" t="str">
        <f>IF('Master Sheet'!$D$11="Hindi","विषय","Subject")</f>
        <v>विषय</v>
      </c>
      <c r="Z138" s="1695"/>
      <c r="AA138" s="1695"/>
      <c r="AB138" s="1691" t="str">
        <f>IF('Master Sheet'!$D$11="Hindi","पूर्णांक","Max. Marks")</f>
        <v>पूर्णांक</v>
      </c>
      <c r="AC138" s="1691"/>
      <c r="AD138" s="1692" t="str">
        <f>IF('Master Sheet'!$D$11="Hindi","प्राप्तांक","Marks Obtained")</f>
        <v>प्राप्तांक</v>
      </c>
      <c r="AE138" s="1692"/>
      <c r="AF138" s="757" t="str">
        <f>IF('Master Sheet'!$D$11="Hindi","विषय ग्रेड","Sub. Grade")</f>
        <v>विषय ग्रेड</v>
      </c>
      <c r="AQ138" s="17"/>
      <c r="AR138"/>
      <c r="AS138"/>
      <c r="AT138"/>
      <c r="AX138"/>
      <c r="AY138"/>
      <c r="AZ138"/>
      <c r="BE138" s="17"/>
      <c r="BF138" s="17"/>
    </row>
    <row r="139" spans="1:58" s="471" customFormat="1" ht="30" customHeight="1">
      <c r="A139" s="469"/>
      <c r="B139" s="760" t="str">
        <f>'Statement of Marks'!$EC$4</f>
        <v>जीवन कौशल</v>
      </c>
      <c r="C139" s="1680">
        <f>IF(AND(L123=""),"",IF('Statement of Marks'!$EF$6="","",'Statement of Marks'!$EF$6))</f>
        <v>100</v>
      </c>
      <c r="D139" s="1680"/>
      <c r="E139" s="1684">
        <f>IFERROR(VLOOKUP(L123,'Statement of Marks'!$B$8:'Statement of Marks'!$HI$207,135,0),"")</f>
        <v>85</v>
      </c>
      <c r="F139" s="1684"/>
      <c r="G139" s="1685" t="str">
        <f>IFERROR(VLOOKUP(L123,'Statement of Marks'!$B$8:'Statement of Marks'!$HI$207,140,0),"")</f>
        <v>A</v>
      </c>
      <c r="H139" s="1685"/>
      <c r="I139" s="1677" t="str">
        <f>'Statement of Marks'!$EY$3</f>
        <v xml:space="preserve">आजादी के बाद का स्वर्णिम भारत </v>
      </c>
      <c r="J139" s="1678"/>
      <c r="K139" s="1679"/>
      <c r="L139" s="1680">
        <f>IF(AND(L123=""),"",IF('Statement of Marks'!$FE$6="","",'Statement of Marks'!$FE$6))</f>
        <v>200</v>
      </c>
      <c r="M139" s="1680"/>
      <c r="N139" s="1681">
        <f>IFERROR(VLOOKUP(L123,'Statement of Marks'!$B$8:'Statement of Marks'!$HI$207,160,0),"")</f>
        <v>145</v>
      </c>
      <c r="O139" s="1681"/>
      <c r="P139" s="758" t="str">
        <f>IFERROR(VLOOKUP(L123,'Statement of Marks'!$B$8:'Statement of Marks'!$HI$207,161,0),"")</f>
        <v>B</v>
      </c>
      <c r="Q139"/>
      <c r="R139" s="760" t="str">
        <f>'Statement of Marks'!$EC$4</f>
        <v>जीवन कौशल</v>
      </c>
      <c r="S139" s="1680">
        <f>IF(AND(AB123=""),"",IF('Statement of Marks'!$EF$6="","",'Statement of Marks'!$EF$6))</f>
        <v>100</v>
      </c>
      <c r="T139" s="1680"/>
      <c r="U139" s="1684">
        <f>IFERROR(VLOOKUP(AB123,'Statement of Marks'!$B$8:'Statement of Marks'!$HI$207,135,0),"")</f>
        <v>85</v>
      </c>
      <c r="V139" s="1684"/>
      <c r="W139" s="1685" t="str">
        <f>IFERROR(VLOOKUP(AB123,'Statement of Marks'!$B$8:'Statement of Marks'!$HI$207,140,0),"")</f>
        <v>A</v>
      </c>
      <c r="X139" s="1685"/>
      <c r="Y139" s="1677" t="str">
        <f>'Statement of Marks'!$EY$3</f>
        <v xml:space="preserve">आजादी के बाद का स्वर्णिम भारत </v>
      </c>
      <c r="Z139" s="1678"/>
      <c r="AA139" s="1679"/>
      <c r="AB139" s="1680">
        <f>IF(AND(AB123=""),"",IF('Statement of Marks'!$FE$6="","",'Statement of Marks'!$FE$6))</f>
        <v>200</v>
      </c>
      <c r="AC139" s="1680"/>
      <c r="AD139" s="1681">
        <f>IFERROR(VLOOKUP(AB123,'Statement of Marks'!$B$8:'Statement of Marks'!$HI$207,160,0),"")</f>
        <v>144</v>
      </c>
      <c r="AE139" s="1681"/>
      <c r="AF139" s="758" t="str">
        <f>IFERROR(VLOOKUP(AB123,'Statement of Marks'!$B$8:'Statement of Marks'!$HI$207,161,0),"")</f>
        <v>B</v>
      </c>
      <c r="AQ139" s="17"/>
      <c r="AR139"/>
      <c r="AS139"/>
      <c r="AT139"/>
      <c r="AX139"/>
      <c r="AY139"/>
      <c r="AZ139"/>
      <c r="BE139" s="17"/>
      <c r="BF139" s="17"/>
    </row>
    <row r="140" spans="1:58" s="471" customFormat="1" ht="29.25" customHeight="1">
      <c r="A140" s="469"/>
      <c r="B140" s="759" t="str">
        <f>IF('Master Sheet'!$D$11="Hindi","परीक्षा परिणाम घोषित दिनांक :-","Date of Result declaration :-")</f>
        <v>परीक्षा परिणाम घोषित दिनांक :-</v>
      </c>
      <c r="C140" s="1659">
        <f>IF(AND(L123=""),"",IF('Master Sheet'!$D$10="","",'Master Sheet'!$D$10))</f>
        <v>45419</v>
      </c>
      <c r="D140" s="1659"/>
      <c r="E140" s="1659"/>
      <c r="F140" s="1682" t="str">
        <f>IF('Master Sheet'!$D$11="Hindi","कुल कार्य दिवस","Total Working Days")</f>
        <v>कुल कार्य दिवस</v>
      </c>
      <c r="G140" s="1682"/>
      <c r="H140" s="1682"/>
      <c r="I140" s="741">
        <f>IFERROR(VLOOKUP(L123,'Statement of Marks'!$B$8:'Statement of Marks'!$HI$207,162,0),"")</f>
        <v>340</v>
      </c>
      <c r="J140" s="1683" t="str">
        <f>IF('Master Sheet'!$D$11="Hindi","कुल उपस्थिति","Student's Attendance")</f>
        <v>कुल उपस्थिति</v>
      </c>
      <c r="K140" s="1683"/>
      <c r="L140" s="1683"/>
      <c r="M140" s="476">
        <f>IFERROR(VLOOKUP(L123,'Statement of Marks'!$B$8:'Statement of Marks'!$HI$207,163,0),"")</f>
        <v>330</v>
      </c>
      <c r="N140" s="1673" t="str">
        <f>IF('Master Sheet'!$D$11="Hindi","कक्षा में स्थान","Position in the Class")</f>
        <v>कक्षा में स्थान</v>
      </c>
      <c r="O140" s="1673"/>
      <c r="P140" s="761" t="str">
        <f>IFERROR(VLOOKUP(L123,'Statement of Marks'!$B$8:'Statement of Marks'!$HI$207,211,0),"")</f>
        <v/>
      </c>
      <c r="Q140"/>
      <c r="R140" s="759" t="str">
        <f>IF('Master Sheet'!$D$11="Hindi","परीक्षा परिणाम घोषित दिनांक :-","Date of Result declaration :-")</f>
        <v>परीक्षा परिणाम घोषित दिनांक :-</v>
      </c>
      <c r="S140" s="1659">
        <f>IF(AND(AB123=""),"",IF('Master Sheet'!$D$10="","",'Master Sheet'!$D$10))</f>
        <v>45419</v>
      </c>
      <c r="T140" s="1659"/>
      <c r="U140" s="1659"/>
      <c r="V140" s="1682" t="str">
        <f>IF('Master Sheet'!$D$11="Hindi","कुल कार्य दिवस","Total Working Days")</f>
        <v>कुल कार्य दिवस</v>
      </c>
      <c r="W140" s="1682"/>
      <c r="X140" s="1682"/>
      <c r="Y140" s="741">
        <f>IFERROR(VLOOKUP(AB123,'Statement of Marks'!$B$8:'Statement of Marks'!$HI$207,162,0),"")</f>
        <v>330</v>
      </c>
      <c r="Z140" s="1683" t="str">
        <f>IF('Master Sheet'!$D$11="Hindi","कुल उपस्थिति","Student's Attendance")</f>
        <v>कुल उपस्थिति</v>
      </c>
      <c r="AA140" s="1683"/>
      <c r="AB140" s="1683"/>
      <c r="AC140" s="476">
        <f>IFERROR(VLOOKUP(AB123,'Statement of Marks'!$B$8:'Statement of Marks'!$HI$207,163,0),"")</f>
        <v>310</v>
      </c>
      <c r="AD140" s="1673" t="str">
        <f>IF('Master Sheet'!$D$11="Hindi","कक्षा में स्थान","Position in the Class")</f>
        <v>कक्षा में स्थान</v>
      </c>
      <c r="AE140" s="1673"/>
      <c r="AF140" s="761">
        <f>IFERROR(VLOOKUP(AB123,'Statement of Marks'!$B$8:'Statement of Marks'!$HI$207,211,0),"")</f>
        <v>8.999999999999865</v>
      </c>
      <c r="AQ140" s="17"/>
      <c r="AR140"/>
      <c r="AS140"/>
      <c r="AT140"/>
      <c r="AX140"/>
      <c r="AY140"/>
      <c r="AZ140"/>
      <c r="BE140" s="17"/>
      <c r="BF140" s="17"/>
    </row>
    <row r="141" spans="1:58" s="471" customFormat="1" ht="27.75" customHeight="1">
      <c r="A141" s="469"/>
      <c r="B141" s="1664" t="str">
        <f>IF('Master Sheet'!$D$11="Hindi","मुख्य परीक्षा परिणाम ","Main Exam Result")</f>
        <v xml:space="preserve">मुख्य परीक्षा परिणाम </v>
      </c>
      <c r="C141" s="1665"/>
      <c r="D141" s="1665"/>
      <c r="E141" s="1666"/>
      <c r="F141" s="1667" t="str">
        <f>IF('Master Sheet'!$D$11="Hindi","विशेष योग्यता प्राप्त विषय","Subjects Of Dictation Marks")</f>
        <v>विशेष योग्यता प्राप्त विषय</v>
      </c>
      <c r="G141" s="1667"/>
      <c r="H141" s="1667"/>
      <c r="I141" s="1667"/>
      <c r="J141" s="1667"/>
      <c r="K141" s="1667"/>
      <c r="L141" s="1668" t="str">
        <f>IF('Master Sheet'!$D$11="Hindi","पूरक विषय","Supplementary Subject")</f>
        <v>पूरक विषय</v>
      </c>
      <c r="M141" s="1669"/>
      <c r="N141" s="1665"/>
      <c r="O141" s="1665"/>
      <c r="P141" s="1666"/>
      <c r="Q141"/>
      <c r="R141" s="1664" t="str">
        <f>IF('Master Sheet'!$D$11="Hindi","मुख्य परीक्षा परिणाम ","Main Exam Result")</f>
        <v xml:space="preserve">मुख्य परीक्षा परिणाम </v>
      </c>
      <c r="S141" s="1665"/>
      <c r="T141" s="1665"/>
      <c r="U141" s="1666"/>
      <c r="V141" s="1667" t="str">
        <f>IF('Master Sheet'!$D$11="Hindi","विशेष योग्यता प्राप्त विषय","Subjects Of Dictation Marks")</f>
        <v>विशेष योग्यता प्राप्त विषय</v>
      </c>
      <c r="W141" s="1667"/>
      <c r="X141" s="1667"/>
      <c r="Y141" s="1667"/>
      <c r="Z141" s="1667"/>
      <c r="AA141" s="1667"/>
      <c r="AB141" s="1668" t="str">
        <f>IF('Master Sheet'!$D$11="Hindi","पूरक विषय","Supplementary Subject")</f>
        <v>पूरक विषय</v>
      </c>
      <c r="AC141" s="1669"/>
      <c r="AD141" s="1665"/>
      <c r="AE141" s="1665"/>
      <c r="AF141" s="1666"/>
      <c r="AQ141" s="17"/>
      <c r="AR141"/>
      <c r="AS141"/>
      <c r="AT141"/>
      <c r="AX141"/>
      <c r="AY141"/>
      <c r="AZ141"/>
      <c r="BE141" s="17"/>
      <c r="BF141" s="17"/>
    </row>
    <row r="142" spans="1:58" s="471" customFormat="1" ht="42.75" customHeight="1">
      <c r="A142" s="469"/>
      <c r="B142" s="1670" t="str">
        <f>IF('Master Sheet'!D127="Hindi",BF132,BF131)</f>
        <v>FAIL</v>
      </c>
      <c r="C142" s="1671"/>
      <c r="D142" s="1671"/>
      <c r="E142" s="1672"/>
      <c r="F142" s="1673" t="str">
        <f>IFERROR(VLOOKUP(L123,'Statement of Marks'!$B$8:'Statement of Marks'!$HI$207,205,0),"")</f>
        <v xml:space="preserve">     </v>
      </c>
      <c r="G142" s="1673"/>
      <c r="H142" s="1673"/>
      <c r="I142" s="1673"/>
      <c r="J142" s="1673"/>
      <c r="K142" s="1673"/>
      <c r="L142" s="1674" t="str">
        <f>IFERROR(VLOOKUP(L123,'Statement of Marks'!$B$8:'Statement of Marks'!$HI$207,202,0),"")</f>
        <v xml:space="preserve">    </v>
      </c>
      <c r="M142" s="1675"/>
      <c r="N142" s="1675"/>
      <c r="O142" s="1675"/>
      <c r="P142" s="1676"/>
      <c r="Q142"/>
      <c r="R142" s="1670" t="str">
        <f>IF('Master Sheet'!D127="Hindi",BE132,BE131)</f>
        <v>By Grace Pass and Promoted to Class 12th</v>
      </c>
      <c r="S142" s="1671"/>
      <c r="T142" s="1671"/>
      <c r="U142" s="1672"/>
      <c r="V142" s="1673" t="str">
        <f>IFERROR(VLOOKUP(AB123,'Statement of Marks'!$B$8:'Statement of Marks'!$HI$207,205,0),"")</f>
        <v xml:space="preserve">     </v>
      </c>
      <c r="W142" s="1673"/>
      <c r="X142" s="1673"/>
      <c r="Y142" s="1673"/>
      <c r="Z142" s="1673"/>
      <c r="AA142" s="1673"/>
      <c r="AB142" s="1674" t="str">
        <f>IFERROR(VLOOKUP(AB123,'Statement of Marks'!$B$8:'Statement of Marks'!$HI$207,202,0),"")</f>
        <v xml:space="preserve">    </v>
      </c>
      <c r="AC142" s="1675"/>
      <c r="AD142" s="1675"/>
      <c r="AE142" s="1675"/>
      <c r="AF142" s="1676"/>
      <c r="AQ142" s="17"/>
      <c r="AR142"/>
      <c r="AS142"/>
      <c r="AT142"/>
      <c r="AX142"/>
      <c r="AY142"/>
      <c r="AZ142"/>
      <c r="BE142" s="17"/>
      <c r="BF142" s="17"/>
    </row>
    <row r="143" spans="1:58" s="471" customFormat="1" ht="52.5" customHeight="1">
      <c r="A143" s="469"/>
      <c r="B143" s="1660" t="str">
        <f>IF(AND(L123=""),"",CONCATENATE("( ",UPPER('Master Sheet'!$D$14)," )"))</f>
        <v>( HEERALAL JAT )</v>
      </c>
      <c r="C143" s="1660"/>
      <c r="D143" s="1660"/>
      <c r="E143" s="715"/>
      <c r="F143" s="1661" t="str">
        <f>IF(AND(L123=""),"",CONCATENATE("( ",UPPER('Master Sheet'!$D$17)," )"))</f>
        <v>( YOGESH )</v>
      </c>
      <c r="G143" s="1661"/>
      <c r="H143" s="1661"/>
      <c r="I143" s="1661"/>
      <c r="J143" s="1661"/>
      <c r="K143" s="1662" t="str">
        <f>IF(AND(L123=""),"",CONCATENATE("( ",UPPER('Master Sheet'!$D$12)," )"))</f>
        <v>( USHA PALIYA )</v>
      </c>
      <c r="L143" s="1662"/>
      <c r="M143" s="1662"/>
      <c r="N143" s="1662"/>
      <c r="O143" s="1662"/>
      <c r="P143" s="1662"/>
      <c r="Q143"/>
      <c r="R143" s="1660" t="str">
        <f>IF(AND(AB123=""),"",CONCATENATE("( ",UPPER('Master Sheet'!$D$14)," )"))</f>
        <v>( HEERALAL JAT )</v>
      </c>
      <c r="S143" s="1660"/>
      <c r="T143" s="1660"/>
      <c r="U143" s="715"/>
      <c r="V143" s="1661" t="str">
        <f>IF(AND(AB123=""),"",CONCATENATE("( ",UPPER('Master Sheet'!$D$17)," )"))</f>
        <v>( YOGESH )</v>
      </c>
      <c r="W143" s="1661"/>
      <c r="X143" s="1661"/>
      <c r="Y143" s="1661"/>
      <c r="Z143" s="1661"/>
      <c r="AA143" s="1662" t="str">
        <f>IF(AND(AB123=""),"",CONCATENATE("( ",UPPER('Master Sheet'!$D$12)," )"))</f>
        <v>( USHA PALIYA )</v>
      </c>
      <c r="AB143" s="1662"/>
      <c r="AC143" s="1662"/>
      <c r="AD143" s="1662"/>
      <c r="AE143" s="1662"/>
      <c r="AF143" s="1662"/>
      <c r="AQ143" s="17"/>
      <c r="AR143"/>
      <c r="AS143"/>
      <c r="AT143"/>
      <c r="AX143"/>
      <c r="AY143"/>
      <c r="AZ143"/>
      <c r="BE143" s="17"/>
      <c r="BF143" s="17"/>
    </row>
    <row r="144" spans="1:58" s="471" customFormat="1" ht="24.75" customHeight="1">
      <c r="A144" s="469"/>
      <c r="B144" s="1663" t="str">
        <f>IF('Master Sheet'!$D$11="Hindi","हस्ताक्षर परीक्षा प्रभारी","Signature of the exam. Incharge")</f>
        <v>हस्ताक्षर परीक्षा प्रभारी</v>
      </c>
      <c r="C144" s="1663"/>
      <c r="D144" s="1663"/>
      <c r="E144" s="714"/>
      <c r="F144" s="1663" t="str">
        <f>IF('Master Sheet'!$D$11="Hindi","हस्ताक्षर कक्षाध्यापक","Signature of the class teacher")</f>
        <v>हस्ताक्षर कक्षाध्यापक</v>
      </c>
      <c r="G144" s="1663"/>
      <c r="H144" s="1663"/>
      <c r="I144" s="1663"/>
      <c r="J144" s="1663"/>
      <c r="K144" s="1663" t="str">
        <f>IF('Master Sheet'!$D$11="Hindi","हस्ताक्षर संस्था प्रधान","Head of Institute's Signature")</f>
        <v>हस्ताक्षर संस्था प्रधान</v>
      </c>
      <c r="L144" s="1663"/>
      <c r="M144" s="1663"/>
      <c r="N144" s="1663"/>
      <c r="O144" s="1663"/>
      <c r="P144" s="1663"/>
      <c r="Q144"/>
      <c r="R144" s="1663" t="str">
        <f>IF('Master Sheet'!$D$11="Hindi","हस्ताक्षर परीक्षा प्रभारी","Signature of the exam. Incharge")</f>
        <v>हस्ताक्षर परीक्षा प्रभारी</v>
      </c>
      <c r="S144" s="1663"/>
      <c r="T144" s="1663"/>
      <c r="U144" s="714"/>
      <c r="V144" s="1663" t="str">
        <f>IF('Master Sheet'!$D$11="Hindi","हस्ताक्षर कक्षाध्यापक","Signature of the class teacher")</f>
        <v>हस्ताक्षर कक्षाध्यापक</v>
      </c>
      <c r="W144" s="1663"/>
      <c r="X144" s="1663"/>
      <c r="Y144" s="1663"/>
      <c r="Z144" s="1663"/>
      <c r="AA144" s="1663" t="str">
        <f>IF('Master Sheet'!$D$11="Hindi","हस्ताक्षर संस्था प्रधान","Head of Institute's Signature")</f>
        <v>हस्ताक्षर संस्था प्रधान</v>
      </c>
      <c r="AB144" s="1663"/>
      <c r="AC144" s="1663"/>
      <c r="AD144" s="1663"/>
      <c r="AE144" s="1663"/>
      <c r="AF144" s="1663"/>
      <c r="AQ144" s="17"/>
      <c r="AR144"/>
      <c r="AS144"/>
      <c r="AT144"/>
      <c r="AX144"/>
      <c r="AY144"/>
      <c r="AZ144"/>
      <c r="BE144" s="17"/>
      <c r="BF144" s="17"/>
    </row>
    <row r="145" spans="40:40">
      <c r="AN145" s="471"/>
    </row>
    <row r="146" spans="40:40">
      <c r="AN146" s="471"/>
    </row>
    <row r="147" spans="40:40">
      <c r="AN147" s="471"/>
    </row>
    <row r="148" spans="40:40">
      <c r="AN148" s="471"/>
    </row>
    <row r="149" spans="40:40">
      <c r="AN149" s="471"/>
    </row>
    <row r="151" spans="40:40">
      <c r="AN151" s="17"/>
    </row>
    <row r="152" spans="40:40">
      <c r="AN152" s="17"/>
    </row>
    <row r="153" spans="40:40" ht="15.75">
      <c r="AN153" s="99"/>
    </row>
    <row r="154" spans="40:40" ht="15.75">
      <c r="AN154" s="99"/>
    </row>
    <row r="155" spans="40:40">
      <c r="AN155" s="471"/>
    </row>
    <row r="156" spans="40:40">
      <c r="AN156" s="471"/>
    </row>
    <row r="157" spans="40:40">
      <c r="AN157" s="471"/>
    </row>
    <row r="158" spans="40:40">
      <c r="AN158" s="471"/>
    </row>
    <row r="159" spans="40:40">
      <c r="AN159" s="471"/>
    </row>
    <row r="160" spans="40:40">
      <c r="AN160" s="471"/>
    </row>
    <row r="161" spans="40:40">
      <c r="AN161" s="471"/>
    </row>
    <row r="162" spans="40:40">
      <c r="AN162" s="475"/>
    </row>
    <row r="163" spans="40:40">
      <c r="AN163" s="471"/>
    </row>
    <row r="164" spans="40:40">
      <c r="AN164" s="471"/>
    </row>
    <row r="165" spans="40:40">
      <c r="AN165" s="471"/>
    </row>
    <row r="166" spans="40:40">
      <c r="AN166" s="471"/>
    </row>
    <row r="167" spans="40:40">
      <c r="AN167" s="471"/>
    </row>
    <row r="168" spans="40:40">
      <c r="AN168" s="471"/>
    </row>
    <row r="169" spans="40:40">
      <c r="AN169" s="471"/>
    </row>
    <row r="170" spans="40:40">
      <c r="AN170" s="471"/>
    </row>
    <row r="171" spans="40:40">
      <c r="AN171" s="471"/>
    </row>
    <row r="172" spans="40:40">
      <c r="AN172" s="471"/>
    </row>
    <row r="173" spans="40:40">
      <c r="AN173" s="471"/>
    </row>
    <row r="174" spans="40:40">
      <c r="AN174" s="471"/>
    </row>
    <row r="175" spans="40:40">
      <c r="AN175" s="471"/>
    </row>
    <row r="176" spans="40:40">
      <c r="AN176" s="471"/>
    </row>
    <row r="177" spans="40:40">
      <c r="AN177" s="471"/>
    </row>
    <row r="178" spans="40:40">
      <c r="AN178" s="471"/>
    </row>
    <row r="179" spans="40:40">
      <c r="AN179" s="471"/>
    </row>
    <row r="181" spans="40:40">
      <c r="AN181" s="17"/>
    </row>
    <row r="182" spans="40:40">
      <c r="AN182" s="17"/>
    </row>
    <row r="183" spans="40:40" ht="15.75">
      <c r="AN183" s="99"/>
    </row>
    <row r="184" spans="40:40" ht="15.75">
      <c r="AN184" s="99"/>
    </row>
    <row r="185" spans="40:40">
      <c r="AN185" s="471"/>
    </row>
    <row r="186" spans="40:40">
      <c r="AN186" s="471"/>
    </row>
    <row r="187" spans="40:40">
      <c r="AN187" s="471"/>
    </row>
    <row r="188" spans="40:40">
      <c r="AN188" s="471"/>
    </row>
    <row r="189" spans="40:40">
      <c r="AN189" s="471"/>
    </row>
    <row r="190" spans="40:40">
      <c r="AN190" s="471"/>
    </row>
    <row r="191" spans="40:40">
      <c r="AN191" s="471"/>
    </row>
    <row r="192" spans="40:40">
      <c r="AN192" s="475"/>
    </row>
    <row r="193" spans="40:40">
      <c r="AN193" s="471"/>
    </row>
    <row r="194" spans="40:40">
      <c r="AN194" s="471"/>
    </row>
    <row r="195" spans="40:40">
      <c r="AN195" s="471"/>
    </row>
    <row r="196" spans="40:40">
      <c r="AN196" s="471"/>
    </row>
    <row r="197" spans="40:40">
      <c r="AN197" s="471"/>
    </row>
    <row r="198" spans="40:40">
      <c r="AN198" s="471"/>
    </row>
    <row r="199" spans="40:40">
      <c r="AN199" s="471"/>
    </row>
    <row r="200" spans="40:40">
      <c r="AN200" s="471"/>
    </row>
    <row r="201" spans="40:40">
      <c r="AN201" s="471"/>
    </row>
    <row r="202" spans="40:40">
      <c r="AN202" s="471"/>
    </row>
    <row r="203" spans="40:40">
      <c r="AN203" s="471"/>
    </row>
    <row r="204" spans="40:40">
      <c r="AN204" s="471"/>
    </row>
    <row r="205" spans="40:40">
      <c r="AN205" s="471"/>
    </row>
    <row r="206" spans="40:40">
      <c r="AN206" s="471"/>
    </row>
    <row r="207" spans="40:40">
      <c r="AN207" s="471"/>
    </row>
    <row r="208" spans="40:40">
      <c r="AN208" s="471"/>
    </row>
    <row r="209" spans="40:40">
      <c r="AN209" s="471"/>
    </row>
    <row r="211" spans="40:40">
      <c r="AN211" s="17"/>
    </row>
    <row r="212" spans="40:40">
      <c r="AN212" s="17"/>
    </row>
    <row r="213" spans="40:40" ht="15.75">
      <c r="AN213" s="99"/>
    </row>
    <row r="214" spans="40:40" ht="15.75">
      <c r="AN214" s="99"/>
    </row>
    <row r="215" spans="40:40">
      <c r="AN215" s="471"/>
    </row>
    <row r="216" spans="40:40">
      <c r="AN216" s="471"/>
    </row>
    <row r="217" spans="40:40">
      <c r="AN217" s="471"/>
    </row>
    <row r="218" spans="40:40">
      <c r="AN218" s="471"/>
    </row>
    <row r="219" spans="40:40">
      <c r="AN219" s="471"/>
    </row>
    <row r="220" spans="40:40">
      <c r="AN220" s="471"/>
    </row>
    <row r="221" spans="40:40">
      <c r="AN221" s="471"/>
    </row>
    <row r="222" spans="40:40">
      <c r="AN222" s="475"/>
    </row>
    <row r="223" spans="40:40">
      <c r="AN223" s="471"/>
    </row>
    <row r="224" spans="40:40">
      <c r="AN224" s="471"/>
    </row>
    <row r="225" spans="40:40">
      <c r="AN225" s="471"/>
    </row>
    <row r="226" spans="40:40">
      <c r="AN226" s="471"/>
    </row>
    <row r="227" spans="40:40">
      <c r="AN227" s="471"/>
    </row>
    <row r="228" spans="40:40">
      <c r="AN228" s="471"/>
    </row>
    <row r="229" spans="40:40">
      <c r="AN229" s="471"/>
    </row>
    <row r="230" spans="40:40">
      <c r="AN230" s="471"/>
    </row>
    <row r="231" spans="40:40">
      <c r="AN231" s="471"/>
    </row>
    <row r="232" spans="40:40">
      <c r="AN232" s="471"/>
    </row>
    <row r="233" spans="40:40">
      <c r="AN233" s="471"/>
    </row>
    <row r="234" spans="40:40">
      <c r="AN234" s="471"/>
    </row>
    <row r="235" spans="40:40">
      <c r="AN235" s="471"/>
    </row>
    <row r="236" spans="40:40">
      <c r="AN236" s="471"/>
    </row>
    <row r="237" spans="40:40">
      <c r="AN237" s="471"/>
    </row>
    <row r="238" spans="40:40">
      <c r="AN238" s="471"/>
    </row>
    <row r="239" spans="40:40">
      <c r="AN239" s="471"/>
    </row>
    <row r="241" spans="40:40">
      <c r="AN241" s="17"/>
    </row>
    <row r="242" spans="40:40">
      <c r="AN242" s="17"/>
    </row>
    <row r="243" spans="40:40" ht="15.75">
      <c r="AN243" s="99"/>
    </row>
    <row r="244" spans="40:40" ht="15.75">
      <c r="AN244" s="99"/>
    </row>
    <row r="245" spans="40:40">
      <c r="AN245" s="471"/>
    </row>
    <row r="246" spans="40:40">
      <c r="AN246" s="471"/>
    </row>
    <row r="247" spans="40:40">
      <c r="AN247" s="471"/>
    </row>
    <row r="248" spans="40:40">
      <c r="AN248" s="471"/>
    </row>
    <row r="249" spans="40:40">
      <c r="AN249" s="471"/>
    </row>
    <row r="250" spans="40:40">
      <c r="AN250" s="471"/>
    </row>
    <row r="251" spans="40:40">
      <c r="AN251" s="471"/>
    </row>
    <row r="252" spans="40:40">
      <c r="AN252" s="475"/>
    </row>
    <row r="253" spans="40:40">
      <c r="AN253" s="471"/>
    </row>
    <row r="254" spans="40:40">
      <c r="AN254" s="471"/>
    </row>
    <row r="255" spans="40:40">
      <c r="AN255" s="471"/>
    </row>
    <row r="256" spans="40:40">
      <c r="AN256" s="471"/>
    </row>
    <row r="257" spans="40:40">
      <c r="AN257" s="471"/>
    </row>
    <row r="258" spans="40:40">
      <c r="AN258" s="471"/>
    </row>
    <row r="259" spans="40:40">
      <c r="AN259" s="471"/>
    </row>
    <row r="260" spans="40:40">
      <c r="AN260" s="471"/>
    </row>
    <row r="261" spans="40:40">
      <c r="AN261" s="471"/>
    </row>
    <row r="262" spans="40:40">
      <c r="AN262" s="471"/>
    </row>
    <row r="263" spans="40:40">
      <c r="AN263" s="471"/>
    </row>
    <row r="264" spans="40:40">
      <c r="AN264" s="471"/>
    </row>
    <row r="265" spans="40:40">
      <c r="AN265" s="471"/>
    </row>
    <row r="266" spans="40:40">
      <c r="AN266" s="471"/>
    </row>
    <row r="267" spans="40:40">
      <c r="AN267" s="471"/>
    </row>
    <row r="268" spans="40:40">
      <c r="AN268" s="471"/>
    </row>
    <row r="269" spans="40:40">
      <c r="AN269" s="471"/>
    </row>
    <row r="271" spans="40:40">
      <c r="AN271" s="17"/>
    </row>
    <row r="272" spans="40:40">
      <c r="AN272" s="17"/>
    </row>
    <row r="273" spans="40:40" ht="15.75">
      <c r="AN273" s="99"/>
    </row>
    <row r="274" spans="40:40" ht="15.75">
      <c r="AN274" s="99"/>
    </row>
    <row r="275" spans="40:40">
      <c r="AN275" s="471"/>
    </row>
    <row r="276" spans="40:40">
      <c r="AN276" s="471"/>
    </row>
    <row r="277" spans="40:40">
      <c r="AN277" s="471"/>
    </row>
    <row r="278" spans="40:40">
      <c r="AN278" s="471"/>
    </row>
    <row r="279" spans="40:40">
      <c r="AN279" s="471"/>
    </row>
    <row r="280" spans="40:40">
      <c r="AN280" s="471"/>
    </row>
    <row r="281" spans="40:40">
      <c r="AN281" s="471"/>
    </row>
    <row r="282" spans="40:40">
      <c r="AN282" s="475"/>
    </row>
    <row r="283" spans="40:40">
      <c r="AN283" s="471"/>
    </row>
    <row r="284" spans="40:40">
      <c r="AN284" s="471"/>
    </row>
    <row r="285" spans="40:40">
      <c r="AN285" s="471"/>
    </row>
    <row r="286" spans="40:40">
      <c r="AN286" s="471"/>
    </row>
    <row r="287" spans="40:40">
      <c r="AN287" s="471"/>
    </row>
    <row r="288" spans="40:40">
      <c r="AN288" s="471"/>
    </row>
    <row r="289" spans="40:40">
      <c r="AN289" s="471"/>
    </row>
    <row r="290" spans="40:40">
      <c r="AN290" s="471"/>
    </row>
    <row r="291" spans="40:40">
      <c r="AN291" s="471"/>
    </row>
    <row r="292" spans="40:40">
      <c r="AN292" s="471"/>
    </row>
    <row r="293" spans="40:40">
      <c r="AN293" s="471"/>
    </row>
    <row r="294" spans="40:40">
      <c r="AN294" s="471"/>
    </row>
    <row r="295" spans="40:40">
      <c r="AN295" s="471"/>
    </row>
    <row r="296" spans="40:40">
      <c r="AN296" s="471"/>
    </row>
    <row r="297" spans="40:40">
      <c r="AN297" s="471"/>
    </row>
    <row r="298" spans="40:40">
      <c r="AN298" s="471"/>
    </row>
    <row r="299" spans="40:40">
      <c r="AN299" s="471"/>
    </row>
  </sheetData>
  <sheetProtection password="F188" sheet="1" objects="1" scenarios="1" formatCells="0" formatColumns="0" formatRows="0"/>
  <protectedRanges>
    <protectedRange password="DC77" sqref="J11 Z11 J40 Z40 J69 Z69 J98 Z98 J127 Z127" name="Range1_1"/>
    <protectedRange password="DC77" sqref="M12:N12 AC12:AD12 M41:N41 AC41:AD41 M70:N70 AC70:AD70 M99:N99 AC99:AD99 M128:N128 AC128:AD128" name="Range1_1_1"/>
  </protectedRanges>
  <mergeCells count="573">
    <mergeCell ref="C53:E53"/>
    <mergeCell ref="F53:H53"/>
    <mergeCell ref="J53:L53"/>
    <mergeCell ref="N53:O53"/>
    <mergeCell ref="S53:U53"/>
    <mergeCell ref="V53:X53"/>
    <mergeCell ref="Z53:AB53"/>
    <mergeCell ref="AD53:AE53"/>
    <mergeCell ref="B54:E54"/>
    <mergeCell ref="F54:K54"/>
    <mergeCell ref="L54:P54"/>
    <mergeCell ref="R54:U54"/>
    <mergeCell ref="C40:F40"/>
    <mergeCell ref="G40:I40"/>
    <mergeCell ref="J40:J41"/>
    <mergeCell ref="K40:N40"/>
    <mergeCell ref="O40:O41"/>
    <mergeCell ref="P40:P42"/>
    <mergeCell ref="R40:R42"/>
    <mergeCell ref="S40:V40"/>
    <mergeCell ref="W40:Y40"/>
    <mergeCell ref="B28:D28"/>
    <mergeCell ref="F28:J28"/>
    <mergeCell ref="K28:P28"/>
    <mergeCell ref="R28:T28"/>
    <mergeCell ref="AB26:AF26"/>
    <mergeCell ref="C30:N30"/>
    <mergeCell ref="S30:AD30"/>
    <mergeCell ref="C36:H36"/>
    <mergeCell ref="I36:K36"/>
    <mergeCell ref="L36:N36"/>
    <mergeCell ref="S36:X36"/>
    <mergeCell ref="Y36:AA36"/>
    <mergeCell ref="C35:H35"/>
    <mergeCell ref="I35:K35"/>
    <mergeCell ref="S35:X35"/>
    <mergeCell ref="Y35:AA35"/>
    <mergeCell ref="C34:H34"/>
    <mergeCell ref="I34:K34"/>
    <mergeCell ref="L34:O34"/>
    <mergeCell ref="S34:X34"/>
    <mergeCell ref="Y34:AA34"/>
    <mergeCell ref="AB34:AE34"/>
    <mergeCell ref="AB36:AD36"/>
    <mergeCell ref="B27:D27"/>
    <mergeCell ref="F27:J27"/>
    <mergeCell ref="K27:P27"/>
    <mergeCell ref="R27:T27"/>
    <mergeCell ref="V27:Z27"/>
    <mergeCell ref="F26:K26"/>
    <mergeCell ref="L26:P26"/>
    <mergeCell ref="V26:AA26"/>
    <mergeCell ref="AA27:AF27"/>
    <mergeCell ref="F25:K25"/>
    <mergeCell ref="L25:P25"/>
    <mergeCell ref="V25:AA25"/>
    <mergeCell ref="AB25:AF25"/>
    <mergeCell ref="C23:D23"/>
    <mergeCell ref="I23:K23"/>
    <mergeCell ref="L23:M23"/>
    <mergeCell ref="S23:T23"/>
    <mergeCell ref="Y23:AA23"/>
    <mergeCell ref="E23:F23"/>
    <mergeCell ref="G23:H23"/>
    <mergeCell ref="B25:E25"/>
    <mergeCell ref="B26:E26"/>
    <mergeCell ref="R25:U25"/>
    <mergeCell ref="R26:U26"/>
    <mergeCell ref="F24:H24"/>
    <mergeCell ref="V24:X24"/>
    <mergeCell ref="C24:E24"/>
    <mergeCell ref="J24:L24"/>
    <mergeCell ref="N24:O24"/>
    <mergeCell ref="I22:K22"/>
    <mergeCell ref="L22:M22"/>
    <mergeCell ref="N22:O22"/>
    <mergeCell ref="N23:O23"/>
    <mergeCell ref="U23:V23"/>
    <mergeCell ref="W23:X23"/>
    <mergeCell ref="B10:O10"/>
    <mergeCell ref="R10:AE10"/>
    <mergeCell ref="B11:B13"/>
    <mergeCell ref="O11:O12"/>
    <mergeCell ref="P11:P13"/>
    <mergeCell ref="R11:R13"/>
    <mergeCell ref="AB21:AD21"/>
    <mergeCell ref="AA11:AD11"/>
    <mergeCell ref="AE11:AE12"/>
    <mergeCell ref="B19:P19"/>
    <mergeCell ref="R19:AF19"/>
    <mergeCell ref="B21:K21"/>
    <mergeCell ref="L21:N21"/>
    <mergeCell ref="R21:AA21"/>
    <mergeCell ref="S11:V11"/>
    <mergeCell ref="W11:Y11"/>
    <mergeCell ref="Z11:Z12"/>
    <mergeCell ref="S22:T22"/>
    <mergeCell ref="AI1:AK3"/>
    <mergeCell ref="C1:N1"/>
    <mergeCell ref="C2:N2"/>
    <mergeCell ref="B3:P3"/>
    <mergeCell ref="C4:O4"/>
    <mergeCell ref="S1:AD1"/>
    <mergeCell ref="S2:AD2"/>
    <mergeCell ref="R3:AF3"/>
    <mergeCell ref="S4:AE4"/>
    <mergeCell ref="Q1:Q28"/>
    <mergeCell ref="L7:N7"/>
    <mergeCell ref="L8:O8"/>
    <mergeCell ref="I9:K9"/>
    <mergeCell ref="L9:P9"/>
    <mergeCell ref="C11:F11"/>
    <mergeCell ref="G11:I11"/>
    <mergeCell ref="J11:J12"/>
    <mergeCell ref="K11:N11"/>
    <mergeCell ref="C22:D22"/>
    <mergeCell ref="E22:F22"/>
    <mergeCell ref="G22:H22"/>
    <mergeCell ref="C8:H8"/>
    <mergeCell ref="I8:K8"/>
    <mergeCell ref="S8:X8"/>
    <mergeCell ref="C5:H5"/>
    <mergeCell ref="I5:K5"/>
    <mergeCell ref="L5:O5"/>
    <mergeCell ref="S5:X5"/>
    <mergeCell ref="Y5:AA5"/>
    <mergeCell ref="AB5:AE5"/>
    <mergeCell ref="C6:H6"/>
    <mergeCell ref="I6:K6"/>
    <mergeCell ref="L6:O6"/>
    <mergeCell ref="S6:X6"/>
    <mergeCell ref="Y6:AA6"/>
    <mergeCell ref="AB6:AE6"/>
    <mergeCell ref="Y8:AA8"/>
    <mergeCell ref="C7:H7"/>
    <mergeCell ref="I7:K7"/>
    <mergeCell ref="S7:X7"/>
    <mergeCell ref="Y7:AA7"/>
    <mergeCell ref="AB7:AD7"/>
    <mergeCell ref="AB8:AE8"/>
    <mergeCell ref="Y9:AA9"/>
    <mergeCell ref="AB9:AF9"/>
    <mergeCell ref="U22:V22"/>
    <mergeCell ref="W22:X22"/>
    <mergeCell ref="Y22:AA22"/>
    <mergeCell ref="AB22:AC22"/>
    <mergeCell ref="AD22:AE22"/>
    <mergeCell ref="AF11:AF13"/>
    <mergeCell ref="AB52:AC52"/>
    <mergeCell ref="AD52:AE52"/>
    <mergeCell ref="V28:Z28"/>
    <mergeCell ref="AA28:AF28"/>
    <mergeCell ref="R39:AE39"/>
    <mergeCell ref="Z40:Z41"/>
    <mergeCell ref="AA40:AD40"/>
    <mergeCell ref="AE40:AE41"/>
    <mergeCell ref="AD23:AE23"/>
    <mergeCell ref="S24:U24"/>
    <mergeCell ref="Z24:AB24"/>
    <mergeCell ref="AD24:AE24"/>
    <mergeCell ref="AB23:AC23"/>
    <mergeCell ref="C51:D51"/>
    <mergeCell ref="E51:F51"/>
    <mergeCell ref="G51:H51"/>
    <mergeCell ref="I51:K51"/>
    <mergeCell ref="C31:N31"/>
    <mergeCell ref="S31:AD31"/>
    <mergeCell ref="B32:P32"/>
    <mergeCell ref="R32:AF32"/>
    <mergeCell ref="C33:O33"/>
    <mergeCell ref="S33:AE33"/>
    <mergeCell ref="L35:O35"/>
    <mergeCell ref="AB35:AE35"/>
    <mergeCell ref="C37:H37"/>
    <mergeCell ref="I37:K37"/>
    <mergeCell ref="L37:O37"/>
    <mergeCell ref="S37:X37"/>
    <mergeCell ref="Y37:AA37"/>
    <mergeCell ref="AB37:AE37"/>
    <mergeCell ref="I38:K38"/>
    <mergeCell ref="L38:P38"/>
    <mergeCell ref="Y38:AA38"/>
    <mergeCell ref="AB38:AF38"/>
    <mergeCell ref="B39:O39"/>
    <mergeCell ref="B40:B42"/>
    <mergeCell ref="B57:D57"/>
    <mergeCell ref="F57:J57"/>
    <mergeCell ref="K57:P57"/>
    <mergeCell ref="R57:T57"/>
    <mergeCell ref="V57:Z57"/>
    <mergeCell ref="AA57:AF57"/>
    <mergeCell ref="AF40:AF42"/>
    <mergeCell ref="B48:P48"/>
    <mergeCell ref="R48:AF48"/>
    <mergeCell ref="B50:K50"/>
    <mergeCell ref="L50:N50"/>
    <mergeCell ref="R50:AA50"/>
    <mergeCell ref="AB50:AD50"/>
    <mergeCell ref="AD51:AE51"/>
    <mergeCell ref="C52:D52"/>
    <mergeCell ref="E52:F52"/>
    <mergeCell ref="G52:H52"/>
    <mergeCell ref="I52:K52"/>
    <mergeCell ref="L52:M52"/>
    <mergeCell ref="N52:O52"/>
    <mergeCell ref="S52:T52"/>
    <mergeCell ref="U52:V52"/>
    <mergeCell ref="W52:X52"/>
    <mergeCell ref="Y52:AA52"/>
    <mergeCell ref="AH7:AL12"/>
    <mergeCell ref="C59:N59"/>
    <mergeCell ref="S59:AD59"/>
    <mergeCell ref="V54:AA54"/>
    <mergeCell ref="AB54:AF54"/>
    <mergeCell ref="B55:E55"/>
    <mergeCell ref="F55:K55"/>
    <mergeCell ref="L55:P55"/>
    <mergeCell ref="R55:U55"/>
    <mergeCell ref="V55:AA55"/>
    <mergeCell ref="AB55:AF55"/>
    <mergeCell ref="B56:D56"/>
    <mergeCell ref="F56:J56"/>
    <mergeCell ref="K56:P56"/>
    <mergeCell ref="R56:T56"/>
    <mergeCell ref="V56:Z56"/>
    <mergeCell ref="AA56:AF56"/>
    <mergeCell ref="AB51:AC51"/>
    <mergeCell ref="L51:M51"/>
    <mergeCell ref="N51:O51"/>
    <mergeCell ref="S51:T51"/>
    <mergeCell ref="U51:V51"/>
    <mergeCell ref="W51:X51"/>
    <mergeCell ref="Y51:AA51"/>
    <mergeCell ref="C60:N60"/>
    <mergeCell ref="S60:AD60"/>
    <mergeCell ref="B61:P61"/>
    <mergeCell ref="R61:AF61"/>
    <mergeCell ref="C62:O62"/>
    <mergeCell ref="S62:AE62"/>
    <mergeCell ref="C63:H63"/>
    <mergeCell ref="I63:K63"/>
    <mergeCell ref="L63:O63"/>
    <mergeCell ref="S63:X63"/>
    <mergeCell ref="Y63:AA63"/>
    <mergeCell ref="AB63:AE63"/>
    <mergeCell ref="C64:H64"/>
    <mergeCell ref="I64:K64"/>
    <mergeCell ref="L64:O64"/>
    <mergeCell ref="S64:X64"/>
    <mergeCell ref="Y64:AA64"/>
    <mergeCell ref="AB64:AE64"/>
    <mergeCell ref="C65:H65"/>
    <mergeCell ref="I65:K65"/>
    <mergeCell ref="L65:N65"/>
    <mergeCell ref="S65:X65"/>
    <mergeCell ref="Y65:AA65"/>
    <mergeCell ref="AB65:AD65"/>
    <mergeCell ref="C66:H66"/>
    <mergeCell ref="I66:K66"/>
    <mergeCell ref="L66:O66"/>
    <mergeCell ref="S66:X66"/>
    <mergeCell ref="Y66:AA66"/>
    <mergeCell ref="AB66:AE66"/>
    <mergeCell ref="I67:K67"/>
    <mergeCell ref="L67:P67"/>
    <mergeCell ref="Y67:AA67"/>
    <mergeCell ref="AB67:AF67"/>
    <mergeCell ref="B68:O68"/>
    <mergeCell ref="R68:AE68"/>
    <mergeCell ref="B69:B71"/>
    <mergeCell ref="C69:F69"/>
    <mergeCell ref="G69:I69"/>
    <mergeCell ref="J69:J70"/>
    <mergeCell ref="K69:N69"/>
    <mergeCell ref="O69:O70"/>
    <mergeCell ref="P69:P71"/>
    <mergeCell ref="R69:R71"/>
    <mergeCell ref="S69:V69"/>
    <mergeCell ref="W69:Y69"/>
    <mergeCell ref="Z69:Z70"/>
    <mergeCell ref="AA69:AD69"/>
    <mergeCell ref="AE69:AE70"/>
    <mergeCell ref="AF69:AF71"/>
    <mergeCell ref="B77:P77"/>
    <mergeCell ref="R77:AF77"/>
    <mergeCell ref="B79:K79"/>
    <mergeCell ref="L79:N79"/>
    <mergeCell ref="R79:AA79"/>
    <mergeCell ref="AB79:AD79"/>
    <mergeCell ref="C80:D80"/>
    <mergeCell ref="E80:F80"/>
    <mergeCell ref="G80:H80"/>
    <mergeCell ref="I80:K80"/>
    <mergeCell ref="L80:M80"/>
    <mergeCell ref="N80:O80"/>
    <mergeCell ref="S80:T80"/>
    <mergeCell ref="U80:V80"/>
    <mergeCell ref="W80:X80"/>
    <mergeCell ref="Y80:AA80"/>
    <mergeCell ref="AB80:AC80"/>
    <mergeCell ref="AD80:AE80"/>
    <mergeCell ref="Y81:AA81"/>
    <mergeCell ref="AB81:AC81"/>
    <mergeCell ref="AD81:AE81"/>
    <mergeCell ref="C82:E82"/>
    <mergeCell ref="F82:H82"/>
    <mergeCell ref="J82:L82"/>
    <mergeCell ref="N82:O82"/>
    <mergeCell ref="S82:U82"/>
    <mergeCell ref="V82:X82"/>
    <mergeCell ref="Z82:AB82"/>
    <mergeCell ref="AD82:AE82"/>
    <mergeCell ref="C81:D81"/>
    <mergeCell ref="E81:F81"/>
    <mergeCell ref="G81:H81"/>
    <mergeCell ref="I81:K81"/>
    <mergeCell ref="L81:M81"/>
    <mergeCell ref="N81:O81"/>
    <mergeCell ref="S81:T81"/>
    <mergeCell ref="U81:V81"/>
    <mergeCell ref="W81:X81"/>
    <mergeCell ref="B83:E83"/>
    <mergeCell ref="F83:K83"/>
    <mergeCell ref="L83:P83"/>
    <mergeCell ref="R83:U83"/>
    <mergeCell ref="V83:AA83"/>
    <mergeCell ref="AB83:AF83"/>
    <mergeCell ref="B84:E84"/>
    <mergeCell ref="F84:K84"/>
    <mergeCell ref="L84:P84"/>
    <mergeCell ref="R84:U84"/>
    <mergeCell ref="V84:AA84"/>
    <mergeCell ref="AB84:AF84"/>
    <mergeCell ref="B85:D85"/>
    <mergeCell ref="F85:J85"/>
    <mergeCell ref="K85:P85"/>
    <mergeCell ref="R85:T85"/>
    <mergeCell ref="V85:Z85"/>
    <mergeCell ref="AA85:AF85"/>
    <mergeCell ref="B86:D86"/>
    <mergeCell ref="F86:J86"/>
    <mergeCell ref="K86:P86"/>
    <mergeCell ref="R86:T86"/>
    <mergeCell ref="V86:Z86"/>
    <mergeCell ref="AA86:AF86"/>
    <mergeCell ref="C88:N88"/>
    <mergeCell ref="S88:AD88"/>
    <mergeCell ref="C89:N89"/>
    <mergeCell ref="S89:AD89"/>
    <mergeCell ref="B90:P90"/>
    <mergeCell ref="R90:AF90"/>
    <mergeCell ref="C91:O91"/>
    <mergeCell ref="S91:AE91"/>
    <mergeCell ref="C92:H92"/>
    <mergeCell ref="I92:K92"/>
    <mergeCell ref="L92:O92"/>
    <mergeCell ref="S92:X92"/>
    <mergeCell ref="Y92:AA92"/>
    <mergeCell ref="AB92:AE92"/>
    <mergeCell ref="C93:H93"/>
    <mergeCell ref="I93:K93"/>
    <mergeCell ref="L93:O93"/>
    <mergeCell ref="S93:X93"/>
    <mergeCell ref="Y93:AA93"/>
    <mergeCell ref="AB93:AE93"/>
    <mergeCell ref="C94:H94"/>
    <mergeCell ref="I94:K94"/>
    <mergeCell ref="L94:N94"/>
    <mergeCell ref="S94:X94"/>
    <mergeCell ref="Y94:AA94"/>
    <mergeCell ref="AB94:AD94"/>
    <mergeCell ref="C95:H95"/>
    <mergeCell ref="I95:K95"/>
    <mergeCell ref="L95:O95"/>
    <mergeCell ref="S95:X95"/>
    <mergeCell ref="Y95:AA95"/>
    <mergeCell ref="AB95:AE95"/>
    <mergeCell ref="I96:K96"/>
    <mergeCell ref="L96:P96"/>
    <mergeCell ref="Y96:AA96"/>
    <mergeCell ref="AB96:AF96"/>
    <mergeCell ref="B97:O97"/>
    <mergeCell ref="R97:AE97"/>
    <mergeCell ref="B98:B100"/>
    <mergeCell ref="C98:F98"/>
    <mergeCell ref="G98:I98"/>
    <mergeCell ref="J98:J99"/>
    <mergeCell ref="K98:N98"/>
    <mergeCell ref="O98:O99"/>
    <mergeCell ref="P98:P100"/>
    <mergeCell ref="R98:R100"/>
    <mergeCell ref="S98:V98"/>
    <mergeCell ref="W98:Y98"/>
    <mergeCell ref="Z98:Z99"/>
    <mergeCell ref="AA98:AD98"/>
    <mergeCell ref="AE98:AE99"/>
    <mergeCell ref="AF98:AF100"/>
    <mergeCell ref="B106:P106"/>
    <mergeCell ref="R106:AF106"/>
    <mergeCell ref="B108:K108"/>
    <mergeCell ref="L108:N108"/>
    <mergeCell ref="R108:AA108"/>
    <mergeCell ref="AB108:AD108"/>
    <mergeCell ref="C109:D109"/>
    <mergeCell ref="E109:F109"/>
    <mergeCell ref="G109:H109"/>
    <mergeCell ref="I109:K109"/>
    <mergeCell ref="L109:M109"/>
    <mergeCell ref="N109:O109"/>
    <mergeCell ref="S109:T109"/>
    <mergeCell ref="U109:V109"/>
    <mergeCell ref="W109:X109"/>
    <mergeCell ref="Y109:AA109"/>
    <mergeCell ref="AB109:AC109"/>
    <mergeCell ref="AD109:AE109"/>
    <mergeCell ref="Y110:AA110"/>
    <mergeCell ref="AB110:AC110"/>
    <mergeCell ref="AD110:AE110"/>
    <mergeCell ref="C111:E111"/>
    <mergeCell ref="F111:H111"/>
    <mergeCell ref="J111:L111"/>
    <mergeCell ref="N111:O111"/>
    <mergeCell ref="S111:U111"/>
    <mergeCell ref="V111:X111"/>
    <mergeCell ref="Z111:AB111"/>
    <mergeCell ref="AD111:AE111"/>
    <mergeCell ref="C110:D110"/>
    <mergeCell ref="E110:F110"/>
    <mergeCell ref="G110:H110"/>
    <mergeCell ref="I110:K110"/>
    <mergeCell ref="L110:M110"/>
    <mergeCell ref="N110:O110"/>
    <mergeCell ref="S110:T110"/>
    <mergeCell ref="U110:V110"/>
    <mergeCell ref="W110:X110"/>
    <mergeCell ref="B112:E112"/>
    <mergeCell ref="F112:K112"/>
    <mergeCell ref="L112:P112"/>
    <mergeCell ref="R112:U112"/>
    <mergeCell ref="V112:AA112"/>
    <mergeCell ref="AB112:AF112"/>
    <mergeCell ref="B113:E113"/>
    <mergeCell ref="F113:K113"/>
    <mergeCell ref="L113:P113"/>
    <mergeCell ref="R113:U113"/>
    <mergeCell ref="V113:AA113"/>
    <mergeCell ref="AB113:AF113"/>
    <mergeCell ref="B114:D114"/>
    <mergeCell ref="F114:J114"/>
    <mergeCell ref="K114:P114"/>
    <mergeCell ref="R114:T114"/>
    <mergeCell ref="V114:Z114"/>
    <mergeCell ref="AA114:AF114"/>
    <mergeCell ref="B115:D115"/>
    <mergeCell ref="F115:J115"/>
    <mergeCell ref="K115:P115"/>
    <mergeCell ref="R115:T115"/>
    <mergeCell ref="V115:Z115"/>
    <mergeCell ref="AA115:AF115"/>
    <mergeCell ref="C117:N117"/>
    <mergeCell ref="S117:AD117"/>
    <mergeCell ref="C118:N118"/>
    <mergeCell ref="S118:AD118"/>
    <mergeCell ref="B119:P119"/>
    <mergeCell ref="R119:AF119"/>
    <mergeCell ref="C120:O120"/>
    <mergeCell ref="S120:AE120"/>
    <mergeCell ref="C121:H121"/>
    <mergeCell ref="I121:K121"/>
    <mergeCell ref="L121:O121"/>
    <mergeCell ref="S121:X121"/>
    <mergeCell ref="Y121:AA121"/>
    <mergeCell ref="AB121:AE121"/>
    <mergeCell ref="C122:H122"/>
    <mergeCell ref="I122:K122"/>
    <mergeCell ref="L122:O122"/>
    <mergeCell ref="S122:X122"/>
    <mergeCell ref="Y122:AA122"/>
    <mergeCell ref="AB122:AE122"/>
    <mergeCell ref="C123:H123"/>
    <mergeCell ref="I123:K123"/>
    <mergeCell ref="L123:N123"/>
    <mergeCell ref="S123:X123"/>
    <mergeCell ref="Y123:AA123"/>
    <mergeCell ref="AB123:AD123"/>
    <mergeCell ref="C124:H124"/>
    <mergeCell ref="I124:K124"/>
    <mergeCell ref="L124:O124"/>
    <mergeCell ref="S124:X124"/>
    <mergeCell ref="Y124:AA124"/>
    <mergeCell ref="AB124:AE124"/>
    <mergeCell ref="I125:K125"/>
    <mergeCell ref="L125:P125"/>
    <mergeCell ref="Y125:AA125"/>
    <mergeCell ref="AB125:AF125"/>
    <mergeCell ref="B126:O126"/>
    <mergeCell ref="R126:AE126"/>
    <mergeCell ref="B127:B129"/>
    <mergeCell ref="C127:F127"/>
    <mergeCell ref="G127:I127"/>
    <mergeCell ref="J127:J128"/>
    <mergeCell ref="K127:N127"/>
    <mergeCell ref="O127:O128"/>
    <mergeCell ref="P127:P129"/>
    <mergeCell ref="R127:R129"/>
    <mergeCell ref="S127:V127"/>
    <mergeCell ref="W127:Y127"/>
    <mergeCell ref="Z127:Z128"/>
    <mergeCell ref="AA127:AD127"/>
    <mergeCell ref="AE127:AE128"/>
    <mergeCell ref="AF127:AF129"/>
    <mergeCell ref="B135:P135"/>
    <mergeCell ref="R135:AF135"/>
    <mergeCell ref="B137:K137"/>
    <mergeCell ref="L137:N137"/>
    <mergeCell ref="R137:AA137"/>
    <mergeCell ref="AB137:AD137"/>
    <mergeCell ref="C138:D138"/>
    <mergeCell ref="E138:F138"/>
    <mergeCell ref="G138:H138"/>
    <mergeCell ref="I138:K138"/>
    <mergeCell ref="L138:M138"/>
    <mergeCell ref="N138:O138"/>
    <mergeCell ref="S138:T138"/>
    <mergeCell ref="U138:V138"/>
    <mergeCell ref="W138:X138"/>
    <mergeCell ref="Y138:AA138"/>
    <mergeCell ref="AB138:AC138"/>
    <mergeCell ref="AD138:AE138"/>
    <mergeCell ref="Y139:AA139"/>
    <mergeCell ref="AB139:AC139"/>
    <mergeCell ref="AD139:AE139"/>
    <mergeCell ref="C140:E140"/>
    <mergeCell ref="F140:H140"/>
    <mergeCell ref="J140:L140"/>
    <mergeCell ref="N140:O140"/>
    <mergeCell ref="S140:U140"/>
    <mergeCell ref="V140:X140"/>
    <mergeCell ref="Z140:AB140"/>
    <mergeCell ref="AD140:AE140"/>
    <mergeCell ref="C139:D139"/>
    <mergeCell ref="E139:F139"/>
    <mergeCell ref="G139:H139"/>
    <mergeCell ref="I139:K139"/>
    <mergeCell ref="L139:M139"/>
    <mergeCell ref="N139:O139"/>
    <mergeCell ref="S139:T139"/>
    <mergeCell ref="U139:V139"/>
    <mergeCell ref="W139:X139"/>
    <mergeCell ref="B141:E141"/>
    <mergeCell ref="F141:K141"/>
    <mergeCell ref="L141:P141"/>
    <mergeCell ref="R141:U141"/>
    <mergeCell ref="V141:AA141"/>
    <mergeCell ref="AB141:AF141"/>
    <mergeCell ref="B142:E142"/>
    <mergeCell ref="F142:K142"/>
    <mergeCell ref="L142:P142"/>
    <mergeCell ref="R142:U142"/>
    <mergeCell ref="V142:AA142"/>
    <mergeCell ref="AB142:AF142"/>
    <mergeCell ref="B143:D143"/>
    <mergeCell ref="F143:J143"/>
    <mergeCell ref="K143:P143"/>
    <mergeCell ref="R143:T143"/>
    <mergeCell ref="V143:Z143"/>
    <mergeCell ref="AA143:AF143"/>
    <mergeCell ref="B144:D144"/>
    <mergeCell ref="F144:J144"/>
    <mergeCell ref="K144:P144"/>
    <mergeCell ref="R144:T144"/>
    <mergeCell ref="V144:Z144"/>
    <mergeCell ref="AA144:AF144"/>
  </mergeCells>
  <pageMargins left="0.45" right="0.2" top="0.25" bottom="0.25" header="0.05" footer="0"/>
  <pageSetup paperSize="9" scale="74"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codeName="Sheet12">
    <pageSetUpPr fitToPage="1"/>
  </sheetPr>
  <dimension ref="A1:AR26"/>
  <sheetViews>
    <sheetView showGridLines="0" view="pageBreakPreview" topLeftCell="G1" zoomScaleSheetLayoutView="100" workbookViewId="0">
      <selection activeCell="AL18" sqref="AL18"/>
    </sheetView>
  </sheetViews>
  <sheetFormatPr defaultRowHeight="15"/>
  <cols>
    <col min="1" max="2" width="8.625" style="116" customWidth="1"/>
    <col min="3" max="6" width="5.875" style="116" customWidth="1"/>
    <col min="7" max="7" width="6.25" style="116" customWidth="1"/>
    <col min="8" max="8" width="4.875" style="116" customWidth="1"/>
    <col min="9" max="9" width="5.875" style="116" customWidth="1"/>
    <col min="10" max="10" width="5.25" style="116" customWidth="1"/>
    <col min="11" max="11" width="5.125" style="116" customWidth="1"/>
    <col min="12" max="12" width="6.625" style="116" customWidth="1"/>
    <col min="13" max="13" width="5.875" style="116" customWidth="1"/>
    <col min="14" max="14" width="6.375" style="116" customWidth="1"/>
    <col min="15" max="15" width="6.75" style="17" customWidth="1"/>
    <col min="16" max="16" width="6.75" style="116" customWidth="1"/>
    <col min="17" max="17" width="6.375" style="116" customWidth="1"/>
    <col min="18" max="19" width="7.5" style="116" customWidth="1"/>
    <col min="20" max="20" width="9.125" style="116" customWidth="1"/>
    <col min="21" max="28" width="6.75" style="17" customWidth="1"/>
    <col min="29" max="30" width="9" style="17"/>
    <col min="31" max="31" width="9" hidden="1" customWidth="1"/>
    <col min="32" max="32" width="10.125" hidden="1" customWidth="1"/>
    <col min="33" max="33" width="9" hidden="1" customWidth="1"/>
    <col min="34" max="35" width="9" style="17" hidden="1" customWidth="1"/>
    <col min="36" max="40" width="9" style="17"/>
    <col min="41" max="41" width="9" style="783"/>
    <col min="42" max="42" width="9" style="783" hidden="1" customWidth="1"/>
    <col min="43" max="43" width="0" style="783" hidden="1" customWidth="1"/>
    <col min="44" max="44" width="9" style="783"/>
    <col min="45" max="16384" width="9" style="17"/>
  </cols>
  <sheetData>
    <row r="1" spans="1:42">
      <c r="A1" s="74"/>
      <c r="B1" s="74"/>
      <c r="C1" s="74"/>
      <c r="D1" s="74"/>
      <c r="E1" s="74"/>
      <c r="F1" s="1551" t="str">
        <f>IF('Master Sheet'!D11="Hindi","वार्षिक रिपोर्ट कार्ड ","Report Card")</f>
        <v xml:space="preserve">वार्षिक रिपोर्ट कार्ड </v>
      </c>
      <c r="G1" s="1551"/>
      <c r="H1" s="1551"/>
      <c r="I1" s="1551"/>
      <c r="J1" s="1551"/>
      <c r="K1" s="1551"/>
      <c r="L1" s="1551"/>
      <c r="M1" s="1551"/>
      <c r="N1" s="1551"/>
      <c r="O1" s="1551"/>
      <c r="P1" s="74"/>
      <c r="Q1" s="74"/>
      <c r="R1" s="74"/>
      <c r="S1" s="74"/>
      <c r="T1" s="74"/>
    </row>
    <row r="2" spans="1:42" ht="18.75" customHeight="1" thickBot="1">
      <c r="A2" s="74"/>
      <c r="B2" s="74"/>
      <c r="C2" s="74"/>
      <c r="D2" s="1552" t="str">
        <f>IF('Master Sheet'!D11="Hindi","शिक्षा विभाग, राजस्थान सरकार","Education Department, Rajasthan Government")</f>
        <v>शिक्षा विभाग, राजस्थान सरकार</v>
      </c>
      <c r="E2" s="1552"/>
      <c r="F2" s="1552"/>
      <c r="G2" s="1552"/>
      <c r="H2" s="1552"/>
      <c r="I2" s="1552"/>
      <c r="J2" s="1552"/>
      <c r="K2" s="1552"/>
      <c r="L2" s="1552"/>
      <c r="M2" s="1552"/>
      <c r="N2" s="1552"/>
      <c r="O2" s="1552"/>
      <c r="P2" s="1552"/>
      <c r="Q2" s="1552"/>
      <c r="R2" s="74"/>
      <c r="S2" s="74"/>
      <c r="T2" s="74"/>
    </row>
    <row r="3" spans="1:42" ht="21" customHeight="1">
      <c r="A3" s="1575" t="str">
        <f>IF('Master Sheet'!D11="Hindi",CONCATENATE("विद्यालय का नाम :-","  ",'Master Sheet'!D8),CONCATENATE("School Name :-","  ",'Master Sheet'!D7))</f>
        <v xml:space="preserve">विद्यालय का नाम :-  महात्मा गाँधी राजकीय विद्यालय (अंग्रेजी माध्यम) बर, पाली </v>
      </c>
      <c r="B3" s="1575"/>
      <c r="C3" s="1575"/>
      <c r="D3" s="1575"/>
      <c r="E3" s="1575"/>
      <c r="F3" s="1575"/>
      <c r="G3" s="1575"/>
      <c r="H3" s="1575"/>
      <c r="I3" s="1575"/>
      <c r="J3" s="1575"/>
      <c r="K3" s="1575"/>
      <c r="L3" s="1575"/>
      <c r="M3" s="1575"/>
      <c r="N3" s="1575"/>
      <c r="O3" s="1575"/>
      <c r="P3" s="1575"/>
      <c r="Q3" s="1575"/>
      <c r="R3" s="1575"/>
      <c r="S3" s="1575"/>
      <c r="T3" s="764"/>
      <c r="AA3" s="1736" t="s">
        <v>292</v>
      </c>
      <c r="AB3" s="1737"/>
      <c r="AC3" s="1738"/>
      <c r="AE3" s="762"/>
      <c r="AF3" s="762"/>
      <c r="AG3" s="762"/>
    </row>
    <row r="4" spans="1:42" ht="21" customHeight="1">
      <c r="A4" s="712"/>
      <c r="B4" s="712"/>
      <c r="C4" s="712"/>
      <c r="D4" s="712"/>
      <c r="E4" s="1576" t="str">
        <f>IF(AND(O6=""),"",IF(AND('Master Sheet'!D6=""),"",IF('Master Sheet'!D11="Hindi",CONCATENATE("(विद्यालय मान्यता क्रमांक व वर्ष : ","  ",'Master Sheet'!D6),CONCATENATE("(School Recognition Number &amp; Years : ","  ",'Master Sheet'!D6))))</f>
        <v>(विद्यालय मान्यता क्रमांक व वर्ष :   शिक्षा/पाली/1995/2001</v>
      </c>
      <c r="F4" s="1576"/>
      <c r="G4" s="1576"/>
      <c r="H4" s="1576"/>
      <c r="I4" s="1576"/>
      <c r="J4" s="1576"/>
      <c r="K4" s="1576"/>
      <c r="L4" s="1576"/>
      <c r="M4" s="1576"/>
      <c r="N4" s="1576"/>
      <c r="O4" s="1576"/>
      <c r="P4" s="454"/>
      <c r="Q4" s="454"/>
      <c r="R4" s="454"/>
      <c r="S4" s="454"/>
      <c r="T4" s="724"/>
      <c r="AA4" s="1739"/>
      <c r="AB4" s="1740"/>
      <c r="AC4" s="1741"/>
    </row>
    <row r="5" spans="1:42" ht="19.5" customHeight="1">
      <c r="A5" s="1578" t="str">
        <f>IF('Master Sheet'!D11="Hindi","सत्र  :-","Session :-")</f>
        <v>सत्र  :-</v>
      </c>
      <c r="B5" s="1578"/>
      <c r="C5" s="1578"/>
      <c r="D5" s="1560" t="str">
        <f>'Marks Entry'!H1</f>
        <v>2023-2024</v>
      </c>
      <c r="E5" s="1560"/>
      <c r="F5" s="1560"/>
      <c r="G5" s="1560"/>
      <c r="H5" s="1591" t="str">
        <f>IF('Master Sheet'!$D$11="Hindi","संकाय :-","Faculty :-")</f>
        <v>संकाय :-</v>
      </c>
      <c r="I5" s="1591"/>
      <c r="J5" s="1745" t="str">
        <f>CONCATENATE('Marks Entry'!H2," '",'Marks Entry'!H3,"'")</f>
        <v>11 'Arts'</v>
      </c>
      <c r="K5" s="1745"/>
      <c r="L5" s="455"/>
      <c r="M5" s="1578" t="str">
        <f>IF('Master Sheet'!D11="Hindi","कक्षा  :-","CLASS :- ")</f>
        <v>कक्षा  :-</v>
      </c>
      <c r="N5" s="1578"/>
      <c r="O5" s="1746" t="str">
        <f>IFERROR(CONCATENATE(VLOOKUP(O6,'Student DATA Entry'!$B$4:$F$203,2,0),"  '",VLOOKUP(O6,'Student DATA Entry'!$B$4:$F$203,3,0)),"")</f>
        <v>11  'A</v>
      </c>
      <c r="P5" s="1746"/>
      <c r="Q5" s="456"/>
      <c r="R5" s="454"/>
      <c r="S5" s="454"/>
      <c r="T5" s="454"/>
      <c r="AA5" s="1739"/>
      <c r="AB5" s="1740"/>
      <c r="AC5" s="1741"/>
      <c r="AF5" s="763">
        <f>O8</f>
        <v>40065</v>
      </c>
    </row>
    <row r="6" spans="1:42" ht="19.5" customHeight="1">
      <c r="A6" s="1577" t="str">
        <f>IF('Master Sheet'!D11="Hindi","विद्यार्थी का नाम :-","Student's Name :-")</f>
        <v>विद्यार्थी का नाम :-</v>
      </c>
      <c r="B6" s="1577"/>
      <c r="C6" s="1577"/>
      <c r="D6" s="1560" t="str">
        <f>IFERROR(VLOOKUP($O$6,'Statement of Marks'!$B$8:'Statement of Marks'!$HI$207,4,0),"")</f>
        <v>G</v>
      </c>
      <c r="E6" s="1560"/>
      <c r="F6" s="1560"/>
      <c r="G6" s="1560"/>
      <c r="H6" s="1560"/>
      <c r="I6" s="1560"/>
      <c r="J6" s="1560"/>
      <c r="K6" s="1560"/>
      <c r="L6" s="1560"/>
      <c r="M6" s="1559" t="str">
        <f>IF('Master Sheet'!D11="Hindi","रोल नंबर :-","Roll No. :")</f>
        <v>रोल नंबर :-</v>
      </c>
      <c r="N6" s="1559"/>
      <c r="O6" s="1564">
        <v>1107</v>
      </c>
      <c r="P6" s="1564"/>
      <c r="Q6" s="456"/>
      <c r="R6" s="454"/>
      <c r="S6" s="454"/>
      <c r="T6" s="454"/>
      <c r="AA6" s="1739"/>
      <c r="AB6" s="1740"/>
      <c r="AC6" s="1741"/>
      <c r="AE6">
        <f>YEAR(AF5)</f>
        <v>2009</v>
      </c>
      <c r="AF6">
        <f>MONTH(AF5)</f>
        <v>9</v>
      </c>
      <c r="AG6">
        <f>DAY(AF5)</f>
        <v>9</v>
      </c>
    </row>
    <row r="7" spans="1:42" ht="18.75" customHeight="1">
      <c r="A7" s="1577" t="str">
        <f>IF('Master Sheet'!D11="Hindi","पिता का नाम :-","Father's Name :-")</f>
        <v>पिता का नाम :-</v>
      </c>
      <c r="B7" s="1577"/>
      <c r="C7" s="1577"/>
      <c r="D7" s="1560" t="str">
        <f>IFERROR(VLOOKUP($O$6,'Statement of Marks'!$B$8:'Statement of Marks'!$HI$207,5,0),"")</f>
        <v>T</v>
      </c>
      <c r="E7" s="1560"/>
      <c r="F7" s="1560"/>
      <c r="G7" s="1560"/>
      <c r="H7" s="1560"/>
      <c r="I7" s="1560"/>
      <c r="J7" s="1560"/>
      <c r="K7" s="1560"/>
      <c r="L7" s="1560"/>
      <c r="M7" s="1559" t="str">
        <f>IF('Master Sheet'!D11="Hindi","प्रवेशांक :","SR. NO. :")</f>
        <v>प्रवेशांक :</v>
      </c>
      <c r="N7" s="1559"/>
      <c r="O7" s="1556">
        <f>IFERROR(VLOOKUP($O$6,'Statement of Marks'!$B$8:'Statement of Marks'!$HI$207,2,0),"")</f>
        <v>222</v>
      </c>
      <c r="P7" s="1556"/>
      <c r="Q7" s="457"/>
      <c r="R7" s="454"/>
      <c r="S7" s="454"/>
      <c r="T7" s="454"/>
      <c r="AA7" s="1739"/>
      <c r="AB7" s="1740"/>
      <c r="AC7" s="1741"/>
      <c r="AE7" t="str">
        <f>IF(AE6=2000,"दो हजार",IF(AE6=2001,"दो हजार एक",IF(AE6=2002,"दो हजार दो",IF(AE6=2003,"दो हजार तीन",IF(AE6=2004,"दो हजार चार",IF(AE6=2005,"दो हजार पांच",IF(AE6=2006,"दो हजार छः",IF(AE6=2007,"दो हजार सात",IF(AE6=2008,"दो हजार आठ",IF(AE6=2009,"दो हजार नौ",IF(AE6=2010,"दो हजार दस",IF(AE6=2011,"दो हजार इग्यारह",IF(AE6=2012,"दो हजार बारह",IF(AE6=2013,"दो हजार तेरह",IF(AE6=2014,"दो हजार चौदह",IF(AE6=2015,"दो हजार पंद्रह",IF(AE6=2016,"दो हजार सोलह",IF(AE6=2017,"दो हजार सत्रह",IF(AE6=2018,"दो हजार अठारह",IF(AE6=2019,"दो हजार उन्नीस",IF(AE6=2020,"दो हजार बीस",IF(AE6=2021,"दो हजार इक्कीस",IF(AE6=2022,"दो हजार बाइस","")))))))))))))))))))))))</f>
        <v>दो हजार नौ</v>
      </c>
      <c r="AF7" t="str">
        <f>IF(AF6=1,"जनवरी",IF(AF6=2,"फरवरी",IF(AF6=3,"मार्च",IF(AF6=4,"अप्रैल",IF(AF6=5,"मई",IF(AF6=6,"जून",IF(AF6=7,"जुलाई",IF(AF6=8,"अगस्त",IF(AF6=9,"सितम्बर",IF(AF6=10,"अक्टूबर",IF(AF6=11,"नवम्बर",IF(AF6=12,"दिसम्बर",""))))))))))))</f>
        <v>सितम्बर</v>
      </c>
      <c r="AG7" t="str">
        <f>IF(AG6=1,"एक",IF(AG6=2,"दो",IF(AG6=3,"तीन",IF(AG6=4,"चार",IF(AG6=5,"पांच",IF(AG6=6,"छः",IF(AG6=7,"सात",IF(AG6=8,"आठ",IF(AG6=9,"नौ",IF(AG6=10,"दस",IF(AG6=11,"इग्यारह",IF(AG6=12,"बारह",IF(AG6=13,"तेरह",IF(AG6=14,"चौदह",IF(AG6=15,"पंद्रह",IF(AG6=16,"सोलह",IF(AG6=17,"सत्रह",IF(AG6=18,"अठारह",IF(AG6=19,"उन्नीस",IF(AG6=20,"बीस",IF(AG6=21,"इक्कीस",IF(AG6=22,"बाइस",IF(AG6=23,"तेईस",IF(AG6=24,"चौबीस",IF(AG6=25,"पचीस",IF(AG6=26,"छबीस",IF(AG6=27,"सताईस",IF(AG6=28,"अठाइस",IF(AG6=29,"उन्नतीस",IF(AG6=30,"तीस",IF(AG6=31,"इकतीस","")))))))))))))))))))))))))))))))</f>
        <v>नौ</v>
      </c>
    </row>
    <row r="8" spans="1:42" ht="18.75" customHeight="1">
      <c r="A8" s="1577" t="str">
        <f>IF('Master Sheet'!D11="Hindi","माता का नाम :-","Mother's Name :-")</f>
        <v>माता का नाम :-</v>
      </c>
      <c r="B8" s="1577"/>
      <c r="C8" s="1577"/>
      <c r="D8" s="1560" t="str">
        <f>IFERROR(VLOOKUP($O$6,'Statement of Marks'!$B$8:'Statement of Marks'!$HI$207,6,0),"")</f>
        <v>S</v>
      </c>
      <c r="E8" s="1560"/>
      <c r="F8" s="1560"/>
      <c r="G8" s="1560"/>
      <c r="H8" s="1560"/>
      <c r="I8" s="1560"/>
      <c r="J8" s="1560"/>
      <c r="K8" s="1560"/>
      <c r="L8" s="1560"/>
      <c r="M8" s="1559" t="str">
        <f>IF('Master Sheet'!D11="Hindi","जन्म तिथि :","Date of Birth :")</f>
        <v>जन्म तिथि :</v>
      </c>
      <c r="N8" s="1559"/>
      <c r="O8" s="1557">
        <f>IFERROR(VLOOKUP($O$6,'Statement of Marks'!$B$8:'Statement of Marks'!$HI$207,3,0),"")</f>
        <v>40065</v>
      </c>
      <c r="P8" s="1557"/>
      <c r="Q8" s="1557"/>
      <c r="R8" s="454"/>
      <c r="S8" s="454"/>
      <c r="T8" s="454"/>
      <c r="AA8" s="1739"/>
      <c r="AB8" s="1740"/>
      <c r="AC8" s="1741"/>
      <c r="AF8" t="str">
        <f>CONCATENATE(AG7," ",AF7," ",AE7)</f>
        <v>नौ सितम्बर दो हजार नौ</v>
      </c>
    </row>
    <row r="9" spans="1:42" ht="18.75" customHeight="1">
      <c r="A9" s="736"/>
      <c r="B9" s="736"/>
      <c r="C9" s="736"/>
      <c r="D9" s="737"/>
      <c r="E9" s="737"/>
      <c r="F9" s="737"/>
      <c r="G9" s="737"/>
      <c r="H9" s="737"/>
      <c r="I9" s="737"/>
      <c r="J9" s="737"/>
      <c r="K9" s="737"/>
      <c r="L9" s="1559" t="str">
        <f>IF('Master Sheet'!D11="Hindi","जन्मतिथि शब्दों में :","Date of Birth in Words :")</f>
        <v>जन्मतिथि शब्दों में :</v>
      </c>
      <c r="M9" s="1559"/>
      <c r="N9" s="1559"/>
      <c r="O9" s="1558" t="str">
        <f>IF('Master Sheet'!$D$11="Hindi",AF8,AF10)</f>
        <v>नौ सितम्बर दो हजार नौ</v>
      </c>
      <c r="P9" s="1558"/>
      <c r="Q9" s="1558"/>
      <c r="R9" s="1558"/>
      <c r="S9" s="1558"/>
      <c r="T9" s="454"/>
      <c r="AA9" s="1739"/>
      <c r="AB9" s="1740"/>
      <c r="AC9" s="1741"/>
      <c r="AE9" t="str">
        <f>IF(AE6=1961,"NINETEEN SIXTY ONE",IF(AE6=1962,"NINETEEN SIXTY TWO",IF(AE6=1963,"NINETEEN SIXTY THREE",IF(AE6=1964,"NINETEEN SIXTY FOUR",IF(AE6=1965,"NINETEEN SIXTY FIVE",IF(AE6=1966,"NINETEEN SIXTY SIX",IF(AE6=1967,"NINETEEN SIXTY SEVEN",IF(AE6=1968,"NINETEEN SIXTY EIGHT",IF(AE6=1969,"NINETEEN SIXTY NINE",IF(AE6=1970,"NINETEEN SEVENTY",IF(AE6=1971,"NINETEEN SEVENTY ONE",IF(AE6=1972,"NINETEEN SEVENTY TWO",IF(AE6=1973,"NINETEEN SEVENTY THREE",IF(AE6=1974,"NINETEEN SEVENTY FOUR",IF(AE6=1975,"NINETEEN SEVENTY FIVE",IF(AE6=1976,"NINETEEN SEVENTY SIX",IF(AE6=1977,"NINETEEN SEVENTY SEVEN",IF(AE6=1978,"NINETEEN SEVENTY EIGHT",IF(AE6=1979,"NINETEEN SEVENTY NINE",IF(AE6=1980,"NINETEEN EIGHTY",IF(AE6=1981,"NINETEEN EIGHTY ONE",IF(AE6=1982,"NINETEEN EIGHTY TWO",IF(AE6=1983,"NINETEEN EIGHTY THREE",IF(AE6=1984,"NINETEEN EIGHTY FOUR",IF(AE6=1985,"NINETEEN EIGHTY FIVE",IF(AE6=1986,"NINETEEN EIGHTY SIX",IF(AE6=1987,"NINETEEN EIGHTY SEVEN",IF(AE6=1988,"NINETEEN EIGHTY EIGHT",IF(AE6=1989,"NINETEEN EIGHTY NINE",IF(AE6=1990,"NINETEEN NINETY",IF(AE6=1991,"NINETEEN NINETY ONE",IF(AE6=1992,"NINETEEN NINETY TWO",IF(AE6=1993,"NINETEEN NINETY THREE",IF(AE6=1994,"NINETEEN NINETY FOUR",IF(AE6=1995,"NINETEEN NINETY FIVE",IF(AE6=1996,"NINETEEN NINETY SIX",IF(AE6=1997,"NINETEEN NINETY SEVEN",IF(AE6=1998,"NINETEEN NINETY EIGHT",IF(AE6=1999,"NINETEEN NINETY NINE",IF(AE6=2000,"TWO THOUSAND",IF(AE6=2001,"TWO THOUSAND ONE",IF(AE6=2002,"TWO THOUSAND TWO",IF(AE6=2003,"TWO THOUSAND THREE",IF(AE6=2004,"TWO THOUSAND FOUR",IF(AE6=2005,"TWO THOUSAND FIVE",IF(AE6=2006,"TWO THOUSAND SIX",IF(AE6=2007,"TWO THOUSAND SEVEN",IF(AE6=2008,"TWO THOUSAND EIGHT",IF(AE6=2009,"TWO THOUSAND NINE",IF(AE6=2010,"TWO THOUSAND TEN",IF(AE6=2011,"TWO THOUSAND ELEVEN",IF(AE6=2012,"TWO THOUSAND TWELVE",IF(AE6=2013,"TWO THOUSAND THIRTEEN",IF(AE6=2014,"TWO THOUSAND FOURTEEN",IF(AE6=2015,"TWO THOUSAND FIFTEEN",IF(AE6=2016,"TWO THOUSAND SIXTEEN",IF(AE6=2017,"TWO THOUSAND SEVENTEEN",IF(AE6=2018,"TWO THOUSAND EIGHTEEN",IF(AE6=2019,"TWO THOUSAND NINETEEN",IF(AE6=2020,"TWO THOUSAND TWENTY",IF(AE6=2021,"TWO THOUSAND TWENTY ONE",IF(AE6=2022,"TWO THOUSAND TWENTY TWO",IF(AE6=2023,"TWO THOUSAND TWENTY THREE",IF(AE6=2024,"TWO THOUSAND TWENTY FOUR",IF(AE6=2025,"TWO THOUSAND TWENTY FIVE","")))))))))))))))))))))))))))))))))))))))))))))))))))))))))))))))))</f>
        <v>TWO THOUSAND NINE</v>
      </c>
      <c r="AF9" t="str">
        <f>IF(AF6=1,"JANUARY",IF(AF6=2,"FEBUARY", IF(AF6=3,"MARCH",IF(AF6=4,"APRIL",IF(AF6=5,"MAY",IF(AF6=6,"JUNE",IF(AF6=7,"JULY",IF(AF6=8,"AUGUST",IF(AF6=9,"SEPTEMBER",IF(AF6=10,"OCTOBER",IF(AF6=11,"NOVEMBER",IF(AF6=12,"DECEMBER",""))))))))))))</f>
        <v>SEPTEMBER</v>
      </c>
      <c r="AG9" t="str">
        <f>IF(AG6=1,"1ST",IF(AG6=2,"2ND", IF(AG6=3,"3RD",IF(AG6=4,"FOURTH",IF(AG6=5,"FIFTH",IF(AG6=6,"SIXTH",IF(AG6=7,"7TH",IF(AG6=8,"8TH",IF(AG6=9,"9TH",IF(AG6=10,"10TH",IF(AG6=11,"11TH",IF(AG6=12,"12TH",IF(AG6=13,"13TH",IF(AG6=14,"14TH",IF(AG6=15,"FIFTEEN",IF(AG6=16,"SIXTEEN",IF(AG6=17,"SEVENTEEN",IF(AG6=18,"EIGHTEEN",IF(AG6=19,"NINETEEN",IF(AG6=20,"TWENTY",IF(AG6=21,"TWENTY FIRST",IF(AG6=22,"TWENTY SECOND",IF(AG6=23,"TWENTY THIRD",IF(AG6=24,"TWENTY FOURTH",IF(AG6=25,"TWENTY FIFTH",IF(AG6=26,"TWENTY SIX",IF(AG6=27,"TWENTY SEVEN",IF(AG6=28,"TWENTY EIGHT",IF(AG6=29,"TWENTY NINE",IF(AG6=30,"THIRTY",IF(AG6=31,"THIRTY FIRST","")))))))))))))))))))))))))))))))</f>
        <v>9TH</v>
      </c>
    </row>
    <row r="10" spans="1:42" ht="4.5" customHeight="1" thickBot="1">
      <c r="A10" s="458"/>
      <c r="B10" s="458"/>
      <c r="C10" s="458"/>
      <c r="D10" s="480"/>
      <c r="E10" s="737"/>
      <c r="F10" s="480"/>
      <c r="G10" s="480"/>
      <c r="H10" s="480"/>
      <c r="I10" s="480"/>
      <c r="J10" s="480"/>
      <c r="K10" s="480"/>
      <c r="L10" s="480"/>
      <c r="M10" s="460"/>
      <c r="N10" s="460"/>
      <c r="O10" s="461"/>
      <c r="P10" s="461"/>
      <c r="Q10" s="461"/>
      <c r="R10" s="454"/>
      <c r="S10" s="454"/>
      <c r="T10" s="454"/>
      <c r="AA10" s="1739"/>
      <c r="AB10" s="1740"/>
      <c r="AC10" s="1741"/>
      <c r="AF10" t="str">
        <f>CONCATENATE(AF9," ",AG9,", ",AE9)</f>
        <v>SEPTEMBER 9TH, TWO THOUSAND NINE</v>
      </c>
    </row>
    <row r="11" spans="1:42" ht="18" customHeight="1">
      <c r="A11" s="1761" t="str">
        <f>IF('Master Sheet'!D11="Hindi","विषय का नाम","Subject Name")</f>
        <v>विषय का नाम</v>
      </c>
      <c r="B11" s="1600"/>
      <c r="C11" s="1600" t="str">
        <f>IF('Master Sheet'!$D$11="Hindi","सामयिक परख","Seasonal Exam")</f>
        <v>सामयिक परख</v>
      </c>
      <c r="D11" s="1600"/>
      <c r="E11" s="1600"/>
      <c r="F11" s="1600"/>
      <c r="G11" s="1600" t="str">
        <f>IF('Master Sheet'!$D$11="Hindi","अर्द्धवार्षिक","Half Yearly")</f>
        <v>अर्द्धवार्षिक</v>
      </c>
      <c r="H11" s="1600"/>
      <c r="I11" s="1600"/>
      <c r="J11" s="1598" t="str">
        <f>IF('Master Sheet'!$D$11="Hindi","अर्द्ध वा. तक योग","Total Till H.Y.")</f>
        <v>अर्द्ध वा. तक योग</v>
      </c>
      <c r="K11" s="1600" t="str">
        <f>IF('Master Sheet'!$D$11="Hindi","वार्षिक","Yearly Exam")</f>
        <v>वार्षिक</v>
      </c>
      <c r="L11" s="1600"/>
      <c r="M11" s="1600"/>
      <c r="N11" s="1600"/>
      <c r="O11" s="1759" t="str">
        <f>IF('Master Sheet'!$D$11="Hindi","विषय कुल योग ","Subject Total")</f>
        <v xml:space="preserve">विषय कुल योग </v>
      </c>
      <c r="P11" s="1582" t="str">
        <f>IF('Master Sheet'!D11="Hindi","विषय परिणाम / विषय श्रेणी","Sub. Result /  Sub. Div.")</f>
        <v>विषय परिणाम / विषय श्रेणी</v>
      </c>
      <c r="Q11" s="1747" t="str">
        <f>IF('Master Sheet'!D11="Hindi","पूरक परीक्षा के पश्चात् अंतिम परिणाम","Final Result after the Supplementary Exam")</f>
        <v>पूरक परीक्षा के पश्चात् अंतिम परिणाम</v>
      </c>
      <c r="R11" s="1747"/>
      <c r="S11" s="1747"/>
      <c r="T11" s="1748"/>
      <c r="AA11" s="1739"/>
      <c r="AB11" s="1740"/>
      <c r="AC11" s="1741"/>
    </row>
    <row r="12" spans="1:42" ht="63.75" customHeight="1">
      <c r="A12" s="1762"/>
      <c r="B12" s="1763"/>
      <c r="C12" s="729" t="str">
        <f>IF('Master Sheet'!$D$11="Hindi","प्रथम परख ","First Test")</f>
        <v xml:space="preserve">प्रथम परख </v>
      </c>
      <c r="D12" s="729" t="str">
        <f>IF('Master Sheet'!$D$11="Hindi","द्वितीय परख","Second Test")</f>
        <v>द्वितीय परख</v>
      </c>
      <c r="E12" s="729" t="str">
        <f>IF('Master Sheet'!$D$11="Hindi","तृतीय परख","Third Test")</f>
        <v>तृतीय परख</v>
      </c>
      <c r="F12" s="713" t="str">
        <f>IF('Master Sheet'!$D$11="Hindi","सा. परख योग","Test Total")</f>
        <v>सा. परख योग</v>
      </c>
      <c r="G12" s="729" t="str">
        <f>IF('Master Sheet'!$D$11="Hindi","सैद्धांतिक","Theoretical")</f>
        <v>सैद्धांतिक</v>
      </c>
      <c r="H12" s="729" t="str">
        <f>IF('Master Sheet'!$D$11="Hindi","प्रायोगिक","Practical")</f>
        <v>प्रायोगिक</v>
      </c>
      <c r="I12" s="789" t="str">
        <f>IF('Master Sheet'!$D$11="Hindi","अर्द्ध वा. योग","Total H.Y.")</f>
        <v>अर्द्ध वा. योग</v>
      </c>
      <c r="J12" s="1599"/>
      <c r="K12" s="729" t="str">
        <f>IF('Master Sheet'!$D$11="Hindi","सैद्धांतिक","Theoretical")</f>
        <v>सैद्धांतिक</v>
      </c>
      <c r="L12" s="729" t="str">
        <f>IF('Master Sheet'!$D$11="Hindi","प्रायोगिक","Practical")</f>
        <v>प्रायोगिक</v>
      </c>
      <c r="M12" s="729" t="str">
        <f>IF('Master Sheet'!$D$11="Hindi","पोर्टफोलियो","Portfolio")</f>
        <v>पोर्टफोलियो</v>
      </c>
      <c r="N12" s="789" t="str">
        <f>IF('Master Sheet'!$D$11="Hindi","वार्षिक योग","Total Yearly")</f>
        <v>वार्षिक योग</v>
      </c>
      <c r="O12" s="1760"/>
      <c r="P12" s="1583"/>
      <c r="Q12" s="1610"/>
      <c r="R12" s="1610"/>
      <c r="S12" s="1610"/>
      <c r="T12" s="1749"/>
      <c r="Y12" s="74"/>
      <c r="AA12" s="1739"/>
      <c r="AB12" s="1740"/>
      <c r="AC12" s="1741"/>
    </row>
    <row r="13" spans="1:42" ht="26.25" customHeight="1" thickBot="1">
      <c r="A13" s="1589" t="s">
        <v>229</v>
      </c>
      <c r="B13" s="1590"/>
      <c r="C13" s="725">
        <v>10</v>
      </c>
      <c r="D13" s="725">
        <v>10</v>
      </c>
      <c r="E13" s="725">
        <v>10</v>
      </c>
      <c r="F13" s="730">
        <v>30</v>
      </c>
      <c r="G13" s="463" t="s">
        <v>291</v>
      </c>
      <c r="H13" s="462" t="s">
        <v>284</v>
      </c>
      <c r="I13" s="792">
        <v>70</v>
      </c>
      <c r="J13" s="730">
        <v>100</v>
      </c>
      <c r="K13" s="463" t="s">
        <v>285</v>
      </c>
      <c r="L13" s="463" t="s">
        <v>142</v>
      </c>
      <c r="M13" s="765">
        <v>20</v>
      </c>
      <c r="N13" s="765">
        <v>100</v>
      </c>
      <c r="O13" s="738">
        <v>200</v>
      </c>
      <c r="P13" s="1583"/>
      <c r="Q13" s="1610" t="str">
        <f>IF('Master Sheet'!D11="Hindi","विषय","Subject")</f>
        <v>विषय</v>
      </c>
      <c r="R13" s="1610"/>
      <c r="S13" s="768" t="str">
        <f>IF('Master Sheet'!D11="Hindi","प्राप्तांक","Marks Obtained")</f>
        <v>प्राप्तांक</v>
      </c>
      <c r="T13" s="771" t="str">
        <f>IF('Master Sheet'!D11="Hindi","परिणाम","Result")</f>
        <v>परिणाम</v>
      </c>
      <c r="Y13" s="74"/>
      <c r="AA13" s="1742"/>
      <c r="AB13" s="1743"/>
      <c r="AC13" s="1744"/>
    </row>
    <row r="14" spans="1:42" ht="21" customHeight="1">
      <c r="A14" s="1585" t="str">
        <f>'Statement of Marks'!J3</f>
        <v>Com. Hindi</v>
      </c>
      <c r="B14" s="1586"/>
      <c r="C14" s="92">
        <f>IFERROR(VLOOKUP(O6,'Statement of Marks'!$B$8:'Statement of Marks'!$HI$207,9,0),"")</f>
        <v>7</v>
      </c>
      <c r="D14" s="92">
        <f>IFERROR(VLOOKUP(O6,'Statement of Marks'!$B$8:'Statement of Marks'!$HI$207,10,0),"")</f>
        <v>9</v>
      </c>
      <c r="E14" s="92">
        <f>IFERROR(VLOOKUP(O6,'Statement of Marks'!$B$8:'Statement of Marks'!$HI$207,11,0),"")</f>
        <v>8</v>
      </c>
      <c r="F14" s="731">
        <f>IFERROR(VLOOKUP(O6,'Statement of Marks'!$B$8:'Statement of Marks'!$HI$207,12,0),"")</f>
        <v>24</v>
      </c>
      <c r="G14" s="92">
        <f>IFERROR(VLOOKUP(O6,'Statement of Marks'!$B$8:'Statement of Marks'!$HI$207,13,0),"")</f>
        <v>43</v>
      </c>
      <c r="H14" s="92"/>
      <c r="I14" s="793">
        <f>IFERROR(VLOOKUP(O6,'Statement of Marks'!$B$8:'Statement of Marks'!$HI$207,13,0),"")</f>
        <v>43</v>
      </c>
      <c r="J14" s="730">
        <f>IFERROR(IF(AND($O$6="",A14="",F14="",I14=""),"",SUM(C14,D14,E14,G14,H14)),"")</f>
        <v>67</v>
      </c>
      <c r="K14" s="92">
        <f>IFERROR(VLOOKUP(O6,'Statement of Marks'!$B$8:'Statement of Marks'!$HI$207,15,0),"")</f>
        <v>43</v>
      </c>
      <c r="L14" s="466"/>
      <c r="M14" s="93"/>
      <c r="N14" s="765">
        <f>IFERROR(VLOOKUP(O6,'Statement of Marks'!$B$8:'Statement of Marks'!$HI$207,15,0),"")</f>
        <v>43</v>
      </c>
      <c r="O14" s="738">
        <f>IFERROR(VLOOKUP(O6,'Statement of Marks'!$B$8:'Statement of Marks'!$HI$207,16,0),"")</f>
        <v>110</v>
      </c>
      <c r="P14" s="467" t="str">
        <f>IFERROR(IF(N14="","",IF(VLOOKUP(O6,'Statement of Marks'!$B$8:'Statement of Marks'!$HI$207,165,0)="D","I",VLOOKUP(O6,'Statement of Marks'!$B$8:'Statement of Marks'!$HI$207,165,0))),"")</f>
        <v>II</v>
      </c>
      <c r="Q14" s="1553" t="str">
        <f>IF(AND(P14=""),"",IF(AND(P14="S"),A14,""))</f>
        <v/>
      </c>
      <c r="R14" s="1553"/>
      <c r="S14" s="769" t="str">
        <f>IFERROR(IF(Q14="","",VLOOKUP($O$6,'Supp. Result Entry'!$B$7:'Supp. Result Entry'!$AU$206,20,0)),"")</f>
        <v/>
      </c>
      <c r="T14" s="772" t="str">
        <f>IFERROR(IF(Q14="","",VLOOKUP($O$6,'Statement of Marks'!$B$8:'Statement of Marks'!$HI$207,212,0)),"")</f>
        <v/>
      </c>
    </row>
    <row r="15" spans="1:42" ht="21" customHeight="1">
      <c r="A15" s="1585" t="str">
        <f>'Statement of Marks'!X3</f>
        <v>Com. English</v>
      </c>
      <c r="B15" s="1586"/>
      <c r="C15" s="92">
        <f>IFERROR(VLOOKUP(O6,'Statement of Marks'!$B$8:'Statement of Marks'!$HI$207,23,0),"")</f>
        <v>10</v>
      </c>
      <c r="D15" s="92">
        <f>IFERROR(VLOOKUP(O6,'Statement of Marks'!$B$8:'Statement of Marks'!$HI$207,24,0),"")</f>
        <v>6</v>
      </c>
      <c r="E15" s="92">
        <f>IFERROR(VLOOKUP(O6,'Statement of Marks'!$B$8:'Statement of Marks'!$HI$207,25,0),"")</f>
        <v>9</v>
      </c>
      <c r="F15" s="731">
        <f>IFERROR(VLOOKUP(O6,'Statement of Marks'!$B$8:'Statement of Marks'!$HI$207,26,0),"")</f>
        <v>25</v>
      </c>
      <c r="G15" s="92">
        <f>IFERROR(VLOOKUP(O6,'Statement of Marks'!$B$8:'Statement of Marks'!$HI$207,27,0),"")</f>
        <v>41</v>
      </c>
      <c r="H15" s="92"/>
      <c r="I15" s="793">
        <f>IFERROR(VLOOKUP(O6,'Statement of Marks'!$B$8:'Statement of Marks'!$HI$207,27,0),"")</f>
        <v>41</v>
      </c>
      <c r="J15" s="730">
        <f t="shared" ref="J15:J17" si="0">IFERROR(IF(AND($O$6="",A15="",F15="",I15=""),"",SUM(C15,D15,E15,G15,H15)),"")</f>
        <v>66</v>
      </c>
      <c r="K15" s="92">
        <f>IFERROR(VLOOKUP(O6,'Statement of Marks'!$B$8:'Statement of Marks'!$HI$207,29,0),"")</f>
        <v>64</v>
      </c>
      <c r="L15" s="466"/>
      <c r="M15" s="93"/>
      <c r="N15" s="765">
        <f>IFERROR(VLOOKUP(O6,'Statement of Marks'!$B$8:'Statement of Marks'!$HI$207,29,0),"")</f>
        <v>64</v>
      </c>
      <c r="O15" s="738">
        <f>IFERROR(VLOOKUP(O6,'Statement of Marks'!$B$8:'Statement of Marks'!$HI$207,30,0),"")</f>
        <v>130</v>
      </c>
      <c r="P15" s="467" t="str">
        <f>IFERROR(IF(O15="","",IF(VLOOKUP(O6,'Statement of Marks'!$B$8:'Statement of Marks'!$HI$207,168,0)="D","I",VLOOKUP(O6,'Statement of Marks'!$B$8:'Statement of Marks'!$HI$207,168,0))),"")</f>
        <v>I</v>
      </c>
      <c r="Q15" s="1553" t="str">
        <f>IF(AND(P15=""),"",IF(AND(P15="S"),A15,""))</f>
        <v/>
      </c>
      <c r="R15" s="1553"/>
      <c r="S15" s="769" t="str">
        <f>IFERROR(IF(Q15="","",VLOOKUP($O$6,'Supp. Result Entry'!$B$7:'Supp. Result Entry'!$AU$206,23,0)),"")</f>
        <v/>
      </c>
      <c r="T15" s="772" t="str">
        <f>IFERROR(IF(Q15="","",VLOOKUP($O$6,'Statement of Marks'!$B$8:'Statement of Marks'!$HI$207,212,0)),"")</f>
        <v/>
      </c>
      <c r="AP15" s="783" t="str">
        <f>IFERROR(IF(VLOOKUP(O6,'Statement of Marks'!$B$7:'Statement of Marks'!$IC$206,215,0)="By Grace Pass","By Grace Pass and Promoted to Class 12th",IF(VLOOKUP(O6,'Statement of Marks'!$B$7:'Statement of Marks'!$IC$206,215,0)="PASS","PASS  and Promoted to Class 12th",IF(VLOOKUP(O6,'Statement of Marks'!$B$7:'Statement of Marks'!$IC$206,215,0)="SUPPLEMENTARY","Supplementary",IF(VLOOKUP(O6,'Statement of Marks'!$B$7:'Statement of Marks'!$IC$206,215,0)="Re-Exam","RE-EXAM",IF(VLOOKUP(O6,'Statement of Marks'!$B$7:'Statement of Marks'!$IC$206,215,0)="FAIL","FAIL",""))))),"")</f>
        <v>PASS  and Promoted to Class 12th</v>
      </c>
    </row>
    <row r="16" spans="1:42" ht="21" customHeight="1">
      <c r="A16" s="1606" t="str">
        <f>IFERROR(IF(AND(AH16="A"),'Marks Entry'!U2,IF(AND(AH16="B"),'Marks Entry'!Y2,IF(AND(AH16="C"),'Marks Entry'!AA2,""))),"")</f>
        <v>POLITICAL SCIENCE</v>
      </c>
      <c r="B16" s="1607"/>
      <c r="C16" s="92">
        <f>IFERROR(VLOOKUP(O6,'Statement of Marks'!$B$8:'Statement of Marks'!$HI$207,38,0),"")</f>
        <v>7</v>
      </c>
      <c r="D16" s="92">
        <f>IFERROR(VLOOKUP(O6,'Statement of Marks'!$B$8:'Statement of Marks'!$HI$207,39,0),"")</f>
        <v>4</v>
      </c>
      <c r="E16" s="92">
        <f>IFERROR(VLOOKUP(O6,'Statement of Marks'!$B$8:'Statement of Marks'!$HI$207,40,0),"")</f>
        <v>6</v>
      </c>
      <c r="F16" s="731">
        <f>IFERROR(VLOOKUP(O6,'Statement of Marks'!$B$8:'Statement of Marks'!$HI$207,41,0),"")</f>
        <v>17</v>
      </c>
      <c r="G16" s="92">
        <f>IFERROR(VLOOKUP(O6,'Statement of Marks'!$B$8:'Statement of Marks'!$HI$207,42,0),"")</f>
        <v>14</v>
      </c>
      <c r="H16" s="92" t="str">
        <f>IFERROR(VLOOKUP(O6,'Statement of Marks'!$B$8:'Statement of Marks'!$HI$207,43,0),"")</f>
        <v/>
      </c>
      <c r="I16" s="793">
        <f>IFERROR(VLOOKUP(O6,'Statement of Marks'!$B$8:'Statement of Marks'!$HI$207,44,0),"")</f>
        <v>14</v>
      </c>
      <c r="J16" s="730">
        <f t="shared" si="0"/>
        <v>31</v>
      </c>
      <c r="K16" s="92">
        <f>IFERROR(VLOOKUP(O6,'Statement of Marks'!$B$8:'Statement of Marks'!$HI$207,46,0),"")</f>
        <v>30</v>
      </c>
      <c r="L16" s="92" t="str">
        <f>IFERROR(VLOOKUP(O6,'Statement of Marks'!$B$8:'Statement of Marks'!$HI$207,47,0),"")</f>
        <v/>
      </c>
      <c r="M16" s="93"/>
      <c r="N16" s="765">
        <f>IFERROR(VLOOKUP(O6,'Statement of Marks'!$B$8:'Statement of Marks'!$HI$207,48,0),"")</f>
        <v>30</v>
      </c>
      <c r="O16" s="738">
        <f>IFERROR(VLOOKUP(O6,'Statement of Marks'!$B$8:'Statement of Marks'!$HI$207,51,0),"")</f>
        <v>61</v>
      </c>
      <c r="P16" s="467" t="str">
        <f>IFERROR(IF(O16="","",IF(VLOOKUP(O6,'Statement of Marks'!$B$8:'Statement of Marks'!$HI$207,171,0)="D","I",VLOOKUP(O6,'Statement of Marks'!$B$8:'Statement of Marks'!$HI$207,171,0))),"")</f>
        <v>S</v>
      </c>
      <c r="Q16" s="1553" t="str">
        <f>IF(AND(P16=""),"",IF(AND(P16="S"),A16,""))</f>
        <v>POLITICAL SCIENCE</v>
      </c>
      <c r="R16" s="1553"/>
      <c r="S16" s="769">
        <f>IFERROR(IF(Q16="","",VLOOKUP($O$6,'Supp. Result Entry'!$B$7:'Supp. Result Entry'!$AU$206,26,0)),"")</f>
        <v>36</v>
      </c>
      <c r="T16" s="772" t="str">
        <f>IFERROR(IF(Q16="","",VLOOKUP($O$6,'Statement of Marks'!$B$8:'Statement of Marks'!$HI$207,212,0)),"")</f>
        <v>PASS</v>
      </c>
      <c r="AH16" s="17" t="str">
        <f>IFERROR(VLOOKUP(O6,'Statement of Marks'!$B$8:'Statement of Marks'!$HI$207,37,0),"")</f>
        <v>A</v>
      </c>
      <c r="AP16" s="783" t="str">
        <f>IFERROR(IF(VLOOKUP(O6,'Statement of Marks'!$B$7:'Statement of Marks'!$IC$206,215,0)="By Grace Pass","सानुग्रह उतीर्ण एवं कक्षा 12 में क्रमोन्नत",IF(VLOOKUP(O6,'Statement of Marks'!$B$7:'Statement of Marks'!$IC$206,215,0)="PASS","उतीर्ण एवं कक्षा 12 में क्रमोन्नत",IF(VLOOKUP(O6,'Statement of Marks'!$B$7:'Statement of Marks'!$IC$206,215,0)="SUPPLEMENTARY","पूरक",IF(VLOOKUP(O6,'Statement of Marks'!$B$7:'Statement of Marks'!$IC$206,215,0)="Re-Exam","पुनः परीक्षा",IF(VLOOKUP(O6,'Statement of Marks'!$B$7:'Statement of Marks'!$IC$206,215,0)="FAIL","अनुतीर्ण",""))))),"")</f>
        <v>उतीर्ण एवं कक्षा 12 में क्रमोन्नत</v>
      </c>
    </row>
    <row r="17" spans="1:42" ht="21" customHeight="1">
      <c r="A17" s="1606" t="str">
        <f>IFERROR(IF(AND(AH17="A"),'Marks Entry'!AC2,IF(AND(AH17="B"),'Marks Entry'!AG2,IF(AND(AH17="C"),'Marks Entry'!AI2,""))),"")</f>
        <v>HISTORY</v>
      </c>
      <c r="B17" s="1607"/>
      <c r="C17" s="92">
        <f>IFERROR(VLOOKUP(O6,'Statement of Marks'!$B$8:'Statement of Marks'!$HI$207,61,0),"")</f>
        <v>8</v>
      </c>
      <c r="D17" s="92">
        <f>IFERROR(VLOOKUP(O6,'Statement of Marks'!$B$8:'Statement of Marks'!$HI$207,62,0),"")</f>
        <v>10</v>
      </c>
      <c r="E17" s="92">
        <f>IFERROR(VLOOKUP(O6,'Statement of Marks'!$B$8:'Statement of Marks'!$HI$207,63,0),"")</f>
        <v>8</v>
      </c>
      <c r="F17" s="731">
        <f>IFERROR(VLOOKUP(O6,'Statement of Marks'!$B$8:'Statement of Marks'!$HI$207,64,0),"")</f>
        <v>26</v>
      </c>
      <c r="G17" s="92">
        <f>IFERROR(VLOOKUP(O6,'Statement of Marks'!$B$8:'Statement of Marks'!$HI$207,65,0),"")</f>
        <v>45</v>
      </c>
      <c r="H17" s="92" t="str">
        <f>IFERROR(VLOOKUP(O6,'Statement of Marks'!$B$8:'Statement of Marks'!$HI$207,66,0),"")</f>
        <v/>
      </c>
      <c r="I17" s="793">
        <f>IFERROR(VLOOKUP(O6,'Statement of Marks'!$B$8:'Statement of Marks'!$HI$207,67,0),"")</f>
        <v>45</v>
      </c>
      <c r="J17" s="730">
        <f t="shared" si="0"/>
        <v>71</v>
      </c>
      <c r="K17" s="92">
        <f>IFERROR(VLOOKUP(O6,'Statement of Marks'!$B$8:'Statement of Marks'!$HI$207,69,0),"")</f>
        <v>54</v>
      </c>
      <c r="L17" s="92" t="str">
        <f>IFERROR(VLOOKUP(O6,'Statement of Marks'!$B$8:'Statement of Marks'!$HI$207,70,0),"")</f>
        <v/>
      </c>
      <c r="M17" s="93"/>
      <c r="N17" s="765">
        <f>IFERROR(VLOOKUP(O6,'Statement of Marks'!$B$8:'Statement of Marks'!$HI$207,71,0),"")</f>
        <v>54</v>
      </c>
      <c r="O17" s="738">
        <f>IFERROR(VLOOKUP(O6,'Statement of Marks'!$B$8:'Statement of Marks'!$HI$207,74,0),"")</f>
        <v>125</v>
      </c>
      <c r="P17" s="467" t="str">
        <f>IFERROR(IF(O17="","",IF(VLOOKUP(O6,'Statement of Marks'!$B$8:'Statement of Marks'!$HI$207,178,0)="D","I",VLOOKUP(O6,'Statement of Marks'!$B$8:'Statement of Marks'!$HI$207,178,0))),"")</f>
        <v>I</v>
      </c>
      <c r="Q17" s="1553" t="str">
        <f>IF(AND(P17=""),"",IF(AND(P17="S"),A17,""))</f>
        <v/>
      </c>
      <c r="R17" s="1553"/>
      <c r="S17" s="769" t="str">
        <f>IFERROR(IF(Q17="","",VLOOKUP($O$6,'Supp. Result Entry'!$B$7:'Supp. Result Entry'!$AU$206,29,0)),"")</f>
        <v/>
      </c>
      <c r="T17" s="772" t="str">
        <f>IFERROR(IF(Q17="","",VLOOKUP($O$6,'Statement of Marks'!$B$8:'Statement of Marks'!$HI$207,212,0)),"")</f>
        <v/>
      </c>
      <c r="W17" s="17" t="s">
        <v>146</v>
      </c>
      <c r="AH17" s="17" t="str">
        <f>IFERROR(VLOOKUP(O6,'Statement of Marks'!$B$8:'Statement of Marks'!$HI$207,60,0),"")</f>
        <v>A</v>
      </c>
      <c r="AP17" s="783" t="str">
        <f>IF('Master Sheet'!$D$11="Hindi",AP16,AP15)</f>
        <v>उतीर्ण एवं कक्षा 12 में क्रमोन्नत</v>
      </c>
    </row>
    <row r="18" spans="1:42" ht="21" customHeight="1">
      <c r="A18" s="1606" t="str">
        <f>IFERROR(IF(AND(AH18="A"),'Marks Entry'!AK2,IF(AND(AH18="B"),'Marks Entry'!AO2,IF(AND(AH18="C"),'Marks Entry'!AQ2,""))),"")</f>
        <v>HOME SCIENCE</v>
      </c>
      <c r="B18" s="1607"/>
      <c r="C18" s="92">
        <f>IFERROR(VLOOKUP(O6,'Statement of Marks'!$B$8:'Statement of Marks'!$HI$207,84,0),"")</f>
        <v>4</v>
      </c>
      <c r="D18" s="92">
        <f>IFERROR(VLOOKUP(O6,'Statement of Marks'!$B$8:'Statement of Marks'!$HI$207,85,0),"")</f>
        <v>4</v>
      </c>
      <c r="E18" s="92">
        <f>IFERROR(VLOOKUP(O6,'Statement of Marks'!$B$8:'Statement of Marks'!$HI$207,86,0),"")</f>
        <v>9</v>
      </c>
      <c r="F18" s="731">
        <f>IFERROR(VLOOKUP(O6,'Statement of Marks'!$B$8:'Statement of Marks'!$HI$207,87,0),"")</f>
        <v>17</v>
      </c>
      <c r="G18" s="92">
        <f>IFERROR(VLOOKUP(O6,'Statement of Marks'!$B$8:'Statement of Marks'!$HI$207,88,0),"")</f>
        <v>32</v>
      </c>
      <c r="H18" s="92" t="str">
        <f>IFERROR(VLOOKUP(O6,'Statement of Marks'!$B$8:'Statement of Marks'!$HI$207,89,0),"")</f>
        <v/>
      </c>
      <c r="I18" s="793">
        <f>IFERROR(VLOOKUP(O6,'Statement of Marks'!$B$8:'Statement of Marks'!$HI$207,90,0),"")</f>
        <v>32</v>
      </c>
      <c r="J18" s="730">
        <f>IFERROR(IF(AND($O$6="",A18="",F18="",I18=""),"",SUM(C18,D18,E18,G18,H18)),"")</f>
        <v>49</v>
      </c>
      <c r="K18" s="92" t="str">
        <f>IFERROR(VLOOKUP(O6,'Statement of Marks'!$B$8:'Statement of Marks'!$HI$207,92,0),"")</f>
        <v/>
      </c>
      <c r="L18" s="92" t="str">
        <f>IFERROR(VLOOKUP(O6,'Statement of Marks'!$B$8:'Statement of Marks'!$HI$207,93,0),"")</f>
        <v/>
      </c>
      <c r="M18" s="93"/>
      <c r="N18" s="765" t="str">
        <f>IFERROR(VLOOKUP(O6,'Statement of Marks'!$B$8:'Statement of Marks'!$HI$207,94,0),"")</f>
        <v/>
      </c>
      <c r="O18" s="738">
        <f>IFERROR(VLOOKUP(O6,'Statement of Marks'!$B$8:'Statement of Marks'!$HI$207,97,0),"")</f>
        <v>49</v>
      </c>
      <c r="P18" s="467" t="str">
        <f>IFERROR(IF(O18="","",IF(VLOOKUP(O6,'Statement of Marks'!$B$8:'Statement of Marks'!$HI$207,185,0)="D","I",VLOOKUP(O6,'Statement of Marks'!$B$8:'Statement of Marks'!$HI$207,185,0))),"")</f>
        <v/>
      </c>
      <c r="Q18" s="1553" t="str">
        <f>IF(AND(P18=""),"",IF(AND(P18="S"),A18,""))</f>
        <v/>
      </c>
      <c r="R18" s="1553"/>
      <c r="S18" s="769" t="str">
        <f>IFERROR(IF(Q18="","",VLOOKUP($O$6,'Supp. Result Entry'!$B$7:'Supp. Result Entry'!$AU$206,32,0)),"")</f>
        <v/>
      </c>
      <c r="T18" s="772" t="str">
        <f>IFERROR(IF(Q18="","",VLOOKUP($O$6,'Statement of Marks'!$B$8:'Statement of Marks'!$HI$207,212,0)),"")</f>
        <v/>
      </c>
      <c r="AH18" s="17" t="str">
        <f>IFERROR(VLOOKUP(O6,'Statement of Marks'!$B$8:'Statement of Marks'!$HI$207,83,0),"")</f>
        <v>B</v>
      </c>
    </row>
    <row r="19" spans="1:42" ht="18.75" customHeight="1">
      <c r="A19" s="1730" t="str">
        <f>IF('Master Sheet'!D11="Hindi","व्यावसायिक शिक्षा / अतिरिक्त विषय","Vocational Education / Additional Subject")</f>
        <v>व्यावसायिक शिक्षा / अतिरिक्त विषय</v>
      </c>
      <c r="B19" s="1731"/>
      <c r="C19" s="1731"/>
      <c r="D19" s="1731"/>
      <c r="E19" s="1731"/>
      <c r="F19" s="1731"/>
      <c r="G19" s="1731"/>
      <c r="H19" s="1731"/>
      <c r="I19" s="1731"/>
      <c r="J19" s="1731"/>
      <c r="K19" s="1731"/>
      <c r="L19" s="1731"/>
      <c r="M19" s="1731"/>
      <c r="N19" s="1731"/>
      <c r="O19" s="1731"/>
      <c r="P19" s="1731"/>
      <c r="Q19" s="1731"/>
      <c r="R19" s="1731"/>
      <c r="S19" s="1731"/>
      <c r="T19" s="1732"/>
      <c r="AH19" s="71"/>
      <c r="AI19" s="71"/>
      <c r="AJ19" s="71"/>
      <c r="AK19" s="71"/>
      <c r="AL19" s="71"/>
      <c r="AM19" s="71"/>
      <c r="AN19" s="71"/>
      <c r="AO19" s="784"/>
    </row>
    <row r="20" spans="1:42" ht="21.75" customHeight="1">
      <c r="A20" s="1585" t="str">
        <f>IFERROR(IF(AND(AH20="A"),'Marks Entry'!AS2,IF(AND(AH20="B"),'Marks Entry'!AW2,IF(AND(AH20="C"),'Marks Entry'!AY2,""))),"")</f>
        <v/>
      </c>
      <c r="B20" s="1586"/>
      <c r="C20" s="92" t="str">
        <f>IFERROR(VLOOKUP(O6,'Statement of Marks'!$B$8:'Statement of Marks'!$HI$207,108,0),"")</f>
        <v/>
      </c>
      <c r="D20" s="92" t="str">
        <f>IFERROR(VLOOKUP(O6,'Statement of Marks'!$B$8:'Statement of Marks'!$HI$207,109,0),"")</f>
        <v/>
      </c>
      <c r="E20" s="92" t="str">
        <f>IFERROR(VLOOKUP(O6,'Statement of Marks'!$B$8:'Statement of Marks'!$HI$207,110,0),"")</f>
        <v/>
      </c>
      <c r="F20" s="92" t="str">
        <f>IFERROR(VLOOKUP(O6,'Statement of Marks'!$B$8:'Statement of Marks'!$HI$207,111,0),"")</f>
        <v/>
      </c>
      <c r="G20" s="93" t="str">
        <f>IFERROR(VLOOKUP(O6,'Statement of Marks'!$B$8:'Statement of Marks'!$HI$207,112,0),"")</f>
        <v/>
      </c>
      <c r="H20" s="93" t="str">
        <f>IFERROR(VLOOKUP(O6,'Statement of Marks'!$B$8:'Statement of Marks'!$HI$207,113,0),"")</f>
        <v/>
      </c>
      <c r="I20" s="465" t="str">
        <f>IFERROR(VLOOKUP(O6,'Statement of Marks'!$B$8:'Statement of Marks'!$HI$207,114,0),"")</f>
        <v/>
      </c>
      <c r="J20" s="765" t="str">
        <f>IFERROR(IF(OR(O6="",A20="",F20="",I20=""),"",SUM(C20,D20,E20,G20,H20)),"")</f>
        <v/>
      </c>
      <c r="K20" s="92" t="str">
        <f>IFERROR(VLOOKUP(O6,'Statement of Marks'!$B$8:'Statement of Marks'!$HI$207,116,0),"")</f>
        <v/>
      </c>
      <c r="L20" s="92" t="str">
        <f>IFERROR(VLOOKUP(O6,'Statement of Marks'!$B$8:'Statement of Marks'!$HI$207,118,0),"")</f>
        <v/>
      </c>
      <c r="M20" s="92" t="str">
        <f>IFERROR(VLOOKUP(O6,'Statement of Marks'!$B$8:'Statement of Marks'!$HI$207,117,0),"")</f>
        <v/>
      </c>
      <c r="N20" s="464" t="str">
        <f>IFERROR(VLOOKUP(O6,'Statement of Marks'!$B$8:'Statement of Marks'!$HI$207,119,0),"")</f>
        <v/>
      </c>
      <c r="O20" s="738" t="str">
        <f>IFERROR(VLOOKUP(O6,'Statement of Marks'!$B$8:'Statement of Marks'!$HI$207,123,0),"")</f>
        <v/>
      </c>
      <c r="P20" s="467" t="str">
        <f>IFERROR(IF(O20="","",IF(VLOOKUP(O6,'Statement of Marks'!$B$8:'Statement of Marks'!$HI$207,192,0)="D","I",VLOOKUP(O6,'Statement of Marks'!$B$8:'Statement of Marks'!$HI$207,192,0))),"")</f>
        <v/>
      </c>
      <c r="Q20" s="1553" t="str">
        <f>IF(AND(P20=""),"",IF(AND(P20="S"),A20,""))</f>
        <v/>
      </c>
      <c r="R20" s="1553"/>
      <c r="S20" s="769" t="str">
        <f>IFERROR(IF(Q20="","",VLOOKUP($O$6,'Supp. Result Entry'!$B$7:'Supp. Result Entry'!$AU$206,35,0)),"")</f>
        <v/>
      </c>
      <c r="T20" s="772" t="str">
        <f>IFERROR(IF(Q20="","",VLOOKUP($O$6,'Supp. Result Entry'!$B$7:'Supp. Result Entry'!$AU$206,43,0)),"")</f>
        <v/>
      </c>
      <c r="AH20" s="70" t="str">
        <f>IFERROR(VLOOKUP(O6,'Statement of Marks'!$B$8:'Statement of Marks'!$HI$207,107,0),"")</f>
        <v/>
      </c>
      <c r="AI20" s="70"/>
      <c r="AJ20" s="70"/>
      <c r="AK20" s="70"/>
      <c r="AL20" s="70"/>
      <c r="AM20" s="70"/>
      <c r="AN20" s="70"/>
    </row>
    <row r="21" spans="1:42" ht="40.5" customHeight="1">
      <c r="A21" s="1601" t="str">
        <f>IF('Master Sheet'!D11="Hindi","प्राप्तांक","Marks Obtained")</f>
        <v>प्राप्तांक</v>
      </c>
      <c r="B21" s="1602"/>
      <c r="C21" s="766">
        <f>IF(AND($O$6=""),"",IF(AND(C14="",C15="",C16="",C17="",C18=""),"",SUM(C14:C18)))</f>
        <v>36</v>
      </c>
      <c r="D21" s="766">
        <f t="shared" ref="D21:I21" si="1">IF(AND($O$6=""),"",IF(AND(D14="",D15="",D16="",D17="",D18=""),"",SUM(D14:D18)))</f>
        <v>33</v>
      </c>
      <c r="E21" s="766">
        <f t="shared" si="1"/>
        <v>40</v>
      </c>
      <c r="F21" s="766">
        <f t="shared" si="1"/>
        <v>109</v>
      </c>
      <c r="G21" s="766">
        <f t="shared" si="1"/>
        <v>175</v>
      </c>
      <c r="H21" s="766" t="str">
        <f t="shared" si="1"/>
        <v/>
      </c>
      <c r="I21" s="766">
        <f t="shared" si="1"/>
        <v>175</v>
      </c>
      <c r="J21" s="766">
        <f>IF(AND($O$6=""),"",IF(AND(J14="",J15="",J16="",J17="",J18=""),"",SUM(J14:J18)))</f>
        <v>284</v>
      </c>
      <c r="K21" s="766">
        <f>IF(AND($O$6=""),"",IF(AND($K$18="",$L$18="",$M$18=""),SUM(K14,K15,K16,K17,K20),IF(AND('Master Sheet'!$D$19="YES",'Marks Entry'!$BA$1=1),SUM(K14,K15,K16,K17,K20),SUM(K14:K18))))</f>
        <v>191</v>
      </c>
      <c r="L21" s="766">
        <f>IF(AND($O$6=""),"",IF(AND($K$18="",$L$18="",$M$18=""),SUM(L14,L15,L16,L17,L20),IF(AND('Master Sheet'!$D$19="YES",'Marks Entry'!$BA$1=1),SUM(L14,L15,L16,L17,L20),SUM(L14:L18))))</f>
        <v>0</v>
      </c>
      <c r="M21" s="766">
        <f>IF(AND($O$6=""),"",IF(AND($K$18="",$L$18="",$M$18=""),SUM(M14,M15,M16,M17,M20),IF(AND('Master Sheet'!$D$19="YES",'Marks Entry'!$BA$1=1),SUM(M14,M15,M16,M17,M20),SUM(M14:M18))))</f>
        <v>0</v>
      </c>
      <c r="N21" s="766">
        <f>IF(AND($O$6=""),"",IF(AND($K$18="",$L$18="",$M$18=""),SUM(N14,N15,N16,N17,N20),IF(AND('Master Sheet'!$D$19="YES",'Marks Entry'!$BA$1=1),SUM(N14,N15,N16,N17,N20),SUM(N14:N18))))</f>
        <v>191</v>
      </c>
      <c r="O21" s="734">
        <f>IF(AND($O$6=""),"",IF(AND($K$18="",$L$18="",$M$18=""),SUM(O14,O15,O16,O17,O20),IF(AND('Master Sheet'!$D$19="YES",'Marks Entry'!$BA$1=1),SUM(O14,O15,O16,O17,O20),SUM(O14:O18))))</f>
        <v>426</v>
      </c>
      <c r="P21" s="770">
        <f>IFERROR(VLOOKUP(O6,'Statement of Marks'!$B$8:'Statement of Marks'!$HI$207,213,0),"")</f>
        <v>45</v>
      </c>
      <c r="Q21" s="1764" t="str">
        <f>IFERROR(CONCATENATE(IF('Master Sheet'!D11="Hindi","पूरक परीक्षा के पश्चात् अंतिम परिणाम","Final Result after the Supplementary Exam")," 
",AP17),"")</f>
        <v>पूरक परीक्षा के पश्चात् अंतिम परिणाम 
उतीर्ण एवं कक्षा 12 में क्रमोन्नत</v>
      </c>
      <c r="R21" s="1764"/>
      <c r="S21" s="1764"/>
      <c r="T21" s="1765"/>
      <c r="X21" s="73"/>
      <c r="AH21" s="72"/>
      <c r="AI21" s="72"/>
      <c r="AJ21" s="72"/>
      <c r="AK21" s="72"/>
      <c r="AL21" s="72"/>
      <c r="AM21" s="72"/>
      <c r="AN21" s="72"/>
    </row>
    <row r="22" spans="1:42" ht="27" customHeight="1">
      <c r="A22" s="1733" t="str">
        <f>IF('Master Sheet'!D11="Hindi","विषय","Subject")</f>
        <v>विषय</v>
      </c>
      <c r="B22" s="1637"/>
      <c r="C22" s="1637"/>
      <c r="D22" s="1729" t="str">
        <f>IF('Master Sheet'!D11="Hindi","पूर्णांक","Max. Marks")</f>
        <v>पूर्णांक</v>
      </c>
      <c r="E22" s="1729"/>
      <c r="F22" s="1729"/>
      <c r="G22" s="1734" t="str">
        <f>IF('Master Sheet'!D11="Hindi","प्राप्तांक","Marks Obtained")</f>
        <v>प्राप्तांक</v>
      </c>
      <c r="H22" s="1734"/>
      <c r="I22" s="1728" t="str">
        <f>IF('Master Sheet'!$D$11="Hindi","विषय ग्रेड","Sub. Grade")</f>
        <v>विषय ग्रेड</v>
      </c>
      <c r="J22" s="1728"/>
      <c r="K22" s="1637" t="str">
        <f>IF('Master Sheet'!D11="Hindi","विषय","Subject")</f>
        <v>विषय</v>
      </c>
      <c r="L22" s="1637"/>
      <c r="M22" s="1637"/>
      <c r="N22" s="1637"/>
      <c r="O22" s="1729" t="str">
        <f>IF('Master Sheet'!D11="Hindi","पूर्णांक","Max. Marks")</f>
        <v>पूर्णांक</v>
      </c>
      <c r="P22" s="1729"/>
      <c r="Q22" s="1734" t="str">
        <f>IF('Master Sheet'!D11="Hindi","प्राप्तांक","Marks Obtained")</f>
        <v>प्राप्तांक</v>
      </c>
      <c r="R22" s="1734"/>
      <c r="S22" s="1728" t="str">
        <f>IF('Master Sheet'!$D$11="Hindi","विषय ग्रेड","Sub. Grade")</f>
        <v>विषय ग्रेड</v>
      </c>
      <c r="T22" s="1735"/>
      <c r="V22" s="73"/>
      <c r="AH22" s="72"/>
      <c r="AI22" s="72"/>
      <c r="AJ22" s="72"/>
      <c r="AK22" s="72"/>
      <c r="AL22" s="72"/>
      <c r="AM22" s="72"/>
      <c r="AN22" s="72"/>
    </row>
    <row r="23" spans="1:42" ht="27" customHeight="1">
      <c r="A23" s="1733" t="str">
        <f>'Statement of Marks'!EC4</f>
        <v>जीवन कौशल</v>
      </c>
      <c r="B23" s="1637"/>
      <c r="C23" s="1637"/>
      <c r="D23" s="1727">
        <f>IF(AND(O6=""),"",IF('Statement of Marks'!EF6="","",'Statement of Marks'!EF6))</f>
        <v>100</v>
      </c>
      <c r="E23" s="1727"/>
      <c r="F23" s="1727"/>
      <c r="G23" s="1726">
        <f>IFERROR(VLOOKUP(O6,'Statement of Marks'!$B$8:'Statement of Marks'!$HI$207,135,0),"")</f>
        <v>85</v>
      </c>
      <c r="H23" s="1726"/>
      <c r="I23" s="1724" t="str">
        <f>IFERROR(VLOOKUP(O6,'Statement of Marks'!$B$8:'Statement of Marks'!$HI$207,140,0),"")</f>
        <v>A</v>
      </c>
      <c r="J23" s="1724"/>
      <c r="K23" s="1637" t="str">
        <f>'Statement of Marks'!EY3</f>
        <v xml:space="preserve">आजादी के बाद का स्वर्णिम भारत </v>
      </c>
      <c r="L23" s="1637"/>
      <c r="M23" s="1637"/>
      <c r="N23" s="1637"/>
      <c r="O23" s="1727">
        <f>IF(AND(O6=""),"",IF('Statement of Marks'!FE6="","",'Statement of Marks'!FE6))</f>
        <v>200</v>
      </c>
      <c r="P23" s="1727"/>
      <c r="Q23" s="1726">
        <f>IFERROR(VLOOKUP(O6,'Statement of Marks'!$B$8:'Statement of Marks'!$HI$207,160,0),"")</f>
        <v>149</v>
      </c>
      <c r="R23" s="1726"/>
      <c r="S23" s="1724" t="str">
        <f>IFERROR(VLOOKUP(O6,'Statement of Marks'!$B$8:'Statement of Marks'!$HI$207,161,0),"")</f>
        <v>B</v>
      </c>
      <c r="T23" s="1725"/>
      <c r="U23" s="74"/>
      <c r="V23" s="73"/>
      <c r="AH23" s="72"/>
      <c r="AI23" s="72"/>
    </row>
    <row r="24" spans="1:42" ht="27" customHeight="1">
      <c r="A24" s="1757" t="str">
        <f>IF('Master Sheet'!$D$11="Hindi","पूरक परिणाम घोषित दिनांक :-","Date of Supp. Result declaration :-")</f>
        <v>पूरक परिणाम घोषित दिनांक :-</v>
      </c>
      <c r="B24" s="1758"/>
      <c r="C24" s="1758"/>
      <c r="D24" s="1659">
        <f>IF(AND(O6=""),"",IF('Master Sheet'!D18="","",'Master Sheet'!D18))</f>
        <v>45427</v>
      </c>
      <c r="E24" s="1659"/>
      <c r="F24" s="1659"/>
      <c r="G24" s="1610" t="str">
        <f>IF('Master Sheet'!D11="Hindi","कुल कार्य दिवस","Total Working Days")</f>
        <v>कुल कार्य दिवस</v>
      </c>
      <c r="H24" s="1610"/>
      <c r="I24" s="1610"/>
      <c r="J24" s="1653">
        <f>IFERROR(VLOOKUP(O6,'Statement of Marks'!$B$8:'Statement of Marks'!$HI$207,162,0),"")</f>
        <v>380</v>
      </c>
      <c r="K24" s="1653"/>
      <c r="L24" s="1610" t="str">
        <f>IF('Master Sheet'!D11="Hindi","कुल उपस्थिति","Student's Attendance")</f>
        <v>कुल उपस्थिति</v>
      </c>
      <c r="M24" s="1610"/>
      <c r="N24" s="1610"/>
      <c r="O24" s="1636">
        <f>IFERROR(VLOOKUP(O6,'Statement of Marks'!$B$8:'Statement of Marks'!$HI$207,163,0),"")</f>
        <v>370</v>
      </c>
      <c r="P24" s="1636"/>
      <c r="Q24" s="1562" t="str">
        <f>IF('Master Sheet'!D11="Hindi","कक्षा में स्थान","Position in the Class")</f>
        <v>कक्षा में स्थान</v>
      </c>
      <c r="R24" s="1562"/>
      <c r="S24" s="1634" t="str">
        <f>IFERROR(VLOOKUP(O6,'Statement of Marks'!$B$8:'Statement of Marks'!$HI$207,211,0),"")</f>
        <v/>
      </c>
      <c r="T24" s="1635"/>
      <c r="U24" s="74"/>
      <c r="V24" s="73"/>
    </row>
    <row r="25" spans="1:42" ht="38.25" customHeight="1">
      <c r="A25" s="1754" t="str">
        <f>IF('Master Sheet'!D11="Hindi","हस्ताक्षर कक्षाध्यापक","Signature of the class teacher")</f>
        <v>हस्ताक्षर कक्षाध्यापक</v>
      </c>
      <c r="B25" s="1610"/>
      <c r="C25" s="1610"/>
      <c r="D25" s="1610"/>
      <c r="E25" s="1610"/>
      <c r="F25" s="1608" t="str">
        <f>IF(AND(O6=""),"",CONCATENATE("( ",UPPER('Master Sheet'!D17)," )"))</f>
        <v>( YOGESH )</v>
      </c>
      <c r="G25" s="1608"/>
      <c r="H25" s="1608"/>
      <c r="I25" s="1608"/>
      <c r="J25" s="1608"/>
      <c r="K25" s="1608"/>
      <c r="L25" s="1608"/>
      <c r="M25" s="1608"/>
      <c r="N25" s="1608"/>
      <c r="O25" s="1750" t="str">
        <f>IF(AND(O6=""),"",CONCATENATE("( ",UPPER('Master Sheet'!D12)," )"))</f>
        <v>( USHA PALIYA )</v>
      </c>
      <c r="P25" s="1750"/>
      <c r="Q25" s="1750"/>
      <c r="R25" s="1750"/>
      <c r="S25" s="1750"/>
      <c r="T25" s="1751"/>
      <c r="V25" s="73"/>
    </row>
    <row r="26" spans="1:42" ht="31.5" customHeight="1" thickBot="1">
      <c r="A26" s="1755" t="str">
        <f>IF('Master Sheet'!D11="Hindi","हस्ताक्षर परीक्षा प्रभारी","Signature of the exam. Incharge")</f>
        <v>हस्ताक्षर परीक्षा प्रभारी</v>
      </c>
      <c r="B26" s="1756"/>
      <c r="C26" s="1756"/>
      <c r="D26" s="1756"/>
      <c r="E26" s="1756"/>
      <c r="F26" s="1647" t="str">
        <f>IF(AND(O6=""),"",CONCATENATE("( ",UPPER('Master Sheet'!D14)," )"))</f>
        <v>( HEERALAL JAT )</v>
      </c>
      <c r="G26" s="1647"/>
      <c r="H26" s="1647"/>
      <c r="I26" s="1647"/>
      <c r="J26" s="1647"/>
      <c r="K26" s="1647"/>
      <c r="L26" s="1647"/>
      <c r="M26" s="1647"/>
      <c r="N26" s="1647"/>
      <c r="O26" s="1752" t="str">
        <f>IF('Master Sheet'!D11="Hindi","हस्ताक्षर संस्था प्रधान","Head of Institute's Signature")</f>
        <v>हस्ताक्षर संस्था प्रधान</v>
      </c>
      <c r="P26" s="1752"/>
      <c r="Q26" s="1752"/>
      <c r="R26" s="1752"/>
      <c r="S26" s="1752"/>
      <c r="T26" s="1753"/>
    </row>
  </sheetData>
  <sheetProtection password="B18B" sheet="1" objects="1" scenarios="1" formatCells="0" formatColumns="0" formatRows="0"/>
  <protectedRanges>
    <protectedRange password="EA02" sqref="A16:B21" name="reports_2"/>
    <protectedRange password="DC77" sqref="J11" name="Range1"/>
    <protectedRange password="DC77" sqref="M12:N12" name="Range1_1"/>
    <protectedRange password="EA02" sqref="A22:B23 K22:L23" name="reports_2_1"/>
    <protectedRange password="EA02" sqref="A24:B24" name="reports_2_2"/>
    <protectedRange password="EA02" sqref="A25:B26" name="reports_2_3"/>
  </protectedRanges>
  <mergeCells count="80">
    <mergeCell ref="E4:O4"/>
    <mergeCell ref="F1:O1"/>
    <mergeCell ref="Q22:R22"/>
    <mergeCell ref="A21:B21"/>
    <mergeCell ref="O11:O12"/>
    <mergeCell ref="L9:N9"/>
    <mergeCell ref="A11:B12"/>
    <mergeCell ref="C11:F11"/>
    <mergeCell ref="G11:I11"/>
    <mergeCell ref="J11:J12"/>
    <mergeCell ref="K11:N11"/>
    <mergeCell ref="Q21:T21"/>
    <mergeCell ref="A16:B16"/>
    <mergeCell ref="Q16:R16"/>
    <mergeCell ref="M7:N7"/>
    <mergeCell ref="O7:P7"/>
    <mergeCell ref="F25:N25"/>
    <mergeCell ref="O25:T25"/>
    <mergeCell ref="F26:N26"/>
    <mergeCell ref="O26:T26"/>
    <mergeCell ref="A23:C23"/>
    <mergeCell ref="Q23:R23"/>
    <mergeCell ref="D23:F23"/>
    <mergeCell ref="A25:E25"/>
    <mergeCell ref="A26:E26"/>
    <mergeCell ref="O24:P24"/>
    <mergeCell ref="Q24:R24"/>
    <mergeCell ref="S24:T24"/>
    <mergeCell ref="A24:C24"/>
    <mergeCell ref="D24:F24"/>
    <mergeCell ref="G24:I24"/>
    <mergeCell ref="J24:K24"/>
    <mergeCell ref="Q14:R14"/>
    <mergeCell ref="A15:B15"/>
    <mergeCell ref="A8:C8"/>
    <mergeCell ref="D8:L8"/>
    <mergeCell ref="M8:N8"/>
    <mergeCell ref="O8:Q8"/>
    <mergeCell ref="A13:B13"/>
    <mergeCell ref="A14:B14"/>
    <mergeCell ref="P11:P13"/>
    <mergeCell ref="Q11:T12"/>
    <mergeCell ref="Q13:R13"/>
    <mergeCell ref="A3:S3"/>
    <mergeCell ref="D2:Q2"/>
    <mergeCell ref="AA3:AC13"/>
    <mergeCell ref="A5:C5"/>
    <mergeCell ref="D5:G5"/>
    <mergeCell ref="H5:I5"/>
    <mergeCell ref="J5:K5"/>
    <mergeCell ref="M5:N5"/>
    <mergeCell ref="A6:C6"/>
    <mergeCell ref="D6:L6"/>
    <mergeCell ref="M6:N6"/>
    <mergeCell ref="O6:P6"/>
    <mergeCell ref="A7:C7"/>
    <mergeCell ref="D7:L7"/>
    <mergeCell ref="O5:P5"/>
    <mergeCell ref="O9:S9"/>
    <mergeCell ref="I22:J22"/>
    <mergeCell ref="K22:N22"/>
    <mergeCell ref="O22:P22"/>
    <mergeCell ref="Q15:R15"/>
    <mergeCell ref="A19:T19"/>
    <mergeCell ref="A20:B20"/>
    <mergeCell ref="Q20:R20"/>
    <mergeCell ref="A17:B17"/>
    <mergeCell ref="Q17:R17"/>
    <mergeCell ref="A18:B18"/>
    <mergeCell ref="Q18:R18"/>
    <mergeCell ref="A22:C22"/>
    <mergeCell ref="D22:F22"/>
    <mergeCell ref="G22:H22"/>
    <mergeCell ref="S22:T22"/>
    <mergeCell ref="S23:T23"/>
    <mergeCell ref="L24:N24"/>
    <mergeCell ref="G23:H23"/>
    <mergeCell ref="I23:J23"/>
    <mergeCell ref="K23:N23"/>
    <mergeCell ref="O23:P23"/>
  </mergeCells>
  <conditionalFormatting sqref="L5 A21:B21 K22:K23 A21:A23">
    <cfRule type="expression" dxfId="0" priority="4">
      <formula>ISERROR(A5)</formula>
    </cfRule>
  </conditionalFormatting>
  <pageMargins left="0.7" right="0.45" top="0.25" bottom="0.25" header="0.3" footer="0.3"/>
  <pageSetup paperSize="9" scale="93" orientation="landscape" r:id="rId1"/>
  <drawing r:id="rId2"/>
  <legacyDrawing r:id="rId3"/>
</worksheet>
</file>

<file path=xl/worksheets/sheet2.xml><?xml version="1.0" encoding="utf-8"?>
<worksheet xmlns="http://schemas.openxmlformats.org/spreadsheetml/2006/main" xmlns:r="http://schemas.openxmlformats.org/officeDocument/2006/relationships">
  <sheetPr codeName="Sheet3"/>
  <dimension ref="A1:AU67"/>
  <sheetViews>
    <sheetView showGridLines="0" workbookViewId="0">
      <selection activeCell="D19" sqref="D19"/>
    </sheetView>
  </sheetViews>
  <sheetFormatPr defaultColWidth="0" defaultRowHeight="15" zeroHeight="1"/>
  <cols>
    <col min="1" max="2" width="4.25" style="17" customWidth="1"/>
    <col min="3" max="3" width="45.625" style="17" customWidth="1"/>
    <col min="4" max="4" width="66" style="17" customWidth="1"/>
    <col min="5" max="5" width="4.625" style="17" customWidth="1"/>
    <col min="6" max="6" width="5.5" style="17" customWidth="1"/>
    <col min="7" max="7" width="29.5" style="17" customWidth="1"/>
    <col min="8" max="8" width="28.25" style="17" customWidth="1"/>
    <col min="9" max="9" width="18.125" style="17" customWidth="1"/>
    <col min="10" max="10" width="5.375" style="17" customWidth="1"/>
    <col min="11" max="11" width="3.375" style="17" customWidth="1"/>
    <col min="12" max="12" width="40.125" style="17" customWidth="1"/>
    <col min="13" max="16" width="8.625" style="17" customWidth="1"/>
    <col min="17" max="17" width="39.125" style="17" customWidth="1"/>
    <col min="18" max="21" width="8.625" style="17" customWidth="1"/>
    <col min="22" max="22" width="3.75" style="17" customWidth="1"/>
    <col min="23" max="23" width="29.25" style="17" customWidth="1"/>
    <col min="24" max="24" width="12.75" style="17" customWidth="1"/>
    <col min="25" max="25" width="16.25" style="17" hidden="1" customWidth="1"/>
    <col min="26" max="26" width="13.25" style="17" hidden="1" customWidth="1"/>
    <col min="27" max="27" width="18.625" style="17" hidden="1" customWidth="1"/>
    <col min="28" max="28" width="36.625" style="17" hidden="1" customWidth="1"/>
    <col min="29" max="29" width="16.25" style="17" hidden="1" customWidth="1"/>
    <col min="30" max="30" width="9" style="17" hidden="1" customWidth="1"/>
    <col min="31" max="31" width="10" style="17" hidden="1" customWidth="1"/>
    <col min="32" max="32" width="14.75" style="17" hidden="1" customWidth="1"/>
    <col min="33" max="33" width="23.625" style="17" hidden="1" customWidth="1"/>
    <col min="34" max="34" width="20" style="17" hidden="1" customWidth="1"/>
    <col min="35" max="35" width="20.125" style="17" hidden="1" customWidth="1"/>
    <col min="36" max="36" width="15.75" style="17" hidden="1" customWidth="1"/>
    <col min="37" max="37" width="19.125" style="17" hidden="1" customWidth="1"/>
    <col min="38" max="38" width="23.875" style="17" hidden="1" customWidth="1"/>
    <col min="39" max="47" width="24.375" style="17" hidden="1" customWidth="1"/>
    <col min="48" max="16384" width="9.125" style="17" hidden="1"/>
  </cols>
  <sheetData>
    <row r="1" spans="1:32">
      <c r="A1" s="1"/>
      <c r="B1" s="1"/>
      <c r="C1" s="1"/>
      <c r="D1" s="1"/>
      <c r="E1" s="1"/>
      <c r="F1" s="1"/>
      <c r="G1" s="1"/>
      <c r="H1" s="1"/>
      <c r="I1" s="1"/>
      <c r="J1" s="1"/>
      <c r="K1" s="514"/>
      <c r="L1" s="513"/>
      <c r="M1" s="513"/>
      <c r="N1" s="513"/>
      <c r="O1" s="513"/>
      <c r="P1" s="513"/>
      <c r="Q1" s="513"/>
      <c r="R1" s="513"/>
      <c r="S1" s="513"/>
      <c r="T1" s="513"/>
      <c r="U1" s="513"/>
      <c r="V1" s="514"/>
      <c r="W1" s="1"/>
      <c r="X1" s="1"/>
    </row>
    <row r="2" spans="1:32" ht="27.75" customHeight="1" thickBot="1">
      <c r="A2" s="1"/>
      <c r="B2" s="38"/>
      <c r="C2" s="38"/>
      <c r="D2" s="38"/>
      <c r="E2" s="38"/>
      <c r="F2" s="38"/>
      <c r="G2" s="38"/>
      <c r="H2" s="38"/>
      <c r="I2" s="38"/>
      <c r="J2" s="38"/>
      <c r="K2" s="513"/>
      <c r="L2" s="512" t="s">
        <v>191</v>
      </c>
      <c r="M2" s="964" t="s">
        <v>119</v>
      </c>
      <c r="N2" s="964"/>
      <c r="O2" s="964" t="s">
        <v>120</v>
      </c>
      <c r="P2" s="964"/>
      <c r="Q2" s="511" t="s">
        <v>191</v>
      </c>
      <c r="R2" s="964" t="s">
        <v>119</v>
      </c>
      <c r="S2" s="964"/>
      <c r="T2" s="964" t="s">
        <v>120</v>
      </c>
      <c r="U2" s="964"/>
      <c r="V2" s="513"/>
      <c r="W2" s="38"/>
      <c r="X2" s="1"/>
      <c r="AC2" s="733"/>
    </row>
    <row r="3" spans="1:32" ht="30" customHeight="1" thickTop="1" thickBot="1">
      <c r="A3" s="1"/>
      <c r="B3" s="38"/>
      <c r="C3" s="38"/>
      <c r="D3" s="39"/>
      <c r="E3" s="38"/>
      <c r="F3" s="38"/>
      <c r="G3" s="38"/>
      <c r="H3" s="38"/>
      <c r="I3" s="38"/>
      <c r="J3" s="38"/>
      <c r="K3" s="513"/>
      <c r="L3" s="75" t="s">
        <v>118</v>
      </c>
      <c r="M3" s="66" t="s">
        <v>112</v>
      </c>
      <c r="N3" s="66" t="s">
        <v>113</v>
      </c>
      <c r="O3" s="66" t="s">
        <v>112</v>
      </c>
      <c r="P3" s="66" t="s">
        <v>113</v>
      </c>
      <c r="Q3" s="65" t="s">
        <v>251</v>
      </c>
      <c r="R3" s="60" t="s">
        <v>112</v>
      </c>
      <c r="S3" s="60" t="s">
        <v>113</v>
      </c>
      <c r="T3" s="60" t="s">
        <v>112</v>
      </c>
      <c r="U3" s="60" t="s">
        <v>113</v>
      </c>
      <c r="V3" s="513"/>
      <c r="W3" s="38"/>
      <c r="X3" s="1"/>
    </row>
    <row r="4" spans="1:32" ht="21.75" thickTop="1" thickBot="1">
      <c r="A4" s="13"/>
      <c r="B4" s="40"/>
      <c r="C4" s="40"/>
      <c r="D4" s="42"/>
      <c r="E4" s="42"/>
      <c r="F4" s="42"/>
      <c r="G4" s="969" t="str">
        <f>IF($D$11="Hindi","विषय","Subject")</f>
        <v>विषय</v>
      </c>
      <c r="H4" s="969" t="str">
        <f>IF($D$11="Hindi","विषयाध्यापक का नाम","Subject Teacher's Name")</f>
        <v>विषयाध्यापक का नाम</v>
      </c>
      <c r="I4" s="38"/>
      <c r="J4" s="38"/>
      <c r="K4" s="513"/>
      <c r="L4" s="63" t="s">
        <v>9</v>
      </c>
      <c r="M4" s="62">
        <v>70</v>
      </c>
      <c r="N4" s="62">
        <v>0</v>
      </c>
      <c r="O4" s="62">
        <v>100</v>
      </c>
      <c r="P4" s="62">
        <v>0</v>
      </c>
      <c r="Q4" s="61" t="s">
        <v>10</v>
      </c>
      <c r="R4" s="62">
        <v>50</v>
      </c>
      <c r="S4" s="62">
        <v>20</v>
      </c>
      <c r="T4" s="62">
        <v>70</v>
      </c>
      <c r="U4" s="62">
        <v>30</v>
      </c>
      <c r="V4" s="513"/>
      <c r="W4" s="38"/>
      <c r="X4" s="1"/>
      <c r="AA4" s="17">
        <f>IF(ISNUMBER(SEARCH($AC$2,AB4)),MAX($AA$3:AA3)+1,0)</f>
        <v>1</v>
      </c>
      <c r="AB4" s="17" t="str">
        <f>IF(L4="","",L4)</f>
        <v>ACCOUNTANCY</v>
      </c>
      <c r="AC4" s="17" t="str">
        <f>IFERROR(VLOOKUP(ROWS($AB$4:AB4),$AA$4:$AB$66,2,0),"")</f>
        <v>ACCOUNTANCY</v>
      </c>
      <c r="AF4" s="17" t="str">
        <f ca="1">OFFSET($AC$4,,,COUNTIF($AC$4:AC66,"?*"))</f>
        <v>ACCOUNTANCY</v>
      </c>
    </row>
    <row r="5" spans="1:32" ht="25.5" customHeight="1" thickTop="1" thickBot="1">
      <c r="A5" s="14"/>
      <c r="B5" s="483"/>
      <c r="C5" s="484"/>
      <c r="D5" s="485"/>
      <c r="E5" s="485"/>
      <c r="F5" s="42"/>
      <c r="G5" s="969"/>
      <c r="H5" s="969"/>
      <c r="I5" s="38"/>
      <c r="J5" s="38"/>
      <c r="K5" s="513"/>
      <c r="L5" s="63" t="s">
        <v>12</v>
      </c>
      <c r="M5" s="62">
        <v>70</v>
      </c>
      <c r="N5" s="62">
        <v>0</v>
      </c>
      <c r="O5" s="62">
        <v>100</v>
      </c>
      <c r="P5" s="62">
        <v>0</v>
      </c>
      <c r="Q5" s="61" t="s">
        <v>114</v>
      </c>
      <c r="R5" s="62">
        <v>50</v>
      </c>
      <c r="S5" s="62">
        <v>20</v>
      </c>
      <c r="T5" s="62">
        <v>70</v>
      </c>
      <c r="U5" s="62">
        <v>30</v>
      </c>
      <c r="V5" s="513"/>
      <c r="W5" s="38"/>
      <c r="X5" s="1"/>
      <c r="AA5" s="17">
        <f>IF(ISNUMBER(SEARCH($AC$2,AB5)),MAX($AA$3:AA4)+1,0)</f>
        <v>2</v>
      </c>
      <c r="AB5" s="17" t="str">
        <f t="shared" ref="AB5:AB24" si="0">IF(L5="","",L5)</f>
        <v>BUSINESS STUDIES</v>
      </c>
      <c r="AC5" s="17" t="str">
        <f>IFERROR(VLOOKUP(ROWS($AB$4:AB5),$AA$4:$AB$66,2,0),"")</f>
        <v>BUSINESS STUDIES</v>
      </c>
    </row>
    <row r="6" spans="1:32" ht="24.95" customHeight="1" thickTop="1" thickBot="1">
      <c r="A6" s="15"/>
      <c r="B6" s="483"/>
      <c r="C6" s="486" t="s">
        <v>239</v>
      </c>
      <c r="D6" s="487" t="s">
        <v>244</v>
      </c>
      <c r="E6" s="485"/>
      <c r="F6" s="507">
        <v>1</v>
      </c>
      <c r="G6" s="790" t="s">
        <v>296</v>
      </c>
      <c r="H6" s="508" t="s">
        <v>186</v>
      </c>
      <c r="I6" s="38"/>
      <c r="J6" s="38"/>
      <c r="K6" s="513"/>
      <c r="L6" s="63" t="s">
        <v>16</v>
      </c>
      <c r="M6" s="62">
        <v>70</v>
      </c>
      <c r="N6" s="62">
        <v>0</v>
      </c>
      <c r="O6" s="62">
        <v>100</v>
      </c>
      <c r="P6" s="62">
        <v>0</v>
      </c>
      <c r="Q6" s="61" t="s">
        <v>115</v>
      </c>
      <c r="R6" s="62">
        <v>50</v>
      </c>
      <c r="S6" s="62">
        <v>20</v>
      </c>
      <c r="T6" s="62">
        <v>70</v>
      </c>
      <c r="U6" s="62">
        <v>30</v>
      </c>
      <c r="V6" s="513"/>
      <c r="W6" s="38"/>
      <c r="X6" s="1"/>
      <c r="AA6" s="17">
        <f>IF(ISNUMBER(SEARCH($AC$2,AB6)),MAX($AA$3:AA5)+1,0)</f>
        <v>3</v>
      </c>
      <c r="AB6" s="17" t="str">
        <f t="shared" si="0"/>
        <v>ECONOMICS</v>
      </c>
      <c r="AC6" s="17" t="str">
        <f>IFERROR(VLOOKUP(ROWS($AB$4:AB6),$AA$4:$AB$66,2,0),"")</f>
        <v>ECONOMICS</v>
      </c>
    </row>
    <row r="7" spans="1:32" ht="24.95" customHeight="1" thickTop="1" thickBot="1">
      <c r="A7" s="1"/>
      <c r="B7" s="483"/>
      <c r="C7" s="488" t="s">
        <v>240</v>
      </c>
      <c r="D7" s="489" t="s">
        <v>245</v>
      </c>
      <c r="E7" s="485"/>
      <c r="F7" s="507">
        <v>2</v>
      </c>
      <c r="G7" s="791" t="s">
        <v>297</v>
      </c>
      <c r="H7" s="509" t="s">
        <v>190</v>
      </c>
      <c r="I7" s="38"/>
      <c r="J7" s="38"/>
      <c r="K7" s="513"/>
      <c r="L7" s="63" t="s">
        <v>17</v>
      </c>
      <c r="M7" s="62">
        <v>70</v>
      </c>
      <c r="N7" s="62">
        <v>0</v>
      </c>
      <c r="O7" s="62">
        <v>100</v>
      </c>
      <c r="P7" s="62">
        <v>0</v>
      </c>
      <c r="Q7" s="61" t="s">
        <v>11</v>
      </c>
      <c r="R7" s="62">
        <v>50</v>
      </c>
      <c r="S7" s="62">
        <v>20</v>
      </c>
      <c r="T7" s="62">
        <v>70</v>
      </c>
      <c r="U7" s="62">
        <v>30</v>
      </c>
      <c r="V7" s="513"/>
      <c r="W7" s="38"/>
      <c r="X7" s="1"/>
      <c r="AA7" s="17">
        <f>IF(ISNUMBER(SEARCH($AC$2,AB7)),MAX($AA$3:AA6)+1,0)</f>
        <v>4</v>
      </c>
      <c r="AB7" s="17" t="str">
        <f t="shared" si="0"/>
        <v>ENGLISH LITERATURE</v>
      </c>
      <c r="AC7" s="17" t="str">
        <f>IFERROR(VLOOKUP(ROWS($AB$4:AB7),$AA$4:$AB$66,2,0),"")</f>
        <v>ENGLISH LITERATURE</v>
      </c>
    </row>
    <row r="8" spans="1:32" ht="24.95" customHeight="1" thickTop="1" thickBot="1">
      <c r="A8" s="1"/>
      <c r="B8" s="483"/>
      <c r="C8" s="488" t="s">
        <v>241</v>
      </c>
      <c r="D8" s="490" t="s">
        <v>246</v>
      </c>
      <c r="E8" s="485"/>
      <c r="F8" s="507">
        <v>3</v>
      </c>
      <c r="G8" s="499" t="s">
        <v>30</v>
      </c>
      <c r="H8" s="509" t="s">
        <v>190</v>
      </c>
      <c r="I8" s="38"/>
      <c r="J8" s="38"/>
      <c r="K8" s="513"/>
      <c r="L8" s="63" t="s">
        <v>116</v>
      </c>
      <c r="M8" s="62">
        <v>70</v>
      </c>
      <c r="N8" s="62">
        <v>0</v>
      </c>
      <c r="O8" s="62">
        <v>100</v>
      </c>
      <c r="P8" s="62">
        <v>0</v>
      </c>
      <c r="Q8" s="61" t="s">
        <v>13</v>
      </c>
      <c r="R8" s="62">
        <v>50</v>
      </c>
      <c r="S8" s="62">
        <v>20</v>
      </c>
      <c r="T8" s="62">
        <v>70</v>
      </c>
      <c r="U8" s="62">
        <v>30</v>
      </c>
      <c r="V8" s="513"/>
      <c r="W8" s="38"/>
      <c r="X8" s="1"/>
      <c r="AA8" s="17">
        <f>IF(ISNUMBER(SEARCH($AC$2,AB8)),MAX($AA$3:AA7)+1,0)</f>
        <v>5</v>
      </c>
      <c r="AB8" s="17" t="str">
        <f t="shared" si="0"/>
        <v>ENVIRONMENTAL STUDIES</v>
      </c>
      <c r="AC8" s="17" t="str">
        <f>IFERROR(VLOOKUP(ROWS($AB$4:AB8),$AA$4:$AB$66,2,0),"")</f>
        <v>ENVIRONMENTAL STUDIES</v>
      </c>
    </row>
    <row r="9" spans="1:32" ht="24.95" customHeight="1" thickTop="1" thickBot="1">
      <c r="A9" s="1"/>
      <c r="B9" s="483"/>
      <c r="C9" s="488" t="s">
        <v>175</v>
      </c>
      <c r="D9" s="491" t="s">
        <v>182</v>
      </c>
      <c r="E9" s="485"/>
      <c r="F9" s="507">
        <v>4</v>
      </c>
      <c r="G9" s="500" t="s">
        <v>23</v>
      </c>
      <c r="H9" s="509" t="s">
        <v>185</v>
      </c>
      <c r="I9" s="38"/>
      <c r="J9" s="38"/>
      <c r="K9" s="513"/>
      <c r="L9" s="63" t="s">
        <v>18</v>
      </c>
      <c r="M9" s="62">
        <v>70</v>
      </c>
      <c r="N9" s="62">
        <v>0</v>
      </c>
      <c r="O9" s="62">
        <v>100</v>
      </c>
      <c r="P9" s="62">
        <v>0</v>
      </c>
      <c r="Q9" s="61" t="s">
        <v>14</v>
      </c>
      <c r="R9" s="62">
        <v>50</v>
      </c>
      <c r="S9" s="62">
        <v>20</v>
      </c>
      <c r="T9" s="62">
        <v>70</v>
      </c>
      <c r="U9" s="62">
        <v>30</v>
      </c>
      <c r="V9" s="513"/>
      <c r="W9" s="38"/>
      <c r="X9" s="1"/>
      <c r="AA9" s="17">
        <f>IF(ISNUMBER(SEARCH($AC$2,AB9)),MAX($AA$3:AA8)+1,0)</f>
        <v>6</v>
      </c>
      <c r="AB9" s="17" t="str">
        <f t="shared" si="0"/>
        <v>FARSI LITERATURE</v>
      </c>
      <c r="AC9" s="17" t="str">
        <f>IFERROR(VLOOKUP(ROWS($AB$4:AB9),$AA$4:$AB$66,2,0),"")</f>
        <v>FARSI LITERATURE</v>
      </c>
    </row>
    <row r="10" spans="1:32" ht="24.95" customHeight="1" thickTop="1" thickBot="1">
      <c r="A10" s="1"/>
      <c r="B10" s="483"/>
      <c r="C10" s="488" t="s">
        <v>176</v>
      </c>
      <c r="D10" s="492">
        <v>45419</v>
      </c>
      <c r="E10" s="485"/>
      <c r="F10" s="507">
        <v>5</v>
      </c>
      <c r="G10" s="500" t="s">
        <v>20</v>
      </c>
      <c r="H10" s="509" t="s">
        <v>187</v>
      </c>
      <c r="I10" s="38"/>
      <c r="J10" s="38"/>
      <c r="K10" s="513"/>
      <c r="L10" s="63" t="s">
        <v>21</v>
      </c>
      <c r="M10" s="62">
        <v>70</v>
      </c>
      <c r="N10" s="62">
        <v>0</v>
      </c>
      <c r="O10" s="62">
        <v>100</v>
      </c>
      <c r="P10" s="62">
        <v>0</v>
      </c>
      <c r="Q10" s="61" t="s">
        <v>19</v>
      </c>
      <c r="R10" s="62">
        <v>50</v>
      </c>
      <c r="S10" s="62">
        <v>20</v>
      </c>
      <c r="T10" s="62">
        <v>70</v>
      </c>
      <c r="U10" s="62">
        <v>30</v>
      </c>
      <c r="V10" s="513"/>
      <c r="W10" s="84" t="s">
        <v>192</v>
      </c>
      <c r="X10" s="1"/>
      <c r="AA10" s="17">
        <f>IF(ISNUMBER(SEARCH($AC$2,AB10)),MAX($AA$3:AA9)+1,0)</f>
        <v>7</v>
      </c>
      <c r="AB10" s="17" t="str">
        <f t="shared" si="0"/>
        <v>GUJRATI LITERATURE</v>
      </c>
      <c r="AC10" s="17" t="str">
        <f>IFERROR(VLOOKUP(ROWS($AB$4:AB10),$AA$4:$AB$66,2,0),"")</f>
        <v>GUJRATI LITERATURE</v>
      </c>
    </row>
    <row r="11" spans="1:32" ht="24.95" customHeight="1" thickTop="1" thickBot="1">
      <c r="A11" s="1"/>
      <c r="B11" s="483"/>
      <c r="C11" s="493" t="s">
        <v>177</v>
      </c>
      <c r="D11" s="494" t="s">
        <v>295</v>
      </c>
      <c r="E11" s="485"/>
      <c r="F11" s="507">
        <v>6</v>
      </c>
      <c r="G11" s="500" t="s">
        <v>27</v>
      </c>
      <c r="H11" s="509" t="s">
        <v>188</v>
      </c>
      <c r="I11" s="38"/>
      <c r="J11" s="38"/>
      <c r="K11" s="513"/>
      <c r="L11" s="63" t="s">
        <v>22</v>
      </c>
      <c r="M11" s="62">
        <v>70</v>
      </c>
      <c r="N11" s="62">
        <v>0</v>
      </c>
      <c r="O11" s="62">
        <v>100</v>
      </c>
      <c r="P11" s="62">
        <v>0</v>
      </c>
      <c r="Q11" s="61" t="s">
        <v>20</v>
      </c>
      <c r="R11" s="62">
        <v>50</v>
      </c>
      <c r="S11" s="62">
        <v>20</v>
      </c>
      <c r="T11" s="62">
        <v>70</v>
      </c>
      <c r="U11" s="62">
        <v>30</v>
      </c>
      <c r="V11" s="513"/>
      <c r="W11" s="38"/>
      <c r="X11" s="1"/>
      <c r="AA11" s="17">
        <f>IF(ISNUMBER(SEARCH($AC$2,AB11)),MAX($AA$3:AA10)+1,0)</f>
        <v>8</v>
      </c>
      <c r="AB11" s="17" t="str">
        <f t="shared" si="0"/>
        <v>HINDI LITERATURE</v>
      </c>
      <c r="AC11" s="17" t="str">
        <f>IFERROR(VLOOKUP(ROWS($AB$4:AB11),$AA$4:$AB$66,2,0),"")</f>
        <v>HINDI LITERATURE</v>
      </c>
    </row>
    <row r="12" spans="1:32" ht="24.95" customHeight="1" thickTop="1" thickBot="1">
      <c r="A12" s="1"/>
      <c r="B12" s="483"/>
      <c r="C12" s="488" t="s">
        <v>178</v>
      </c>
      <c r="D12" s="491" t="s">
        <v>183</v>
      </c>
      <c r="E12" s="485"/>
      <c r="F12" s="507">
        <v>7</v>
      </c>
      <c r="G12" s="500" t="s">
        <v>22</v>
      </c>
      <c r="H12" s="509"/>
      <c r="I12" s="38"/>
      <c r="J12" s="38"/>
      <c r="K12" s="513"/>
      <c r="L12" s="63" t="s">
        <v>23</v>
      </c>
      <c r="M12" s="62">
        <v>70</v>
      </c>
      <c r="N12" s="62">
        <v>0</v>
      </c>
      <c r="O12" s="62">
        <v>100</v>
      </c>
      <c r="P12" s="62">
        <v>0</v>
      </c>
      <c r="Q12" s="61" t="s">
        <v>24</v>
      </c>
      <c r="R12" s="62">
        <v>50</v>
      </c>
      <c r="S12" s="62">
        <v>20</v>
      </c>
      <c r="T12" s="62">
        <v>70</v>
      </c>
      <c r="U12" s="62">
        <v>30</v>
      </c>
      <c r="V12" s="513"/>
      <c r="W12" s="38"/>
      <c r="X12" s="1"/>
      <c r="AA12" s="17">
        <f>IF(ISNUMBER(SEARCH($AC$2,AB12)),MAX($AA$3:AA11)+1,0)</f>
        <v>9</v>
      </c>
      <c r="AB12" s="17" t="str">
        <f t="shared" si="0"/>
        <v>HISTORY</v>
      </c>
      <c r="AC12" s="17" t="str">
        <f>IFERROR(VLOOKUP(ROWS($AB$4:AB12),$AA$4:$AB$66,2,0),"")</f>
        <v>HISTORY</v>
      </c>
    </row>
    <row r="13" spans="1:32" ht="24.95" customHeight="1" thickTop="1" thickBot="1">
      <c r="A13" s="1"/>
      <c r="B13" s="483"/>
      <c r="C13" s="488" t="s">
        <v>181</v>
      </c>
      <c r="D13" s="491">
        <v>9828765219</v>
      </c>
      <c r="E13" s="485"/>
      <c r="F13" s="507">
        <v>8</v>
      </c>
      <c r="G13" s="500" t="s">
        <v>286</v>
      </c>
      <c r="H13" s="509"/>
      <c r="I13" s="38"/>
      <c r="J13" s="38"/>
      <c r="K13" s="513"/>
      <c r="L13" s="63" t="s">
        <v>1</v>
      </c>
      <c r="M13" s="62">
        <v>70</v>
      </c>
      <c r="N13" s="62">
        <v>0</v>
      </c>
      <c r="O13" s="62">
        <v>100</v>
      </c>
      <c r="P13" s="62">
        <v>0</v>
      </c>
      <c r="Q13" s="61" t="s">
        <v>25</v>
      </c>
      <c r="R13" s="62">
        <v>50</v>
      </c>
      <c r="S13" s="62">
        <v>20</v>
      </c>
      <c r="T13" s="62">
        <v>70</v>
      </c>
      <c r="U13" s="62">
        <v>30</v>
      </c>
      <c r="V13" s="513"/>
      <c r="W13" s="38"/>
      <c r="X13" s="1"/>
      <c r="AA13" s="17">
        <f>IF(ISNUMBER(SEARCH($AC$2,AB13)),MAX($AA$3:AA12)+1,0)</f>
        <v>10</v>
      </c>
      <c r="AB13" s="17" t="str">
        <f t="shared" si="0"/>
        <v>MATHEMATICS</v>
      </c>
      <c r="AC13" s="17" t="str">
        <f>IFERROR(VLOOKUP(ROWS($AB$4:AB13),$AA$4:$AB$66,2,0),"")</f>
        <v>MATHEMATICS</v>
      </c>
    </row>
    <row r="14" spans="1:32" ht="24.95" customHeight="1" thickTop="1" thickBot="1">
      <c r="A14" s="1"/>
      <c r="B14" s="483"/>
      <c r="C14" s="488" t="s">
        <v>179</v>
      </c>
      <c r="D14" s="491" t="s">
        <v>190</v>
      </c>
      <c r="E14" s="485"/>
      <c r="F14" s="507">
        <v>9</v>
      </c>
      <c r="G14" s="500"/>
      <c r="H14" s="509"/>
      <c r="I14" s="38"/>
      <c r="J14" s="38"/>
      <c r="K14" s="513"/>
      <c r="L14" s="63" t="s">
        <v>28</v>
      </c>
      <c r="M14" s="62">
        <v>70</v>
      </c>
      <c r="N14" s="62">
        <v>0</v>
      </c>
      <c r="O14" s="62">
        <v>100</v>
      </c>
      <c r="P14" s="62">
        <v>0</v>
      </c>
      <c r="Q14" s="67" t="s">
        <v>121</v>
      </c>
      <c r="R14" s="62">
        <v>50</v>
      </c>
      <c r="S14" s="62">
        <v>20</v>
      </c>
      <c r="T14" s="62">
        <v>70</v>
      </c>
      <c r="U14" s="62">
        <v>30</v>
      </c>
      <c r="V14" s="513"/>
      <c r="W14" s="38"/>
      <c r="X14" s="1"/>
      <c r="AA14" s="17">
        <f>IF(ISNUMBER(SEARCH($AC$2,AB14)),MAX($AA$3:AA13)+1,0)</f>
        <v>11</v>
      </c>
      <c r="AB14" s="17" t="str">
        <f t="shared" si="0"/>
        <v>PHILOSOPHY</v>
      </c>
      <c r="AC14" s="17" t="str">
        <f>IFERROR(VLOOKUP(ROWS($AB$4:AB14),$AA$4:$AB$66,2,0),"")</f>
        <v>PHILOSOPHY</v>
      </c>
    </row>
    <row r="15" spans="1:32" ht="24.95" customHeight="1" thickTop="1" thickBot="1">
      <c r="A15" s="1"/>
      <c r="B15" s="483"/>
      <c r="C15" s="488" t="s">
        <v>180</v>
      </c>
      <c r="D15" s="491" t="s">
        <v>185</v>
      </c>
      <c r="E15" s="485"/>
      <c r="F15" s="507">
        <v>10</v>
      </c>
      <c r="G15" s="500"/>
      <c r="H15" s="509"/>
      <c r="I15" s="38"/>
      <c r="J15" s="38"/>
      <c r="K15" s="513"/>
      <c r="L15" s="64" t="s">
        <v>117</v>
      </c>
      <c r="M15" s="62">
        <v>70</v>
      </c>
      <c r="N15" s="62">
        <v>0</v>
      </c>
      <c r="O15" s="62">
        <v>100</v>
      </c>
      <c r="P15" s="62">
        <v>0</v>
      </c>
      <c r="Q15" s="61" t="s">
        <v>26</v>
      </c>
      <c r="R15" s="62">
        <v>50</v>
      </c>
      <c r="S15" s="62">
        <v>20</v>
      </c>
      <c r="T15" s="62">
        <v>70</v>
      </c>
      <c r="U15" s="62">
        <v>30</v>
      </c>
      <c r="V15" s="513"/>
      <c r="W15" s="38"/>
      <c r="X15" s="1"/>
      <c r="AA15" s="17">
        <f>IF(ISNUMBER(SEARCH($AC$2,AB15)),MAX($AA$3:AA14)+1,0)</f>
        <v>12</v>
      </c>
      <c r="AB15" s="17" t="str">
        <f t="shared" si="0"/>
        <v>PHYSICAL EDUCATION</v>
      </c>
      <c r="AC15" s="17" t="str">
        <f>IFERROR(VLOOKUP(ROWS($AB$4:AB15),$AA$4:$AB$66,2,0),"")</f>
        <v>PHYSICAL EDUCATION</v>
      </c>
    </row>
    <row r="16" spans="1:32" ht="24.95" customHeight="1" thickTop="1" thickBot="1">
      <c r="A16" s="1"/>
      <c r="B16" s="483"/>
      <c r="C16" s="488" t="s">
        <v>242</v>
      </c>
      <c r="D16" s="491" t="s">
        <v>184</v>
      </c>
      <c r="E16" s="485"/>
      <c r="F16" s="507">
        <v>11</v>
      </c>
      <c r="G16" s="500"/>
      <c r="H16" s="509"/>
      <c r="I16" s="38"/>
      <c r="J16" s="38"/>
      <c r="K16" s="513"/>
      <c r="L16" s="63" t="s">
        <v>30</v>
      </c>
      <c r="M16" s="62">
        <v>70</v>
      </c>
      <c r="N16" s="62">
        <v>0</v>
      </c>
      <c r="O16" s="62">
        <v>100</v>
      </c>
      <c r="P16" s="62">
        <v>0</v>
      </c>
      <c r="Q16" s="61" t="s">
        <v>29</v>
      </c>
      <c r="R16" s="62">
        <v>50</v>
      </c>
      <c r="S16" s="62">
        <v>20</v>
      </c>
      <c r="T16" s="62">
        <v>70</v>
      </c>
      <c r="U16" s="62">
        <v>30</v>
      </c>
      <c r="V16" s="513"/>
      <c r="W16" s="38"/>
      <c r="X16" s="1"/>
      <c r="AA16" s="17">
        <f>IF(ISNUMBER(SEARCH($AC$2,AB16)),MAX($AA$3:AA15)+1,0)</f>
        <v>13</v>
      </c>
      <c r="AB16" s="17" t="str">
        <f t="shared" si="0"/>
        <v>POLITICAL SCIENCE</v>
      </c>
      <c r="AC16" s="17" t="str">
        <f>IFERROR(VLOOKUP(ROWS($AB$4:AB16),$AA$4:$AB$66,2,0),"")</f>
        <v>POLITICAL SCIENCE</v>
      </c>
    </row>
    <row r="17" spans="1:29" ht="24.95" customHeight="1" thickTop="1" thickBot="1">
      <c r="A17" s="1"/>
      <c r="B17" s="483"/>
      <c r="C17" s="488" t="s">
        <v>294</v>
      </c>
      <c r="D17" s="495" t="s">
        <v>247</v>
      </c>
      <c r="E17" s="485"/>
      <c r="F17" s="507">
        <v>12</v>
      </c>
      <c r="G17" s="500"/>
      <c r="H17" s="509"/>
      <c r="I17" s="38"/>
      <c r="J17" s="38"/>
      <c r="K17" s="513"/>
      <c r="L17" s="63" t="s">
        <v>31</v>
      </c>
      <c r="M17" s="62">
        <v>70</v>
      </c>
      <c r="N17" s="62">
        <v>0</v>
      </c>
      <c r="O17" s="62">
        <v>100</v>
      </c>
      <c r="P17" s="62">
        <v>0</v>
      </c>
      <c r="Q17" s="61" t="s">
        <v>32</v>
      </c>
      <c r="R17" s="62">
        <v>50</v>
      </c>
      <c r="S17" s="62">
        <v>20</v>
      </c>
      <c r="T17" s="62">
        <v>70</v>
      </c>
      <c r="U17" s="62">
        <v>30</v>
      </c>
      <c r="V17" s="513"/>
      <c r="W17" s="38"/>
      <c r="X17" s="1"/>
      <c r="AA17" s="17">
        <f>IF(ISNUMBER(SEARCH($AC$2,AB17)),MAX($AA$3:AA16)+1,0)</f>
        <v>14</v>
      </c>
      <c r="AB17" s="17" t="str">
        <f t="shared" si="0"/>
        <v>PRAKRIT LITERATURE</v>
      </c>
      <c r="AC17" s="17" t="str">
        <f>IFERROR(VLOOKUP(ROWS($AB$4:AB17),$AA$4:$AB$66,2,0),"")</f>
        <v>PRAKRIT LITERATURE</v>
      </c>
    </row>
    <row r="18" spans="1:29" ht="24.95" customHeight="1" thickTop="1" thickBot="1">
      <c r="A18" s="1"/>
      <c r="B18" s="483"/>
      <c r="C18" s="488" t="s">
        <v>226</v>
      </c>
      <c r="D18" s="496">
        <v>45427</v>
      </c>
      <c r="E18" s="485"/>
      <c r="F18" s="507">
        <v>13</v>
      </c>
      <c r="G18" s="500"/>
      <c r="H18" s="509"/>
      <c r="I18" s="38"/>
      <c r="J18" s="38"/>
      <c r="K18" s="513"/>
      <c r="L18" s="63" t="s">
        <v>33</v>
      </c>
      <c r="M18" s="62">
        <v>70</v>
      </c>
      <c r="N18" s="62">
        <v>0</v>
      </c>
      <c r="O18" s="62">
        <v>100</v>
      </c>
      <c r="P18" s="62">
        <v>0</v>
      </c>
      <c r="Q18" s="511" t="s">
        <v>253</v>
      </c>
      <c r="R18" s="964" t="s">
        <v>119</v>
      </c>
      <c r="S18" s="964"/>
      <c r="T18" s="964" t="s">
        <v>120</v>
      </c>
      <c r="U18" s="964"/>
      <c r="V18" s="513"/>
      <c r="W18" s="38"/>
      <c r="X18" s="1"/>
      <c r="AA18" s="17">
        <f>IF(ISNUMBER(SEARCH($AC$2,AB18)),MAX($AA$3:AA17)+1,0)</f>
        <v>15</v>
      </c>
      <c r="AB18" s="17" t="str">
        <f t="shared" si="0"/>
        <v>PUBLIC ADMINISTRATION</v>
      </c>
      <c r="AC18" s="17" t="str">
        <f>IFERROR(VLOOKUP(ROWS($AB$4:AB18),$AA$4:$AB$66,2,0),"")</f>
        <v>PUBLIC ADMINISTRATION</v>
      </c>
    </row>
    <row r="19" spans="1:29" ht="24.95" customHeight="1" thickTop="1" thickBot="1">
      <c r="A19" s="1"/>
      <c r="B19" s="483"/>
      <c r="C19" s="497" t="s">
        <v>243</v>
      </c>
      <c r="D19" s="498" t="s">
        <v>230</v>
      </c>
      <c r="E19" s="485"/>
      <c r="F19" s="507">
        <v>14</v>
      </c>
      <c r="G19" s="501"/>
      <c r="H19" s="509"/>
      <c r="I19" s="38"/>
      <c r="J19" s="38"/>
      <c r="K19" s="513"/>
      <c r="L19" s="63" t="s">
        <v>34</v>
      </c>
      <c r="M19" s="62">
        <v>70</v>
      </c>
      <c r="N19" s="62">
        <v>0</v>
      </c>
      <c r="O19" s="62">
        <v>100</v>
      </c>
      <c r="P19" s="62">
        <v>0</v>
      </c>
      <c r="Q19" s="65" t="s">
        <v>254</v>
      </c>
      <c r="R19" s="60" t="s">
        <v>112</v>
      </c>
      <c r="S19" s="60" t="s">
        <v>113</v>
      </c>
      <c r="T19" s="60" t="s">
        <v>112</v>
      </c>
      <c r="U19" s="60" t="s">
        <v>113</v>
      </c>
      <c r="V19" s="513"/>
      <c r="W19" s="38"/>
      <c r="X19" s="1"/>
      <c r="AA19" s="17">
        <f>IF(ISNUMBER(SEARCH($AC$2,AB19)),MAX($AA$3:AA18)+1,0)</f>
        <v>16</v>
      </c>
      <c r="AB19" s="17" t="str">
        <f t="shared" si="0"/>
        <v>PUNJABI LITERATURE</v>
      </c>
      <c r="AC19" s="17" t="str">
        <f>IFERROR(VLOOKUP(ROWS($AB$4:AB19),$AA$4:$AB$66,2,0),"")</f>
        <v>PUNJABI LITERATURE</v>
      </c>
    </row>
    <row r="20" spans="1:29" ht="24.95" customHeight="1" thickTop="1" thickBot="1">
      <c r="A20" s="1"/>
      <c r="B20" s="483"/>
      <c r="C20" s="483"/>
      <c r="D20" s="483"/>
      <c r="E20" s="483"/>
      <c r="F20" s="507">
        <v>15</v>
      </c>
      <c r="G20" s="502" t="str">
        <f>IF($D$11="Hindi","जीवन कौशल","JEEVAN KAUSHAL")</f>
        <v>जीवन कौशल</v>
      </c>
      <c r="H20" s="509" t="s">
        <v>189</v>
      </c>
      <c r="I20" s="38"/>
      <c r="J20" s="38"/>
      <c r="K20" s="513"/>
      <c r="L20" s="63" t="s">
        <v>35</v>
      </c>
      <c r="M20" s="62">
        <v>70</v>
      </c>
      <c r="N20" s="62">
        <v>0</v>
      </c>
      <c r="O20" s="62">
        <v>100</v>
      </c>
      <c r="P20" s="62">
        <v>0</v>
      </c>
      <c r="Q20" s="61" t="s">
        <v>37</v>
      </c>
      <c r="R20" s="68">
        <v>70</v>
      </c>
      <c r="S20" s="68"/>
      <c r="T20" s="62">
        <v>100</v>
      </c>
      <c r="U20" s="62"/>
      <c r="V20" s="513"/>
      <c r="W20" s="38"/>
      <c r="X20" s="1"/>
      <c r="AA20" s="17">
        <f>IF(ISNUMBER(SEARCH($AC$2,AB20)),MAX($AA$3:AA19)+1,0)</f>
        <v>17</v>
      </c>
      <c r="AB20" s="17" t="str">
        <f t="shared" si="0"/>
        <v>RAJASTHANI LITERATURE</v>
      </c>
      <c r="AC20" s="17" t="str">
        <f>IFERROR(VLOOKUP(ROWS($AB$4:AB20),$AA$4:$AB$66,2,0),"")</f>
        <v>RAJASTHANI LITERATURE</v>
      </c>
    </row>
    <row r="21" spans="1:29" ht="24.95" customHeight="1" thickTop="1" thickBot="1">
      <c r="A21" s="1"/>
      <c r="B21" s="83"/>
      <c r="C21" s="83"/>
      <c r="D21" s="83"/>
      <c r="E21" s="83"/>
      <c r="F21" s="507">
        <v>16</v>
      </c>
      <c r="G21" s="506" t="str">
        <f>IF($D$11="Hindi","आजादी के बाद का स्वर्णिम भारत ","Azadi ke Baad ka Swarnim Bharat")</f>
        <v xml:space="preserve">आजादी के बाद का स्वर्णिम भारत </v>
      </c>
      <c r="H21" s="510" t="s">
        <v>233</v>
      </c>
      <c r="I21" s="38"/>
      <c r="J21" s="38"/>
      <c r="K21" s="513"/>
      <c r="L21" s="63" t="s">
        <v>36</v>
      </c>
      <c r="M21" s="62">
        <v>70</v>
      </c>
      <c r="N21" s="62">
        <v>0</v>
      </c>
      <c r="O21" s="62">
        <v>100</v>
      </c>
      <c r="P21" s="62">
        <v>0</v>
      </c>
      <c r="Q21" s="61" t="s">
        <v>38</v>
      </c>
      <c r="R21" s="68">
        <v>70</v>
      </c>
      <c r="S21" s="68"/>
      <c r="T21" s="62">
        <v>100</v>
      </c>
      <c r="U21" s="62"/>
      <c r="V21" s="513"/>
      <c r="W21" s="38"/>
      <c r="X21" s="1"/>
      <c r="AA21" s="17">
        <f>IF(ISNUMBER(SEARCH($AC$2,AB21)),MAX($AA$3:AA20)+1,0)</f>
        <v>18</v>
      </c>
      <c r="AB21" s="17" t="str">
        <f t="shared" si="0"/>
        <v>SANSKRIT LITERATURE</v>
      </c>
      <c r="AC21" s="17" t="str">
        <f>IFERROR(VLOOKUP(ROWS($AB$4:AB21),$AA$4:$AB$66,2,0),"")</f>
        <v>SANSKRIT LITERATURE</v>
      </c>
    </row>
    <row r="22" spans="1:29" ht="21.75" thickTop="1" thickBot="1">
      <c r="A22" s="1"/>
      <c r="B22" s="83"/>
      <c r="C22" s="83"/>
      <c r="D22" s="83"/>
      <c r="E22" s="83"/>
      <c r="F22" s="38"/>
      <c r="G22" s="38"/>
      <c r="H22" s="41"/>
      <c r="I22" s="38"/>
      <c r="J22" s="38"/>
      <c r="K22" s="513"/>
      <c r="L22" s="63" t="s">
        <v>39</v>
      </c>
      <c r="M22" s="62">
        <v>70</v>
      </c>
      <c r="N22" s="62">
        <v>0</v>
      </c>
      <c r="O22" s="62">
        <v>100</v>
      </c>
      <c r="P22" s="62">
        <v>0</v>
      </c>
      <c r="Q22" s="61" t="s">
        <v>42</v>
      </c>
      <c r="R22" s="68">
        <v>70</v>
      </c>
      <c r="S22" s="68"/>
      <c r="T22" s="62">
        <v>100</v>
      </c>
      <c r="U22" s="62"/>
      <c r="V22" s="513"/>
      <c r="W22" s="38"/>
      <c r="X22" s="1"/>
      <c r="AA22" s="17">
        <f>IF(ISNUMBER(SEARCH($AC$2,AB22)),MAX($AA$3:AA21)+1,0)</f>
        <v>19</v>
      </c>
      <c r="AB22" s="17" t="str">
        <f t="shared" si="0"/>
        <v>SINDHI LITERATURE</v>
      </c>
      <c r="AC22" s="17" t="str">
        <f>IFERROR(VLOOKUP(ROWS($AB$4:AB22),$AA$4:$AB$66,2,0),"")</f>
        <v>SINDHI LITERATURE</v>
      </c>
    </row>
    <row r="23" spans="1:29" ht="21.75" thickTop="1" thickBot="1">
      <c r="A23" s="1"/>
      <c r="B23" s="83"/>
      <c r="C23" s="38"/>
      <c r="D23" s="38"/>
      <c r="E23" s="83"/>
      <c r="F23" s="38"/>
      <c r="G23" s="38"/>
      <c r="H23" s="41"/>
      <c r="I23" s="38"/>
      <c r="J23" s="38"/>
      <c r="K23" s="513"/>
      <c r="L23" s="63" t="s">
        <v>40</v>
      </c>
      <c r="M23" s="62">
        <v>70</v>
      </c>
      <c r="N23" s="62">
        <v>0</v>
      </c>
      <c r="O23" s="62">
        <v>100</v>
      </c>
      <c r="P23" s="62">
        <v>0</v>
      </c>
      <c r="Q23" s="61" t="s">
        <v>41</v>
      </c>
      <c r="R23" s="68">
        <v>70</v>
      </c>
      <c r="S23" s="68"/>
      <c r="T23" s="62">
        <v>100</v>
      </c>
      <c r="U23" s="62"/>
      <c r="V23" s="513"/>
      <c r="W23" s="38"/>
      <c r="X23" s="1"/>
      <c r="AA23" s="17">
        <f>IF(ISNUMBER(SEARCH($AC$2,AB23)),MAX($AA$3:AA22)+1,0)</f>
        <v>20</v>
      </c>
      <c r="AB23" s="17" t="str">
        <f t="shared" si="0"/>
        <v>SOCIOLOGY</v>
      </c>
      <c r="AC23" s="17" t="str">
        <f>IFERROR(VLOOKUP(ROWS($AB$4:AB23),$AA$4:$AB$66,2,0),"")</f>
        <v>SOCIOLOGY</v>
      </c>
    </row>
    <row r="24" spans="1:29" ht="21.75" thickTop="1" thickBot="1">
      <c r="A24" s="1"/>
      <c r="B24" s="83"/>
      <c r="C24" s="38"/>
      <c r="D24" s="38"/>
      <c r="E24" s="38"/>
      <c r="F24" s="38"/>
      <c r="G24" s="38"/>
      <c r="H24" s="505">
        <v>1</v>
      </c>
      <c r="I24" s="38"/>
      <c r="J24" s="38"/>
      <c r="K24" s="513"/>
      <c r="L24" s="63" t="s">
        <v>43</v>
      </c>
      <c r="M24" s="62">
        <v>70</v>
      </c>
      <c r="N24" s="62">
        <v>0</v>
      </c>
      <c r="O24" s="62">
        <v>100</v>
      </c>
      <c r="P24" s="62">
        <v>0</v>
      </c>
      <c r="Q24" s="61" t="s">
        <v>131</v>
      </c>
      <c r="R24" s="68">
        <v>70</v>
      </c>
      <c r="S24" s="68"/>
      <c r="T24" s="62">
        <v>100</v>
      </c>
      <c r="U24" s="62"/>
      <c r="V24" s="513"/>
      <c r="W24" s="38"/>
      <c r="X24" s="1"/>
      <c r="AA24" s="17">
        <f>IF(ISNUMBER(SEARCH($AC$2,AB24)),MAX($AA$3:AA23)+1,0)</f>
        <v>21</v>
      </c>
      <c r="AB24" s="17" t="str">
        <f t="shared" si="0"/>
        <v>URDU LITERATURE</v>
      </c>
      <c r="AC24" s="17" t="str">
        <f>IFERROR(VLOOKUP(ROWS($AB$4:AB24),$AA$4:$AB$66,2,0),"")</f>
        <v>URDU LITERATURE</v>
      </c>
    </row>
    <row r="25" spans="1:29" ht="62.25" customHeight="1" thickTop="1" thickBot="1">
      <c r="A25" s="1"/>
      <c r="B25" s="83"/>
      <c r="C25" s="38"/>
      <c r="D25" s="38"/>
      <c r="E25" s="38"/>
      <c r="F25" s="38"/>
      <c r="G25" s="38"/>
      <c r="H25" s="504">
        <v>1</v>
      </c>
      <c r="I25" s="503"/>
      <c r="J25" s="38"/>
      <c r="K25" s="513"/>
      <c r="L25" s="511" t="s">
        <v>191</v>
      </c>
      <c r="M25" s="964" t="s">
        <v>119</v>
      </c>
      <c r="N25" s="964"/>
      <c r="O25" s="964" t="s">
        <v>120</v>
      </c>
      <c r="P25" s="964"/>
      <c r="Q25" s="511" t="s">
        <v>255</v>
      </c>
      <c r="R25" s="967" t="s">
        <v>257</v>
      </c>
      <c r="S25" s="968"/>
      <c r="T25" s="968"/>
      <c r="U25" s="515"/>
      <c r="V25" s="513"/>
      <c r="W25" s="38"/>
      <c r="X25" s="1"/>
      <c r="AA25" s="17">
        <f>IF(ISNUMBER(SEARCH($AC$2,AB25)),MAX($AA$3:AA24)+1,0)</f>
        <v>22</v>
      </c>
      <c r="AB25" s="17" t="str">
        <f>IF(Q4="","",Q4)</f>
        <v>AGRICULTURE</v>
      </c>
      <c r="AC25" s="17" t="str">
        <f>IFERROR(VLOOKUP(ROWS($AB$4:AB25),$AA$4:$AB$66,2,0),"")</f>
        <v>AGRICULTURE</v>
      </c>
    </row>
    <row r="26" spans="1:29" ht="28.5" customHeight="1" thickTop="1" thickBot="1">
      <c r="A26" s="1"/>
      <c r="B26" s="83"/>
      <c r="C26" s="38"/>
      <c r="D26" s="38"/>
      <c r="E26" s="38"/>
      <c r="F26" s="38"/>
      <c r="G26" s="38"/>
      <c r="H26" s="38"/>
      <c r="I26" s="38"/>
      <c r="J26" s="38"/>
      <c r="K26" s="513"/>
      <c r="L26" s="65" t="s">
        <v>252</v>
      </c>
      <c r="M26" s="60" t="s">
        <v>112</v>
      </c>
      <c r="N26" s="60" t="s">
        <v>113</v>
      </c>
      <c r="O26" s="60" t="s">
        <v>112</v>
      </c>
      <c r="P26" s="60" t="s">
        <v>113</v>
      </c>
      <c r="Q26" s="65" t="s">
        <v>256</v>
      </c>
      <c r="R26" s="60" t="s">
        <v>112</v>
      </c>
      <c r="S26" s="60" t="s">
        <v>258</v>
      </c>
      <c r="T26" s="60" t="s">
        <v>113</v>
      </c>
      <c r="U26" s="60"/>
      <c r="V26" s="513"/>
      <c r="W26" s="38"/>
      <c r="X26" s="1"/>
      <c r="AA26" s="17">
        <f>IF(ISNUMBER(SEARCH($AC$2,AB26)),MAX($AA$3:AA25)+1,0)</f>
        <v>23</v>
      </c>
      <c r="AB26" s="17" t="str">
        <f t="shared" ref="AB26:AB38" si="1">IF(Q5="","",Q5)</f>
        <v>AGRICULTURE BIOLOGY</v>
      </c>
      <c r="AC26" s="17" t="str">
        <f>IFERROR(VLOOKUP(ROWS($AB$4:AB26),$AA$4:$AB$66,2,0),"")</f>
        <v>AGRICULTURE BIOLOGY</v>
      </c>
    </row>
    <row r="27" spans="1:29" ht="21.75" customHeight="1" thickTop="1" thickBot="1">
      <c r="A27" s="1"/>
      <c r="B27" s="83"/>
      <c r="C27" s="38"/>
      <c r="D27" s="955" t="s">
        <v>102</v>
      </c>
      <c r="E27" s="38"/>
      <c r="F27" s="38"/>
      <c r="G27" s="966" t="s">
        <v>236</v>
      </c>
      <c r="H27" s="966"/>
      <c r="I27" s="38"/>
      <c r="J27" s="38"/>
      <c r="K27" s="513"/>
      <c r="L27" s="67" t="s">
        <v>122</v>
      </c>
      <c r="M27" s="68">
        <v>20</v>
      </c>
      <c r="N27" s="68">
        <v>50</v>
      </c>
      <c r="O27" s="62">
        <v>30</v>
      </c>
      <c r="P27" s="62">
        <v>70</v>
      </c>
      <c r="Q27" s="69" t="s">
        <v>132</v>
      </c>
      <c r="R27" s="62">
        <v>30</v>
      </c>
      <c r="S27" s="62">
        <v>20</v>
      </c>
      <c r="T27" s="62">
        <v>50</v>
      </c>
      <c r="U27" s="62"/>
      <c r="V27" s="513"/>
      <c r="W27" s="38"/>
      <c r="X27" s="1"/>
      <c r="AA27" s="17">
        <f>IF(ISNUMBER(SEARCH($AC$2,AB27)),MAX($AA$3:AA26)+1,0)</f>
        <v>24</v>
      </c>
      <c r="AB27" s="17" t="str">
        <f t="shared" si="1"/>
        <v>AGRICULTURE CHEMISTRY</v>
      </c>
      <c r="AC27" s="17" t="str">
        <f>IFERROR(VLOOKUP(ROWS($AB$4:AB27),$AA$4:$AB$66,2,0),"")</f>
        <v>AGRICULTURE CHEMISTRY</v>
      </c>
    </row>
    <row r="28" spans="1:29" ht="18" thickTop="1" thickBot="1">
      <c r="A28" s="1"/>
      <c r="B28" s="83"/>
      <c r="C28" s="38"/>
      <c r="D28" s="956"/>
      <c r="E28" s="38"/>
      <c r="F28" s="38"/>
      <c r="G28" s="38"/>
      <c r="H28" s="38"/>
      <c r="I28" s="38"/>
      <c r="J28" s="38"/>
      <c r="K28" s="513"/>
      <c r="L28" s="61" t="s">
        <v>15</v>
      </c>
      <c r="M28" s="68">
        <v>20</v>
      </c>
      <c r="N28" s="68">
        <v>50</v>
      </c>
      <c r="O28" s="62">
        <v>30</v>
      </c>
      <c r="P28" s="62">
        <v>70</v>
      </c>
      <c r="Q28" s="69" t="s">
        <v>133</v>
      </c>
      <c r="R28" s="62">
        <v>30</v>
      </c>
      <c r="S28" s="62">
        <v>20</v>
      </c>
      <c r="T28" s="62">
        <v>50</v>
      </c>
      <c r="U28" s="62"/>
      <c r="V28" s="513"/>
      <c r="W28" s="38"/>
      <c r="X28" s="1"/>
      <c r="AA28" s="17">
        <f>IF(ISNUMBER(SEARCH($AC$2,AB28)),MAX($AA$3:AA27)+1,0)</f>
        <v>25</v>
      </c>
      <c r="AB28" s="17" t="str">
        <f t="shared" si="1"/>
        <v>BIOLOGY</v>
      </c>
      <c r="AC28" s="17" t="str">
        <f>IFERROR(VLOOKUP(ROWS($AB$4:AB28),$AA$4:$AB$66,2,0),"")</f>
        <v>BIOLOGY</v>
      </c>
    </row>
    <row r="29" spans="1:29" ht="22.5" customHeight="1" thickTop="1" thickBot="1">
      <c r="A29" s="1"/>
      <c r="B29" s="83"/>
      <c r="C29" s="38"/>
      <c r="D29" s="958" t="s">
        <v>103</v>
      </c>
      <c r="E29" s="38"/>
      <c r="F29" s="38"/>
      <c r="G29" s="965" t="s">
        <v>293</v>
      </c>
      <c r="H29" s="965"/>
      <c r="I29" s="38"/>
      <c r="J29" s="38"/>
      <c r="K29" s="513"/>
      <c r="L29" s="67" t="s">
        <v>123</v>
      </c>
      <c r="M29" s="68">
        <v>20</v>
      </c>
      <c r="N29" s="68">
        <v>50</v>
      </c>
      <c r="O29" s="62">
        <v>30</v>
      </c>
      <c r="P29" s="62">
        <v>70</v>
      </c>
      <c r="Q29" s="69" t="s">
        <v>134</v>
      </c>
      <c r="R29" s="62">
        <v>30</v>
      </c>
      <c r="S29" s="62">
        <v>20</v>
      </c>
      <c r="T29" s="62">
        <v>50</v>
      </c>
      <c r="U29" s="62"/>
      <c r="V29" s="513"/>
      <c r="W29" s="38"/>
      <c r="X29" s="1"/>
      <c r="AA29" s="17">
        <f>IF(ISNUMBER(SEARCH($AC$2,AB29)),MAX($AA$3:AA28)+1,0)</f>
        <v>26</v>
      </c>
      <c r="AB29" s="17" t="str">
        <f t="shared" si="1"/>
        <v>CHEMISTRY</v>
      </c>
      <c r="AC29" s="17" t="str">
        <f>IFERROR(VLOOKUP(ROWS($AB$4:AB29),$AA$4:$AB$66,2,0),"")</f>
        <v>CHEMISTRY</v>
      </c>
    </row>
    <row r="30" spans="1:29" ht="17.25" customHeight="1" thickTop="1" thickBot="1">
      <c r="A30" s="1"/>
      <c r="B30" s="83"/>
      <c r="C30" s="38"/>
      <c r="D30" s="959"/>
      <c r="E30" s="38"/>
      <c r="F30" s="38"/>
      <c r="G30" s="38"/>
      <c r="H30" s="38"/>
      <c r="I30" s="38"/>
      <c r="J30" s="38"/>
      <c r="K30" s="513"/>
      <c r="L30" s="67" t="s">
        <v>124</v>
      </c>
      <c r="M30" s="68">
        <v>20</v>
      </c>
      <c r="N30" s="68">
        <v>50</v>
      </c>
      <c r="O30" s="62">
        <v>30</v>
      </c>
      <c r="P30" s="62">
        <v>70</v>
      </c>
      <c r="Q30" s="69" t="s">
        <v>135</v>
      </c>
      <c r="R30" s="62">
        <v>30</v>
      </c>
      <c r="S30" s="62">
        <v>20</v>
      </c>
      <c r="T30" s="62">
        <v>50</v>
      </c>
      <c r="U30" s="62"/>
      <c r="V30" s="513"/>
      <c r="W30" s="38"/>
      <c r="X30" s="1"/>
      <c r="AA30" s="17">
        <f>IF(ISNUMBER(SEARCH($AC$2,AB30)),MAX($AA$3:AA29)+1,0)</f>
        <v>27</v>
      </c>
      <c r="AB30" s="17" t="str">
        <f t="shared" si="1"/>
        <v>COMPUTER SCIENCE</v>
      </c>
      <c r="AC30" s="17" t="str">
        <f>IFERROR(VLOOKUP(ROWS($AB$4:AB30),$AA$4:$AB$66,2,0),"")</f>
        <v>COMPUTER SCIENCE</v>
      </c>
    </row>
    <row r="31" spans="1:29" ht="17.25" customHeight="1" thickTop="1" thickBot="1">
      <c r="A31" s="1"/>
      <c r="B31" s="83"/>
      <c r="C31" s="38"/>
      <c r="D31" s="960" t="s">
        <v>107</v>
      </c>
      <c r="E31" s="38"/>
      <c r="F31" s="38"/>
      <c r="G31" s="957" t="s">
        <v>237</v>
      </c>
      <c r="H31" s="38"/>
      <c r="I31" s="38"/>
      <c r="J31" s="38"/>
      <c r="K31" s="513"/>
      <c r="L31" s="67" t="s">
        <v>124</v>
      </c>
      <c r="M31" s="68">
        <v>20</v>
      </c>
      <c r="N31" s="68">
        <v>50</v>
      </c>
      <c r="O31" s="62">
        <v>30</v>
      </c>
      <c r="P31" s="62">
        <v>70</v>
      </c>
      <c r="Q31" s="69" t="s">
        <v>136</v>
      </c>
      <c r="R31" s="62">
        <v>30</v>
      </c>
      <c r="S31" s="62">
        <v>20</v>
      </c>
      <c r="T31" s="62">
        <v>50</v>
      </c>
      <c r="U31" s="62"/>
      <c r="V31" s="513"/>
      <c r="W31" s="38"/>
      <c r="X31" s="1"/>
      <c r="AA31" s="17">
        <f>IF(ISNUMBER(SEARCH($AC$2,AB31)),MAX($AA$3:AA30)+1,0)</f>
        <v>28</v>
      </c>
      <c r="AB31" s="17" t="str">
        <f t="shared" si="1"/>
        <v>GEO SCIENCE</v>
      </c>
      <c r="AC31" s="17" t="str">
        <f>IFERROR(VLOOKUP(ROWS($AB$4:AB31),$AA$4:$AB$66,2,0),"")</f>
        <v>GEO SCIENCE</v>
      </c>
    </row>
    <row r="32" spans="1:29" ht="17.25" customHeight="1" thickTop="1" thickBot="1">
      <c r="A32" s="1"/>
      <c r="B32" s="83"/>
      <c r="C32" s="38"/>
      <c r="D32" s="961"/>
      <c r="E32" s="38"/>
      <c r="F32" s="38"/>
      <c r="G32" s="957"/>
      <c r="H32" s="38"/>
      <c r="I32" s="38"/>
      <c r="J32" s="38"/>
      <c r="K32" s="513"/>
      <c r="L32" s="67" t="s">
        <v>125</v>
      </c>
      <c r="M32" s="68">
        <v>20</v>
      </c>
      <c r="N32" s="68">
        <v>50</v>
      </c>
      <c r="O32" s="62">
        <v>30</v>
      </c>
      <c r="P32" s="62">
        <v>70</v>
      </c>
      <c r="Q32" s="69" t="s">
        <v>137</v>
      </c>
      <c r="R32" s="62">
        <v>30</v>
      </c>
      <c r="S32" s="62">
        <v>20</v>
      </c>
      <c r="T32" s="62">
        <v>50</v>
      </c>
      <c r="U32" s="62"/>
      <c r="V32" s="513"/>
      <c r="W32" s="38"/>
      <c r="X32" s="1"/>
      <c r="AA32" s="17">
        <f>IF(ISNUMBER(SEARCH($AC$2,AB32)),MAX($AA$3:AA31)+1,0)</f>
        <v>29</v>
      </c>
      <c r="AB32" s="17" t="str">
        <f t="shared" si="1"/>
        <v>GEOGRAPHY</v>
      </c>
      <c r="AC32" s="17" t="str">
        <f>IFERROR(VLOOKUP(ROWS($AB$4:AB32),$AA$4:$AB$66,2,0),"")</f>
        <v>GEOGRAPHY</v>
      </c>
    </row>
    <row r="33" spans="1:29" ht="17.25" customHeight="1" thickTop="1" thickBot="1">
      <c r="A33" s="1"/>
      <c r="B33" s="83"/>
      <c r="C33" s="38"/>
      <c r="D33" s="962" t="s">
        <v>104</v>
      </c>
      <c r="E33" s="38"/>
      <c r="F33" s="38"/>
      <c r="G33" s="773">
        <v>45410</v>
      </c>
      <c r="H33" s="38"/>
      <c r="I33" s="38"/>
      <c r="J33" s="38"/>
      <c r="K33" s="513"/>
      <c r="L33" s="67" t="s">
        <v>126</v>
      </c>
      <c r="M33" s="68">
        <v>20</v>
      </c>
      <c r="N33" s="68">
        <v>50</v>
      </c>
      <c r="O33" s="62">
        <v>30</v>
      </c>
      <c r="P33" s="62">
        <v>70</v>
      </c>
      <c r="Q33" s="69" t="s">
        <v>138</v>
      </c>
      <c r="R33" s="62">
        <v>30</v>
      </c>
      <c r="S33" s="62">
        <v>20</v>
      </c>
      <c r="T33" s="62">
        <v>50</v>
      </c>
      <c r="U33" s="62"/>
      <c r="V33" s="513"/>
      <c r="W33" s="38"/>
      <c r="X33" s="1"/>
      <c r="AA33" s="17">
        <f>IF(ISNUMBER(SEARCH($AC$2,AB33)),MAX($AA$3:AA32)+1,0)</f>
        <v>30</v>
      </c>
      <c r="AB33" s="17" t="str">
        <f t="shared" si="1"/>
        <v>HOME SCIENCE</v>
      </c>
      <c r="AC33" s="17" t="str">
        <f>IFERROR(VLOOKUP(ROWS($AB$4:AB33),$AA$4:$AB$66,2,0),"")</f>
        <v>HOME SCIENCE</v>
      </c>
    </row>
    <row r="34" spans="1:29" ht="15.75" customHeight="1" thickTop="1" thickBot="1">
      <c r="A34" s="1"/>
      <c r="B34" s="83"/>
      <c r="C34" s="38"/>
      <c r="D34" s="963"/>
      <c r="E34" s="38"/>
      <c r="F34" s="38"/>
      <c r="G34" s="38"/>
      <c r="H34" s="38"/>
      <c r="I34" s="38"/>
      <c r="J34" s="38"/>
      <c r="K34" s="513"/>
      <c r="L34" s="67" t="s">
        <v>127</v>
      </c>
      <c r="M34" s="68">
        <v>20</v>
      </c>
      <c r="N34" s="68">
        <v>50</v>
      </c>
      <c r="O34" s="62">
        <v>30</v>
      </c>
      <c r="P34" s="62">
        <v>70</v>
      </c>
      <c r="Q34" s="69" t="s">
        <v>139</v>
      </c>
      <c r="R34" s="62">
        <v>30</v>
      </c>
      <c r="S34" s="62">
        <v>20</v>
      </c>
      <c r="T34" s="62">
        <v>50</v>
      </c>
      <c r="U34" s="62"/>
      <c r="V34" s="513"/>
      <c r="W34" s="38"/>
      <c r="X34" s="1"/>
      <c r="AA34" s="17">
        <f>IF(ISNUMBER(SEARCH($AC$2,AB34)),MAX($AA$3:AA33)+1,0)</f>
        <v>31</v>
      </c>
      <c r="AB34" s="17" t="str">
        <f t="shared" si="1"/>
        <v>INFORMATION PRACTICE</v>
      </c>
      <c r="AC34" s="17" t="str">
        <f>IFERROR(VLOOKUP(ROWS($AB$4:AB34),$AA$4:$AB$66,2,0),"")</f>
        <v>INFORMATION PRACTICE</v>
      </c>
    </row>
    <row r="35" spans="1:29" ht="15.75" customHeight="1" thickTop="1" thickBot="1">
      <c r="A35" s="1"/>
      <c r="B35" s="83"/>
      <c r="C35" s="38"/>
      <c r="D35" s="951" t="s">
        <v>311</v>
      </c>
      <c r="E35" s="38"/>
      <c r="F35" s="38"/>
      <c r="G35" s="38"/>
      <c r="H35" s="38"/>
      <c r="I35" s="38"/>
      <c r="J35" s="38"/>
      <c r="K35" s="513"/>
      <c r="L35" s="67" t="s">
        <v>128</v>
      </c>
      <c r="M35" s="68">
        <v>20</v>
      </c>
      <c r="N35" s="68">
        <v>50</v>
      </c>
      <c r="O35" s="62">
        <v>30</v>
      </c>
      <c r="P35" s="62">
        <v>70</v>
      </c>
      <c r="Q35" s="69" t="s">
        <v>140</v>
      </c>
      <c r="R35" s="62">
        <v>30</v>
      </c>
      <c r="S35" s="62">
        <v>20</v>
      </c>
      <c r="T35" s="62">
        <v>50</v>
      </c>
      <c r="U35" s="62"/>
      <c r="V35" s="513"/>
      <c r="W35" s="38"/>
      <c r="X35" s="1"/>
      <c r="AA35" s="17">
        <f>IF(ISNUMBER(SEARCH($AC$2,AB35)),MAX($AA$3:AA34)+1,0)</f>
        <v>32</v>
      </c>
      <c r="AB35" s="17" t="str">
        <f t="shared" si="1"/>
        <v>INFORMATION TECHNOLOGY AND PROCESSING 1</v>
      </c>
      <c r="AC35" s="17" t="str">
        <f>IFERROR(VLOOKUP(ROWS($AB$4:AB35),$AA$4:$AB$66,2,0),"")</f>
        <v>INFORMATION TECHNOLOGY AND PROCESSING 1</v>
      </c>
    </row>
    <row r="36" spans="1:29" ht="15.75" customHeight="1" thickTop="1" thickBot="1">
      <c r="A36" s="1"/>
      <c r="B36" s="83"/>
      <c r="C36" s="38"/>
      <c r="D36" s="952"/>
      <c r="E36" s="38"/>
      <c r="F36" s="38"/>
      <c r="G36" s="38"/>
      <c r="H36" s="38"/>
      <c r="I36" s="38"/>
      <c r="J36" s="38"/>
      <c r="K36" s="513"/>
      <c r="L36" s="67" t="s">
        <v>129</v>
      </c>
      <c r="M36" s="68">
        <v>20</v>
      </c>
      <c r="N36" s="68">
        <v>50</v>
      </c>
      <c r="O36" s="62">
        <v>30</v>
      </c>
      <c r="P36" s="62">
        <v>70</v>
      </c>
      <c r="Q36" s="69" t="s">
        <v>141</v>
      </c>
      <c r="R36" s="62">
        <v>30</v>
      </c>
      <c r="S36" s="62">
        <v>20</v>
      </c>
      <c r="T36" s="62">
        <v>50</v>
      </c>
      <c r="U36" s="62"/>
      <c r="V36" s="513"/>
      <c r="W36" s="38"/>
      <c r="X36" s="1"/>
      <c r="AA36" s="17">
        <f>IF(ISNUMBER(SEARCH($AC$2,AB36)),MAX($AA$3:AA35)+1,0)</f>
        <v>33</v>
      </c>
      <c r="AB36" s="17" t="str">
        <f t="shared" si="1"/>
        <v>MULTIMEDIA WEB TECH</v>
      </c>
      <c r="AC36" s="17" t="str">
        <f>IFERROR(VLOOKUP(ROWS($AB$4:AB36),$AA$4:$AB$66,2,0),"")</f>
        <v>MULTIMEDIA WEB TECH</v>
      </c>
    </row>
    <row r="37" spans="1:29" ht="16.5" customHeight="1" thickTop="1" thickBot="1">
      <c r="A37" s="1"/>
      <c r="B37" s="83"/>
      <c r="C37" s="38"/>
      <c r="D37" s="953" t="s">
        <v>105</v>
      </c>
      <c r="E37" s="38"/>
      <c r="F37" s="38"/>
      <c r="G37" s="38"/>
      <c r="H37" s="38"/>
      <c r="I37" s="38"/>
      <c r="J37" s="38"/>
      <c r="K37" s="513"/>
      <c r="L37" s="61" t="s">
        <v>130</v>
      </c>
      <c r="M37" s="68">
        <v>20</v>
      </c>
      <c r="N37" s="68">
        <v>50</v>
      </c>
      <c r="O37" s="62">
        <v>30</v>
      </c>
      <c r="P37" s="62">
        <v>70</v>
      </c>
      <c r="Q37" s="69"/>
      <c r="R37" s="62"/>
      <c r="S37" s="62"/>
      <c r="T37" s="62"/>
      <c r="U37" s="62"/>
      <c r="V37" s="513"/>
      <c r="W37" s="38"/>
      <c r="X37" s="1"/>
      <c r="AA37" s="17">
        <f>IF(ISNUMBER(SEARCH($AC$2,AB37)),MAX($AA$3:AA36)+1,0)</f>
        <v>34</v>
      </c>
      <c r="AB37" s="17" t="str">
        <f t="shared" si="1"/>
        <v>PHYSICS</v>
      </c>
      <c r="AC37" s="17" t="str">
        <f>IFERROR(VLOOKUP(ROWS($AB$4:AB37),$AA$4:$AB$66,2,0),"")</f>
        <v>PHYSICS</v>
      </c>
    </row>
    <row r="38" spans="1:29" ht="16.5" customHeight="1" thickTop="1" thickBot="1">
      <c r="A38" s="1"/>
      <c r="B38" s="83"/>
      <c r="C38" s="38"/>
      <c r="D38" s="954"/>
      <c r="E38" s="38"/>
      <c r="F38" s="38"/>
      <c r="G38" s="38"/>
      <c r="H38" s="38"/>
      <c r="I38" s="38"/>
      <c r="J38" s="38"/>
      <c r="K38" s="513"/>
      <c r="L38" s="63"/>
      <c r="M38" s="62"/>
      <c r="N38" s="62"/>
      <c r="O38" s="62"/>
      <c r="P38" s="62"/>
      <c r="Q38" s="69"/>
      <c r="R38" s="62"/>
      <c r="S38" s="62"/>
      <c r="T38" s="62"/>
      <c r="U38" s="62"/>
      <c r="V38" s="513"/>
      <c r="W38" s="38"/>
      <c r="X38" s="1"/>
      <c r="AA38" s="17">
        <f>IF(ISNUMBER(SEARCH($AC$2,AB38)),MAX($AA$3:AA37)+1,0)</f>
        <v>35</v>
      </c>
      <c r="AB38" s="17" t="str">
        <f t="shared" si="1"/>
        <v>PSYCHOLOGY</v>
      </c>
      <c r="AC38" s="17" t="str">
        <f>IFERROR(VLOOKUP(ROWS($AB$4:AB38),$AA$4:$AB$66,2,0),"")</f>
        <v>PSYCHOLOGY</v>
      </c>
    </row>
    <row r="39" spans="1:29" ht="16.5" customHeight="1">
      <c r="A39" s="1"/>
      <c r="B39" s="83"/>
      <c r="C39" s="38"/>
      <c r="D39" s="38"/>
      <c r="E39" s="38"/>
      <c r="F39" s="38"/>
      <c r="G39" s="38"/>
      <c r="H39" s="38"/>
      <c r="I39" s="38"/>
      <c r="J39" s="38"/>
      <c r="K39" s="514"/>
      <c r="L39" s="513"/>
      <c r="M39" s="513"/>
      <c r="N39" s="513"/>
      <c r="O39" s="513"/>
      <c r="P39" s="513"/>
      <c r="Q39" s="513"/>
      <c r="R39" s="513"/>
      <c r="S39" s="513"/>
      <c r="T39" s="513"/>
      <c r="U39" s="513"/>
      <c r="V39" s="514"/>
      <c r="W39" s="38"/>
      <c r="X39" s="1"/>
      <c r="AA39" s="17">
        <f>IF(ISNUMBER(SEARCH($AC$2,AB39)),MAX($AA$3:AA38)+1,0)</f>
        <v>36</v>
      </c>
      <c r="AB39" s="17" t="str">
        <f>IF(Q20="","",Q20)</f>
        <v>SHORT HAND (ENGLISH)</v>
      </c>
      <c r="AC39" s="17" t="str">
        <f>IFERROR(VLOOKUP(ROWS($AB$4:AB39),$AA$4:$AB$66,2,0),"")</f>
        <v>SHORT HAND (ENGLISH)</v>
      </c>
    </row>
    <row r="40" spans="1:29" ht="16.5" customHeight="1">
      <c r="A40" s="1"/>
      <c r="B40" s="1"/>
      <c r="C40" s="1"/>
      <c r="D40" s="1"/>
      <c r="E40" s="1"/>
      <c r="F40" s="1"/>
      <c r="G40" s="1"/>
      <c r="H40" s="1"/>
      <c r="I40" s="1"/>
      <c r="J40" s="1"/>
      <c r="K40" s="1"/>
      <c r="L40" s="1"/>
      <c r="M40" s="1"/>
      <c r="N40" s="1"/>
      <c r="O40" s="1"/>
      <c r="P40" s="1"/>
      <c r="Q40" s="1"/>
      <c r="R40" s="1"/>
      <c r="S40" s="1"/>
      <c r="T40" s="1"/>
      <c r="U40" s="1"/>
      <c r="V40" s="1"/>
      <c r="W40" s="1"/>
      <c r="X40" s="1"/>
      <c r="AA40" s="17">
        <f>IF(ISNUMBER(SEARCH($AC$2,AB40)),MAX($AA$3:AA39)+1,0)</f>
        <v>37</v>
      </c>
      <c r="AB40" s="17" t="str">
        <f t="shared" ref="AB40:AB43" si="2">IF(Q21="","",Q21)</f>
        <v>SHORT HAND (HINDI)</v>
      </c>
      <c r="AC40" s="17" t="str">
        <f>IFERROR(VLOOKUP(ROWS($AB$4:AB40),$AA$4:$AB$66,2,0),"")</f>
        <v>SHORT HAND (HINDI)</v>
      </c>
    </row>
    <row r="41" spans="1:29">
      <c r="AA41" s="17">
        <f>IF(ISNUMBER(SEARCH($AC$2,AB41)),MAX($AA$3:AA40)+1,0)</f>
        <v>38</v>
      </c>
      <c r="AB41" s="17" t="str">
        <f t="shared" si="2"/>
        <v>TYPING</v>
      </c>
      <c r="AC41" s="17" t="str">
        <f>IFERROR(VLOOKUP(ROWS($AB$4:AB41),$AA$4:$AB$66,2,0),"")</f>
        <v>TYPING</v>
      </c>
    </row>
    <row r="42" spans="1:29" hidden="1">
      <c r="AA42" s="17">
        <f>IF(ISNUMBER(SEARCH($AC$2,AB42)),MAX($AA$3:AA41)+1,0)</f>
        <v>39</v>
      </c>
      <c r="AB42" s="17" t="str">
        <f t="shared" si="2"/>
        <v>TYPING (ENGLISH)</v>
      </c>
      <c r="AC42" s="17" t="str">
        <f>IFERROR(VLOOKUP(ROWS($AB$4:AB42),$AA$4:$AB$66,2,0),"")</f>
        <v>TYPING (ENGLISH)</v>
      </c>
    </row>
    <row r="43" spans="1:29" hidden="1">
      <c r="AA43" s="17">
        <f>IF(ISNUMBER(SEARCH($AC$2,AB43)),MAX($AA$3:AA42)+1,0)</f>
        <v>40</v>
      </c>
      <c r="AB43" s="17" t="str">
        <f t="shared" si="2"/>
        <v>TYPING HINDI</v>
      </c>
      <c r="AC43" s="17" t="str">
        <f>IFERROR(VLOOKUP(ROWS($AB$4:AB43),$AA$4:$AB$66,2,0),"")</f>
        <v>TYPING HINDI</v>
      </c>
    </row>
    <row r="44" spans="1:29" hidden="1">
      <c r="AA44" s="17">
        <f>IF(ISNUMBER(SEARCH($AC$2,AB44)),MAX($AA$3:AA43)+1,0)</f>
        <v>41</v>
      </c>
      <c r="AB44" s="17" t="str">
        <f>IF(Q27="","",Q27)</f>
        <v>AUTOMOBILE</v>
      </c>
      <c r="AC44" s="17" t="str">
        <f>IFERROR(VLOOKUP(ROWS($AB$4:AB44),$AA$4:$AB$66,2,0),"")</f>
        <v>AUTOMOBILE</v>
      </c>
    </row>
    <row r="45" spans="1:29" hidden="1">
      <c r="AA45" s="17">
        <f>IF(ISNUMBER(SEARCH($AC$2,AB45)),MAX($AA$3:AA44)+1,0)</f>
        <v>42</v>
      </c>
      <c r="AB45" s="17" t="str">
        <f t="shared" ref="AB45:AB53" si="3">IF(Q28="","",Q28)</f>
        <v>BEAUTY AND HEALTH</v>
      </c>
      <c r="AC45" s="17" t="str">
        <f>IFERROR(VLOOKUP(ROWS($AB$4:AB45),$AA$4:$AB$66,2,0),"")</f>
        <v>BEAUTY AND HEALTH</v>
      </c>
    </row>
    <row r="46" spans="1:29" hidden="1">
      <c r="AA46" s="17">
        <f>IF(ISNUMBER(SEARCH($AC$2,AB46)),MAX($AA$3:AA45)+1,0)</f>
        <v>43</v>
      </c>
      <c r="AB46" s="17" t="str">
        <f t="shared" si="3"/>
        <v>DRESS DESIGNING AND HOME DECORATION</v>
      </c>
      <c r="AC46" s="17" t="str">
        <f>IFERROR(VLOOKUP(ROWS($AB$4:AB46),$AA$4:$AB$66,2,0),"")</f>
        <v>DRESS DESIGNING AND HOME DECORATION</v>
      </c>
    </row>
    <row r="47" spans="1:29" hidden="1">
      <c r="AA47" s="17">
        <f>IF(ISNUMBER(SEARCH($AC$2,AB47)),MAX($AA$3:AA46)+1,0)</f>
        <v>44</v>
      </c>
      <c r="AB47" s="17" t="str">
        <f t="shared" si="3"/>
        <v>ELECTRICALS AND ELECTRONICS</v>
      </c>
      <c r="AC47" s="17" t="str">
        <f>IFERROR(VLOOKUP(ROWS($AB$4:AB47),$AA$4:$AB$66,2,0),"")</f>
        <v>ELECTRICALS AND ELECTRONICS</v>
      </c>
    </row>
    <row r="48" spans="1:29" hidden="1">
      <c r="AA48" s="17">
        <f>IF(ISNUMBER(SEARCH($AC$2,AB48)),MAX($AA$3:AA47)+1,0)</f>
        <v>45</v>
      </c>
      <c r="AB48" s="17" t="str">
        <f t="shared" si="3"/>
        <v>HEALTH CARE</v>
      </c>
      <c r="AC48" s="17" t="str">
        <f>IFERROR(VLOOKUP(ROWS($AB$4:AB48),$AA$4:$AB$66,2,0),"")</f>
        <v>HEALTH CARE</v>
      </c>
    </row>
    <row r="49" spans="27:29" hidden="1">
      <c r="AA49" s="17">
        <f>IF(ISNUMBER(SEARCH($AC$2,AB49)),MAX($AA$3:AA48)+1,0)</f>
        <v>46</v>
      </c>
      <c r="AB49" s="17" t="str">
        <f t="shared" si="3"/>
        <v>INFORMATION TECHNOLOGY Ites</v>
      </c>
      <c r="AC49" s="17" t="str">
        <f>IFERROR(VLOOKUP(ROWS($AB$4:AB49),$AA$4:$AB$66,2,0),"")</f>
        <v>INFORMATION TECHNOLOGY Ites</v>
      </c>
    </row>
    <row r="50" spans="27:29" hidden="1">
      <c r="AA50" s="17">
        <f>IF(ISNUMBER(SEARCH($AC$2,AB50)),MAX($AA$3:AA49)+1,0)</f>
        <v>47</v>
      </c>
      <c r="AB50" s="17" t="str">
        <f t="shared" si="3"/>
        <v>MICRO IRRIGATION SYSTEM</v>
      </c>
      <c r="AC50" s="17" t="str">
        <f>IFERROR(VLOOKUP(ROWS($AB$4:AB50),$AA$4:$AB$66,2,0),"")</f>
        <v>MICRO IRRIGATION SYSTEM</v>
      </c>
    </row>
    <row r="51" spans="27:29" hidden="1">
      <c r="AA51" s="17">
        <f>IF(ISNUMBER(SEARCH($AC$2,AB51)),MAX($AA$3:AA50)+1,0)</f>
        <v>48</v>
      </c>
      <c r="AB51" s="17" t="str">
        <f t="shared" si="3"/>
        <v>PERSONAL SECURITY</v>
      </c>
      <c r="AC51" s="17" t="str">
        <f>IFERROR(VLOOKUP(ROWS($AB$4:AB51),$AA$4:$AB$66,2,0),"")</f>
        <v>PERSONAL SECURITY</v>
      </c>
    </row>
    <row r="52" spans="27:29" hidden="1">
      <c r="AA52" s="17">
        <f>IF(ISNUMBER(SEARCH($AC$2,AB52)),MAX($AA$3:AA51)+1,0)</f>
        <v>49</v>
      </c>
      <c r="AB52" s="17" t="str">
        <f t="shared" si="3"/>
        <v>RETAIL SALE</v>
      </c>
      <c r="AC52" s="17" t="str">
        <f>IFERROR(VLOOKUP(ROWS($AB$4:AB52),$AA$4:$AB$66,2,0),"")</f>
        <v>RETAIL SALE</v>
      </c>
    </row>
    <row r="53" spans="27:29" hidden="1">
      <c r="AA53" s="17">
        <f>IF(ISNUMBER(SEARCH($AC$2,AB53)),MAX($AA$3:AA52)+1,0)</f>
        <v>50</v>
      </c>
      <c r="AB53" s="17" t="str">
        <f t="shared" si="3"/>
        <v>TOURISM AND TRAVEL</v>
      </c>
      <c r="AC53" s="17" t="str">
        <f>IFERROR(VLOOKUP(ROWS($AB$4:AB53),$AA$4:$AB$66,2,0),"")</f>
        <v>TOURISM AND TRAVEL</v>
      </c>
    </row>
    <row r="54" spans="27:29" hidden="1">
      <c r="AA54" s="17">
        <f>IF(ISNUMBER(SEARCH($AC$2,AB54)),MAX($AA$3:AA53)+1,0)</f>
        <v>51</v>
      </c>
      <c r="AB54" s="17" t="str">
        <f>IF(L27="","",L27)</f>
        <v xml:space="preserve">DANCE KATTHAK </v>
      </c>
      <c r="AC54" s="17" t="str">
        <f>IFERROR(VLOOKUP(ROWS($AB$4:AB54),$AA$4:$AB$66,2,0),"")</f>
        <v xml:space="preserve">DANCE KATTHAK </v>
      </c>
    </row>
    <row r="55" spans="27:29" hidden="1">
      <c r="AA55" s="17">
        <f>IF(ISNUMBER(SEARCH($AC$2,AB55)),MAX($AA$3:AA54)+1,0)</f>
        <v>52</v>
      </c>
      <c r="AB55" s="17" t="str">
        <f t="shared" ref="AB55:AB65" si="4">IF(L28="","",L28)</f>
        <v>DRAWING</v>
      </c>
      <c r="AC55" s="17" t="str">
        <f>IFERROR(VLOOKUP(ROWS($AB$4:AB55),$AA$4:$AB$66,2,0),"")</f>
        <v>DRAWING</v>
      </c>
    </row>
    <row r="56" spans="27:29" hidden="1">
      <c r="AA56" s="17">
        <f>IF(ISNUMBER(SEARCH($AC$2,AB56)),MAX($AA$3:AA55)+1,0)</f>
        <v>53</v>
      </c>
      <c r="AB56" s="17" t="str">
        <f t="shared" si="4"/>
        <v>MUSIC INSTR. DILRUBA</v>
      </c>
      <c r="AC56" s="17" t="str">
        <f>IFERROR(VLOOKUP(ROWS($AB$4:AB56),$AA$4:$AB$66,2,0),"")</f>
        <v>MUSIC INSTR. DILRUBA</v>
      </c>
    </row>
    <row r="57" spans="27:29" hidden="1">
      <c r="AA57" s="17">
        <f>IF(ISNUMBER(SEARCH($AC$2,AB57)),MAX($AA$3:AA56)+1,0)</f>
        <v>54</v>
      </c>
      <c r="AB57" s="17" t="str">
        <f t="shared" si="4"/>
        <v>MUSIC INSTR. FLUTE</v>
      </c>
      <c r="AC57" s="17" t="str">
        <f>IFERROR(VLOOKUP(ROWS($AB$4:AB57),$AA$4:$AB$66,2,0),"")</f>
        <v>MUSIC INSTR. FLUTE</v>
      </c>
    </row>
    <row r="58" spans="27:29" hidden="1">
      <c r="AA58" s="17">
        <f>IF(ISNUMBER(SEARCH($AC$2,AB58)),MAX($AA$3:AA57)+1,0)</f>
        <v>55</v>
      </c>
      <c r="AB58" s="17" t="str">
        <f t="shared" si="4"/>
        <v>MUSIC INSTR. FLUTE</v>
      </c>
      <c r="AC58" s="17" t="str">
        <f>IFERROR(VLOOKUP(ROWS($AB$4:AB58),$AA$4:$AB$66,2,0),"")</f>
        <v>MUSIC INSTR. FLUTE</v>
      </c>
    </row>
    <row r="59" spans="27:29" hidden="1">
      <c r="AA59" s="17">
        <f>IF(ISNUMBER(SEARCH($AC$2,AB59)),MAX($AA$3:AA58)+1,0)</f>
        <v>56</v>
      </c>
      <c r="AB59" s="17" t="str">
        <f t="shared" si="4"/>
        <v>MUSIC INSTR. GUITAR</v>
      </c>
      <c r="AC59" s="17" t="str">
        <f>IFERROR(VLOOKUP(ROWS($AB$4:AB59),$AA$4:$AB$66,2,0),"")</f>
        <v>MUSIC INSTR. GUITAR</v>
      </c>
    </row>
    <row r="60" spans="27:29" hidden="1">
      <c r="AA60" s="17">
        <f>IF(ISNUMBER(SEARCH($AC$2,AB60)),MAX($AA$3:AA59)+1,0)</f>
        <v>57</v>
      </c>
      <c r="AB60" s="17" t="str">
        <f t="shared" si="4"/>
        <v>MUSIC INSTR. PKHAAVAJ</v>
      </c>
      <c r="AC60" s="17" t="str">
        <f>IFERROR(VLOOKUP(ROWS($AB$4:AB60),$AA$4:$AB$66,2,0),"")</f>
        <v>MUSIC INSTR. PKHAAVAJ</v>
      </c>
    </row>
    <row r="61" spans="27:29" hidden="1">
      <c r="AA61" s="17">
        <f>IF(ISNUMBER(SEARCH($AC$2,AB61)),MAX($AA$3:AA60)+1,0)</f>
        <v>58</v>
      </c>
      <c r="AB61" s="17" t="str">
        <f t="shared" si="4"/>
        <v>MUSIC INSTR. SAROD</v>
      </c>
      <c r="AC61" s="17" t="str">
        <f>IFERROR(VLOOKUP(ROWS($AB$4:AB61),$AA$4:$AB$66,2,0),"")</f>
        <v>MUSIC INSTR. SAROD</v>
      </c>
    </row>
    <row r="62" spans="27:29" hidden="1">
      <c r="AA62" s="17">
        <f>IF(ISNUMBER(SEARCH($AC$2,AB62)),MAX($AA$3:AA61)+1,0)</f>
        <v>59</v>
      </c>
      <c r="AB62" s="17" t="str">
        <f t="shared" si="4"/>
        <v>MUSIC INSTR. SITARA</v>
      </c>
      <c r="AC62" s="17" t="str">
        <f>IFERROR(VLOOKUP(ROWS($AB$4:AB62),$AA$4:$AB$66,2,0),"")</f>
        <v>MUSIC INSTR. SITARA</v>
      </c>
    </row>
    <row r="63" spans="27:29" hidden="1">
      <c r="AA63" s="17">
        <f>IF(ISNUMBER(SEARCH($AC$2,AB63)),MAX($AA$3:AA62)+1,0)</f>
        <v>60</v>
      </c>
      <c r="AB63" s="17" t="str">
        <f t="shared" si="4"/>
        <v>MUSIC INSTR. TABLA</v>
      </c>
      <c r="AC63" s="17" t="str">
        <f>IFERROR(VLOOKUP(ROWS($AB$4:AB63),$AA$4:$AB$66,2,0),"")</f>
        <v>MUSIC INSTR. TABLA</v>
      </c>
    </row>
    <row r="64" spans="27:29" hidden="1">
      <c r="AA64" s="17">
        <f>IF(ISNUMBER(SEARCH($AC$2,AB64)),MAX($AA$3:AA63)+1,0)</f>
        <v>61</v>
      </c>
      <c r="AB64" s="17" t="str">
        <f>IF(L37="","",L37)</f>
        <v xml:space="preserve">MUSIC VOCAL </v>
      </c>
      <c r="AC64" s="17" t="str">
        <f>IFERROR(VLOOKUP(ROWS($AB$4:AB64),$AA$4:$AB$66,2,0),"")</f>
        <v xml:space="preserve">MUSIC VOCAL </v>
      </c>
    </row>
    <row r="65" spans="27:29" hidden="1">
      <c r="AA65" s="17">
        <f>IF(ISNUMBER(SEARCH($AC$2,AB65)),MAX($AA$3:AA64)+1,0)</f>
        <v>0</v>
      </c>
      <c r="AB65" s="17" t="str">
        <f t="shared" si="4"/>
        <v/>
      </c>
      <c r="AC65" s="17" t="str">
        <f>IFERROR(VLOOKUP(ROWS($AB$4:AB65),$AA$4:$AB$66,2,0),"")</f>
        <v/>
      </c>
    </row>
    <row r="66" spans="27:29" hidden="1">
      <c r="AA66" s="17">
        <f>IF(ISNUMBER(SEARCH($AC$2,AB66)),MAX($AA$3:AA65)+1,0)</f>
        <v>0</v>
      </c>
      <c r="AB66" s="17" t="str">
        <f>IF(Q37="","",Q37)</f>
        <v/>
      </c>
      <c r="AC66" s="17" t="str">
        <f>IFERROR(VLOOKUP(ROWS($AB$4:AB66),$AA$4:$AB$66,2,0),"")</f>
        <v/>
      </c>
    </row>
    <row r="67" spans="27:29" hidden="1">
      <c r="AB67" s="17" t="str">
        <f>IF(Q38="","",Q38)</f>
        <v/>
      </c>
      <c r="AC67" s="17" t="str">
        <f>IFERROR(VLOOKUP(ROWS($AB$4:AB67),$AA$4:$AB$66,2,0),"")</f>
        <v/>
      </c>
    </row>
  </sheetData>
  <sheetProtection password="C1FB" sheet="1" formatColumns="0" formatRows="0"/>
  <protectedRanges>
    <protectedRange sqref="F6:G21" name="Range12"/>
    <protectedRange sqref="D4:D5" name="Range11"/>
    <protectedRange sqref="D17" name="Range12_1"/>
    <protectedRange sqref="D6:D16 D18:D19" name="Range12_1_1"/>
  </protectedRanges>
  <mergeCells count="20">
    <mergeCell ref="R2:S2"/>
    <mergeCell ref="T2:U2"/>
    <mergeCell ref="G29:H29"/>
    <mergeCell ref="G27:H27"/>
    <mergeCell ref="M25:N25"/>
    <mergeCell ref="O25:P25"/>
    <mergeCell ref="R18:S18"/>
    <mergeCell ref="T18:U18"/>
    <mergeCell ref="R25:T25"/>
    <mergeCell ref="M2:N2"/>
    <mergeCell ref="H4:H5"/>
    <mergeCell ref="G4:G5"/>
    <mergeCell ref="O2:P2"/>
    <mergeCell ref="D35:D36"/>
    <mergeCell ref="D37:D38"/>
    <mergeCell ref="D27:D28"/>
    <mergeCell ref="G31:G32"/>
    <mergeCell ref="D29:D30"/>
    <mergeCell ref="D31:D32"/>
    <mergeCell ref="D33:D34"/>
  </mergeCells>
  <dataValidations xWindow="607" yWindow="683" count="6">
    <dataValidation type="list" allowBlank="1" showInputMessage="1" sqref="G8:G19">
      <formula1>Subject</formula1>
    </dataValidation>
    <dataValidation allowBlank="1" showErrorMessage="1" sqref="G6:G7"/>
    <dataValidation type="list" allowBlank="1" showInputMessage="1" showErrorMessage="1" sqref="D19">
      <formula1>"Yes, No"</formula1>
    </dataValidation>
    <dataValidation type="textLength" operator="equal" allowBlank="1" showInputMessage="1" showErrorMessage="1" error="मोबाइल नंबर दस अंकों में भरें " sqref="D13">
      <formula1>10</formula1>
    </dataValidation>
    <dataValidation type="list" allowBlank="1" showInputMessage="1" showErrorMessage="1" sqref="D11">
      <formula1>"Hindi, English"</formula1>
    </dataValidation>
    <dataValidation type="list" allowBlank="1" showInputMessage="1" sqref="AC2">
      <formula1>OFFSET($AC$4,,,COUNTIF($AC$4:AC66,"?*"))</formula1>
    </dataValidation>
  </dataValidations>
  <hyperlinks>
    <hyperlink ref="G29" r:id="rId1"/>
    <hyperlink ref="D37"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sheetPr codeName="Sheet4"/>
  <dimension ref="A1:AV376"/>
  <sheetViews>
    <sheetView showGridLines="0" workbookViewId="0">
      <selection activeCell="N6" sqref="N6"/>
    </sheetView>
  </sheetViews>
  <sheetFormatPr defaultColWidth="0" defaultRowHeight="15" zeroHeight="1"/>
  <cols>
    <col min="1" max="1" width="6.625" style="116" customWidth="1"/>
    <col min="2" max="2" width="8.125" style="116" customWidth="1"/>
    <col min="3" max="3" width="9.5" style="116" customWidth="1"/>
    <col min="4" max="4" width="10.625" style="116" customWidth="1"/>
    <col min="5" max="5" width="9.125" style="116" customWidth="1"/>
    <col min="6" max="6" width="22.75" style="116" customWidth="1"/>
    <col min="7" max="7" width="19.75" style="116" customWidth="1"/>
    <col min="8" max="8" width="19.875" style="116" customWidth="1"/>
    <col min="9" max="9" width="14" style="116" customWidth="1"/>
    <col min="10" max="10" width="8.625" style="116" customWidth="1"/>
    <col min="11" max="11" width="10" style="116" customWidth="1"/>
    <col min="12" max="12" width="10.625" style="116" customWidth="1"/>
    <col min="13" max="13" width="10.75" style="116" customWidth="1"/>
    <col min="14" max="16" width="9.125" style="116" customWidth="1"/>
    <col min="17" max="48" width="0" style="116" hidden="1" customWidth="1"/>
    <col min="49" max="16384" width="9.125" style="116" hidden="1"/>
  </cols>
  <sheetData>
    <row r="1" spans="1:16" ht="57" customHeight="1">
      <c r="A1" s="835"/>
      <c r="B1" s="972" t="str">
        <f>IF('Master Sheet'!D11="Hindi",CONCATENATE("विद्यालय का नाम :-","  ",'Master Sheet'!D8),CONCATENATE("School Name :-","  ",'Master Sheet'!D7))</f>
        <v xml:space="preserve">विद्यालय का नाम :-  महात्मा गाँधी राजकीय विद्यालय (अंग्रेजी माध्यम) बर, पाली </v>
      </c>
      <c r="C1" s="972"/>
      <c r="D1" s="972"/>
      <c r="E1" s="972"/>
      <c r="F1" s="972"/>
      <c r="G1" s="972"/>
      <c r="H1" s="972"/>
      <c r="I1" s="972"/>
      <c r="J1" s="972"/>
      <c r="K1" s="973" t="s">
        <v>232</v>
      </c>
      <c r="L1" s="973"/>
      <c r="M1" s="836" t="s">
        <v>234</v>
      </c>
      <c r="N1" s="115"/>
      <c r="O1" s="115"/>
      <c r="P1" s="115"/>
    </row>
    <row r="2" spans="1:16" ht="47.25" customHeight="1">
      <c r="A2" s="837" t="s">
        <v>250</v>
      </c>
      <c r="B2" s="117" t="s">
        <v>0</v>
      </c>
      <c r="C2" s="118" t="s">
        <v>2</v>
      </c>
      <c r="D2" s="118" t="s">
        <v>3</v>
      </c>
      <c r="E2" s="118" t="s">
        <v>249</v>
      </c>
      <c r="F2" s="118" t="s">
        <v>202</v>
      </c>
      <c r="G2" s="118" t="s">
        <v>203</v>
      </c>
      <c r="H2" s="118" t="s">
        <v>204</v>
      </c>
      <c r="I2" s="118" t="s">
        <v>248</v>
      </c>
      <c r="J2" s="118" t="s">
        <v>4</v>
      </c>
      <c r="K2" s="118" t="s">
        <v>5</v>
      </c>
      <c r="L2" s="970" t="s">
        <v>143</v>
      </c>
      <c r="M2" s="971"/>
      <c r="N2" s="115"/>
      <c r="O2" s="115"/>
      <c r="P2" s="115"/>
    </row>
    <row r="3" spans="1:16" ht="51" customHeight="1">
      <c r="A3" s="838" t="s">
        <v>231</v>
      </c>
      <c r="B3" s="119" t="s">
        <v>259</v>
      </c>
      <c r="C3" s="119" t="s">
        <v>193</v>
      </c>
      <c r="D3" s="119" t="s">
        <v>194</v>
      </c>
      <c r="E3" s="119" t="s">
        <v>195</v>
      </c>
      <c r="F3" s="119" t="s">
        <v>196</v>
      </c>
      <c r="G3" s="119" t="s">
        <v>197</v>
      </c>
      <c r="H3" s="119" t="s">
        <v>198</v>
      </c>
      <c r="I3" s="119" t="s">
        <v>200</v>
      </c>
      <c r="J3" s="119" t="s">
        <v>199</v>
      </c>
      <c r="K3" s="119" t="s">
        <v>201</v>
      </c>
      <c r="L3" s="120" t="s">
        <v>205</v>
      </c>
      <c r="M3" s="839" t="s">
        <v>206</v>
      </c>
      <c r="N3" s="115"/>
      <c r="O3" s="115"/>
      <c r="P3" s="115"/>
    </row>
    <row r="4" spans="1:16" ht="69.95" customHeight="1">
      <c r="A4" s="840">
        <v>1</v>
      </c>
      <c r="B4" s="831">
        <v>1101</v>
      </c>
      <c r="C4" s="832">
        <v>11</v>
      </c>
      <c r="D4" s="832" t="s">
        <v>6</v>
      </c>
      <c r="E4" s="832">
        <v>230</v>
      </c>
      <c r="F4" s="833" t="s">
        <v>6</v>
      </c>
      <c r="G4" s="833" t="s">
        <v>262</v>
      </c>
      <c r="H4" s="833" t="s">
        <v>271</v>
      </c>
      <c r="I4" s="834">
        <v>37622</v>
      </c>
      <c r="J4" s="533" t="s">
        <v>271</v>
      </c>
      <c r="K4" s="524" t="s">
        <v>276</v>
      </c>
      <c r="L4" s="523">
        <v>350</v>
      </c>
      <c r="M4" s="841">
        <v>340</v>
      </c>
      <c r="N4" s="115"/>
      <c r="O4" s="115"/>
      <c r="P4" s="115"/>
    </row>
    <row r="5" spans="1:16" ht="69.95" customHeight="1">
      <c r="A5" s="840">
        <v>2</v>
      </c>
      <c r="B5" s="831">
        <v>1102</v>
      </c>
      <c r="C5" s="832">
        <v>11</v>
      </c>
      <c r="D5" s="832" t="s">
        <v>6</v>
      </c>
      <c r="E5" s="832">
        <v>231</v>
      </c>
      <c r="F5" s="833" t="s">
        <v>44</v>
      </c>
      <c r="G5" s="833" t="s">
        <v>263</v>
      </c>
      <c r="H5" s="833" t="s">
        <v>269</v>
      </c>
      <c r="I5" s="834">
        <v>38090</v>
      </c>
      <c r="J5" s="533" t="s">
        <v>271</v>
      </c>
      <c r="K5" s="524" t="s">
        <v>275</v>
      </c>
      <c r="L5" s="96">
        <v>360</v>
      </c>
      <c r="M5" s="841">
        <v>344</v>
      </c>
      <c r="N5" s="115"/>
      <c r="O5" s="115"/>
      <c r="P5" s="115"/>
    </row>
    <row r="6" spans="1:16" ht="69.95" customHeight="1">
      <c r="A6" s="840">
        <v>3</v>
      </c>
      <c r="B6" s="831">
        <v>1103</v>
      </c>
      <c r="C6" s="832">
        <v>11</v>
      </c>
      <c r="D6" s="832" t="s">
        <v>6</v>
      </c>
      <c r="E6" s="832">
        <v>555</v>
      </c>
      <c r="F6" s="833" t="s">
        <v>76</v>
      </c>
      <c r="G6" s="833" t="s">
        <v>264</v>
      </c>
      <c r="H6" s="833" t="s">
        <v>270</v>
      </c>
      <c r="I6" s="834">
        <v>38414</v>
      </c>
      <c r="J6" s="533" t="s">
        <v>7</v>
      </c>
      <c r="K6" s="524" t="s">
        <v>279</v>
      </c>
      <c r="L6" s="96">
        <v>370</v>
      </c>
      <c r="M6" s="841">
        <v>346</v>
      </c>
      <c r="N6" s="115"/>
      <c r="O6" s="115"/>
      <c r="P6" s="115"/>
    </row>
    <row r="7" spans="1:16" ht="69.95" customHeight="1">
      <c r="A7" s="840">
        <v>4</v>
      </c>
      <c r="B7" s="831">
        <v>1104</v>
      </c>
      <c r="C7" s="832">
        <v>11</v>
      </c>
      <c r="D7" s="832" t="s">
        <v>6</v>
      </c>
      <c r="E7" s="832">
        <v>444</v>
      </c>
      <c r="F7" s="833" t="s">
        <v>72</v>
      </c>
      <c r="G7" s="833" t="s">
        <v>265</v>
      </c>
      <c r="H7" s="833" t="s">
        <v>272</v>
      </c>
      <c r="I7" s="834">
        <v>38874</v>
      </c>
      <c r="J7" s="533" t="s">
        <v>271</v>
      </c>
      <c r="K7" s="524" t="s">
        <v>278</v>
      </c>
      <c r="L7" s="96">
        <v>340</v>
      </c>
      <c r="M7" s="841">
        <v>330</v>
      </c>
      <c r="N7" s="115"/>
      <c r="O7" s="115"/>
      <c r="P7" s="115"/>
    </row>
    <row r="8" spans="1:16" ht="69.95" customHeight="1">
      <c r="A8" s="840">
        <v>5</v>
      </c>
      <c r="B8" s="831">
        <v>1105</v>
      </c>
      <c r="C8" s="832">
        <v>11</v>
      </c>
      <c r="D8" s="832" t="s">
        <v>6</v>
      </c>
      <c r="E8" s="832">
        <v>333</v>
      </c>
      <c r="F8" s="833" t="s">
        <v>216</v>
      </c>
      <c r="G8" s="833" t="s">
        <v>266</v>
      </c>
      <c r="H8" s="833" t="s">
        <v>273</v>
      </c>
      <c r="I8" s="834">
        <v>39270</v>
      </c>
      <c r="J8" s="533" t="s">
        <v>7</v>
      </c>
      <c r="K8" s="524" t="s">
        <v>277</v>
      </c>
      <c r="L8" s="96">
        <v>320</v>
      </c>
      <c r="M8" s="841">
        <v>318</v>
      </c>
      <c r="N8" s="115"/>
      <c r="O8" s="115"/>
      <c r="P8" s="115"/>
    </row>
    <row r="9" spans="1:16" ht="69.95" customHeight="1">
      <c r="A9" s="840">
        <v>6</v>
      </c>
      <c r="B9" s="831">
        <v>1106</v>
      </c>
      <c r="C9" s="832">
        <v>11</v>
      </c>
      <c r="D9" s="832" t="s">
        <v>6</v>
      </c>
      <c r="E9" s="832">
        <v>666</v>
      </c>
      <c r="F9" s="833" t="s">
        <v>7</v>
      </c>
      <c r="G9" s="833" t="s">
        <v>267</v>
      </c>
      <c r="H9" s="833" t="s">
        <v>274</v>
      </c>
      <c r="I9" s="834">
        <v>39668</v>
      </c>
      <c r="J9" s="533" t="s">
        <v>271</v>
      </c>
      <c r="K9" s="524" t="s">
        <v>275</v>
      </c>
      <c r="L9" s="96">
        <v>320</v>
      </c>
      <c r="M9" s="841">
        <v>310</v>
      </c>
      <c r="N9" s="115"/>
      <c r="O9" s="115"/>
      <c r="P9" s="115"/>
    </row>
    <row r="10" spans="1:16" ht="69.95" customHeight="1">
      <c r="A10" s="840">
        <v>7</v>
      </c>
      <c r="B10" s="831">
        <v>1107</v>
      </c>
      <c r="C10" s="832">
        <v>11</v>
      </c>
      <c r="D10" s="832" t="s">
        <v>6</v>
      </c>
      <c r="E10" s="832">
        <v>222</v>
      </c>
      <c r="F10" s="833" t="s">
        <v>111</v>
      </c>
      <c r="G10" s="833" t="s">
        <v>268</v>
      </c>
      <c r="H10" s="833" t="s">
        <v>67</v>
      </c>
      <c r="I10" s="834">
        <v>40065</v>
      </c>
      <c r="J10" s="533" t="s">
        <v>271</v>
      </c>
      <c r="K10" s="524" t="s">
        <v>276</v>
      </c>
      <c r="L10" s="96">
        <v>380</v>
      </c>
      <c r="M10" s="841">
        <v>370</v>
      </c>
      <c r="N10" s="115"/>
      <c r="O10" s="115"/>
      <c r="P10" s="115"/>
    </row>
    <row r="11" spans="1:16" ht="69.95" customHeight="1">
      <c r="A11" s="840">
        <v>8</v>
      </c>
      <c r="B11" s="831">
        <v>1108</v>
      </c>
      <c r="C11" s="832">
        <v>11</v>
      </c>
      <c r="D11" s="832" t="s">
        <v>6</v>
      </c>
      <c r="E11" s="832">
        <v>123</v>
      </c>
      <c r="F11" s="833" t="s">
        <v>270</v>
      </c>
      <c r="G11" s="833" t="s">
        <v>274</v>
      </c>
      <c r="H11" s="833" t="s">
        <v>73</v>
      </c>
      <c r="I11" s="834">
        <v>39763</v>
      </c>
      <c r="J11" s="533" t="s">
        <v>271</v>
      </c>
      <c r="K11" s="524" t="s">
        <v>275</v>
      </c>
      <c r="L11" s="96">
        <v>360</v>
      </c>
      <c r="M11" s="841">
        <v>330</v>
      </c>
      <c r="N11" s="115"/>
      <c r="O11" s="115"/>
      <c r="P11" s="115"/>
    </row>
    <row r="12" spans="1:16" ht="69.95" customHeight="1">
      <c r="A12" s="840">
        <v>9</v>
      </c>
      <c r="B12" s="831">
        <v>1109</v>
      </c>
      <c r="C12" s="832">
        <v>11</v>
      </c>
      <c r="D12" s="832" t="s">
        <v>6</v>
      </c>
      <c r="E12" s="832">
        <v>345</v>
      </c>
      <c r="F12" s="833" t="s">
        <v>272</v>
      </c>
      <c r="G12" s="833" t="s">
        <v>272</v>
      </c>
      <c r="H12" s="833" t="s">
        <v>269</v>
      </c>
      <c r="I12" s="834">
        <v>40795</v>
      </c>
      <c r="J12" s="533" t="s">
        <v>7</v>
      </c>
      <c r="K12" s="524" t="s">
        <v>279</v>
      </c>
      <c r="L12" s="96">
        <v>340</v>
      </c>
      <c r="M12" s="841">
        <v>330</v>
      </c>
      <c r="N12" s="115"/>
      <c r="O12" s="115"/>
      <c r="P12" s="115"/>
    </row>
    <row r="13" spans="1:16" ht="69.95" customHeight="1">
      <c r="A13" s="840">
        <v>10</v>
      </c>
      <c r="B13" s="831">
        <v>1110</v>
      </c>
      <c r="C13" s="832">
        <v>11</v>
      </c>
      <c r="D13" s="832" t="s">
        <v>6</v>
      </c>
      <c r="E13" s="832">
        <v>678</v>
      </c>
      <c r="F13" s="833" t="s">
        <v>67</v>
      </c>
      <c r="G13" s="833" t="s">
        <v>271</v>
      </c>
      <c r="H13" s="833" t="s">
        <v>44</v>
      </c>
      <c r="I13" s="834">
        <v>38841</v>
      </c>
      <c r="J13" s="533" t="s">
        <v>271</v>
      </c>
      <c r="K13" s="524" t="s">
        <v>280</v>
      </c>
      <c r="L13" s="96">
        <v>330</v>
      </c>
      <c r="M13" s="841">
        <v>310</v>
      </c>
      <c r="N13" s="115"/>
      <c r="O13" s="115"/>
      <c r="P13" s="115"/>
    </row>
    <row r="14" spans="1:16" ht="69.95" customHeight="1">
      <c r="A14" s="840">
        <v>11</v>
      </c>
      <c r="B14" s="831">
        <v>1111</v>
      </c>
      <c r="C14" s="832">
        <v>11</v>
      </c>
      <c r="D14" s="832" t="s">
        <v>6</v>
      </c>
      <c r="E14" s="832">
        <v>654</v>
      </c>
      <c r="F14" s="833" t="s">
        <v>271</v>
      </c>
      <c r="G14" s="833" t="s">
        <v>269</v>
      </c>
      <c r="H14" s="833" t="s">
        <v>6</v>
      </c>
      <c r="I14" s="834">
        <v>39635</v>
      </c>
      <c r="J14" s="533" t="s">
        <v>271</v>
      </c>
      <c r="K14" s="524" t="s">
        <v>277</v>
      </c>
      <c r="L14" s="96">
        <v>370</v>
      </c>
      <c r="M14" s="841">
        <v>360</v>
      </c>
      <c r="N14" s="115"/>
      <c r="O14" s="115"/>
      <c r="P14" s="115"/>
    </row>
    <row r="15" spans="1:16" ht="69.95" customHeight="1">
      <c r="A15" s="840">
        <v>12</v>
      </c>
      <c r="B15" s="831"/>
      <c r="C15" s="832"/>
      <c r="D15" s="832"/>
      <c r="E15" s="832"/>
      <c r="F15" s="833"/>
      <c r="G15" s="833"/>
      <c r="H15" s="833"/>
      <c r="I15" s="834"/>
      <c r="J15" s="533"/>
      <c r="K15" s="524"/>
      <c r="L15" s="96"/>
      <c r="M15" s="841"/>
      <c r="N15" s="115"/>
      <c r="O15" s="115"/>
      <c r="P15" s="115"/>
    </row>
    <row r="16" spans="1:16" ht="69.95" customHeight="1">
      <c r="A16" s="840">
        <v>13</v>
      </c>
      <c r="B16" s="831"/>
      <c r="C16" s="832"/>
      <c r="D16" s="832"/>
      <c r="E16" s="832"/>
      <c r="F16" s="833"/>
      <c r="G16" s="833"/>
      <c r="H16" s="833"/>
      <c r="I16" s="834"/>
      <c r="J16" s="533"/>
      <c r="K16" s="524"/>
      <c r="L16" s="96"/>
      <c r="M16" s="841"/>
      <c r="N16" s="115"/>
      <c r="O16" s="115"/>
      <c r="P16" s="115"/>
    </row>
    <row r="17" spans="1:16" ht="69.95" customHeight="1">
      <c r="A17" s="840">
        <v>14</v>
      </c>
      <c r="B17" s="831"/>
      <c r="C17" s="832"/>
      <c r="D17" s="832"/>
      <c r="E17" s="832"/>
      <c r="F17" s="833"/>
      <c r="G17" s="833"/>
      <c r="H17" s="833"/>
      <c r="I17" s="834"/>
      <c r="J17" s="533"/>
      <c r="K17" s="524"/>
      <c r="L17" s="96"/>
      <c r="M17" s="841"/>
      <c r="N17" s="115"/>
      <c r="O17" s="115"/>
      <c r="P17" s="115"/>
    </row>
    <row r="18" spans="1:16" ht="69.95" customHeight="1">
      <c r="A18" s="840">
        <v>15</v>
      </c>
      <c r="B18" s="831"/>
      <c r="C18" s="832"/>
      <c r="D18" s="832"/>
      <c r="E18" s="832"/>
      <c r="F18" s="833"/>
      <c r="G18" s="833"/>
      <c r="H18" s="833"/>
      <c r="I18" s="834"/>
      <c r="J18" s="533"/>
      <c r="K18" s="524"/>
      <c r="L18" s="96"/>
      <c r="M18" s="841"/>
      <c r="N18" s="115"/>
      <c r="O18" s="115"/>
      <c r="P18" s="115"/>
    </row>
    <row r="19" spans="1:16" ht="69.95" customHeight="1">
      <c r="A19" s="840">
        <v>16</v>
      </c>
      <c r="B19" s="831"/>
      <c r="C19" s="832"/>
      <c r="D19" s="832"/>
      <c r="E19" s="832"/>
      <c r="F19" s="833"/>
      <c r="G19" s="833"/>
      <c r="H19" s="833"/>
      <c r="I19" s="834"/>
      <c r="J19" s="533"/>
      <c r="K19" s="524"/>
      <c r="L19" s="96"/>
      <c r="M19" s="841"/>
      <c r="N19" s="115"/>
      <c r="O19" s="115"/>
      <c r="P19" s="115"/>
    </row>
    <row r="20" spans="1:16" ht="69.95" customHeight="1">
      <c r="A20" s="840">
        <v>17</v>
      </c>
      <c r="B20" s="831"/>
      <c r="C20" s="832"/>
      <c r="D20" s="832"/>
      <c r="E20" s="832"/>
      <c r="F20" s="833"/>
      <c r="G20" s="833"/>
      <c r="H20" s="833"/>
      <c r="I20" s="834"/>
      <c r="J20" s="533"/>
      <c r="K20" s="524"/>
      <c r="L20" s="96"/>
      <c r="M20" s="841"/>
      <c r="N20" s="115"/>
      <c r="O20" s="115"/>
      <c r="P20" s="115"/>
    </row>
    <row r="21" spans="1:16" ht="69.95" customHeight="1">
      <c r="A21" s="840">
        <v>18</v>
      </c>
      <c r="B21" s="831"/>
      <c r="C21" s="832"/>
      <c r="D21" s="832"/>
      <c r="E21" s="832"/>
      <c r="F21" s="833"/>
      <c r="G21" s="833"/>
      <c r="H21" s="833"/>
      <c r="I21" s="834"/>
      <c r="J21" s="533"/>
      <c r="K21" s="524"/>
      <c r="L21" s="96"/>
      <c r="M21" s="841"/>
      <c r="N21" s="115"/>
      <c r="O21" s="115"/>
      <c r="P21" s="115"/>
    </row>
    <row r="22" spans="1:16" ht="69.95" customHeight="1">
      <c r="A22" s="840">
        <v>19</v>
      </c>
      <c r="B22" s="831"/>
      <c r="C22" s="832"/>
      <c r="D22" s="832"/>
      <c r="E22" s="832"/>
      <c r="F22" s="833"/>
      <c r="G22" s="833"/>
      <c r="H22" s="833"/>
      <c r="I22" s="834"/>
      <c r="J22" s="533"/>
      <c r="K22" s="524"/>
      <c r="L22" s="96"/>
      <c r="M22" s="841"/>
      <c r="N22" s="115"/>
      <c r="O22" s="115"/>
      <c r="P22" s="115"/>
    </row>
    <row r="23" spans="1:16" ht="69.95" customHeight="1">
      <c r="A23" s="840">
        <v>20</v>
      </c>
      <c r="B23" s="831"/>
      <c r="C23" s="832"/>
      <c r="D23" s="832"/>
      <c r="E23" s="832"/>
      <c r="F23" s="833"/>
      <c r="G23" s="833"/>
      <c r="H23" s="833"/>
      <c r="I23" s="834"/>
      <c r="J23" s="533"/>
      <c r="K23" s="524"/>
      <c r="L23" s="96"/>
      <c r="M23" s="841"/>
      <c r="N23" s="115"/>
      <c r="O23" s="115"/>
      <c r="P23" s="115"/>
    </row>
    <row r="24" spans="1:16" ht="69.95" customHeight="1">
      <c r="A24" s="840">
        <v>21</v>
      </c>
      <c r="B24" s="831"/>
      <c r="C24" s="832"/>
      <c r="D24" s="832"/>
      <c r="E24" s="832"/>
      <c r="F24" s="833"/>
      <c r="G24" s="833"/>
      <c r="H24" s="833"/>
      <c r="I24" s="834"/>
      <c r="J24" s="533"/>
      <c r="K24" s="524"/>
      <c r="L24" s="96"/>
      <c r="M24" s="841"/>
      <c r="N24" s="115"/>
      <c r="O24" s="115"/>
      <c r="P24" s="115"/>
    </row>
    <row r="25" spans="1:16" ht="69.95" customHeight="1">
      <c r="A25" s="840">
        <v>22</v>
      </c>
      <c r="B25" s="831"/>
      <c r="C25" s="832"/>
      <c r="D25" s="832"/>
      <c r="E25" s="832"/>
      <c r="F25" s="833"/>
      <c r="G25" s="833"/>
      <c r="H25" s="833"/>
      <c r="I25" s="834"/>
      <c r="J25" s="533"/>
      <c r="K25" s="524"/>
      <c r="L25" s="96"/>
      <c r="M25" s="841"/>
      <c r="N25" s="115"/>
      <c r="O25" s="115"/>
      <c r="P25" s="115"/>
    </row>
    <row r="26" spans="1:16" ht="69.95" customHeight="1">
      <c r="A26" s="840">
        <v>23</v>
      </c>
      <c r="B26" s="831"/>
      <c r="C26" s="832"/>
      <c r="D26" s="832"/>
      <c r="E26" s="832"/>
      <c r="F26" s="833"/>
      <c r="G26" s="833"/>
      <c r="H26" s="833"/>
      <c r="I26" s="834"/>
      <c r="J26" s="533"/>
      <c r="K26" s="524"/>
      <c r="L26" s="96"/>
      <c r="M26" s="841"/>
      <c r="N26" s="115"/>
      <c r="O26" s="115"/>
      <c r="P26" s="115"/>
    </row>
    <row r="27" spans="1:16" ht="69.95" customHeight="1">
      <c r="A27" s="840">
        <v>24</v>
      </c>
      <c r="B27" s="831"/>
      <c r="C27" s="832"/>
      <c r="D27" s="832"/>
      <c r="E27" s="832"/>
      <c r="F27" s="833"/>
      <c r="G27" s="833"/>
      <c r="H27" s="833"/>
      <c r="I27" s="834"/>
      <c r="J27" s="533"/>
      <c r="K27" s="524"/>
      <c r="L27" s="96"/>
      <c r="M27" s="841"/>
      <c r="N27" s="115"/>
      <c r="O27" s="115"/>
      <c r="P27" s="115"/>
    </row>
    <row r="28" spans="1:16" ht="69.95" customHeight="1">
      <c r="A28" s="840">
        <v>25</v>
      </c>
      <c r="B28" s="831"/>
      <c r="C28" s="832"/>
      <c r="D28" s="832"/>
      <c r="E28" s="832"/>
      <c r="F28" s="833"/>
      <c r="G28" s="833"/>
      <c r="H28" s="833"/>
      <c r="I28" s="834"/>
      <c r="J28" s="533"/>
      <c r="K28" s="524"/>
      <c r="L28" s="96"/>
      <c r="M28" s="841"/>
      <c r="N28" s="115"/>
      <c r="O28" s="115"/>
      <c r="P28" s="115"/>
    </row>
    <row r="29" spans="1:16" ht="69.95" customHeight="1">
      <c r="A29" s="840">
        <v>26</v>
      </c>
      <c r="B29" s="831"/>
      <c r="C29" s="832"/>
      <c r="D29" s="832"/>
      <c r="E29" s="832"/>
      <c r="F29" s="833"/>
      <c r="G29" s="833"/>
      <c r="H29" s="833"/>
      <c r="I29" s="834"/>
      <c r="J29" s="533"/>
      <c r="K29" s="524"/>
      <c r="L29" s="96"/>
      <c r="M29" s="841"/>
      <c r="N29" s="115"/>
      <c r="O29" s="115"/>
      <c r="P29" s="115"/>
    </row>
    <row r="30" spans="1:16" ht="69.95" customHeight="1">
      <c r="A30" s="840">
        <v>27</v>
      </c>
      <c r="B30" s="831"/>
      <c r="C30" s="832"/>
      <c r="D30" s="832"/>
      <c r="E30" s="832"/>
      <c r="F30" s="833"/>
      <c r="G30" s="833"/>
      <c r="H30" s="833"/>
      <c r="I30" s="834"/>
      <c r="J30" s="533"/>
      <c r="K30" s="524"/>
      <c r="L30" s="96"/>
      <c r="M30" s="841"/>
      <c r="N30" s="115"/>
      <c r="O30" s="115"/>
      <c r="P30" s="115"/>
    </row>
    <row r="31" spans="1:16" ht="69.95" customHeight="1">
      <c r="A31" s="840">
        <v>28</v>
      </c>
      <c r="B31" s="831"/>
      <c r="C31" s="832"/>
      <c r="D31" s="832"/>
      <c r="E31" s="832"/>
      <c r="F31" s="833"/>
      <c r="G31" s="833"/>
      <c r="H31" s="833"/>
      <c r="I31" s="834"/>
      <c r="J31" s="533"/>
      <c r="K31" s="524"/>
      <c r="L31" s="96"/>
      <c r="M31" s="841"/>
      <c r="N31" s="115"/>
      <c r="O31" s="115"/>
      <c r="P31" s="115"/>
    </row>
    <row r="32" spans="1:16" ht="69.95" customHeight="1">
      <c r="A32" s="840">
        <v>29</v>
      </c>
      <c r="B32" s="831"/>
      <c r="C32" s="832"/>
      <c r="D32" s="832"/>
      <c r="E32" s="832"/>
      <c r="F32" s="833"/>
      <c r="G32" s="833"/>
      <c r="H32" s="833"/>
      <c r="I32" s="834"/>
      <c r="J32" s="533"/>
      <c r="K32" s="524"/>
      <c r="L32" s="96"/>
      <c r="M32" s="841"/>
      <c r="N32" s="115"/>
      <c r="O32" s="115"/>
      <c r="P32" s="115"/>
    </row>
    <row r="33" spans="1:16" ht="69.95" customHeight="1">
      <c r="A33" s="840">
        <v>30</v>
      </c>
      <c r="B33" s="831"/>
      <c r="C33" s="832"/>
      <c r="D33" s="832"/>
      <c r="E33" s="832"/>
      <c r="F33" s="833"/>
      <c r="G33" s="833"/>
      <c r="H33" s="833"/>
      <c r="I33" s="834"/>
      <c r="J33" s="533"/>
      <c r="K33" s="524"/>
      <c r="L33" s="96"/>
      <c r="M33" s="841"/>
      <c r="N33" s="115"/>
      <c r="O33" s="115"/>
      <c r="P33" s="115"/>
    </row>
    <row r="34" spans="1:16" ht="69.95" customHeight="1">
      <c r="A34" s="840">
        <v>31</v>
      </c>
      <c r="B34" s="831"/>
      <c r="C34" s="832"/>
      <c r="D34" s="832"/>
      <c r="E34" s="832"/>
      <c r="F34" s="833"/>
      <c r="G34" s="833"/>
      <c r="H34" s="833"/>
      <c r="I34" s="834"/>
      <c r="J34" s="533"/>
      <c r="K34" s="524"/>
      <c r="L34" s="96"/>
      <c r="M34" s="841"/>
      <c r="N34" s="115"/>
      <c r="O34" s="115"/>
      <c r="P34" s="115"/>
    </row>
    <row r="35" spans="1:16" ht="69.95" customHeight="1">
      <c r="A35" s="840">
        <v>32</v>
      </c>
      <c r="B35" s="831"/>
      <c r="C35" s="832"/>
      <c r="D35" s="832"/>
      <c r="E35" s="832"/>
      <c r="F35" s="833"/>
      <c r="G35" s="833"/>
      <c r="H35" s="833"/>
      <c r="I35" s="834"/>
      <c r="J35" s="533"/>
      <c r="K35" s="524"/>
      <c r="L35" s="96"/>
      <c r="M35" s="841"/>
      <c r="N35" s="115"/>
      <c r="O35" s="115"/>
      <c r="P35" s="115"/>
    </row>
    <row r="36" spans="1:16" ht="69.95" customHeight="1">
      <c r="A36" s="840">
        <v>33</v>
      </c>
      <c r="B36" s="831"/>
      <c r="C36" s="832"/>
      <c r="D36" s="832"/>
      <c r="E36" s="832"/>
      <c r="F36" s="833"/>
      <c r="G36" s="833"/>
      <c r="H36" s="833"/>
      <c r="I36" s="834"/>
      <c r="J36" s="533"/>
      <c r="K36" s="524"/>
      <c r="L36" s="96"/>
      <c r="M36" s="841"/>
      <c r="N36" s="115"/>
      <c r="O36" s="115"/>
      <c r="P36" s="115"/>
    </row>
    <row r="37" spans="1:16" ht="69.95" customHeight="1">
      <c r="A37" s="840">
        <v>34</v>
      </c>
      <c r="B37" s="831"/>
      <c r="C37" s="832"/>
      <c r="D37" s="832"/>
      <c r="E37" s="832"/>
      <c r="F37" s="833"/>
      <c r="G37" s="833"/>
      <c r="H37" s="833"/>
      <c r="I37" s="834"/>
      <c r="J37" s="533"/>
      <c r="K37" s="524"/>
      <c r="L37" s="96"/>
      <c r="M37" s="841"/>
      <c r="N37" s="115"/>
      <c r="O37" s="115"/>
      <c r="P37" s="115"/>
    </row>
    <row r="38" spans="1:16" ht="69.95" customHeight="1">
      <c r="A38" s="840">
        <v>35</v>
      </c>
      <c r="B38" s="831"/>
      <c r="C38" s="832"/>
      <c r="D38" s="832"/>
      <c r="E38" s="832"/>
      <c r="F38" s="833"/>
      <c r="G38" s="833"/>
      <c r="H38" s="833"/>
      <c r="I38" s="834"/>
      <c r="J38" s="533"/>
      <c r="K38" s="524"/>
      <c r="L38" s="96"/>
      <c r="M38" s="841"/>
      <c r="N38" s="115"/>
      <c r="O38" s="115"/>
      <c r="P38" s="115"/>
    </row>
    <row r="39" spans="1:16" ht="69.95" customHeight="1">
      <c r="A39" s="840">
        <v>36</v>
      </c>
      <c r="B39" s="831"/>
      <c r="C39" s="832"/>
      <c r="D39" s="832"/>
      <c r="E39" s="832"/>
      <c r="F39" s="833"/>
      <c r="G39" s="833"/>
      <c r="H39" s="833"/>
      <c r="I39" s="834"/>
      <c r="J39" s="533"/>
      <c r="K39" s="524"/>
      <c r="L39" s="96"/>
      <c r="M39" s="841"/>
      <c r="N39" s="115"/>
      <c r="O39" s="115"/>
      <c r="P39" s="115"/>
    </row>
    <row r="40" spans="1:16" ht="69.95" customHeight="1">
      <c r="A40" s="840">
        <v>37</v>
      </c>
      <c r="B40" s="831"/>
      <c r="C40" s="832"/>
      <c r="D40" s="832"/>
      <c r="E40" s="832"/>
      <c r="F40" s="833"/>
      <c r="G40" s="833"/>
      <c r="H40" s="833"/>
      <c r="I40" s="834"/>
      <c r="J40" s="533"/>
      <c r="K40" s="524"/>
      <c r="L40" s="96"/>
      <c r="M40" s="841"/>
      <c r="N40" s="115"/>
      <c r="O40" s="115"/>
      <c r="P40" s="115"/>
    </row>
    <row r="41" spans="1:16" ht="69.95" customHeight="1">
      <c r="A41" s="840">
        <v>38</v>
      </c>
      <c r="B41" s="831"/>
      <c r="C41" s="832"/>
      <c r="D41" s="832"/>
      <c r="E41" s="832"/>
      <c r="F41" s="833"/>
      <c r="G41" s="833"/>
      <c r="H41" s="833"/>
      <c r="I41" s="834"/>
      <c r="J41" s="533"/>
      <c r="K41" s="524"/>
      <c r="L41" s="96"/>
      <c r="M41" s="841"/>
      <c r="N41" s="115"/>
      <c r="O41" s="115"/>
      <c r="P41" s="115"/>
    </row>
    <row r="42" spans="1:16" ht="69.95" customHeight="1">
      <c r="A42" s="840">
        <v>39</v>
      </c>
      <c r="B42" s="831"/>
      <c r="C42" s="832"/>
      <c r="D42" s="832"/>
      <c r="E42" s="832"/>
      <c r="F42" s="833"/>
      <c r="G42" s="833"/>
      <c r="H42" s="833"/>
      <c r="I42" s="834"/>
      <c r="J42" s="533"/>
      <c r="K42" s="524"/>
      <c r="L42" s="96"/>
      <c r="M42" s="841"/>
      <c r="N42" s="115"/>
      <c r="O42" s="115"/>
      <c r="P42" s="115"/>
    </row>
    <row r="43" spans="1:16" ht="69.95" customHeight="1">
      <c r="A43" s="840">
        <v>40</v>
      </c>
      <c r="B43" s="831"/>
      <c r="C43" s="832"/>
      <c r="D43" s="832"/>
      <c r="E43" s="832"/>
      <c r="F43" s="833"/>
      <c r="G43" s="833"/>
      <c r="H43" s="833"/>
      <c r="I43" s="834"/>
      <c r="J43" s="533"/>
      <c r="K43" s="524"/>
      <c r="L43" s="96"/>
      <c r="M43" s="841"/>
      <c r="N43" s="115"/>
      <c r="O43" s="115"/>
      <c r="P43" s="115"/>
    </row>
    <row r="44" spans="1:16" ht="69.95" customHeight="1">
      <c r="A44" s="840">
        <v>41</v>
      </c>
      <c r="B44" s="831"/>
      <c r="C44" s="832"/>
      <c r="D44" s="832"/>
      <c r="E44" s="832"/>
      <c r="F44" s="833"/>
      <c r="G44" s="833"/>
      <c r="H44" s="833"/>
      <c r="I44" s="834"/>
      <c r="J44" s="533"/>
      <c r="K44" s="524"/>
      <c r="L44" s="96"/>
      <c r="M44" s="841"/>
      <c r="N44" s="115"/>
      <c r="O44" s="115"/>
      <c r="P44" s="115"/>
    </row>
    <row r="45" spans="1:16" ht="69.95" customHeight="1">
      <c r="A45" s="840">
        <v>42</v>
      </c>
      <c r="B45" s="831"/>
      <c r="C45" s="832"/>
      <c r="D45" s="832"/>
      <c r="E45" s="832"/>
      <c r="F45" s="833"/>
      <c r="G45" s="833"/>
      <c r="H45" s="833"/>
      <c r="I45" s="834"/>
      <c r="J45" s="533"/>
      <c r="K45" s="524"/>
      <c r="L45" s="96"/>
      <c r="M45" s="841"/>
      <c r="N45" s="115"/>
      <c r="O45" s="115"/>
      <c r="P45" s="115"/>
    </row>
    <row r="46" spans="1:16" ht="69.95" customHeight="1">
      <c r="A46" s="840">
        <v>43</v>
      </c>
      <c r="B46" s="831"/>
      <c r="C46" s="832"/>
      <c r="D46" s="832"/>
      <c r="E46" s="832"/>
      <c r="F46" s="833"/>
      <c r="G46" s="833"/>
      <c r="H46" s="833"/>
      <c r="I46" s="834"/>
      <c r="J46" s="533"/>
      <c r="K46" s="524"/>
      <c r="L46" s="96"/>
      <c r="M46" s="841"/>
      <c r="N46" s="115"/>
      <c r="O46" s="115"/>
      <c r="P46" s="115"/>
    </row>
    <row r="47" spans="1:16" ht="69.95" customHeight="1">
      <c r="A47" s="840">
        <v>44</v>
      </c>
      <c r="B47" s="831"/>
      <c r="C47" s="832"/>
      <c r="D47" s="832"/>
      <c r="E47" s="832"/>
      <c r="F47" s="833"/>
      <c r="G47" s="833"/>
      <c r="H47" s="833"/>
      <c r="I47" s="834"/>
      <c r="J47" s="533"/>
      <c r="K47" s="524"/>
      <c r="L47" s="96"/>
      <c r="M47" s="841"/>
      <c r="N47" s="115"/>
      <c r="O47" s="115"/>
      <c r="P47" s="115"/>
    </row>
    <row r="48" spans="1:16" ht="69.95" customHeight="1">
      <c r="A48" s="840">
        <v>45</v>
      </c>
      <c r="B48" s="831"/>
      <c r="C48" s="832"/>
      <c r="D48" s="832"/>
      <c r="E48" s="832"/>
      <c r="F48" s="833"/>
      <c r="G48" s="833"/>
      <c r="H48" s="833"/>
      <c r="I48" s="834"/>
      <c r="J48" s="533"/>
      <c r="K48" s="524"/>
      <c r="L48" s="96"/>
      <c r="M48" s="841"/>
      <c r="N48" s="115"/>
      <c r="O48" s="115"/>
      <c r="P48" s="115"/>
    </row>
    <row r="49" spans="1:16" ht="69.95" customHeight="1">
      <c r="A49" s="840">
        <v>46</v>
      </c>
      <c r="B49" s="831"/>
      <c r="C49" s="832"/>
      <c r="D49" s="832"/>
      <c r="E49" s="832"/>
      <c r="F49" s="833"/>
      <c r="G49" s="833"/>
      <c r="H49" s="833"/>
      <c r="I49" s="834"/>
      <c r="J49" s="533"/>
      <c r="K49" s="524"/>
      <c r="L49" s="96"/>
      <c r="M49" s="841"/>
      <c r="N49" s="115"/>
      <c r="O49" s="115"/>
      <c r="P49" s="115"/>
    </row>
    <row r="50" spans="1:16" ht="69.95" customHeight="1">
      <c r="A50" s="840">
        <v>47</v>
      </c>
      <c r="B50" s="831"/>
      <c r="C50" s="832"/>
      <c r="D50" s="832"/>
      <c r="E50" s="832"/>
      <c r="F50" s="833"/>
      <c r="G50" s="833"/>
      <c r="H50" s="833"/>
      <c r="I50" s="834"/>
      <c r="J50" s="533"/>
      <c r="K50" s="524"/>
      <c r="L50" s="96"/>
      <c r="M50" s="841"/>
      <c r="N50" s="115"/>
      <c r="O50" s="115"/>
      <c r="P50" s="115"/>
    </row>
    <row r="51" spans="1:16" ht="69.95" customHeight="1">
      <c r="A51" s="840">
        <v>48</v>
      </c>
      <c r="B51" s="831"/>
      <c r="C51" s="832"/>
      <c r="D51" s="832"/>
      <c r="E51" s="832"/>
      <c r="F51" s="833"/>
      <c r="G51" s="833"/>
      <c r="H51" s="833"/>
      <c r="I51" s="834"/>
      <c r="J51" s="533"/>
      <c r="K51" s="524"/>
      <c r="L51" s="96"/>
      <c r="M51" s="841"/>
      <c r="N51" s="115"/>
      <c r="O51" s="115"/>
      <c r="P51" s="115"/>
    </row>
    <row r="52" spans="1:16" ht="69.95" customHeight="1">
      <c r="A52" s="840">
        <v>49</v>
      </c>
      <c r="B52" s="831"/>
      <c r="C52" s="832"/>
      <c r="D52" s="832"/>
      <c r="E52" s="832"/>
      <c r="F52" s="833"/>
      <c r="G52" s="833"/>
      <c r="H52" s="833"/>
      <c r="I52" s="834"/>
      <c r="J52" s="533"/>
      <c r="K52" s="524"/>
      <c r="L52" s="96"/>
      <c r="M52" s="841"/>
      <c r="N52" s="115"/>
      <c r="O52" s="115"/>
      <c r="P52" s="115"/>
    </row>
    <row r="53" spans="1:16" ht="69.95" customHeight="1">
      <c r="A53" s="840">
        <v>50</v>
      </c>
      <c r="B53" s="831"/>
      <c r="C53" s="832"/>
      <c r="D53" s="832"/>
      <c r="E53" s="832"/>
      <c r="F53" s="833"/>
      <c r="G53" s="833"/>
      <c r="H53" s="833"/>
      <c r="I53" s="834"/>
      <c r="J53" s="533"/>
      <c r="K53" s="524"/>
      <c r="L53" s="96"/>
      <c r="M53" s="841"/>
      <c r="N53" s="115"/>
      <c r="O53" s="115"/>
      <c r="P53" s="115"/>
    </row>
    <row r="54" spans="1:16" ht="69.95" customHeight="1">
      <c r="A54" s="840">
        <v>51</v>
      </c>
      <c r="B54" s="831"/>
      <c r="C54" s="832"/>
      <c r="D54" s="832"/>
      <c r="E54" s="832"/>
      <c r="F54" s="833"/>
      <c r="G54" s="833"/>
      <c r="H54" s="833"/>
      <c r="I54" s="834"/>
      <c r="J54" s="533"/>
      <c r="K54" s="524"/>
      <c r="L54" s="96"/>
      <c r="M54" s="841"/>
      <c r="N54" s="115"/>
      <c r="O54" s="115"/>
      <c r="P54" s="115"/>
    </row>
    <row r="55" spans="1:16" ht="69.95" customHeight="1">
      <c r="A55" s="840">
        <v>52</v>
      </c>
      <c r="B55" s="831"/>
      <c r="C55" s="832"/>
      <c r="D55" s="832"/>
      <c r="E55" s="832"/>
      <c r="F55" s="833"/>
      <c r="G55" s="833"/>
      <c r="H55" s="833"/>
      <c r="I55" s="834"/>
      <c r="J55" s="533"/>
      <c r="K55" s="524"/>
      <c r="L55" s="96"/>
      <c r="M55" s="841"/>
      <c r="N55" s="115"/>
      <c r="O55" s="115"/>
      <c r="P55" s="115"/>
    </row>
    <row r="56" spans="1:16" ht="69.95" customHeight="1">
      <c r="A56" s="840">
        <v>53</v>
      </c>
      <c r="B56" s="831"/>
      <c r="C56" s="832"/>
      <c r="D56" s="832"/>
      <c r="E56" s="832"/>
      <c r="F56" s="833"/>
      <c r="G56" s="833"/>
      <c r="H56" s="833"/>
      <c r="I56" s="834"/>
      <c r="J56" s="533"/>
      <c r="K56" s="524"/>
      <c r="L56" s="96"/>
      <c r="M56" s="841"/>
      <c r="N56" s="115"/>
      <c r="O56" s="115"/>
      <c r="P56" s="115"/>
    </row>
    <row r="57" spans="1:16" ht="69.95" customHeight="1">
      <c r="A57" s="840">
        <v>54</v>
      </c>
      <c r="B57" s="831"/>
      <c r="C57" s="832"/>
      <c r="D57" s="832"/>
      <c r="E57" s="832"/>
      <c r="F57" s="833"/>
      <c r="G57" s="833"/>
      <c r="H57" s="833"/>
      <c r="I57" s="834"/>
      <c r="J57" s="533"/>
      <c r="K57" s="524"/>
      <c r="L57" s="96"/>
      <c r="M57" s="841"/>
      <c r="N57" s="115"/>
      <c r="O57" s="115"/>
      <c r="P57" s="115"/>
    </row>
    <row r="58" spans="1:16" ht="69.95" customHeight="1">
      <c r="A58" s="840">
        <v>55</v>
      </c>
      <c r="B58" s="831"/>
      <c r="C58" s="832"/>
      <c r="D58" s="832"/>
      <c r="E58" s="832"/>
      <c r="F58" s="833"/>
      <c r="G58" s="833"/>
      <c r="H58" s="833"/>
      <c r="I58" s="834"/>
      <c r="J58" s="533"/>
      <c r="K58" s="524"/>
      <c r="L58" s="96"/>
      <c r="M58" s="841"/>
      <c r="N58" s="115"/>
      <c r="O58" s="115"/>
      <c r="P58" s="115"/>
    </row>
    <row r="59" spans="1:16" ht="69.95" customHeight="1">
      <c r="A59" s="840">
        <v>56</v>
      </c>
      <c r="B59" s="831"/>
      <c r="C59" s="832"/>
      <c r="D59" s="832"/>
      <c r="E59" s="832"/>
      <c r="F59" s="833"/>
      <c r="G59" s="833"/>
      <c r="H59" s="833"/>
      <c r="I59" s="834"/>
      <c r="J59" s="533"/>
      <c r="K59" s="524"/>
      <c r="L59" s="96"/>
      <c r="M59" s="841"/>
      <c r="N59" s="115"/>
      <c r="O59" s="115"/>
      <c r="P59" s="115"/>
    </row>
    <row r="60" spans="1:16" ht="69.95" customHeight="1">
      <c r="A60" s="840">
        <v>57</v>
      </c>
      <c r="B60" s="831"/>
      <c r="C60" s="832"/>
      <c r="D60" s="832"/>
      <c r="E60" s="832"/>
      <c r="F60" s="833"/>
      <c r="G60" s="833"/>
      <c r="H60" s="833"/>
      <c r="I60" s="834"/>
      <c r="J60" s="533"/>
      <c r="K60" s="524"/>
      <c r="L60" s="96"/>
      <c r="M60" s="841"/>
      <c r="N60" s="115"/>
      <c r="O60" s="115"/>
      <c r="P60" s="115"/>
    </row>
    <row r="61" spans="1:16" ht="69.95" customHeight="1">
      <c r="A61" s="840">
        <v>58</v>
      </c>
      <c r="B61" s="831"/>
      <c r="C61" s="832"/>
      <c r="D61" s="832"/>
      <c r="E61" s="832"/>
      <c r="F61" s="833"/>
      <c r="G61" s="833"/>
      <c r="H61" s="833"/>
      <c r="I61" s="834"/>
      <c r="J61" s="533"/>
      <c r="K61" s="524"/>
      <c r="L61" s="96"/>
      <c r="M61" s="841"/>
      <c r="N61" s="115"/>
      <c r="O61" s="115"/>
      <c r="P61" s="115"/>
    </row>
    <row r="62" spans="1:16" ht="69.95" customHeight="1">
      <c r="A62" s="840">
        <v>59</v>
      </c>
      <c r="B62" s="831"/>
      <c r="C62" s="832"/>
      <c r="D62" s="832"/>
      <c r="E62" s="832"/>
      <c r="F62" s="833"/>
      <c r="G62" s="833"/>
      <c r="H62" s="833"/>
      <c r="I62" s="834"/>
      <c r="J62" s="533"/>
      <c r="K62" s="524"/>
      <c r="L62" s="96"/>
      <c r="M62" s="841"/>
      <c r="N62" s="115"/>
      <c r="O62" s="115"/>
      <c r="P62" s="115"/>
    </row>
    <row r="63" spans="1:16" ht="69.95" customHeight="1">
      <c r="A63" s="840">
        <v>60</v>
      </c>
      <c r="B63" s="831"/>
      <c r="C63" s="832"/>
      <c r="D63" s="832"/>
      <c r="E63" s="832"/>
      <c r="F63" s="833"/>
      <c r="G63" s="833"/>
      <c r="H63" s="833"/>
      <c r="I63" s="834"/>
      <c r="J63" s="533"/>
      <c r="K63" s="524"/>
      <c r="L63" s="96"/>
      <c r="M63" s="841"/>
      <c r="N63" s="115"/>
      <c r="O63" s="115"/>
      <c r="P63" s="115"/>
    </row>
    <row r="64" spans="1:16" ht="69.95" customHeight="1">
      <c r="A64" s="840">
        <v>61</v>
      </c>
      <c r="B64" s="831"/>
      <c r="C64" s="832"/>
      <c r="D64" s="832"/>
      <c r="E64" s="832"/>
      <c r="F64" s="833"/>
      <c r="G64" s="833"/>
      <c r="H64" s="833"/>
      <c r="I64" s="834"/>
      <c r="J64" s="533"/>
      <c r="K64" s="524"/>
      <c r="L64" s="96"/>
      <c r="M64" s="841"/>
      <c r="N64" s="115"/>
      <c r="O64" s="115"/>
      <c r="P64" s="115"/>
    </row>
    <row r="65" spans="1:16" ht="69.95" customHeight="1">
      <c r="A65" s="840">
        <v>62</v>
      </c>
      <c r="B65" s="831"/>
      <c r="C65" s="832"/>
      <c r="D65" s="832"/>
      <c r="E65" s="832"/>
      <c r="F65" s="833"/>
      <c r="G65" s="833"/>
      <c r="H65" s="833"/>
      <c r="I65" s="834"/>
      <c r="J65" s="533"/>
      <c r="K65" s="524"/>
      <c r="L65" s="96"/>
      <c r="M65" s="841"/>
      <c r="N65" s="115"/>
      <c r="O65" s="115"/>
      <c r="P65" s="115"/>
    </row>
    <row r="66" spans="1:16" ht="69.95" customHeight="1">
      <c r="A66" s="840">
        <v>63</v>
      </c>
      <c r="B66" s="831"/>
      <c r="C66" s="832"/>
      <c r="D66" s="832"/>
      <c r="E66" s="832"/>
      <c r="F66" s="833"/>
      <c r="G66" s="833"/>
      <c r="H66" s="833"/>
      <c r="I66" s="834"/>
      <c r="J66" s="533"/>
      <c r="K66" s="524"/>
      <c r="L66" s="96"/>
      <c r="M66" s="841"/>
      <c r="N66" s="115"/>
      <c r="O66" s="115"/>
      <c r="P66" s="115"/>
    </row>
    <row r="67" spans="1:16" ht="69.95" customHeight="1">
      <c r="A67" s="840">
        <v>64</v>
      </c>
      <c r="B67" s="831"/>
      <c r="C67" s="832"/>
      <c r="D67" s="832"/>
      <c r="E67" s="832"/>
      <c r="F67" s="833"/>
      <c r="G67" s="833"/>
      <c r="H67" s="833"/>
      <c r="I67" s="834"/>
      <c r="J67" s="533"/>
      <c r="K67" s="524"/>
      <c r="L67" s="96"/>
      <c r="M67" s="841"/>
      <c r="N67" s="115"/>
      <c r="O67" s="115"/>
      <c r="P67" s="115"/>
    </row>
    <row r="68" spans="1:16" ht="69.95" customHeight="1">
      <c r="A68" s="840">
        <v>65</v>
      </c>
      <c r="B68" s="831"/>
      <c r="C68" s="832"/>
      <c r="D68" s="832"/>
      <c r="E68" s="832"/>
      <c r="F68" s="833"/>
      <c r="G68" s="833"/>
      <c r="H68" s="833"/>
      <c r="I68" s="834"/>
      <c r="J68" s="533"/>
      <c r="K68" s="524"/>
      <c r="L68" s="96"/>
      <c r="M68" s="841"/>
      <c r="N68" s="115"/>
      <c r="O68" s="115"/>
      <c r="P68" s="115"/>
    </row>
    <row r="69" spans="1:16" ht="69.95" customHeight="1">
      <c r="A69" s="840">
        <v>66</v>
      </c>
      <c r="B69" s="831"/>
      <c r="C69" s="832"/>
      <c r="D69" s="832"/>
      <c r="E69" s="832"/>
      <c r="F69" s="833"/>
      <c r="G69" s="833"/>
      <c r="H69" s="833"/>
      <c r="I69" s="834"/>
      <c r="J69" s="533"/>
      <c r="K69" s="524"/>
      <c r="L69" s="96"/>
      <c r="M69" s="841"/>
      <c r="N69" s="115"/>
      <c r="O69" s="115"/>
      <c r="P69" s="115"/>
    </row>
    <row r="70" spans="1:16" ht="69.95" customHeight="1">
      <c r="A70" s="840">
        <v>67</v>
      </c>
      <c r="B70" s="831"/>
      <c r="C70" s="832"/>
      <c r="D70" s="832"/>
      <c r="E70" s="832"/>
      <c r="F70" s="833"/>
      <c r="G70" s="833"/>
      <c r="H70" s="833"/>
      <c r="I70" s="834"/>
      <c r="J70" s="533"/>
      <c r="K70" s="524"/>
      <c r="L70" s="96"/>
      <c r="M70" s="841"/>
      <c r="N70" s="115"/>
      <c r="O70" s="115"/>
      <c r="P70" s="115"/>
    </row>
    <row r="71" spans="1:16" ht="69.95" customHeight="1">
      <c r="A71" s="840">
        <v>68</v>
      </c>
      <c r="B71" s="831"/>
      <c r="C71" s="832"/>
      <c r="D71" s="832"/>
      <c r="E71" s="832"/>
      <c r="F71" s="833"/>
      <c r="G71" s="833"/>
      <c r="H71" s="833"/>
      <c r="I71" s="834"/>
      <c r="J71" s="533"/>
      <c r="K71" s="524"/>
      <c r="L71" s="96"/>
      <c r="M71" s="841"/>
      <c r="N71" s="115"/>
      <c r="O71" s="115"/>
      <c r="P71" s="115"/>
    </row>
    <row r="72" spans="1:16" ht="69.95" customHeight="1">
      <c r="A72" s="840">
        <v>69</v>
      </c>
      <c r="B72" s="831"/>
      <c r="C72" s="832"/>
      <c r="D72" s="832"/>
      <c r="E72" s="832"/>
      <c r="F72" s="833"/>
      <c r="G72" s="833"/>
      <c r="H72" s="833"/>
      <c r="I72" s="834"/>
      <c r="J72" s="533"/>
      <c r="K72" s="524"/>
      <c r="L72" s="96"/>
      <c r="M72" s="841"/>
      <c r="N72" s="115"/>
      <c r="O72" s="115"/>
      <c r="P72" s="115"/>
    </row>
    <row r="73" spans="1:16" ht="69.95" customHeight="1">
      <c r="A73" s="840">
        <v>70</v>
      </c>
      <c r="B73" s="831"/>
      <c r="C73" s="832"/>
      <c r="D73" s="832"/>
      <c r="E73" s="832"/>
      <c r="F73" s="833"/>
      <c r="G73" s="833"/>
      <c r="H73" s="833"/>
      <c r="I73" s="834"/>
      <c r="J73" s="533"/>
      <c r="K73" s="524"/>
      <c r="L73" s="96"/>
      <c r="M73" s="841"/>
      <c r="N73" s="115"/>
      <c r="O73" s="115"/>
      <c r="P73" s="115"/>
    </row>
    <row r="74" spans="1:16" ht="69.95" customHeight="1">
      <c r="A74" s="840">
        <v>71</v>
      </c>
      <c r="B74" s="831"/>
      <c r="C74" s="832"/>
      <c r="D74" s="832"/>
      <c r="E74" s="832"/>
      <c r="F74" s="833"/>
      <c r="G74" s="833"/>
      <c r="H74" s="833"/>
      <c r="I74" s="834"/>
      <c r="J74" s="533"/>
      <c r="K74" s="524"/>
      <c r="L74" s="96"/>
      <c r="M74" s="841"/>
      <c r="N74" s="115"/>
      <c r="O74" s="115"/>
      <c r="P74" s="115"/>
    </row>
    <row r="75" spans="1:16" ht="69.95" customHeight="1">
      <c r="A75" s="840">
        <v>72</v>
      </c>
      <c r="B75" s="831"/>
      <c r="C75" s="832"/>
      <c r="D75" s="832"/>
      <c r="E75" s="832"/>
      <c r="F75" s="833"/>
      <c r="G75" s="833"/>
      <c r="H75" s="833"/>
      <c r="I75" s="834"/>
      <c r="J75" s="533"/>
      <c r="K75" s="524"/>
      <c r="L75" s="96"/>
      <c r="M75" s="841"/>
      <c r="N75" s="115"/>
      <c r="O75" s="115"/>
      <c r="P75" s="115"/>
    </row>
    <row r="76" spans="1:16" ht="69.95" customHeight="1">
      <c r="A76" s="840">
        <v>73</v>
      </c>
      <c r="B76" s="831"/>
      <c r="C76" s="832"/>
      <c r="D76" s="832"/>
      <c r="E76" s="832"/>
      <c r="F76" s="833"/>
      <c r="G76" s="833"/>
      <c r="H76" s="833"/>
      <c r="I76" s="834"/>
      <c r="J76" s="533"/>
      <c r="K76" s="524"/>
      <c r="L76" s="96"/>
      <c r="M76" s="841"/>
      <c r="N76" s="115"/>
      <c r="O76" s="115"/>
      <c r="P76" s="115"/>
    </row>
    <row r="77" spans="1:16" ht="69.95" customHeight="1">
      <c r="A77" s="840">
        <v>74</v>
      </c>
      <c r="B77" s="831"/>
      <c r="C77" s="832"/>
      <c r="D77" s="832"/>
      <c r="E77" s="832"/>
      <c r="F77" s="833"/>
      <c r="G77" s="833"/>
      <c r="H77" s="833"/>
      <c r="I77" s="834"/>
      <c r="J77" s="533"/>
      <c r="K77" s="524"/>
      <c r="L77" s="96"/>
      <c r="M77" s="841"/>
      <c r="N77" s="115"/>
      <c r="O77" s="115"/>
      <c r="P77" s="115"/>
    </row>
    <row r="78" spans="1:16" ht="69.95" customHeight="1">
      <c r="A78" s="840">
        <v>75</v>
      </c>
      <c r="B78" s="831"/>
      <c r="C78" s="832"/>
      <c r="D78" s="832"/>
      <c r="E78" s="832"/>
      <c r="F78" s="833"/>
      <c r="G78" s="833"/>
      <c r="H78" s="833"/>
      <c r="I78" s="834"/>
      <c r="J78" s="533"/>
      <c r="K78" s="524"/>
      <c r="L78" s="96"/>
      <c r="M78" s="841"/>
      <c r="N78" s="115"/>
      <c r="O78" s="115"/>
      <c r="P78" s="115"/>
    </row>
    <row r="79" spans="1:16" ht="69.95" customHeight="1">
      <c r="A79" s="840">
        <v>76</v>
      </c>
      <c r="B79" s="831"/>
      <c r="C79" s="832"/>
      <c r="D79" s="832"/>
      <c r="E79" s="832"/>
      <c r="F79" s="833"/>
      <c r="G79" s="833"/>
      <c r="H79" s="833"/>
      <c r="I79" s="834"/>
      <c r="J79" s="533"/>
      <c r="K79" s="524"/>
      <c r="L79" s="96"/>
      <c r="M79" s="841"/>
      <c r="N79" s="115"/>
      <c r="O79" s="115"/>
      <c r="P79" s="115"/>
    </row>
    <row r="80" spans="1:16" ht="69.95" customHeight="1">
      <c r="A80" s="840">
        <v>77</v>
      </c>
      <c r="B80" s="831"/>
      <c r="C80" s="832"/>
      <c r="D80" s="832"/>
      <c r="E80" s="832"/>
      <c r="F80" s="833"/>
      <c r="G80" s="833"/>
      <c r="H80" s="833"/>
      <c r="I80" s="834"/>
      <c r="J80" s="533"/>
      <c r="K80" s="524"/>
      <c r="L80" s="96"/>
      <c r="M80" s="841"/>
      <c r="N80" s="115"/>
      <c r="O80" s="115"/>
      <c r="P80" s="115"/>
    </row>
    <row r="81" spans="1:16" ht="69.95" customHeight="1">
      <c r="A81" s="840">
        <v>78</v>
      </c>
      <c r="B81" s="831"/>
      <c r="C81" s="832"/>
      <c r="D81" s="832"/>
      <c r="E81" s="832"/>
      <c r="F81" s="833"/>
      <c r="G81" s="833"/>
      <c r="H81" s="833"/>
      <c r="I81" s="834"/>
      <c r="J81" s="533"/>
      <c r="K81" s="524"/>
      <c r="L81" s="96"/>
      <c r="M81" s="841"/>
      <c r="N81" s="115"/>
      <c r="O81" s="115"/>
      <c r="P81" s="115"/>
    </row>
    <row r="82" spans="1:16" ht="69.95" customHeight="1">
      <c r="A82" s="840">
        <v>79</v>
      </c>
      <c r="B82" s="831"/>
      <c r="C82" s="832"/>
      <c r="D82" s="832"/>
      <c r="E82" s="832"/>
      <c r="F82" s="833"/>
      <c r="G82" s="833"/>
      <c r="H82" s="833"/>
      <c r="I82" s="834"/>
      <c r="J82" s="533"/>
      <c r="K82" s="524"/>
      <c r="L82" s="96"/>
      <c r="M82" s="841"/>
      <c r="N82" s="115"/>
      <c r="O82" s="115"/>
      <c r="P82" s="115"/>
    </row>
    <row r="83" spans="1:16" ht="69.95" customHeight="1">
      <c r="A83" s="840">
        <v>80</v>
      </c>
      <c r="B83" s="831"/>
      <c r="C83" s="832"/>
      <c r="D83" s="832"/>
      <c r="E83" s="832"/>
      <c r="F83" s="833"/>
      <c r="G83" s="833"/>
      <c r="H83" s="833"/>
      <c r="I83" s="834"/>
      <c r="J83" s="533"/>
      <c r="K83" s="524"/>
      <c r="L83" s="96"/>
      <c r="M83" s="841"/>
      <c r="N83" s="115"/>
      <c r="O83" s="115"/>
      <c r="P83" s="115"/>
    </row>
    <row r="84" spans="1:16" ht="69.95" customHeight="1">
      <c r="A84" s="840">
        <v>81</v>
      </c>
      <c r="B84" s="831"/>
      <c r="C84" s="832"/>
      <c r="D84" s="832"/>
      <c r="E84" s="832"/>
      <c r="F84" s="833"/>
      <c r="G84" s="833"/>
      <c r="H84" s="833"/>
      <c r="I84" s="834"/>
      <c r="J84" s="533"/>
      <c r="K84" s="524"/>
      <c r="L84" s="96"/>
      <c r="M84" s="841"/>
      <c r="N84" s="115"/>
      <c r="O84" s="115"/>
      <c r="P84" s="115"/>
    </row>
    <row r="85" spans="1:16" ht="69.95" customHeight="1">
      <c r="A85" s="840">
        <v>82</v>
      </c>
      <c r="B85" s="831"/>
      <c r="C85" s="832"/>
      <c r="D85" s="832"/>
      <c r="E85" s="832"/>
      <c r="F85" s="833"/>
      <c r="G85" s="833"/>
      <c r="H85" s="833"/>
      <c r="I85" s="834"/>
      <c r="J85" s="533"/>
      <c r="K85" s="524"/>
      <c r="L85" s="96"/>
      <c r="M85" s="841"/>
      <c r="N85" s="115"/>
      <c r="O85" s="115"/>
      <c r="P85" s="115"/>
    </row>
    <row r="86" spans="1:16" ht="69.95" customHeight="1">
      <c r="A86" s="840">
        <v>83</v>
      </c>
      <c r="B86" s="831"/>
      <c r="C86" s="832"/>
      <c r="D86" s="832"/>
      <c r="E86" s="832"/>
      <c r="F86" s="833"/>
      <c r="G86" s="833"/>
      <c r="H86" s="833"/>
      <c r="I86" s="834"/>
      <c r="J86" s="533"/>
      <c r="K86" s="524"/>
      <c r="L86" s="96"/>
      <c r="M86" s="841"/>
      <c r="N86" s="115"/>
      <c r="O86" s="115"/>
      <c r="P86" s="115"/>
    </row>
    <row r="87" spans="1:16" ht="69.95" customHeight="1">
      <c r="A87" s="840">
        <v>84</v>
      </c>
      <c r="B87" s="831"/>
      <c r="C87" s="832"/>
      <c r="D87" s="832"/>
      <c r="E87" s="832"/>
      <c r="F87" s="833"/>
      <c r="G87" s="833"/>
      <c r="H87" s="833"/>
      <c r="I87" s="834"/>
      <c r="J87" s="533"/>
      <c r="K87" s="524"/>
      <c r="L87" s="96"/>
      <c r="M87" s="841"/>
      <c r="N87" s="115"/>
      <c r="O87" s="115"/>
      <c r="P87" s="115"/>
    </row>
    <row r="88" spans="1:16" ht="69.95" customHeight="1">
      <c r="A88" s="840">
        <v>85</v>
      </c>
      <c r="B88" s="831"/>
      <c r="C88" s="832"/>
      <c r="D88" s="832"/>
      <c r="E88" s="832"/>
      <c r="F88" s="833"/>
      <c r="G88" s="833"/>
      <c r="H88" s="833"/>
      <c r="I88" s="834"/>
      <c r="J88" s="533"/>
      <c r="K88" s="524"/>
      <c r="L88" s="96"/>
      <c r="M88" s="841"/>
      <c r="N88" s="115"/>
      <c r="O88" s="115"/>
      <c r="P88" s="115"/>
    </row>
    <row r="89" spans="1:16" ht="69.95" customHeight="1">
      <c r="A89" s="840">
        <v>86</v>
      </c>
      <c r="B89" s="831"/>
      <c r="C89" s="832"/>
      <c r="D89" s="832"/>
      <c r="E89" s="832"/>
      <c r="F89" s="833"/>
      <c r="G89" s="833"/>
      <c r="H89" s="833"/>
      <c r="I89" s="834"/>
      <c r="J89" s="533"/>
      <c r="K89" s="524"/>
      <c r="L89" s="96"/>
      <c r="M89" s="841"/>
      <c r="N89" s="115"/>
      <c r="O89" s="115"/>
      <c r="P89" s="115"/>
    </row>
    <row r="90" spans="1:16" ht="69.95" customHeight="1">
      <c r="A90" s="840">
        <v>87</v>
      </c>
      <c r="B90" s="831"/>
      <c r="C90" s="832"/>
      <c r="D90" s="832"/>
      <c r="E90" s="832"/>
      <c r="F90" s="833"/>
      <c r="G90" s="833"/>
      <c r="H90" s="833"/>
      <c r="I90" s="834"/>
      <c r="J90" s="533"/>
      <c r="K90" s="524"/>
      <c r="L90" s="96"/>
      <c r="M90" s="841"/>
      <c r="N90" s="115"/>
      <c r="O90" s="115"/>
      <c r="P90" s="115"/>
    </row>
    <row r="91" spans="1:16" ht="69.95" customHeight="1">
      <c r="A91" s="840">
        <v>88</v>
      </c>
      <c r="B91" s="831"/>
      <c r="C91" s="832"/>
      <c r="D91" s="832"/>
      <c r="E91" s="832"/>
      <c r="F91" s="833"/>
      <c r="G91" s="833"/>
      <c r="H91" s="833"/>
      <c r="I91" s="834"/>
      <c r="J91" s="533"/>
      <c r="K91" s="524"/>
      <c r="L91" s="96"/>
      <c r="M91" s="841"/>
      <c r="N91" s="115"/>
      <c r="O91" s="115"/>
      <c r="P91" s="115"/>
    </row>
    <row r="92" spans="1:16" ht="69.95" customHeight="1">
      <c r="A92" s="840">
        <v>89</v>
      </c>
      <c r="B92" s="831"/>
      <c r="C92" s="832"/>
      <c r="D92" s="832"/>
      <c r="E92" s="832"/>
      <c r="F92" s="833"/>
      <c r="G92" s="833"/>
      <c r="H92" s="833"/>
      <c r="I92" s="834"/>
      <c r="J92" s="533"/>
      <c r="K92" s="524"/>
      <c r="L92" s="96"/>
      <c r="M92" s="841"/>
      <c r="N92" s="115"/>
      <c r="O92" s="115"/>
      <c r="P92" s="115"/>
    </row>
    <row r="93" spans="1:16" ht="69.95" customHeight="1">
      <c r="A93" s="840">
        <v>90</v>
      </c>
      <c r="B93" s="831"/>
      <c r="C93" s="832"/>
      <c r="D93" s="832"/>
      <c r="E93" s="832"/>
      <c r="F93" s="833"/>
      <c r="G93" s="833"/>
      <c r="H93" s="833"/>
      <c r="I93" s="834"/>
      <c r="J93" s="533"/>
      <c r="K93" s="524"/>
      <c r="L93" s="96"/>
      <c r="M93" s="841"/>
      <c r="N93" s="115"/>
      <c r="O93" s="115"/>
      <c r="P93" s="115"/>
    </row>
    <row r="94" spans="1:16" ht="69.95" customHeight="1">
      <c r="A94" s="840">
        <v>91</v>
      </c>
      <c r="B94" s="831"/>
      <c r="C94" s="832"/>
      <c r="D94" s="832"/>
      <c r="E94" s="832"/>
      <c r="F94" s="833"/>
      <c r="G94" s="833"/>
      <c r="H94" s="833"/>
      <c r="I94" s="834"/>
      <c r="J94" s="533"/>
      <c r="K94" s="524"/>
      <c r="L94" s="96"/>
      <c r="M94" s="841"/>
      <c r="N94" s="115"/>
      <c r="O94" s="115"/>
      <c r="P94" s="115"/>
    </row>
    <row r="95" spans="1:16" ht="69.95" customHeight="1">
      <c r="A95" s="840">
        <v>92</v>
      </c>
      <c r="B95" s="831"/>
      <c r="C95" s="832"/>
      <c r="D95" s="832"/>
      <c r="E95" s="832"/>
      <c r="F95" s="833"/>
      <c r="G95" s="833"/>
      <c r="H95" s="833"/>
      <c r="I95" s="834"/>
      <c r="J95" s="533"/>
      <c r="K95" s="524"/>
      <c r="L95" s="96"/>
      <c r="M95" s="841"/>
      <c r="N95" s="115"/>
      <c r="O95" s="115"/>
      <c r="P95" s="115"/>
    </row>
    <row r="96" spans="1:16" ht="69.95" customHeight="1">
      <c r="A96" s="840">
        <v>93</v>
      </c>
      <c r="B96" s="831"/>
      <c r="C96" s="832"/>
      <c r="D96" s="832"/>
      <c r="E96" s="832"/>
      <c r="F96" s="833"/>
      <c r="G96" s="833"/>
      <c r="H96" s="833"/>
      <c r="I96" s="834"/>
      <c r="J96" s="533"/>
      <c r="K96" s="524"/>
      <c r="L96" s="96"/>
      <c r="M96" s="841"/>
      <c r="N96" s="115"/>
      <c r="O96" s="115"/>
      <c r="P96" s="115"/>
    </row>
    <row r="97" spans="1:16" ht="69.95" customHeight="1">
      <c r="A97" s="840">
        <v>94</v>
      </c>
      <c r="B97" s="831"/>
      <c r="C97" s="832"/>
      <c r="D97" s="832"/>
      <c r="E97" s="832"/>
      <c r="F97" s="833"/>
      <c r="G97" s="833"/>
      <c r="H97" s="833"/>
      <c r="I97" s="834"/>
      <c r="J97" s="533"/>
      <c r="K97" s="524"/>
      <c r="L97" s="96"/>
      <c r="M97" s="841"/>
      <c r="N97" s="115"/>
      <c r="O97" s="115"/>
      <c r="P97" s="115"/>
    </row>
    <row r="98" spans="1:16" ht="69.95" customHeight="1">
      <c r="A98" s="840">
        <v>95</v>
      </c>
      <c r="B98" s="831"/>
      <c r="C98" s="832"/>
      <c r="D98" s="832"/>
      <c r="E98" s="832"/>
      <c r="F98" s="833"/>
      <c r="G98" s="833"/>
      <c r="H98" s="833"/>
      <c r="I98" s="834"/>
      <c r="J98" s="533"/>
      <c r="K98" s="524"/>
      <c r="L98" s="96"/>
      <c r="M98" s="841"/>
      <c r="N98" s="115"/>
      <c r="O98" s="115"/>
      <c r="P98" s="115"/>
    </row>
    <row r="99" spans="1:16" ht="69.95" customHeight="1">
      <c r="A99" s="840">
        <v>96</v>
      </c>
      <c r="B99" s="831"/>
      <c r="C99" s="832"/>
      <c r="D99" s="832"/>
      <c r="E99" s="832"/>
      <c r="F99" s="833"/>
      <c r="G99" s="833"/>
      <c r="H99" s="833"/>
      <c r="I99" s="834"/>
      <c r="J99" s="533"/>
      <c r="K99" s="524"/>
      <c r="L99" s="96"/>
      <c r="M99" s="841"/>
      <c r="N99" s="115"/>
      <c r="O99" s="115"/>
      <c r="P99" s="115"/>
    </row>
    <row r="100" spans="1:16" ht="69.95" customHeight="1">
      <c r="A100" s="840">
        <v>97</v>
      </c>
      <c r="B100" s="831"/>
      <c r="C100" s="832"/>
      <c r="D100" s="832"/>
      <c r="E100" s="832"/>
      <c r="F100" s="833"/>
      <c r="G100" s="833"/>
      <c r="H100" s="833"/>
      <c r="I100" s="834"/>
      <c r="J100" s="533"/>
      <c r="K100" s="524"/>
      <c r="L100" s="96"/>
      <c r="M100" s="841"/>
      <c r="N100" s="115"/>
      <c r="O100" s="115"/>
      <c r="P100" s="115"/>
    </row>
    <row r="101" spans="1:16" ht="69.95" customHeight="1">
      <c r="A101" s="840">
        <v>98</v>
      </c>
      <c r="B101" s="831"/>
      <c r="C101" s="832"/>
      <c r="D101" s="832"/>
      <c r="E101" s="832"/>
      <c r="F101" s="833"/>
      <c r="G101" s="833"/>
      <c r="H101" s="833"/>
      <c r="I101" s="834"/>
      <c r="J101" s="533"/>
      <c r="K101" s="524"/>
      <c r="L101" s="96"/>
      <c r="M101" s="841"/>
      <c r="N101" s="115"/>
      <c r="O101" s="115"/>
      <c r="P101" s="115"/>
    </row>
    <row r="102" spans="1:16" ht="69.95" customHeight="1">
      <c r="A102" s="840">
        <v>99</v>
      </c>
      <c r="B102" s="831"/>
      <c r="C102" s="832"/>
      <c r="D102" s="832"/>
      <c r="E102" s="832"/>
      <c r="F102" s="833"/>
      <c r="G102" s="833"/>
      <c r="H102" s="833"/>
      <c r="I102" s="834"/>
      <c r="J102" s="533"/>
      <c r="K102" s="524"/>
      <c r="L102" s="96"/>
      <c r="M102" s="841"/>
      <c r="N102" s="115"/>
      <c r="O102" s="115"/>
      <c r="P102" s="115"/>
    </row>
    <row r="103" spans="1:16" ht="69.95" customHeight="1">
      <c r="A103" s="840">
        <v>100</v>
      </c>
      <c r="B103" s="831"/>
      <c r="C103" s="832"/>
      <c r="D103" s="832"/>
      <c r="E103" s="832"/>
      <c r="F103" s="833"/>
      <c r="G103" s="833"/>
      <c r="H103" s="833"/>
      <c r="I103" s="834"/>
      <c r="J103" s="533"/>
      <c r="K103" s="524"/>
      <c r="L103" s="96"/>
      <c r="M103" s="841"/>
      <c r="N103" s="115"/>
      <c r="O103" s="115"/>
      <c r="P103" s="115"/>
    </row>
    <row r="104" spans="1:16" ht="69.95" customHeight="1">
      <c r="A104" s="840">
        <v>101</v>
      </c>
      <c r="B104" s="831"/>
      <c r="C104" s="832"/>
      <c r="D104" s="832"/>
      <c r="E104" s="832"/>
      <c r="F104" s="833"/>
      <c r="G104" s="833"/>
      <c r="H104" s="833"/>
      <c r="I104" s="834"/>
      <c r="J104" s="533"/>
      <c r="K104" s="524"/>
      <c r="L104" s="96"/>
      <c r="M104" s="841"/>
      <c r="N104" s="115"/>
      <c r="O104" s="115"/>
      <c r="P104" s="115"/>
    </row>
    <row r="105" spans="1:16" ht="69.95" customHeight="1">
      <c r="A105" s="840">
        <v>102</v>
      </c>
      <c r="B105" s="831"/>
      <c r="C105" s="832"/>
      <c r="D105" s="832"/>
      <c r="E105" s="832"/>
      <c r="F105" s="833"/>
      <c r="G105" s="833"/>
      <c r="H105" s="833"/>
      <c r="I105" s="834"/>
      <c r="J105" s="533"/>
      <c r="K105" s="524"/>
      <c r="L105" s="96"/>
      <c r="M105" s="841"/>
      <c r="N105" s="115"/>
      <c r="O105" s="115"/>
      <c r="P105" s="115"/>
    </row>
    <row r="106" spans="1:16" ht="69.95" customHeight="1">
      <c r="A106" s="840">
        <v>103</v>
      </c>
      <c r="B106" s="831"/>
      <c r="C106" s="832"/>
      <c r="D106" s="832"/>
      <c r="E106" s="832"/>
      <c r="F106" s="833"/>
      <c r="G106" s="833"/>
      <c r="H106" s="833"/>
      <c r="I106" s="834"/>
      <c r="J106" s="533"/>
      <c r="K106" s="524"/>
      <c r="L106" s="96"/>
      <c r="M106" s="841"/>
      <c r="N106" s="115"/>
      <c r="O106" s="115"/>
      <c r="P106" s="115"/>
    </row>
    <row r="107" spans="1:16" ht="69.95" customHeight="1">
      <c r="A107" s="840">
        <v>104</v>
      </c>
      <c r="B107" s="831"/>
      <c r="C107" s="832"/>
      <c r="D107" s="832"/>
      <c r="E107" s="832"/>
      <c r="F107" s="833"/>
      <c r="G107" s="833"/>
      <c r="H107" s="833"/>
      <c r="I107" s="834"/>
      <c r="J107" s="533"/>
      <c r="K107" s="524"/>
      <c r="L107" s="96"/>
      <c r="M107" s="841"/>
      <c r="N107" s="115"/>
      <c r="O107" s="115"/>
      <c r="P107" s="115"/>
    </row>
    <row r="108" spans="1:16" ht="69.95" customHeight="1">
      <c r="A108" s="840">
        <v>105</v>
      </c>
      <c r="B108" s="831"/>
      <c r="C108" s="832"/>
      <c r="D108" s="832"/>
      <c r="E108" s="832"/>
      <c r="F108" s="833"/>
      <c r="G108" s="833"/>
      <c r="H108" s="833"/>
      <c r="I108" s="834"/>
      <c r="J108" s="533"/>
      <c r="K108" s="524"/>
      <c r="L108" s="96"/>
      <c r="M108" s="841"/>
      <c r="N108" s="115"/>
      <c r="O108" s="115"/>
      <c r="P108" s="115"/>
    </row>
    <row r="109" spans="1:16" ht="69.95" customHeight="1">
      <c r="A109" s="840">
        <v>106</v>
      </c>
      <c r="B109" s="831"/>
      <c r="C109" s="832"/>
      <c r="D109" s="832"/>
      <c r="E109" s="832"/>
      <c r="F109" s="833"/>
      <c r="G109" s="833"/>
      <c r="H109" s="833"/>
      <c r="I109" s="834"/>
      <c r="J109" s="533"/>
      <c r="K109" s="524"/>
      <c r="L109" s="96"/>
      <c r="M109" s="841"/>
      <c r="N109" s="115"/>
      <c r="O109" s="115"/>
      <c r="P109" s="115"/>
    </row>
    <row r="110" spans="1:16" ht="69.95" customHeight="1">
      <c r="A110" s="840">
        <v>107</v>
      </c>
      <c r="B110" s="831"/>
      <c r="C110" s="832"/>
      <c r="D110" s="832"/>
      <c r="E110" s="832"/>
      <c r="F110" s="833"/>
      <c r="G110" s="833"/>
      <c r="H110" s="833"/>
      <c r="I110" s="834"/>
      <c r="J110" s="533"/>
      <c r="K110" s="524"/>
      <c r="L110" s="96"/>
      <c r="M110" s="841"/>
      <c r="N110" s="115"/>
      <c r="O110" s="115"/>
      <c r="P110" s="115"/>
    </row>
    <row r="111" spans="1:16" ht="69.95" customHeight="1">
      <c r="A111" s="840">
        <v>108</v>
      </c>
      <c r="B111" s="831"/>
      <c r="C111" s="832"/>
      <c r="D111" s="832"/>
      <c r="E111" s="832"/>
      <c r="F111" s="833"/>
      <c r="G111" s="833"/>
      <c r="H111" s="833"/>
      <c r="I111" s="834"/>
      <c r="J111" s="533"/>
      <c r="K111" s="524"/>
      <c r="L111" s="96"/>
      <c r="M111" s="841"/>
      <c r="N111" s="115"/>
      <c r="O111" s="115"/>
      <c r="P111" s="115"/>
    </row>
    <row r="112" spans="1:16" ht="69.95" customHeight="1">
      <c r="A112" s="840">
        <v>109</v>
      </c>
      <c r="B112" s="831"/>
      <c r="C112" s="832"/>
      <c r="D112" s="832"/>
      <c r="E112" s="832"/>
      <c r="F112" s="833"/>
      <c r="G112" s="833"/>
      <c r="H112" s="833"/>
      <c r="I112" s="834"/>
      <c r="J112" s="533"/>
      <c r="K112" s="524"/>
      <c r="L112" s="96"/>
      <c r="M112" s="841"/>
      <c r="N112" s="115"/>
      <c r="O112" s="115"/>
      <c r="P112" s="115"/>
    </row>
    <row r="113" spans="1:16" ht="69.95" customHeight="1">
      <c r="A113" s="840">
        <v>110</v>
      </c>
      <c r="B113" s="831"/>
      <c r="C113" s="832"/>
      <c r="D113" s="832"/>
      <c r="E113" s="832"/>
      <c r="F113" s="833"/>
      <c r="G113" s="833"/>
      <c r="H113" s="833"/>
      <c r="I113" s="834"/>
      <c r="J113" s="533"/>
      <c r="K113" s="524"/>
      <c r="L113" s="96"/>
      <c r="M113" s="841"/>
      <c r="N113" s="115"/>
      <c r="O113" s="115"/>
      <c r="P113" s="115"/>
    </row>
    <row r="114" spans="1:16" ht="69.95" customHeight="1">
      <c r="A114" s="840">
        <v>111</v>
      </c>
      <c r="B114" s="831"/>
      <c r="C114" s="832"/>
      <c r="D114" s="832"/>
      <c r="E114" s="832"/>
      <c r="F114" s="833"/>
      <c r="G114" s="833"/>
      <c r="H114" s="833"/>
      <c r="I114" s="834"/>
      <c r="J114" s="533"/>
      <c r="K114" s="524"/>
      <c r="L114" s="96"/>
      <c r="M114" s="841"/>
      <c r="N114" s="115"/>
      <c r="O114" s="115"/>
      <c r="P114" s="115"/>
    </row>
    <row r="115" spans="1:16" ht="69.95" customHeight="1">
      <c r="A115" s="840">
        <v>112</v>
      </c>
      <c r="B115" s="831"/>
      <c r="C115" s="832"/>
      <c r="D115" s="832"/>
      <c r="E115" s="832"/>
      <c r="F115" s="833"/>
      <c r="G115" s="833"/>
      <c r="H115" s="833"/>
      <c r="I115" s="834"/>
      <c r="J115" s="533"/>
      <c r="K115" s="524"/>
      <c r="L115" s="96"/>
      <c r="M115" s="841"/>
      <c r="N115" s="115"/>
      <c r="O115" s="115"/>
      <c r="P115" s="115"/>
    </row>
    <row r="116" spans="1:16" ht="69.95" customHeight="1">
      <c r="A116" s="840">
        <v>113</v>
      </c>
      <c r="B116" s="831"/>
      <c r="C116" s="832"/>
      <c r="D116" s="832"/>
      <c r="E116" s="832"/>
      <c r="F116" s="833"/>
      <c r="G116" s="833"/>
      <c r="H116" s="833"/>
      <c r="I116" s="834"/>
      <c r="J116" s="533"/>
      <c r="K116" s="524"/>
      <c r="L116" s="96"/>
      <c r="M116" s="841"/>
      <c r="N116" s="115"/>
      <c r="O116" s="115"/>
      <c r="P116" s="115"/>
    </row>
    <row r="117" spans="1:16" ht="69.95" customHeight="1">
      <c r="A117" s="840">
        <v>114</v>
      </c>
      <c r="B117" s="831"/>
      <c r="C117" s="832"/>
      <c r="D117" s="832"/>
      <c r="E117" s="832"/>
      <c r="F117" s="833"/>
      <c r="G117" s="833"/>
      <c r="H117" s="833"/>
      <c r="I117" s="834"/>
      <c r="J117" s="533"/>
      <c r="K117" s="524"/>
      <c r="L117" s="96"/>
      <c r="M117" s="841"/>
      <c r="N117" s="115"/>
      <c r="O117" s="115"/>
      <c r="P117" s="115"/>
    </row>
    <row r="118" spans="1:16" ht="69.95" customHeight="1">
      <c r="A118" s="840">
        <v>115</v>
      </c>
      <c r="B118" s="831"/>
      <c r="C118" s="832"/>
      <c r="D118" s="832"/>
      <c r="E118" s="832"/>
      <c r="F118" s="833"/>
      <c r="G118" s="833"/>
      <c r="H118" s="833"/>
      <c r="I118" s="834"/>
      <c r="J118" s="533"/>
      <c r="K118" s="524"/>
      <c r="L118" s="96"/>
      <c r="M118" s="841"/>
      <c r="N118" s="115"/>
      <c r="O118" s="115"/>
      <c r="P118" s="115"/>
    </row>
    <row r="119" spans="1:16" ht="69.95" customHeight="1">
      <c r="A119" s="840">
        <v>116</v>
      </c>
      <c r="B119" s="831"/>
      <c r="C119" s="832"/>
      <c r="D119" s="832"/>
      <c r="E119" s="832"/>
      <c r="F119" s="833"/>
      <c r="G119" s="833"/>
      <c r="H119" s="833"/>
      <c r="I119" s="834"/>
      <c r="J119" s="533"/>
      <c r="K119" s="524"/>
      <c r="L119" s="96"/>
      <c r="M119" s="841"/>
      <c r="N119" s="115"/>
      <c r="O119" s="115"/>
      <c r="P119" s="115"/>
    </row>
    <row r="120" spans="1:16" ht="69.95" customHeight="1">
      <c r="A120" s="840">
        <v>117</v>
      </c>
      <c r="B120" s="831"/>
      <c r="C120" s="832"/>
      <c r="D120" s="832"/>
      <c r="E120" s="832"/>
      <c r="F120" s="833"/>
      <c r="G120" s="833"/>
      <c r="H120" s="833"/>
      <c r="I120" s="834"/>
      <c r="J120" s="533"/>
      <c r="K120" s="524"/>
      <c r="L120" s="96"/>
      <c r="M120" s="841"/>
      <c r="N120" s="115"/>
      <c r="O120" s="115"/>
      <c r="P120" s="115"/>
    </row>
    <row r="121" spans="1:16" ht="69.95" customHeight="1">
      <c r="A121" s="840">
        <v>118</v>
      </c>
      <c r="B121" s="831"/>
      <c r="C121" s="832"/>
      <c r="D121" s="832"/>
      <c r="E121" s="832"/>
      <c r="F121" s="833"/>
      <c r="G121" s="833"/>
      <c r="H121" s="833"/>
      <c r="I121" s="834"/>
      <c r="J121" s="533"/>
      <c r="K121" s="524"/>
      <c r="L121" s="96"/>
      <c r="M121" s="841"/>
      <c r="N121" s="115"/>
      <c r="O121" s="115"/>
      <c r="P121" s="115"/>
    </row>
    <row r="122" spans="1:16" ht="69.95" customHeight="1">
      <c r="A122" s="840">
        <v>119</v>
      </c>
      <c r="B122" s="831"/>
      <c r="C122" s="832"/>
      <c r="D122" s="832"/>
      <c r="E122" s="832"/>
      <c r="F122" s="833"/>
      <c r="G122" s="833"/>
      <c r="H122" s="833"/>
      <c r="I122" s="834"/>
      <c r="J122" s="533"/>
      <c r="K122" s="524"/>
      <c r="L122" s="96"/>
      <c r="M122" s="841"/>
      <c r="N122" s="115"/>
      <c r="O122" s="115"/>
      <c r="P122" s="115"/>
    </row>
    <row r="123" spans="1:16" ht="69.95" customHeight="1">
      <c r="A123" s="840">
        <v>120</v>
      </c>
      <c r="B123" s="831"/>
      <c r="C123" s="832"/>
      <c r="D123" s="832"/>
      <c r="E123" s="832"/>
      <c r="F123" s="833"/>
      <c r="G123" s="833"/>
      <c r="H123" s="833"/>
      <c r="I123" s="834"/>
      <c r="J123" s="533"/>
      <c r="K123" s="524"/>
      <c r="L123" s="96"/>
      <c r="M123" s="841"/>
      <c r="N123" s="115"/>
      <c r="O123" s="115"/>
      <c r="P123" s="115"/>
    </row>
    <row r="124" spans="1:16" ht="69.95" customHeight="1">
      <c r="A124" s="840">
        <v>121</v>
      </c>
      <c r="B124" s="831"/>
      <c r="C124" s="832"/>
      <c r="D124" s="832"/>
      <c r="E124" s="832"/>
      <c r="F124" s="833"/>
      <c r="G124" s="833"/>
      <c r="H124" s="833"/>
      <c r="I124" s="834"/>
      <c r="J124" s="533"/>
      <c r="K124" s="524"/>
      <c r="L124" s="96"/>
      <c r="M124" s="841"/>
      <c r="N124" s="115"/>
      <c r="O124" s="115"/>
      <c r="P124" s="115"/>
    </row>
    <row r="125" spans="1:16" ht="69.95" customHeight="1">
      <c r="A125" s="840">
        <v>122</v>
      </c>
      <c r="B125" s="831"/>
      <c r="C125" s="832"/>
      <c r="D125" s="832"/>
      <c r="E125" s="832"/>
      <c r="F125" s="833"/>
      <c r="G125" s="833"/>
      <c r="H125" s="833"/>
      <c r="I125" s="834"/>
      <c r="J125" s="533"/>
      <c r="K125" s="524"/>
      <c r="L125" s="96"/>
      <c r="M125" s="841"/>
      <c r="N125" s="115"/>
      <c r="O125" s="115"/>
      <c r="P125" s="115"/>
    </row>
    <row r="126" spans="1:16" ht="69.95" customHeight="1">
      <c r="A126" s="840">
        <v>123</v>
      </c>
      <c r="B126" s="831"/>
      <c r="C126" s="832"/>
      <c r="D126" s="832"/>
      <c r="E126" s="832"/>
      <c r="F126" s="833"/>
      <c r="G126" s="833"/>
      <c r="H126" s="833"/>
      <c r="I126" s="834"/>
      <c r="J126" s="533"/>
      <c r="K126" s="524"/>
      <c r="L126" s="96"/>
      <c r="M126" s="841"/>
      <c r="N126" s="115"/>
      <c r="O126" s="115"/>
      <c r="P126" s="115"/>
    </row>
    <row r="127" spans="1:16" ht="69.95" customHeight="1">
      <c r="A127" s="840">
        <v>124</v>
      </c>
      <c r="B127" s="831"/>
      <c r="C127" s="832"/>
      <c r="D127" s="832"/>
      <c r="E127" s="832"/>
      <c r="F127" s="833"/>
      <c r="G127" s="833"/>
      <c r="H127" s="833"/>
      <c r="I127" s="834"/>
      <c r="J127" s="533"/>
      <c r="K127" s="524"/>
      <c r="L127" s="96"/>
      <c r="M127" s="841"/>
      <c r="N127" s="115"/>
      <c r="O127" s="115"/>
      <c r="P127" s="115"/>
    </row>
    <row r="128" spans="1:16" ht="69.95" customHeight="1">
      <c r="A128" s="840">
        <v>125</v>
      </c>
      <c r="B128" s="831"/>
      <c r="C128" s="832"/>
      <c r="D128" s="832"/>
      <c r="E128" s="832"/>
      <c r="F128" s="833"/>
      <c r="G128" s="833"/>
      <c r="H128" s="833"/>
      <c r="I128" s="834"/>
      <c r="J128" s="533"/>
      <c r="K128" s="524"/>
      <c r="L128" s="96"/>
      <c r="M128" s="841"/>
      <c r="N128" s="115"/>
      <c r="O128" s="115"/>
      <c r="P128" s="115"/>
    </row>
    <row r="129" spans="1:16" ht="69.95" customHeight="1">
      <c r="A129" s="840">
        <v>126</v>
      </c>
      <c r="B129" s="831"/>
      <c r="C129" s="832"/>
      <c r="D129" s="832"/>
      <c r="E129" s="832"/>
      <c r="F129" s="833"/>
      <c r="G129" s="833"/>
      <c r="H129" s="833"/>
      <c r="I129" s="834"/>
      <c r="J129" s="533"/>
      <c r="K129" s="524"/>
      <c r="L129" s="96"/>
      <c r="M129" s="841"/>
      <c r="N129" s="115"/>
      <c r="O129" s="115"/>
      <c r="P129" s="115"/>
    </row>
    <row r="130" spans="1:16" ht="69.95" customHeight="1">
      <c r="A130" s="840">
        <v>127</v>
      </c>
      <c r="B130" s="831"/>
      <c r="C130" s="832"/>
      <c r="D130" s="832"/>
      <c r="E130" s="832"/>
      <c r="F130" s="833"/>
      <c r="G130" s="833"/>
      <c r="H130" s="833"/>
      <c r="I130" s="834"/>
      <c r="J130" s="533"/>
      <c r="K130" s="524"/>
      <c r="L130" s="96"/>
      <c r="M130" s="841"/>
      <c r="N130" s="115"/>
      <c r="O130" s="115"/>
      <c r="P130" s="115"/>
    </row>
    <row r="131" spans="1:16" ht="69.95" customHeight="1">
      <c r="A131" s="840">
        <v>128</v>
      </c>
      <c r="B131" s="831"/>
      <c r="C131" s="832"/>
      <c r="D131" s="832"/>
      <c r="E131" s="832"/>
      <c r="F131" s="833"/>
      <c r="G131" s="833"/>
      <c r="H131" s="833"/>
      <c r="I131" s="834"/>
      <c r="J131" s="533"/>
      <c r="K131" s="524"/>
      <c r="L131" s="96"/>
      <c r="M131" s="841"/>
      <c r="N131" s="115"/>
      <c r="O131" s="115"/>
      <c r="P131" s="115"/>
    </row>
    <row r="132" spans="1:16" ht="69.95" customHeight="1">
      <c r="A132" s="840">
        <v>129</v>
      </c>
      <c r="B132" s="831"/>
      <c r="C132" s="832"/>
      <c r="D132" s="832"/>
      <c r="E132" s="832"/>
      <c r="F132" s="833"/>
      <c r="G132" s="833"/>
      <c r="H132" s="833"/>
      <c r="I132" s="834"/>
      <c r="J132" s="533"/>
      <c r="K132" s="524"/>
      <c r="L132" s="96"/>
      <c r="M132" s="841"/>
      <c r="N132" s="115"/>
      <c r="O132" s="115"/>
      <c r="P132" s="115"/>
    </row>
    <row r="133" spans="1:16" ht="69.95" customHeight="1">
      <c r="A133" s="840">
        <v>130</v>
      </c>
      <c r="B133" s="831"/>
      <c r="C133" s="832"/>
      <c r="D133" s="832"/>
      <c r="E133" s="832"/>
      <c r="F133" s="833"/>
      <c r="G133" s="833"/>
      <c r="H133" s="833"/>
      <c r="I133" s="834"/>
      <c r="J133" s="533"/>
      <c r="K133" s="524"/>
      <c r="L133" s="96"/>
      <c r="M133" s="841"/>
      <c r="N133" s="115"/>
      <c r="O133" s="115"/>
      <c r="P133" s="115"/>
    </row>
    <row r="134" spans="1:16" ht="69.95" customHeight="1">
      <c r="A134" s="840">
        <v>131</v>
      </c>
      <c r="B134" s="831"/>
      <c r="C134" s="832"/>
      <c r="D134" s="832"/>
      <c r="E134" s="832"/>
      <c r="F134" s="833"/>
      <c r="G134" s="833"/>
      <c r="H134" s="833"/>
      <c r="I134" s="834"/>
      <c r="J134" s="533"/>
      <c r="K134" s="524"/>
      <c r="L134" s="96"/>
      <c r="M134" s="841"/>
      <c r="N134" s="115"/>
      <c r="O134" s="115"/>
      <c r="P134" s="115"/>
    </row>
    <row r="135" spans="1:16" ht="69.95" customHeight="1">
      <c r="A135" s="840">
        <v>132</v>
      </c>
      <c r="B135" s="831"/>
      <c r="C135" s="832"/>
      <c r="D135" s="832"/>
      <c r="E135" s="832"/>
      <c r="F135" s="833"/>
      <c r="G135" s="833"/>
      <c r="H135" s="833"/>
      <c r="I135" s="834"/>
      <c r="J135" s="533"/>
      <c r="K135" s="524"/>
      <c r="L135" s="96"/>
      <c r="M135" s="841"/>
      <c r="N135" s="115"/>
      <c r="O135" s="115"/>
      <c r="P135" s="115"/>
    </row>
    <row r="136" spans="1:16" ht="69.95" customHeight="1">
      <c r="A136" s="840">
        <v>133</v>
      </c>
      <c r="B136" s="831"/>
      <c r="C136" s="832"/>
      <c r="D136" s="832"/>
      <c r="E136" s="832"/>
      <c r="F136" s="833"/>
      <c r="G136" s="833"/>
      <c r="H136" s="833"/>
      <c r="I136" s="834"/>
      <c r="J136" s="533"/>
      <c r="K136" s="524"/>
      <c r="L136" s="96"/>
      <c r="M136" s="841"/>
      <c r="N136" s="115"/>
      <c r="O136" s="115"/>
      <c r="P136" s="115"/>
    </row>
    <row r="137" spans="1:16" ht="69.95" customHeight="1">
      <c r="A137" s="840">
        <v>134</v>
      </c>
      <c r="B137" s="831"/>
      <c r="C137" s="832"/>
      <c r="D137" s="832"/>
      <c r="E137" s="832"/>
      <c r="F137" s="833"/>
      <c r="G137" s="833"/>
      <c r="H137" s="833"/>
      <c r="I137" s="834"/>
      <c r="J137" s="533"/>
      <c r="K137" s="524"/>
      <c r="L137" s="96"/>
      <c r="M137" s="841"/>
      <c r="N137" s="115"/>
      <c r="O137" s="115"/>
      <c r="P137" s="115"/>
    </row>
    <row r="138" spans="1:16" ht="69.95" customHeight="1">
      <c r="A138" s="840">
        <v>135</v>
      </c>
      <c r="B138" s="831"/>
      <c r="C138" s="832"/>
      <c r="D138" s="832"/>
      <c r="E138" s="832"/>
      <c r="F138" s="833"/>
      <c r="G138" s="833"/>
      <c r="H138" s="833"/>
      <c r="I138" s="834"/>
      <c r="J138" s="533"/>
      <c r="K138" s="524"/>
      <c r="L138" s="96"/>
      <c r="M138" s="841"/>
      <c r="N138" s="115"/>
      <c r="O138" s="115"/>
      <c r="P138" s="115"/>
    </row>
    <row r="139" spans="1:16" ht="69.95" customHeight="1">
      <c r="A139" s="840">
        <v>136</v>
      </c>
      <c r="B139" s="831"/>
      <c r="C139" s="832"/>
      <c r="D139" s="832"/>
      <c r="E139" s="832"/>
      <c r="F139" s="833"/>
      <c r="G139" s="833"/>
      <c r="H139" s="833"/>
      <c r="I139" s="834"/>
      <c r="J139" s="533"/>
      <c r="K139" s="524"/>
      <c r="L139" s="96"/>
      <c r="M139" s="841"/>
      <c r="N139" s="115"/>
      <c r="O139" s="115"/>
      <c r="P139" s="115"/>
    </row>
    <row r="140" spans="1:16" ht="69.95" customHeight="1">
      <c r="A140" s="840">
        <v>137</v>
      </c>
      <c r="B140" s="831"/>
      <c r="C140" s="832"/>
      <c r="D140" s="832"/>
      <c r="E140" s="832"/>
      <c r="F140" s="833"/>
      <c r="G140" s="833"/>
      <c r="H140" s="833"/>
      <c r="I140" s="834"/>
      <c r="J140" s="533"/>
      <c r="K140" s="524"/>
      <c r="L140" s="96"/>
      <c r="M140" s="841"/>
      <c r="N140" s="115"/>
      <c r="O140" s="115"/>
      <c r="P140" s="115"/>
    </row>
    <row r="141" spans="1:16" ht="69.95" customHeight="1">
      <c r="A141" s="840">
        <v>138</v>
      </c>
      <c r="B141" s="831"/>
      <c r="C141" s="832"/>
      <c r="D141" s="832"/>
      <c r="E141" s="832"/>
      <c r="F141" s="833"/>
      <c r="G141" s="833"/>
      <c r="H141" s="833"/>
      <c r="I141" s="834"/>
      <c r="J141" s="533"/>
      <c r="K141" s="524"/>
      <c r="L141" s="96"/>
      <c r="M141" s="841"/>
      <c r="N141" s="115"/>
      <c r="O141" s="115"/>
      <c r="P141" s="115"/>
    </row>
    <row r="142" spans="1:16" ht="69.95" customHeight="1">
      <c r="A142" s="840">
        <v>139</v>
      </c>
      <c r="B142" s="831"/>
      <c r="C142" s="832"/>
      <c r="D142" s="832"/>
      <c r="E142" s="832"/>
      <c r="F142" s="833"/>
      <c r="G142" s="833"/>
      <c r="H142" s="833"/>
      <c r="I142" s="834"/>
      <c r="J142" s="533"/>
      <c r="K142" s="524"/>
      <c r="L142" s="96"/>
      <c r="M142" s="841"/>
      <c r="N142" s="115"/>
      <c r="O142" s="115"/>
      <c r="P142" s="115"/>
    </row>
    <row r="143" spans="1:16" ht="69.95" customHeight="1">
      <c r="A143" s="840">
        <v>140</v>
      </c>
      <c r="B143" s="831"/>
      <c r="C143" s="832"/>
      <c r="D143" s="832"/>
      <c r="E143" s="832"/>
      <c r="F143" s="833"/>
      <c r="G143" s="833"/>
      <c r="H143" s="833"/>
      <c r="I143" s="834"/>
      <c r="J143" s="533"/>
      <c r="K143" s="524"/>
      <c r="L143" s="96"/>
      <c r="M143" s="841"/>
      <c r="N143" s="115"/>
      <c r="O143" s="115"/>
      <c r="P143" s="115"/>
    </row>
    <row r="144" spans="1:16" ht="69.95" customHeight="1">
      <c r="A144" s="840">
        <v>141</v>
      </c>
      <c r="B144" s="831"/>
      <c r="C144" s="832"/>
      <c r="D144" s="832"/>
      <c r="E144" s="832"/>
      <c r="F144" s="833"/>
      <c r="G144" s="833"/>
      <c r="H144" s="833"/>
      <c r="I144" s="834"/>
      <c r="J144" s="533"/>
      <c r="K144" s="524"/>
      <c r="L144" s="96"/>
      <c r="M144" s="841"/>
      <c r="N144" s="115"/>
      <c r="O144" s="115"/>
      <c r="P144" s="115"/>
    </row>
    <row r="145" spans="1:16" ht="69.95" customHeight="1">
      <c r="A145" s="840">
        <v>142</v>
      </c>
      <c r="B145" s="831"/>
      <c r="C145" s="832"/>
      <c r="D145" s="832"/>
      <c r="E145" s="832"/>
      <c r="F145" s="833"/>
      <c r="G145" s="833"/>
      <c r="H145" s="833"/>
      <c r="I145" s="834"/>
      <c r="J145" s="533"/>
      <c r="K145" s="524"/>
      <c r="L145" s="96"/>
      <c r="M145" s="841"/>
      <c r="N145" s="115"/>
      <c r="O145" s="115"/>
      <c r="P145" s="115"/>
    </row>
    <row r="146" spans="1:16" ht="69.95" customHeight="1">
      <c r="A146" s="840">
        <v>143</v>
      </c>
      <c r="B146" s="831"/>
      <c r="C146" s="832"/>
      <c r="D146" s="832"/>
      <c r="E146" s="832"/>
      <c r="F146" s="833"/>
      <c r="G146" s="833"/>
      <c r="H146" s="833"/>
      <c r="I146" s="834"/>
      <c r="J146" s="533"/>
      <c r="K146" s="524"/>
      <c r="L146" s="96"/>
      <c r="M146" s="841"/>
      <c r="N146" s="115"/>
      <c r="O146" s="115"/>
      <c r="P146" s="115"/>
    </row>
    <row r="147" spans="1:16" ht="69.95" customHeight="1">
      <c r="A147" s="840">
        <v>144</v>
      </c>
      <c r="B147" s="831"/>
      <c r="C147" s="832"/>
      <c r="D147" s="832"/>
      <c r="E147" s="832"/>
      <c r="F147" s="833"/>
      <c r="G147" s="833"/>
      <c r="H147" s="833"/>
      <c r="I147" s="834"/>
      <c r="J147" s="533"/>
      <c r="K147" s="524"/>
      <c r="L147" s="96"/>
      <c r="M147" s="841"/>
      <c r="N147" s="115"/>
      <c r="O147" s="115"/>
      <c r="P147" s="115"/>
    </row>
    <row r="148" spans="1:16" ht="69.95" customHeight="1">
      <c r="A148" s="840">
        <v>145</v>
      </c>
      <c r="B148" s="831"/>
      <c r="C148" s="832"/>
      <c r="D148" s="832"/>
      <c r="E148" s="832"/>
      <c r="F148" s="833"/>
      <c r="G148" s="833"/>
      <c r="H148" s="833"/>
      <c r="I148" s="834"/>
      <c r="J148" s="533"/>
      <c r="K148" s="524"/>
      <c r="L148" s="96"/>
      <c r="M148" s="841"/>
      <c r="N148" s="115"/>
      <c r="O148" s="115"/>
      <c r="P148" s="115"/>
    </row>
    <row r="149" spans="1:16" ht="69.95" customHeight="1">
      <c r="A149" s="840">
        <v>146</v>
      </c>
      <c r="B149" s="831"/>
      <c r="C149" s="832"/>
      <c r="D149" s="832"/>
      <c r="E149" s="832"/>
      <c r="F149" s="833"/>
      <c r="G149" s="833"/>
      <c r="H149" s="833"/>
      <c r="I149" s="834"/>
      <c r="J149" s="533"/>
      <c r="K149" s="524"/>
      <c r="L149" s="96"/>
      <c r="M149" s="841"/>
      <c r="N149" s="115"/>
      <c r="O149" s="115"/>
      <c r="P149" s="115"/>
    </row>
    <row r="150" spans="1:16" ht="69.95" customHeight="1">
      <c r="A150" s="840">
        <v>147</v>
      </c>
      <c r="B150" s="831"/>
      <c r="C150" s="832"/>
      <c r="D150" s="832"/>
      <c r="E150" s="832"/>
      <c r="F150" s="833"/>
      <c r="G150" s="833"/>
      <c r="H150" s="833"/>
      <c r="I150" s="834"/>
      <c r="J150" s="533"/>
      <c r="K150" s="524"/>
      <c r="L150" s="96"/>
      <c r="M150" s="841"/>
      <c r="N150" s="115"/>
      <c r="O150" s="115"/>
      <c r="P150" s="115"/>
    </row>
    <row r="151" spans="1:16" ht="69.95" customHeight="1">
      <c r="A151" s="840">
        <v>148</v>
      </c>
      <c r="B151" s="831"/>
      <c r="C151" s="832"/>
      <c r="D151" s="832"/>
      <c r="E151" s="832"/>
      <c r="F151" s="833"/>
      <c r="G151" s="833"/>
      <c r="H151" s="833"/>
      <c r="I151" s="834"/>
      <c r="J151" s="533"/>
      <c r="K151" s="524"/>
      <c r="L151" s="96"/>
      <c r="M151" s="841"/>
      <c r="N151" s="115"/>
      <c r="O151" s="115"/>
      <c r="P151" s="115"/>
    </row>
    <row r="152" spans="1:16" ht="69.95" customHeight="1">
      <c r="A152" s="840">
        <v>149</v>
      </c>
      <c r="B152" s="831"/>
      <c r="C152" s="832"/>
      <c r="D152" s="832"/>
      <c r="E152" s="832"/>
      <c r="F152" s="833"/>
      <c r="G152" s="833"/>
      <c r="H152" s="833"/>
      <c r="I152" s="834"/>
      <c r="J152" s="533"/>
      <c r="K152" s="524"/>
      <c r="L152" s="96"/>
      <c r="M152" s="841"/>
      <c r="N152" s="115"/>
      <c r="O152" s="115"/>
      <c r="P152" s="115"/>
    </row>
    <row r="153" spans="1:16" ht="69.95" customHeight="1">
      <c r="A153" s="840">
        <v>150</v>
      </c>
      <c r="B153" s="831"/>
      <c r="C153" s="832"/>
      <c r="D153" s="832"/>
      <c r="E153" s="832"/>
      <c r="F153" s="833"/>
      <c r="G153" s="833"/>
      <c r="H153" s="833"/>
      <c r="I153" s="834"/>
      <c r="J153" s="533"/>
      <c r="K153" s="524"/>
      <c r="L153" s="96"/>
      <c r="M153" s="841"/>
      <c r="N153" s="115"/>
      <c r="O153" s="115"/>
      <c r="P153" s="115"/>
    </row>
    <row r="154" spans="1:16" ht="69.95" customHeight="1">
      <c r="A154" s="840">
        <v>151</v>
      </c>
      <c r="B154" s="831"/>
      <c r="C154" s="832"/>
      <c r="D154" s="832"/>
      <c r="E154" s="832"/>
      <c r="F154" s="833"/>
      <c r="G154" s="833"/>
      <c r="H154" s="833"/>
      <c r="I154" s="834"/>
      <c r="J154" s="533"/>
      <c r="K154" s="524"/>
      <c r="L154" s="96"/>
      <c r="M154" s="841"/>
      <c r="N154" s="115"/>
      <c r="O154" s="115"/>
      <c r="P154" s="115"/>
    </row>
    <row r="155" spans="1:16" ht="69.95" customHeight="1">
      <c r="A155" s="840">
        <v>152</v>
      </c>
      <c r="B155" s="831"/>
      <c r="C155" s="832"/>
      <c r="D155" s="832"/>
      <c r="E155" s="832"/>
      <c r="F155" s="833"/>
      <c r="G155" s="833"/>
      <c r="H155" s="833"/>
      <c r="I155" s="834"/>
      <c r="J155" s="533"/>
      <c r="K155" s="524"/>
      <c r="L155" s="96"/>
      <c r="M155" s="841"/>
      <c r="N155" s="115"/>
      <c r="O155" s="115"/>
      <c r="P155" s="115"/>
    </row>
    <row r="156" spans="1:16" ht="69.95" customHeight="1">
      <c r="A156" s="840">
        <v>153</v>
      </c>
      <c r="B156" s="831"/>
      <c r="C156" s="832"/>
      <c r="D156" s="832"/>
      <c r="E156" s="832"/>
      <c r="F156" s="833"/>
      <c r="G156" s="833"/>
      <c r="H156" s="833"/>
      <c r="I156" s="834"/>
      <c r="J156" s="533"/>
      <c r="K156" s="524"/>
      <c r="L156" s="96"/>
      <c r="M156" s="841"/>
      <c r="N156" s="115"/>
      <c r="O156" s="115"/>
      <c r="P156" s="115"/>
    </row>
    <row r="157" spans="1:16" ht="69.95" customHeight="1">
      <c r="A157" s="840">
        <v>154</v>
      </c>
      <c r="B157" s="831"/>
      <c r="C157" s="832"/>
      <c r="D157" s="832"/>
      <c r="E157" s="832"/>
      <c r="F157" s="833"/>
      <c r="G157" s="833"/>
      <c r="H157" s="833"/>
      <c r="I157" s="834"/>
      <c r="J157" s="533"/>
      <c r="K157" s="524"/>
      <c r="L157" s="96"/>
      <c r="M157" s="841"/>
      <c r="N157" s="115"/>
      <c r="O157" s="115"/>
      <c r="P157" s="115"/>
    </row>
    <row r="158" spans="1:16" ht="69.95" customHeight="1">
      <c r="A158" s="840">
        <v>155</v>
      </c>
      <c r="B158" s="831"/>
      <c r="C158" s="832"/>
      <c r="D158" s="832"/>
      <c r="E158" s="832"/>
      <c r="F158" s="833"/>
      <c r="G158" s="833"/>
      <c r="H158" s="833"/>
      <c r="I158" s="834"/>
      <c r="J158" s="533"/>
      <c r="K158" s="524"/>
      <c r="L158" s="96"/>
      <c r="M158" s="841"/>
      <c r="N158" s="115"/>
      <c r="O158" s="115"/>
      <c r="P158" s="115"/>
    </row>
    <row r="159" spans="1:16" ht="69.95" customHeight="1">
      <c r="A159" s="840">
        <v>156</v>
      </c>
      <c r="B159" s="831"/>
      <c r="C159" s="832"/>
      <c r="D159" s="832"/>
      <c r="E159" s="832"/>
      <c r="F159" s="833"/>
      <c r="G159" s="833"/>
      <c r="H159" s="833"/>
      <c r="I159" s="834"/>
      <c r="J159" s="533"/>
      <c r="K159" s="524"/>
      <c r="L159" s="96"/>
      <c r="M159" s="841"/>
      <c r="N159" s="115"/>
      <c r="O159" s="115"/>
      <c r="P159" s="115"/>
    </row>
    <row r="160" spans="1:16" ht="69.95" customHeight="1">
      <c r="A160" s="840">
        <v>157</v>
      </c>
      <c r="B160" s="831"/>
      <c r="C160" s="832"/>
      <c r="D160" s="832"/>
      <c r="E160" s="832"/>
      <c r="F160" s="833"/>
      <c r="G160" s="833"/>
      <c r="H160" s="833"/>
      <c r="I160" s="834"/>
      <c r="J160" s="533"/>
      <c r="K160" s="524"/>
      <c r="L160" s="96"/>
      <c r="M160" s="841"/>
      <c r="N160" s="115"/>
      <c r="O160" s="115"/>
      <c r="P160" s="115"/>
    </row>
    <row r="161" spans="1:16" ht="69.95" customHeight="1">
      <c r="A161" s="840">
        <v>158</v>
      </c>
      <c r="B161" s="831"/>
      <c r="C161" s="832"/>
      <c r="D161" s="832"/>
      <c r="E161" s="832"/>
      <c r="F161" s="833"/>
      <c r="G161" s="833"/>
      <c r="H161" s="833"/>
      <c r="I161" s="834"/>
      <c r="J161" s="533"/>
      <c r="K161" s="524"/>
      <c r="L161" s="96"/>
      <c r="M161" s="841"/>
      <c r="N161" s="115"/>
      <c r="O161" s="115"/>
      <c r="P161" s="115"/>
    </row>
    <row r="162" spans="1:16" ht="69.95" customHeight="1">
      <c r="A162" s="840">
        <v>159</v>
      </c>
      <c r="B162" s="831"/>
      <c r="C162" s="832"/>
      <c r="D162" s="832"/>
      <c r="E162" s="832"/>
      <c r="F162" s="833"/>
      <c r="G162" s="833"/>
      <c r="H162" s="833"/>
      <c r="I162" s="834"/>
      <c r="J162" s="533"/>
      <c r="K162" s="524"/>
      <c r="L162" s="96"/>
      <c r="M162" s="841"/>
      <c r="N162" s="115"/>
      <c r="O162" s="115"/>
      <c r="P162" s="115"/>
    </row>
    <row r="163" spans="1:16" ht="69.95" customHeight="1">
      <c r="A163" s="840">
        <v>160</v>
      </c>
      <c r="B163" s="831"/>
      <c r="C163" s="832"/>
      <c r="D163" s="832"/>
      <c r="E163" s="832"/>
      <c r="F163" s="833"/>
      <c r="G163" s="833"/>
      <c r="H163" s="833"/>
      <c r="I163" s="834"/>
      <c r="J163" s="533"/>
      <c r="K163" s="524"/>
      <c r="L163" s="96"/>
      <c r="M163" s="841"/>
      <c r="N163" s="115"/>
      <c r="O163" s="115"/>
      <c r="P163" s="115"/>
    </row>
    <row r="164" spans="1:16" ht="69.95" customHeight="1">
      <c r="A164" s="840">
        <v>161</v>
      </c>
      <c r="B164" s="831"/>
      <c r="C164" s="832"/>
      <c r="D164" s="832"/>
      <c r="E164" s="832"/>
      <c r="F164" s="833"/>
      <c r="G164" s="833"/>
      <c r="H164" s="833"/>
      <c r="I164" s="834"/>
      <c r="J164" s="533"/>
      <c r="K164" s="524"/>
      <c r="L164" s="96"/>
      <c r="M164" s="841"/>
      <c r="N164" s="115"/>
      <c r="O164" s="115"/>
      <c r="P164" s="115"/>
    </row>
    <row r="165" spans="1:16" ht="69.95" customHeight="1">
      <c r="A165" s="840">
        <v>162</v>
      </c>
      <c r="B165" s="831"/>
      <c r="C165" s="832"/>
      <c r="D165" s="832"/>
      <c r="E165" s="832"/>
      <c r="F165" s="833"/>
      <c r="G165" s="833"/>
      <c r="H165" s="833"/>
      <c r="I165" s="834"/>
      <c r="J165" s="533"/>
      <c r="K165" s="524"/>
      <c r="L165" s="96"/>
      <c r="M165" s="841"/>
      <c r="N165" s="115"/>
      <c r="O165" s="115"/>
      <c r="P165" s="115"/>
    </row>
    <row r="166" spans="1:16" ht="69.95" customHeight="1">
      <c r="A166" s="840">
        <v>163</v>
      </c>
      <c r="B166" s="831"/>
      <c r="C166" s="832"/>
      <c r="D166" s="832"/>
      <c r="E166" s="832"/>
      <c r="F166" s="833"/>
      <c r="G166" s="833"/>
      <c r="H166" s="833"/>
      <c r="I166" s="834"/>
      <c r="J166" s="533"/>
      <c r="K166" s="524"/>
      <c r="L166" s="96"/>
      <c r="M166" s="841"/>
      <c r="N166" s="115"/>
      <c r="O166" s="115"/>
      <c r="P166" s="115"/>
    </row>
    <row r="167" spans="1:16" ht="69.95" customHeight="1">
      <c r="A167" s="840">
        <v>164</v>
      </c>
      <c r="B167" s="831"/>
      <c r="C167" s="832"/>
      <c r="D167" s="832"/>
      <c r="E167" s="832"/>
      <c r="F167" s="833"/>
      <c r="G167" s="833"/>
      <c r="H167" s="833"/>
      <c r="I167" s="834"/>
      <c r="J167" s="533"/>
      <c r="K167" s="524"/>
      <c r="L167" s="96"/>
      <c r="M167" s="841"/>
      <c r="N167" s="115"/>
      <c r="O167" s="115"/>
      <c r="P167" s="115"/>
    </row>
    <row r="168" spans="1:16" ht="69.95" customHeight="1">
      <c r="A168" s="840">
        <v>165</v>
      </c>
      <c r="B168" s="831"/>
      <c r="C168" s="832"/>
      <c r="D168" s="832"/>
      <c r="E168" s="832"/>
      <c r="F168" s="833"/>
      <c r="G168" s="833"/>
      <c r="H168" s="833"/>
      <c r="I168" s="834"/>
      <c r="J168" s="533"/>
      <c r="K168" s="524"/>
      <c r="L168" s="96"/>
      <c r="M168" s="841"/>
      <c r="N168" s="115"/>
      <c r="O168" s="115"/>
      <c r="P168" s="115"/>
    </row>
    <row r="169" spans="1:16" ht="69.95" customHeight="1">
      <c r="A169" s="840">
        <v>166</v>
      </c>
      <c r="B169" s="831"/>
      <c r="C169" s="832"/>
      <c r="D169" s="832"/>
      <c r="E169" s="832"/>
      <c r="F169" s="833"/>
      <c r="G169" s="833"/>
      <c r="H169" s="833"/>
      <c r="I169" s="834"/>
      <c r="J169" s="533"/>
      <c r="K169" s="524"/>
      <c r="L169" s="96"/>
      <c r="M169" s="841"/>
      <c r="N169" s="115"/>
      <c r="O169" s="115"/>
      <c r="P169" s="115"/>
    </row>
    <row r="170" spans="1:16" ht="69.95" customHeight="1">
      <c r="A170" s="840">
        <v>167</v>
      </c>
      <c r="B170" s="831"/>
      <c r="C170" s="832"/>
      <c r="D170" s="832"/>
      <c r="E170" s="832"/>
      <c r="F170" s="833"/>
      <c r="G170" s="833"/>
      <c r="H170" s="833"/>
      <c r="I170" s="834"/>
      <c r="J170" s="533"/>
      <c r="K170" s="524"/>
      <c r="L170" s="96"/>
      <c r="M170" s="841"/>
      <c r="N170" s="115"/>
      <c r="O170" s="115"/>
      <c r="P170" s="115"/>
    </row>
    <row r="171" spans="1:16" ht="69.95" customHeight="1">
      <c r="A171" s="840">
        <v>168</v>
      </c>
      <c r="B171" s="831"/>
      <c r="C171" s="832"/>
      <c r="D171" s="832"/>
      <c r="E171" s="832"/>
      <c r="F171" s="833"/>
      <c r="G171" s="833"/>
      <c r="H171" s="833"/>
      <c r="I171" s="834"/>
      <c r="J171" s="533"/>
      <c r="K171" s="524"/>
      <c r="L171" s="96"/>
      <c r="M171" s="841"/>
      <c r="N171" s="115"/>
      <c r="O171" s="115"/>
      <c r="P171" s="115"/>
    </row>
    <row r="172" spans="1:16" ht="69.95" customHeight="1">
      <c r="A172" s="840">
        <v>169</v>
      </c>
      <c r="B172" s="831"/>
      <c r="C172" s="832"/>
      <c r="D172" s="832"/>
      <c r="E172" s="832"/>
      <c r="F172" s="833"/>
      <c r="G172" s="833"/>
      <c r="H172" s="833"/>
      <c r="I172" s="834"/>
      <c r="J172" s="533"/>
      <c r="K172" s="524"/>
      <c r="L172" s="96"/>
      <c r="M172" s="841"/>
      <c r="N172" s="115"/>
      <c r="O172" s="115"/>
      <c r="P172" s="115"/>
    </row>
    <row r="173" spans="1:16" ht="69.95" customHeight="1">
      <c r="A173" s="840">
        <v>170</v>
      </c>
      <c r="B173" s="831"/>
      <c r="C173" s="832"/>
      <c r="D173" s="832"/>
      <c r="E173" s="832"/>
      <c r="F173" s="833"/>
      <c r="G173" s="833"/>
      <c r="H173" s="833"/>
      <c r="I173" s="834"/>
      <c r="J173" s="533"/>
      <c r="K173" s="524"/>
      <c r="L173" s="96"/>
      <c r="M173" s="841"/>
      <c r="N173" s="115"/>
      <c r="O173" s="115"/>
      <c r="P173" s="115"/>
    </row>
    <row r="174" spans="1:16" ht="69.95" customHeight="1">
      <c r="A174" s="840">
        <v>171</v>
      </c>
      <c r="B174" s="831"/>
      <c r="C174" s="832"/>
      <c r="D174" s="832"/>
      <c r="E174" s="832"/>
      <c r="F174" s="833"/>
      <c r="G174" s="833"/>
      <c r="H174" s="833"/>
      <c r="I174" s="834"/>
      <c r="J174" s="533"/>
      <c r="K174" s="524"/>
      <c r="L174" s="96"/>
      <c r="M174" s="841"/>
      <c r="N174" s="115"/>
      <c r="O174" s="115"/>
      <c r="P174" s="115"/>
    </row>
    <row r="175" spans="1:16" ht="69.95" customHeight="1">
      <c r="A175" s="840">
        <v>172</v>
      </c>
      <c r="B175" s="831"/>
      <c r="C175" s="832"/>
      <c r="D175" s="832"/>
      <c r="E175" s="832"/>
      <c r="F175" s="833"/>
      <c r="G175" s="833"/>
      <c r="H175" s="833"/>
      <c r="I175" s="834"/>
      <c r="J175" s="533"/>
      <c r="K175" s="524"/>
      <c r="L175" s="96"/>
      <c r="M175" s="841"/>
      <c r="N175" s="115"/>
      <c r="O175" s="115"/>
      <c r="P175" s="115"/>
    </row>
    <row r="176" spans="1:16" ht="69.95" customHeight="1">
      <c r="A176" s="840">
        <v>173</v>
      </c>
      <c r="B176" s="831"/>
      <c r="C176" s="832"/>
      <c r="D176" s="832"/>
      <c r="E176" s="832"/>
      <c r="F176" s="833"/>
      <c r="G176" s="833"/>
      <c r="H176" s="833"/>
      <c r="I176" s="834"/>
      <c r="J176" s="533"/>
      <c r="K176" s="524"/>
      <c r="L176" s="96"/>
      <c r="M176" s="841"/>
      <c r="N176" s="115"/>
      <c r="O176" s="115"/>
      <c r="P176" s="115"/>
    </row>
    <row r="177" spans="1:16" ht="69.95" customHeight="1">
      <c r="A177" s="840">
        <v>174</v>
      </c>
      <c r="B177" s="831"/>
      <c r="C177" s="832"/>
      <c r="D177" s="832"/>
      <c r="E177" s="832"/>
      <c r="F177" s="833"/>
      <c r="G177" s="833"/>
      <c r="H177" s="833"/>
      <c r="I177" s="834"/>
      <c r="J177" s="533"/>
      <c r="K177" s="524"/>
      <c r="L177" s="96"/>
      <c r="M177" s="841"/>
      <c r="N177" s="115"/>
      <c r="O177" s="115"/>
      <c r="P177" s="115"/>
    </row>
    <row r="178" spans="1:16" ht="69.95" customHeight="1">
      <c r="A178" s="840">
        <v>175</v>
      </c>
      <c r="B178" s="831"/>
      <c r="C178" s="832"/>
      <c r="D178" s="832"/>
      <c r="E178" s="832"/>
      <c r="F178" s="833"/>
      <c r="G178" s="833"/>
      <c r="H178" s="833"/>
      <c r="I178" s="834"/>
      <c r="J178" s="533"/>
      <c r="K178" s="524"/>
      <c r="L178" s="96"/>
      <c r="M178" s="841"/>
      <c r="N178" s="115"/>
      <c r="O178" s="115"/>
      <c r="P178" s="115"/>
    </row>
    <row r="179" spans="1:16" ht="69.95" customHeight="1">
      <c r="A179" s="840">
        <v>176</v>
      </c>
      <c r="B179" s="831"/>
      <c r="C179" s="832"/>
      <c r="D179" s="832"/>
      <c r="E179" s="832"/>
      <c r="F179" s="833"/>
      <c r="G179" s="833"/>
      <c r="H179" s="833"/>
      <c r="I179" s="834"/>
      <c r="J179" s="533"/>
      <c r="K179" s="524"/>
      <c r="L179" s="96"/>
      <c r="M179" s="841"/>
      <c r="N179" s="115"/>
      <c r="O179" s="115"/>
      <c r="P179" s="115"/>
    </row>
    <row r="180" spans="1:16" ht="69.95" customHeight="1">
      <c r="A180" s="840">
        <v>177</v>
      </c>
      <c r="B180" s="831"/>
      <c r="C180" s="832"/>
      <c r="D180" s="832"/>
      <c r="E180" s="832"/>
      <c r="F180" s="833"/>
      <c r="G180" s="833"/>
      <c r="H180" s="833"/>
      <c r="I180" s="834"/>
      <c r="J180" s="533"/>
      <c r="K180" s="524"/>
      <c r="L180" s="96"/>
      <c r="M180" s="841"/>
      <c r="N180" s="115"/>
      <c r="O180" s="115"/>
      <c r="P180" s="115"/>
    </row>
    <row r="181" spans="1:16" ht="69.95" customHeight="1">
      <c r="A181" s="840">
        <v>178</v>
      </c>
      <c r="B181" s="831"/>
      <c r="C181" s="832"/>
      <c r="D181" s="832"/>
      <c r="E181" s="832"/>
      <c r="F181" s="833"/>
      <c r="G181" s="833"/>
      <c r="H181" s="833"/>
      <c r="I181" s="834"/>
      <c r="J181" s="533"/>
      <c r="K181" s="524"/>
      <c r="L181" s="96"/>
      <c r="M181" s="841"/>
      <c r="N181" s="115"/>
      <c r="O181" s="115"/>
      <c r="P181" s="115"/>
    </row>
    <row r="182" spans="1:16" ht="69.95" customHeight="1">
      <c r="A182" s="840">
        <v>179</v>
      </c>
      <c r="B182" s="831"/>
      <c r="C182" s="832"/>
      <c r="D182" s="832"/>
      <c r="E182" s="832"/>
      <c r="F182" s="833"/>
      <c r="G182" s="833"/>
      <c r="H182" s="833"/>
      <c r="I182" s="834"/>
      <c r="J182" s="533"/>
      <c r="K182" s="524"/>
      <c r="L182" s="96"/>
      <c r="M182" s="841"/>
      <c r="N182" s="115"/>
      <c r="O182" s="115"/>
      <c r="P182" s="115"/>
    </row>
    <row r="183" spans="1:16" ht="69.95" customHeight="1">
      <c r="A183" s="840">
        <v>180</v>
      </c>
      <c r="B183" s="831"/>
      <c r="C183" s="832"/>
      <c r="D183" s="832"/>
      <c r="E183" s="832"/>
      <c r="F183" s="833"/>
      <c r="G183" s="833"/>
      <c r="H183" s="833"/>
      <c r="I183" s="834"/>
      <c r="J183" s="533"/>
      <c r="K183" s="524"/>
      <c r="L183" s="96"/>
      <c r="M183" s="841"/>
      <c r="N183" s="115"/>
      <c r="O183" s="115"/>
      <c r="P183" s="115"/>
    </row>
    <row r="184" spans="1:16" ht="69.95" customHeight="1">
      <c r="A184" s="840">
        <v>181</v>
      </c>
      <c r="B184" s="831"/>
      <c r="C184" s="832"/>
      <c r="D184" s="832"/>
      <c r="E184" s="832"/>
      <c r="F184" s="833"/>
      <c r="G184" s="833"/>
      <c r="H184" s="833"/>
      <c r="I184" s="834"/>
      <c r="J184" s="533"/>
      <c r="K184" s="524"/>
      <c r="L184" s="96"/>
      <c r="M184" s="841"/>
      <c r="N184" s="115"/>
      <c r="O184" s="115"/>
      <c r="P184" s="115"/>
    </row>
    <row r="185" spans="1:16" ht="69.95" customHeight="1">
      <c r="A185" s="840">
        <v>182</v>
      </c>
      <c r="B185" s="831"/>
      <c r="C185" s="832"/>
      <c r="D185" s="832"/>
      <c r="E185" s="832"/>
      <c r="F185" s="833"/>
      <c r="G185" s="833"/>
      <c r="H185" s="833"/>
      <c r="I185" s="834"/>
      <c r="J185" s="533"/>
      <c r="K185" s="524"/>
      <c r="L185" s="96"/>
      <c r="M185" s="841"/>
      <c r="N185" s="115"/>
      <c r="O185" s="115"/>
      <c r="P185" s="115"/>
    </row>
    <row r="186" spans="1:16" ht="69.95" customHeight="1">
      <c r="A186" s="840">
        <v>183</v>
      </c>
      <c r="B186" s="831"/>
      <c r="C186" s="832"/>
      <c r="D186" s="832"/>
      <c r="E186" s="832"/>
      <c r="F186" s="833"/>
      <c r="G186" s="833"/>
      <c r="H186" s="833"/>
      <c r="I186" s="834"/>
      <c r="J186" s="533"/>
      <c r="K186" s="524"/>
      <c r="L186" s="96"/>
      <c r="M186" s="841"/>
      <c r="N186" s="115"/>
      <c r="O186" s="115"/>
      <c r="P186" s="115"/>
    </row>
    <row r="187" spans="1:16" ht="69.95" customHeight="1">
      <c r="A187" s="840">
        <v>184</v>
      </c>
      <c r="B187" s="831"/>
      <c r="C187" s="832"/>
      <c r="D187" s="832"/>
      <c r="E187" s="832"/>
      <c r="F187" s="833"/>
      <c r="G187" s="833"/>
      <c r="H187" s="833"/>
      <c r="I187" s="834"/>
      <c r="J187" s="533"/>
      <c r="K187" s="524"/>
      <c r="L187" s="96"/>
      <c r="M187" s="841"/>
      <c r="N187" s="115"/>
      <c r="O187" s="115"/>
      <c r="P187" s="115"/>
    </row>
    <row r="188" spans="1:16" ht="69.95" customHeight="1">
      <c r="A188" s="840">
        <v>185</v>
      </c>
      <c r="B188" s="831"/>
      <c r="C188" s="832"/>
      <c r="D188" s="832"/>
      <c r="E188" s="832"/>
      <c r="F188" s="833"/>
      <c r="G188" s="833"/>
      <c r="H188" s="833"/>
      <c r="I188" s="834"/>
      <c r="J188" s="533"/>
      <c r="K188" s="524"/>
      <c r="L188" s="96"/>
      <c r="M188" s="841"/>
      <c r="N188" s="115"/>
      <c r="O188" s="115"/>
      <c r="P188" s="115"/>
    </row>
    <row r="189" spans="1:16" ht="69.95" customHeight="1">
      <c r="A189" s="840">
        <v>186</v>
      </c>
      <c r="B189" s="831"/>
      <c r="C189" s="832"/>
      <c r="D189" s="832"/>
      <c r="E189" s="832"/>
      <c r="F189" s="833"/>
      <c r="G189" s="833"/>
      <c r="H189" s="833"/>
      <c r="I189" s="834"/>
      <c r="J189" s="533"/>
      <c r="K189" s="524"/>
      <c r="L189" s="96"/>
      <c r="M189" s="841"/>
      <c r="N189" s="115"/>
      <c r="O189" s="115"/>
      <c r="P189" s="115"/>
    </row>
    <row r="190" spans="1:16" ht="69.95" customHeight="1">
      <c r="A190" s="840">
        <v>187</v>
      </c>
      <c r="B190" s="831"/>
      <c r="C190" s="832"/>
      <c r="D190" s="832"/>
      <c r="E190" s="832"/>
      <c r="F190" s="833"/>
      <c r="G190" s="833"/>
      <c r="H190" s="833"/>
      <c r="I190" s="834"/>
      <c r="J190" s="533"/>
      <c r="K190" s="524"/>
      <c r="L190" s="96"/>
      <c r="M190" s="841"/>
      <c r="N190" s="115"/>
      <c r="O190" s="115"/>
      <c r="P190" s="115"/>
    </row>
    <row r="191" spans="1:16" ht="69.95" customHeight="1">
      <c r="A191" s="840">
        <v>188</v>
      </c>
      <c r="B191" s="831"/>
      <c r="C191" s="832"/>
      <c r="D191" s="832"/>
      <c r="E191" s="832"/>
      <c r="F191" s="833"/>
      <c r="G191" s="833"/>
      <c r="H191" s="833"/>
      <c r="I191" s="834"/>
      <c r="J191" s="533"/>
      <c r="K191" s="524"/>
      <c r="L191" s="96"/>
      <c r="M191" s="841"/>
      <c r="N191" s="115"/>
      <c r="O191" s="115"/>
      <c r="P191" s="115"/>
    </row>
    <row r="192" spans="1:16" ht="69.95" customHeight="1">
      <c r="A192" s="840">
        <v>189</v>
      </c>
      <c r="B192" s="831"/>
      <c r="C192" s="832"/>
      <c r="D192" s="832"/>
      <c r="E192" s="832"/>
      <c r="F192" s="833"/>
      <c r="G192" s="833"/>
      <c r="H192" s="833"/>
      <c r="I192" s="834"/>
      <c r="J192" s="533"/>
      <c r="K192" s="524"/>
      <c r="L192" s="96"/>
      <c r="M192" s="841"/>
      <c r="N192" s="115"/>
      <c r="O192" s="115"/>
      <c r="P192" s="115"/>
    </row>
    <row r="193" spans="1:16" ht="69.95" customHeight="1">
      <c r="A193" s="840">
        <v>190</v>
      </c>
      <c r="B193" s="831"/>
      <c r="C193" s="832"/>
      <c r="D193" s="832"/>
      <c r="E193" s="832"/>
      <c r="F193" s="833"/>
      <c r="G193" s="833"/>
      <c r="H193" s="833"/>
      <c r="I193" s="834"/>
      <c r="J193" s="533"/>
      <c r="K193" s="524"/>
      <c r="L193" s="96"/>
      <c r="M193" s="841"/>
      <c r="N193" s="115"/>
      <c r="O193" s="115"/>
      <c r="P193" s="115"/>
    </row>
    <row r="194" spans="1:16" ht="69.95" customHeight="1">
      <c r="A194" s="840">
        <v>191</v>
      </c>
      <c r="B194" s="831"/>
      <c r="C194" s="832"/>
      <c r="D194" s="832"/>
      <c r="E194" s="832"/>
      <c r="F194" s="833"/>
      <c r="G194" s="833"/>
      <c r="H194" s="833"/>
      <c r="I194" s="834"/>
      <c r="J194" s="533"/>
      <c r="K194" s="524"/>
      <c r="L194" s="96"/>
      <c r="M194" s="841"/>
      <c r="N194" s="115"/>
      <c r="O194" s="115"/>
      <c r="P194" s="115"/>
    </row>
    <row r="195" spans="1:16" ht="69.95" customHeight="1">
      <c r="A195" s="840">
        <v>192</v>
      </c>
      <c r="B195" s="831"/>
      <c r="C195" s="832"/>
      <c r="D195" s="832"/>
      <c r="E195" s="832"/>
      <c r="F195" s="833"/>
      <c r="G195" s="833"/>
      <c r="H195" s="833"/>
      <c r="I195" s="834"/>
      <c r="J195" s="533"/>
      <c r="K195" s="524"/>
      <c r="L195" s="96"/>
      <c r="M195" s="841"/>
      <c r="N195" s="115"/>
      <c r="O195" s="115"/>
      <c r="P195" s="115"/>
    </row>
    <row r="196" spans="1:16" ht="69.95" customHeight="1">
      <c r="A196" s="840">
        <v>193</v>
      </c>
      <c r="B196" s="831"/>
      <c r="C196" s="832"/>
      <c r="D196" s="832"/>
      <c r="E196" s="832"/>
      <c r="F196" s="833"/>
      <c r="G196" s="833"/>
      <c r="H196" s="833"/>
      <c r="I196" s="834"/>
      <c r="J196" s="533"/>
      <c r="K196" s="524"/>
      <c r="L196" s="96"/>
      <c r="M196" s="841"/>
      <c r="N196" s="115"/>
      <c r="O196" s="115"/>
      <c r="P196" s="115"/>
    </row>
    <row r="197" spans="1:16" ht="69.95" customHeight="1">
      <c r="A197" s="840">
        <v>194</v>
      </c>
      <c r="B197" s="831"/>
      <c r="C197" s="832"/>
      <c r="D197" s="832"/>
      <c r="E197" s="832"/>
      <c r="F197" s="833"/>
      <c r="G197" s="833"/>
      <c r="H197" s="833"/>
      <c r="I197" s="834"/>
      <c r="J197" s="533"/>
      <c r="K197" s="524"/>
      <c r="L197" s="96"/>
      <c r="M197" s="841"/>
      <c r="N197" s="115"/>
      <c r="O197" s="115"/>
      <c r="P197" s="115"/>
    </row>
    <row r="198" spans="1:16" ht="69.95" customHeight="1">
      <c r="A198" s="840">
        <v>195</v>
      </c>
      <c r="B198" s="831"/>
      <c r="C198" s="832"/>
      <c r="D198" s="832"/>
      <c r="E198" s="832"/>
      <c r="F198" s="833"/>
      <c r="G198" s="833"/>
      <c r="H198" s="833"/>
      <c r="I198" s="834"/>
      <c r="J198" s="533"/>
      <c r="K198" s="524"/>
      <c r="L198" s="96"/>
      <c r="M198" s="841"/>
      <c r="N198" s="115"/>
      <c r="O198" s="115"/>
      <c r="P198" s="115"/>
    </row>
    <row r="199" spans="1:16" ht="69.95" customHeight="1">
      <c r="A199" s="840">
        <v>196</v>
      </c>
      <c r="B199" s="831"/>
      <c r="C199" s="832"/>
      <c r="D199" s="832"/>
      <c r="E199" s="832"/>
      <c r="F199" s="833"/>
      <c r="G199" s="833"/>
      <c r="H199" s="833"/>
      <c r="I199" s="834"/>
      <c r="J199" s="533"/>
      <c r="K199" s="524"/>
      <c r="L199" s="96"/>
      <c r="M199" s="841"/>
      <c r="N199" s="115"/>
      <c r="O199" s="115"/>
      <c r="P199" s="115"/>
    </row>
    <row r="200" spans="1:16" ht="69.95" customHeight="1">
      <c r="A200" s="840">
        <v>197</v>
      </c>
      <c r="B200" s="831"/>
      <c r="C200" s="832"/>
      <c r="D200" s="832"/>
      <c r="E200" s="832"/>
      <c r="F200" s="833"/>
      <c r="G200" s="833"/>
      <c r="H200" s="833"/>
      <c r="I200" s="834"/>
      <c r="J200" s="533"/>
      <c r="K200" s="524"/>
      <c r="L200" s="96"/>
      <c r="M200" s="841"/>
      <c r="N200" s="115"/>
      <c r="O200" s="115"/>
      <c r="P200" s="115"/>
    </row>
    <row r="201" spans="1:16" ht="69.95" customHeight="1">
      <c r="A201" s="840">
        <v>198</v>
      </c>
      <c r="B201" s="831"/>
      <c r="C201" s="832"/>
      <c r="D201" s="832"/>
      <c r="E201" s="832"/>
      <c r="F201" s="833"/>
      <c r="G201" s="833"/>
      <c r="H201" s="833"/>
      <c r="I201" s="834"/>
      <c r="J201" s="533"/>
      <c r="K201" s="524"/>
      <c r="L201" s="96"/>
      <c r="M201" s="841"/>
      <c r="N201" s="115"/>
      <c r="O201" s="115"/>
      <c r="P201" s="115"/>
    </row>
    <row r="202" spans="1:16" ht="69.95" customHeight="1">
      <c r="A202" s="840">
        <v>199</v>
      </c>
      <c r="B202" s="831"/>
      <c r="C202" s="832"/>
      <c r="D202" s="832"/>
      <c r="E202" s="832"/>
      <c r="F202" s="833"/>
      <c r="G202" s="833"/>
      <c r="H202" s="833"/>
      <c r="I202" s="834"/>
      <c r="J202" s="533"/>
      <c r="K202" s="524"/>
      <c r="L202" s="96"/>
      <c r="M202" s="841"/>
      <c r="N202" s="115"/>
      <c r="O202" s="115"/>
      <c r="P202" s="115"/>
    </row>
    <row r="203" spans="1:16" ht="69.95" customHeight="1" thickBot="1">
      <c r="A203" s="842">
        <v>200</v>
      </c>
      <c r="B203" s="843"/>
      <c r="C203" s="844"/>
      <c r="D203" s="844"/>
      <c r="E203" s="844"/>
      <c r="F203" s="845"/>
      <c r="G203" s="845"/>
      <c r="H203" s="845"/>
      <c r="I203" s="846"/>
      <c r="J203" s="847"/>
      <c r="K203" s="848"/>
      <c r="L203" s="849"/>
      <c r="M203" s="850"/>
      <c r="N203" s="115"/>
      <c r="O203" s="115"/>
      <c r="P203" s="115"/>
    </row>
    <row r="204" spans="1:16">
      <c r="A204" s="121"/>
      <c r="B204" s="121"/>
      <c r="C204" s="122"/>
      <c r="D204" s="123"/>
      <c r="E204" s="124"/>
      <c r="F204" s="124"/>
      <c r="G204" s="124"/>
      <c r="H204" s="124"/>
      <c r="I204" s="124"/>
      <c r="J204" s="124"/>
      <c r="K204" s="124"/>
      <c r="L204" s="115"/>
      <c r="M204" s="115"/>
      <c r="N204" s="115"/>
      <c r="O204" s="115"/>
      <c r="P204" s="115"/>
    </row>
    <row r="205" spans="1:16" ht="15" customHeight="1">
      <c r="A205" s="115"/>
      <c r="B205" s="115"/>
      <c r="C205" s="115"/>
      <c r="D205" s="115"/>
      <c r="E205" s="115"/>
      <c r="F205" s="115"/>
      <c r="G205" s="115"/>
      <c r="H205" s="115"/>
      <c r="I205" s="115"/>
      <c r="J205" s="115"/>
      <c r="K205" s="115"/>
      <c r="L205" s="115"/>
      <c r="M205" s="115"/>
      <c r="N205" s="115"/>
      <c r="O205" s="115"/>
      <c r="P205" s="115"/>
    </row>
    <row r="206" spans="1:16">
      <c r="A206" s="115"/>
      <c r="B206" s="115"/>
      <c r="C206" s="115"/>
      <c r="D206" s="115"/>
      <c r="E206" s="115"/>
      <c r="F206" s="115"/>
      <c r="G206" s="115"/>
      <c r="H206" s="115"/>
      <c r="I206" s="115"/>
      <c r="J206" s="115"/>
      <c r="K206" s="115"/>
      <c r="L206" s="115"/>
      <c r="M206" s="115"/>
      <c r="N206" s="115"/>
      <c r="O206" s="115"/>
      <c r="P206" s="115"/>
    </row>
    <row r="207" spans="1:16" hidden="1"/>
    <row r="208" spans="1:16"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password="D1E2" sheet="1" objects="1" scenarios="1" formatCells="0" formatColumns="0" formatRows="0"/>
  <dataConsolidate/>
  <mergeCells count="3">
    <mergeCell ref="L2:M2"/>
    <mergeCell ref="B1:J1"/>
    <mergeCell ref="K1:L1"/>
  </mergeCells>
  <conditionalFormatting sqref="L3:M3">
    <cfRule type="cellIs" dxfId="202" priority="3" stopIfTrue="1" operator="equal">
      <formula>0</formula>
    </cfRule>
  </conditionalFormatting>
  <dataValidations count="4">
    <dataValidation type="whole" operator="lessThanOrEqual" allowBlank="1" showInputMessage="1" showErrorMessage="1" error="कुल कार्य दिवस से ज्यादा उपस्थिति enter नहीं कर सकते है " sqref="M4:M203">
      <formula1>L4</formula1>
    </dataValidation>
    <dataValidation type="list" allowBlank="1" showInputMessage="1" showErrorMessage="1" error="Fill section " sqref="D4:D203">
      <formula1>"ALL, A, B, C, D, E, F, G, H"</formula1>
    </dataValidation>
    <dataValidation type="list" allowBlank="1" showInputMessage="1" showErrorMessage="1" sqref="J4:J203">
      <formula1>"F, M"</formula1>
    </dataValidation>
    <dataValidation type="list" allowBlank="1" showInputMessage="1" showErrorMessage="1" sqref="K4:K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sheetPr codeName="Sheet1"/>
  <dimension ref="A1:CI237"/>
  <sheetViews>
    <sheetView showGridLines="0" workbookViewId="0">
      <pane xSplit="10" ySplit="7" topLeftCell="AT8" activePane="bottomRight" state="frozen"/>
      <selection pane="topRight" activeCell="J1" sqref="J1"/>
      <selection pane="bottomLeft" activeCell="A8" sqref="A8"/>
      <selection pane="bottomRight" activeCell="AV13" sqref="AV13"/>
    </sheetView>
  </sheetViews>
  <sheetFormatPr defaultColWidth="0" defaultRowHeight="20.25" zeroHeight="1"/>
  <cols>
    <col min="1" max="1" width="5.75" style="5" customWidth="1"/>
    <col min="2" max="2" width="9" style="5" customWidth="1"/>
    <col min="3" max="3" width="5.875" style="5" customWidth="1"/>
    <col min="4" max="4" width="8.25" style="5" customWidth="1"/>
    <col min="5" max="5" width="13.875" style="5" customWidth="1"/>
    <col min="6" max="6" width="24" style="5" customWidth="1"/>
    <col min="7" max="7" width="24.875" style="5" customWidth="1"/>
    <col min="8" max="8" width="26" style="5" customWidth="1"/>
    <col min="9" max="9" width="5.875" style="5" customWidth="1"/>
    <col min="10" max="10" width="5.125" style="5" customWidth="1"/>
    <col min="11" max="24" width="5.75" style="5" customWidth="1"/>
    <col min="25" max="28" width="6.625" style="5" customWidth="1"/>
    <col min="29" max="32" width="5.75" style="5" customWidth="1"/>
    <col min="33" max="36" width="6.625" style="5" customWidth="1"/>
    <col min="37" max="37" width="6.125" style="5" customWidth="1"/>
    <col min="38" max="38" width="5.875" style="5" customWidth="1"/>
    <col min="39" max="40" width="5.75" style="5" customWidth="1"/>
    <col min="41" max="44" width="6.625" style="5" customWidth="1"/>
    <col min="45" max="48" width="5.75" style="5" customWidth="1"/>
    <col min="49" max="53" width="7.125" style="5" customWidth="1"/>
    <col min="54" max="56" width="6.625" style="5" customWidth="1"/>
    <col min="57" max="61" width="5.75" style="5" customWidth="1"/>
    <col min="62" max="62" width="3.75" style="5" customWidth="1"/>
    <col min="63" max="65" width="5.75" style="5" hidden="1" customWidth="1"/>
    <col min="66" max="87" width="25.875" style="5" hidden="1" customWidth="1"/>
    <col min="88" max="16384" width="5.75" style="5" hidden="1"/>
  </cols>
  <sheetData>
    <row r="1" spans="1:66" ht="24.75" customHeight="1" thickTop="1" thickBot="1">
      <c r="A1" s="997" t="str">
        <f>IF('Master Sheet'!D11="Hindi",CONCATENATE("विद्यालय का नाम :-","  ",'Master Sheet'!D8),CONCATENATE("School Name :-","  ",'Master Sheet'!D7))</f>
        <v xml:space="preserve">विद्यालय का नाम :-  महात्मा गाँधी राजकीय विद्यालय (अंग्रेजी माध्यम) बर, पाली </v>
      </c>
      <c r="B1" s="997"/>
      <c r="C1" s="997"/>
      <c r="D1" s="997"/>
      <c r="E1" s="997"/>
      <c r="F1" s="997"/>
      <c r="G1" s="567" t="str">
        <f>IF('Master Sheet'!$D$11="Hindi","सत्र :-","Session :-")</f>
        <v>सत्र :-</v>
      </c>
      <c r="H1" s="85" t="s">
        <v>301</v>
      </c>
      <c r="I1" s="999"/>
      <c r="J1" s="1000"/>
      <c r="K1" s="1039" t="str">
        <f>'Master Sheet'!G6</f>
        <v>Com. Hindi</v>
      </c>
      <c r="L1" s="1040"/>
      <c r="M1" s="1040"/>
      <c r="N1" s="1040"/>
      <c r="O1" s="1040"/>
      <c r="P1" s="1045" t="str">
        <f>'Master Sheet'!G7</f>
        <v>Com. English</v>
      </c>
      <c r="Q1" s="1046"/>
      <c r="R1" s="1046"/>
      <c r="S1" s="1046"/>
      <c r="T1" s="1046"/>
      <c r="U1" s="1052" t="s">
        <v>212</v>
      </c>
      <c r="V1" s="1053"/>
      <c r="W1" s="1053"/>
      <c r="X1" s="1053"/>
      <c r="Y1" s="1053"/>
      <c r="Z1" s="1053"/>
      <c r="AA1" s="1053"/>
      <c r="AB1" s="1053"/>
      <c r="AC1" s="1054" t="s">
        <v>213</v>
      </c>
      <c r="AD1" s="1055"/>
      <c r="AE1" s="1055"/>
      <c r="AF1" s="1055"/>
      <c r="AG1" s="1055"/>
      <c r="AH1" s="1055"/>
      <c r="AI1" s="1055"/>
      <c r="AJ1" s="1055"/>
      <c r="AK1" s="1065" t="s">
        <v>214</v>
      </c>
      <c r="AL1" s="1066"/>
      <c r="AM1" s="1066"/>
      <c r="AN1" s="1066"/>
      <c r="AO1" s="1066"/>
      <c r="AP1" s="1066"/>
      <c r="AQ1" s="1066"/>
      <c r="AR1" s="1066"/>
      <c r="AS1" s="1078" t="s">
        <v>281</v>
      </c>
      <c r="AT1" s="1079"/>
      <c r="AU1" s="1079"/>
      <c r="AV1" s="1079"/>
      <c r="AW1" s="1079"/>
      <c r="AX1" s="1079"/>
      <c r="AY1" s="555"/>
      <c r="AZ1" s="555"/>
      <c r="BA1" s="787">
        <f>AW220</f>
        <v>1</v>
      </c>
      <c r="BB1" s="1037"/>
      <c r="BC1" s="1037"/>
      <c r="BD1" s="1037"/>
      <c r="BE1" s="1083" t="str">
        <f>'Master Sheet'!G21</f>
        <v xml:space="preserve">आजादी के बाद का स्वर्णिम भारत </v>
      </c>
      <c r="BF1" s="1084"/>
      <c r="BG1" s="1084"/>
      <c r="BH1" s="1084"/>
      <c r="BI1" s="1084"/>
      <c r="BJ1" s="4"/>
    </row>
    <row r="2" spans="1:66" ht="30" customHeight="1" thickTop="1" thickBot="1">
      <c r="A2" s="997"/>
      <c r="B2" s="997"/>
      <c r="C2" s="997"/>
      <c r="D2" s="997"/>
      <c r="E2" s="997"/>
      <c r="F2" s="997"/>
      <c r="G2" s="567" t="str">
        <f>IF('Master Sheet'!$D$11="Hindi","कक्षा :-","Class :-")</f>
        <v>कक्षा :-</v>
      </c>
      <c r="H2" s="95">
        <v>11</v>
      </c>
      <c r="I2" s="1001"/>
      <c r="J2" s="1002"/>
      <c r="K2" s="1041"/>
      <c r="L2" s="1042"/>
      <c r="M2" s="1042"/>
      <c r="N2" s="1042"/>
      <c r="O2" s="1042"/>
      <c r="P2" s="1047"/>
      <c r="Q2" s="1048"/>
      <c r="R2" s="1048"/>
      <c r="S2" s="1048"/>
      <c r="T2" s="1048"/>
      <c r="U2" s="974" t="s">
        <v>30</v>
      </c>
      <c r="V2" s="975"/>
      <c r="W2" s="975"/>
      <c r="X2" s="976"/>
      <c r="Y2" s="974" t="s">
        <v>11</v>
      </c>
      <c r="Z2" s="975"/>
      <c r="AA2" s="974"/>
      <c r="AB2" s="975"/>
      <c r="AC2" s="984" t="s">
        <v>23</v>
      </c>
      <c r="AD2" s="985"/>
      <c r="AE2" s="985"/>
      <c r="AF2" s="986"/>
      <c r="AG2" s="974" t="s">
        <v>9</v>
      </c>
      <c r="AH2" s="975"/>
      <c r="AI2" s="974" t="s">
        <v>16</v>
      </c>
      <c r="AJ2" s="975"/>
      <c r="AK2" s="991" t="s">
        <v>20</v>
      </c>
      <c r="AL2" s="992"/>
      <c r="AM2" s="992"/>
      <c r="AN2" s="993"/>
      <c r="AO2" s="1061" t="s">
        <v>24</v>
      </c>
      <c r="AP2" s="1062"/>
      <c r="AQ2" s="1061" t="s">
        <v>42</v>
      </c>
      <c r="AR2" s="1062"/>
      <c r="AS2" s="1061" t="s">
        <v>1</v>
      </c>
      <c r="AT2" s="1062"/>
      <c r="AU2" s="1062"/>
      <c r="AV2" s="1067"/>
      <c r="AW2" s="1061" t="s">
        <v>141</v>
      </c>
      <c r="AX2" s="1062"/>
      <c r="AY2" s="1061" t="s">
        <v>136</v>
      </c>
      <c r="AZ2" s="1062"/>
      <c r="BA2" s="1067"/>
      <c r="BB2" s="1038" t="str">
        <f>'Master Sheet'!G20</f>
        <v>जीवन कौशल</v>
      </c>
      <c r="BC2" s="1038"/>
      <c r="BD2" s="1038"/>
      <c r="BE2" s="1089" t="str">
        <f>'Master Sheet'!H21</f>
        <v>Pravin Kumar</v>
      </c>
      <c r="BF2" s="1090"/>
      <c r="BG2" s="1090"/>
      <c r="BH2" s="1091"/>
      <c r="BI2" s="1091"/>
      <c r="BJ2" s="4"/>
    </row>
    <row r="3" spans="1:66" ht="30" customHeight="1" thickTop="1" thickBot="1">
      <c r="A3" s="998"/>
      <c r="B3" s="998"/>
      <c r="C3" s="998"/>
      <c r="D3" s="998"/>
      <c r="E3" s="998"/>
      <c r="F3" s="998"/>
      <c r="G3" s="568" t="str">
        <f>IF('Master Sheet'!$D$11="Hindi","संकाय :-","Faculty :-")</f>
        <v>संकाय :-</v>
      </c>
      <c r="H3" s="97" t="s">
        <v>282</v>
      </c>
      <c r="I3" s="1022" t="s">
        <v>210</v>
      </c>
      <c r="J3" s="1026" t="s">
        <v>211</v>
      </c>
      <c r="K3" s="1043" t="str">
        <f>IF('Master Sheet'!H6="","",'Master Sheet'!H6)</f>
        <v>Radheshyam</v>
      </c>
      <c r="L3" s="1044"/>
      <c r="M3" s="1044"/>
      <c r="N3" s="1044"/>
      <c r="O3" s="1044"/>
      <c r="P3" s="1049" t="str">
        <f>IF('Master Sheet'!H7="","",'Master Sheet'!H7)</f>
        <v>Heeralal Jat</v>
      </c>
      <c r="Q3" s="1050"/>
      <c r="R3" s="1050"/>
      <c r="S3" s="1051"/>
      <c r="T3" s="1051"/>
      <c r="U3" s="977" t="str">
        <f>IFERROR(IF(AND(U2=""),"A",VLOOKUP(U2,'Master Sheet'!$G$8:$H$19,2,0)),"")</f>
        <v>Heeralal Jat</v>
      </c>
      <c r="V3" s="978"/>
      <c r="W3" s="978"/>
      <c r="X3" s="979"/>
      <c r="Y3" s="1057" t="str">
        <f>IFERROR(IF(AND(Y2=""),"B",VLOOKUP(Y2,'Master Sheet'!$G$8:$H$19,2,0)),"")</f>
        <v/>
      </c>
      <c r="Z3" s="1058"/>
      <c r="AA3" s="977" t="str">
        <f>IFERROR(IF(AND(AA2=""),"C",VLOOKUP(AA2,'Master Sheet'!$G$8:$H$19,2,0)),"")</f>
        <v>C</v>
      </c>
      <c r="AB3" s="978"/>
      <c r="AC3" s="987" t="str">
        <f>IFERROR(IF(AND(AC2=""),"A",VLOOKUP(AC2,'Master Sheet'!$G$8:$H$19,2,0)),"")</f>
        <v>Rakesh Kumar</v>
      </c>
      <c r="AD3" s="988"/>
      <c r="AE3" s="988"/>
      <c r="AF3" s="989"/>
      <c r="AG3" s="1059" t="str">
        <f>IFERROR(IF(AND(AG2=""),"B",VLOOKUP(AG2,'Master Sheet'!$G$8:$H$19,2,0)),"")</f>
        <v/>
      </c>
      <c r="AH3" s="1060"/>
      <c r="AI3" s="1059" t="str">
        <f>IFERROR(IF(AND(AI2=""),"C",VLOOKUP(AI2,'Master Sheet'!$G$8:$H$19,2,0)),"")</f>
        <v/>
      </c>
      <c r="AJ3" s="1060"/>
      <c r="AK3" s="994" t="str">
        <f>IFERROR(IF(AND(AK2=""),"A",VLOOKUP(AK2,'Master Sheet'!$G$8:$H$19,2,0)),"")</f>
        <v>Yogendra</v>
      </c>
      <c r="AL3" s="995"/>
      <c r="AM3" s="995"/>
      <c r="AN3" s="996"/>
      <c r="AO3" s="1063" t="str">
        <f>IFERROR(IF(AND(AO2=""),"B",VLOOKUP(AO2,'Master Sheet'!$G$8:$H$19,2,0)),"")</f>
        <v/>
      </c>
      <c r="AP3" s="1064"/>
      <c r="AQ3" s="1063" t="str">
        <f>IFERROR(IF(AND(AQ2=""),"C",VLOOKUP(AQ2,'Master Sheet'!$G$8:$H$19,2,0)),"")</f>
        <v/>
      </c>
      <c r="AR3" s="1064"/>
      <c r="AS3" s="1080" t="str">
        <f>IFERROR(IF(AND(AS2=""),"A",VLOOKUP(AS2,'Master Sheet'!$G$8:$H$19,2,0)),"")</f>
        <v/>
      </c>
      <c r="AT3" s="1081"/>
      <c r="AU3" s="1081"/>
      <c r="AV3" s="1082"/>
      <c r="AW3" s="1068" t="str">
        <f>IFERROR(IF(AND(AW2=""),"B",VLOOKUP(AW2,'Master Sheet'!$G$8:$H$19,2,0)),"")</f>
        <v/>
      </c>
      <c r="AX3" s="1069"/>
      <c r="AY3" s="1068" t="str">
        <f>IFERROR(IF(AND(AY2=""),"C",VLOOKUP(AY2,'Master Sheet'!$G$8:$H$19,2,0)),"")</f>
        <v/>
      </c>
      <c r="AZ3" s="1069"/>
      <c r="BA3" s="1070"/>
      <c r="BB3" s="1056" t="str">
        <f>IF('Master Sheet'!H20="","",'Master Sheet'!H20)</f>
        <v>Lalit Kumar</v>
      </c>
      <c r="BC3" s="1056"/>
      <c r="BD3" s="1056"/>
      <c r="BE3" s="1094" t="str">
        <f>IF('Master Sheet'!$D$11="Hindi","सामयिक परख","Seasonal Exam")</f>
        <v>सामयिक परख</v>
      </c>
      <c r="BF3" s="1095"/>
      <c r="BG3" s="1096"/>
      <c r="BH3" s="1008" t="str">
        <f>IF('Master Sheet'!$D$11="Hindi","अर्द्धवार्षिक","Half Yearly")</f>
        <v>अर्द्धवार्षिक</v>
      </c>
      <c r="BI3" s="1008" t="str">
        <f>IF('Master Sheet'!$D$11="Hindi","वार्षिक","Yearly Exam")</f>
        <v>वार्षिक</v>
      </c>
      <c r="BJ3" s="4"/>
      <c r="BN3" s="2" t="s">
        <v>8</v>
      </c>
    </row>
    <row r="4" spans="1:66" ht="39" customHeight="1" thickTop="1" thickBot="1">
      <c r="A4" s="1011" t="s">
        <v>207</v>
      </c>
      <c r="B4" s="1011" t="s">
        <v>208</v>
      </c>
      <c r="C4" s="1011" t="s">
        <v>261</v>
      </c>
      <c r="D4" s="1011" t="s">
        <v>260</v>
      </c>
      <c r="E4" s="1011" t="s">
        <v>209</v>
      </c>
      <c r="F4" s="1005" t="str">
        <f>IF('Master Sheet'!$D$11="Hindi","विद्यार्थी विवरण","Student Details")</f>
        <v>विद्यार्थी विवरण</v>
      </c>
      <c r="G4" s="1005"/>
      <c r="H4" s="1005"/>
      <c r="I4" s="1022"/>
      <c r="J4" s="1026"/>
      <c r="K4" s="1017" t="str">
        <f>IF('Master Sheet'!$D$11="Hindi","सामयिक परख","Seasonal Exam")</f>
        <v>सामयिक परख</v>
      </c>
      <c r="L4" s="1018"/>
      <c r="M4" s="1018"/>
      <c r="N4" s="1019" t="str">
        <f>IF('Master Sheet'!$D$11="Hindi","अर्द्धवार्षिक","Half Yearly")</f>
        <v>अर्द्धवार्षिक</v>
      </c>
      <c r="O4" s="1019" t="str">
        <f>IF('Master Sheet'!$D$11="Hindi","वार्षिक","Yearly Exam")</f>
        <v>वार्षिक</v>
      </c>
      <c r="P4" s="1006" t="str">
        <f>IF('Master Sheet'!$D$11="Hindi","सामयिक परख","Seasonal Exam")</f>
        <v>सामयिक परख</v>
      </c>
      <c r="Q4" s="1007"/>
      <c r="R4" s="1007"/>
      <c r="S4" s="1008" t="str">
        <f>IF('Master Sheet'!$D$11="Hindi","अर्द्धवार्षिक","Half Yearly")</f>
        <v>अर्द्धवार्षिक</v>
      </c>
      <c r="T4" s="1008" t="str">
        <f>IF('Master Sheet'!$D$11="Hindi","वार्षिक","Yearly Exam")</f>
        <v>वार्षिक</v>
      </c>
      <c r="U4" s="1033" t="str">
        <f>IF('Master Sheet'!$D$11="Hindi","विषय कोड","Subject Code")</f>
        <v>विषय कोड</v>
      </c>
      <c r="V4" s="980" t="str">
        <f>IF('Master Sheet'!$D$11="Hindi","सामयिक परख","Seasonal Exam")</f>
        <v>सामयिक परख</v>
      </c>
      <c r="W4" s="980"/>
      <c r="X4" s="980"/>
      <c r="Y4" s="1016" t="str">
        <f>IF('Master Sheet'!$D$11="Hindi","अर्द्धवार्षिक","Half Yearly")</f>
        <v>अर्द्धवार्षिक</v>
      </c>
      <c r="Z4" s="1016"/>
      <c r="AA4" s="980" t="str">
        <f>IF('Master Sheet'!$D$11="Hindi","वार्षिक","Yearly Exam")</f>
        <v>वार्षिक</v>
      </c>
      <c r="AB4" s="980"/>
      <c r="AC4" s="1029" t="str">
        <f>IF('Master Sheet'!$D$11="Hindi","विषय कोड","Subject Code")</f>
        <v>विषय कोड</v>
      </c>
      <c r="AD4" s="983" t="str">
        <f>IF('Master Sheet'!$D$11="Hindi","सामयिक परख","Seasonal Exam")</f>
        <v>सामयिक परख</v>
      </c>
      <c r="AE4" s="983"/>
      <c r="AF4" s="983"/>
      <c r="AG4" s="1032" t="str">
        <f>IF('Master Sheet'!$D$11="Hindi","अर्द्धवार्षिक","Half Yearly")</f>
        <v>अर्द्धवार्षिक</v>
      </c>
      <c r="AH4" s="1032"/>
      <c r="AI4" s="983" t="str">
        <f>IF('Master Sheet'!$D$11="Hindi","वार्षिक","Yearly Exam")</f>
        <v>वार्षिक</v>
      </c>
      <c r="AJ4" s="983"/>
      <c r="AK4" s="1074" t="str">
        <f>IF('Master Sheet'!$D$11="Hindi","विषय कोड","Subject Code")</f>
        <v>विषय कोड</v>
      </c>
      <c r="AL4" s="990" t="str">
        <f>IF('Master Sheet'!$D$11="Hindi","सामयिक परख","Seasonal Exam")</f>
        <v>सामयिक परख</v>
      </c>
      <c r="AM4" s="990"/>
      <c r="AN4" s="990"/>
      <c r="AO4" s="1077" t="str">
        <f>IF('Master Sheet'!$D$11="Hindi","अर्द्धवार्षिक","Half Yearly")</f>
        <v>अर्द्धवार्षिक</v>
      </c>
      <c r="AP4" s="1077"/>
      <c r="AQ4" s="990" t="str">
        <f>IF('Master Sheet'!$D$11="Hindi","वार्षिक","Yearly Exam")</f>
        <v>वार्षिक</v>
      </c>
      <c r="AR4" s="990"/>
      <c r="AS4" s="1071" t="str">
        <f>IF('Master Sheet'!$D$11="Hindi","विषय कोड","Subject Code")</f>
        <v>विषय कोड</v>
      </c>
      <c r="AT4" s="980" t="str">
        <f>IF('Master Sheet'!$D$11="Hindi","सामयिक परख","Seasonal Exam")</f>
        <v>सामयिक परख</v>
      </c>
      <c r="AU4" s="980"/>
      <c r="AV4" s="980"/>
      <c r="AW4" s="1016" t="str">
        <f>IF('Master Sheet'!$D$11="Hindi","अर्द्धवार्षिक","Half Yearly")</f>
        <v>अर्द्धवार्षिक</v>
      </c>
      <c r="AX4" s="1016"/>
      <c r="AY4" s="980" t="str">
        <f>IF('Master Sheet'!$D$11="Hindi","वार्षिक","Yearly Exam")</f>
        <v>वार्षिक</v>
      </c>
      <c r="AZ4" s="980"/>
      <c r="BA4" s="980"/>
      <c r="BB4" s="1036" t="str">
        <f>IF('Master Sheet'!$D$11="Hindi","अनिवार्य प्रवृति","Compulsory Tendency")</f>
        <v>अनिवार्य प्रवृति</v>
      </c>
      <c r="BC4" s="1036" t="str">
        <f>IF('Master Sheet'!$D$11="Hindi","वैकल्पिक प्रवृति","Alternative Tendency")</f>
        <v>वैकल्पिक प्रवृति</v>
      </c>
      <c r="BD4" s="1028" t="str">
        <f>IF('Master Sheet'!$D$11="Hindi","वार्षिक परीक्षा","Yearly Exam")</f>
        <v>वार्षिक परीक्षा</v>
      </c>
      <c r="BE4" s="1085" t="str">
        <f>IF('Master Sheet'!$D$11="Hindi","प्रथम परख ","First Test")</f>
        <v xml:space="preserve">प्रथम परख </v>
      </c>
      <c r="BF4" s="1087" t="str">
        <f>IF('Master Sheet'!$D$11="Hindi","द्वितीय परख","Second Test")</f>
        <v>द्वितीय परख</v>
      </c>
      <c r="BG4" s="1092" t="str">
        <f>IF('Master Sheet'!$D$11="Hindi","तृतीय परख","Third Test")</f>
        <v>तृतीय परख</v>
      </c>
      <c r="BH4" s="1008"/>
      <c r="BI4" s="1008"/>
      <c r="BJ4" s="4"/>
      <c r="BN4" s="3" t="str">
        <f>IF('Master Sheet'!L4="","",'Master Sheet'!L4)</f>
        <v>ACCOUNTANCY</v>
      </c>
    </row>
    <row r="5" spans="1:66" s="7" customFormat="1" ht="69.75" customHeight="1" thickTop="1" thickBot="1">
      <c r="A5" s="1011"/>
      <c r="B5" s="1011"/>
      <c r="C5" s="1011"/>
      <c r="D5" s="1011"/>
      <c r="E5" s="1013"/>
      <c r="F5" s="569" t="s">
        <v>196</v>
      </c>
      <c r="G5" s="569" t="s">
        <v>197</v>
      </c>
      <c r="H5" s="570" t="s">
        <v>198</v>
      </c>
      <c r="I5" s="1022"/>
      <c r="J5" s="1026"/>
      <c r="K5" s="127" t="str">
        <f>IF('Master Sheet'!$D$11="Hindi","प्रथम परख ","First Test")</f>
        <v xml:space="preserve">प्रथम परख </v>
      </c>
      <c r="L5" s="127" t="str">
        <f>IF('Master Sheet'!$D$11="Hindi","द्वितीय परख","Second Test")</f>
        <v>द्वितीय परख</v>
      </c>
      <c r="M5" s="521" t="str">
        <f>IF('Master Sheet'!$D$11="Hindi","तृतीय परख","Third Test")</f>
        <v>तृतीय परख</v>
      </c>
      <c r="N5" s="1019"/>
      <c r="O5" s="1019"/>
      <c r="P5" s="522" t="str">
        <f>IF('Master Sheet'!$D$11="Hindi","प्रथम परख ","First Test")</f>
        <v xml:space="preserve">प्रथम परख </v>
      </c>
      <c r="Q5" s="128" t="str">
        <f>IF('Master Sheet'!$D$11="Hindi","द्वितीय परख","Second Test")</f>
        <v>द्वितीय परख</v>
      </c>
      <c r="R5" s="534" t="str">
        <f>IF('Master Sheet'!$D$11="Hindi","तृतीय परख","Third Test")</f>
        <v>तृतीय परख</v>
      </c>
      <c r="S5" s="1008"/>
      <c r="T5" s="1008"/>
      <c r="U5" s="1034"/>
      <c r="V5" s="86" t="str">
        <f>IF('Master Sheet'!$D$11="Hindi","प्रथम परख ","First Test")</f>
        <v xml:space="preserve">प्रथम परख </v>
      </c>
      <c r="W5" s="86" t="str">
        <f>IF('Master Sheet'!$D$11="Hindi","द्वितीय परख","Second Test")</f>
        <v>द्वितीय परख</v>
      </c>
      <c r="X5" s="86" t="str">
        <f>IF('Master Sheet'!$D$11="Hindi","तृतीय परख","Third Test")</f>
        <v>तृतीय परख</v>
      </c>
      <c r="Y5" s="87" t="str">
        <f>IF('Master Sheet'!$D$11="Hindi","सैद्धांतिक","Theoretical")</f>
        <v>सैद्धांतिक</v>
      </c>
      <c r="Z5" s="535" t="str">
        <f>IF('Master Sheet'!$D$11="Hindi","प्रायोगिक","Practical")</f>
        <v>प्रायोगिक</v>
      </c>
      <c r="AA5" s="537" t="str">
        <f>IF('Master Sheet'!$D$11="Hindi","सैद्धांतिक","Theoretical")</f>
        <v>सैद्धांतिक</v>
      </c>
      <c r="AB5" s="538" t="str">
        <f>IF('Master Sheet'!$D$11="Hindi","प्रायोगिक","Practical")</f>
        <v>प्रायोगिक</v>
      </c>
      <c r="AC5" s="1030"/>
      <c r="AD5" s="88" t="str">
        <f>IF('Master Sheet'!$D$11="Hindi","प्रथम परख ","First Test")</f>
        <v xml:space="preserve">प्रथम परख </v>
      </c>
      <c r="AE5" s="88" t="str">
        <f>IF('Master Sheet'!$D$11="Hindi","द्वितीय परख","Second Test")</f>
        <v>द्वितीय परख</v>
      </c>
      <c r="AF5" s="88" t="str">
        <f>IF('Master Sheet'!$D$11="Hindi","तृतीय परख","Third Test")</f>
        <v>तृतीय परख</v>
      </c>
      <c r="AG5" s="89" t="str">
        <f>IF('Master Sheet'!$D$11="Hindi","सैद्धांतिक","Theoretical")</f>
        <v>सैद्धांतिक</v>
      </c>
      <c r="AH5" s="539" t="str">
        <f>IF('Master Sheet'!$D$11="Hindi","प्रायोगिक","Practical")</f>
        <v>प्रायोगिक</v>
      </c>
      <c r="AI5" s="540" t="str">
        <f>IF('Master Sheet'!$D$11="Hindi","सैद्धांतिक","Theoretical")</f>
        <v>सैद्धांतिक</v>
      </c>
      <c r="AJ5" s="541" t="str">
        <f>IF('Master Sheet'!$D$11="Hindi","प्रायोगिक","Practical")</f>
        <v>प्रायोगिक</v>
      </c>
      <c r="AK5" s="1075"/>
      <c r="AL5" s="90" t="str">
        <f>IF('Master Sheet'!$D$11="Hindi","प्रथम परख ","First Test")</f>
        <v xml:space="preserve">प्रथम परख </v>
      </c>
      <c r="AM5" s="90" t="str">
        <f>IF('Master Sheet'!$D$11="Hindi","द्वितीय परख","Second Test")</f>
        <v>द्वितीय परख</v>
      </c>
      <c r="AN5" s="90" t="str">
        <f>IF('Master Sheet'!$D$11="Hindi","तृतीय परख","Third Test")</f>
        <v>तृतीय परख</v>
      </c>
      <c r="AO5" s="91" t="str">
        <f>IF('Master Sheet'!$D$11="Hindi","सैद्धांतिक","Theoretical")</f>
        <v>सैद्धांतिक</v>
      </c>
      <c r="AP5" s="542" t="str">
        <f>IF('Master Sheet'!$D$11="Hindi","प्रायोगिक","Practical")</f>
        <v>प्रायोगिक</v>
      </c>
      <c r="AQ5" s="543" t="str">
        <f>IF('Master Sheet'!$D$11="Hindi","सैद्धांतिक","Theoretical")</f>
        <v>सैद्धांतिक</v>
      </c>
      <c r="AR5" s="544" t="str">
        <f>IF('Master Sheet'!$D$11="Hindi","प्रायोगिक","Practical")</f>
        <v>प्रायोगिक</v>
      </c>
      <c r="AS5" s="1072"/>
      <c r="AT5" s="86" t="str">
        <f>IF('Master Sheet'!$D$11="Hindi","प्रथम परख ","First Test")</f>
        <v xml:space="preserve">प्रथम परख </v>
      </c>
      <c r="AU5" s="86" t="str">
        <f>IF('Master Sheet'!$D$11="Hindi","द्वितीय परख","Second Test")</f>
        <v>द्वितीय परख</v>
      </c>
      <c r="AV5" s="86" t="str">
        <f>IF('Master Sheet'!$D$11="Hindi","तृतीय परख","Third Test")</f>
        <v>तृतीय परख</v>
      </c>
      <c r="AW5" s="87" t="str">
        <f>IF('Master Sheet'!$D$11="Hindi","सैद्धांतिक","Theoretical")</f>
        <v>सैद्धांतिक</v>
      </c>
      <c r="AX5" s="535" t="str">
        <f>IF('Master Sheet'!$D$11="Hindi","प्रायोगिक","Practical")</f>
        <v>प्रायोगिक</v>
      </c>
      <c r="AY5" s="537" t="str">
        <f>IF('Master Sheet'!$D$11="Hindi","सैद्धांतिक","Theoretical")</f>
        <v>सैद्धांतिक</v>
      </c>
      <c r="AZ5" s="537" t="str">
        <f>IF('Master Sheet'!$D$11="Hindi","पोर्टफोलियो","Portfolio")</f>
        <v>पोर्टफोलियो</v>
      </c>
      <c r="BA5" s="538" t="str">
        <f>IF('Master Sheet'!$D$11="Hindi","प्रायोगिक","Practical")</f>
        <v>प्रायोगिक</v>
      </c>
      <c r="BB5" s="1036"/>
      <c r="BC5" s="1036"/>
      <c r="BD5" s="1028"/>
      <c r="BE5" s="1086"/>
      <c r="BF5" s="1088"/>
      <c r="BG5" s="1093"/>
      <c r="BH5" s="1008"/>
      <c r="BI5" s="1008"/>
      <c r="BJ5" s="6"/>
      <c r="BN5" s="3" t="str">
        <f>IF('Master Sheet'!L5="","",'Master Sheet'!L5)</f>
        <v>BUSINESS STUDIES</v>
      </c>
    </row>
    <row r="6" spans="1:66" ht="23.25" customHeight="1" thickTop="1" thickBot="1">
      <c r="A6" s="1011"/>
      <c r="B6" s="1011"/>
      <c r="C6" s="1011"/>
      <c r="D6" s="1011"/>
      <c r="E6" s="1013"/>
      <c r="F6" s="1003" t="s">
        <v>202</v>
      </c>
      <c r="G6" s="1003" t="s">
        <v>203</v>
      </c>
      <c r="H6" s="1004" t="s">
        <v>204</v>
      </c>
      <c r="I6" s="1022"/>
      <c r="J6" s="1026"/>
      <c r="K6" s="1009">
        <v>10</v>
      </c>
      <c r="L6" s="1009">
        <v>10</v>
      </c>
      <c r="M6" s="1009">
        <v>10</v>
      </c>
      <c r="N6" s="1015">
        <v>70</v>
      </c>
      <c r="O6" s="1015">
        <v>100</v>
      </c>
      <c r="P6" s="1009">
        <v>10</v>
      </c>
      <c r="Q6" s="1009">
        <v>10</v>
      </c>
      <c r="R6" s="1009">
        <v>10</v>
      </c>
      <c r="S6" s="1015">
        <v>70</v>
      </c>
      <c r="T6" s="1015">
        <v>100</v>
      </c>
      <c r="U6" s="1034"/>
      <c r="V6" s="981">
        <v>10</v>
      </c>
      <c r="W6" s="981">
        <v>10</v>
      </c>
      <c r="X6" s="981">
        <v>10</v>
      </c>
      <c r="Y6" s="49">
        <v>50</v>
      </c>
      <c r="Z6" s="49">
        <v>20</v>
      </c>
      <c r="AA6" s="536">
        <v>70</v>
      </c>
      <c r="AB6" s="536">
        <v>30</v>
      </c>
      <c r="AC6" s="1030"/>
      <c r="AD6" s="981">
        <v>10</v>
      </c>
      <c r="AE6" s="981">
        <v>10</v>
      </c>
      <c r="AF6" s="981">
        <v>10</v>
      </c>
      <c r="AG6" s="49">
        <v>50</v>
      </c>
      <c r="AH6" s="49">
        <v>20</v>
      </c>
      <c r="AI6" s="536">
        <v>70</v>
      </c>
      <c r="AJ6" s="536">
        <v>30</v>
      </c>
      <c r="AK6" s="1075"/>
      <c r="AL6" s="981">
        <v>10</v>
      </c>
      <c r="AM6" s="981">
        <v>10</v>
      </c>
      <c r="AN6" s="981">
        <v>10</v>
      </c>
      <c r="AO6" s="49">
        <v>50</v>
      </c>
      <c r="AP6" s="49">
        <v>20</v>
      </c>
      <c r="AQ6" s="536">
        <v>70</v>
      </c>
      <c r="AR6" s="536">
        <v>30</v>
      </c>
      <c r="AS6" s="1072"/>
      <c r="AT6" s="981">
        <v>10</v>
      </c>
      <c r="AU6" s="981">
        <v>10</v>
      </c>
      <c r="AV6" s="981">
        <v>10</v>
      </c>
      <c r="AW6" s="49">
        <v>50</v>
      </c>
      <c r="AX6" s="49">
        <v>20</v>
      </c>
      <c r="AY6" s="536">
        <v>30</v>
      </c>
      <c r="AZ6" s="536">
        <v>20</v>
      </c>
      <c r="BA6" s="536">
        <v>50</v>
      </c>
      <c r="BB6" s="1024">
        <v>30</v>
      </c>
      <c r="BC6" s="1024">
        <v>30</v>
      </c>
      <c r="BD6" s="1020">
        <v>40</v>
      </c>
      <c r="BE6" s="1009">
        <v>10</v>
      </c>
      <c r="BF6" s="1009">
        <v>10</v>
      </c>
      <c r="BG6" s="1009">
        <v>10</v>
      </c>
      <c r="BH6" s="1015">
        <v>70</v>
      </c>
      <c r="BI6" s="1015">
        <v>100</v>
      </c>
      <c r="BJ6" s="8"/>
      <c r="BN6" s="3" t="str">
        <f>IF('Master Sheet'!L6="","",'Master Sheet'!L6)</f>
        <v>ECONOMICS</v>
      </c>
    </row>
    <row r="7" spans="1:66" ht="21.75" customHeight="1" thickTop="1" thickBot="1">
      <c r="A7" s="1012"/>
      <c r="B7" s="1012"/>
      <c r="C7" s="1012"/>
      <c r="D7" s="1012"/>
      <c r="E7" s="1014"/>
      <c r="F7" s="1003"/>
      <c r="G7" s="1003"/>
      <c r="H7" s="1004"/>
      <c r="I7" s="1023"/>
      <c r="J7" s="1027"/>
      <c r="K7" s="1010"/>
      <c r="L7" s="1010"/>
      <c r="M7" s="1010"/>
      <c r="N7" s="1010"/>
      <c r="O7" s="1010"/>
      <c r="P7" s="1010"/>
      <c r="Q7" s="1010"/>
      <c r="R7" s="1010"/>
      <c r="S7" s="1010"/>
      <c r="T7" s="1010"/>
      <c r="U7" s="1035"/>
      <c r="V7" s="982"/>
      <c r="W7" s="982"/>
      <c r="X7" s="982"/>
      <c r="Y7" s="50">
        <v>70</v>
      </c>
      <c r="Z7" s="50"/>
      <c r="AA7" s="51">
        <v>100</v>
      </c>
      <c r="AB7" s="51"/>
      <c r="AC7" s="1031"/>
      <c r="AD7" s="982"/>
      <c r="AE7" s="982"/>
      <c r="AF7" s="982"/>
      <c r="AG7" s="50">
        <v>70</v>
      </c>
      <c r="AH7" s="50"/>
      <c r="AI7" s="51">
        <v>100</v>
      </c>
      <c r="AJ7" s="51"/>
      <c r="AK7" s="1076"/>
      <c r="AL7" s="982"/>
      <c r="AM7" s="982"/>
      <c r="AN7" s="982"/>
      <c r="AO7" s="50">
        <v>70</v>
      </c>
      <c r="AP7" s="50"/>
      <c r="AQ7" s="51">
        <v>100</v>
      </c>
      <c r="AR7" s="51"/>
      <c r="AS7" s="1073"/>
      <c r="AT7" s="982"/>
      <c r="AU7" s="982"/>
      <c r="AV7" s="982"/>
      <c r="AW7" s="50">
        <v>70</v>
      </c>
      <c r="AX7" s="50"/>
      <c r="AY7" s="51">
        <v>100</v>
      </c>
      <c r="AZ7" s="51"/>
      <c r="BA7" s="51"/>
      <c r="BB7" s="1025"/>
      <c r="BC7" s="1025"/>
      <c r="BD7" s="1021"/>
      <c r="BE7" s="1010"/>
      <c r="BF7" s="1010"/>
      <c r="BG7" s="1010"/>
      <c r="BH7" s="1010"/>
      <c r="BI7" s="1010"/>
      <c r="BJ7" s="8"/>
      <c r="BN7" s="3" t="str">
        <f>IF('Master Sheet'!L7="","",'Master Sheet'!L7)</f>
        <v>ENGLISH LITERATURE</v>
      </c>
    </row>
    <row r="8" spans="1:66">
      <c r="A8" s="516">
        <f>IF('Student DATA Entry'!A4="","",'Student DATA Entry'!A4)</f>
        <v>1</v>
      </c>
      <c r="B8" s="527">
        <f>IF('Student DATA Entry'!B4="","",'Student DATA Entry'!B4)</f>
        <v>1101</v>
      </c>
      <c r="C8" s="517" t="str">
        <f>IF('Student DATA Entry'!D4="","",'Student DATA Entry'!D4)</f>
        <v>A</v>
      </c>
      <c r="D8" s="529">
        <f>IF('Student DATA Entry'!E4="","",'Student DATA Entry'!E4)</f>
        <v>230</v>
      </c>
      <c r="E8" s="531">
        <f>IF('Student DATA Entry'!I4="","",'Student DATA Entry'!I4)</f>
        <v>37622</v>
      </c>
      <c r="F8" s="518" t="str">
        <f>IF('Student DATA Entry'!F4="","",UPPER('Student DATA Entry'!F4))</f>
        <v>A</v>
      </c>
      <c r="G8" s="518" t="str">
        <f>IF('Student DATA Entry'!G4="","",UPPER('Student DATA Entry'!G4))</f>
        <v>X</v>
      </c>
      <c r="H8" s="518" t="str">
        <f>IF('Student DATA Entry'!H4="","",UPPER('Student DATA Entry'!H4))</f>
        <v>M</v>
      </c>
      <c r="I8" s="525" t="str">
        <f>IF('Student DATA Entry'!K4="","",UPPER('Student DATA Entry'!K4))</f>
        <v>GEN</v>
      </c>
      <c r="J8" s="559" t="str">
        <f>IF('Student DATA Entry'!J4="","",UPPER('Student DATA Entry'!J4))</f>
        <v>M</v>
      </c>
      <c r="K8" s="101">
        <v>8</v>
      </c>
      <c r="L8" s="45">
        <v>8</v>
      </c>
      <c r="M8" s="45">
        <v>9</v>
      </c>
      <c r="N8" s="46">
        <v>46</v>
      </c>
      <c r="O8" s="102">
        <v>70</v>
      </c>
      <c r="P8" s="101">
        <v>8</v>
      </c>
      <c r="Q8" s="45">
        <v>5</v>
      </c>
      <c r="R8" s="45">
        <v>8</v>
      </c>
      <c r="S8" s="46">
        <v>48</v>
      </c>
      <c r="T8" s="102">
        <v>74</v>
      </c>
      <c r="U8" s="101" t="s">
        <v>6</v>
      </c>
      <c r="V8" s="45">
        <v>8</v>
      </c>
      <c r="W8" s="45">
        <v>9</v>
      </c>
      <c r="X8" s="45">
        <v>10</v>
      </c>
      <c r="Y8" s="55">
        <v>45</v>
      </c>
      <c r="Z8" s="55"/>
      <c r="AA8" s="56">
        <v>57</v>
      </c>
      <c r="AB8" s="563"/>
      <c r="AC8" s="101" t="s">
        <v>6</v>
      </c>
      <c r="AD8" s="45">
        <v>5</v>
      </c>
      <c r="AE8" s="45">
        <v>9</v>
      </c>
      <c r="AF8" s="45">
        <v>8</v>
      </c>
      <c r="AG8" s="55">
        <v>55</v>
      </c>
      <c r="AH8" s="55"/>
      <c r="AI8" s="56">
        <v>81</v>
      </c>
      <c r="AJ8" s="563"/>
      <c r="AK8" s="101" t="s">
        <v>6</v>
      </c>
      <c r="AL8" s="45">
        <v>5</v>
      </c>
      <c r="AM8" s="45">
        <v>6</v>
      </c>
      <c r="AN8" s="45">
        <v>8</v>
      </c>
      <c r="AO8" s="55">
        <v>40</v>
      </c>
      <c r="AP8" s="55">
        <v>10</v>
      </c>
      <c r="AQ8" s="56">
        <v>56</v>
      </c>
      <c r="AR8" s="563">
        <v>11</v>
      </c>
      <c r="AS8" s="44"/>
      <c r="AT8" s="45"/>
      <c r="AU8" s="45"/>
      <c r="AV8" s="45"/>
      <c r="AW8" s="55"/>
      <c r="AX8" s="55"/>
      <c r="AY8" s="56"/>
      <c r="AZ8" s="108"/>
      <c r="BA8" s="108"/>
      <c r="BB8" s="557">
        <v>25</v>
      </c>
      <c r="BC8" s="558">
        <v>20</v>
      </c>
      <c r="BD8" s="102">
        <v>38</v>
      </c>
      <c r="BE8" s="101">
        <v>9</v>
      </c>
      <c r="BF8" s="45">
        <v>9</v>
      </c>
      <c r="BG8" s="45">
        <v>9</v>
      </c>
      <c r="BH8" s="46">
        <v>45</v>
      </c>
      <c r="BI8" s="102">
        <v>98</v>
      </c>
      <c r="BJ8" s="9"/>
      <c r="BN8" s="3" t="str">
        <f>IF('Master Sheet'!L8="","",'Master Sheet'!L8)</f>
        <v>ENVIRONMENTAL STUDIES</v>
      </c>
    </row>
    <row r="9" spans="1:66">
      <c r="A9" s="519">
        <f>IF('Student DATA Entry'!A5="","",'Student DATA Entry'!A5)</f>
        <v>2</v>
      </c>
      <c r="B9" s="528">
        <f>IF('Student DATA Entry'!B5="","",'Student DATA Entry'!B5)</f>
        <v>1102</v>
      </c>
      <c r="C9" s="125" t="str">
        <f>IF('Student DATA Entry'!D5="","",'Student DATA Entry'!D5)</f>
        <v>A</v>
      </c>
      <c r="D9" s="530">
        <f>IF('Student DATA Entry'!E5="","",'Student DATA Entry'!E5)</f>
        <v>231</v>
      </c>
      <c r="E9" s="532">
        <f>IF('Student DATA Entry'!I5="","",'Student DATA Entry'!I5)</f>
        <v>38090</v>
      </c>
      <c r="F9" s="126" t="str">
        <f>IF('Student DATA Entry'!F5="","",UPPER('Student DATA Entry'!F5))</f>
        <v>B</v>
      </c>
      <c r="G9" s="126" t="str">
        <f>IF('Student DATA Entry'!G5="","",UPPER('Student DATA Entry'!G5))</f>
        <v>Y</v>
      </c>
      <c r="H9" s="126" t="str">
        <f>IF('Student DATA Entry'!H5="","",UPPER('Student DATA Entry'!H5))</f>
        <v>N</v>
      </c>
      <c r="I9" s="526" t="str">
        <f>IF('Student DATA Entry'!K5="","",UPPER('Student DATA Entry'!K5))</f>
        <v>OBC</v>
      </c>
      <c r="J9" s="560" t="str">
        <f>IF('Student DATA Entry'!J5="","",UPPER('Student DATA Entry'!J5))</f>
        <v>M</v>
      </c>
      <c r="K9" s="103">
        <v>8</v>
      </c>
      <c r="L9" s="19">
        <v>9</v>
      </c>
      <c r="M9" s="19">
        <v>7</v>
      </c>
      <c r="N9" s="20">
        <v>46</v>
      </c>
      <c r="O9" s="104">
        <v>45</v>
      </c>
      <c r="P9" s="103">
        <v>9</v>
      </c>
      <c r="Q9" s="19">
        <v>5</v>
      </c>
      <c r="R9" s="19">
        <v>7</v>
      </c>
      <c r="S9" s="20">
        <v>41</v>
      </c>
      <c r="T9" s="104">
        <v>71</v>
      </c>
      <c r="U9" s="103" t="s">
        <v>44</v>
      </c>
      <c r="V9" s="19">
        <v>9</v>
      </c>
      <c r="W9" s="19">
        <v>10</v>
      </c>
      <c r="X9" s="19">
        <v>8</v>
      </c>
      <c r="Y9" s="52">
        <v>34</v>
      </c>
      <c r="Z9" s="52">
        <v>8</v>
      </c>
      <c r="AA9" s="57">
        <v>53</v>
      </c>
      <c r="AB9" s="564">
        <v>10</v>
      </c>
      <c r="AC9" s="103" t="s">
        <v>44</v>
      </c>
      <c r="AD9" s="19">
        <v>8</v>
      </c>
      <c r="AE9" s="19">
        <v>10</v>
      </c>
      <c r="AF9" s="19">
        <v>9</v>
      </c>
      <c r="AG9" s="52">
        <v>45</v>
      </c>
      <c r="AH9" s="52">
        <v>16</v>
      </c>
      <c r="AI9" s="57">
        <v>42</v>
      </c>
      <c r="AJ9" s="564">
        <v>25</v>
      </c>
      <c r="AK9" s="103" t="s">
        <v>44</v>
      </c>
      <c r="AL9" s="19">
        <v>4</v>
      </c>
      <c r="AM9" s="19">
        <v>4</v>
      </c>
      <c r="AN9" s="19">
        <v>9</v>
      </c>
      <c r="AO9" s="52">
        <v>10</v>
      </c>
      <c r="AP9" s="52">
        <v>20</v>
      </c>
      <c r="AQ9" s="57">
        <v>45</v>
      </c>
      <c r="AR9" s="564">
        <v>15</v>
      </c>
      <c r="AS9" s="18" t="s">
        <v>6</v>
      </c>
      <c r="AT9" s="19">
        <v>9</v>
      </c>
      <c r="AU9" s="19">
        <v>9</v>
      </c>
      <c r="AV9" s="19">
        <v>9</v>
      </c>
      <c r="AW9" s="52">
        <v>50</v>
      </c>
      <c r="AX9" s="52"/>
      <c r="AY9" s="57">
        <v>70</v>
      </c>
      <c r="AZ9" s="109"/>
      <c r="BA9" s="109"/>
      <c r="BB9" s="549">
        <v>26</v>
      </c>
      <c r="BC9" s="550">
        <v>25</v>
      </c>
      <c r="BD9" s="104">
        <v>36</v>
      </c>
      <c r="BE9" s="103">
        <v>8</v>
      </c>
      <c r="BF9" s="19">
        <v>8</v>
      </c>
      <c r="BG9" s="19">
        <v>8</v>
      </c>
      <c r="BH9" s="20">
        <v>50</v>
      </c>
      <c r="BI9" s="104">
        <v>80</v>
      </c>
      <c r="BJ9" s="9"/>
      <c r="BN9" s="3" t="str">
        <f>IF('Master Sheet'!L9="","",'Master Sheet'!L9)</f>
        <v>FARSI LITERATURE</v>
      </c>
    </row>
    <row r="10" spans="1:66">
      <c r="A10" s="519">
        <f>IF('Student DATA Entry'!A6="","",'Student DATA Entry'!A6)</f>
        <v>3</v>
      </c>
      <c r="B10" s="528">
        <f>IF('Student DATA Entry'!B6="","",'Student DATA Entry'!B6)</f>
        <v>1103</v>
      </c>
      <c r="C10" s="125" t="str">
        <f>IF('Student DATA Entry'!D6="","",'Student DATA Entry'!D6)</f>
        <v>A</v>
      </c>
      <c r="D10" s="530">
        <f>IF('Student DATA Entry'!E6="","",'Student DATA Entry'!E6)</f>
        <v>555</v>
      </c>
      <c r="E10" s="532">
        <f>IF('Student DATA Entry'!I6="","",'Student DATA Entry'!I6)</f>
        <v>38414</v>
      </c>
      <c r="F10" s="126" t="str">
        <f>IF('Student DATA Entry'!F6="","",UPPER('Student DATA Entry'!F6))</f>
        <v>C</v>
      </c>
      <c r="G10" s="126" t="str">
        <f>IF('Student DATA Entry'!G6="","",UPPER('Student DATA Entry'!G6))</f>
        <v>Z</v>
      </c>
      <c r="H10" s="126" t="str">
        <f>IF('Student DATA Entry'!H6="","",UPPER('Student DATA Entry'!H6))</f>
        <v>O</v>
      </c>
      <c r="I10" s="526" t="str">
        <f>IF('Student DATA Entry'!K6="","",UPPER('Student DATA Entry'!K6))</f>
        <v>SC</v>
      </c>
      <c r="J10" s="560" t="str">
        <f>IF('Student DATA Entry'!J6="","",UPPER('Student DATA Entry'!J6))</f>
        <v>F</v>
      </c>
      <c r="K10" s="103">
        <v>9</v>
      </c>
      <c r="L10" s="19">
        <v>9</v>
      </c>
      <c r="M10" s="19">
        <v>8</v>
      </c>
      <c r="N10" s="20">
        <v>41</v>
      </c>
      <c r="O10" s="104">
        <v>65</v>
      </c>
      <c r="P10" s="103">
        <v>9</v>
      </c>
      <c r="Q10" s="19">
        <v>6</v>
      </c>
      <c r="R10" s="19">
        <v>9</v>
      </c>
      <c r="S10" s="20">
        <v>42</v>
      </c>
      <c r="T10" s="104">
        <v>70</v>
      </c>
      <c r="U10" s="103" t="s">
        <v>6</v>
      </c>
      <c r="V10" s="19">
        <v>9</v>
      </c>
      <c r="W10" s="19">
        <v>9</v>
      </c>
      <c r="X10" s="19">
        <v>9</v>
      </c>
      <c r="Y10" s="52">
        <v>40</v>
      </c>
      <c r="Z10" s="52"/>
      <c r="AA10" s="57">
        <v>45</v>
      </c>
      <c r="AB10" s="564"/>
      <c r="AC10" s="103" t="s">
        <v>44</v>
      </c>
      <c r="AD10" s="19">
        <v>9</v>
      </c>
      <c r="AE10" s="19">
        <v>10</v>
      </c>
      <c r="AF10" s="19">
        <v>8</v>
      </c>
      <c r="AG10" s="52">
        <v>30</v>
      </c>
      <c r="AH10" s="52">
        <v>11</v>
      </c>
      <c r="AI10" s="57">
        <v>54</v>
      </c>
      <c r="AJ10" s="564">
        <v>24</v>
      </c>
      <c r="AK10" s="103" t="s">
        <v>6</v>
      </c>
      <c r="AL10" s="19">
        <v>6</v>
      </c>
      <c r="AM10" s="19">
        <v>7</v>
      </c>
      <c r="AN10" s="19">
        <v>8</v>
      </c>
      <c r="AO10" s="52">
        <v>31</v>
      </c>
      <c r="AP10" s="52">
        <v>11</v>
      </c>
      <c r="AQ10" s="57">
        <v>40</v>
      </c>
      <c r="AR10" s="564">
        <v>12</v>
      </c>
      <c r="AS10" s="18"/>
      <c r="AT10" s="19"/>
      <c r="AU10" s="19"/>
      <c r="AV10" s="19"/>
      <c r="AW10" s="52"/>
      <c r="AX10" s="52"/>
      <c r="AY10" s="57"/>
      <c r="AZ10" s="109"/>
      <c r="BA10" s="109"/>
      <c r="BB10" s="549">
        <v>26</v>
      </c>
      <c r="BC10" s="550">
        <v>29</v>
      </c>
      <c r="BD10" s="104">
        <v>32</v>
      </c>
      <c r="BE10" s="103">
        <v>8</v>
      </c>
      <c r="BF10" s="19">
        <v>8</v>
      </c>
      <c r="BG10" s="19">
        <v>8</v>
      </c>
      <c r="BH10" s="20">
        <v>50</v>
      </c>
      <c r="BI10" s="104">
        <v>80</v>
      </c>
      <c r="BJ10" s="9"/>
      <c r="BN10" s="3" t="str">
        <f>IF('Master Sheet'!L10="","",'Master Sheet'!L10)</f>
        <v>GUJRATI LITERATURE</v>
      </c>
    </row>
    <row r="11" spans="1:66">
      <c r="A11" s="519">
        <f>IF('Student DATA Entry'!A7="","",'Student DATA Entry'!A7)</f>
        <v>4</v>
      </c>
      <c r="B11" s="528">
        <f>IF('Student DATA Entry'!B7="","",'Student DATA Entry'!B7)</f>
        <v>1104</v>
      </c>
      <c r="C11" s="125" t="str">
        <f>IF('Student DATA Entry'!D7="","",'Student DATA Entry'!D7)</f>
        <v>A</v>
      </c>
      <c r="D11" s="530">
        <f>IF('Student DATA Entry'!E7="","",'Student DATA Entry'!E7)</f>
        <v>444</v>
      </c>
      <c r="E11" s="532">
        <f>IF('Student DATA Entry'!I7="","",'Student DATA Entry'!I7)</f>
        <v>38874</v>
      </c>
      <c r="F11" s="126" t="str">
        <f>IF('Student DATA Entry'!F7="","",UPPER('Student DATA Entry'!F7))</f>
        <v>D</v>
      </c>
      <c r="G11" s="126" t="str">
        <f>IF('Student DATA Entry'!G7="","",UPPER('Student DATA Entry'!G7))</f>
        <v>W</v>
      </c>
      <c r="H11" s="126" t="str">
        <f>IF('Student DATA Entry'!H7="","",UPPER('Student DATA Entry'!H7))</f>
        <v>P</v>
      </c>
      <c r="I11" s="526" t="str">
        <f>IF('Student DATA Entry'!K7="","",UPPER('Student DATA Entry'!K7))</f>
        <v>ST</v>
      </c>
      <c r="J11" s="560" t="str">
        <f>IF('Student DATA Entry'!J7="","",UPPER('Student DATA Entry'!J7))</f>
        <v>M</v>
      </c>
      <c r="K11" s="103">
        <v>5</v>
      </c>
      <c r="L11" s="19">
        <v>7</v>
      </c>
      <c r="M11" s="19">
        <v>8</v>
      </c>
      <c r="N11" s="20">
        <v>32</v>
      </c>
      <c r="O11" s="104">
        <v>54</v>
      </c>
      <c r="P11" s="103">
        <v>3</v>
      </c>
      <c r="Q11" s="19">
        <v>3</v>
      </c>
      <c r="R11" s="19">
        <v>9</v>
      </c>
      <c r="S11" s="20">
        <v>48</v>
      </c>
      <c r="T11" s="104">
        <v>73</v>
      </c>
      <c r="U11" s="103" t="s">
        <v>44</v>
      </c>
      <c r="V11" s="19">
        <v>8</v>
      </c>
      <c r="W11" s="19">
        <v>9</v>
      </c>
      <c r="X11" s="19">
        <v>7</v>
      </c>
      <c r="Y11" s="52">
        <v>28</v>
      </c>
      <c r="Z11" s="52">
        <v>10</v>
      </c>
      <c r="AA11" s="57">
        <v>47</v>
      </c>
      <c r="AB11" s="564">
        <v>19</v>
      </c>
      <c r="AC11" s="103" t="s">
        <v>6</v>
      </c>
      <c r="AD11" s="19">
        <v>5</v>
      </c>
      <c r="AE11" s="19">
        <v>5</v>
      </c>
      <c r="AF11" s="19">
        <v>7</v>
      </c>
      <c r="AG11" s="52">
        <v>32</v>
      </c>
      <c r="AH11" s="52"/>
      <c r="AI11" s="57">
        <v>56</v>
      </c>
      <c r="AJ11" s="564"/>
      <c r="AK11" s="103" t="s">
        <v>6</v>
      </c>
      <c r="AL11" s="19">
        <v>3</v>
      </c>
      <c r="AM11" s="19">
        <v>7</v>
      </c>
      <c r="AN11" s="19">
        <v>9</v>
      </c>
      <c r="AO11" s="52">
        <v>45</v>
      </c>
      <c r="AP11" s="52">
        <v>15</v>
      </c>
      <c r="AQ11" s="57">
        <v>65</v>
      </c>
      <c r="AR11" s="564">
        <v>28</v>
      </c>
      <c r="AS11" s="18" t="s">
        <v>44</v>
      </c>
      <c r="AT11" s="19"/>
      <c r="AU11" s="19"/>
      <c r="AV11" s="19"/>
      <c r="AW11" s="52"/>
      <c r="AX11" s="52"/>
      <c r="AY11" s="57">
        <v>25</v>
      </c>
      <c r="AZ11" s="109">
        <v>18</v>
      </c>
      <c r="BA11" s="109">
        <v>45</v>
      </c>
      <c r="BB11" s="549">
        <v>25</v>
      </c>
      <c r="BC11" s="550">
        <v>25</v>
      </c>
      <c r="BD11" s="104">
        <v>31</v>
      </c>
      <c r="BE11" s="103">
        <v>8</v>
      </c>
      <c r="BF11" s="19">
        <v>8</v>
      </c>
      <c r="BG11" s="19">
        <v>8</v>
      </c>
      <c r="BH11" s="20">
        <v>50</v>
      </c>
      <c r="BI11" s="104">
        <v>80</v>
      </c>
      <c r="BJ11" s="9"/>
      <c r="BN11" s="3" t="str">
        <f>IF('Master Sheet'!L11="","",'Master Sheet'!L11)</f>
        <v>HINDI LITERATURE</v>
      </c>
    </row>
    <row r="12" spans="1:66">
      <c r="A12" s="519">
        <f>IF('Student DATA Entry'!A8="","",'Student DATA Entry'!A8)</f>
        <v>5</v>
      </c>
      <c r="B12" s="528">
        <f>IF('Student DATA Entry'!B8="","",'Student DATA Entry'!B8)</f>
        <v>1105</v>
      </c>
      <c r="C12" s="125" t="str">
        <f>IF('Student DATA Entry'!D8="","",'Student DATA Entry'!D8)</f>
        <v>A</v>
      </c>
      <c r="D12" s="530">
        <f>IF('Student DATA Entry'!E8="","",'Student DATA Entry'!E8)</f>
        <v>333</v>
      </c>
      <c r="E12" s="532">
        <f>IF('Student DATA Entry'!I8="","",'Student DATA Entry'!I8)</f>
        <v>39270</v>
      </c>
      <c r="F12" s="126" t="str">
        <f>IF('Student DATA Entry'!F8="","",UPPER('Student DATA Entry'!F8))</f>
        <v>E</v>
      </c>
      <c r="G12" s="126" t="str">
        <f>IF('Student DATA Entry'!G8="","",UPPER('Student DATA Entry'!G8))</f>
        <v>V</v>
      </c>
      <c r="H12" s="126" t="str">
        <f>IF('Student DATA Entry'!H8="","",UPPER('Student DATA Entry'!H8))</f>
        <v>Q</v>
      </c>
      <c r="I12" s="526" t="str">
        <f>IF('Student DATA Entry'!K8="","",UPPER('Student DATA Entry'!K8))</f>
        <v>SBC</v>
      </c>
      <c r="J12" s="560" t="str">
        <f>IF('Student DATA Entry'!J8="","",UPPER('Student DATA Entry'!J8))</f>
        <v>F</v>
      </c>
      <c r="K12" s="103">
        <v>7</v>
      </c>
      <c r="L12" s="19">
        <v>9</v>
      </c>
      <c r="M12" s="19">
        <v>8</v>
      </c>
      <c r="N12" s="20">
        <v>36</v>
      </c>
      <c r="O12" s="104">
        <v>63</v>
      </c>
      <c r="P12" s="103">
        <v>9</v>
      </c>
      <c r="Q12" s="19">
        <v>5</v>
      </c>
      <c r="R12" s="19">
        <v>9</v>
      </c>
      <c r="S12" s="20">
        <v>47</v>
      </c>
      <c r="T12" s="104">
        <v>63</v>
      </c>
      <c r="U12" s="103" t="s">
        <v>44</v>
      </c>
      <c r="V12" s="19">
        <v>7</v>
      </c>
      <c r="W12" s="19">
        <v>9</v>
      </c>
      <c r="X12" s="19">
        <v>7</v>
      </c>
      <c r="Y12" s="52">
        <v>22</v>
      </c>
      <c r="Z12" s="52">
        <v>9</v>
      </c>
      <c r="AA12" s="57">
        <v>56</v>
      </c>
      <c r="AB12" s="564">
        <v>18</v>
      </c>
      <c r="AC12" s="103" t="s">
        <v>44</v>
      </c>
      <c r="AD12" s="19">
        <v>7</v>
      </c>
      <c r="AE12" s="19">
        <v>9</v>
      </c>
      <c r="AF12" s="19">
        <v>4</v>
      </c>
      <c r="AG12" s="52">
        <v>30</v>
      </c>
      <c r="AH12" s="52">
        <v>12</v>
      </c>
      <c r="AI12" s="57">
        <v>58</v>
      </c>
      <c r="AJ12" s="564">
        <v>16</v>
      </c>
      <c r="AK12" s="103" t="s">
        <v>6</v>
      </c>
      <c r="AL12" s="19">
        <v>8</v>
      </c>
      <c r="AM12" s="19">
        <v>8</v>
      </c>
      <c r="AN12" s="19">
        <v>8</v>
      </c>
      <c r="AO12" s="52">
        <v>44</v>
      </c>
      <c r="AP12" s="52">
        <v>16</v>
      </c>
      <c r="AQ12" s="57">
        <v>60</v>
      </c>
      <c r="AR12" s="564">
        <v>22</v>
      </c>
      <c r="AS12" s="18" t="s">
        <v>44</v>
      </c>
      <c r="AT12" s="19"/>
      <c r="AU12" s="19"/>
      <c r="AV12" s="19"/>
      <c r="AW12" s="52"/>
      <c r="AX12" s="52"/>
      <c r="AY12" s="57">
        <v>27</v>
      </c>
      <c r="AZ12" s="109">
        <v>18</v>
      </c>
      <c r="BA12" s="109">
        <v>46</v>
      </c>
      <c r="BB12" s="549">
        <v>26</v>
      </c>
      <c r="BC12" s="550">
        <v>27</v>
      </c>
      <c r="BD12" s="104">
        <v>30</v>
      </c>
      <c r="BE12" s="103">
        <v>8</v>
      </c>
      <c r="BF12" s="19">
        <v>8</v>
      </c>
      <c r="BG12" s="19">
        <v>8</v>
      </c>
      <c r="BH12" s="20">
        <v>50</v>
      </c>
      <c r="BI12" s="104">
        <v>80</v>
      </c>
      <c r="BJ12" s="9"/>
      <c r="BN12" s="3" t="str">
        <f>IF('Master Sheet'!L12="","",'Master Sheet'!L12)</f>
        <v>HISTORY</v>
      </c>
    </row>
    <row r="13" spans="1:66">
      <c r="A13" s="519">
        <f>IF('Student DATA Entry'!A9="","",'Student DATA Entry'!A9)</f>
        <v>6</v>
      </c>
      <c r="B13" s="528">
        <f>IF('Student DATA Entry'!B9="","",'Student DATA Entry'!B9)</f>
        <v>1106</v>
      </c>
      <c r="C13" s="125" t="str">
        <f>IF('Student DATA Entry'!D9="","",'Student DATA Entry'!D9)</f>
        <v>A</v>
      </c>
      <c r="D13" s="530">
        <f>IF('Student DATA Entry'!E9="","",'Student DATA Entry'!E9)</f>
        <v>666</v>
      </c>
      <c r="E13" s="532">
        <f>IF('Student DATA Entry'!I9="","",'Student DATA Entry'!I9)</f>
        <v>39668</v>
      </c>
      <c r="F13" s="126" t="str">
        <f>IF('Student DATA Entry'!F9="","",UPPER('Student DATA Entry'!F9))</f>
        <v>F</v>
      </c>
      <c r="G13" s="126" t="str">
        <f>IF('Student DATA Entry'!G9="","",UPPER('Student DATA Entry'!G9))</f>
        <v>U</v>
      </c>
      <c r="H13" s="126" t="str">
        <f>IF('Student DATA Entry'!H9="","",UPPER('Student DATA Entry'!H9))</f>
        <v>R</v>
      </c>
      <c r="I13" s="526" t="str">
        <f>IF('Student DATA Entry'!K9="","",UPPER('Student DATA Entry'!K9))</f>
        <v>OBC</v>
      </c>
      <c r="J13" s="560" t="str">
        <f>IF('Student DATA Entry'!J9="","",UPPER('Student DATA Entry'!J9))</f>
        <v>M</v>
      </c>
      <c r="K13" s="103">
        <v>10</v>
      </c>
      <c r="L13" s="19">
        <v>9</v>
      </c>
      <c r="M13" s="19">
        <v>8</v>
      </c>
      <c r="N13" s="52">
        <v>42</v>
      </c>
      <c r="O13" s="104">
        <v>45</v>
      </c>
      <c r="P13" s="103">
        <v>10</v>
      </c>
      <c r="Q13" s="19">
        <v>9</v>
      </c>
      <c r="R13" s="19">
        <v>9</v>
      </c>
      <c r="S13" s="52">
        <v>46</v>
      </c>
      <c r="T13" s="104">
        <v>65</v>
      </c>
      <c r="U13" s="103" t="s">
        <v>6</v>
      </c>
      <c r="V13" s="19">
        <v>10</v>
      </c>
      <c r="W13" s="19">
        <v>10</v>
      </c>
      <c r="X13" s="19">
        <v>7</v>
      </c>
      <c r="Y13" s="52">
        <v>20</v>
      </c>
      <c r="Z13" s="52"/>
      <c r="AA13" s="57">
        <v>25</v>
      </c>
      <c r="AB13" s="564"/>
      <c r="AC13" s="103" t="s">
        <v>76</v>
      </c>
      <c r="AD13" s="19">
        <v>10</v>
      </c>
      <c r="AE13" s="19">
        <v>10</v>
      </c>
      <c r="AF13" s="19">
        <v>5</v>
      </c>
      <c r="AG13" s="52">
        <v>41</v>
      </c>
      <c r="AH13" s="52"/>
      <c r="AI13" s="57">
        <v>60</v>
      </c>
      <c r="AJ13" s="564"/>
      <c r="AK13" s="103" t="s">
        <v>6</v>
      </c>
      <c r="AL13" s="19">
        <v>5</v>
      </c>
      <c r="AM13" s="19">
        <v>5</v>
      </c>
      <c r="AN13" s="19">
        <v>5</v>
      </c>
      <c r="AO13" s="52">
        <v>25</v>
      </c>
      <c r="AP13" s="52">
        <v>15</v>
      </c>
      <c r="AQ13" s="57">
        <v>35</v>
      </c>
      <c r="AR13" s="564">
        <v>20</v>
      </c>
      <c r="AS13" s="18" t="s">
        <v>44</v>
      </c>
      <c r="AT13" s="19"/>
      <c r="AU13" s="19"/>
      <c r="AV13" s="19"/>
      <c r="AW13" s="52"/>
      <c r="AX13" s="52"/>
      <c r="AY13" s="57">
        <v>25</v>
      </c>
      <c r="AZ13" s="109">
        <v>15</v>
      </c>
      <c r="BA13" s="109">
        <v>40</v>
      </c>
      <c r="BB13" s="549">
        <v>26</v>
      </c>
      <c r="BC13" s="550">
        <v>27</v>
      </c>
      <c r="BD13" s="104">
        <v>32</v>
      </c>
      <c r="BE13" s="103">
        <v>8</v>
      </c>
      <c r="BF13" s="19">
        <v>8</v>
      </c>
      <c r="BG13" s="19">
        <v>8</v>
      </c>
      <c r="BH13" s="20">
        <v>52</v>
      </c>
      <c r="BI13" s="104">
        <v>72</v>
      </c>
      <c r="BJ13" s="9"/>
      <c r="BN13" s="3" t="str">
        <f>IF('Master Sheet'!L13="","",'Master Sheet'!L13)</f>
        <v>MATHEMATICS</v>
      </c>
    </row>
    <row r="14" spans="1:66">
      <c r="A14" s="519">
        <f>IF('Student DATA Entry'!A10="","",'Student DATA Entry'!A10)</f>
        <v>7</v>
      </c>
      <c r="B14" s="528">
        <f>IF('Student DATA Entry'!B10="","",'Student DATA Entry'!B10)</f>
        <v>1107</v>
      </c>
      <c r="C14" s="125" t="str">
        <f>IF('Student DATA Entry'!D10="","",'Student DATA Entry'!D10)</f>
        <v>A</v>
      </c>
      <c r="D14" s="530">
        <f>IF('Student DATA Entry'!E10="","",'Student DATA Entry'!E10)</f>
        <v>222</v>
      </c>
      <c r="E14" s="532">
        <f>IF('Student DATA Entry'!I10="","",'Student DATA Entry'!I10)</f>
        <v>40065</v>
      </c>
      <c r="F14" s="126" t="str">
        <f>IF('Student DATA Entry'!F10="","",UPPER('Student DATA Entry'!F10))</f>
        <v>G</v>
      </c>
      <c r="G14" s="126" t="str">
        <f>IF('Student DATA Entry'!G10="","",UPPER('Student DATA Entry'!G10))</f>
        <v>T</v>
      </c>
      <c r="H14" s="126" t="str">
        <f>IF('Student DATA Entry'!H10="","",UPPER('Student DATA Entry'!H10))</f>
        <v>S</v>
      </c>
      <c r="I14" s="526" t="str">
        <f>IF('Student DATA Entry'!K10="","",UPPER('Student DATA Entry'!K10))</f>
        <v>GEN</v>
      </c>
      <c r="J14" s="560" t="str">
        <f>IF('Student DATA Entry'!J10="","",UPPER('Student DATA Entry'!J10))</f>
        <v>M</v>
      </c>
      <c r="K14" s="103">
        <v>7</v>
      </c>
      <c r="L14" s="19">
        <v>9</v>
      </c>
      <c r="M14" s="19">
        <v>8</v>
      </c>
      <c r="N14" s="52">
        <v>43</v>
      </c>
      <c r="O14" s="104">
        <v>43</v>
      </c>
      <c r="P14" s="103">
        <v>10</v>
      </c>
      <c r="Q14" s="19">
        <v>6</v>
      </c>
      <c r="R14" s="19">
        <v>9</v>
      </c>
      <c r="S14" s="52">
        <v>41</v>
      </c>
      <c r="T14" s="104">
        <v>64</v>
      </c>
      <c r="U14" s="103" t="s">
        <v>6</v>
      </c>
      <c r="V14" s="19">
        <v>7</v>
      </c>
      <c r="W14" s="19">
        <v>4</v>
      </c>
      <c r="X14" s="19">
        <v>6</v>
      </c>
      <c r="Y14" s="52">
        <v>14</v>
      </c>
      <c r="Z14" s="52"/>
      <c r="AA14" s="57">
        <v>30</v>
      </c>
      <c r="AB14" s="564"/>
      <c r="AC14" s="103" t="s">
        <v>6</v>
      </c>
      <c r="AD14" s="19">
        <v>8</v>
      </c>
      <c r="AE14" s="19">
        <v>10</v>
      </c>
      <c r="AF14" s="19">
        <v>8</v>
      </c>
      <c r="AG14" s="52">
        <v>45</v>
      </c>
      <c r="AH14" s="52"/>
      <c r="AI14" s="57">
        <v>54</v>
      </c>
      <c r="AJ14" s="564"/>
      <c r="AK14" s="103" t="s">
        <v>44</v>
      </c>
      <c r="AL14" s="19">
        <v>4</v>
      </c>
      <c r="AM14" s="19">
        <v>4</v>
      </c>
      <c r="AN14" s="19">
        <v>9</v>
      </c>
      <c r="AO14" s="52">
        <v>32</v>
      </c>
      <c r="AP14" s="52"/>
      <c r="AQ14" s="57"/>
      <c r="AR14" s="564"/>
      <c r="AS14" s="18"/>
      <c r="AT14" s="19"/>
      <c r="AU14" s="19"/>
      <c r="AV14" s="19"/>
      <c r="AW14" s="52"/>
      <c r="AX14" s="52"/>
      <c r="AY14" s="57"/>
      <c r="AZ14" s="109"/>
      <c r="BA14" s="109"/>
      <c r="BB14" s="549">
        <v>26</v>
      </c>
      <c r="BC14" s="550">
        <v>27</v>
      </c>
      <c r="BD14" s="104">
        <v>32</v>
      </c>
      <c r="BE14" s="103">
        <v>8</v>
      </c>
      <c r="BF14" s="19">
        <v>8</v>
      </c>
      <c r="BG14" s="19">
        <v>8</v>
      </c>
      <c r="BH14" s="20">
        <v>52</v>
      </c>
      <c r="BI14" s="104">
        <v>73</v>
      </c>
      <c r="BJ14" s="9"/>
      <c r="BN14" s="3" t="str">
        <f>IF('Master Sheet'!L14="","",'Master Sheet'!L14)</f>
        <v>PHILOSOPHY</v>
      </c>
    </row>
    <row r="15" spans="1:66">
      <c r="A15" s="519">
        <f>IF('Student DATA Entry'!A11="","",'Student DATA Entry'!A11)</f>
        <v>8</v>
      </c>
      <c r="B15" s="528">
        <f>IF('Student DATA Entry'!B11="","",'Student DATA Entry'!B11)</f>
        <v>1108</v>
      </c>
      <c r="C15" s="125" t="str">
        <f>IF('Student DATA Entry'!D11="","",'Student DATA Entry'!D11)</f>
        <v>A</v>
      </c>
      <c r="D15" s="530">
        <f>IF('Student DATA Entry'!E11="","",'Student DATA Entry'!E11)</f>
        <v>123</v>
      </c>
      <c r="E15" s="532">
        <f>IF('Student DATA Entry'!I11="","",'Student DATA Entry'!I11)</f>
        <v>39763</v>
      </c>
      <c r="F15" s="126" t="str">
        <f>IF('Student DATA Entry'!F11="","",UPPER('Student DATA Entry'!F11))</f>
        <v>O</v>
      </c>
      <c r="G15" s="126" t="str">
        <f>IF('Student DATA Entry'!G11="","",UPPER('Student DATA Entry'!G11))</f>
        <v>R</v>
      </c>
      <c r="H15" s="126" t="str">
        <f>IF('Student DATA Entry'!H11="","",UPPER('Student DATA Entry'!H11))</f>
        <v>I</v>
      </c>
      <c r="I15" s="526" t="str">
        <f>IF('Student DATA Entry'!K11="","",UPPER('Student DATA Entry'!K11))</f>
        <v>OBC</v>
      </c>
      <c r="J15" s="560" t="str">
        <f>IF('Student DATA Entry'!J11="","",UPPER('Student DATA Entry'!J11))</f>
        <v>M</v>
      </c>
      <c r="K15" s="103">
        <v>10</v>
      </c>
      <c r="L15" s="19">
        <v>10</v>
      </c>
      <c r="M15" s="19">
        <v>8</v>
      </c>
      <c r="N15" s="52">
        <v>46</v>
      </c>
      <c r="O15" s="104">
        <v>25</v>
      </c>
      <c r="P15" s="103">
        <v>8</v>
      </c>
      <c r="Q15" s="19">
        <v>5</v>
      </c>
      <c r="R15" s="19">
        <v>9</v>
      </c>
      <c r="S15" s="52">
        <v>42</v>
      </c>
      <c r="T15" s="104">
        <v>61</v>
      </c>
      <c r="U15" s="103" t="s">
        <v>6</v>
      </c>
      <c r="V15" s="19">
        <v>10</v>
      </c>
      <c r="W15" s="19">
        <v>5</v>
      </c>
      <c r="X15" s="19">
        <v>7</v>
      </c>
      <c r="Y15" s="52">
        <v>17</v>
      </c>
      <c r="Z15" s="52"/>
      <c r="AA15" s="57">
        <v>27</v>
      </c>
      <c r="AB15" s="564"/>
      <c r="AC15" s="103" t="s">
        <v>6</v>
      </c>
      <c r="AD15" s="19">
        <v>10</v>
      </c>
      <c r="AE15" s="19">
        <v>10</v>
      </c>
      <c r="AF15" s="19">
        <v>7</v>
      </c>
      <c r="AG15" s="52">
        <v>32</v>
      </c>
      <c r="AH15" s="52"/>
      <c r="AI15" s="57">
        <v>65</v>
      </c>
      <c r="AJ15" s="564"/>
      <c r="AK15" s="103" t="s">
        <v>44</v>
      </c>
      <c r="AL15" s="19">
        <v>3</v>
      </c>
      <c r="AM15" s="19">
        <v>3</v>
      </c>
      <c r="AN15" s="19">
        <v>7</v>
      </c>
      <c r="AO15" s="52">
        <v>10</v>
      </c>
      <c r="AP15" s="52"/>
      <c r="AQ15" s="57"/>
      <c r="AR15" s="564"/>
      <c r="AS15" s="18"/>
      <c r="AT15" s="19"/>
      <c r="AU15" s="19"/>
      <c r="AV15" s="19"/>
      <c r="AW15" s="52"/>
      <c r="AX15" s="52"/>
      <c r="AY15" s="57"/>
      <c r="AZ15" s="109"/>
      <c r="BA15" s="109"/>
      <c r="BB15" s="549">
        <v>26</v>
      </c>
      <c r="BC15" s="550">
        <v>27</v>
      </c>
      <c r="BD15" s="104">
        <v>32</v>
      </c>
      <c r="BE15" s="103">
        <v>8</v>
      </c>
      <c r="BF15" s="19">
        <v>8</v>
      </c>
      <c r="BG15" s="19">
        <v>8</v>
      </c>
      <c r="BH15" s="20">
        <v>52</v>
      </c>
      <c r="BI15" s="104">
        <v>65</v>
      </c>
      <c r="BJ15" s="9"/>
      <c r="BN15" s="3" t="str">
        <f>IF('Master Sheet'!L15="","",'Master Sheet'!L15)</f>
        <v>PHYSICAL EDUCATION</v>
      </c>
    </row>
    <row r="16" spans="1:66">
      <c r="A16" s="519">
        <f>IF('Student DATA Entry'!A12="","",'Student DATA Entry'!A12)</f>
        <v>9</v>
      </c>
      <c r="B16" s="528">
        <f>IF('Student DATA Entry'!B12="","",'Student DATA Entry'!B12)</f>
        <v>1109</v>
      </c>
      <c r="C16" s="125" t="str">
        <f>IF('Student DATA Entry'!D12="","",'Student DATA Entry'!D12)</f>
        <v>A</v>
      </c>
      <c r="D16" s="530">
        <f>IF('Student DATA Entry'!E12="","",'Student DATA Entry'!E12)</f>
        <v>345</v>
      </c>
      <c r="E16" s="532">
        <f>IF('Student DATA Entry'!I12="","",'Student DATA Entry'!I12)</f>
        <v>40795</v>
      </c>
      <c r="F16" s="126" t="str">
        <f>IF('Student DATA Entry'!F12="","",UPPER('Student DATA Entry'!F12))</f>
        <v>P</v>
      </c>
      <c r="G16" s="126" t="str">
        <f>IF('Student DATA Entry'!G12="","",UPPER('Student DATA Entry'!G12))</f>
        <v>P</v>
      </c>
      <c r="H16" s="126" t="str">
        <f>IF('Student DATA Entry'!H12="","",UPPER('Student DATA Entry'!H12))</f>
        <v>N</v>
      </c>
      <c r="I16" s="526" t="str">
        <f>IF('Student DATA Entry'!K12="","",UPPER('Student DATA Entry'!K12))</f>
        <v>SC</v>
      </c>
      <c r="J16" s="560" t="str">
        <f>IF('Student DATA Entry'!J12="","",UPPER('Student DATA Entry'!J12))</f>
        <v>F</v>
      </c>
      <c r="K16" s="103">
        <v>9</v>
      </c>
      <c r="L16" s="19">
        <v>9</v>
      </c>
      <c r="M16" s="19">
        <v>8</v>
      </c>
      <c r="N16" s="52">
        <v>37</v>
      </c>
      <c r="O16" s="104">
        <v>35</v>
      </c>
      <c r="P16" s="103">
        <v>8</v>
      </c>
      <c r="Q16" s="19">
        <v>4</v>
      </c>
      <c r="R16" s="19">
        <v>9</v>
      </c>
      <c r="S16" s="52">
        <v>38</v>
      </c>
      <c r="T16" s="104">
        <v>45</v>
      </c>
      <c r="U16" s="103" t="s">
        <v>6</v>
      </c>
      <c r="V16" s="19">
        <v>7</v>
      </c>
      <c r="W16" s="19">
        <v>9</v>
      </c>
      <c r="X16" s="19">
        <v>7</v>
      </c>
      <c r="Y16" s="52">
        <v>10</v>
      </c>
      <c r="Z16" s="52"/>
      <c r="AA16" s="57">
        <v>10</v>
      </c>
      <c r="AB16" s="564"/>
      <c r="AC16" s="103" t="s">
        <v>6</v>
      </c>
      <c r="AD16" s="19">
        <v>5</v>
      </c>
      <c r="AE16" s="19">
        <v>2</v>
      </c>
      <c r="AF16" s="19"/>
      <c r="AG16" s="52">
        <v>37</v>
      </c>
      <c r="AH16" s="52"/>
      <c r="AI16" s="57">
        <v>69</v>
      </c>
      <c r="AJ16" s="564"/>
      <c r="AK16" s="103" t="s">
        <v>44</v>
      </c>
      <c r="AL16" s="19">
        <v>3</v>
      </c>
      <c r="AM16" s="19">
        <v>3</v>
      </c>
      <c r="AN16" s="19">
        <v>7</v>
      </c>
      <c r="AO16" s="52">
        <v>47</v>
      </c>
      <c r="AP16" s="52"/>
      <c r="AQ16" s="57"/>
      <c r="AR16" s="564"/>
      <c r="AS16" s="18"/>
      <c r="AT16" s="19"/>
      <c r="AU16" s="19"/>
      <c r="AV16" s="19"/>
      <c r="AW16" s="52"/>
      <c r="AX16" s="52"/>
      <c r="AY16" s="57"/>
      <c r="AZ16" s="109"/>
      <c r="BA16" s="109"/>
      <c r="BB16" s="549">
        <v>26</v>
      </c>
      <c r="BC16" s="550">
        <v>27</v>
      </c>
      <c r="BD16" s="104">
        <v>32</v>
      </c>
      <c r="BE16" s="103">
        <v>8</v>
      </c>
      <c r="BF16" s="19">
        <v>8</v>
      </c>
      <c r="BG16" s="19">
        <v>8</v>
      </c>
      <c r="BH16" s="20">
        <v>52</v>
      </c>
      <c r="BI16" s="104">
        <v>69</v>
      </c>
      <c r="BJ16" s="9"/>
      <c r="BN16" s="3" t="str">
        <f>IF('Master Sheet'!L16="","",'Master Sheet'!L16)</f>
        <v>POLITICAL SCIENCE</v>
      </c>
    </row>
    <row r="17" spans="1:66">
      <c r="A17" s="519">
        <f>IF('Student DATA Entry'!A13="","",'Student DATA Entry'!A13)</f>
        <v>10</v>
      </c>
      <c r="B17" s="528">
        <f>IF('Student DATA Entry'!B13="","",'Student DATA Entry'!B13)</f>
        <v>1110</v>
      </c>
      <c r="C17" s="125" t="str">
        <f>IF('Student DATA Entry'!D13="","",'Student DATA Entry'!D13)</f>
        <v>A</v>
      </c>
      <c r="D17" s="530">
        <f>IF('Student DATA Entry'!E13="","",'Student DATA Entry'!E13)</f>
        <v>678</v>
      </c>
      <c r="E17" s="532">
        <f>IF('Student DATA Entry'!I13="","",'Student DATA Entry'!I13)</f>
        <v>38841</v>
      </c>
      <c r="F17" s="126" t="str">
        <f>IF('Student DATA Entry'!F13="","",UPPER('Student DATA Entry'!F13))</f>
        <v>S</v>
      </c>
      <c r="G17" s="126" t="str">
        <f>IF('Student DATA Entry'!G13="","",UPPER('Student DATA Entry'!G13))</f>
        <v>M</v>
      </c>
      <c r="H17" s="126" t="str">
        <f>IF('Student DATA Entry'!H13="","",UPPER('Student DATA Entry'!H13))</f>
        <v>B</v>
      </c>
      <c r="I17" s="526" t="str">
        <f>IF('Student DATA Entry'!K13="","",UPPER('Student DATA Entry'!K13))</f>
        <v>MIN</v>
      </c>
      <c r="J17" s="560" t="str">
        <f>IF('Student DATA Entry'!J13="","",UPPER('Student DATA Entry'!J13))</f>
        <v>M</v>
      </c>
      <c r="K17" s="103">
        <v>7</v>
      </c>
      <c r="L17" s="19">
        <v>10</v>
      </c>
      <c r="M17" s="19">
        <v>8</v>
      </c>
      <c r="N17" s="52">
        <v>44</v>
      </c>
      <c r="O17" s="104">
        <v>30</v>
      </c>
      <c r="P17" s="103">
        <v>8</v>
      </c>
      <c r="Q17" s="19">
        <v>4</v>
      </c>
      <c r="R17" s="19">
        <v>9</v>
      </c>
      <c r="S17" s="52">
        <v>35</v>
      </c>
      <c r="T17" s="104">
        <v>46</v>
      </c>
      <c r="U17" s="103" t="s">
        <v>6</v>
      </c>
      <c r="V17" s="19" t="s">
        <v>110</v>
      </c>
      <c r="W17" s="19">
        <v>7</v>
      </c>
      <c r="X17" s="19">
        <v>7</v>
      </c>
      <c r="Y17" s="52">
        <v>15</v>
      </c>
      <c r="Z17" s="52"/>
      <c r="AA17" s="57">
        <v>36</v>
      </c>
      <c r="AB17" s="564"/>
      <c r="AC17" s="103" t="s">
        <v>6</v>
      </c>
      <c r="AD17" s="19">
        <v>9</v>
      </c>
      <c r="AE17" s="19">
        <v>7</v>
      </c>
      <c r="AF17" s="19"/>
      <c r="AG17" s="52">
        <v>35</v>
      </c>
      <c r="AH17" s="52"/>
      <c r="AI17" s="57">
        <v>35</v>
      </c>
      <c r="AJ17" s="564"/>
      <c r="AK17" s="103" t="s">
        <v>76</v>
      </c>
      <c r="AL17" s="19">
        <v>3</v>
      </c>
      <c r="AM17" s="19">
        <v>5</v>
      </c>
      <c r="AN17" s="19">
        <v>7</v>
      </c>
      <c r="AO17" s="52">
        <v>45</v>
      </c>
      <c r="AP17" s="52"/>
      <c r="AQ17" s="57"/>
      <c r="AR17" s="564"/>
      <c r="AS17" s="18"/>
      <c r="AT17" s="19"/>
      <c r="AU17" s="19"/>
      <c r="AV17" s="19"/>
      <c r="AW17" s="52"/>
      <c r="AX17" s="52"/>
      <c r="AY17" s="57"/>
      <c r="AZ17" s="109"/>
      <c r="BA17" s="109"/>
      <c r="BB17" s="549">
        <v>26</v>
      </c>
      <c r="BC17" s="550">
        <v>27</v>
      </c>
      <c r="BD17" s="104">
        <v>32</v>
      </c>
      <c r="BE17" s="103">
        <v>8</v>
      </c>
      <c r="BF17" s="19">
        <v>8</v>
      </c>
      <c r="BG17" s="19">
        <v>8</v>
      </c>
      <c r="BH17" s="20">
        <v>52</v>
      </c>
      <c r="BI17" s="104">
        <v>68</v>
      </c>
      <c r="BJ17" s="9"/>
      <c r="BN17" s="3" t="str">
        <f>IF('Master Sheet'!L17="","",'Master Sheet'!L17)</f>
        <v>PRAKRIT LITERATURE</v>
      </c>
    </row>
    <row r="18" spans="1:66">
      <c r="A18" s="519">
        <f>IF('Student DATA Entry'!A14="","",'Student DATA Entry'!A14)</f>
        <v>11</v>
      </c>
      <c r="B18" s="528">
        <f>IF('Student DATA Entry'!B14="","",'Student DATA Entry'!B14)</f>
        <v>1111</v>
      </c>
      <c r="C18" s="125" t="str">
        <f>IF('Student DATA Entry'!D14="","",'Student DATA Entry'!D14)</f>
        <v>A</v>
      </c>
      <c r="D18" s="530">
        <f>IF('Student DATA Entry'!E14="","",'Student DATA Entry'!E14)</f>
        <v>654</v>
      </c>
      <c r="E18" s="532">
        <f>IF('Student DATA Entry'!I14="","",'Student DATA Entry'!I14)</f>
        <v>39635</v>
      </c>
      <c r="F18" s="126" t="str">
        <f>IF('Student DATA Entry'!F14="","",UPPER('Student DATA Entry'!F14))</f>
        <v>M</v>
      </c>
      <c r="G18" s="126" t="str">
        <f>IF('Student DATA Entry'!G14="","",UPPER('Student DATA Entry'!G14))</f>
        <v>N</v>
      </c>
      <c r="H18" s="126" t="str">
        <f>IF('Student DATA Entry'!H14="","",UPPER('Student DATA Entry'!H14))</f>
        <v>A</v>
      </c>
      <c r="I18" s="526" t="str">
        <f>IF('Student DATA Entry'!K14="","",UPPER('Student DATA Entry'!K14))</f>
        <v>SBC</v>
      </c>
      <c r="J18" s="560" t="str">
        <f>IF('Student DATA Entry'!J14="","",UPPER('Student DATA Entry'!J14))</f>
        <v>M</v>
      </c>
      <c r="K18" s="103" t="s">
        <v>110</v>
      </c>
      <c r="L18" s="19" t="s">
        <v>110</v>
      </c>
      <c r="M18" s="19">
        <v>8</v>
      </c>
      <c r="N18" s="52">
        <v>30</v>
      </c>
      <c r="O18" s="104">
        <v>32</v>
      </c>
      <c r="P18" s="103">
        <v>5</v>
      </c>
      <c r="Q18" s="19">
        <v>4</v>
      </c>
      <c r="R18" s="19">
        <v>9</v>
      </c>
      <c r="S18" s="52">
        <v>34</v>
      </c>
      <c r="T18" s="104">
        <v>46</v>
      </c>
      <c r="U18" s="103" t="s">
        <v>6</v>
      </c>
      <c r="V18" s="19" t="s">
        <v>108</v>
      </c>
      <c r="W18" s="19">
        <v>9</v>
      </c>
      <c r="X18" s="19">
        <v>7</v>
      </c>
      <c r="Y18" s="52">
        <v>35</v>
      </c>
      <c r="Z18" s="52"/>
      <c r="AA18" s="57">
        <v>38</v>
      </c>
      <c r="AB18" s="564"/>
      <c r="AC18" s="103" t="s">
        <v>6</v>
      </c>
      <c r="AD18" s="19">
        <v>8</v>
      </c>
      <c r="AE18" s="19">
        <v>6</v>
      </c>
      <c r="AF18" s="19"/>
      <c r="AG18" s="52">
        <v>43</v>
      </c>
      <c r="AH18" s="52"/>
      <c r="AI18" s="57">
        <v>36</v>
      </c>
      <c r="AJ18" s="564"/>
      <c r="AK18" s="103" t="s">
        <v>6</v>
      </c>
      <c r="AL18" s="19">
        <v>3</v>
      </c>
      <c r="AM18" s="19">
        <v>6</v>
      </c>
      <c r="AN18" s="19">
        <v>7</v>
      </c>
      <c r="AO18" s="52">
        <v>19</v>
      </c>
      <c r="AP18" s="52">
        <v>10</v>
      </c>
      <c r="AQ18" s="57">
        <v>47</v>
      </c>
      <c r="AR18" s="564">
        <v>15</v>
      </c>
      <c r="AS18" s="18"/>
      <c r="AT18" s="19"/>
      <c r="AU18" s="19"/>
      <c r="AV18" s="19"/>
      <c r="AW18" s="52"/>
      <c r="AX18" s="52"/>
      <c r="AY18" s="57"/>
      <c r="AZ18" s="109"/>
      <c r="BA18" s="109"/>
      <c r="BB18" s="549">
        <v>26</v>
      </c>
      <c r="BC18" s="550">
        <v>27</v>
      </c>
      <c r="BD18" s="104">
        <v>32</v>
      </c>
      <c r="BE18" s="103">
        <v>8</v>
      </c>
      <c r="BF18" s="19">
        <v>8</v>
      </c>
      <c r="BG18" s="19">
        <v>8</v>
      </c>
      <c r="BH18" s="20">
        <v>52</v>
      </c>
      <c r="BI18" s="104">
        <v>68</v>
      </c>
      <c r="BJ18" s="9"/>
      <c r="BN18" s="3" t="str">
        <f>IF('Master Sheet'!L18="","",'Master Sheet'!L18)</f>
        <v>PUBLIC ADMINISTRATION</v>
      </c>
    </row>
    <row r="19" spans="1:66">
      <c r="A19" s="519">
        <f>IF('Student DATA Entry'!A15="","",'Student DATA Entry'!A15)</f>
        <v>12</v>
      </c>
      <c r="B19" s="528" t="str">
        <f>IF('Student DATA Entry'!B15="","",'Student DATA Entry'!B15)</f>
        <v/>
      </c>
      <c r="C19" s="125" t="str">
        <f>IF('Student DATA Entry'!D15="","",'Student DATA Entry'!D15)</f>
        <v/>
      </c>
      <c r="D19" s="530" t="str">
        <f>IF('Student DATA Entry'!E15="","",'Student DATA Entry'!E15)</f>
        <v/>
      </c>
      <c r="E19" s="532" t="str">
        <f>IF('Student DATA Entry'!I15="","",'Student DATA Entry'!I15)</f>
        <v/>
      </c>
      <c r="F19" s="126" t="str">
        <f>IF('Student DATA Entry'!F15="","",UPPER('Student DATA Entry'!F15))</f>
        <v/>
      </c>
      <c r="G19" s="126" t="str">
        <f>IF('Student DATA Entry'!G15="","",UPPER('Student DATA Entry'!G15))</f>
        <v/>
      </c>
      <c r="H19" s="126" t="str">
        <f>IF('Student DATA Entry'!H15="","",UPPER('Student DATA Entry'!H15))</f>
        <v/>
      </c>
      <c r="I19" s="526" t="str">
        <f>IF('Student DATA Entry'!K15="","",UPPER('Student DATA Entry'!K15))</f>
        <v/>
      </c>
      <c r="J19" s="560" t="str">
        <f>IF('Student DATA Entry'!J15="","",UPPER('Student DATA Entry'!J15))</f>
        <v/>
      </c>
      <c r="K19" s="103" t="s">
        <v>110</v>
      </c>
      <c r="L19" s="19">
        <v>8</v>
      </c>
      <c r="M19" s="19">
        <v>8</v>
      </c>
      <c r="N19" s="52">
        <v>43</v>
      </c>
      <c r="O19" s="104">
        <v>46</v>
      </c>
      <c r="P19" s="103">
        <v>7</v>
      </c>
      <c r="Q19" s="19">
        <v>5</v>
      </c>
      <c r="R19" s="19">
        <v>9</v>
      </c>
      <c r="S19" s="52">
        <v>36</v>
      </c>
      <c r="T19" s="104">
        <v>48</v>
      </c>
      <c r="U19" s="103" t="s">
        <v>6</v>
      </c>
      <c r="V19" s="19" t="s">
        <v>110</v>
      </c>
      <c r="W19" s="19">
        <v>8</v>
      </c>
      <c r="X19" s="19">
        <v>7</v>
      </c>
      <c r="Y19" s="52">
        <v>25</v>
      </c>
      <c r="Z19" s="52"/>
      <c r="AA19" s="57">
        <v>39</v>
      </c>
      <c r="AB19" s="564"/>
      <c r="AC19" s="103" t="s">
        <v>6</v>
      </c>
      <c r="AD19" s="19">
        <v>7</v>
      </c>
      <c r="AE19" s="19">
        <v>10</v>
      </c>
      <c r="AF19" s="19"/>
      <c r="AG19" s="52">
        <v>46</v>
      </c>
      <c r="AH19" s="52"/>
      <c r="AI19" s="57">
        <v>37</v>
      </c>
      <c r="AJ19" s="564"/>
      <c r="AK19" s="103" t="s">
        <v>6</v>
      </c>
      <c r="AL19" s="19">
        <v>4</v>
      </c>
      <c r="AM19" s="19">
        <v>5</v>
      </c>
      <c r="AN19" s="19">
        <v>8</v>
      </c>
      <c r="AO19" s="52">
        <v>33</v>
      </c>
      <c r="AP19" s="52">
        <v>10</v>
      </c>
      <c r="AQ19" s="57">
        <v>53</v>
      </c>
      <c r="AR19" s="564">
        <v>18</v>
      </c>
      <c r="AS19" s="18"/>
      <c r="AT19" s="19"/>
      <c r="AU19" s="19"/>
      <c r="AV19" s="19"/>
      <c r="AW19" s="52"/>
      <c r="AX19" s="52"/>
      <c r="AY19" s="57"/>
      <c r="AZ19" s="109"/>
      <c r="BA19" s="109"/>
      <c r="BB19" s="549">
        <v>26</v>
      </c>
      <c r="BC19" s="550">
        <v>27</v>
      </c>
      <c r="BD19" s="104">
        <v>32</v>
      </c>
      <c r="BE19" s="103">
        <v>8</v>
      </c>
      <c r="BF19" s="19">
        <v>8</v>
      </c>
      <c r="BG19" s="19">
        <v>8</v>
      </c>
      <c r="BH19" s="20">
        <v>50</v>
      </c>
      <c r="BI19" s="104">
        <v>68</v>
      </c>
      <c r="BJ19" s="9"/>
      <c r="BN19" s="3" t="str">
        <f>IF('Master Sheet'!L19="","",'Master Sheet'!L19)</f>
        <v>PUNJABI LITERATURE</v>
      </c>
    </row>
    <row r="20" spans="1:66">
      <c r="A20" s="519">
        <f>IF('Student DATA Entry'!A16="","",'Student DATA Entry'!A16)</f>
        <v>13</v>
      </c>
      <c r="B20" s="528" t="str">
        <f>IF('Student DATA Entry'!B16="","",'Student DATA Entry'!B16)</f>
        <v/>
      </c>
      <c r="C20" s="125" t="str">
        <f>IF('Student DATA Entry'!D16="","",'Student DATA Entry'!D16)</f>
        <v/>
      </c>
      <c r="D20" s="530" t="str">
        <f>IF('Student DATA Entry'!E16="","",'Student DATA Entry'!E16)</f>
        <v/>
      </c>
      <c r="E20" s="532" t="str">
        <f>IF('Student DATA Entry'!I16="","",'Student DATA Entry'!I16)</f>
        <v/>
      </c>
      <c r="F20" s="126" t="str">
        <f>IF('Student DATA Entry'!F16="","",UPPER('Student DATA Entry'!F16))</f>
        <v/>
      </c>
      <c r="G20" s="126" t="str">
        <f>IF('Student DATA Entry'!G16="","",UPPER('Student DATA Entry'!G16))</f>
        <v/>
      </c>
      <c r="H20" s="126" t="str">
        <f>IF('Student DATA Entry'!H16="","",UPPER('Student DATA Entry'!H16))</f>
        <v/>
      </c>
      <c r="I20" s="526" t="str">
        <f>IF('Student DATA Entry'!K16="","",UPPER('Student DATA Entry'!K16))</f>
        <v/>
      </c>
      <c r="J20" s="560" t="str">
        <f>IF('Student DATA Entry'!J16="","",UPPER('Student DATA Entry'!J16))</f>
        <v/>
      </c>
      <c r="K20" s="103" t="s">
        <v>108</v>
      </c>
      <c r="L20" s="19" t="s">
        <v>109</v>
      </c>
      <c r="M20" s="19">
        <v>8</v>
      </c>
      <c r="N20" s="52">
        <v>25</v>
      </c>
      <c r="O20" s="104">
        <v>70</v>
      </c>
      <c r="P20" s="103">
        <v>7</v>
      </c>
      <c r="Q20" s="19">
        <v>5</v>
      </c>
      <c r="R20" s="19">
        <v>9</v>
      </c>
      <c r="S20" s="52">
        <v>38</v>
      </c>
      <c r="T20" s="104">
        <v>47</v>
      </c>
      <c r="U20" s="103" t="s">
        <v>6</v>
      </c>
      <c r="V20" s="19">
        <v>9</v>
      </c>
      <c r="W20" s="19">
        <v>8</v>
      </c>
      <c r="X20" s="19">
        <v>7</v>
      </c>
      <c r="Y20" s="52">
        <v>47</v>
      </c>
      <c r="Z20" s="52"/>
      <c r="AA20" s="57">
        <v>78</v>
      </c>
      <c r="AB20" s="564"/>
      <c r="AC20" s="103" t="s">
        <v>6</v>
      </c>
      <c r="AD20" s="19">
        <v>20</v>
      </c>
      <c r="AE20" s="19">
        <v>20</v>
      </c>
      <c r="AF20" s="19"/>
      <c r="AG20" s="52">
        <v>45</v>
      </c>
      <c r="AH20" s="52"/>
      <c r="AI20" s="57">
        <v>78</v>
      </c>
      <c r="AJ20" s="564"/>
      <c r="AK20" s="103" t="s">
        <v>6</v>
      </c>
      <c r="AL20" s="19">
        <v>20</v>
      </c>
      <c r="AM20" s="19">
        <v>20</v>
      </c>
      <c r="AN20" s="19">
        <v>8</v>
      </c>
      <c r="AO20" s="52">
        <v>32</v>
      </c>
      <c r="AP20" s="52">
        <v>12</v>
      </c>
      <c r="AQ20" s="57">
        <v>50</v>
      </c>
      <c r="AR20" s="564">
        <v>19</v>
      </c>
      <c r="AS20" s="18"/>
      <c r="AT20" s="19"/>
      <c r="AU20" s="19"/>
      <c r="AV20" s="19"/>
      <c r="AW20" s="52"/>
      <c r="AX20" s="52"/>
      <c r="AY20" s="57"/>
      <c r="AZ20" s="109"/>
      <c r="BA20" s="109"/>
      <c r="BB20" s="549">
        <v>24</v>
      </c>
      <c r="BC20" s="550">
        <v>25</v>
      </c>
      <c r="BD20" s="104">
        <v>32</v>
      </c>
      <c r="BE20" s="103">
        <v>8</v>
      </c>
      <c r="BF20" s="19">
        <v>8</v>
      </c>
      <c r="BG20" s="19">
        <v>8</v>
      </c>
      <c r="BH20" s="20">
        <v>50</v>
      </c>
      <c r="BI20" s="104">
        <v>68</v>
      </c>
      <c r="BJ20" s="9"/>
      <c r="BN20" s="3" t="str">
        <f>IF('Master Sheet'!L20="","",'Master Sheet'!L20)</f>
        <v>RAJASTHANI LITERATURE</v>
      </c>
    </row>
    <row r="21" spans="1:66">
      <c r="A21" s="519">
        <f>IF('Student DATA Entry'!A17="","",'Student DATA Entry'!A17)</f>
        <v>14</v>
      </c>
      <c r="B21" s="528" t="str">
        <f>IF('Student DATA Entry'!B17="","",'Student DATA Entry'!B17)</f>
        <v/>
      </c>
      <c r="C21" s="125" t="str">
        <f>IF('Student DATA Entry'!D17="","",'Student DATA Entry'!D17)</f>
        <v/>
      </c>
      <c r="D21" s="530" t="str">
        <f>IF('Student DATA Entry'!E17="","",'Student DATA Entry'!E17)</f>
        <v/>
      </c>
      <c r="E21" s="532" t="str">
        <f>IF('Student DATA Entry'!I17="","",'Student DATA Entry'!I17)</f>
        <v/>
      </c>
      <c r="F21" s="126" t="str">
        <f>IF('Student DATA Entry'!F17="","",UPPER('Student DATA Entry'!F17))</f>
        <v/>
      </c>
      <c r="G21" s="126" t="str">
        <f>IF('Student DATA Entry'!G17="","",UPPER('Student DATA Entry'!G17))</f>
        <v/>
      </c>
      <c r="H21" s="126" t="str">
        <f>IF('Student DATA Entry'!H17="","",UPPER('Student DATA Entry'!H17))</f>
        <v/>
      </c>
      <c r="I21" s="526" t="str">
        <f>IF('Student DATA Entry'!K17="","",UPPER('Student DATA Entry'!K17))</f>
        <v/>
      </c>
      <c r="J21" s="560" t="str">
        <f>IF('Student DATA Entry'!J17="","",UPPER('Student DATA Entry'!J17))</f>
        <v/>
      </c>
      <c r="K21" s="103" t="s">
        <v>109</v>
      </c>
      <c r="L21" s="19" t="s">
        <v>109</v>
      </c>
      <c r="M21" s="19">
        <v>8</v>
      </c>
      <c r="N21" s="52">
        <v>30</v>
      </c>
      <c r="O21" s="104">
        <v>60</v>
      </c>
      <c r="P21" s="103">
        <v>8</v>
      </c>
      <c r="Q21" s="19">
        <v>5</v>
      </c>
      <c r="R21" s="19">
        <v>9</v>
      </c>
      <c r="S21" s="52" t="s">
        <v>45</v>
      </c>
      <c r="T21" s="104">
        <v>56</v>
      </c>
      <c r="U21" s="103" t="s">
        <v>6</v>
      </c>
      <c r="V21" s="19">
        <v>8</v>
      </c>
      <c r="W21" s="19">
        <v>8</v>
      </c>
      <c r="X21" s="19">
        <v>7</v>
      </c>
      <c r="Y21" s="52">
        <v>32</v>
      </c>
      <c r="Z21" s="52"/>
      <c r="AA21" s="57">
        <v>41</v>
      </c>
      <c r="AB21" s="564"/>
      <c r="AC21" s="103" t="s">
        <v>6</v>
      </c>
      <c r="AD21" s="19">
        <v>6</v>
      </c>
      <c r="AE21" s="19">
        <v>8</v>
      </c>
      <c r="AF21" s="19"/>
      <c r="AG21" s="52">
        <v>44</v>
      </c>
      <c r="AH21" s="52"/>
      <c r="AI21" s="57">
        <v>39</v>
      </c>
      <c r="AJ21" s="564"/>
      <c r="AK21" s="103" t="s">
        <v>6</v>
      </c>
      <c r="AL21" s="19">
        <v>4</v>
      </c>
      <c r="AM21" s="19">
        <v>4</v>
      </c>
      <c r="AN21" s="19">
        <v>8</v>
      </c>
      <c r="AO21" s="52">
        <v>30</v>
      </c>
      <c r="AP21" s="52">
        <v>13</v>
      </c>
      <c r="AQ21" s="57">
        <v>56</v>
      </c>
      <c r="AR21" s="564">
        <v>18</v>
      </c>
      <c r="AS21" s="18"/>
      <c r="AT21" s="19"/>
      <c r="AU21" s="19"/>
      <c r="AV21" s="19"/>
      <c r="AW21" s="52"/>
      <c r="AX21" s="52"/>
      <c r="AY21" s="57"/>
      <c r="AZ21" s="109"/>
      <c r="BA21" s="109"/>
      <c r="BB21" s="549">
        <v>24</v>
      </c>
      <c r="BC21" s="550">
        <v>25</v>
      </c>
      <c r="BD21" s="104">
        <v>32</v>
      </c>
      <c r="BE21" s="103">
        <v>8</v>
      </c>
      <c r="BF21" s="19">
        <v>8</v>
      </c>
      <c r="BG21" s="19">
        <v>8</v>
      </c>
      <c r="BH21" s="20">
        <v>50</v>
      </c>
      <c r="BI21" s="104">
        <v>68</v>
      </c>
      <c r="BJ21" s="9"/>
      <c r="BN21" s="3" t="str">
        <f>IF('Master Sheet'!L21="","",'Master Sheet'!L21)</f>
        <v>SANSKRIT LITERATURE</v>
      </c>
    </row>
    <row r="22" spans="1:66">
      <c r="A22" s="519">
        <f>IF('Student DATA Entry'!A18="","",'Student DATA Entry'!A18)</f>
        <v>15</v>
      </c>
      <c r="B22" s="528" t="str">
        <f>IF('Student DATA Entry'!B18="","",'Student DATA Entry'!B18)</f>
        <v/>
      </c>
      <c r="C22" s="125" t="str">
        <f>IF('Student DATA Entry'!D18="","",'Student DATA Entry'!D18)</f>
        <v/>
      </c>
      <c r="D22" s="530" t="str">
        <f>IF('Student DATA Entry'!E18="","",'Student DATA Entry'!E18)</f>
        <v/>
      </c>
      <c r="E22" s="532" t="str">
        <f>IF('Student DATA Entry'!I18="","",'Student DATA Entry'!I18)</f>
        <v/>
      </c>
      <c r="F22" s="126" t="str">
        <f>IF('Student DATA Entry'!F18="","",UPPER('Student DATA Entry'!F18))</f>
        <v/>
      </c>
      <c r="G22" s="126" t="str">
        <f>IF('Student DATA Entry'!G18="","",UPPER('Student DATA Entry'!G18))</f>
        <v/>
      </c>
      <c r="H22" s="126" t="str">
        <f>IF('Student DATA Entry'!H18="","",UPPER('Student DATA Entry'!H18))</f>
        <v/>
      </c>
      <c r="I22" s="526" t="str">
        <f>IF('Student DATA Entry'!K18="","",UPPER('Student DATA Entry'!K18))</f>
        <v/>
      </c>
      <c r="J22" s="560" t="str">
        <f>IF('Student DATA Entry'!J18="","",UPPER('Student DATA Entry'!J18))</f>
        <v/>
      </c>
      <c r="K22" s="103">
        <v>20</v>
      </c>
      <c r="L22" s="19">
        <v>20</v>
      </c>
      <c r="M22" s="19">
        <v>8</v>
      </c>
      <c r="N22" s="52">
        <v>25</v>
      </c>
      <c r="O22" s="104">
        <v>50</v>
      </c>
      <c r="P22" s="103">
        <v>9</v>
      </c>
      <c r="Q22" s="19">
        <v>9</v>
      </c>
      <c r="R22" s="19">
        <v>9</v>
      </c>
      <c r="S22" s="52">
        <v>20</v>
      </c>
      <c r="T22" s="104">
        <v>54</v>
      </c>
      <c r="U22" s="103" t="s">
        <v>6</v>
      </c>
      <c r="V22" s="19">
        <v>10</v>
      </c>
      <c r="W22" s="19">
        <v>7</v>
      </c>
      <c r="X22" s="19">
        <v>7</v>
      </c>
      <c r="Y22" s="52">
        <v>65</v>
      </c>
      <c r="Z22" s="52"/>
      <c r="AA22" s="57">
        <v>42</v>
      </c>
      <c r="AB22" s="564"/>
      <c r="AC22" s="103" t="s">
        <v>6</v>
      </c>
      <c r="AD22" s="19">
        <v>10</v>
      </c>
      <c r="AE22" s="19">
        <v>10</v>
      </c>
      <c r="AF22" s="19"/>
      <c r="AG22" s="52">
        <v>37</v>
      </c>
      <c r="AH22" s="52"/>
      <c r="AI22" s="57">
        <v>54</v>
      </c>
      <c r="AJ22" s="564"/>
      <c r="AK22" s="103" t="s">
        <v>6</v>
      </c>
      <c r="AL22" s="19">
        <v>9</v>
      </c>
      <c r="AM22" s="19">
        <v>9</v>
      </c>
      <c r="AN22" s="19">
        <v>8</v>
      </c>
      <c r="AO22" s="52">
        <v>28</v>
      </c>
      <c r="AP22" s="52">
        <v>14</v>
      </c>
      <c r="AQ22" s="57">
        <v>35</v>
      </c>
      <c r="AR22" s="564">
        <v>30</v>
      </c>
      <c r="AS22" s="18"/>
      <c r="AT22" s="19"/>
      <c r="AU22" s="19"/>
      <c r="AV22" s="19"/>
      <c r="AW22" s="52"/>
      <c r="AX22" s="52"/>
      <c r="AY22" s="57"/>
      <c r="AZ22" s="109"/>
      <c r="BA22" s="109"/>
      <c r="BB22" s="549">
        <v>24</v>
      </c>
      <c r="BC22" s="550">
        <v>25</v>
      </c>
      <c r="BD22" s="104">
        <v>32</v>
      </c>
      <c r="BE22" s="103">
        <v>8</v>
      </c>
      <c r="BF22" s="19">
        <v>8</v>
      </c>
      <c r="BG22" s="19">
        <v>8</v>
      </c>
      <c r="BH22" s="20">
        <v>50</v>
      </c>
      <c r="BI22" s="104">
        <v>68</v>
      </c>
      <c r="BJ22" s="9"/>
      <c r="BN22" s="3" t="str">
        <f>IF('Master Sheet'!L22="","",'Master Sheet'!L22)</f>
        <v>SINDHI LITERATURE</v>
      </c>
    </row>
    <row r="23" spans="1:66">
      <c r="A23" s="519">
        <f>IF('Student DATA Entry'!A19="","",'Student DATA Entry'!A19)</f>
        <v>16</v>
      </c>
      <c r="B23" s="528" t="str">
        <f>IF('Student DATA Entry'!B19="","",'Student DATA Entry'!B19)</f>
        <v/>
      </c>
      <c r="C23" s="125" t="str">
        <f>IF('Student DATA Entry'!D19="","",'Student DATA Entry'!D19)</f>
        <v/>
      </c>
      <c r="D23" s="530" t="str">
        <f>IF('Student DATA Entry'!E19="","",'Student DATA Entry'!E19)</f>
        <v/>
      </c>
      <c r="E23" s="532" t="str">
        <f>IF('Student DATA Entry'!I19="","",'Student DATA Entry'!I19)</f>
        <v/>
      </c>
      <c r="F23" s="126" t="str">
        <f>IF('Student DATA Entry'!F19="","",UPPER('Student DATA Entry'!F19))</f>
        <v/>
      </c>
      <c r="G23" s="126" t="str">
        <f>IF('Student DATA Entry'!G19="","",UPPER('Student DATA Entry'!G19))</f>
        <v/>
      </c>
      <c r="H23" s="126" t="str">
        <f>IF('Student DATA Entry'!H19="","",UPPER('Student DATA Entry'!H19))</f>
        <v/>
      </c>
      <c r="I23" s="526" t="str">
        <f>IF('Student DATA Entry'!K19="","",UPPER('Student DATA Entry'!K19))</f>
        <v/>
      </c>
      <c r="J23" s="560" t="str">
        <f>IF('Student DATA Entry'!J19="","",UPPER('Student DATA Entry'!J19))</f>
        <v/>
      </c>
      <c r="K23" s="103">
        <v>10</v>
      </c>
      <c r="L23" s="19">
        <v>9</v>
      </c>
      <c r="M23" s="19">
        <v>8</v>
      </c>
      <c r="N23" s="52">
        <v>26</v>
      </c>
      <c r="O23" s="104">
        <v>54</v>
      </c>
      <c r="P23" s="103">
        <v>8</v>
      </c>
      <c r="Q23" s="19">
        <v>10</v>
      </c>
      <c r="R23" s="19">
        <v>9</v>
      </c>
      <c r="S23" s="52">
        <v>15</v>
      </c>
      <c r="T23" s="104">
        <v>65</v>
      </c>
      <c r="U23" s="103" t="s">
        <v>44</v>
      </c>
      <c r="V23" s="19">
        <v>7</v>
      </c>
      <c r="W23" s="19">
        <v>8</v>
      </c>
      <c r="X23" s="19">
        <v>7</v>
      </c>
      <c r="Y23" s="52">
        <v>30</v>
      </c>
      <c r="Z23" s="52">
        <v>10</v>
      </c>
      <c r="AA23" s="57">
        <v>25</v>
      </c>
      <c r="AB23" s="564">
        <v>29</v>
      </c>
      <c r="AC23" s="103" t="s">
        <v>6</v>
      </c>
      <c r="AD23" s="19">
        <v>11</v>
      </c>
      <c r="AE23" s="19">
        <v>12</v>
      </c>
      <c r="AF23" s="19"/>
      <c r="AG23" s="52">
        <v>45</v>
      </c>
      <c r="AH23" s="52"/>
      <c r="AI23" s="57">
        <v>45</v>
      </c>
      <c r="AJ23" s="564"/>
      <c r="AK23" s="103" t="s">
        <v>6</v>
      </c>
      <c r="AL23" s="19">
        <v>10</v>
      </c>
      <c r="AM23" s="19">
        <v>8</v>
      </c>
      <c r="AN23" s="19">
        <v>9</v>
      </c>
      <c r="AO23" s="52">
        <v>31</v>
      </c>
      <c r="AP23" s="52">
        <v>12</v>
      </c>
      <c r="AQ23" s="57">
        <v>40</v>
      </c>
      <c r="AR23" s="564">
        <v>25</v>
      </c>
      <c r="AS23" s="18"/>
      <c r="AT23" s="19"/>
      <c r="AU23" s="19"/>
      <c r="AV23" s="19"/>
      <c r="AW23" s="52"/>
      <c r="AX23" s="52"/>
      <c r="AY23" s="57"/>
      <c r="AZ23" s="109"/>
      <c r="BA23" s="109"/>
      <c r="BB23" s="549">
        <v>24</v>
      </c>
      <c r="BC23" s="550">
        <v>25</v>
      </c>
      <c r="BD23" s="104">
        <v>32</v>
      </c>
      <c r="BE23" s="103">
        <v>8</v>
      </c>
      <c r="BF23" s="19">
        <v>8</v>
      </c>
      <c r="BG23" s="19">
        <v>8</v>
      </c>
      <c r="BH23" s="20">
        <v>50</v>
      </c>
      <c r="BI23" s="104">
        <v>68</v>
      </c>
      <c r="BJ23" s="9"/>
      <c r="BN23" s="3" t="str">
        <f>IF('Master Sheet'!L23="","",'Master Sheet'!L23)</f>
        <v>SOCIOLOGY</v>
      </c>
    </row>
    <row r="24" spans="1:66">
      <c r="A24" s="519">
        <f>IF('Student DATA Entry'!A20="","",'Student DATA Entry'!A20)</f>
        <v>17</v>
      </c>
      <c r="B24" s="528" t="str">
        <f>IF('Student DATA Entry'!B20="","",'Student DATA Entry'!B20)</f>
        <v/>
      </c>
      <c r="C24" s="125" t="str">
        <f>IF('Student DATA Entry'!D20="","",'Student DATA Entry'!D20)</f>
        <v/>
      </c>
      <c r="D24" s="530" t="str">
        <f>IF('Student DATA Entry'!E20="","",'Student DATA Entry'!E20)</f>
        <v/>
      </c>
      <c r="E24" s="532" t="str">
        <f>IF('Student DATA Entry'!I20="","",'Student DATA Entry'!I20)</f>
        <v/>
      </c>
      <c r="F24" s="126" t="str">
        <f>IF('Student DATA Entry'!F20="","",UPPER('Student DATA Entry'!F20))</f>
        <v/>
      </c>
      <c r="G24" s="126" t="str">
        <f>IF('Student DATA Entry'!G20="","",UPPER('Student DATA Entry'!G20))</f>
        <v/>
      </c>
      <c r="H24" s="126" t="str">
        <f>IF('Student DATA Entry'!H20="","",UPPER('Student DATA Entry'!H20))</f>
        <v/>
      </c>
      <c r="I24" s="526" t="str">
        <f>IF('Student DATA Entry'!K20="","",UPPER('Student DATA Entry'!K20))</f>
        <v/>
      </c>
      <c r="J24" s="560" t="str">
        <f>IF('Student DATA Entry'!J20="","",UPPER('Student DATA Entry'!J20))</f>
        <v/>
      </c>
      <c r="K24" s="103">
        <v>10</v>
      </c>
      <c r="L24" s="19">
        <v>8</v>
      </c>
      <c r="M24" s="19">
        <v>8</v>
      </c>
      <c r="N24" s="52">
        <v>24</v>
      </c>
      <c r="O24" s="104">
        <v>52</v>
      </c>
      <c r="P24" s="103">
        <v>7</v>
      </c>
      <c r="Q24" s="19">
        <v>10</v>
      </c>
      <c r="R24" s="19">
        <v>9</v>
      </c>
      <c r="S24" s="52">
        <v>14</v>
      </c>
      <c r="T24" s="104">
        <v>64</v>
      </c>
      <c r="U24" s="103" t="s">
        <v>44</v>
      </c>
      <c r="V24" s="19">
        <v>6</v>
      </c>
      <c r="W24" s="19">
        <v>9</v>
      </c>
      <c r="X24" s="19">
        <v>7</v>
      </c>
      <c r="Y24" s="52">
        <v>22</v>
      </c>
      <c r="Z24" s="52">
        <v>10</v>
      </c>
      <c r="AA24" s="57">
        <v>26</v>
      </c>
      <c r="AB24" s="564">
        <v>27</v>
      </c>
      <c r="AC24" s="103" t="s">
        <v>6</v>
      </c>
      <c r="AD24" s="19">
        <v>12</v>
      </c>
      <c r="AE24" s="19">
        <v>13</v>
      </c>
      <c r="AF24" s="19"/>
      <c r="AG24" s="52">
        <v>41</v>
      </c>
      <c r="AH24" s="52"/>
      <c r="AI24" s="57">
        <v>46</v>
      </c>
      <c r="AJ24" s="564"/>
      <c r="AK24" s="103" t="s">
        <v>6</v>
      </c>
      <c r="AL24" s="19">
        <v>11</v>
      </c>
      <c r="AM24" s="19">
        <v>9</v>
      </c>
      <c r="AN24" s="19">
        <v>9</v>
      </c>
      <c r="AO24" s="52">
        <v>30</v>
      </c>
      <c r="AP24" s="52">
        <v>10</v>
      </c>
      <c r="AQ24" s="57">
        <v>41</v>
      </c>
      <c r="AR24" s="564">
        <v>25</v>
      </c>
      <c r="AS24" s="18"/>
      <c r="AT24" s="19"/>
      <c r="AU24" s="19"/>
      <c r="AV24" s="19"/>
      <c r="AW24" s="52"/>
      <c r="AX24" s="52"/>
      <c r="AY24" s="57"/>
      <c r="AZ24" s="109"/>
      <c r="BA24" s="109"/>
      <c r="BB24" s="549">
        <v>24</v>
      </c>
      <c r="BC24" s="550">
        <v>25</v>
      </c>
      <c r="BD24" s="104">
        <v>32</v>
      </c>
      <c r="BE24" s="103">
        <v>8</v>
      </c>
      <c r="BF24" s="19">
        <v>8</v>
      </c>
      <c r="BG24" s="19">
        <v>8</v>
      </c>
      <c r="BH24" s="20">
        <v>50</v>
      </c>
      <c r="BI24" s="104">
        <v>68</v>
      </c>
      <c r="BJ24" s="9"/>
      <c r="BN24" s="3" t="str">
        <f>IF('Master Sheet'!L24="","",'Master Sheet'!L24)</f>
        <v>URDU LITERATURE</v>
      </c>
    </row>
    <row r="25" spans="1:66">
      <c r="A25" s="519">
        <f>IF('Student DATA Entry'!A21="","",'Student DATA Entry'!A21)</f>
        <v>18</v>
      </c>
      <c r="B25" s="528" t="str">
        <f>IF('Student DATA Entry'!B21="","",'Student DATA Entry'!B21)</f>
        <v/>
      </c>
      <c r="C25" s="125" t="str">
        <f>IF('Student DATA Entry'!D21="","",'Student DATA Entry'!D21)</f>
        <v/>
      </c>
      <c r="D25" s="530" t="str">
        <f>IF('Student DATA Entry'!E21="","",'Student DATA Entry'!E21)</f>
        <v/>
      </c>
      <c r="E25" s="532" t="str">
        <f>IF('Student DATA Entry'!I21="","",'Student DATA Entry'!I21)</f>
        <v/>
      </c>
      <c r="F25" s="126" t="str">
        <f>IF('Student DATA Entry'!F21="","",UPPER('Student DATA Entry'!F21))</f>
        <v/>
      </c>
      <c r="G25" s="126" t="str">
        <f>IF('Student DATA Entry'!G21="","",UPPER('Student DATA Entry'!G21))</f>
        <v/>
      </c>
      <c r="H25" s="126" t="str">
        <f>IF('Student DATA Entry'!H21="","",UPPER('Student DATA Entry'!H21))</f>
        <v/>
      </c>
      <c r="I25" s="526" t="str">
        <f>IF('Student DATA Entry'!K21="","",UPPER('Student DATA Entry'!K21))</f>
        <v/>
      </c>
      <c r="J25" s="560" t="str">
        <f>IF('Student DATA Entry'!J21="","",UPPER('Student DATA Entry'!J21))</f>
        <v/>
      </c>
      <c r="K25" s="103">
        <v>10</v>
      </c>
      <c r="L25" s="19">
        <v>9</v>
      </c>
      <c r="M25" s="19">
        <v>8</v>
      </c>
      <c r="N25" s="52">
        <v>26</v>
      </c>
      <c r="O25" s="104">
        <v>54</v>
      </c>
      <c r="P25" s="103">
        <v>8</v>
      </c>
      <c r="Q25" s="19">
        <v>10</v>
      </c>
      <c r="R25" s="19">
        <v>9</v>
      </c>
      <c r="S25" s="52">
        <v>18</v>
      </c>
      <c r="T25" s="104">
        <v>61</v>
      </c>
      <c r="U25" s="103" t="s">
        <v>44</v>
      </c>
      <c r="V25" s="19">
        <v>5</v>
      </c>
      <c r="W25" s="19">
        <v>4</v>
      </c>
      <c r="X25" s="19">
        <v>7</v>
      </c>
      <c r="Y25" s="52">
        <v>22</v>
      </c>
      <c r="Z25" s="52">
        <v>10</v>
      </c>
      <c r="AA25" s="57">
        <v>28</v>
      </c>
      <c r="AB25" s="564">
        <v>28</v>
      </c>
      <c r="AC25" s="103" t="s">
        <v>6</v>
      </c>
      <c r="AD25" s="19">
        <v>13</v>
      </c>
      <c r="AE25" s="19">
        <v>14</v>
      </c>
      <c r="AF25" s="19"/>
      <c r="AG25" s="52">
        <v>42</v>
      </c>
      <c r="AH25" s="52"/>
      <c r="AI25" s="57">
        <v>48</v>
      </c>
      <c r="AJ25" s="564"/>
      <c r="AK25" s="103" t="s">
        <v>6</v>
      </c>
      <c r="AL25" s="19">
        <v>12</v>
      </c>
      <c r="AM25" s="19">
        <v>5</v>
      </c>
      <c r="AN25" s="19">
        <v>9</v>
      </c>
      <c r="AO25" s="52">
        <v>25</v>
      </c>
      <c r="AP25" s="52">
        <v>12</v>
      </c>
      <c r="AQ25" s="57">
        <v>45</v>
      </c>
      <c r="AR25" s="564">
        <v>26</v>
      </c>
      <c r="AS25" s="18"/>
      <c r="AT25" s="19"/>
      <c r="AU25" s="19"/>
      <c r="AV25" s="19"/>
      <c r="AW25" s="52"/>
      <c r="AX25" s="52"/>
      <c r="AY25" s="57"/>
      <c r="AZ25" s="109"/>
      <c r="BA25" s="109"/>
      <c r="BB25" s="549">
        <v>24</v>
      </c>
      <c r="BC25" s="550">
        <v>25</v>
      </c>
      <c r="BD25" s="104">
        <v>32</v>
      </c>
      <c r="BE25" s="103">
        <v>8</v>
      </c>
      <c r="BF25" s="19">
        <v>8</v>
      </c>
      <c r="BG25" s="19">
        <v>8</v>
      </c>
      <c r="BH25" s="20">
        <v>50</v>
      </c>
      <c r="BI25" s="104">
        <v>68</v>
      </c>
      <c r="BJ25" s="9"/>
      <c r="BN25" s="3" t="str">
        <f>IF('Master Sheet'!L25="","",'Master Sheet'!L25)</f>
        <v>Optional Subject List</v>
      </c>
    </row>
    <row r="26" spans="1:66">
      <c r="A26" s="519">
        <f>IF('Student DATA Entry'!A22="","",'Student DATA Entry'!A22)</f>
        <v>19</v>
      </c>
      <c r="B26" s="528" t="str">
        <f>IF('Student DATA Entry'!B22="","",'Student DATA Entry'!B22)</f>
        <v/>
      </c>
      <c r="C26" s="125" t="str">
        <f>IF('Student DATA Entry'!D22="","",'Student DATA Entry'!D22)</f>
        <v/>
      </c>
      <c r="D26" s="530" t="str">
        <f>IF('Student DATA Entry'!E22="","",'Student DATA Entry'!E22)</f>
        <v/>
      </c>
      <c r="E26" s="532" t="str">
        <f>IF('Student DATA Entry'!I22="","",'Student DATA Entry'!I22)</f>
        <v/>
      </c>
      <c r="F26" s="126" t="str">
        <f>IF('Student DATA Entry'!F22="","",UPPER('Student DATA Entry'!F22))</f>
        <v/>
      </c>
      <c r="G26" s="126" t="str">
        <f>IF('Student DATA Entry'!G22="","",UPPER('Student DATA Entry'!G22))</f>
        <v/>
      </c>
      <c r="H26" s="126" t="str">
        <f>IF('Student DATA Entry'!H22="","",UPPER('Student DATA Entry'!H22))</f>
        <v/>
      </c>
      <c r="I26" s="526" t="str">
        <f>IF('Student DATA Entry'!K22="","",UPPER('Student DATA Entry'!K22))</f>
        <v/>
      </c>
      <c r="J26" s="560" t="str">
        <f>IF('Student DATA Entry'!J22="","",UPPER('Student DATA Entry'!J22))</f>
        <v/>
      </c>
      <c r="K26" s="103">
        <v>4</v>
      </c>
      <c r="L26" s="19">
        <v>4</v>
      </c>
      <c r="M26" s="19">
        <v>8</v>
      </c>
      <c r="N26" s="52">
        <v>24</v>
      </c>
      <c r="O26" s="104">
        <v>24</v>
      </c>
      <c r="P26" s="103">
        <v>7</v>
      </c>
      <c r="Q26" s="19">
        <v>10</v>
      </c>
      <c r="R26" s="19">
        <v>9</v>
      </c>
      <c r="S26" s="52">
        <v>25</v>
      </c>
      <c r="T26" s="104">
        <v>61</v>
      </c>
      <c r="U26" s="103" t="s">
        <v>44</v>
      </c>
      <c r="V26" s="19">
        <v>9</v>
      </c>
      <c r="W26" s="19">
        <v>6</v>
      </c>
      <c r="X26" s="19">
        <v>7</v>
      </c>
      <c r="Y26" s="52">
        <v>12</v>
      </c>
      <c r="Z26" s="52">
        <v>12</v>
      </c>
      <c r="AA26" s="57">
        <v>12</v>
      </c>
      <c r="AB26" s="564">
        <v>12</v>
      </c>
      <c r="AC26" s="103" t="s">
        <v>6</v>
      </c>
      <c r="AD26" s="19">
        <v>3</v>
      </c>
      <c r="AE26" s="19">
        <v>4</v>
      </c>
      <c r="AF26" s="19"/>
      <c r="AG26" s="52">
        <v>20</v>
      </c>
      <c r="AH26" s="52"/>
      <c r="AI26" s="57">
        <v>22</v>
      </c>
      <c r="AJ26" s="564"/>
      <c r="AK26" s="103" t="s">
        <v>6</v>
      </c>
      <c r="AL26" s="19">
        <v>14</v>
      </c>
      <c r="AM26" s="19">
        <v>10</v>
      </c>
      <c r="AN26" s="19"/>
      <c r="AO26" s="52">
        <v>26</v>
      </c>
      <c r="AP26" s="52">
        <v>10</v>
      </c>
      <c r="AQ26" s="57">
        <v>35</v>
      </c>
      <c r="AR26" s="564">
        <v>24</v>
      </c>
      <c r="AS26" s="18"/>
      <c r="AT26" s="19"/>
      <c r="AU26" s="19"/>
      <c r="AV26" s="19"/>
      <c r="AW26" s="52"/>
      <c r="AX26" s="52"/>
      <c r="AY26" s="57"/>
      <c r="AZ26" s="109"/>
      <c r="BA26" s="109"/>
      <c r="BB26" s="549">
        <v>24</v>
      </c>
      <c r="BC26" s="550">
        <v>25</v>
      </c>
      <c r="BD26" s="104">
        <v>32</v>
      </c>
      <c r="BE26" s="103">
        <v>7</v>
      </c>
      <c r="BF26" s="19">
        <v>7</v>
      </c>
      <c r="BG26" s="19">
        <v>7</v>
      </c>
      <c r="BH26" s="20">
        <v>41</v>
      </c>
      <c r="BI26" s="104">
        <v>68</v>
      </c>
      <c r="BJ26" s="9"/>
      <c r="BN26" s="3" t="str">
        <f>IF('Master Sheet'!L26="","",'Master Sheet'!L26)</f>
        <v>Practical_2_Optional_Subject_List</v>
      </c>
    </row>
    <row r="27" spans="1:66">
      <c r="A27" s="519">
        <f>IF('Student DATA Entry'!A23="","",'Student DATA Entry'!A23)</f>
        <v>20</v>
      </c>
      <c r="B27" s="528" t="str">
        <f>IF('Student DATA Entry'!B23="","",'Student DATA Entry'!B23)</f>
        <v/>
      </c>
      <c r="C27" s="125" t="str">
        <f>IF('Student DATA Entry'!D23="","",'Student DATA Entry'!D23)</f>
        <v/>
      </c>
      <c r="D27" s="530" t="str">
        <f>IF('Student DATA Entry'!E23="","",'Student DATA Entry'!E23)</f>
        <v/>
      </c>
      <c r="E27" s="532" t="str">
        <f>IF('Student DATA Entry'!I23="","",'Student DATA Entry'!I23)</f>
        <v/>
      </c>
      <c r="F27" s="126" t="str">
        <f>IF('Student DATA Entry'!F23="","",UPPER('Student DATA Entry'!F23))</f>
        <v/>
      </c>
      <c r="G27" s="126" t="str">
        <f>IF('Student DATA Entry'!G23="","",UPPER('Student DATA Entry'!G23))</f>
        <v/>
      </c>
      <c r="H27" s="126" t="str">
        <f>IF('Student DATA Entry'!H23="","",UPPER('Student DATA Entry'!H23))</f>
        <v/>
      </c>
      <c r="I27" s="526" t="str">
        <f>IF('Student DATA Entry'!K23="","",UPPER('Student DATA Entry'!K23))</f>
        <v/>
      </c>
      <c r="J27" s="560" t="str">
        <f>IF('Student DATA Entry'!J23="","",UPPER('Student DATA Entry'!J23))</f>
        <v/>
      </c>
      <c r="K27" s="103">
        <v>15</v>
      </c>
      <c r="L27" s="19">
        <v>9</v>
      </c>
      <c r="M27" s="19">
        <v>8</v>
      </c>
      <c r="N27" s="52">
        <v>28</v>
      </c>
      <c r="O27" s="104">
        <v>52</v>
      </c>
      <c r="P27" s="103">
        <v>8</v>
      </c>
      <c r="Q27" s="19">
        <v>10</v>
      </c>
      <c r="R27" s="19">
        <v>9</v>
      </c>
      <c r="S27" s="52">
        <v>24</v>
      </c>
      <c r="T27" s="104">
        <v>62</v>
      </c>
      <c r="U27" s="103" t="s">
        <v>6</v>
      </c>
      <c r="V27" s="19">
        <v>8</v>
      </c>
      <c r="W27" s="19">
        <v>5</v>
      </c>
      <c r="X27" s="19">
        <v>7</v>
      </c>
      <c r="Y27" s="52">
        <v>40</v>
      </c>
      <c r="Z27" s="52"/>
      <c r="AA27" s="57">
        <v>45</v>
      </c>
      <c r="AB27" s="564"/>
      <c r="AC27" s="103" t="s">
        <v>44</v>
      </c>
      <c r="AD27" s="19">
        <v>15</v>
      </c>
      <c r="AE27" s="19">
        <v>10</v>
      </c>
      <c r="AF27" s="19"/>
      <c r="AG27" s="52">
        <v>40</v>
      </c>
      <c r="AH27" s="52"/>
      <c r="AI27" s="57">
        <v>50</v>
      </c>
      <c r="AJ27" s="564"/>
      <c r="AK27" s="103" t="s">
        <v>6</v>
      </c>
      <c r="AL27" s="19">
        <v>15</v>
      </c>
      <c r="AM27" s="19">
        <v>10</v>
      </c>
      <c r="AN27" s="19"/>
      <c r="AO27" s="52">
        <v>24</v>
      </c>
      <c r="AP27" s="52">
        <v>12</v>
      </c>
      <c r="AQ27" s="57">
        <v>50</v>
      </c>
      <c r="AR27" s="564">
        <v>28</v>
      </c>
      <c r="AS27" s="18"/>
      <c r="AT27" s="19"/>
      <c r="AU27" s="19"/>
      <c r="AV27" s="19"/>
      <c r="AW27" s="52"/>
      <c r="AX27" s="52"/>
      <c r="AY27" s="57"/>
      <c r="AZ27" s="109"/>
      <c r="BA27" s="109"/>
      <c r="BB27" s="549">
        <v>24</v>
      </c>
      <c r="BC27" s="550">
        <v>25</v>
      </c>
      <c r="BD27" s="104">
        <v>32</v>
      </c>
      <c r="BE27" s="103">
        <v>7</v>
      </c>
      <c r="BF27" s="19">
        <v>7</v>
      </c>
      <c r="BG27" s="19">
        <v>7</v>
      </c>
      <c r="BH27" s="20">
        <v>41</v>
      </c>
      <c r="BI27" s="104">
        <v>68</v>
      </c>
      <c r="BJ27" s="9"/>
      <c r="BN27" s="3" t="str">
        <f>IF('Master Sheet'!L27="","",'Master Sheet'!L27)</f>
        <v xml:space="preserve">DANCE KATTHAK </v>
      </c>
    </row>
    <row r="28" spans="1:66">
      <c r="A28" s="519">
        <f>IF('Student DATA Entry'!A24="","",'Student DATA Entry'!A24)</f>
        <v>21</v>
      </c>
      <c r="B28" s="528" t="str">
        <f>IF('Student DATA Entry'!B24="","",'Student DATA Entry'!B24)</f>
        <v/>
      </c>
      <c r="C28" s="125" t="str">
        <f>IF('Student DATA Entry'!D24="","",'Student DATA Entry'!D24)</f>
        <v/>
      </c>
      <c r="D28" s="530" t="str">
        <f>IF('Student DATA Entry'!E24="","",'Student DATA Entry'!E24)</f>
        <v/>
      </c>
      <c r="E28" s="532" t="str">
        <f>IF('Student DATA Entry'!I24="","",'Student DATA Entry'!I24)</f>
        <v/>
      </c>
      <c r="F28" s="126" t="str">
        <f>IF('Student DATA Entry'!F24="","",UPPER('Student DATA Entry'!F24))</f>
        <v/>
      </c>
      <c r="G28" s="126" t="str">
        <f>IF('Student DATA Entry'!G24="","",UPPER('Student DATA Entry'!G24))</f>
        <v/>
      </c>
      <c r="H28" s="126" t="str">
        <f>IF('Student DATA Entry'!H24="","",UPPER('Student DATA Entry'!H24))</f>
        <v/>
      </c>
      <c r="I28" s="526" t="str">
        <f>IF('Student DATA Entry'!K24="","",UPPER('Student DATA Entry'!K24))</f>
        <v/>
      </c>
      <c r="J28" s="560" t="str">
        <f>IF('Student DATA Entry'!J24="","",UPPER('Student DATA Entry'!J24))</f>
        <v/>
      </c>
      <c r="K28" s="103">
        <v>12</v>
      </c>
      <c r="L28" s="19">
        <v>8</v>
      </c>
      <c r="M28" s="19">
        <v>8</v>
      </c>
      <c r="N28" s="52">
        <v>29</v>
      </c>
      <c r="O28" s="104">
        <v>51</v>
      </c>
      <c r="P28" s="103">
        <v>9</v>
      </c>
      <c r="Q28" s="19">
        <v>10</v>
      </c>
      <c r="R28" s="19">
        <v>9</v>
      </c>
      <c r="S28" s="52">
        <v>28</v>
      </c>
      <c r="T28" s="104">
        <v>65</v>
      </c>
      <c r="U28" s="103" t="s">
        <v>6</v>
      </c>
      <c r="V28" s="19">
        <v>7</v>
      </c>
      <c r="W28" s="19">
        <v>6</v>
      </c>
      <c r="X28" s="19">
        <v>7</v>
      </c>
      <c r="Y28" s="52">
        <v>41</v>
      </c>
      <c r="Z28" s="52"/>
      <c r="AA28" s="57">
        <v>48</v>
      </c>
      <c r="AB28" s="564"/>
      <c r="AC28" s="103" t="s">
        <v>44</v>
      </c>
      <c r="AD28" s="19">
        <v>12</v>
      </c>
      <c r="AE28" s="19">
        <v>12</v>
      </c>
      <c r="AF28" s="19"/>
      <c r="AG28" s="52">
        <v>45</v>
      </c>
      <c r="AH28" s="52"/>
      <c r="AI28" s="57">
        <v>52</v>
      </c>
      <c r="AJ28" s="564"/>
      <c r="AK28" s="103" t="s">
        <v>6</v>
      </c>
      <c r="AL28" s="19">
        <v>17</v>
      </c>
      <c r="AM28" s="19">
        <v>10</v>
      </c>
      <c r="AN28" s="19"/>
      <c r="AO28" s="52">
        <v>28</v>
      </c>
      <c r="AP28" s="52">
        <v>10</v>
      </c>
      <c r="AQ28" s="57">
        <v>42</v>
      </c>
      <c r="AR28" s="564">
        <v>26</v>
      </c>
      <c r="AS28" s="18"/>
      <c r="AT28" s="19"/>
      <c r="AU28" s="19"/>
      <c r="AV28" s="19"/>
      <c r="AW28" s="52"/>
      <c r="AX28" s="52"/>
      <c r="AY28" s="57"/>
      <c r="AZ28" s="109"/>
      <c r="BA28" s="109"/>
      <c r="BB28" s="549">
        <v>24</v>
      </c>
      <c r="BC28" s="550">
        <v>25</v>
      </c>
      <c r="BD28" s="104">
        <v>32</v>
      </c>
      <c r="BE28" s="103">
        <v>7</v>
      </c>
      <c r="BF28" s="19">
        <v>7</v>
      </c>
      <c r="BG28" s="19">
        <v>7</v>
      </c>
      <c r="BH28" s="20">
        <v>41</v>
      </c>
      <c r="BI28" s="104">
        <v>68</v>
      </c>
      <c r="BJ28" s="9"/>
      <c r="BN28" s="3" t="str">
        <f>IF('Master Sheet'!L28="","",'Master Sheet'!L28)</f>
        <v>DRAWING</v>
      </c>
    </row>
    <row r="29" spans="1:66">
      <c r="A29" s="519">
        <f>IF('Student DATA Entry'!A25="","",'Student DATA Entry'!A25)</f>
        <v>22</v>
      </c>
      <c r="B29" s="528" t="str">
        <f>IF('Student DATA Entry'!B25="","",'Student DATA Entry'!B25)</f>
        <v/>
      </c>
      <c r="C29" s="125" t="str">
        <f>IF('Student DATA Entry'!D25="","",'Student DATA Entry'!D25)</f>
        <v/>
      </c>
      <c r="D29" s="530" t="str">
        <f>IF('Student DATA Entry'!E25="","",'Student DATA Entry'!E25)</f>
        <v/>
      </c>
      <c r="E29" s="532" t="str">
        <f>IF('Student DATA Entry'!I25="","",'Student DATA Entry'!I25)</f>
        <v/>
      </c>
      <c r="F29" s="126" t="str">
        <f>IF('Student DATA Entry'!F25="","",UPPER('Student DATA Entry'!F25))</f>
        <v/>
      </c>
      <c r="G29" s="126" t="str">
        <f>IF('Student DATA Entry'!G25="","",UPPER('Student DATA Entry'!G25))</f>
        <v/>
      </c>
      <c r="H29" s="126" t="str">
        <f>IF('Student DATA Entry'!H25="","",UPPER('Student DATA Entry'!H25))</f>
        <v/>
      </c>
      <c r="I29" s="526" t="str">
        <f>IF('Student DATA Entry'!K25="","",UPPER('Student DATA Entry'!K25))</f>
        <v/>
      </c>
      <c r="J29" s="560" t="str">
        <f>IF('Student DATA Entry'!J25="","",UPPER('Student DATA Entry'!J25))</f>
        <v/>
      </c>
      <c r="K29" s="103">
        <v>13</v>
      </c>
      <c r="L29" s="19">
        <v>7</v>
      </c>
      <c r="M29" s="19">
        <v>8</v>
      </c>
      <c r="N29" s="52">
        <v>27</v>
      </c>
      <c r="O29" s="104">
        <v>54</v>
      </c>
      <c r="P29" s="103">
        <v>8</v>
      </c>
      <c r="Q29" s="19">
        <v>10</v>
      </c>
      <c r="R29" s="19">
        <v>9</v>
      </c>
      <c r="S29" s="52">
        <v>29</v>
      </c>
      <c r="T29" s="104">
        <v>68</v>
      </c>
      <c r="U29" s="103" t="s">
        <v>6</v>
      </c>
      <c r="V29" s="19">
        <v>9</v>
      </c>
      <c r="W29" s="19">
        <v>8</v>
      </c>
      <c r="X29" s="19">
        <v>7</v>
      </c>
      <c r="Y29" s="52">
        <v>40</v>
      </c>
      <c r="Z29" s="52"/>
      <c r="AA29" s="57">
        <v>47</v>
      </c>
      <c r="AB29" s="564"/>
      <c r="AC29" s="103" t="s">
        <v>44</v>
      </c>
      <c r="AD29" s="19">
        <v>14</v>
      </c>
      <c r="AE29" s="19">
        <v>10</v>
      </c>
      <c r="AF29" s="19"/>
      <c r="AG29" s="52">
        <v>48</v>
      </c>
      <c r="AH29" s="52"/>
      <c r="AI29" s="57">
        <v>52</v>
      </c>
      <c r="AJ29" s="564"/>
      <c r="AK29" s="103" t="s">
        <v>6</v>
      </c>
      <c r="AL29" s="19">
        <v>10</v>
      </c>
      <c r="AM29" s="19">
        <v>12</v>
      </c>
      <c r="AN29" s="19"/>
      <c r="AO29" s="52">
        <v>29</v>
      </c>
      <c r="AP29" s="52">
        <v>8</v>
      </c>
      <c r="AQ29" s="57">
        <v>45</v>
      </c>
      <c r="AR29" s="564">
        <v>24</v>
      </c>
      <c r="AS29" s="18"/>
      <c r="AT29" s="19"/>
      <c r="AU29" s="19"/>
      <c r="AV29" s="19"/>
      <c r="AW29" s="52"/>
      <c r="AX29" s="52"/>
      <c r="AY29" s="57"/>
      <c r="AZ29" s="109"/>
      <c r="BA29" s="109"/>
      <c r="BB29" s="549">
        <v>20</v>
      </c>
      <c r="BC29" s="550">
        <v>30</v>
      </c>
      <c r="BD29" s="104">
        <v>32</v>
      </c>
      <c r="BE29" s="103">
        <v>7</v>
      </c>
      <c r="BF29" s="19">
        <v>7</v>
      </c>
      <c r="BG29" s="19">
        <v>7</v>
      </c>
      <c r="BH29" s="20">
        <v>41</v>
      </c>
      <c r="BI29" s="104">
        <v>68</v>
      </c>
      <c r="BJ29" s="9"/>
      <c r="BN29" s="3" t="str">
        <f>IF('Master Sheet'!L29="","",'Master Sheet'!L29)</f>
        <v>MUSIC INSTR. DILRUBA</v>
      </c>
    </row>
    <row r="30" spans="1:66">
      <c r="A30" s="519">
        <f>IF('Student DATA Entry'!A26="","",'Student DATA Entry'!A26)</f>
        <v>23</v>
      </c>
      <c r="B30" s="528" t="str">
        <f>IF('Student DATA Entry'!B26="","",'Student DATA Entry'!B26)</f>
        <v/>
      </c>
      <c r="C30" s="125" t="str">
        <f>IF('Student DATA Entry'!D26="","",'Student DATA Entry'!D26)</f>
        <v/>
      </c>
      <c r="D30" s="530" t="str">
        <f>IF('Student DATA Entry'!E26="","",'Student DATA Entry'!E26)</f>
        <v/>
      </c>
      <c r="E30" s="532" t="str">
        <f>IF('Student DATA Entry'!I26="","",'Student DATA Entry'!I26)</f>
        <v/>
      </c>
      <c r="F30" s="126" t="str">
        <f>IF('Student DATA Entry'!F26="","",UPPER('Student DATA Entry'!F26))</f>
        <v/>
      </c>
      <c r="G30" s="126" t="str">
        <f>IF('Student DATA Entry'!G26="","",UPPER('Student DATA Entry'!G26))</f>
        <v/>
      </c>
      <c r="H30" s="126" t="str">
        <f>IF('Student DATA Entry'!H26="","",UPPER('Student DATA Entry'!H26))</f>
        <v/>
      </c>
      <c r="I30" s="526" t="str">
        <f>IF('Student DATA Entry'!K26="","",UPPER('Student DATA Entry'!K26))</f>
        <v/>
      </c>
      <c r="J30" s="560" t="str">
        <f>IF('Student DATA Entry'!J26="","",UPPER('Student DATA Entry'!J26))</f>
        <v/>
      </c>
      <c r="K30" s="103">
        <v>14</v>
      </c>
      <c r="L30" s="19">
        <v>4</v>
      </c>
      <c r="M30" s="19">
        <v>8</v>
      </c>
      <c r="N30" s="52">
        <v>28</v>
      </c>
      <c r="O30" s="104">
        <v>52</v>
      </c>
      <c r="P30" s="103">
        <v>7</v>
      </c>
      <c r="Q30" s="19">
        <v>10</v>
      </c>
      <c r="R30" s="19">
        <v>9</v>
      </c>
      <c r="S30" s="52">
        <v>27</v>
      </c>
      <c r="T30" s="104">
        <v>69</v>
      </c>
      <c r="U30" s="103" t="s">
        <v>6</v>
      </c>
      <c r="V30" s="19">
        <v>8</v>
      </c>
      <c r="W30" s="19">
        <v>8</v>
      </c>
      <c r="X30" s="19">
        <v>7</v>
      </c>
      <c r="Y30" s="52">
        <v>40</v>
      </c>
      <c r="Z30" s="52"/>
      <c r="AA30" s="57">
        <v>48</v>
      </c>
      <c r="AB30" s="564"/>
      <c r="AC30" s="103" t="s">
        <v>44</v>
      </c>
      <c r="AD30" s="19">
        <v>15</v>
      </c>
      <c r="AE30" s="19">
        <v>10</v>
      </c>
      <c r="AF30" s="19"/>
      <c r="AG30" s="52">
        <v>40</v>
      </c>
      <c r="AH30" s="52"/>
      <c r="AI30" s="57">
        <v>54</v>
      </c>
      <c r="AJ30" s="564"/>
      <c r="AK30" s="103" t="s">
        <v>6</v>
      </c>
      <c r="AL30" s="19">
        <v>12</v>
      </c>
      <c r="AM30" s="19">
        <v>14</v>
      </c>
      <c r="AN30" s="19"/>
      <c r="AO30" s="52">
        <v>24</v>
      </c>
      <c r="AP30" s="52">
        <v>9</v>
      </c>
      <c r="AQ30" s="57">
        <v>46</v>
      </c>
      <c r="AR30" s="564">
        <v>19</v>
      </c>
      <c r="AS30" s="18"/>
      <c r="AT30" s="19"/>
      <c r="AU30" s="19"/>
      <c r="AV30" s="19"/>
      <c r="AW30" s="52"/>
      <c r="AX30" s="52"/>
      <c r="AY30" s="57"/>
      <c r="AZ30" s="109"/>
      <c r="BA30" s="109"/>
      <c r="BB30" s="549">
        <v>20</v>
      </c>
      <c r="BC30" s="550">
        <v>30</v>
      </c>
      <c r="BD30" s="104">
        <v>32</v>
      </c>
      <c r="BE30" s="103">
        <v>7</v>
      </c>
      <c r="BF30" s="19">
        <v>7</v>
      </c>
      <c r="BG30" s="19">
        <v>7</v>
      </c>
      <c r="BH30" s="20">
        <v>41</v>
      </c>
      <c r="BI30" s="104">
        <v>68</v>
      </c>
      <c r="BJ30" s="9"/>
      <c r="BN30" s="3" t="str">
        <f>IF('Master Sheet'!L30="","",'Master Sheet'!L30)</f>
        <v>MUSIC INSTR. FLUTE</v>
      </c>
    </row>
    <row r="31" spans="1:66">
      <c r="A31" s="519">
        <f>IF('Student DATA Entry'!A27="","",'Student DATA Entry'!A27)</f>
        <v>24</v>
      </c>
      <c r="B31" s="528" t="str">
        <f>IF('Student DATA Entry'!B27="","",'Student DATA Entry'!B27)</f>
        <v/>
      </c>
      <c r="C31" s="125" t="str">
        <f>IF('Student DATA Entry'!D27="","",'Student DATA Entry'!D27)</f>
        <v/>
      </c>
      <c r="D31" s="530" t="str">
        <f>IF('Student DATA Entry'!E27="","",'Student DATA Entry'!E27)</f>
        <v/>
      </c>
      <c r="E31" s="532" t="str">
        <f>IF('Student DATA Entry'!I27="","",'Student DATA Entry'!I27)</f>
        <v/>
      </c>
      <c r="F31" s="126" t="str">
        <f>IF('Student DATA Entry'!F27="","",UPPER('Student DATA Entry'!F27))</f>
        <v/>
      </c>
      <c r="G31" s="126" t="str">
        <f>IF('Student DATA Entry'!G27="","",UPPER('Student DATA Entry'!G27))</f>
        <v/>
      </c>
      <c r="H31" s="126" t="str">
        <f>IF('Student DATA Entry'!H27="","",UPPER('Student DATA Entry'!H27))</f>
        <v/>
      </c>
      <c r="I31" s="526" t="str">
        <f>IF('Student DATA Entry'!K27="","",UPPER('Student DATA Entry'!K27))</f>
        <v/>
      </c>
      <c r="J31" s="560" t="str">
        <f>IF('Student DATA Entry'!J27="","",UPPER('Student DATA Entry'!J27))</f>
        <v/>
      </c>
      <c r="K31" s="103">
        <v>15</v>
      </c>
      <c r="L31" s="19">
        <v>5</v>
      </c>
      <c r="M31" s="19">
        <v>8</v>
      </c>
      <c r="N31" s="52">
        <v>29</v>
      </c>
      <c r="O31" s="104">
        <v>52</v>
      </c>
      <c r="P31" s="103">
        <v>4</v>
      </c>
      <c r="Q31" s="19">
        <v>10</v>
      </c>
      <c r="R31" s="19">
        <v>9</v>
      </c>
      <c r="S31" s="52">
        <v>36</v>
      </c>
      <c r="T31" s="104">
        <v>67</v>
      </c>
      <c r="U31" s="103" t="s">
        <v>6</v>
      </c>
      <c r="V31" s="19">
        <v>5</v>
      </c>
      <c r="W31" s="19">
        <v>8</v>
      </c>
      <c r="X31" s="19">
        <v>7</v>
      </c>
      <c r="Y31" s="52">
        <v>36</v>
      </c>
      <c r="Z31" s="52"/>
      <c r="AA31" s="57">
        <v>47</v>
      </c>
      <c r="AB31" s="564"/>
      <c r="AC31" s="103" t="s">
        <v>44</v>
      </c>
      <c r="AD31" s="19">
        <v>16</v>
      </c>
      <c r="AE31" s="19">
        <v>12</v>
      </c>
      <c r="AF31" s="19"/>
      <c r="AG31" s="52">
        <v>41</v>
      </c>
      <c r="AH31" s="52"/>
      <c r="AI31" s="57">
        <v>56</v>
      </c>
      <c r="AJ31" s="564"/>
      <c r="AK31" s="103" t="s">
        <v>6</v>
      </c>
      <c r="AL31" s="19">
        <v>15</v>
      </c>
      <c r="AM31" s="19">
        <v>15</v>
      </c>
      <c r="AN31" s="19"/>
      <c r="AO31" s="52">
        <v>28</v>
      </c>
      <c r="AP31" s="52">
        <v>14</v>
      </c>
      <c r="AQ31" s="57">
        <v>39</v>
      </c>
      <c r="AR31" s="564">
        <v>28</v>
      </c>
      <c r="AS31" s="18"/>
      <c r="AT31" s="19"/>
      <c r="AU31" s="19"/>
      <c r="AV31" s="19"/>
      <c r="AW31" s="52"/>
      <c r="AX31" s="52"/>
      <c r="AY31" s="57"/>
      <c r="AZ31" s="109"/>
      <c r="BA31" s="109"/>
      <c r="BB31" s="549">
        <v>20</v>
      </c>
      <c r="BC31" s="550">
        <v>30</v>
      </c>
      <c r="BD31" s="104">
        <v>32</v>
      </c>
      <c r="BE31" s="103">
        <v>7</v>
      </c>
      <c r="BF31" s="19">
        <v>7</v>
      </c>
      <c r="BG31" s="19">
        <v>7</v>
      </c>
      <c r="BH31" s="20">
        <v>41</v>
      </c>
      <c r="BI31" s="104">
        <v>68</v>
      </c>
      <c r="BJ31" s="9"/>
      <c r="BN31" s="3" t="str">
        <f>IF('Master Sheet'!L31="","",'Master Sheet'!L31)</f>
        <v>MUSIC INSTR. FLUTE</v>
      </c>
    </row>
    <row r="32" spans="1:66">
      <c r="A32" s="519">
        <f>IF('Student DATA Entry'!A28="","",'Student DATA Entry'!A28)</f>
        <v>25</v>
      </c>
      <c r="B32" s="528" t="str">
        <f>IF('Student DATA Entry'!B28="","",'Student DATA Entry'!B28)</f>
        <v/>
      </c>
      <c r="C32" s="125" t="str">
        <f>IF('Student DATA Entry'!D28="","",'Student DATA Entry'!D28)</f>
        <v/>
      </c>
      <c r="D32" s="530" t="str">
        <f>IF('Student DATA Entry'!E28="","",'Student DATA Entry'!E28)</f>
        <v/>
      </c>
      <c r="E32" s="532" t="str">
        <f>IF('Student DATA Entry'!I28="","",'Student DATA Entry'!I28)</f>
        <v/>
      </c>
      <c r="F32" s="126" t="str">
        <f>IF('Student DATA Entry'!F28="","",UPPER('Student DATA Entry'!F28))</f>
        <v/>
      </c>
      <c r="G32" s="126" t="str">
        <f>IF('Student DATA Entry'!G28="","",UPPER('Student DATA Entry'!G28))</f>
        <v/>
      </c>
      <c r="H32" s="126" t="str">
        <f>IF('Student DATA Entry'!H28="","",UPPER('Student DATA Entry'!H28))</f>
        <v/>
      </c>
      <c r="I32" s="526" t="str">
        <f>IF('Student DATA Entry'!K28="","",UPPER('Student DATA Entry'!K28))</f>
        <v/>
      </c>
      <c r="J32" s="560" t="str">
        <f>IF('Student DATA Entry'!J28="","",UPPER('Student DATA Entry'!J28))</f>
        <v/>
      </c>
      <c r="K32" s="103">
        <v>16</v>
      </c>
      <c r="L32" s="19">
        <v>6</v>
      </c>
      <c r="M32" s="19">
        <v>8</v>
      </c>
      <c r="N32" s="52">
        <v>28</v>
      </c>
      <c r="O32" s="104">
        <v>51</v>
      </c>
      <c r="P32" s="103">
        <v>5</v>
      </c>
      <c r="Q32" s="19">
        <v>10</v>
      </c>
      <c r="R32" s="19">
        <v>9</v>
      </c>
      <c r="S32" s="52">
        <v>35</v>
      </c>
      <c r="T32" s="104">
        <v>64</v>
      </c>
      <c r="U32" s="103" t="s">
        <v>6</v>
      </c>
      <c r="V32" s="19">
        <v>4</v>
      </c>
      <c r="W32" s="19">
        <v>7</v>
      </c>
      <c r="X32" s="19">
        <v>7</v>
      </c>
      <c r="Y32" s="52">
        <v>35</v>
      </c>
      <c r="Z32" s="52"/>
      <c r="AA32" s="57">
        <v>49</v>
      </c>
      <c r="AB32" s="564"/>
      <c r="AC32" s="103" t="s">
        <v>44</v>
      </c>
      <c r="AD32" s="19">
        <v>14</v>
      </c>
      <c r="AE32" s="19">
        <v>13</v>
      </c>
      <c r="AF32" s="19"/>
      <c r="AG32" s="52">
        <v>45</v>
      </c>
      <c r="AH32" s="52"/>
      <c r="AI32" s="57">
        <v>51</v>
      </c>
      <c r="AJ32" s="564"/>
      <c r="AK32" s="103" t="s">
        <v>6</v>
      </c>
      <c r="AL32" s="19">
        <v>14</v>
      </c>
      <c r="AM32" s="19">
        <v>14</v>
      </c>
      <c r="AN32" s="19"/>
      <c r="AO32" s="52">
        <v>29</v>
      </c>
      <c r="AP32" s="52">
        <v>10</v>
      </c>
      <c r="AQ32" s="57">
        <v>35</v>
      </c>
      <c r="AR32" s="564">
        <v>24</v>
      </c>
      <c r="AS32" s="18"/>
      <c r="AT32" s="19"/>
      <c r="AU32" s="19"/>
      <c r="AV32" s="19"/>
      <c r="AW32" s="52"/>
      <c r="AX32" s="52"/>
      <c r="AY32" s="57"/>
      <c r="AZ32" s="109"/>
      <c r="BA32" s="109"/>
      <c r="BB32" s="549">
        <v>20</v>
      </c>
      <c r="BC32" s="550">
        <v>30</v>
      </c>
      <c r="BD32" s="104">
        <v>32</v>
      </c>
      <c r="BE32" s="103">
        <v>7</v>
      </c>
      <c r="BF32" s="19">
        <v>7</v>
      </c>
      <c r="BG32" s="19">
        <v>7</v>
      </c>
      <c r="BH32" s="20">
        <v>41</v>
      </c>
      <c r="BI32" s="104">
        <v>68</v>
      </c>
      <c r="BJ32" s="9"/>
      <c r="BN32" s="3" t="str">
        <f>IF('Master Sheet'!L32="","",'Master Sheet'!L32)</f>
        <v>MUSIC INSTR. GUITAR</v>
      </c>
    </row>
    <row r="33" spans="1:66">
      <c r="A33" s="519">
        <f>IF('Student DATA Entry'!A29="","",'Student DATA Entry'!A29)</f>
        <v>26</v>
      </c>
      <c r="B33" s="528" t="str">
        <f>IF('Student DATA Entry'!B29="","",'Student DATA Entry'!B29)</f>
        <v/>
      </c>
      <c r="C33" s="125" t="str">
        <f>IF('Student DATA Entry'!D29="","",'Student DATA Entry'!D29)</f>
        <v/>
      </c>
      <c r="D33" s="530" t="str">
        <f>IF('Student DATA Entry'!E29="","",'Student DATA Entry'!E29)</f>
        <v/>
      </c>
      <c r="E33" s="532" t="str">
        <f>IF('Student DATA Entry'!I29="","",'Student DATA Entry'!I29)</f>
        <v/>
      </c>
      <c r="F33" s="126" t="str">
        <f>IF('Student DATA Entry'!F29="","",UPPER('Student DATA Entry'!F29))</f>
        <v/>
      </c>
      <c r="G33" s="126" t="str">
        <f>IF('Student DATA Entry'!G29="","",UPPER('Student DATA Entry'!G29))</f>
        <v/>
      </c>
      <c r="H33" s="126" t="str">
        <f>IF('Student DATA Entry'!H29="","",UPPER('Student DATA Entry'!H29))</f>
        <v/>
      </c>
      <c r="I33" s="526" t="str">
        <f>IF('Student DATA Entry'!K29="","",UPPER('Student DATA Entry'!K29))</f>
        <v/>
      </c>
      <c r="J33" s="560" t="str">
        <f>IF('Student DATA Entry'!J29="","",UPPER('Student DATA Entry'!J29))</f>
        <v/>
      </c>
      <c r="K33" s="103">
        <v>13</v>
      </c>
      <c r="L33" s="19">
        <v>9</v>
      </c>
      <c r="M33" s="19">
        <v>8</v>
      </c>
      <c r="N33" s="52">
        <v>27</v>
      </c>
      <c r="O33" s="104">
        <v>50</v>
      </c>
      <c r="P33" s="103">
        <v>8</v>
      </c>
      <c r="Q33" s="19">
        <v>10</v>
      </c>
      <c r="R33" s="19">
        <v>9</v>
      </c>
      <c r="S33" s="52">
        <v>32</v>
      </c>
      <c r="T33" s="104">
        <v>61</v>
      </c>
      <c r="U33" s="103" t="s">
        <v>6</v>
      </c>
      <c r="V33" s="19">
        <v>8</v>
      </c>
      <c r="W33" s="19">
        <v>8</v>
      </c>
      <c r="X33" s="19">
        <v>7</v>
      </c>
      <c r="Y33" s="52">
        <v>35</v>
      </c>
      <c r="Z33" s="52"/>
      <c r="AA33" s="57">
        <v>52</v>
      </c>
      <c r="AB33" s="564"/>
      <c r="AC33" s="103" t="s">
        <v>44</v>
      </c>
      <c r="AD33" s="19">
        <v>15</v>
      </c>
      <c r="AE33" s="19">
        <v>14</v>
      </c>
      <c r="AF33" s="19"/>
      <c r="AG33" s="52">
        <v>40</v>
      </c>
      <c r="AH33" s="52"/>
      <c r="AI33" s="57">
        <v>50</v>
      </c>
      <c r="AJ33" s="564"/>
      <c r="AK33" s="103" t="s">
        <v>44</v>
      </c>
      <c r="AL33" s="19">
        <v>16</v>
      </c>
      <c r="AM33" s="19">
        <v>15</v>
      </c>
      <c r="AN33" s="19"/>
      <c r="AO33" s="52"/>
      <c r="AP33" s="52"/>
      <c r="AQ33" s="57"/>
      <c r="AR33" s="564"/>
      <c r="AS33" s="18"/>
      <c r="AT33" s="19"/>
      <c r="AU33" s="19"/>
      <c r="AV33" s="19"/>
      <c r="AW33" s="52"/>
      <c r="AX33" s="52"/>
      <c r="AY33" s="57"/>
      <c r="AZ33" s="109"/>
      <c r="BA33" s="109"/>
      <c r="BB33" s="549">
        <v>20</v>
      </c>
      <c r="BC33" s="550">
        <v>30</v>
      </c>
      <c r="BD33" s="104">
        <v>32</v>
      </c>
      <c r="BE33" s="103">
        <v>7</v>
      </c>
      <c r="BF33" s="19">
        <v>7</v>
      </c>
      <c r="BG33" s="19">
        <v>7</v>
      </c>
      <c r="BH33" s="20">
        <v>41</v>
      </c>
      <c r="BI33" s="104">
        <v>68</v>
      </c>
      <c r="BJ33" s="9"/>
      <c r="BN33" s="3" t="str">
        <f>IF('Master Sheet'!L33="","",'Master Sheet'!L33)</f>
        <v>MUSIC INSTR. PKHAAVAJ</v>
      </c>
    </row>
    <row r="34" spans="1:66">
      <c r="A34" s="519">
        <f>IF('Student DATA Entry'!A30="","",'Student DATA Entry'!A30)</f>
        <v>27</v>
      </c>
      <c r="B34" s="528" t="str">
        <f>IF('Student DATA Entry'!B30="","",'Student DATA Entry'!B30)</f>
        <v/>
      </c>
      <c r="C34" s="125" t="str">
        <f>IF('Student DATA Entry'!D30="","",'Student DATA Entry'!D30)</f>
        <v/>
      </c>
      <c r="D34" s="530" t="str">
        <f>IF('Student DATA Entry'!E30="","",'Student DATA Entry'!E30)</f>
        <v/>
      </c>
      <c r="E34" s="532" t="str">
        <f>IF('Student DATA Entry'!I30="","",'Student DATA Entry'!I30)</f>
        <v/>
      </c>
      <c r="F34" s="126" t="str">
        <f>IF('Student DATA Entry'!F30="","",UPPER('Student DATA Entry'!F30))</f>
        <v/>
      </c>
      <c r="G34" s="126" t="str">
        <f>IF('Student DATA Entry'!G30="","",UPPER('Student DATA Entry'!G30))</f>
        <v/>
      </c>
      <c r="H34" s="126" t="str">
        <f>IF('Student DATA Entry'!H30="","",UPPER('Student DATA Entry'!H30))</f>
        <v/>
      </c>
      <c r="I34" s="526" t="str">
        <f>IF('Student DATA Entry'!K30="","",UPPER('Student DATA Entry'!K30))</f>
        <v/>
      </c>
      <c r="J34" s="560" t="str">
        <f>IF('Student DATA Entry'!J30="","",UPPER('Student DATA Entry'!J30))</f>
        <v/>
      </c>
      <c r="K34" s="103">
        <v>15</v>
      </c>
      <c r="L34" s="19">
        <v>8</v>
      </c>
      <c r="M34" s="19">
        <v>8</v>
      </c>
      <c r="N34" s="52">
        <v>28</v>
      </c>
      <c r="O34" s="104">
        <v>50</v>
      </c>
      <c r="P34" s="103">
        <v>9</v>
      </c>
      <c r="Q34" s="19">
        <v>10</v>
      </c>
      <c r="R34" s="19">
        <v>9</v>
      </c>
      <c r="S34" s="52">
        <v>31</v>
      </c>
      <c r="T34" s="104">
        <v>69</v>
      </c>
      <c r="U34" s="103" t="s">
        <v>6</v>
      </c>
      <c r="V34" s="19">
        <v>7</v>
      </c>
      <c r="W34" s="19">
        <v>9</v>
      </c>
      <c r="X34" s="19">
        <v>7</v>
      </c>
      <c r="Y34" s="52">
        <v>39</v>
      </c>
      <c r="Z34" s="52"/>
      <c r="AA34" s="57">
        <v>58</v>
      </c>
      <c r="AB34" s="564"/>
      <c r="AC34" s="103" t="s">
        <v>44</v>
      </c>
      <c r="AD34" s="19">
        <v>16</v>
      </c>
      <c r="AE34" s="19">
        <v>15</v>
      </c>
      <c r="AF34" s="19"/>
      <c r="AG34" s="52">
        <v>41</v>
      </c>
      <c r="AH34" s="52"/>
      <c r="AI34" s="57">
        <v>47</v>
      </c>
      <c r="AJ34" s="564"/>
      <c r="AK34" s="103" t="s">
        <v>44</v>
      </c>
      <c r="AL34" s="19">
        <v>14</v>
      </c>
      <c r="AM34" s="19">
        <v>14</v>
      </c>
      <c r="AN34" s="19"/>
      <c r="AO34" s="52"/>
      <c r="AP34" s="52"/>
      <c r="AQ34" s="57"/>
      <c r="AR34" s="564"/>
      <c r="AS34" s="18"/>
      <c r="AT34" s="19"/>
      <c r="AU34" s="19"/>
      <c r="AV34" s="19"/>
      <c r="AW34" s="52"/>
      <c r="AX34" s="52"/>
      <c r="AY34" s="57"/>
      <c r="AZ34" s="109"/>
      <c r="BA34" s="109"/>
      <c r="BB34" s="549">
        <v>20</v>
      </c>
      <c r="BC34" s="550">
        <v>30</v>
      </c>
      <c r="BD34" s="104">
        <v>32</v>
      </c>
      <c r="BE34" s="103">
        <v>7</v>
      </c>
      <c r="BF34" s="19">
        <v>7</v>
      </c>
      <c r="BG34" s="19">
        <v>7</v>
      </c>
      <c r="BH34" s="20">
        <v>41</v>
      </c>
      <c r="BI34" s="104">
        <v>68</v>
      </c>
      <c r="BJ34" s="9"/>
      <c r="BN34" s="3" t="str">
        <f>IF('Master Sheet'!L34="","",'Master Sheet'!L34)</f>
        <v>MUSIC INSTR. SAROD</v>
      </c>
    </row>
    <row r="35" spans="1:66">
      <c r="A35" s="519">
        <f>IF('Student DATA Entry'!A31="","",'Student DATA Entry'!A31)</f>
        <v>28</v>
      </c>
      <c r="B35" s="528" t="str">
        <f>IF('Student DATA Entry'!B31="","",'Student DATA Entry'!B31)</f>
        <v/>
      </c>
      <c r="C35" s="125" t="str">
        <f>IF('Student DATA Entry'!D31="","",'Student DATA Entry'!D31)</f>
        <v/>
      </c>
      <c r="D35" s="530" t="str">
        <f>IF('Student DATA Entry'!E31="","",'Student DATA Entry'!E31)</f>
        <v/>
      </c>
      <c r="E35" s="532" t="str">
        <f>IF('Student DATA Entry'!I31="","",'Student DATA Entry'!I31)</f>
        <v/>
      </c>
      <c r="F35" s="126" t="str">
        <f>IF('Student DATA Entry'!F31="","",UPPER('Student DATA Entry'!F31))</f>
        <v/>
      </c>
      <c r="G35" s="126" t="str">
        <f>IF('Student DATA Entry'!G31="","",UPPER('Student DATA Entry'!G31))</f>
        <v/>
      </c>
      <c r="H35" s="126" t="str">
        <f>IF('Student DATA Entry'!H31="","",UPPER('Student DATA Entry'!H31))</f>
        <v/>
      </c>
      <c r="I35" s="526" t="str">
        <f>IF('Student DATA Entry'!K31="","",UPPER('Student DATA Entry'!K31))</f>
        <v/>
      </c>
      <c r="J35" s="560" t="str">
        <f>IF('Student DATA Entry'!J31="","",UPPER('Student DATA Entry'!J31))</f>
        <v/>
      </c>
      <c r="K35" s="103">
        <v>14</v>
      </c>
      <c r="L35" s="19">
        <v>7</v>
      </c>
      <c r="M35" s="19">
        <v>8</v>
      </c>
      <c r="N35" s="52">
        <v>29</v>
      </c>
      <c r="O35" s="104">
        <v>50</v>
      </c>
      <c r="P35" s="103">
        <v>8</v>
      </c>
      <c r="Q35" s="19">
        <v>10</v>
      </c>
      <c r="R35" s="19">
        <v>9</v>
      </c>
      <c r="S35" s="52">
        <v>25</v>
      </c>
      <c r="T35" s="104">
        <v>68</v>
      </c>
      <c r="U35" s="103" t="s">
        <v>44</v>
      </c>
      <c r="V35" s="19">
        <v>10</v>
      </c>
      <c r="W35" s="19">
        <v>6</v>
      </c>
      <c r="X35" s="19">
        <v>7</v>
      </c>
      <c r="Y35" s="52">
        <v>25</v>
      </c>
      <c r="Z35" s="52">
        <v>14</v>
      </c>
      <c r="AA35" s="57">
        <v>41</v>
      </c>
      <c r="AB35" s="564">
        <v>26</v>
      </c>
      <c r="AC35" s="103" t="s">
        <v>44</v>
      </c>
      <c r="AD35" s="19">
        <v>14</v>
      </c>
      <c r="AE35" s="19">
        <v>12</v>
      </c>
      <c r="AF35" s="19"/>
      <c r="AG35" s="52">
        <v>42</v>
      </c>
      <c r="AH35" s="52"/>
      <c r="AI35" s="57">
        <v>48</v>
      </c>
      <c r="AJ35" s="564"/>
      <c r="AK35" s="103" t="s">
        <v>6</v>
      </c>
      <c r="AL35" s="19">
        <v>16</v>
      </c>
      <c r="AM35" s="19">
        <v>10</v>
      </c>
      <c r="AN35" s="19"/>
      <c r="AO35" s="52"/>
      <c r="AP35" s="52"/>
      <c r="AQ35" s="57"/>
      <c r="AR35" s="564"/>
      <c r="AS35" s="18"/>
      <c r="AT35" s="19"/>
      <c r="AU35" s="19"/>
      <c r="AV35" s="19"/>
      <c r="AW35" s="52"/>
      <c r="AX35" s="52"/>
      <c r="AY35" s="57"/>
      <c r="AZ35" s="109"/>
      <c r="BA35" s="109"/>
      <c r="BB35" s="549">
        <v>20</v>
      </c>
      <c r="BC35" s="550">
        <v>30</v>
      </c>
      <c r="BD35" s="104">
        <v>32</v>
      </c>
      <c r="BE35" s="103">
        <v>7</v>
      </c>
      <c r="BF35" s="19">
        <v>7</v>
      </c>
      <c r="BG35" s="19">
        <v>7</v>
      </c>
      <c r="BH35" s="20">
        <v>41</v>
      </c>
      <c r="BI35" s="104">
        <v>68</v>
      </c>
      <c r="BJ35" s="9"/>
      <c r="BN35" s="3" t="str">
        <f>IF('Master Sheet'!L35="","",'Master Sheet'!L35)</f>
        <v>MUSIC INSTR. SITARA</v>
      </c>
    </row>
    <row r="36" spans="1:66">
      <c r="A36" s="519">
        <f>IF('Student DATA Entry'!A32="","",'Student DATA Entry'!A32)</f>
        <v>29</v>
      </c>
      <c r="B36" s="528" t="str">
        <f>IF('Student DATA Entry'!B32="","",'Student DATA Entry'!B32)</f>
        <v/>
      </c>
      <c r="C36" s="125" t="str">
        <f>IF('Student DATA Entry'!D32="","",'Student DATA Entry'!D32)</f>
        <v/>
      </c>
      <c r="D36" s="530" t="str">
        <f>IF('Student DATA Entry'!E32="","",'Student DATA Entry'!E32)</f>
        <v/>
      </c>
      <c r="E36" s="532" t="str">
        <f>IF('Student DATA Entry'!I32="","",'Student DATA Entry'!I32)</f>
        <v/>
      </c>
      <c r="F36" s="126" t="str">
        <f>IF('Student DATA Entry'!F32="","",UPPER('Student DATA Entry'!F32))</f>
        <v/>
      </c>
      <c r="G36" s="126" t="str">
        <f>IF('Student DATA Entry'!G32="","",UPPER('Student DATA Entry'!G32))</f>
        <v/>
      </c>
      <c r="H36" s="126" t="str">
        <f>IF('Student DATA Entry'!H32="","",UPPER('Student DATA Entry'!H32))</f>
        <v/>
      </c>
      <c r="I36" s="526" t="str">
        <f>IF('Student DATA Entry'!K32="","",UPPER('Student DATA Entry'!K32))</f>
        <v/>
      </c>
      <c r="J36" s="560" t="str">
        <f>IF('Student DATA Entry'!J32="","",UPPER('Student DATA Entry'!J32))</f>
        <v/>
      </c>
      <c r="K36" s="103">
        <v>15</v>
      </c>
      <c r="L36" s="19">
        <v>2</v>
      </c>
      <c r="M36" s="19">
        <v>8</v>
      </c>
      <c r="N36" s="52">
        <v>21</v>
      </c>
      <c r="O36" s="104">
        <v>52</v>
      </c>
      <c r="P36" s="103">
        <v>9</v>
      </c>
      <c r="Q36" s="19">
        <v>10</v>
      </c>
      <c r="R36" s="19">
        <v>9</v>
      </c>
      <c r="S36" s="52">
        <v>26</v>
      </c>
      <c r="T36" s="104">
        <v>63</v>
      </c>
      <c r="U36" s="103" t="s">
        <v>44</v>
      </c>
      <c r="V36" s="19">
        <v>10</v>
      </c>
      <c r="W36" s="19">
        <v>5</v>
      </c>
      <c r="X36" s="19">
        <v>7</v>
      </c>
      <c r="Y36" s="52">
        <v>24</v>
      </c>
      <c r="Z36" s="52">
        <v>12</v>
      </c>
      <c r="AA36" s="57">
        <v>45</v>
      </c>
      <c r="AB36" s="564">
        <v>25</v>
      </c>
      <c r="AC36" s="103" t="s">
        <v>44</v>
      </c>
      <c r="AD36" s="19">
        <v>15</v>
      </c>
      <c r="AE36" s="19">
        <v>14</v>
      </c>
      <c r="AF36" s="19"/>
      <c r="AG36" s="52">
        <v>40</v>
      </c>
      <c r="AH36" s="52"/>
      <c r="AI36" s="57">
        <v>49</v>
      </c>
      <c r="AJ36" s="564"/>
      <c r="AK36" s="103" t="s">
        <v>44</v>
      </c>
      <c r="AL36" s="19">
        <v>15</v>
      </c>
      <c r="AM36" s="19">
        <v>12</v>
      </c>
      <c r="AN36" s="19"/>
      <c r="AO36" s="52"/>
      <c r="AP36" s="52"/>
      <c r="AQ36" s="57"/>
      <c r="AR36" s="564"/>
      <c r="AS36" s="18"/>
      <c r="AT36" s="19"/>
      <c r="AU36" s="19"/>
      <c r="AV36" s="19"/>
      <c r="AW36" s="52"/>
      <c r="AX36" s="52"/>
      <c r="AY36" s="57"/>
      <c r="AZ36" s="109"/>
      <c r="BA36" s="109"/>
      <c r="BB36" s="549">
        <v>20</v>
      </c>
      <c r="BC36" s="550">
        <v>30</v>
      </c>
      <c r="BD36" s="104">
        <v>32</v>
      </c>
      <c r="BE36" s="103">
        <v>7</v>
      </c>
      <c r="BF36" s="19">
        <v>7</v>
      </c>
      <c r="BG36" s="19">
        <v>7</v>
      </c>
      <c r="BH36" s="20">
        <v>41</v>
      </c>
      <c r="BI36" s="104">
        <v>68</v>
      </c>
      <c r="BJ36" s="9"/>
      <c r="BN36" s="3" t="str">
        <f>IF('Master Sheet'!L36="","",'Master Sheet'!L36)</f>
        <v>MUSIC INSTR. TABLA</v>
      </c>
    </row>
    <row r="37" spans="1:66">
      <c r="A37" s="519">
        <f>IF('Student DATA Entry'!A33="","",'Student DATA Entry'!A33)</f>
        <v>30</v>
      </c>
      <c r="B37" s="528" t="str">
        <f>IF('Student DATA Entry'!B33="","",'Student DATA Entry'!B33)</f>
        <v/>
      </c>
      <c r="C37" s="125" t="str">
        <f>IF('Student DATA Entry'!D33="","",'Student DATA Entry'!D33)</f>
        <v/>
      </c>
      <c r="D37" s="530" t="str">
        <f>IF('Student DATA Entry'!E33="","",'Student DATA Entry'!E33)</f>
        <v/>
      </c>
      <c r="E37" s="532" t="str">
        <f>IF('Student DATA Entry'!I33="","",'Student DATA Entry'!I33)</f>
        <v/>
      </c>
      <c r="F37" s="126" t="str">
        <f>IF('Student DATA Entry'!F33="","",UPPER('Student DATA Entry'!F33))</f>
        <v/>
      </c>
      <c r="G37" s="126" t="str">
        <f>IF('Student DATA Entry'!G33="","",UPPER('Student DATA Entry'!G33))</f>
        <v/>
      </c>
      <c r="H37" s="126" t="str">
        <f>IF('Student DATA Entry'!H33="","",UPPER('Student DATA Entry'!H33))</f>
        <v/>
      </c>
      <c r="I37" s="526" t="str">
        <f>IF('Student DATA Entry'!K33="","",UPPER('Student DATA Entry'!K33))</f>
        <v/>
      </c>
      <c r="J37" s="560" t="str">
        <f>IF('Student DATA Entry'!J33="","",UPPER('Student DATA Entry'!J33))</f>
        <v/>
      </c>
      <c r="K37" s="103">
        <v>14</v>
      </c>
      <c r="L37" s="19">
        <v>5</v>
      </c>
      <c r="M37" s="19">
        <v>8</v>
      </c>
      <c r="N37" s="52">
        <v>25</v>
      </c>
      <c r="O37" s="104">
        <v>58</v>
      </c>
      <c r="P37" s="103">
        <v>8</v>
      </c>
      <c r="Q37" s="19">
        <v>10</v>
      </c>
      <c r="R37" s="19">
        <v>9</v>
      </c>
      <c r="S37" s="52">
        <v>28</v>
      </c>
      <c r="T37" s="104">
        <v>65</v>
      </c>
      <c r="U37" s="103" t="s">
        <v>44</v>
      </c>
      <c r="V37" s="19">
        <v>10</v>
      </c>
      <c r="W37" s="19">
        <v>10</v>
      </c>
      <c r="X37" s="19">
        <v>7</v>
      </c>
      <c r="Y37" s="52">
        <v>29</v>
      </c>
      <c r="Z37" s="52">
        <v>10</v>
      </c>
      <c r="AA37" s="57">
        <v>40</v>
      </c>
      <c r="AB37" s="564">
        <v>25</v>
      </c>
      <c r="AC37" s="103" t="s">
        <v>44</v>
      </c>
      <c r="AD37" s="19">
        <v>14</v>
      </c>
      <c r="AE37" s="19">
        <v>15</v>
      </c>
      <c r="AF37" s="19"/>
      <c r="AG37" s="52">
        <v>41</v>
      </c>
      <c r="AH37" s="52"/>
      <c r="AI37" s="57">
        <v>50</v>
      </c>
      <c r="AJ37" s="564"/>
      <c r="AK37" s="103" t="s">
        <v>44</v>
      </c>
      <c r="AL37" s="19">
        <v>14</v>
      </c>
      <c r="AM37" s="19">
        <v>13</v>
      </c>
      <c r="AN37" s="19"/>
      <c r="AO37" s="52"/>
      <c r="AP37" s="52"/>
      <c r="AQ37" s="57"/>
      <c r="AR37" s="564"/>
      <c r="AS37" s="18"/>
      <c r="AT37" s="19"/>
      <c r="AU37" s="19"/>
      <c r="AV37" s="19"/>
      <c r="AW37" s="52"/>
      <c r="AX37" s="52"/>
      <c r="AY37" s="57"/>
      <c r="AZ37" s="109"/>
      <c r="BA37" s="109"/>
      <c r="BB37" s="549">
        <v>20</v>
      </c>
      <c r="BC37" s="550">
        <v>30</v>
      </c>
      <c r="BD37" s="104">
        <v>32</v>
      </c>
      <c r="BE37" s="103">
        <v>7</v>
      </c>
      <c r="BF37" s="19">
        <v>7</v>
      </c>
      <c r="BG37" s="19">
        <v>7</v>
      </c>
      <c r="BH37" s="20">
        <v>41</v>
      </c>
      <c r="BI37" s="104">
        <v>70</v>
      </c>
      <c r="BJ37" s="9"/>
      <c r="BN37" s="3" t="str">
        <f>IF('Master Sheet'!L37="","",'Master Sheet'!L37)</f>
        <v xml:space="preserve">MUSIC VOCAL </v>
      </c>
    </row>
    <row r="38" spans="1:66">
      <c r="A38" s="519">
        <f>IF('Student DATA Entry'!A34="","",'Student DATA Entry'!A34)</f>
        <v>31</v>
      </c>
      <c r="B38" s="528" t="str">
        <f>IF('Student DATA Entry'!B34="","",'Student DATA Entry'!B34)</f>
        <v/>
      </c>
      <c r="C38" s="125" t="str">
        <f>IF('Student DATA Entry'!D34="","",'Student DATA Entry'!D34)</f>
        <v/>
      </c>
      <c r="D38" s="530" t="str">
        <f>IF('Student DATA Entry'!E34="","",'Student DATA Entry'!E34)</f>
        <v/>
      </c>
      <c r="E38" s="532" t="str">
        <f>IF('Student DATA Entry'!I34="","",'Student DATA Entry'!I34)</f>
        <v/>
      </c>
      <c r="F38" s="126" t="str">
        <f>IF('Student DATA Entry'!F34="","",UPPER('Student DATA Entry'!F34))</f>
        <v/>
      </c>
      <c r="G38" s="126" t="str">
        <f>IF('Student DATA Entry'!G34="","",UPPER('Student DATA Entry'!G34))</f>
        <v/>
      </c>
      <c r="H38" s="126" t="str">
        <f>IF('Student DATA Entry'!H34="","",UPPER('Student DATA Entry'!H34))</f>
        <v/>
      </c>
      <c r="I38" s="526" t="str">
        <f>IF('Student DATA Entry'!K34="","",UPPER('Student DATA Entry'!K34))</f>
        <v/>
      </c>
      <c r="J38" s="560" t="str">
        <f>IF('Student DATA Entry'!J34="","",UPPER('Student DATA Entry'!J34))</f>
        <v/>
      </c>
      <c r="K38" s="103"/>
      <c r="L38" s="19"/>
      <c r="M38" s="19"/>
      <c r="N38" s="52"/>
      <c r="O38" s="104"/>
      <c r="P38" s="103"/>
      <c r="Q38" s="19"/>
      <c r="R38" s="19"/>
      <c r="S38" s="52"/>
      <c r="T38" s="104"/>
      <c r="U38" s="103"/>
      <c r="V38" s="19"/>
      <c r="W38" s="19"/>
      <c r="X38" s="19"/>
      <c r="Y38" s="52"/>
      <c r="Z38" s="52"/>
      <c r="AA38" s="57"/>
      <c r="AB38" s="564"/>
      <c r="AC38" s="103"/>
      <c r="AD38" s="19"/>
      <c r="AE38" s="19"/>
      <c r="AF38" s="19"/>
      <c r="AG38" s="52"/>
      <c r="AH38" s="52"/>
      <c r="AI38" s="57"/>
      <c r="AJ38" s="564"/>
      <c r="AK38" s="103"/>
      <c r="AL38" s="19"/>
      <c r="AM38" s="19"/>
      <c r="AN38" s="19"/>
      <c r="AO38" s="52"/>
      <c r="AP38" s="52"/>
      <c r="AQ38" s="57"/>
      <c r="AR38" s="564"/>
      <c r="AS38" s="18"/>
      <c r="AT38" s="19"/>
      <c r="AU38" s="19"/>
      <c r="AV38" s="19"/>
      <c r="AW38" s="52"/>
      <c r="AX38" s="52"/>
      <c r="AY38" s="57"/>
      <c r="AZ38" s="109"/>
      <c r="BA38" s="109"/>
      <c r="BB38" s="549"/>
      <c r="BC38" s="550"/>
      <c r="BD38" s="104"/>
      <c r="BE38" s="103">
        <v>7</v>
      </c>
      <c r="BF38" s="19">
        <v>7</v>
      </c>
      <c r="BG38" s="19">
        <v>7</v>
      </c>
      <c r="BH38" s="20">
        <v>41</v>
      </c>
      <c r="BI38" s="104">
        <v>70</v>
      </c>
      <c r="BJ38" s="9"/>
      <c r="BN38" s="3" t="str">
        <f>IF('Master Sheet'!L38="","",'Master Sheet'!L38)</f>
        <v/>
      </c>
    </row>
    <row r="39" spans="1:66">
      <c r="A39" s="519">
        <f>IF('Student DATA Entry'!A35="","",'Student DATA Entry'!A35)</f>
        <v>32</v>
      </c>
      <c r="B39" s="528" t="str">
        <f>IF('Student DATA Entry'!B35="","",'Student DATA Entry'!B35)</f>
        <v/>
      </c>
      <c r="C39" s="125" t="str">
        <f>IF('Student DATA Entry'!D35="","",'Student DATA Entry'!D35)</f>
        <v/>
      </c>
      <c r="D39" s="530" t="str">
        <f>IF('Student DATA Entry'!E35="","",'Student DATA Entry'!E35)</f>
        <v/>
      </c>
      <c r="E39" s="532" t="str">
        <f>IF('Student DATA Entry'!I35="","",'Student DATA Entry'!I35)</f>
        <v/>
      </c>
      <c r="F39" s="126" t="str">
        <f>IF('Student DATA Entry'!F35="","",UPPER('Student DATA Entry'!F35))</f>
        <v/>
      </c>
      <c r="G39" s="126" t="str">
        <f>IF('Student DATA Entry'!G35="","",UPPER('Student DATA Entry'!G35))</f>
        <v/>
      </c>
      <c r="H39" s="126" t="str">
        <f>IF('Student DATA Entry'!H35="","",UPPER('Student DATA Entry'!H35))</f>
        <v/>
      </c>
      <c r="I39" s="526" t="str">
        <f>IF('Student DATA Entry'!K35="","",UPPER('Student DATA Entry'!K35))</f>
        <v/>
      </c>
      <c r="J39" s="560" t="str">
        <f>IF('Student DATA Entry'!J35="","",UPPER('Student DATA Entry'!J35))</f>
        <v/>
      </c>
      <c r="K39" s="103"/>
      <c r="L39" s="19"/>
      <c r="M39" s="19"/>
      <c r="N39" s="52"/>
      <c r="O39" s="104"/>
      <c r="P39" s="103"/>
      <c r="Q39" s="19"/>
      <c r="R39" s="19"/>
      <c r="S39" s="52"/>
      <c r="T39" s="104"/>
      <c r="U39" s="103"/>
      <c r="V39" s="19"/>
      <c r="W39" s="19"/>
      <c r="X39" s="19"/>
      <c r="Y39" s="52"/>
      <c r="Z39" s="52"/>
      <c r="AA39" s="57"/>
      <c r="AB39" s="564"/>
      <c r="AC39" s="103"/>
      <c r="AD39" s="19"/>
      <c r="AE39" s="19"/>
      <c r="AF39" s="19"/>
      <c r="AG39" s="52"/>
      <c r="AH39" s="52"/>
      <c r="AI39" s="57"/>
      <c r="AJ39" s="564"/>
      <c r="AK39" s="103"/>
      <c r="AL39" s="19"/>
      <c r="AM39" s="19"/>
      <c r="AN39" s="19"/>
      <c r="AO39" s="52"/>
      <c r="AP39" s="52"/>
      <c r="AQ39" s="57"/>
      <c r="AR39" s="564"/>
      <c r="AS39" s="18"/>
      <c r="AT39" s="19"/>
      <c r="AU39" s="19"/>
      <c r="AV39" s="19"/>
      <c r="AW39" s="52"/>
      <c r="AX39" s="52"/>
      <c r="AY39" s="57"/>
      <c r="AZ39" s="109"/>
      <c r="BA39" s="109"/>
      <c r="BB39" s="549"/>
      <c r="BC39" s="550"/>
      <c r="BD39" s="104"/>
      <c r="BE39" s="103"/>
      <c r="BF39" s="19"/>
      <c r="BG39" s="19"/>
      <c r="BH39" s="20"/>
      <c r="BI39" s="104"/>
      <c r="BJ39" s="9"/>
      <c r="BN39" s="3" t="e">
        <f>IF('Master Sheet'!#REF!="","",'Master Sheet'!#REF!)</f>
        <v>#REF!</v>
      </c>
    </row>
    <row r="40" spans="1:66">
      <c r="A40" s="519">
        <f>IF('Student DATA Entry'!A36="","",'Student DATA Entry'!A36)</f>
        <v>33</v>
      </c>
      <c r="B40" s="528" t="str">
        <f>IF('Student DATA Entry'!B36="","",'Student DATA Entry'!B36)</f>
        <v/>
      </c>
      <c r="C40" s="125" t="str">
        <f>IF('Student DATA Entry'!D36="","",'Student DATA Entry'!D36)</f>
        <v/>
      </c>
      <c r="D40" s="530" t="str">
        <f>IF('Student DATA Entry'!E36="","",'Student DATA Entry'!E36)</f>
        <v/>
      </c>
      <c r="E40" s="532" t="str">
        <f>IF('Student DATA Entry'!I36="","",'Student DATA Entry'!I36)</f>
        <v/>
      </c>
      <c r="F40" s="126" t="str">
        <f>IF('Student DATA Entry'!F36="","",UPPER('Student DATA Entry'!F36))</f>
        <v/>
      </c>
      <c r="G40" s="126" t="str">
        <f>IF('Student DATA Entry'!G36="","",UPPER('Student DATA Entry'!G36))</f>
        <v/>
      </c>
      <c r="H40" s="126" t="str">
        <f>IF('Student DATA Entry'!H36="","",UPPER('Student DATA Entry'!H36))</f>
        <v/>
      </c>
      <c r="I40" s="526" t="str">
        <f>IF('Student DATA Entry'!K36="","",UPPER('Student DATA Entry'!K36))</f>
        <v/>
      </c>
      <c r="J40" s="560" t="str">
        <f>IF('Student DATA Entry'!J36="","",UPPER('Student DATA Entry'!J36))</f>
        <v/>
      </c>
      <c r="K40" s="103"/>
      <c r="L40" s="19"/>
      <c r="M40" s="19"/>
      <c r="N40" s="52"/>
      <c r="O40" s="104"/>
      <c r="P40" s="103"/>
      <c r="Q40" s="19"/>
      <c r="R40" s="19"/>
      <c r="S40" s="52"/>
      <c r="T40" s="104"/>
      <c r="U40" s="103"/>
      <c r="V40" s="19"/>
      <c r="W40" s="19"/>
      <c r="X40" s="19"/>
      <c r="Y40" s="52"/>
      <c r="Z40" s="52"/>
      <c r="AA40" s="57"/>
      <c r="AB40" s="564"/>
      <c r="AC40" s="103"/>
      <c r="AD40" s="19"/>
      <c r="AE40" s="19"/>
      <c r="AF40" s="19"/>
      <c r="AG40" s="52"/>
      <c r="AH40" s="52"/>
      <c r="AI40" s="57"/>
      <c r="AJ40" s="564"/>
      <c r="AK40" s="103"/>
      <c r="AL40" s="19"/>
      <c r="AM40" s="19"/>
      <c r="AN40" s="19"/>
      <c r="AO40" s="52"/>
      <c r="AP40" s="52"/>
      <c r="AQ40" s="57"/>
      <c r="AR40" s="564"/>
      <c r="AS40" s="18"/>
      <c r="AT40" s="19"/>
      <c r="AU40" s="19"/>
      <c r="AV40" s="19"/>
      <c r="AW40" s="52"/>
      <c r="AX40" s="52"/>
      <c r="AY40" s="57"/>
      <c r="AZ40" s="109"/>
      <c r="BA40" s="109"/>
      <c r="BB40" s="549"/>
      <c r="BC40" s="550"/>
      <c r="BD40" s="104"/>
      <c r="BE40" s="103"/>
      <c r="BF40" s="19"/>
      <c r="BG40" s="19"/>
      <c r="BH40" s="20"/>
      <c r="BI40" s="104"/>
      <c r="BJ40" s="9"/>
      <c r="BN40" s="3" t="e">
        <f>IF('Master Sheet'!#REF!="","",'Master Sheet'!#REF!)</f>
        <v>#REF!</v>
      </c>
    </row>
    <row r="41" spans="1:66">
      <c r="A41" s="519">
        <f>IF('Student DATA Entry'!A37="","",'Student DATA Entry'!A37)</f>
        <v>34</v>
      </c>
      <c r="B41" s="528" t="str">
        <f>IF('Student DATA Entry'!B37="","",'Student DATA Entry'!B37)</f>
        <v/>
      </c>
      <c r="C41" s="125" t="str">
        <f>IF('Student DATA Entry'!D37="","",'Student DATA Entry'!D37)</f>
        <v/>
      </c>
      <c r="D41" s="530" t="str">
        <f>IF('Student DATA Entry'!E37="","",'Student DATA Entry'!E37)</f>
        <v/>
      </c>
      <c r="E41" s="532" t="str">
        <f>IF('Student DATA Entry'!I37="","",'Student DATA Entry'!I37)</f>
        <v/>
      </c>
      <c r="F41" s="126" t="str">
        <f>IF('Student DATA Entry'!F37="","",UPPER('Student DATA Entry'!F37))</f>
        <v/>
      </c>
      <c r="G41" s="126" t="str">
        <f>IF('Student DATA Entry'!G37="","",UPPER('Student DATA Entry'!G37))</f>
        <v/>
      </c>
      <c r="H41" s="126" t="str">
        <f>IF('Student DATA Entry'!H37="","",UPPER('Student DATA Entry'!H37))</f>
        <v/>
      </c>
      <c r="I41" s="526" t="str">
        <f>IF('Student DATA Entry'!K37="","",UPPER('Student DATA Entry'!K37))</f>
        <v/>
      </c>
      <c r="J41" s="560" t="str">
        <f>IF('Student DATA Entry'!J37="","",UPPER('Student DATA Entry'!J37))</f>
        <v/>
      </c>
      <c r="K41" s="103"/>
      <c r="L41" s="19"/>
      <c r="M41" s="19"/>
      <c r="N41" s="52"/>
      <c r="O41" s="104"/>
      <c r="P41" s="103"/>
      <c r="Q41" s="19"/>
      <c r="R41" s="19"/>
      <c r="S41" s="52"/>
      <c r="T41" s="104"/>
      <c r="U41" s="103"/>
      <c r="V41" s="19"/>
      <c r="W41" s="19"/>
      <c r="X41" s="19"/>
      <c r="Y41" s="52"/>
      <c r="Z41" s="52"/>
      <c r="AA41" s="57"/>
      <c r="AB41" s="564"/>
      <c r="AC41" s="103"/>
      <c r="AD41" s="19"/>
      <c r="AE41" s="19"/>
      <c r="AF41" s="19"/>
      <c r="AG41" s="52"/>
      <c r="AH41" s="52"/>
      <c r="AI41" s="57"/>
      <c r="AJ41" s="564"/>
      <c r="AK41" s="103"/>
      <c r="AL41" s="19"/>
      <c r="AM41" s="19"/>
      <c r="AN41" s="19"/>
      <c r="AO41" s="52"/>
      <c r="AP41" s="52"/>
      <c r="AQ41" s="57"/>
      <c r="AR41" s="564"/>
      <c r="AS41" s="18"/>
      <c r="AT41" s="19"/>
      <c r="AU41" s="19"/>
      <c r="AV41" s="19"/>
      <c r="AW41" s="52"/>
      <c r="AX41" s="52"/>
      <c r="AY41" s="57"/>
      <c r="AZ41" s="109"/>
      <c r="BA41" s="109"/>
      <c r="BB41" s="549"/>
      <c r="BC41" s="550"/>
      <c r="BD41" s="104"/>
      <c r="BE41" s="103"/>
      <c r="BF41" s="19"/>
      <c r="BG41" s="19"/>
      <c r="BH41" s="20"/>
      <c r="BI41" s="104"/>
      <c r="BJ41" s="9"/>
      <c r="BN41" s="3" t="e">
        <f>IF('Master Sheet'!#REF!="","",'Master Sheet'!#REF!)</f>
        <v>#REF!</v>
      </c>
    </row>
    <row r="42" spans="1:66">
      <c r="A42" s="519">
        <f>IF('Student DATA Entry'!A38="","",'Student DATA Entry'!A38)</f>
        <v>35</v>
      </c>
      <c r="B42" s="528" t="str">
        <f>IF('Student DATA Entry'!B38="","",'Student DATA Entry'!B38)</f>
        <v/>
      </c>
      <c r="C42" s="125" t="str">
        <f>IF('Student DATA Entry'!D38="","",'Student DATA Entry'!D38)</f>
        <v/>
      </c>
      <c r="D42" s="530" t="str">
        <f>IF('Student DATA Entry'!E38="","",'Student DATA Entry'!E38)</f>
        <v/>
      </c>
      <c r="E42" s="532" t="str">
        <f>IF('Student DATA Entry'!I38="","",'Student DATA Entry'!I38)</f>
        <v/>
      </c>
      <c r="F42" s="126" t="str">
        <f>IF('Student DATA Entry'!F38="","",UPPER('Student DATA Entry'!F38))</f>
        <v/>
      </c>
      <c r="G42" s="126" t="str">
        <f>IF('Student DATA Entry'!G38="","",UPPER('Student DATA Entry'!G38))</f>
        <v/>
      </c>
      <c r="H42" s="126" t="str">
        <f>IF('Student DATA Entry'!H38="","",UPPER('Student DATA Entry'!H38))</f>
        <v/>
      </c>
      <c r="I42" s="526" t="str">
        <f>IF('Student DATA Entry'!K38="","",UPPER('Student DATA Entry'!K38))</f>
        <v/>
      </c>
      <c r="J42" s="560" t="str">
        <f>IF('Student DATA Entry'!J38="","",UPPER('Student DATA Entry'!J38))</f>
        <v/>
      </c>
      <c r="K42" s="103"/>
      <c r="L42" s="19"/>
      <c r="M42" s="19"/>
      <c r="N42" s="52"/>
      <c r="O42" s="104"/>
      <c r="P42" s="103"/>
      <c r="Q42" s="19"/>
      <c r="R42" s="19"/>
      <c r="S42" s="52"/>
      <c r="T42" s="104"/>
      <c r="U42" s="103"/>
      <c r="V42" s="19"/>
      <c r="W42" s="19"/>
      <c r="X42" s="19"/>
      <c r="Y42" s="52"/>
      <c r="Z42" s="52"/>
      <c r="AA42" s="57"/>
      <c r="AB42" s="564"/>
      <c r="AC42" s="103"/>
      <c r="AD42" s="19"/>
      <c r="AE42" s="19"/>
      <c r="AF42" s="19"/>
      <c r="AG42" s="52"/>
      <c r="AH42" s="52"/>
      <c r="AI42" s="57"/>
      <c r="AJ42" s="564"/>
      <c r="AK42" s="103"/>
      <c r="AL42" s="19"/>
      <c r="AM42" s="19"/>
      <c r="AN42" s="19"/>
      <c r="AO42" s="52"/>
      <c r="AP42" s="52"/>
      <c r="AQ42" s="57"/>
      <c r="AR42" s="564"/>
      <c r="AS42" s="18"/>
      <c r="AT42" s="19"/>
      <c r="AU42" s="19"/>
      <c r="AV42" s="19"/>
      <c r="AW42" s="52"/>
      <c r="AX42" s="52"/>
      <c r="AY42" s="57"/>
      <c r="AZ42" s="109"/>
      <c r="BA42" s="109"/>
      <c r="BB42" s="549"/>
      <c r="BC42" s="550"/>
      <c r="BD42" s="104"/>
      <c r="BE42" s="103"/>
      <c r="BF42" s="19"/>
      <c r="BG42" s="19"/>
      <c r="BH42" s="20"/>
      <c r="BI42" s="104"/>
      <c r="BJ42" s="9"/>
      <c r="BN42" s="3" t="e">
        <f>IF('Master Sheet'!#REF!="","",'Master Sheet'!#REF!)</f>
        <v>#REF!</v>
      </c>
    </row>
    <row r="43" spans="1:66">
      <c r="A43" s="519">
        <f>IF('Student DATA Entry'!A39="","",'Student DATA Entry'!A39)</f>
        <v>36</v>
      </c>
      <c r="B43" s="528" t="str">
        <f>IF('Student DATA Entry'!B39="","",'Student DATA Entry'!B39)</f>
        <v/>
      </c>
      <c r="C43" s="125" t="str">
        <f>IF('Student DATA Entry'!D39="","",'Student DATA Entry'!D39)</f>
        <v/>
      </c>
      <c r="D43" s="530" t="str">
        <f>IF('Student DATA Entry'!E39="","",'Student DATA Entry'!E39)</f>
        <v/>
      </c>
      <c r="E43" s="532" t="str">
        <f>IF('Student DATA Entry'!I39="","",'Student DATA Entry'!I39)</f>
        <v/>
      </c>
      <c r="F43" s="126" t="str">
        <f>IF('Student DATA Entry'!F39="","",UPPER('Student DATA Entry'!F39))</f>
        <v/>
      </c>
      <c r="G43" s="126" t="str">
        <f>IF('Student DATA Entry'!G39="","",UPPER('Student DATA Entry'!G39))</f>
        <v/>
      </c>
      <c r="H43" s="126" t="str">
        <f>IF('Student DATA Entry'!H39="","",UPPER('Student DATA Entry'!H39))</f>
        <v/>
      </c>
      <c r="I43" s="526" t="str">
        <f>IF('Student DATA Entry'!K39="","",UPPER('Student DATA Entry'!K39))</f>
        <v/>
      </c>
      <c r="J43" s="560" t="str">
        <f>IF('Student DATA Entry'!J39="","",UPPER('Student DATA Entry'!J39))</f>
        <v/>
      </c>
      <c r="K43" s="103"/>
      <c r="L43" s="19"/>
      <c r="M43" s="19"/>
      <c r="N43" s="52"/>
      <c r="O43" s="104"/>
      <c r="P43" s="103"/>
      <c r="Q43" s="19"/>
      <c r="R43" s="19"/>
      <c r="S43" s="52"/>
      <c r="T43" s="104"/>
      <c r="U43" s="103"/>
      <c r="V43" s="19"/>
      <c r="W43" s="19"/>
      <c r="X43" s="19"/>
      <c r="Y43" s="52"/>
      <c r="Z43" s="52"/>
      <c r="AA43" s="57"/>
      <c r="AB43" s="564"/>
      <c r="AC43" s="103"/>
      <c r="AD43" s="19"/>
      <c r="AE43" s="19"/>
      <c r="AF43" s="19"/>
      <c r="AG43" s="52"/>
      <c r="AH43" s="52"/>
      <c r="AI43" s="57"/>
      <c r="AJ43" s="564"/>
      <c r="AK43" s="103"/>
      <c r="AL43" s="19"/>
      <c r="AM43" s="19"/>
      <c r="AN43" s="19"/>
      <c r="AO43" s="52"/>
      <c r="AP43" s="52"/>
      <c r="AQ43" s="57"/>
      <c r="AR43" s="564"/>
      <c r="AS43" s="18"/>
      <c r="AT43" s="19"/>
      <c r="AU43" s="19"/>
      <c r="AV43" s="19"/>
      <c r="AW43" s="52"/>
      <c r="AX43" s="52"/>
      <c r="AY43" s="57"/>
      <c r="AZ43" s="109"/>
      <c r="BA43" s="109"/>
      <c r="BB43" s="549"/>
      <c r="BC43" s="550"/>
      <c r="BD43" s="104"/>
      <c r="BE43" s="103"/>
      <c r="BF43" s="19"/>
      <c r="BG43" s="19"/>
      <c r="BH43" s="20"/>
      <c r="BI43" s="104"/>
      <c r="BJ43" s="9"/>
      <c r="BN43" s="3" t="e">
        <f>IF('Master Sheet'!#REF!="","",'Master Sheet'!#REF!)</f>
        <v>#REF!</v>
      </c>
    </row>
    <row r="44" spans="1:66">
      <c r="A44" s="519">
        <f>IF('Student DATA Entry'!A40="","",'Student DATA Entry'!A40)</f>
        <v>37</v>
      </c>
      <c r="B44" s="528" t="str">
        <f>IF('Student DATA Entry'!B40="","",'Student DATA Entry'!B40)</f>
        <v/>
      </c>
      <c r="C44" s="125" t="str">
        <f>IF('Student DATA Entry'!D40="","",'Student DATA Entry'!D40)</f>
        <v/>
      </c>
      <c r="D44" s="530" t="str">
        <f>IF('Student DATA Entry'!E40="","",'Student DATA Entry'!E40)</f>
        <v/>
      </c>
      <c r="E44" s="532" t="str">
        <f>IF('Student DATA Entry'!I40="","",'Student DATA Entry'!I40)</f>
        <v/>
      </c>
      <c r="F44" s="126" t="str">
        <f>IF('Student DATA Entry'!F40="","",UPPER('Student DATA Entry'!F40))</f>
        <v/>
      </c>
      <c r="G44" s="126" t="str">
        <f>IF('Student DATA Entry'!G40="","",UPPER('Student DATA Entry'!G40))</f>
        <v/>
      </c>
      <c r="H44" s="126" t="str">
        <f>IF('Student DATA Entry'!H40="","",UPPER('Student DATA Entry'!H40))</f>
        <v/>
      </c>
      <c r="I44" s="526" t="str">
        <f>IF('Student DATA Entry'!K40="","",UPPER('Student DATA Entry'!K40))</f>
        <v/>
      </c>
      <c r="J44" s="560" t="str">
        <f>IF('Student DATA Entry'!J40="","",UPPER('Student DATA Entry'!J40))</f>
        <v/>
      </c>
      <c r="K44" s="103"/>
      <c r="L44" s="19"/>
      <c r="M44" s="19"/>
      <c r="N44" s="52"/>
      <c r="O44" s="104"/>
      <c r="P44" s="103"/>
      <c r="Q44" s="19"/>
      <c r="R44" s="19"/>
      <c r="S44" s="52"/>
      <c r="T44" s="104"/>
      <c r="U44" s="103"/>
      <c r="V44" s="19"/>
      <c r="W44" s="19"/>
      <c r="X44" s="19"/>
      <c r="Y44" s="52"/>
      <c r="Z44" s="52"/>
      <c r="AA44" s="57"/>
      <c r="AB44" s="564"/>
      <c r="AC44" s="103"/>
      <c r="AD44" s="19"/>
      <c r="AE44" s="19"/>
      <c r="AF44" s="19"/>
      <c r="AG44" s="52"/>
      <c r="AH44" s="52"/>
      <c r="AI44" s="57"/>
      <c r="AJ44" s="564"/>
      <c r="AK44" s="103"/>
      <c r="AL44" s="19"/>
      <c r="AM44" s="19"/>
      <c r="AN44" s="19"/>
      <c r="AO44" s="52"/>
      <c r="AP44" s="52"/>
      <c r="AQ44" s="57"/>
      <c r="AR44" s="564"/>
      <c r="AS44" s="18"/>
      <c r="AT44" s="19"/>
      <c r="AU44" s="19"/>
      <c r="AV44" s="19"/>
      <c r="AW44" s="52"/>
      <c r="AX44" s="52"/>
      <c r="AY44" s="57"/>
      <c r="AZ44" s="109"/>
      <c r="BA44" s="109"/>
      <c r="BB44" s="549"/>
      <c r="BC44" s="550"/>
      <c r="BD44" s="104"/>
      <c r="BE44" s="103"/>
      <c r="BF44" s="19"/>
      <c r="BG44" s="19"/>
      <c r="BH44" s="20"/>
      <c r="BI44" s="104"/>
      <c r="BJ44" s="9"/>
      <c r="BN44" s="3" t="e">
        <f>IF('Master Sheet'!#REF!="","",'Master Sheet'!#REF!)</f>
        <v>#REF!</v>
      </c>
    </row>
    <row r="45" spans="1:66">
      <c r="A45" s="519">
        <f>IF('Student DATA Entry'!A41="","",'Student DATA Entry'!A41)</f>
        <v>38</v>
      </c>
      <c r="B45" s="528" t="str">
        <f>IF('Student DATA Entry'!B41="","",'Student DATA Entry'!B41)</f>
        <v/>
      </c>
      <c r="C45" s="125" t="str">
        <f>IF('Student DATA Entry'!D41="","",'Student DATA Entry'!D41)</f>
        <v/>
      </c>
      <c r="D45" s="530" t="str">
        <f>IF('Student DATA Entry'!E41="","",'Student DATA Entry'!E41)</f>
        <v/>
      </c>
      <c r="E45" s="532" t="str">
        <f>IF('Student DATA Entry'!I41="","",'Student DATA Entry'!I41)</f>
        <v/>
      </c>
      <c r="F45" s="126" t="str">
        <f>IF('Student DATA Entry'!F41="","",UPPER('Student DATA Entry'!F41))</f>
        <v/>
      </c>
      <c r="G45" s="126" t="str">
        <f>IF('Student DATA Entry'!G41="","",UPPER('Student DATA Entry'!G41))</f>
        <v/>
      </c>
      <c r="H45" s="126" t="str">
        <f>IF('Student DATA Entry'!H41="","",UPPER('Student DATA Entry'!H41))</f>
        <v/>
      </c>
      <c r="I45" s="526" t="str">
        <f>IF('Student DATA Entry'!K41="","",UPPER('Student DATA Entry'!K41))</f>
        <v/>
      </c>
      <c r="J45" s="560" t="str">
        <f>IF('Student DATA Entry'!J41="","",UPPER('Student DATA Entry'!J41))</f>
        <v/>
      </c>
      <c r="K45" s="103"/>
      <c r="L45" s="19"/>
      <c r="M45" s="19"/>
      <c r="N45" s="52"/>
      <c r="O45" s="104"/>
      <c r="P45" s="103"/>
      <c r="Q45" s="19"/>
      <c r="R45" s="19"/>
      <c r="S45" s="52"/>
      <c r="T45" s="104"/>
      <c r="U45" s="103"/>
      <c r="V45" s="19"/>
      <c r="W45" s="19"/>
      <c r="X45" s="19"/>
      <c r="Y45" s="52"/>
      <c r="Z45" s="52"/>
      <c r="AA45" s="57"/>
      <c r="AB45" s="564"/>
      <c r="AC45" s="103"/>
      <c r="AD45" s="19"/>
      <c r="AE45" s="19"/>
      <c r="AF45" s="19"/>
      <c r="AG45" s="52"/>
      <c r="AH45" s="52"/>
      <c r="AI45" s="57"/>
      <c r="AJ45" s="564"/>
      <c r="AK45" s="103"/>
      <c r="AL45" s="19"/>
      <c r="AM45" s="19"/>
      <c r="AN45" s="19"/>
      <c r="AO45" s="52"/>
      <c r="AP45" s="52"/>
      <c r="AQ45" s="57"/>
      <c r="AR45" s="564"/>
      <c r="AS45" s="18"/>
      <c r="AT45" s="19"/>
      <c r="AU45" s="19"/>
      <c r="AV45" s="19"/>
      <c r="AW45" s="52"/>
      <c r="AX45" s="52"/>
      <c r="AY45" s="57"/>
      <c r="AZ45" s="109"/>
      <c r="BA45" s="109"/>
      <c r="BB45" s="549"/>
      <c r="BC45" s="550"/>
      <c r="BD45" s="104"/>
      <c r="BE45" s="103"/>
      <c r="BF45" s="19"/>
      <c r="BG45" s="19"/>
      <c r="BH45" s="20"/>
      <c r="BI45" s="104"/>
      <c r="BJ45" s="9"/>
      <c r="BN45" s="3" t="e">
        <f>IF('Master Sheet'!#REF!="","",'Master Sheet'!#REF!)</f>
        <v>#REF!</v>
      </c>
    </row>
    <row r="46" spans="1:66">
      <c r="A46" s="519">
        <f>IF('Student DATA Entry'!A42="","",'Student DATA Entry'!A42)</f>
        <v>39</v>
      </c>
      <c r="B46" s="528" t="str">
        <f>IF('Student DATA Entry'!B42="","",'Student DATA Entry'!B42)</f>
        <v/>
      </c>
      <c r="C46" s="125" t="str">
        <f>IF('Student DATA Entry'!D42="","",'Student DATA Entry'!D42)</f>
        <v/>
      </c>
      <c r="D46" s="530" t="str">
        <f>IF('Student DATA Entry'!E42="","",'Student DATA Entry'!E42)</f>
        <v/>
      </c>
      <c r="E46" s="532" t="str">
        <f>IF('Student DATA Entry'!I42="","",'Student DATA Entry'!I42)</f>
        <v/>
      </c>
      <c r="F46" s="126" t="str">
        <f>IF('Student DATA Entry'!F42="","",UPPER('Student DATA Entry'!F42))</f>
        <v/>
      </c>
      <c r="G46" s="126" t="str">
        <f>IF('Student DATA Entry'!G42="","",UPPER('Student DATA Entry'!G42))</f>
        <v/>
      </c>
      <c r="H46" s="126" t="str">
        <f>IF('Student DATA Entry'!H42="","",UPPER('Student DATA Entry'!H42))</f>
        <v/>
      </c>
      <c r="I46" s="526" t="str">
        <f>IF('Student DATA Entry'!K42="","",UPPER('Student DATA Entry'!K42))</f>
        <v/>
      </c>
      <c r="J46" s="560" t="str">
        <f>IF('Student DATA Entry'!J42="","",UPPER('Student DATA Entry'!J42))</f>
        <v/>
      </c>
      <c r="K46" s="103"/>
      <c r="L46" s="19"/>
      <c r="M46" s="19"/>
      <c r="N46" s="52"/>
      <c r="O46" s="104"/>
      <c r="P46" s="103"/>
      <c r="Q46" s="19"/>
      <c r="R46" s="19"/>
      <c r="S46" s="52"/>
      <c r="T46" s="104"/>
      <c r="U46" s="103"/>
      <c r="V46" s="19"/>
      <c r="W46" s="19"/>
      <c r="X46" s="19"/>
      <c r="Y46" s="52"/>
      <c r="Z46" s="52"/>
      <c r="AA46" s="57"/>
      <c r="AB46" s="564"/>
      <c r="AC46" s="103"/>
      <c r="AD46" s="19"/>
      <c r="AE46" s="19"/>
      <c r="AF46" s="19"/>
      <c r="AG46" s="52"/>
      <c r="AH46" s="52"/>
      <c r="AI46" s="57"/>
      <c r="AJ46" s="564"/>
      <c r="AK46" s="103"/>
      <c r="AL46" s="19"/>
      <c r="AM46" s="19"/>
      <c r="AN46" s="19"/>
      <c r="AO46" s="52"/>
      <c r="AP46" s="52"/>
      <c r="AQ46" s="57"/>
      <c r="AR46" s="564"/>
      <c r="AS46" s="18"/>
      <c r="AT46" s="19"/>
      <c r="AU46" s="19"/>
      <c r="AV46" s="19"/>
      <c r="AW46" s="52"/>
      <c r="AX46" s="52"/>
      <c r="AY46" s="57"/>
      <c r="AZ46" s="109"/>
      <c r="BA46" s="109"/>
      <c r="BB46" s="549"/>
      <c r="BC46" s="550"/>
      <c r="BD46" s="104"/>
      <c r="BE46" s="103"/>
      <c r="BF46" s="19"/>
      <c r="BG46" s="19"/>
      <c r="BH46" s="20"/>
      <c r="BI46" s="104"/>
      <c r="BJ46" s="9"/>
      <c r="BN46" s="3" t="e">
        <f>IF('Master Sheet'!#REF!="","",'Master Sheet'!#REF!)</f>
        <v>#REF!</v>
      </c>
    </row>
    <row r="47" spans="1:66">
      <c r="A47" s="519">
        <f>IF('Student DATA Entry'!A43="","",'Student DATA Entry'!A43)</f>
        <v>40</v>
      </c>
      <c r="B47" s="528" t="str">
        <f>IF('Student DATA Entry'!B43="","",'Student DATA Entry'!B43)</f>
        <v/>
      </c>
      <c r="C47" s="125" t="str">
        <f>IF('Student DATA Entry'!D43="","",'Student DATA Entry'!D43)</f>
        <v/>
      </c>
      <c r="D47" s="530" t="str">
        <f>IF('Student DATA Entry'!E43="","",'Student DATA Entry'!E43)</f>
        <v/>
      </c>
      <c r="E47" s="532" t="str">
        <f>IF('Student DATA Entry'!I43="","",'Student DATA Entry'!I43)</f>
        <v/>
      </c>
      <c r="F47" s="126" t="str">
        <f>IF('Student DATA Entry'!F43="","",UPPER('Student DATA Entry'!F43))</f>
        <v/>
      </c>
      <c r="G47" s="126" t="str">
        <f>IF('Student DATA Entry'!G43="","",UPPER('Student DATA Entry'!G43))</f>
        <v/>
      </c>
      <c r="H47" s="126" t="str">
        <f>IF('Student DATA Entry'!H43="","",UPPER('Student DATA Entry'!H43))</f>
        <v/>
      </c>
      <c r="I47" s="526" t="str">
        <f>IF('Student DATA Entry'!K43="","",UPPER('Student DATA Entry'!K43))</f>
        <v/>
      </c>
      <c r="J47" s="560" t="str">
        <f>IF('Student DATA Entry'!J43="","",UPPER('Student DATA Entry'!J43))</f>
        <v/>
      </c>
      <c r="K47" s="103"/>
      <c r="L47" s="19"/>
      <c r="M47" s="19"/>
      <c r="N47" s="52"/>
      <c r="O47" s="104"/>
      <c r="P47" s="103"/>
      <c r="Q47" s="19"/>
      <c r="R47" s="19"/>
      <c r="S47" s="52"/>
      <c r="T47" s="104"/>
      <c r="U47" s="103"/>
      <c r="V47" s="19"/>
      <c r="W47" s="19"/>
      <c r="X47" s="19"/>
      <c r="Y47" s="52"/>
      <c r="Z47" s="52"/>
      <c r="AA47" s="57"/>
      <c r="AB47" s="564"/>
      <c r="AC47" s="103"/>
      <c r="AD47" s="19"/>
      <c r="AE47" s="19"/>
      <c r="AF47" s="19"/>
      <c r="AG47" s="52"/>
      <c r="AH47" s="52"/>
      <c r="AI47" s="57"/>
      <c r="AJ47" s="564"/>
      <c r="AK47" s="103"/>
      <c r="AL47" s="19"/>
      <c r="AM47" s="19"/>
      <c r="AN47" s="19"/>
      <c r="AO47" s="52"/>
      <c r="AP47" s="52"/>
      <c r="AQ47" s="57"/>
      <c r="AR47" s="564"/>
      <c r="AS47" s="18"/>
      <c r="AT47" s="19"/>
      <c r="AU47" s="19"/>
      <c r="AV47" s="19"/>
      <c r="AW47" s="52"/>
      <c r="AX47" s="52"/>
      <c r="AY47" s="57"/>
      <c r="AZ47" s="109"/>
      <c r="BA47" s="109"/>
      <c r="BB47" s="549"/>
      <c r="BC47" s="550"/>
      <c r="BD47" s="104"/>
      <c r="BE47" s="103"/>
      <c r="BF47" s="19"/>
      <c r="BG47" s="19"/>
      <c r="BH47" s="20"/>
      <c r="BI47" s="104"/>
      <c r="BJ47" s="9"/>
    </row>
    <row r="48" spans="1:66">
      <c r="A48" s="519">
        <f>IF('Student DATA Entry'!A44="","",'Student DATA Entry'!A44)</f>
        <v>41</v>
      </c>
      <c r="B48" s="528" t="str">
        <f>IF('Student DATA Entry'!B44="","",'Student DATA Entry'!B44)</f>
        <v/>
      </c>
      <c r="C48" s="125" t="str">
        <f>IF('Student DATA Entry'!D44="","",'Student DATA Entry'!D44)</f>
        <v/>
      </c>
      <c r="D48" s="530" t="str">
        <f>IF('Student DATA Entry'!E44="","",'Student DATA Entry'!E44)</f>
        <v/>
      </c>
      <c r="E48" s="532" t="str">
        <f>IF('Student DATA Entry'!I44="","",'Student DATA Entry'!I44)</f>
        <v/>
      </c>
      <c r="F48" s="126" t="str">
        <f>IF('Student DATA Entry'!F44="","",UPPER('Student DATA Entry'!F44))</f>
        <v/>
      </c>
      <c r="G48" s="126" t="str">
        <f>IF('Student DATA Entry'!G44="","",UPPER('Student DATA Entry'!G44))</f>
        <v/>
      </c>
      <c r="H48" s="126" t="str">
        <f>IF('Student DATA Entry'!H44="","",UPPER('Student DATA Entry'!H44))</f>
        <v/>
      </c>
      <c r="I48" s="526" t="str">
        <f>IF('Student DATA Entry'!K44="","",UPPER('Student DATA Entry'!K44))</f>
        <v/>
      </c>
      <c r="J48" s="560" t="str">
        <f>IF('Student DATA Entry'!J44="","",UPPER('Student DATA Entry'!J44))</f>
        <v/>
      </c>
      <c r="K48" s="103"/>
      <c r="L48" s="19"/>
      <c r="M48" s="19"/>
      <c r="N48" s="52"/>
      <c r="O48" s="104"/>
      <c r="P48" s="103"/>
      <c r="Q48" s="19"/>
      <c r="R48" s="19"/>
      <c r="S48" s="52"/>
      <c r="T48" s="104"/>
      <c r="U48" s="103"/>
      <c r="V48" s="19"/>
      <c r="W48" s="19"/>
      <c r="X48" s="19"/>
      <c r="Y48" s="52"/>
      <c r="Z48" s="52"/>
      <c r="AA48" s="57"/>
      <c r="AB48" s="564"/>
      <c r="AC48" s="103"/>
      <c r="AD48" s="19"/>
      <c r="AE48" s="19"/>
      <c r="AF48" s="19"/>
      <c r="AG48" s="52"/>
      <c r="AH48" s="52"/>
      <c r="AI48" s="57"/>
      <c r="AJ48" s="564"/>
      <c r="AK48" s="103"/>
      <c r="AL48" s="19"/>
      <c r="AM48" s="19"/>
      <c r="AN48" s="19"/>
      <c r="AO48" s="52"/>
      <c r="AP48" s="52"/>
      <c r="AQ48" s="57"/>
      <c r="AR48" s="564"/>
      <c r="AS48" s="18"/>
      <c r="AT48" s="19"/>
      <c r="AU48" s="19"/>
      <c r="AV48" s="19"/>
      <c r="AW48" s="52"/>
      <c r="AX48" s="52"/>
      <c r="AY48" s="57"/>
      <c r="AZ48" s="109"/>
      <c r="BA48" s="109"/>
      <c r="BB48" s="549"/>
      <c r="BC48" s="550"/>
      <c r="BD48" s="104"/>
      <c r="BE48" s="103"/>
      <c r="BF48" s="19"/>
      <c r="BG48" s="19"/>
      <c r="BH48" s="20"/>
      <c r="BI48" s="104"/>
      <c r="BJ48" s="9"/>
    </row>
    <row r="49" spans="1:62">
      <c r="A49" s="519">
        <f>IF('Student DATA Entry'!A45="","",'Student DATA Entry'!A45)</f>
        <v>42</v>
      </c>
      <c r="B49" s="528" t="str">
        <f>IF('Student DATA Entry'!B45="","",'Student DATA Entry'!B45)</f>
        <v/>
      </c>
      <c r="C49" s="125" t="str">
        <f>IF('Student DATA Entry'!D45="","",'Student DATA Entry'!D45)</f>
        <v/>
      </c>
      <c r="D49" s="530" t="str">
        <f>IF('Student DATA Entry'!E45="","",'Student DATA Entry'!E45)</f>
        <v/>
      </c>
      <c r="E49" s="532" t="str">
        <f>IF('Student DATA Entry'!I45="","",'Student DATA Entry'!I45)</f>
        <v/>
      </c>
      <c r="F49" s="126" t="str">
        <f>IF('Student DATA Entry'!F45="","",UPPER('Student DATA Entry'!F45))</f>
        <v/>
      </c>
      <c r="G49" s="126" t="str">
        <f>IF('Student DATA Entry'!G45="","",UPPER('Student DATA Entry'!G45))</f>
        <v/>
      </c>
      <c r="H49" s="126" t="str">
        <f>IF('Student DATA Entry'!H45="","",UPPER('Student DATA Entry'!H45))</f>
        <v/>
      </c>
      <c r="I49" s="526" t="str">
        <f>IF('Student DATA Entry'!K45="","",UPPER('Student DATA Entry'!K45))</f>
        <v/>
      </c>
      <c r="J49" s="560" t="str">
        <f>IF('Student DATA Entry'!J45="","",UPPER('Student DATA Entry'!J45))</f>
        <v/>
      </c>
      <c r="K49" s="103"/>
      <c r="L49" s="19"/>
      <c r="M49" s="19"/>
      <c r="N49" s="52"/>
      <c r="O49" s="104"/>
      <c r="P49" s="103"/>
      <c r="Q49" s="19"/>
      <c r="R49" s="19"/>
      <c r="S49" s="52"/>
      <c r="T49" s="104"/>
      <c r="U49" s="103"/>
      <c r="V49" s="19"/>
      <c r="W49" s="19"/>
      <c r="X49" s="19"/>
      <c r="Y49" s="52"/>
      <c r="Z49" s="52"/>
      <c r="AA49" s="57"/>
      <c r="AB49" s="564"/>
      <c r="AC49" s="103"/>
      <c r="AD49" s="19"/>
      <c r="AE49" s="19"/>
      <c r="AF49" s="19"/>
      <c r="AG49" s="52"/>
      <c r="AH49" s="52"/>
      <c r="AI49" s="57"/>
      <c r="AJ49" s="564"/>
      <c r="AK49" s="103"/>
      <c r="AL49" s="19"/>
      <c r="AM49" s="19"/>
      <c r="AN49" s="19"/>
      <c r="AO49" s="52"/>
      <c r="AP49" s="52"/>
      <c r="AQ49" s="57"/>
      <c r="AR49" s="564"/>
      <c r="AS49" s="18"/>
      <c r="AT49" s="19"/>
      <c r="AU49" s="19"/>
      <c r="AV49" s="19"/>
      <c r="AW49" s="52"/>
      <c r="AX49" s="52"/>
      <c r="AY49" s="57"/>
      <c r="AZ49" s="109"/>
      <c r="BA49" s="109"/>
      <c r="BB49" s="549"/>
      <c r="BC49" s="550"/>
      <c r="BD49" s="104"/>
      <c r="BE49" s="103"/>
      <c r="BF49" s="19"/>
      <c r="BG49" s="19"/>
      <c r="BH49" s="20"/>
      <c r="BI49" s="104"/>
      <c r="BJ49" s="9"/>
    </row>
    <row r="50" spans="1:62">
      <c r="A50" s="519">
        <f>IF('Student DATA Entry'!A46="","",'Student DATA Entry'!A46)</f>
        <v>43</v>
      </c>
      <c r="B50" s="528" t="str">
        <f>IF('Student DATA Entry'!B46="","",'Student DATA Entry'!B46)</f>
        <v/>
      </c>
      <c r="C50" s="125" t="str">
        <f>IF('Student DATA Entry'!D46="","",'Student DATA Entry'!D46)</f>
        <v/>
      </c>
      <c r="D50" s="530" t="str">
        <f>IF('Student DATA Entry'!E46="","",'Student DATA Entry'!E46)</f>
        <v/>
      </c>
      <c r="E50" s="532" t="str">
        <f>IF('Student DATA Entry'!I46="","",'Student DATA Entry'!I46)</f>
        <v/>
      </c>
      <c r="F50" s="126" t="str">
        <f>IF('Student DATA Entry'!F46="","",UPPER('Student DATA Entry'!F46))</f>
        <v/>
      </c>
      <c r="G50" s="126" t="str">
        <f>IF('Student DATA Entry'!G46="","",UPPER('Student DATA Entry'!G46))</f>
        <v/>
      </c>
      <c r="H50" s="126" t="str">
        <f>IF('Student DATA Entry'!H46="","",UPPER('Student DATA Entry'!H46))</f>
        <v/>
      </c>
      <c r="I50" s="526" t="str">
        <f>IF('Student DATA Entry'!K46="","",UPPER('Student DATA Entry'!K46))</f>
        <v/>
      </c>
      <c r="J50" s="560" t="str">
        <f>IF('Student DATA Entry'!J46="","",UPPER('Student DATA Entry'!J46))</f>
        <v/>
      </c>
      <c r="K50" s="103"/>
      <c r="L50" s="19"/>
      <c r="M50" s="19"/>
      <c r="N50" s="52"/>
      <c r="O50" s="104"/>
      <c r="P50" s="103"/>
      <c r="Q50" s="19"/>
      <c r="R50" s="19"/>
      <c r="S50" s="52"/>
      <c r="T50" s="104"/>
      <c r="U50" s="103"/>
      <c r="V50" s="19"/>
      <c r="W50" s="19"/>
      <c r="X50" s="19"/>
      <c r="Y50" s="52"/>
      <c r="Z50" s="52"/>
      <c r="AA50" s="57"/>
      <c r="AB50" s="564"/>
      <c r="AC50" s="103"/>
      <c r="AD50" s="19"/>
      <c r="AE50" s="19"/>
      <c r="AF50" s="19"/>
      <c r="AG50" s="52"/>
      <c r="AH50" s="52"/>
      <c r="AI50" s="57"/>
      <c r="AJ50" s="564"/>
      <c r="AK50" s="103"/>
      <c r="AL50" s="19"/>
      <c r="AM50" s="19"/>
      <c r="AN50" s="19"/>
      <c r="AO50" s="52"/>
      <c r="AP50" s="52"/>
      <c r="AQ50" s="57"/>
      <c r="AR50" s="564"/>
      <c r="AS50" s="18"/>
      <c r="AT50" s="19"/>
      <c r="AU50" s="19"/>
      <c r="AV50" s="19"/>
      <c r="AW50" s="52"/>
      <c r="AX50" s="52"/>
      <c r="AY50" s="57"/>
      <c r="AZ50" s="109"/>
      <c r="BA50" s="109"/>
      <c r="BB50" s="549"/>
      <c r="BC50" s="550"/>
      <c r="BD50" s="104"/>
      <c r="BE50" s="103"/>
      <c r="BF50" s="19"/>
      <c r="BG50" s="19"/>
      <c r="BH50" s="20"/>
      <c r="BI50" s="104"/>
      <c r="BJ50" s="9"/>
    </row>
    <row r="51" spans="1:62">
      <c r="A51" s="519">
        <f>IF('Student DATA Entry'!A47="","",'Student DATA Entry'!A47)</f>
        <v>44</v>
      </c>
      <c r="B51" s="528" t="str">
        <f>IF('Student DATA Entry'!B47="","",'Student DATA Entry'!B47)</f>
        <v/>
      </c>
      <c r="C51" s="125" t="str">
        <f>IF('Student DATA Entry'!D47="","",'Student DATA Entry'!D47)</f>
        <v/>
      </c>
      <c r="D51" s="530" t="str">
        <f>IF('Student DATA Entry'!E47="","",'Student DATA Entry'!E47)</f>
        <v/>
      </c>
      <c r="E51" s="532" t="str">
        <f>IF('Student DATA Entry'!I47="","",'Student DATA Entry'!I47)</f>
        <v/>
      </c>
      <c r="F51" s="126" t="str">
        <f>IF('Student DATA Entry'!F47="","",UPPER('Student DATA Entry'!F47))</f>
        <v/>
      </c>
      <c r="G51" s="126" t="str">
        <f>IF('Student DATA Entry'!G47="","",UPPER('Student DATA Entry'!G47))</f>
        <v/>
      </c>
      <c r="H51" s="126" t="str">
        <f>IF('Student DATA Entry'!H47="","",UPPER('Student DATA Entry'!H47))</f>
        <v/>
      </c>
      <c r="I51" s="526" t="str">
        <f>IF('Student DATA Entry'!K47="","",UPPER('Student DATA Entry'!K47))</f>
        <v/>
      </c>
      <c r="J51" s="560" t="str">
        <f>IF('Student DATA Entry'!J47="","",UPPER('Student DATA Entry'!J47))</f>
        <v/>
      </c>
      <c r="K51" s="103"/>
      <c r="L51" s="19"/>
      <c r="M51" s="19"/>
      <c r="N51" s="52"/>
      <c r="O51" s="104"/>
      <c r="P51" s="103"/>
      <c r="Q51" s="19"/>
      <c r="R51" s="19"/>
      <c r="S51" s="52"/>
      <c r="T51" s="104"/>
      <c r="U51" s="103"/>
      <c r="V51" s="19"/>
      <c r="W51" s="19"/>
      <c r="X51" s="19"/>
      <c r="Y51" s="52"/>
      <c r="Z51" s="52"/>
      <c r="AA51" s="57"/>
      <c r="AB51" s="564"/>
      <c r="AC51" s="103"/>
      <c r="AD51" s="19"/>
      <c r="AE51" s="19"/>
      <c r="AF51" s="19"/>
      <c r="AG51" s="52"/>
      <c r="AH51" s="52"/>
      <c r="AI51" s="57"/>
      <c r="AJ51" s="564"/>
      <c r="AK51" s="103"/>
      <c r="AL51" s="19"/>
      <c r="AM51" s="19"/>
      <c r="AN51" s="19"/>
      <c r="AO51" s="52"/>
      <c r="AP51" s="52"/>
      <c r="AQ51" s="57"/>
      <c r="AR51" s="564"/>
      <c r="AS51" s="18"/>
      <c r="AT51" s="19"/>
      <c r="AU51" s="19"/>
      <c r="AV51" s="19"/>
      <c r="AW51" s="52"/>
      <c r="AX51" s="52"/>
      <c r="AY51" s="57"/>
      <c r="AZ51" s="109"/>
      <c r="BA51" s="109"/>
      <c r="BB51" s="549"/>
      <c r="BC51" s="550"/>
      <c r="BD51" s="104"/>
      <c r="BE51" s="103"/>
      <c r="BF51" s="19"/>
      <c r="BG51" s="19"/>
      <c r="BH51" s="20"/>
      <c r="BI51" s="104"/>
      <c r="BJ51" s="9"/>
    </row>
    <row r="52" spans="1:62">
      <c r="A52" s="519">
        <f>IF('Student DATA Entry'!A48="","",'Student DATA Entry'!A48)</f>
        <v>45</v>
      </c>
      <c r="B52" s="528" t="str">
        <f>IF('Student DATA Entry'!B48="","",'Student DATA Entry'!B48)</f>
        <v/>
      </c>
      <c r="C52" s="125" t="str">
        <f>IF('Student DATA Entry'!D48="","",'Student DATA Entry'!D48)</f>
        <v/>
      </c>
      <c r="D52" s="530" t="str">
        <f>IF('Student DATA Entry'!E48="","",'Student DATA Entry'!E48)</f>
        <v/>
      </c>
      <c r="E52" s="532" t="str">
        <f>IF('Student DATA Entry'!I48="","",'Student DATA Entry'!I48)</f>
        <v/>
      </c>
      <c r="F52" s="126" t="str">
        <f>IF('Student DATA Entry'!F48="","",UPPER('Student DATA Entry'!F48))</f>
        <v/>
      </c>
      <c r="G52" s="126" t="str">
        <f>IF('Student DATA Entry'!G48="","",UPPER('Student DATA Entry'!G48))</f>
        <v/>
      </c>
      <c r="H52" s="126" t="str">
        <f>IF('Student DATA Entry'!H48="","",UPPER('Student DATA Entry'!H48))</f>
        <v/>
      </c>
      <c r="I52" s="526" t="str">
        <f>IF('Student DATA Entry'!K48="","",UPPER('Student DATA Entry'!K48))</f>
        <v/>
      </c>
      <c r="J52" s="560" t="str">
        <f>IF('Student DATA Entry'!J48="","",UPPER('Student DATA Entry'!J48))</f>
        <v/>
      </c>
      <c r="K52" s="103"/>
      <c r="L52" s="19"/>
      <c r="M52" s="19"/>
      <c r="N52" s="52"/>
      <c r="O52" s="104"/>
      <c r="P52" s="103"/>
      <c r="Q52" s="19"/>
      <c r="R52" s="19"/>
      <c r="S52" s="52"/>
      <c r="T52" s="104"/>
      <c r="U52" s="103"/>
      <c r="V52" s="19"/>
      <c r="W52" s="19"/>
      <c r="X52" s="19"/>
      <c r="Y52" s="52"/>
      <c r="Z52" s="52"/>
      <c r="AA52" s="57"/>
      <c r="AB52" s="564"/>
      <c r="AC52" s="103"/>
      <c r="AD52" s="19"/>
      <c r="AE52" s="19"/>
      <c r="AF52" s="19"/>
      <c r="AG52" s="52"/>
      <c r="AH52" s="52"/>
      <c r="AI52" s="57"/>
      <c r="AJ52" s="564"/>
      <c r="AK52" s="103"/>
      <c r="AL52" s="19"/>
      <c r="AM52" s="19"/>
      <c r="AN52" s="19"/>
      <c r="AO52" s="52"/>
      <c r="AP52" s="52"/>
      <c r="AQ52" s="57"/>
      <c r="AR52" s="564"/>
      <c r="AS52" s="18"/>
      <c r="AT52" s="19"/>
      <c r="AU52" s="19"/>
      <c r="AV52" s="19"/>
      <c r="AW52" s="52"/>
      <c r="AX52" s="52"/>
      <c r="AY52" s="57"/>
      <c r="AZ52" s="109"/>
      <c r="BA52" s="109"/>
      <c r="BB52" s="549"/>
      <c r="BC52" s="550"/>
      <c r="BD52" s="104"/>
      <c r="BE52" s="103"/>
      <c r="BF52" s="19"/>
      <c r="BG52" s="19"/>
      <c r="BH52" s="20"/>
      <c r="BI52" s="104"/>
      <c r="BJ52" s="9"/>
    </row>
    <row r="53" spans="1:62">
      <c r="A53" s="519">
        <f>IF('Student DATA Entry'!A49="","",'Student DATA Entry'!A49)</f>
        <v>46</v>
      </c>
      <c r="B53" s="528" t="str">
        <f>IF('Student DATA Entry'!B49="","",'Student DATA Entry'!B49)</f>
        <v/>
      </c>
      <c r="C53" s="125" t="str">
        <f>IF('Student DATA Entry'!D49="","",'Student DATA Entry'!D49)</f>
        <v/>
      </c>
      <c r="D53" s="530" t="str">
        <f>IF('Student DATA Entry'!E49="","",'Student DATA Entry'!E49)</f>
        <v/>
      </c>
      <c r="E53" s="532" t="str">
        <f>IF('Student DATA Entry'!I49="","",'Student DATA Entry'!I49)</f>
        <v/>
      </c>
      <c r="F53" s="126" t="str">
        <f>IF('Student DATA Entry'!F49="","",UPPER('Student DATA Entry'!F49))</f>
        <v/>
      </c>
      <c r="G53" s="126" t="str">
        <f>IF('Student DATA Entry'!G49="","",UPPER('Student DATA Entry'!G49))</f>
        <v/>
      </c>
      <c r="H53" s="126" t="str">
        <f>IF('Student DATA Entry'!H49="","",UPPER('Student DATA Entry'!H49))</f>
        <v/>
      </c>
      <c r="I53" s="526" t="str">
        <f>IF('Student DATA Entry'!K49="","",UPPER('Student DATA Entry'!K49))</f>
        <v/>
      </c>
      <c r="J53" s="560" t="str">
        <f>IF('Student DATA Entry'!J49="","",UPPER('Student DATA Entry'!J49))</f>
        <v/>
      </c>
      <c r="K53" s="103"/>
      <c r="L53" s="19"/>
      <c r="M53" s="19"/>
      <c r="N53" s="52"/>
      <c r="O53" s="104"/>
      <c r="P53" s="103"/>
      <c r="Q53" s="19"/>
      <c r="R53" s="19"/>
      <c r="S53" s="52"/>
      <c r="T53" s="104"/>
      <c r="U53" s="103"/>
      <c r="V53" s="19"/>
      <c r="W53" s="19"/>
      <c r="X53" s="19"/>
      <c r="Y53" s="52"/>
      <c r="Z53" s="52"/>
      <c r="AA53" s="57"/>
      <c r="AB53" s="564"/>
      <c r="AC53" s="103"/>
      <c r="AD53" s="19"/>
      <c r="AE53" s="19"/>
      <c r="AF53" s="19"/>
      <c r="AG53" s="52"/>
      <c r="AH53" s="52"/>
      <c r="AI53" s="57"/>
      <c r="AJ53" s="564"/>
      <c r="AK53" s="103"/>
      <c r="AL53" s="19"/>
      <c r="AM53" s="19"/>
      <c r="AN53" s="19"/>
      <c r="AO53" s="52"/>
      <c r="AP53" s="52"/>
      <c r="AQ53" s="57"/>
      <c r="AR53" s="564"/>
      <c r="AS53" s="18"/>
      <c r="AT53" s="19"/>
      <c r="AU53" s="19"/>
      <c r="AV53" s="19"/>
      <c r="AW53" s="52"/>
      <c r="AX53" s="52"/>
      <c r="AY53" s="57"/>
      <c r="AZ53" s="109"/>
      <c r="BA53" s="109"/>
      <c r="BB53" s="549"/>
      <c r="BC53" s="550"/>
      <c r="BD53" s="104"/>
      <c r="BE53" s="103"/>
      <c r="BF53" s="19"/>
      <c r="BG53" s="19"/>
      <c r="BH53" s="20"/>
      <c r="BI53" s="104"/>
      <c r="BJ53" s="9"/>
    </row>
    <row r="54" spans="1:62">
      <c r="A54" s="519">
        <f>IF('Student DATA Entry'!A50="","",'Student DATA Entry'!A50)</f>
        <v>47</v>
      </c>
      <c r="B54" s="528" t="str">
        <f>IF('Student DATA Entry'!B50="","",'Student DATA Entry'!B50)</f>
        <v/>
      </c>
      <c r="C54" s="125" t="str">
        <f>IF('Student DATA Entry'!D50="","",'Student DATA Entry'!D50)</f>
        <v/>
      </c>
      <c r="D54" s="530" t="str">
        <f>IF('Student DATA Entry'!E50="","",'Student DATA Entry'!E50)</f>
        <v/>
      </c>
      <c r="E54" s="532" t="str">
        <f>IF('Student DATA Entry'!I50="","",'Student DATA Entry'!I50)</f>
        <v/>
      </c>
      <c r="F54" s="126" t="str">
        <f>IF('Student DATA Entry'!F50="","",UPPER('Student DATA Entry'!F50))</f>
        <v/>
      </c>
      <c r="G54" s="126" t="str">
        <f>IF('Student DATA Entry'!G50="","",UPPER('Student DATA Entry'!G50))</f>
        <v/>
      </c>
      <c r="H54" s="126" t="str">
        <f>IF('Student DATA Entry'!H50="","",UPPER('Student DATA Entry'!H50))</f>
        <v/>
      </c>
      <c r="I54" s="526" t="str">
        <f>IF('Student DATA Entry'!K50="","",UPPER('Student DATA Entry'!K50))</f>
        <v/>
      </c>
      <c r="J54" s="560" t="str">
        <f>IF('Student DATA Entry'!J50="","",UPPER('Student DATA Entry'!J50))</f>
        <v/>
      </c>
      <c r="K54" s="103"/>
      <c r="L54" s="19"/>
      <c r="M54" s="19"/>
      <c r="N54" s="52"/>
      <c r="O54" s="104"/>
      <c r="P54" s="103"/>
      <c r="Q54" s="19"/>
      <c r="R54" s="19"/>
      <c r="S54" s="52"/>
      <c r="T54" s="104"/>
      <c r="U54" s="103"/>
      <c r="V54" s="19"/>
      <c r="W54" s="19"/>
      <c r="X54" s="19"/>
      <c r="Y54" s="52"/>
      <c r="Z54" s="52"/>
      <c r="AA54" s="57"/>
      <c r="AB54" s="564"/>
      <c r="AC54" s="103"/>
      <c r="AD54" s="19"/>
      <c r="AE54" s="19"/>
      <c r="AF54" s="19"/>
      <c r="AG54" s="52"/>
      <c r="AH54" s="52"/>
      <c r="AI54" s="57"/>
      <c r="AJ54" s="564"/>
      <c r="AK54" s="103"/>
      <c r="AL54" s="19"/>
      <c r="AM54" s="19"/>
      <c r="AN54" s="19"/>
      <c r="AO54" s="52"/>
      <c r="AP54" s="52"/>
      <c r="AQ54" s="57"/>
      <c r="AR54" s="564"/>
      <c r="AS54" s="18"/>
      <c r="AT54" s="19"/>
      <c r="AU54" s="19"/>
      <c r="AV54" s="19"/>
      <c r="AW54" s="52"/>
      <c r="AX54" s="52"/>
      <c r="AY54" s="57"/>
      <c r="AZ54" s="109"/>
      <c r="BA54" s="109"/>
      <c r="BB54" s="549"/>
      <c r="BC54" s="550"/>
      <c r="BD54" s="104"/>
      <c r="BE54" s="103"/>
      <c r="BF54" s="19"/>
      <c r="BG54" s="19"/>
      <c r="BH54" s="20"/>
      <c r="BI54" s="104"/>
      <c r="BJ54" s="9"/>
    </row>
    <row r="55" spans="1:62">
      <c r="A55" s="519">
        <f>IF('Student DATA Entry'!A51="","",'Student DATA Entry'!A51)</f>
        <v>48</v>
      </c>
      <c r="B55" s="528" t="str">
        <f>IF('Student DATA Entry'!B51="","",'Student DATA Entry'!B51)</f>
        <v/>
      </c>
      <c r="C55" s="125" t="str">
        <f>IF('Student DATA Entry'!D51="","",'Student DATA Entry'!D51)</f>
        <v/>
      </c>
      <c r="D55" s="530" t="str">
        <f>IF('Student DATA Entry'!E51="","",'Student DATA Entry'!E51)</f>
        <v/>
      </c>
      <c r="E55" s="532" t="str">
        <f>IF('Student DATA Entry'!I51="","",'Student DATA Entry'!I51)</f>
        <v/>
      </c>
      <c r="F55" s="126" t="str">
        <f>IF('Student DATA Entry'!F51="","",UPPER('Student DATA Entry'!F51))</f>
        <v/>
      </c>
      <c r="G55" s="126" t="str">
        <f>IF('Student DATA Entry'!G51="","",UPPER('Student DATA Entry'!G51))</f>
        <v/>
      </c>
      <c r="H55" s="126" t="str">
        <f>IF('Student DATA Entry'!H51="","",UPPER('Student DATA Entry'!H51))</f>
        <v/>
      </c>
      <c r="I55" s="526" t="str">
        <f>IF('Student DATA Entry'!K51="","",UPPER('Student DATA Entry'!K51))</f>
        <v/>
      </c>
      <c r="J55" s="560" t="str">
        <f>IF('Student DATA Entry'!J51="","",UPPER('Student DATA Entry'!J51))</f>
        <v/>
      </c>
      <c r="K55" s="103"/>
      <c r="L55" s="19"/>
      <c r="M55" s="19"/>
      <c r="N55" s="52"/>
      <c r="O55" s="104"/>
      <c r="P55" s="103"/>
      <c r="Q55" s="19"/>
      <c r="R55" s="19"/>
      <c r="S55" s="52"/>
      <c r="T55" s="104"/>
      <c r="U55" s="103"/>
      <c r="V55" s="19"/>
      <c r="W55" s="19"/>
      <c r="X55" s="19"/>
      <c r="Y55" s="52"/>
      <c r="Z55" s="52"/>
      <c r="AA55" s="57"/>
      <c r="AB55" s="564"/>
      <c r="AC55" s="103"/>
      <c r="AD55" s="19"/>
      <c r="AE55" s="19"/>
      <c r="AF55" s="19"/>
      <c r="AG55" s="52"/>
      <c r="AH55" s="52"/>
      <c r="AI55" s="57"/>
      <c r="AJ55" s="564"/>
      <c r="AK55" s="103"/>
      <c r="AL55" s="19"/>
      <c r="AM55" s="19"/>
      <c r="AN55" s="19"/>
      <c r="AO55" s="52"/>
      <c r="AP55" s="52"/>
      <c r="AQ55" s="57"/>
      <c r="AR55" s="564"/>
      <c r="AS55" s="18"/>
      <c r="AT55" s="19"/>
      <c r="AU55" s="19"/>
      <c r="AV55" s="19"/>
      <c r="AW55" s="52"/>
      <c r="AX55" s="52"/>
      <c r="AY55" s="57"/>
      <c r="AZ55" s="109"/>
      <c r="BA55" s="109"/>
      <c r="BB55" s="549"/>
      <c r="BC55" s="550"/>
      <c r="BD55" s="104"/>
      <c r="BE55" s="103"/>
      <c r="BF55" s="19"/>
      <c r="BG55" s="19"/>
      <c r="BH55" s="20"/>
      <c r="BI55" s="104"/>
      <c r="BJ55" s="9"/>
    </row>
    <row r="56" spans="1:62">
      <c r="A56" s="519">
        <f>IF('Student DATA Entry'!A52="","",'Student DATA Entry'!A52)</f>
        <v>49</v>
      </c>
      <c r="B56" s="528" t="str">
        <f>IF('Student DATA Entry'!B52="","",'Student DATA Entry'!B52)</f>
        <v/>
      </c>
      <c r="C56" s="125" t="str">
        <f>IF('Student DATA Entry'!D52="","",'Student DATA Entry'!D52)</f>
        <v/>
      </c>
      <c r="D56" s="530" t="str">
        <f>IF('Student DATA Entry'!E52="","",'Student DATA Entry'!E52)</f>
        <v/>
      </c>
      <c r="E56" s="532" t="str">
        <f>IF('Student DATA Entry'!I52="","",'Student DATA Entry'!I52)</f>
        <v/>
      </c>
      <c r="F56" s="126" t="str">
        <f>IF('Student DATA Entry'!F52="","",UPPER('Student DATA Entry'!F52))</f>
        <v/>
      </c>
      <c r="G56" s="126" t="str">
        <f>IF('Student DATA Entry'!G52="","",UPPER('Student DATA Entry'!G52))</f>
        <v/>
      </c>
      <c r="H56" s="126" t="str">
        <f>IF('Student DATA Entry'!H52="","",UPPER('Student DATA Entry'!H52))</f>
        <v/>
      </c>
      <c r="I56" s="526" t="str">
        <f>IF('Student DATA Entry'!K52="","",UPPER('Student DATA Entry'!K52))</f>
        <v/>
      </c>
      <c r="J56" s="560" t="str">
        <f>IF('Student DATA Entry'!J52="","",UPPER('Student DATA Entry'!J52))</f>
        <v/>
      </c>
      <c r="K56" s="103"/>
      <c r="L56" s="19"/>
      <c r="M56" s="19"/>
      <c r="N56" s="52"/>
      <c r="O56" s="104"/>
      <c r="P56" s="103"/>
      <c r="Q56" s="19"/>
      <c r="R56" s="19"/>
      <c r="S56" s="52"/>
      <c r="T56" s="104"/>
      <c r="U56" s="103"/>
      <c r="V56" s="19"/>
      <c r="W56" s="19"/>
      <c r="X56" s="19"/>
      <c r="Y56" s="52"/>
      <c r="Z56" s="52"/>
      <c r="AA56" s="57"/>
      <c r="AB56" s="564"/>
      <c r="AC56" s="103"/>
      <c r="AD56" s="19"/>
      <c r="AE56" s="19"/>
      <c r="AF56" s="19"/>
      <c r="AG56" s="52"/>
      <c r="AH56" s="52"/>
      <c r="AI56" s="57"/>
      <c r="AJ56" s="564"/>
      <c r="AK56" s="103"/>
      <c r="AL56" s="19"/>
      <c r="AM56" s="19"/>
      <c r="AN56" s="19"/>
      <c r="AO56" s="52"/>
      <c r="AP56" s="52"/>
      <c r="AQ56" s="57"/>
      <c r="AR56" s="564"/>
      <c r="AS56" s="18"/>
      <c r="AT56" s="19"/>
      <c r="AU56" s="19"/>
      <c r="AV56" s="19"/>
      <c r="AW56" s="52"/>
      <c r="AX56" s="52"/>
      <c r="AY56" s="57"/>
      <c r="AZ56" s="109"/>
      <c r="BA56" s="109"/>
      <c r="BB56" s="549"/>
      <c r="BC56" s="550"/>
      <c r="BD56" s="104"/>
      <c r="BE56" s="103"/>
      <c r="BF56" s="19"/>
      <c r="BG56" s="19"/>
      <c r="BH56" s="20"/>
      <c r="BI56" s="104"/>
      <c r="BJ56" s="9"/>
    </row>
    <row r="57" spans="1:62">
      <c r="A57" s="519">
        <f>IF('Student DATA Entry'!A53="","",'Student DATA Entry'!A53)</f>
        <v>50</v>
      </c>
      <c r="B57" s="528" t="str">
        <f>IF('Student DATA Entry'!B53="","",'Student DATA Entry'!B53)</f>
        <v/>
      </c>
      <c r="C57" s="125" t="str">
        <f>IF('Student DATA Entry'!D53="","",'Student DATA Entry'!D53)</f>
        <v/>
      </c>
      <c r="D57" s="530" t="str">
        <f>IF('Student DATA Entry'!E53="","",'Student DATA Entry'!E53)</f>
        <v/>
      </c>
      <c r="E57" s="532" t="str">
        <f>IF('Student DATA Entry'!I53="","",'Student DATA Entry'!I53)</f>
        <v/>
      </c>
      <c r="F57" s="126" t="str">
        <f>IF('Student DATA Entry'!F53="","",UPPER('Student DATA Entry'!F53))</f>
        <v/>
      </c>
      <c r="G57" s="126" t="str">
        <f>IF('Student DATA Entry'!G53="","",UPPER('Student DATA Entry'!G53))</f>
        <v/>
      </c>
      <c r="H57" s="126" t="str">
        <f>IF('Student DATA Entry'!H53="","",UPPER('Student DATA Entry'!H53))</f>
        <v/>
      </c>
      <c r="I57" s="526" t="str">
        <f>IF('Student DATA Entry'!K53="","",UPPER('Student DATA Entry'!K53))</f>
        <v/>
      </c>
      <c r="J57" s="560" t="str">
        <f>IF('Student DATA Entry'!J53="","",UPPER('Student DATA Entry'!J53))</f>
        <v/>
      </c>
      <c r="K57" s="103"/>
      <c r="L57" s="19"/>
      <c r="M57" s="19"/>
      <c r="N57" s="52"/>
      <c r="O57" s="104"/>
      <c r="P57" s="103"/>
      <c r="Q57" s="19"/>
      <c r="R57" s="19"/>
      <c r="S57" s="52"/>
      <c r="T57" s="104"/>
      <c r="U57" s="103"/>
      <c r="V57" s="19"/>
      <c r="W57" s="19"/>
      <c r="X57" s="19"/>
      <c r="Y57" s="52"/>
      <c r="Z57" s="52"/>
      <c r="AA57" s="57"/>
      <c r="AB57" s="564"/>
      <c r="AC57" s="103"/>
      <c r="AD57" s="19"/>
      <c r="AE57" s="19"/>
      <c r="AF57" s="19"/>
      <c r="AG57" s="52"/>
      <c r="AH57" s="52"/>
      <c r="AI57" s="57"/>
      <c r="AJ57" s="564"/>
      <c r="AK57" s="103"/>
      <c r="AL57" s="19"/>
      <c r="AM57" s="19"/>
      <c r="AN57" s="19"/>
      <c r="AO57" s="52"/>
      <c r="AP57" s="52"/>
      <c r="AQ57" s="57"/>
      <c r="AR57" s="564"/>
      <c r="AS57" s="18"/>
      <c r="AT57" s="19"/>
      <c r="AU57" s="19"/>
      <c r="AV57" s="19"/>
      <c r="AW57" s="52"/>
      <c r="AX57" s="52"/>
      <c r="AY57" s="57"/>
      <c r="AZ57" s="109"/>
      <c r="BA57" s="109"/>
      <c r="BB57" s="549"/>
      <c r="BC57" s="550"/>
      <c r="BD57" s="104"/>
      <c r="BE57" s="103"/>
      <c r="BF57" s="19"/>
      <c r="BG57" s="19"/>
      <c r="BH57" s="20"/>
      <c r="BI57" s="104"/>
      <c r="BJ57" s="9"/>
    </row>
    <row r="58" spans="1:62">
      <c r="A58" s="519">
        <f>IF('Student DATA Entry'!A54="","",'Student DATA Entry'!A54)</f>
        <v>51</v>
      </c>
      <c r="B58" s="528" t="str">
        <f>IF('Student DATA Entry'!B54="","",'Student DATA Entry'!B54)</f>
        <v/>
      </c>
      <c r="C58" s="125" t="str">
        <f>IF('Student DATA Entry'!D54="","",'Student DATA Entry'!D54)</f>
        <v/>
      </c>
      <c r="D58" s="530" t="str">
        <f>IF('Student DATA Entry'!E54="","",'Student DATA Entry'!E54)</f>
        <v/>
      </c>
      <c r="E58" s="532" t="str">
        <f>IF('Student DATA Entry'!I54="","",'Student DATA Entry'!I54)</f>
        <v/>
      </c>
      <c r="F58" s="126" t="str">
        <f>IF('Student DATA Entry'!F54="","",UPPER('Student DATA Entry'!F54))</f>
        <v/>
      </c>
      <c r="G58" s="126" t="str">
        <f>IF('Student DATA Entry'!G54="","",UPPER('Student DATA Entry'!G54))</f>
        <v/>
      </c>
      <c r="H58" s="126" t="str">
        <f>IF('Student DATA Entry'!H54="","",UPPER('Student DATA Entry'!H54))</f>
        <v/>
      </c>
      <c r="I58" s="526" t="str">
        <f>IF('Student DATA Entry'!K54="","",UPPER('Student DATA Entry'!K54))</f>
        <v/>
      </c>
      <c r="J58" s="560" t="str">
        <f>IF('Student DATA Entry'!J54="","",UPPER('Student DATA Entry'!J54))</f>
        <v/>
      </c>
      <c r="K58" s="103"/>
      <c r="L58" s="19"/>
      <c r="M58" s="19"/>
      <c r="N58" s="52"/>
      <c r="O58" s="104"/>
      <c r="P58" s="103"/>
      <c r="Q58" s="19"/>
      <c r="R58" s="19"/>
      <c r="S58" s="52"/>
      <c r="T58" s="104"/>
      <c r="U58" s="103"/>
      <c r="V58" s="19"/>
      <c r="W58" s="19"/>
      <c r="X58" s="19"/>
      <c r="Y58" s="52"/>
      <c r="Z58" s="52"/>
      <c r="AA58" s="57"/>
      <c r="AB58" s="564"/>
      <c r="AC58" s="103"/>
      <c r="AD58" s="19"/>
      <c r="AE58" s="19"/>
      <c r="AF58" s="19"/>
      <c r="AG58" s="52"/>
      <c r="AH58" s="52"/>
      <c r="AI58" s="57"/>
      <c r="AJ58" s="564"/>
      <c r="AK58" s="103"/>
      <c r="AL58" s="19"/>
      <c r="AM58" s="19"/>
      <c r="AN58" s="19"/>
      <c r="AO58" s="52"/>
      <c r="AP58" s="52"/>
      <c r="AQ58" s="57"/>
      <c r="AR58" s="564"/>
      <c r="AS58" s="18"/>
      <c r="AT58" s="19"/>
      <c r="AU58" s="19"/>
      <c r="AV58" s="19"/>
      <c r="AW58" s="52"/>
      <c r="AX58" s="52"/>
      <c r="AY58" s="57"/>
      <c r="AZ58" s="109"/>
      <c r="BA58" s="109"/>
      <c r="BB58" s="549"/>
      <c r="BC58" s="550"/>
      <c r="BD58" s="104"/>
      <c r="BE58" s="103"/>
      <c r="BF58" s="19"/>
      <c r="BG58" s="19"/>
      <c r="BH58" s="20"/>
      <c r="BI58" s="104"/>
      <c r="BJ58" s="9"/>
    </row>
    <row r="59" spans="1:62">
      <c r="A59" s="519">
        <f>IF('Student DATA Entry'!A55="","",'Student DATA Entry'!A55)</f>
        <v>52</v>
      </c>
      <c r="B59" s="528" t="str">
        <f>IF('Student DATA Entry'!B55="","",'Student DATA Entry'!B55)</f>
        <v/>
      </c>
      <c r="C59" s="125" t="str">
        <f>IF('Student DATA Entry'!D55="","",'Student DATA Entry'!D55)</f>
        <v/>
      </c>
      <c r="D59" s="530" t="str">
        <f>IF('Student DATA Entry'!E55="","",'Student DATA Entry'!E55)</f>
        <v/>
      </c>
      <c r="E59" s="532" t="str">
        <f>IF('Student DATA Entry'!I55="","",'Student DATA Entry'!I55)</f>
        <v/>
      </c>
      <c r="F59" s="126" t="str">
        <f>IF('Student DATA Entry'!F55="","",UPPER('Student DATA Entry'!F55))</f>
        <v/>
      </c>
      <c r="G59" s="126" t="str">
        <f>IF('Student DATA Entry'!G55="","",UPPER('Student DATA Entry'!G55))</f>
        <v/>
      </c>
      <c r="H59" s="126" t="str">
        <f>IF('Student DATA Entry'!H55="","",UPPER('Student DATA Entry'!H55))</f>
        <v/>
      </c>
      <c r="I59" s="526" t="str">
        <f>IF('Student DATA Entry'!K55="","",UPPER('Student DATA Entry'!K55))</f>
        <v/>
      </c>
      <c r="J59" s="560" t="str">
        <f>IF('Student DATA Entry'!J55="","",UPPER('Student DATA Entry'!J55))</f>
        <v/>
      </c>
      <c r="K59" s="103"/>
      <c r="L59" s="19"/>
      <c r="M59" s="19"/>
      <c r="N59" s="52"/>
      <c r="O59" s="104"/>
      <c r="P59" s="103"/>
      <c r="Q59" s="19"/>
      <c r="R59" s="19"/>
      <c r="S59" s="52"/>
      <c r="T59" s="104"/>
      <c r="U59" s="103"/>
      <c r="V59" s="19"/>
      <c r="W59" s="19"/>
      <c r="X59" s="19"/>
      <c r="Y59" s="52"/>
      <c r="Z59" s="52"/>
      <c r="AA59" s="57"/>
      <c r="AB59" s="564"/>
      <c r="AC59" s="103"/>
      <c r="AD59" s="19"/>
      <c r="AE59" s="19"/>
      <c r="AF59" s="19"/>
      <c r="AG59" s="52"/>
      <c r="AH59" s="52"/>
      <c r="AI59" s="57"/>
      <c r="AJ59" s="564"/>
      <c r="AK59" s="103"/>
      <c r="AL59" s="19"/>
      <c r="AM59" s="19"/>
      <c r="AN59" s="19"/>
      <c r="AO59" s="52"/>
      <c r="AP59" s="52"/>
      <c r="AQ59" s="57"/>
      <c r="AR59" s="564"/>
      <c r="AS59" s="18"/>
      <c r="AT59" s="19"/>
      <c r="AU59" s="19"/>
      <c r="AV59" s="19"/>
      <c r="AW59" s="52"/>
      <c r="AX59" s="52"/>
      <c r="AY59" s="57"/>
      <c r="AZ59" s="109"/>
      <c r="BA59" s="109"/>
      <c r="BB59" s="549"/>
      <c r="BC59" s="550"/>
      <c r="BD59" s="104"/>
      <c r="BE59" s="103"/>
      <c r="BF59" s="19"/>
      <c r="BG59" s="19"/>
      <c r="BH59" s="20"/>
      <c r="BI59" s="104"/>
      <c r="BJ59" s="9"/>
    </row>
    <row r="60" spans="1:62">
      <c r="A60" s="519">
        <f>IF('Student DATA Entry'!A56="","",'Student DATA Entry'!A56)</f>
        <v>53</v>
      </c>
      <c r="B60" s="528" t="str">
        <f>IF('Student DATA Entry'!B56="","",'Student DATA Entry'!B56)</f>
        <v/>
      </c>
      <c r="C60" s="125" t="str">
        <f>IF('Student DATA Entry'!D56="","",'Student DATA Entry'!D56)</f>
        <v/>
      </c>
      <c r="D60" s="530" t="str">
        <f>IF('Student DATA Entry'!E56="","",'Student DATA Entry'!E56)</f>
        <v/>
      </c>
      <c r="E60" s="532" t="str">
        <f>IF('Student DATA Entry'!I56="","",'Student DATA Entry'!I56)</f>
        <v/>
      </c>
      <c r="F60" s="126" t="str">
        <f>IF('Student DATA Entry'!F56="","",UPPER('Student DATA Entry'!F56))</f>
        <v/>
      </c>
      <c r="G60" s="126" t="str">
        <f>IF('Student DATA Entry'!G56="","",UPPER('Student DATA Entry'!G56))</f>
        <v/>
      </c>
      <c r="H60" s="126" t="str">
        <f>IF('Student DATA Entry'!H56="","",UPPER('Student DATA Entry'!H56))</f>
        <v/>
      </c>
      <c r="I60" s="526" t="str">
        <f>IF('Student DATA Entry'!K56="","",UPPER('Student DATA Entry'!K56))</f>
        <v/>
      </c>
      <c r="J60" s="560" t="str">
        <f>IF('Student DATA Entry'!J56="","",UPPER('Student DATA Entry'!J56))</f>
        <v/>
      </c>
      <c r="K60" s="103"/>
      <c r="L60" s="19"/>
      <c r="M60" s="19"/>
      <c r="N60" s="52"/>
      <c r="O60" s="104"/>
      <c r="P60" s="103"/>
      <c r="Q60" s="19"/>
      <c r="R60" s="19"/>
      <c r="S60" s="52"/>
      <c r="T60" s="104"/>
      <c r="U60" s="103"/>
      <c r="V60" s="19"/>
      <c r="W60" s="19"/>
      <c r="X60" s="19"/>
      <c r="Y60" s="52"/>
      <c r="Z60" s="52"/>
      <c r="AA60" s="57"/>
      <c r="AB60" s="564"/>
      <c r="AC60" s="103"/>
      <c r="AD60" s="19"/>
      <c r="AE60" s="19"/>
      <c r="AF60" s="19"/>
      <c r="AG60" s="52"/>
      <c r="AH60" s="52"/>
      <c r="AI60" s="57"/>
      <c r="AJ60" s="564"/>
      <c r="AK60" s="103"/>
      <c r="AL60" s="19"/>
      <c r="AM60" s="19"/>
      <c r="AN60" s="19"/>
      <c r="AO60" s="52"/>
      <c r="AP60" s="52"/>
      <c r="AQ60" s="57"/>
      <c r="AR60" s="564"/>
      <c r="AS60" s="18"/>
      <c r="AT60" s="19"/>
      <c r="AU60" s="19"/>
      <c r="AV60" s="19"/>
      <c r="AW60" s="52"/>
      <c r="AX60" s="52"/>
      <c r="AY60" s="57"/>
      <c r="AZ60" s="109"/>
      <c r="BA60" s="109"/>
      <c r="BB60" s="549"/>
      <c r="BC60" s="550"/>
      <c r="BD60" s="104"/>
      <c r="BE60" s="103"/>
      <c r="BF60" s="19"/>
      <c r="BG60" s="19"/>
      <c r="BH60" s="20"/>
      <c r="BI60" s="104"/>
      <c r="BJ60" s="9"/>
    </row>
    <row r="61" spans="1:62">
      <c r="A61" s="519">
        <f>IF('Student DATA Entry'!A57="","",'Student DATA Entry'!A57)</f>
        <v>54</v>
      </c>
      <c r="B61" s="528" t="str">
        <f>IF('Student DATA Entry'!B57="","",'Student DATA Entry'!B57)</f>
        <v/>
      </c>
      <c r="C61" s="125" t="str">
        <f>IF('Student DATA Entry'!D57="","",'Student DATA Entry'!D57)</f>
        <v/>
      </c>
      <c r="D61" s="530" t="str">
        <f>IF('Student DATA Entry'!E57="","",'Student DATA Entry'!E57)</f>
        <v/>
      </c>
      <c r="E61" s="532" t="str">
        <f>IF('Student DATA Entry'!I57="","",'Student DATA Entry'!I57)</f>
        <v/>
      </c>
      <c r="F61" s="126" t="str">
        <f>IF('Student DATA Entry'!F57="","",UPPER('Student DATA Entry'!F57))</f>
        <v/>
      </c>
      <c r="G61" s="126" t="str">
        <f>IF('Student DATA Entry'!G57="","",UPPER('Student DATA Entry'!G57))</f>
        <v/>
      </c>
      <c r="H61" s="126" t="str">
        <f>IF('Student DATA Entry'!H57="","",UPPER('Student DATA Entry'!H57))</f>
        <v/>
      </c>
      <c r="I61" s="526" t="str">
        <f>IF('Student DATA Entry'!K57="","",UPPER('Student DATA Entry'!K57))</f>
        <v/>
      </c>
      <c r="J61" s="560" t="str">
        <f>IF('Student DATA Entry'!J57="","",UPPER('Student DATA Entry'!J57))</f>
        <v/>
      </c>
      <c r="K61" s="103"/>
      <c r="L61" s="19"/>
      <c r="M61" s="19"/>
      <c r="N61" s="52"/>
      <c r="O61" s="104"/>
      <c r="P61" s="103"/>
      <c r="Q61" s="19"/>
      <c r="R61" s="19"/>
      <c r="S61" s="52"/>
      <c r="T61" s="104"/>
      <c r="U61" s="103"/>
      <c r="V61" s="19"/>
      <c r="W61" s="19"/>
      <c r="X61" s="19"/>
      <c r="Y61" s="52"/>
      <c r="Z61" s="52"/>
      <c r="AA61" s="57"/>
      <c r="AB61" s="564"/>
      <c r="AC61" s="103"/>
      <c r="AD61" s="19"/>
      <c r="AE61" s="19"/>
      <c r="AF61" s="19"/>
      <c r="AG61" s="52"/>
      <c r="AH61" s="52"/>
      <c r="AI61" s="57"/>
      <c r="AJ61" s="564"/>
      <c r="AK61" s="103"/>
      <c r="AL61" s="19"/>
      <c r="AM61" s="19"/>
      <c r="AN61" s="19"/>
      <c r="AO61" s="52"/>
      <c r="AP61" s="52"/>
      <c r="AQ61" s="57"/>
      <c r="AR61" s="564"/>
      <c r="AS61" s="18"/>
      <c r="AT61" s="19"/>
      <c r="AU61" s="19"/>
      <c r="AV61" s="19"/>
      <c r="AW61" s="52"/>
      <c r="AX61" s="52"/>
      <c r="AY61" s="57"/>
      <c r="AZ61" s="109"/>
      <c r="BA61" s="109"/>
      <c r="BB61" s="549"/>
      <c r="BC61" s="550"/>
      <c r="BD61" s="104"/>
      <c r="BE61" s="103"/>
      <c r="BF61" s="19"/>
      <c r="BG61" s="19"/>
      <c r="BH61" s="20"/>
      <c r="BI61" s="104"/>
      <c r="BJ61" s="9"/>
    </row>
    <row r="62" spans="1:62">
      <c r="A62" s="519">
        <f>IF('Student DATA Entry'!A58="","",'Student DATA Entry'!A58)</f>
        <v>55</v>
      </c>
      <c r="B62" s="528" t="str">
        <f>IF('Student DATA Entry'!B58="","",'Student DATA Entry'!B58)</f>
        <v/>
      </c>
      <c r="C62" s="125" t="str">
        <f>IF('Student DATA Entry'!D58="","",'Student DATA Entry'!D58)</f>
        <v/>
      </c>
      <c r="D62" s="530" t="str">
        <f>IF('Student DATA Entry'!E58="","",'Student DATA Entry'!E58)</f>
        <v/>
      </c>
      <c r="E62" s="532" t="str">
        <f>IF('Student DATA Entry'!I58="","",'Student DATA Entry'!I58)</f>
        <v/>
      </c>
      <c r="F62" s="126" t="str">
        <f>IF('Student DATA Entry'!F58="","",UPPER('Student DATA Entry'!F58))</f>
        <v/>
      </c>
      <c r="G62" s="126" t="str">
        <f>IF('Student DATA Entry'!G58="","",UPPER('Student DATA Entry'!G58))</f>
        <v/>
      </c>
      <c r="H62" s="126" t="str">
        <f>IF('Student DATA Entry'!H58="","",UPPER('Student DATA Entry'!H58))</f>
        <v/>
      </c>
      <c r="I62" s="526" t="str">
        <f>IF('Student DATA Entry'!K58="","",UPPER('Student DATA Entry'!K58))</f>
        <v/>
      </c>
      <c r="J62" s="560" t="str">
        <f>IF('Student DATA Entry'!J58="","",UPPER('Student DATA Entry'!J58))</f>
        <v/>
      </c>
      <c r="K62" s="103"/>
      <c r="L62" s="19"/>
      <c r="M62" s="19"/>
      <c r="N62" s="52"/>
      <c r="O62" s="104"/>
      <c r="P62" s="103"/>
      <c r="Q62" s="19"/>
      <c r="R62" s="19"/>
      <c r="S62" s="52"/>
      <c r="T62" s="104"/>
      <c r="U62" s="103"/>
      <c r="V62" s="19"/>
      <c r="W62" s="19"/>
      <c r="X62" s="19"/>
      <c r="Y62" s="52"/>
      <c r="Z62" s="52"/>
      <c r="AA62" s="57"/>
      <c r="AB62" s="564"/>
      <c r="AC62" s="103"/>
      <c r="AD62" s="19"/>
      <c r="AE62" s="19"/>
      <c r="AF62" s="19"/>
      <c r="AG62" s="52"/>
      <c r="AH62" s="52"/>
      <c r="AI62" s="57"/>
      <c r="AJ62" s="564"/>
      <c r="AK62" s="103"/>
      <c r="AL62" s="19"/>
      <c r="AM62" s="19"/>
      <c r="AN62" s="19"/>
      <c r="AO62" s="52"/>
      <c r="AP62" s="52"/>
      <c r="AQ62" s="57"/>
      <c r="AR62" s="564"/>
      <c r="AS62" s="18"/>
      <c r="AT62" s="19"/>
      <c r="AU62" s="19"/>
      <c r="AV62" s="19"/>
      <c r="AW62" s="52"/>
      <c r="AX62" s="52"/>
      <c r="AY62" s="57"/>
      <c r="AZ62" s="109"/>
      <c r="BA62" s="109"/>
      <c r="BB62" s="549"/>
      <c r="BC62" s="550"/>
      <c r="BD62" s="104"/>
      <c r="BE62" s="103"/>
      <c r="BF62" s="19"/>
      <c r="BG62" s="19"/>
      <c r="BH62" s="20"/>
      <c r="BI62" s="104"/>
      <c r="BJ62" s="9"/>
    </row>
    <row r="63" spans="1:62">
      <c r="A63" s="519">
        <f>IF('Student DATA Entry'!A59="","",'Student DATA Entry'!A59)</f>
        <v>56</v>
      </c>
      <c r="B63" s="528" t="str">
        <f>IF('Student DATA Entry'!B59="","",'Student DATA Entry'!B59)</f>
        <v/>
      </c>
      <c r="C63" s="125" t="str">
        <f>IF('Student DATA Entry'!D59="","",'Student DATA Entry'!D59)</f>
        <v/>
      </c>
      <c r="D63" s="530" t="str">
        <f>IF('Student DATA Entry'!E59="","",'Student DATA Entry'!E59)</f>
        <v/>
      </c>
      <c r="E63" s="532" t="str">
        <f>IF('Student DATA Entry'!I59="","",'Student DATA Entry'!I59)</f>
        <v/>
      </c>
      <c r="F63" s="126" t="str">
        <f>IF('Student DATA Entry'!F59="","",UPPER('Student DATA Entry'!F59))</f>
        <v/>
      </c>
      <c r="G63" s="126" t="str">
        <f>IF('Student DATA Entry'!G59="","",UPPER('Student DATA Entry'!G59))</f>
        <v/>
      </c>
      <c r="H63" s="126" t="str">
        <f>IF('Student DATA Entry'!H59="","",UPPER('Student DATA Entry'!H59))</f>
        <v/>
      </c>
      <c r="I63" s="526" t="str">
        <f>IF('Student DATA Entry'!K59="","",UPPER('Student DATA Entry'!K59))</f>
        <v/>
      </c>
      <c r="J63" s="560" t="str">
        <f>IF('Student DATA Entry'!J59="","",UPPER('Student DATA Entry'!J59))</f>
        <v/>
      </c>
      <c r="K63" s="103"/>
      <c r="L63" s="19"/>
      <c r="M63" s="19"/>
      <c r="N63" s="52"/>
      <c r="O63" s="104"/>
      <c r="P63" s="103"/>
      <c r="Q63" s="19"/>
      <c r="R63" s="19"/>
      <c r="S63" s="52"/>
      <c r="T63" s="104"/>
      <c r="U63" s="103"/>
      <c r="V63" s="19"/>
      <c r="W63" s="19"/>
      <c r="X63" s="19"/>
      <c r="Y63" s="52"/>
      <c r="Z63" s="52"/>
      <c r="AA63" s="57"/>
      <c r="AB63" s="564"/>
      <c r="AC63" s="103"/>
      <c r="AD63" s="19"/>
      <c r="AE63" s="19"/>
      <c r="AF63" s="19"/>
      <c r="AG63" s="52"/>
      <c r="AH63" s="52"/>
      <c r="AI63" s="57"/>
      <c r="AJ63" s="564"/>
      <c r="AK63" s="103"/>
      <c r="AL63" s="19"/>
      <c r="AM63" s="19"/>
      <c r="AN63" s="19"/>
      <c r="AO63" s="52"/>
      <c r="AP63" s="52"/>
      <c r="AQ63" s="57"/>
      <c r="AR63" s="564"/>
      <c r="AS63" s="18"/>
      <c r="AT63" s="19"/>
      <c r="AU63" s="19"/>
      <c r="AV63" s="19"/>
      <c r="AW63" s="52"/>
      <c r="AX63" s="52"/>
      <c r="AY63" s="57"/>
      <c r="AZ63" s="109"/>
      <c r="BA63" s="109"/>
      <c r="BB63" s="549"/>
      <c r="BC63" s="550"/>
      <c r="BD63" s="104"/>
      <c r="BE63" s="103"/>
      <c r="BF63" s="19"/>
      <c r="BG63" s="19"/>
      <c r="BH63" s="20"/>
      <c r="BI63" s="104"/>
      <c r="BJ63" s="9"/>
    </row>
    <row r="64" spans="1:62">
      <c r="A64" s="519">
        <f>IF('Student DATA Entry'!A60="","",'Student DATA Entry'!A60)</f>
        <v>57</v>
      </c>
      <c r="B64" s="528" t="str">
        <f>IF('Student DATA Entry'!B60="","",'Student DATA Entry'!B60)</f>
        <v/>
      </c>
      <c r="C64" s="125" t="str">
        <f>IF('Student DATA Entry'!D60="","",'Student DATA Entry'!D60)</f>
        <v/>
      </c>
      <c r="D64" s="530" t="str">
        <f>IF('Student DATA Entry'!E60="","",'Student DATA Entry'!E60)</f>
        <v/>
      </c>
      <c r="E64" s="532" t="str">
        <f>IF('Student DATA Entry'!I60="","",'Student DATA Entry'!I60)</f>
        <v/>
      </c>
      <c r="F64" s="126" t="str">
        <f>IF('Student DATA Entry'!F60="","",UPPER('Student DATA Entry'!F60))</f>
        <v/>
      </c>
      <c r="G64" s="126" t="str">
        <f>IF('Student DATA Entry'!G60="","",UPPER('Student DATA Entry'!G60))</f>
        <v/>
      </c>
      <c r="H64" s="126" t="str">
        <f>IF('Student DATA Entry'!H60="","",UPPER('Student DATA Entry'!H60))</f>
        <v/>
      </c>
      <c r="I64" s="526" t="str">
        <f>IF('Student DATA Entry'!K60="","",UPPER('Student DATA Entry'!K60))</f>
        <v/>
      </c>
      <c r="J64" s="560" t="str">
        <f>IF('Student DATA Entry'!J60="","",UPPER('Student DATA Entry'!J60))</f>
        <v/>
      </c>
      <c r="K64" s="103"/>
      <c r="L64" s="19"/>
      <c r="M64" s="19"/>
      <c r="N64" s="52"/>
      <c r="O64" s="104"/>
      <c r="P64" s="103"/>
      <c r="Q64" s="19"/>
      <c r="R64" s="19"/>
      <c r="S64" s="52"/>
      <c r="T64" s="104"/>
      <c r="U64" s="103"/>
      <c r="V64" s="19"/>
      <c r="W64" s="19"/>
      <c r="X64" s="19"/>
      <c r="Y64" s="52"/>
      <c r="Z64" s="52"/>
      <c r="AA64" s="57"/>
      <c r="AB64" s="564"/>
      <c r="AC64" s="103"/>
      <c r="AD64" s="19"/>
      <c r="AE64" s="19"/>
      <c r="AF64" s="19"/>
      <c r="AG64" s="52"/>
      <c r="AH64" s="52"/>
      <c r="AI64" s="57"/>
      <c r="AJ64" s="564"/>
      <c r="AK64" s="103"/>
      <c r="AL64" s="19"/>
      <c r="AM64" s="19"/>
      <c r="AN64" s="19"/>
      <c r="AO64" s="52"/>
      <c r="AP64" s="52"/>
      <c r="AQ64" s="57"/>
      <c r="AR64" s="564"/>
      <c r="AS64" s="18"/>
      <c r="AT64" s="19"/>
      <c r="AU64" s="19"/>
      <c r="AV64" s="19"/>
      <c r="AW64" s="52"/>
      <c r="AX64" s="52"/>
      <c r="AY64" s="57"/>
      <c r="AZ64" s="109"/>
      <c r="BA64" s="109"/>
      <c r="BB64" s="549"/>
      <c r="BC64" s="550"/>
      <c r="BD64" s="104"/>
      <c r="BE64" s="103"/>
      <c r="BF64" s="19"/>
      <c r="BG64" s="19"/>
      <c r="BH64" s="20"/>
      <c r="BI64" s="104"/>
      <c r="BJ64" s="9"/>
    </row>
    <row r="65" spans="1:62">
      <c r="A65" s="519">
        <f>IF('Student DATA Entry'!A61="","",'Student DATA Entry'!A61)</f>
        <v>58</v>
      </c>
      <c r="B65" s="528" t="str">
        <f>IF('Student DATA Entry'!B61="","",'Student DATA Entry'!B61)</f>
        <v/>
      </c>
      <c r="C65" s="125" t="str">
        <f>IF('Student DATA Entry'!D61="","",'Student DATA Entry'!D61)</f>
        <v/>
      </c>
      <c r="D65" s="530" t="str">
        <f>IF('Student DATA Entry'!E61="","",'Student DATA Entry'!E61)</f>
        <v/>
      </c>
      <c r="E65" s="532" t="str">
        <f>IF('Student DATA Entry'!I61="","",'Student DATA Entry'!I61)</f>
        <v/>
      </c>
      <c r="F65" s="126" t="str">
        <f>IF('Student DATA Entry'!F61="","",UPPER('Student DATA Entry'!F61))</f>
        <v/>
      </c>
      <c r="G65" s="126" t="str">
        <f>IF('Student DATA Entry'!G61="","",UPPER('Student DATA Entry'!G61))</f>
        <v/>
      </c>
      <c r="H65" s="126" t="str">
        <f>IF('Student DATA Entry'!H61="","",UPPER('Student DATA Entry'!H61))</f>
        <v/>
      </c>
      <c r="I65" s="526" t="str">
        <f>IF('Student DATA Entry'!K61="","",UPPER('Student DATA Entry'!K61))</f>
        <v/>
      </c>
      <c r="J65" s="560" t="str">
        <f>IF('Student DATA Entry'!J61="","",UPPER('Student DATA Entry'!J61))</f>
        <v/>
      </c>
      <c r="K65" s="103"/>
      <c r="L65" s="19"/>
      <c r="M65" s="19"/>
      <c r="N65" s="52"/>
      <c r="O65" s="104"/>
      <c r="P65" s="103"/>
      <c r="Q65" s="19"/>
      <c r="R65" s="19"/>
      <c r="S65" s="52"/>
      <c r="T65" s="104"/>
      <c r="U65" s="103"/>
      <c r="V65" s="19"/>
      <c r="W65" s="19"/>
      <c r="X65" s="19"/>
      <c r="Y65" s="52"/>
      <c r="Z65" s="52"/>
      <c r="AA65" s="57"/>
      <c r="AB65" s="564"/>
      <c r="AC65" s="103"/>
      <c r="AD65" s="19"/>
      <c r="AE65" s="19"/>
      <c r="AF65" s="19"/>
      <c r="AG65" s="52"/>
      <c r="AH65" s="52"/>
      <c r="AI65" s="57"/>
      <c r="AJ65" s="564"/>
      <c r="AK65" s="103"/>
      <c r="AL65" s="19"/>
      <c r="AM65" s="19"/>
      <c r="AN65" s="19"/>
      <c r="AO65" s="52"/>
      <c r="AP65" s="52"/>
      <c r="AQ65" s="57"/>
      <c r="AR65" s="564"/>
      <c r="AS65" s="18"/>
      <c r="AT65" s="19"/>
      <c r="AU65" s="19"/>
      <c r="AV65" s="19"/>
      <c r="AW65" s="52"/>
      <c r="AX65" s="52"/>
      <c r="AY65" s="57"/>
      <c r="AZ65" s="109"/>
      <c r="BA65" s="109"/>
      <c r="BB65" s="549"/>
      <c r="BC65" s="550"/>
      <c r="BD65" s="104"/>
      <c r="BE65" s="103"/>
      <c r="BF65" s="19"/>
      <c r="BG65" s="19"/>
      <c r="BH65" s="20"/>
      <c r="BI65" s="104"/>
      <c r="BJ65" s="9"/>
    </row>
    <row r="66" spans="1:62">
      <c r="A66" s="519">
        <f>IF('Student DATA Entry'!A62="","",'Student DATA Entry'!A62)</f>
        <v>59</v>
      </c>
      <c r="B66" s="528" t="str">
        <f>IF('Student DATA Entry'!B62="","",'Student DATA Entry'!B62)</f>
        <v/>
      </c>
      <c r="C66" s="125" t="str">
        <f>IF('Student DATA Entry'!D62="","",'Student DATA Entry'!D62)</f>
        <v/>
      </c>
      <c r="D66" s="530" t="str">
        <f>IF('Student DATA Entry'!E62="","",'Student DATA Entry'!E62)</f>
        <v/>
      </c>
      <c r="E66" s="532" t="str">
        <f>IF('Student DATA Entry'!I62="","",'Student DATA Entry'!I62)</f>
        <v/>
      </c>
      <c r="F66" s="126" t="str">
        <f>IF('Student DATA Entry'!F62="","",UPPER('Student DATA Entry'!F62))</f>
        <v/>
      </c>
      <c r="G66" s="126" t="str">
        <f>IF('Student DATA Entry'!G62="","",UPPER('Student DATA Entry'!G62))</f>
        <v/>
      </c>
      <c r="H66" s="126" t="str">
        <f>IF('Student DATA Entry'!H62="","",UPPER('Student DATA Entry'!H62))</f>
        <v/>
      </c>
      <c r="I66" s="526" t="str">
        <f>IF('Student DATA Entry'!K62="","",UPPER('Student DATA Entry'!K62))</f>
        <v/>
      </c>
      <c r="J66" s="560" t="str">
        <f>IF('Student DATA Entry'!J62="","",UPPER('Student DATA Entry'!J62))</f>
        <v/>
      </c>
      <c r="K66" s="103"/>
      <c r="L66" s="19"/>
      <c r="M66" s="19"/>
      <c r="N66" s="52"/>
      <c r="O66" s="104"/>
      <c r="P66" s="103"/>
      <c r="Q66" s="19"/>
      <c r="R66" s="19"/>
      <c r="S66" s="52"/>
      <c r="T66" s="104"/>
      <c r="U66" s="103"/>
      <c r="V66" s="19"/>
      <c r="W66" s="19"/>
      <c r="X66" s="19"/>
      <c r="Y66" s="52"/>
      <c r="Z66" s="52"/>
      <c r="AA66" s="57"/>
      <c r="AB66" s="564"/>
      <c r="AC66" s="103"/>
      <c r="AD66" s="19"/>
      <c r="AE66" s="19"/>
      <c r="AF66" s="19"/>
      <c r="AG66" s="52"/>
      <c r="AH66" s="52"/>
      <c r="AI66" s="57"/>
      <c r="AJ66" s="564"/>
      <c r="AK66" s="103"/>
      <c r="AL66" s="19"/>
      <c r="AM66" s="19"/>
      <c r="AN66" s="19"/>
      <c r="AO66" s="52"/>
      <c r="AP66" s="52"/>
      <c r="AQ66" s="57"/>
      <c r="AR66" s="564"/>
      <c r="AS66" s="18"/>
      <c r="AT66" s="19"/>
      <c r="AU66" s="19"/>
      <c r="AV66" s="19"/>
      <c r="AW66" s="52"/>
      <c r="AX66" s="52"/>
      <c r="AY66" s="57"/>
      <c r="AZ66" s="109"/>
      <c r="BA66" s="109"/>
      <c r="BB66" s="549"/>
      <c r="BC66" s="550"/>
      <c r="BD66" s="104"/>
      <c r="BE66" s="103"/>
      <c r="BF66" s="19"/>
      <c r="BG66" s="19"/>
      <c r="BH66" s="20"/>
      <c r="BI66" s="104"/>
      <c r="BJ66" s="9"/>
    </row>
    <row r="67" spans="1:62">
      <c r="A67" s="519">
        <f>IF('Student DATA Entry'!A63="","",'Student DATA Entry'!A63)</f>
        <v>60</v>
      </c>
      <c r="B67" s="528" t="str">
        <f>IF('Student DATA Entry'!B63="","",'Student DATA Entry'!B63)</f>
        <v/>
      </c>
      <c r="C67" s="125" t="str">
        <f>IF('Student DATA Entry'!D63="","",'Student DATA Entry'!D63)</f>
        <v/>
      </c>
      <c r="D67" s="530" t="str">
        <f>IF('Student DATA Entry'!E63="","",'Student DATA Entry'!E63)</f>
        <v/>
      </c>
      <c r="E67" s="532" t="str">
        <f>IF('Student DATA Entry'!I63="","",'Student DATA Entry'!I63)</f>
        <v/>
      </c>
      <c r="F67" s="126" t="str">
        <f>IF('Student DATA Entry'!F63="","",UPPER('Student DATA Entry'!F63))</f>
        <v/>
      </c>
      <c r="G67" s="126" t="str">
        <f>IF('Student DATA Entry'!G63="","",UPPER('Student DATA Entry'!G63))</f>
        <v/>
      </c>
      <c r="H67" s="126" t="str">
        <f>IF('Student DATA Entry'!H63="","",UPPER('Student DATA Entry'!H63))</f>
        <v/>
      </c>
      <c r="I67" s="526" t="str">
        <f>IF('Student DATA Entry'!K63="","",UPPER('Student DATA Entry'!K63))</f>
        <v/>
      </c>
      <c r="J67" s="560" t="str">
        <f>IF('Student DATA Entry'!J63="","",UPPER('Student DATA Entry'!J63))</f>
        <v/>
      </c>
      <c r="K67" s="103"/>
      <c r="L67" s="19"/>
      <c r="M67" s="19"/>
      <c r="N67" s="52"/>
      <c r="O67" s="104"/>
      <c r="P67" s="103"/>
      <c r="Q67" s="19"/>
      <c r="R67" s="19"/>
      <c r="S67" s="52"/>
      <c r="T67" s="104"/>
      <c r="U67" s="103"/>
      <c r="V67" s="19"/>
      <c r="W67" s="19"/>
      <c r="X67" s="19"/>
      <c r="Y67" s="52"/>
      <c r="Z67" s="52"/>
      <c r="AA67" s="57"/>
      <c r="AB67" s="564"/>
      <c r="AC67" s="103"/>
      <c r="AD67" s="19"/>
      <c r="AE67" s="19"/>
      <c r="AF67" s="19"/>
      <c r="AG67" s="52"/>
      <c r="AH67" s="52"/>
      <c r="AI67" s="57"/>
      <c r="AJ67" s="564"/>
      <c r="AK67" s="103"/>
      <c r="AL67" s="19"/>
      <c r="AM67" s="19"/>
      <c r="AN67" s="19"/>
      <c r="AO67" s="52"/>
      <c r="AP67" s="52"/>
      <c r="AQ67" s="57"/>
      <c r="AR67" s="564"/>
      <c r="AS67" s="18"/>
      <c r="AT67" s="19"/>
      <c r="AU67" s="19"/>
      <c r="AV67" s="19"/>
      <c r="AW67" s="52"/>
      <c r="AX67" s="52"/>
      <c r="AY67" s="57"/>
      <c r="AZ67" s="109"/>
      <c r="BA67" s="109"/>
      <c r="BB67" s="549"/>
      <c r="BC67" s="550"/>
      <c r="BD67" s="104"/>
      <c r="BE67" s="103"/>
      <c r="BF67" s="19"/>
      <c r="BG67" s="19"/>
      <c r="BH67" s="20"/>
      <c r="BI67" s="104"/>
      <c r="BJ67" s="9"/>
    </row>
    <row r="68" spans="1:62">
      <c r="A68" s="519">
        <f>IF('Student DATA Entry'!A64="","",'Student DATA Entry'!A64)</f>
        <v>61</v>
      </c>
      <c r="B68" s="528" t="str">
        <f>IF('Student DATA Entry'!B64="","",'Student DATA Entry'!B64)</f>
        <v/>
      </c>
      <c r="C68" s="125" t="str">
        <f>IF('Student DATA Entry'!D64="","",'Student DATA Entry'!D64)</f>
        <v/>
      </c>
      <c r="D68" s="530" t="str">
        <f>IF('Student DATA Entry'!E64="","",'Student DATA Entry'!E64)</f>
        <v/>
      </c>
      <c r="E68" s="532" t="str">
        <f>IF('Student DATA Entry'!I64="","",'Student DATA Entry'!I64)</f>
        <v/>
      </c>
      <c r="F68" s="126" t="str">
        <f>IF('Student DATA Entry'!F64="","",UPPER('Student DATA Entry'!F64))</f>
        <v/>
      </c>
      <c r="G68" s="126" t="str">
        <f>IF('Student DATA Entry'!G64="","",UPPER('Student DATA Entry'!G64))</f>
        <v/>
      </c>
      <c r="H68" s="126" t="str">
        <f>IF('Student DATA Entry'!H64="","",UPPER('Student DATA Entry'!H64))</f>
        <v/>
      </c>
      <c r="I68" s="526" t="str">
        <f>IF('Student DATA Entry'!K64="","",UPPER('Student DATA Entry'!K64))</f>
        <v/>
      </c>
      <c r="J68" s="560" t="str">
        <f>IF('Student DATA Entry'!J64="","",UPPER('Student DATA Entry'!J64))</f>
        <v/>
      </c>
      <c r="K68" s="103"/>
      <c r="L68" s="19"/>
      <c r="M68" s="19"/>
      <c r="N68" s="52"/>
      <c r="O68" s="104"/>
      <c r="P68" s="103"/>
      <c r="Q68" s="19"/>
      <c r="R68" s="19"/>
      <c r="S68" s="52"/>
      <c r="T68" s="104"/>
      <c r="U68" s="103"/>
      <c r="V68" s="19"/>
      <c r="W68" s="19"/>
      <c r="X68" s="19"/>
      <c r="Y68" s="52"/>
      <c r="Z68" s="52"/>
      <c r="AA68" s="57"/>
      <c r="AB68" s="564"/>
      <c r="AC68" s="103"/>
      <c r="AD68" s="19"/>
      <c r="AE68" s="19"/>
      <c r="AF68" s="19"/>
      <c r="AG68" s="52"/>
      <c r="AH68" s="52"/>
      <c r="AI68" s="57"/>
      <c r="AJ68" s="564"/>
      <c r="AK68" s="103"/>
      <c r="AL68" s="19"/>
      <c r="AM68" s="19"/>
      <c r="AN68" s="19"/>
      <c r="AO68" s="52"/>
      <c r="AP68" s="52"/>
      <c r="AQ68" s="57"/>
      <c r="AR68" s="564"/>
      <c r="AS68" s="18"/>
      <c r="AT68" s="19"/>
      <c r="AU68" s="19"/>
      <c r="AV68" s="19"/>
      <c r="AW68" s="52"/>
      <c r="AX68" s="52"/>
      <c r="AY68" s="57"/>
      <c r="AZ68" s="109"/>
      <c r="BA68" s="109"/>
      <c r="BB68" s="549"/>
      <c r="BC68" s="550"/>
      <c r="BD68" s="104"/>
      <c r="BE68" s="103"/>
      <c r="BF68" s="19"/>
      <c r="BG68" s="19"/>
      <c r="BH68" s="20"/>
      <c r="BI68" s="104"/>
      <c r="BJ68" s="9"/>
    </row>
    <row r="69" spans="1:62">
      <c r="A69" s="519">
        <f>IF('Student DATA Entry'!A65="","",'Student DATA Entry'!A65)</f>
        <v>62</v>
      </c>
      <c r="B69" s="528" t="str">
        <f>IF('Student DATA Entry'!B65="","",'Student DATA Entry'!B65)</f>
        <v/>
      </c>
      <c r="C69" s="125" t="str">
        <f>IF('Student DATA Entry'!D65="","",'Student DATA Entry'!D65)</f>
        <v/>
      </c>
      <c r="D69" s="530" t="str">
        <f>IF('Student DATA Entry'!E65="","",'Student DATA Entry'!E65)</f>
        <v/>
      </c>
      <c r="E69" s="532" t="str">
        <f>IF('Student DATA Entry'!I65="","",'Student DATA Entry'!I65)</f>
        <v/>
      </c>
      <c r="F69" s="126" t="str">
        <f>IF('Student DATA Entry'!F65="","",UPPER('Student DATA Entry'!F65))</f>
        <v/>
      </c>
      <c r="G69" s="126" t="str">
        <f>IF('Student DATA Entry'!G65="","",UPPER('Student DATA Entry'!G65))</f>
        <v/>
      </c>
      <c r="H69" s="126" t="str">
        <f>IF('Student DATA Entry'!H65="","",UPPER('Student DATA Entry'!H65))</f>
        <v/>
      </c>
      <c r="I69" s="526" t="str">
        <f>IF('Student DATA Entry'!K65="","",UPPER('Student DATA Entry'!K65))</f>
        <v/>
      </c>
      <c r="J69" s="560" t="str">
        <f>IF('Student DATA Entry'!J65="","",UPPER('Student DATA Entry'!J65))</f>
        <v/>
      </c>
      <c r="K69" s="103"/>
      <c r="L69" s="19"/>
      <c r="M69" s="19"/>
      <c r="N69" s="52"/>
      <c r="O69" s="104"/>
      <c r="P69" s="103"/>
      <c r="Q69" s="19"/>
      <c r="R69" s="19"/>
      <c r="S69" s="52"/>
      <c r="T69" s="104"/>
      <c r="U69" s="103"/>
      <c r="V69" s="19"/>
      <c r="W69" s="19"/>
      <c r="X69" s="19"/>
      <c r="Y69" s="52"/>
      <c r="Z69" s="52"/>
      <c r="AA69" s="57"/>
      <c r="AB69" s="564"/>
      <c r="AC69" s="103"/>
      <c r="AD69" s="19"/>
      <c r="AE69" s="19"/>
      <c r="AF69" s="19"/>
      <c r="AG69" s="52"/>
      <c r="AH69" s="52"/>
      <c r="AI69" s="57"/>
      <c r="AJ69" s="564"/>
      <c r="AK69" s="103"/>
      <c r="AL69" s="19"/>
      <c r="AM69" s="19"/>
      <c r="AN69" s="19"/>
      <c r="AO69" s="52"/>
      <c r="AP69" s="52"/>
      <c r="AQ69" s="57"/>
      <c r="AR69" s="564"/>
      <c r="AS69" s="18"/>
      <c r="AT69" s="19"/>
      <c r="AU69" s="19"/>
      <c r="AV69" s="19"/>
      <c r="AW69" s="52"/>
      <c r="AX69" s="52"/>
      <c r="AY69" s="57"/>
      <c r="AZ69" s="109"/>
      <c r="BA69" s="109"/>
      <c r="BB69" s="549"/>
      <c r="BC69" s="550"/>
      <c r="BD69" s="104"/>
      <c r="BE69" s="103"/>
      <c r="BF69" s="19"/>
      <c r="BG69" s="19"/>
      <c r="BH69" s="20"/>
      <c r="BI69" s="104"/>
      <c r="BJ69" s="9"/>
    </row>
    <row r="70" spans="1:62">
      <c r="A70" s="519">
        <f>IF('Student DATA Entry'!A66="","",'Student DATA Entry'!A66)</f>
        <v>63</v>
      </c>
      <c r="B70" s="528" t="str">
        <f>IF('Student DATA Entry'!B66="","",'Student DATA Entry'!B66)</f>
        <v/>
      </c>
      <c r="C70" s="125" t="str">
        <f>IF('Student DATA Entry'!D66="","",'Student DATA Entry'!D66)</f>
        <v/>
      </c>
      <c r="D70" s="530" t="str">
        <f>IF('Student DATA Entry'!E66="","",'Student DATA Entry'!E66)</f>
        <v/>
      </c>
      <c r="E70" s="532" t="str">
        <f>IF('Student DATA Entry'!I66="","",'Student DATA Entry'!I66)</f>
        <v/>
      </c>
      <c r="F70" s="126" t="str">
        <f>IF('Student DATA Entry'!F66="","",UPPER('Student DATA Entry'!F66))</f>
        <v/>
      </c>
      <c r="G70" s="126" t="str">
        <f>IF('Student DATA Entry'!G66="","",UPPER('Student DATA Entry'!G66))</f>
        <v/>
      </c>
      <c r="H70" s="126" t="str">
        <f>IF('Student DATA Entry'!H66="","",UPPER('Student DATA Entry'!H66))</f>
        <v/>
      </c>
      <c r="I70" s="526" t="str">
        <f>IF('Student DATA Entry'!K66="","",UPPER('Student DATA Entry'!K66))</f>
        <v/>
      </c>
      <c r="J70" s="560" t="str">
        <f>IF('Student DATA Entry'!J66="","",UPPER('Student DATA Entry'!J66))</f>
        <v/>
      </c>
      <c r="K70" s="103"/>
      <c r="L70" s="19"/>
      <c r="M70" s="19"/>
      <c r="N70" s="52"/>
      <c r="O70" s="104"/>
      <c r="P70" s="103"/>
      <c r="Q70" s="19"/>
      <c r="R70" s="19"/>
      <c r="S70" s="52"/>
      <c r="T70" s="104"/>
      <c r="U70" s="103"/>
      <c r="V70" s="19"/>
      <c r="W70" s="19"/>
      <c r="X70" s="19"/>
      <c r="Y70" s="52"/>
      <c r="Z70" s="52"/>
      <c r="AA70" s="57"/>
      <c r="AB70" s="564"/>
      <c r="AC70" s="103"/>
      <c r="AD70" s="19"/>
      <c r="AE70" s="19"/>
      <c r="AF70" s="19"/>
      <c r="AG70" s="52"/>
      <c r="AH70" s="52"/>
      <c r="AI70" s="57"/>
      <c r="AJ70" s="564"/>
      <c r="AK70" s="103"/>
      <c r="AL70" s="19"/>
      <c r="AM70" s="19"/>
      <c r="AN70" s="19"/>
      <c r="AO70" s="52"/>
      <c r="AP70" s="52"/>
      <c r="AQ70" s="57"/>
      <c r="AR70" s="564"/>
      <c r="AS70" s="18"/>
      <c r="AT70" s="19"/>
      <c r="AU70" s="19"/>
      <c r="AV70" s="19"/>
      <c r="AW70" s="52"/>
      <c r="AX70" s="52"/>
      <c r="AY70" s="57"/>
      <c r="AZ70" s="109"/>
      <c r="BA70" s="109"/>
      <c r="BB70" s="549"/>
      <c r="BC70" s="550"/>
      <c r="BD70" s="104"/>
      <c r="BE70" s="103"/>
      <c r="BF70" s="19"/>
      <c r="BG70" s="19"/>
      <c r="BH70" s="20"/>
      <c r="BI70" s="104"/>
      <c r="BJ70" s="9"/>
    </row>
    <row r="71" spans="1:62">
      <c r="A71" s="519">
        <f>IF('Student DATA Entry'!A67="","",'Student DATA Entry'!A67)</f>
        <v>64</v>
      </c>
      <c r="B71" s="528" t="str">
        <f>IF('Student DATA Entry'!B67="","",'Student DATA Entry'!B67)</f>
        <v/>
      </c>
      <c r="C71" s="125" t="str">
        <f>IF('Student DATA Entry'!D67="","",'Student DATA Entry'!D67)</f>
        <v/>
      </c>
      <c r="D71" s="530" t="str">
        <f>IF('Student DATA Entry'!E67="","",'Student DATA Entry'!E67)</f>
        <v/>
      </c>
      <c r="E71" s="532" t="str">
        <f>IF('Student DATA Entry'!I67="","",'Student DATA Entry'!I67)</f>
        <v/>
      </c>
      <c r="F71" s="126" t="str">
        <f>IF('Student DATA Entry'!F67="","",UPPER('Student DATA Entry'!F67))</f>
        <v/>
      </c>
      <c r="G71" s="126" t="str">
        <f>IF('Student DATA Entry'!G67="","",UPPER('Student DATA Entry'!G67))</f>
        <v/>
      </c>
      <c r="H71" s="126" t="str">
        <f>IF('Student DATA Entry'!H67="","",UPPER('Student DATA Entry'!H67))</f>
        <v/>
      </c>
      <c r="I71" s="526" t="str">
        <f>IF('Student DATA Entry'!K67="","",UPPER('Student DATA Entry'!K67))</f>
        <v/>
      </c>
      <c r="J71" s="560" t="str">
        <f>IF('Student DATA Entry'!J67="","",UPPER('Student DATA Entry'!J67))</f>
        <v/>
      </c>
      <c r="K71" s="103"/>
      <c r="L71" s="19"/>
      <c r="M71" s="19"/>
      <c r="N71" s="52"/>
      <c r="O71" s="104"/>
      <c r="P71" s="103"/>
      <c r="Q71" s="19"/>
      <c r="R71" s="19"/>
      <c r="S71" s="52"/>
      <c r="T71" s="104"/>
      <c r="U71" s="103"/>
      <c r="V71" s="19"/>
      <c r="W71" s="19"/>
      <c r="X71" s="19"/>
      <c r="Y71" s="52"/>
      <c r="Z71" s="52"/>
      <c r="AA71" s="57"/>
      <c r="AB71" s="564"/>
      <c r="AC71" s="103"/>
      <c r="AD71" s="19"/>
      <c r="AE71" s="19"/>
      <c r="AF71" s="19"/>
      <c r="AG71" s="52"/>
      <c r="AH71" s="52"/>
      <c r="AI71" s="57"/>
      <c r="AJ71" s="564"/>
      <c r="AK71" s="103"/>
      <c r="AL71" s="19"/>
      <c r="AM71" s="19"/>
      <c r="AN71" s="19"/>
      <c r="AO71" s="52"/>
      <c r="AP71" s="52"/>
      <c r="AQ71" s="57"/>
      <c r="AR71" s="564"/>
      <c r="AS71" s="18"/>
      <c r="AT71" s="19"/>
      <c r="AU71" s="19"/>
      <c r="AV71" s="19"/>
      <c r="AW71" s="52"/>
      <c r="AX71" s="52"/>
      <c r="AY71" s="57"/>
      <c r="AZ71" s="109"/>
      <c r="BA71" s="109"/>
      <c r="BB71" s="549"/>
      <c r="BC71" s="550"/>
      <c r="BD71" s="104"/>
      <c r="BE71" s="103"/>
      <c r="BF71" s="19"/>
      <c r="BG71" s="19"/>
      <c r="BH71" s="20"/>
      <c r="BI71" s="104"/>
      <c r="BJ71" s="9"/>
    </row>
    <row r="72" spans="1:62">
      <c r="A72" s="519">
        <f>IF('Student DATA Entry'!A68="","",'Student DATA Entry'!A68)</f>
        <v>65</v>
      </c>
      <c r="B72" s="528" t="str">
        <f>IF('Student DATA Entry'!B68="","",'Student DATA Entry'!B68)</f>
        <v/>
      </c>
      <c r="C72" s="125" t="str">
        <f>IF('Student DATA Entry'!D68="","",'Student DATA Entry'!D68)</f>
        <v/>
      </c>
      <c r="D72" s="530" t="str">
        <f>IF('Student DATA Entry'!E68="","",'Student DATA Entry'!E68)</f>
        <v/>
      </c>
      <c r="E72" s="532" t="str">
        <f>IF('Student DATA Entry'!I68="","",'Student DATA Entry'!I68)</f>
        <v/>
      </c>
      <c r="F72" s="126" t="str">
        <f>IF('Student DATA Entry'!F68="","",UPPER('Student DATA Entry'!F68))</f>
        <v/>
      </c>
      <c r="G72" s="126" t="str">
        <f>IF('Student DATA Entry'!G68="","",UPPER('Student DATA Entry'!G68))</f>
        <v/>
      </c>
      <c r="H72" s="126" t="str">
        <f>IF('Student DATA Entry'!H68="","",UPPER('Student DATA Entry'!H68))</f>
        <v/>
      </c>
      <c r="I72" s="526" t="str">
        <f>IF('Student DATA Entry'!K68="","",UPPER('Student DATA Entry'!K68))</f>
        <v/>
      </c>
      <c r="J72" s="560" t="str">
        <f>IF('Student DATA Entry'!J68="","",UPPER('Student DATA Entry'!J68))</f>
        <v/>
      </c>
      <c r="K72" s="103"/>
      <c r="L72" s="19"/>
      <c r="M72" s="19"/>
      <c r="N72" s="52"/>
      <c r="O72" s="104"/>
      <c r="P72" s="103"/>
      <c r="Q72" s="19"/>
      <c r="R72" s="19"/>
      <c r="S72" s="52"/>
      <c r="T72" s="104"/>
      <c r="U72" s="103"/>
      <c r="V72" s="19"/>
      <c r="W72" s="19"/>
      <c r="X72" s="19"/>
      <c r="Y72" s="52"/>
      <c r="Z72" s="52"/>
      <c r="AA72" s="57"/>
      <c r="AB72" s="564"/>
      <c r="AC72" s="103"/>
      <c r="AD72" s="19"/>
      <c r="AE72" s="19"/>
      <c r="AF72" s="19"/>
      <c r="AG72" s="52"/>
      <c r="AH72" s="52"/>
      <c r="AI72" s="57"/>
      <c r="AJ72" s="564"/>
      <c r="AK72" s="103"/>
      <c r="AL72" s="19"/>
      <c r="AM72" s="19"/>
      <c r="AN72" s="19"/>
      <c r="AO72" s="52"/>
      <c r="AP72" s="52"/>
      <c r="AQ72" s="57"/>
      <c r="AR72" s="564"/>
      <c r="AS72" s="18"/>
      <c r="AT72" s="19"/>
      <c r="AU72" s="19"/>
      <c r="AV72" s="19"/>
      <c r="AW72" s="52"/>
      <c r="AX72" s="52"/>
      <c r="AY72" s="57"/>
      <c r="AZ72" s="109"/>
      <c r="BA72" s="109"/>
      <c r="BB72" s="549"/>
      <c r="BC72" s="550"/>
      <c r="BD72" s="104"/>
      <c r="BE72" s="103"/>
      <c r="BF72" s="19"/>
      <c r="BG72" s="19"/>
      <c r="BH72" s="20"/>
      <c r="BI72" s="104"/>
      <c r="BJ72" s="9"/>
    </row>
    <row r="73" spans="1:62">
      <c r="A73" s="519">
        <f>IF('Student DATA Entry'!A69="","",'Student DATA Entry'!A69)</f>
        <v>66</v>
      </c>
      <c r="B73" s="528" t="str">
        <f>IF('Student DATA Entry'!B69="","",'Student DATA Entry'!B69)</f>
        <v/>
      </c>
      <c r="C73" s="125" t="str">
        <f>IF('Student DATA Entry'!D69="","",'Student DATA Entry'!D69)</f>
        <v/>
      </c>
      <c r="D73" s="530" t="str">
        <f>IF('Student DATA Entry'!E69="","",'Student DATA Entry'!E69)</f>
        <v/>
      </c>
      <c r="E73" s="532" t="str">
        <f>IF('Student DATA Entry'!I69="","",'Student DATA Entry'!I69)</f>
        <v/>
      </c>
      <c r="F73" s="126" t="str">
        <f>IF('Student DATA Entry'!F69="","",UPPER('Student DATA Entry'!F69))</f>
        <v/>
      </c>
      <c r="G73" s="126" t="str">
        <f>IF('Student DATA Entry'!G69="","",UPPER('Student DATA Entry'!G69))</f>
        <v/>
      </c>
      <c r="H73" s="126" t="str">
        <f>IF('Student DATA Entry'!H69="","",UPPER('Student DATA Entry'!H69))</f>
        <v/>
      </c>
      <c r="I73" s="526" t="str">
        <f>IF('Student DATA Entry'!K69="","",UPPER('Student DATA Entry'!K69))</f>
        <v/>
      </c>
      <c r="J73" s="560" t="str">
        <f>IF('Student DATA Entry'!J69="","",UPPER('Student DATA Entry'!J69))</f>
        <v/>
      </c>
      <c r="K73" s="103"/>
      <c r="L73" s="19"/>
      <c r="M73" s="19"/>
      <c r="N73" s="52"/>
      <c r="O73" s="104"/>
      <c r="P73" s="103"/>
      <c r="Q73" s="19"/>
      <c r="R73" s="19"/>
      <c r="S73" s="52"/>
      <c r="T73" s="104"/>
      <c r="U73" s="103"/>
      <c r="V73" s="19"/>
      <c r="W73" s="19"/>
      <c r="X73" s="19"/>
      <c r="Y73" s="52"/>
      <c r="Z73" s="52"/>
      <c r="AA73" s="57"/>
      <c r="AB73" s="564"/>
      <c r="AC73" s="103"/>
      <c r="AD73" s="19"/>
      <c r="AE73" s="19"/>
      <c r="AF73" s="19"/>
      <c r="AG73" s="52"/>
      <c r="AH73" s="52"/>
      <c r="AI73" s="57"/>
      <c r="AJ73" s="564"/>
      <c r="AK73" s="103"/>
      <c r="AL73" s="19"/>
      <c r="AM73" s="19"/>
      <c r="AN73" s="19"/>
      <c r="AO73" s="52"/>
      <c r="AP73" s="52"/>
      <c r="AQ73" s="57"/>
      <c r="AR73" s="564"/>
      <c r="AS73" s="18"/>
      <c r="AT73" s="19"/>
      <c r="AU73" s="19"/>
      <c r="AV73" s="19"/>
      <c r="AW73" s="52"/>
      <c r="AX73" s="52"/>
      <c r="AY73" s="57"/>
      <c r="AZ73" s="109"/>
      <c r="BA73" s="109"/>
      <c r="BB73" s="549"/>
      <c r="BC73" s="550"/>
      <c r="BD73" s="104"/>
      <c r="BE73" s="103"/>
      <c r="BF73" s="19"/>
      <c r="BG73" s="19"/>
      <c r="BH73" s="20"/>
      <c r="BI73" s="104"/>
      <c r="BJ73" s="9"/>
    </row>
    <row r="74" spans="1:62">
      <c r="A74" s="519">
        <f>IF('Student DATA Entry'!A70="","",'Student DATA Entry'!A70)</f>
        <v>67</v>
      </c>
      <c r="B74" s="528" t="str">
        <f>IF('Student DATA Entry'!B70="","",'Student DATA Entry'!B70)</f>
        <v/>
      </c>
      <c r="C74" s="125" t="str">
        <f>IF('Student DATA Entry'!D70="","",'Student DATA Entry'!D70)</f>
        <v/>
      </c>
      <c r="D74" s="530" t="str">
        <f>IF('Student DATA Entry'!E70="","",'Student DATA Entry'!E70)</f>
        <v/>
      </c>
      <c r="E74" s="532" t="str">
        <f>IF('Student DATA Entry'!I70="","",'Student DATA Entry'!I70)</f>
        <v/>
      </c>
      <c r="F74" s="126" t="str">
        <f>IF('Student DATA Entry'!F70="","",UPPER('Student DATA Entry'!F70))</f>
        <v/>
      </c>
      <c r="G74" s="126" t="str">
        <f>IF('Student DATA Entry'!G70="","",UPPER('Student DATA Entry'!G70))</f>
        <v/>
      </c>
      <c r="H74" s="126" t="str">
        <f>IF('Student DATA Entry'!H70="","",UPPER('Student DATA Entry'!H70))</f>
        <v/>
      </c>
      <c r="I74" s="526" t="str">
        <f>IF('Student DATA Entry'!K70="","",UPPER('Student DATA Entry'!K70))</f>
        <v/>
      </c>
      <c r="J74" s="560" t="str">
        <f>IF('Student DATA Entry'!J70="","",UPPER('Student DATA Entry'!J70))</f>
        <v/>
      </c>
      <c r="K74" s="103"/>
      <c r="L74" s="19"/>
      <c r="M74" s="19"/>
      <c r="N74" s="52"/>
      <c r="O74" s="104"/>
      <c r="P74" s="103"/>
      <c r="Q74" s="19"/>
      <c r="R74" s="19"/>
      <c r="S74" s="52"/>
      <c r="T74" s="104"/>
      <c r="U74" s="103"/>
      <c r="V74" s="19"/>
      <c r="W74" s="19"/>
      <c r="X74" s="19"/>
      <c r="Y74" s="52"/>
      <c r="Z74" s="52"/>
      <c r="AA74" s="57"/>
      <c r="AB74" s="564"/>
      <c r="AC74" s="103"/>
      <c r="AD74" s="19"/>
      <c r="AE74" s="19"/>
      <c r="AF74" s="19"/>
      <c r="AG74" s="52"/>
      <c r="AH74" s="52"/>
      <c r="AI74" s="57"/>
      <c r="AJ74" s="564"/>
      <c r="AK74" s="103"/>
      <c r="AL74" s="19"/>
      <c r="AM74" s="19"/>
      <c r="AN74" s="19"/>
      <c r="AO74" s="52"/>
      <c r="AP74" s="52"/>
      <c r="AQ74" s="57"/>
      <c r="AR74" s="564"/>
      <c r="AS74" s="18"/>
      <c r="AT74" s="19"/>
      <c r="AU74" s="19"/>
      <c r="AV74" s="19"/>
      <c r="AW74" s="52"/>
      <c r="AX74" s="52"/>
      <c r="AY74" s="57"/>
      <c r="AZ74" s="109"/>
      <c r="BA74" s="109"/>
      <c r="BB74" s="549"/>
      <c r="BC74" s="550"/>
      <c r="BD74" s="104"/>
      <c r="BE74" s="103"/>
      <c r="BF74" s="19"/>
      <c r="BG74" s="19"/>
      <c r="BH74" s="20"/>
      <c r="BI74" s="104"/>
      <c r="BJ74" s="9"/>
    </row>
    <row r="75" spans="1:62">
      <c r="A75" s="519">
        <f>IF('Student DATA Entry'!A71="","",'Student DATA Entry'!A71)</f>
        <v>68</v>
      </c>
      <c r="B75" s="528" t="str">
        <f>IF('Student DATA Entry'!B71="","",'Student DATA Entry'!B71)</f>
        <v/>
      </c>
      <c r="C75" s="125" t="str">
        <f>IF('Student DATA Entry'!D71="","",'Student DATA Entry'!D71)</f>
        <v/>
      </c>
      <c r="D75" s="530" t="str">
        <f>IF('Student DATA Entry'!E71="","",'Student DATA Entry'!E71)</f>
        <v/>
      </c>
      <c r="E75" s="532" t="str">
        <f>IF('Student DATA Entry'!I71="","",'Student DATA Entry'!I71)</f>
        <v/>
      </c>
      <c r="F75" s="126" t="str">
        <f>IF('Student DATA Entry'!F71="","",UPPER('Student DATA Entry'!F71))</f>
        <v/>
      </c>
      <c r="G75" s="126" t="str">
        <f>IF('Student DATA Entry'!G71="","",UPPER('Student DATA Entry'!G71))</f>
        <v/>
      </c>
      <c r="H75" s="126" t="str">
        <f>IF('Student DATA Entry'!H71="","",UPPER('Student DATA Entry'!H71))</f>
        <v/>
      </c>
      <c r="I75" s="526" t="str">
        <f>IF('Student DATA Entry'!K71="","",UPPER('Student DATA Entry'!K71))</f>
        <v/>
      </c>
      <c r="J75" s="560" t="str">
        <f>IF('Student DATA Entry'!J71="","",UPPER('Student DATA Entry'!J71))</f>
        <v/>
      </c>
      <c r="K75" s="103"/>
      <c r="L75" s="19"/>
      <c r="M75" s="19"/>
      <c r="N75" s="52"/>
      <c r="O75" s="104"/>
      <c r="P75" s="103"/>
      <c r="Q75" s="19"/>
      <c r="R75" s="19"/>
      <c r="S75" s="52"/>
      <c r="T75" s="104"/>
      <c r="U75" s="103"/>
      <c r="V75" s="19"/>
      <c r="W75" s="19"/>
      <c r="X75" s="19"/>
      <c r="Y75" s="52"/>
      <c r="Z75" s="52"/>
      <c r="AA75" s="57"/>
      <c r="AB75" s="564"/>
      <c r="AC75" s="103"/>
      <c r="AD75" s="19"/>
      <c r="AE75" s="19"/>
      <c r="AF75" s="19"/>
      <c r="AG75" s="52"/>
      <c r="AH75" s="52"/>
      <c r="AI75" s="57"/>
      <c r="AJ75" s="564"/>
      <c r="AK75" s="103"/>
      <c r="AL75" s="19"/>
      <c r="AM75" s="19"/>
      <c r="AN75" s="19"/>
      <c r="AO75" s="52"/>
      <c r="AP75" s="52"/>
      <c r="AQ75" s="57"/>
      <c r="AR75" s="564"/>
      <c r="AS75" s="18"/>
      <c r="AT75" s="19"/>
      <c r="AU75" s="19"/>
      <c r="AV75" s="19"/>
      <c r="AW75" s="52"/>
      <c r="AX75" s="52"/>
      <c r="AY75" s="57"/>
      <c r="AZ75" s="109"/>
      <c r="BA75" s="109"/>
      <c r="BB75" s="549"/>
      <c r="BC75" s="550"/>
      <c r="BD75" s="104"/>
      <c r="BE75" s="103"/>
      <c r="BF75" s="19"/>
      <c r="BG75" s="19"/>
      <c r="BH75" s="20"/>
      <c r="BI75" s="104"/>
      <c r="BJ75" s="9"/>
    </row>
    <row r="76" spans="1:62">
      <c r="A76" s="519">
        <f>IF('Student DATA Entry'!A72="","",'Student DATA Entry'!A72)</f>
        <v>69</v>
      </c>
      <c r="B76" s="528" t="str">
        <f>IF('Student DATA Entry'!B72="","",'Student DATA Entry'!B72)</f>
        <v/>
      </c>
      <c r="C76" s="125" t="str">
        <f>IF('Student DATA Entry'!D72="","",'Student DATA Entry'!D72)</f>
        <v/>
      </c>
      <c r="D76" s="530" t="str">
        <f>IF('Student DATA Entry'!E72="","",'Student DATA Entry'!E72)</f>
        <v/>
      </c>
      <c r="E76" s="532" t="str">
        <f>IF('Student DATA Entry'!I72="","",'Student DATA Entry'!I72)</f>
        <v/>
      </c>
      <c r="F76" s="126" t="str">
        <f>IF('Student DATA Entry'!F72="","",UPPER('Student DATA Entry'!F72))</f>
        <v/>
      </c>
      <c r="G76" s="126" t="str">
        <f>IF('Student DATA Entry'!G72="","",UPPER('Student DATA Entry'!G72))</f>
        <v/>
      </c>
      <c r="H76" s="126" t="str">
        <f>IF('Student DATA Entry'!H72="","",UPPER('Student DATA Entry'!H72))</f>
        <v/>
      </c>
      <c r="I76" s="526" t="str">
        <f>IF('Student DATA Entry'!K72="","",UPPER('Student DATA Entry'!K72))</f>
        <v/>
      </c>
      <c r="J76" s="560" t="str">
        <f>IF('Student DATA Entry'!J72="","",UPPER('Student DATA Entry'!J72))</f>
        <v/>
      </c>
      <c r="K76" s="103"/>
      <c r="L76" s="19"/>
      <c r="M76" s="19"/>
      <c r="N76" s="52"/>
      <c r="O76" s="104"/>
      <c r="P76" s="103"/>
      <c r="Q76" s="19"/>
      <c r="R76" s="19"/>
      <c r="S76" s="52"/>
      <c r="T76" s="104"/>
      <c r="U76" s="103"/>
      <c r="V76" s="19"/>
      <c r="W76" s="19"/>
      <c r="X76" s="19"/>
      <c r="Y76" s="52"/>
      <c r="Z76" s="52"/>
      <c r="AA76" s="57"/>
      <c r="AB76" s="564"/>
      <c r="AC76" s="103"/>
      <c r="AD76" s="19"/>
      <c r="AE76" s="19"/>
      <c r="AF76" s="19"/>
      <c r="AG76" s="52"/>
      <c r="AH76" s="52"/>
      <c r="AI76" s="57"/>
      <c r="AJ76" s="564"/>
      <c r="AK76" s="103"/>
      <c r="AL76" s="19"/>
      <c r="AM76" s="19"/>
      <c r="AN76" s="19"/>
      <c r="AO76" s="52"/>
      <c r="AP76" s="52"/>
      <c r="AQ76" s="57"/>
      <c r="AR76" s="564"/>
      <c r="AS76" s="18"/>
      <c r="AT76" s="19"/>
      <c r="AU76" s="19"/>
      <c r="AV76" s="19"/>
      <c r="AW76" s="52"/>
      <c r="AX76" s="52"/>
      <c r="AY76" s="57"/>
      <c r="AZ76" s="109"/>
      <c r="BA76" s="109"/>
      <c r="BB76" s="549"/>
      <c r="BC76" s="550"/>
      <c r="BD76" s="104"/>
      <c r="BE76" s="103"/>
      <c r="BF76" s="19"/>
      <c r="BG76" s="19"/>
      <c r="BH76" s="20"/>
      <c r="BI76" s="104"/>
      <c r="BJ76" s="9"/>
    </row>
    <row r="77" spans="1:62">
      <c r="A77" s="519">
        <f>IF('Student DATA Entry'!A73="","",'Student DATA Entry'!A73)</f>
        <v>70</v>
      </c>
      <c r="B77" s="528" t="str">
        <f>IF('Student DATA Entry'!B73="","",'Student DATA Entry'!B73)</f>
        <v/>
      </c>
      <c r="C77" s="125" t="str">
        <f>IF('Student DATA Entry'!D73="","",'Student DATA Entry'!D73)</f>
        <v/>
      </c>
      <c r="D77" s="530" t="str">
        <f>IF('Student DATA Entry'!E73="","",'Student DATA Entry'!E73)</f>
        <v/>
      </c>
      <c r="E77" s="532" t="str">
        <f>IF('Student DATA Entry'!I73="","",'Student DATA Entry'!I73)</f>
        <v/>
      </c>
      <c r="F77" s="126" t="str">
        <f>IF('Student DATA Entry'!F73="","",UPPER('Student DATA Entry'!F73))</f>
        <v/>
      </c>
      <c r="G77" s="126" t="str">
        <f>IF('Student DATA Entry'!G73="","",UPPER('Student DATA Entry'!G73))</f>
        <v/>
      </c>
      <c r="H77" s="126" t="str">
        <f>IF('Student DATA Entry'!H73="","",UPPER('Student DATA Entry'!H73))</f>
        <v/>
      </c>
      <c r="I77" s="526" t="str">
        <f>IF('Student DATA Entry'!K73="","",UPPER('Student DATA Entry'!K73))</f>
        <v/>
      </c>
      <c r="J77" s="560" t="str">
        <f>IF('Student DATA Entry'!J73="","",UPPER('Student DATA Entry'!J73))</f>
        <v/>
      </c>
      <c r="K77" s="103"/>
      <c r="L77" s="19"/>
      <c r="M77" s="19"/>
      <c r="N77" s="52"/>
      <c r="O77" s="104"/>
      <c r="P77" s="103"/>
      <c r="Q77" s="19"/>
      <c r="R77" s="19"/>
      <c r="S77" s="52"/>
      <c r="T77" s="104"/>
      <c r="U77" s="103"/>
      <c r="V77" s="19"/>
      <c r="W77" s="19"/>
      <c r="X77" s="19"/>
      <c r="Y77" s="52"/>
      <c r="Z77" s="52"/>
      <c r="AA77" s="57"/>
      <c r="AB77" s="564"/>
      <c r="AC77" s="103"/>
      <c r="AD77" s="19"/>
      <c r="AE77" s="19"/>
      <c r="AF77" s="19"/>
      <c r="AG77" s="52"/>
      <c r="AH77" s="52"/>
      <c r="AI77" s="57"/>
      <c r="AJ77" s="564"/>
      <c r="AK77" s="103"/>
      <c r="AL77" s="19"/>
      <c r="AM77" s="19"/>
      <c r="AN77" s="19"/>
      <c r="AO77" s="52"/>
      <c r="AP77" s="52"/>
      <c r="AQ77" s="57"/>
      <c r="AR77" s="564"/>
      <c r="AS77" s="18"/>
      <c r="AT77" s="19"/>
      <c r="AU77" s="19"/>
      <c r="AV77" s="19"/>
      <c r="AW77" s="52"/>
      <c r="AX77" s="52"/>
      <c r="AY77" s="57"/>
      <c r="AZ77" s="109"/>
      <c r="BA77" s="109"/>
      <c r="BB77" s="549"/>
      <c r="BC77" s="550"/>
      <c r="BD77" s="104"/>
      <c r="BE77" s="103"/>
      <c r="BF77" s="19"/>
      <c r="BG77" s="19"/>
      <c r="BH77" s="20"/>
      <c r="BI77" s="104"/>
      <c r="BJ77" s="9"/>
    </row>
    <row r="78" spans="1:62">
      <c r="A78" s="519">
        <f>IF('Student DATA Entry'!A74="","",'Student DATA Entry'!A74)</f>
        <v>71</v>
      </c>
      <c r="B78" s="528" t="str">
        <f>IF('Student DATA Entry'!B74="","",'Student DATA Entry'!B74)</f>
        <v/>
      </c>
      <c r="C78" s="125" t="str">
        <f>IF('Student DATA Entry'!D74="","",'Student DATA Entry'!D74)</f>
        <v/>
      </c>
      <c r="D78" s="530" t="str">
        <f>IF('Student DATA Entry'!E74="","",'Student DATA Entry'!E74)</f>
        <v/>
      </c>
      <c r="E78" s="532" t="str">
        <f>IF('Student DATA Entry'!I74="","",'Student DATA Entry'!I74)</f>
        <v/>
      </c>
      <c r="F78" s="126" t="str">
        <f>IF('Student DATA Entry'!F74="","",UPPER('Student DATA Entry'!F74))</f>
        <v/>
      </c>
      <c r="G78" s="126" t="str">
        <f>IF('Student DATA Entry'!G74="","",UPPER('Student DATA Entry'!G74))</f>
        <v/>
      </c>
      <c r="H78" s="126" t="str">
        <f>IF('Student DATA Entry'!H74="","",UPPER('Student DATA Entry'!H74))</f>
        <v/>
      </c>
      <c r="I78" s="526" t="str">
        <f>IF('Student DATA Entry'!K74="","",UPPER('Student DATA Entry'!K74))</f>
        <v/>
      </c>
      <c r="J78" s="560" t="str">
        <f>IF('Student DATA Entry'!J74="","",UPPER('Student DATA Entry'!J74))</f>
        <v/>
      </c>
      <c r="K78" s="103"/>
      <c r="L78" s="19"/>
      <c r="M78" s="19"/>
      <c r="N78" s="52"/>
      <c r="O78" s="104"/>
      <c r="P78" s="103"/>
      <c r="Q78" s="19"/>
      <c r="R78" s="19"/>
      <c r="S78" s="52"/>
      <c r="T78" s="104"/>
      <c r="U78" s="103"/>
      <c r="V78" s="19"/>
      <c r="W78" s="19"/>
      <c r="X78" s="19"/>
      <c r="Y78" s="52"/>
      <c r="Z78" s="52"/>
      <c r="AA78" s="57"/>
      <c r="AB78" s="564"/>
      <c r="AC78" s="103"/>
      <c r="AD78" s="19"/>
      <c r="AE78" s="19"/>
      <c r="AF78" s="19"/>
      <c r="AG78" s="52"/>
      <c r="AH78" s="52"/>
      <c r="AI78" s="57"/>
      <c r="AJ78" s="564"/>
      <c r="AK78" s="103"/>
      <c r="AL78" s="19"/>
      <c r="AM78" s="19"/>
      <c r="AN78" s="19"/>
      <c r="AO78" s="52"/>
      <c r="AP78" s="52"/>
      <c r="AQ78" s="57"/>
      <c r="AR78" s="564"/>
      <c r="AS78" s="18"/>
      <c r="AT78" s="19"/>
      <c r="AU78" s="19"/>
      <c r="AV78" s="19"/>
      <c r="AW78" s="52"/>
      <c r="AX78" s="52"/>
      <c r="AY78" s="57"/>
      <c r="AZ78" s="109"/>
      <c r="BA78" s="109"/>
      <c r="BB78" s="549"/>
      <c r="BC78" s="550"/>
      <c r="BD78" s="104"/>
      <c r="BE78" s="103"/>
      <c r="BF78" s="19"/>
      <c r="BG78" s="19"/>
      <c r="BH78" s="20"/>
      <c r="BI78" s="104"/>
      <c r="BJ78" s="9"/>
    </row>
    <row r="79" spans="1:62">
      <c r="A79" s="519">
        <f>IF('Student DATA Entry'!A75="","",'Student DATA Entry'!A75)</f>
        <v>72</v>
      </c>
      <c r="B79" s="528" t="str">
        <f>IF('Student DATA Entry'!B75="","",'Student DATA Entry'!B75)</f>
        <v/>
      </c>
      <c r="C79" s="125" t="str">
        <f>IF('Student DATA Entry'!D75="","",'Student DATA Entry'!D75)</f>
        <v/>
      </c>
      <c r="D79" s="530" t="str">
        <f>IF('Student DATA Entry'!E75="","",'Student DATA Entry'!E75)</f>
        <v/>
      </c>
      <c r="E79" s="532" t="str">
        <f>IF('Student DATA Entry'!I75="","",'Student DATA Entry'!I75)</f>
        <v/>
      </c>
      <c r="F79" s="126" t="str">
        <f>IF('Student DATA Entry'!F75="","",UPPER('Student DATA Entry'!F75))</f>
        <v/>
      </c>
      <c r="G79" s="126" t="str">
        <f>IF('Student DATA Entry'!G75="","",UPPER('Student DATA Entry'!G75))</f>
        <v/>
      </c>
      <c r="H79" s="126" t="str">
        <f>IF('Student DATA Entry'!H75="","",UPPER('Student DATA Entry'!H75))</f>
        <v/>
      </c>
      <c r="I79" s="526" t="str">
        <f>IF('Student DATA Entry'!K75="","",UPPER('Student DATA Entry'!K75))</f>
        <v/>
      </c>
      <c r="J79" s="560" t="str">
        <f>IF('Student DATA Entry'!J75="","",UPPER('Student DATA Entry'!J75))</f>
        <v/>
      </c>
      <c r="K79" s="103"/>
      <c r="L79" s="19"/>
      <c r="M79" s="19"/>
      <c r="N79" s="52"/>
      <c r="O79" s="104"/>
      <c r="P79" s="103"/>
      <c r="Q79" s="19"/>
      <c r="R79" s="19"/>
      <c r="S79" s="52"/>
      <c r="T79" s="104"/>
      <c r="U79" s="103"/>
      <c r="V79" s="19"/>
      <c r="W79" s="19"/>
      <c r="X79" s="19"/>
      <c r="Y79" s="52"/>
      <c r="Z79" s="52"/>
      <c r="AA79" s="57"/>
      <c r="AB79" s="564"/>
      <c r="AC79" s="103"/>
      <c r="AD79" s="19"/>
      <c r="AE79" s="19"/>
      <c r="AF79" s="19"/>
      <c r="AG79" s="52"/>
      <c r="AH79" s="52"/>
      <c r="AI79" s="57"/>
      <c r="AJ79" s="564"/>
      <c r="AK79" s="103"/>
      <c r="AL79" s="19"/>
      <c r="AM79" s="19"/>
      <c r="AN79" s="19"/>
      <c r="AO79" s="52"/>
      <c r="AP79" s="52"/>
      <c r="AQ79" s="57"/>
      <c r="AR79" s="564"/>
      <c r="AS79" s="18"/>
      <c r="AT79" s="19"/>
      <c r="AU79" s="19"/>
      <c r="AV79" s="19"/>
      <c r="AW79" s="52"/>
      <c r="AX79" s="52"/>
      <c r="AY79" s="57"/>
      <c r="AZ79" s="109"/>
      <c r="BA79" s="109"/>
      <c r="BB79" s="549"/>
      <c r="BC79" s="550"/>
      <c r="BD79" s="104"/>
      <c r="BE79" s="103"/>
      <c r="BF79" s="19"/>
      <c r="BG79" s="19"/>
      <c r="BH79" s="20"/>
      <c r="BI79" s="104"/>
      <c r="BJ79" s="9"/>
    </row>
    <row r="80" spans="1:62">
      <c r="A80" s="519">
        <f>IF('Student DATA Entry'!A76="","",'Student DATA Entry'!A76)</f>
        <v>73</v>
      </c>
      <c r="B80" s="528" t="str">
        <f>IF('Student DATA Entry'!B76="","",'Student DATA Entry'!B76)</f>
        <v/>
      </c>
      <c r="C80" s="125" t="str">
        <f>IF('Student DATA Entry'!D76="","",'Student DATA Entry'!D76)</f>
        <v/>
      </c>
      <c r="D80" s="530" t="str">
        <f>IF('Student DATA Entry'!E76="","",'Student DATA Entry'!E76)</f>
        <v/>
      </c>
      <c r="E80" s="532" t="str">
        <f>IF('Student DATA Entry'!I76="","",'Student DATA Entry'!I76)</f>
        <v/>
      </c>
      <c r="F80" s="126" t="str">
        <f>IF('Student DATA Entry'!F76="","",UPPER('Student DATA Entry'!F76))</f>
        <v/>
      </c>
      <c r="G80" s="126" t="str">
        <f>IF('Student DATA Entry'!G76="","",UPPER('Student DATA Entry'!G76))</f>
        <v/>
      </c>
      <c r="H80" s="126" t="str">
        <f>IF('Student DATA Entry'!H76="","",UPPER('Student DATA Entry'!H76))</f>
        <v/>
      </c>
      <c r="I80" s="526" t="str">
        <f>IF('Student DATA Entry'!K76="","",UPPER('Student DATA Entry'!K76))</f>
        <v/>
      </c>
      <c r="J80" s="560" t="str">
        <f>IF('Student DATA Entry'!J76="","",UPPER('Student DATA Entry'!J76))</f>
        <v/>
      </c>
      <c r="K80" s="103"/>
      <c r="L80" s="19"/>
      <c r="M80" s="19"/>
      <c r="N80" s="52"/>
      <c r="O80" s="104"/>
      <c r="P80" s="103"/>
      <c r="Q80" s="19"/>
      <c r="R80" s="19"/>
      <c r="S80" s="52"/>
      <c r="T80" s="104"/>
      <c r="U80" s="103"/>
      <c r="V80" s="19"/>
      <c r="W80" s="19"/>
      <c r="X80" s="19"/>
      <c r="Y80" s="52"/>
      <c r="Z80" s="52"/>
      <c r="AA80" s="57"/>
      <c r="AB80" s="564"/>
      <c r="AC80" s="103"/>
      <c r="AD80" s="19"/>
      <c r="AE80" s="19"/>
      <c r="AF80" s="19"/>
      <c r="AG80" s="52"/>
      <c r="AH80" s="52"/>
      <c r="AI80" s="57"/>
      <c r="AJ80" s="564"/>
      <c r="AK80" s="103"/>
      <c r="AL80" s="19"/>
      <c r="AM80" s="19"/>
      <c r="AN80" s="19"/>
      <c r="AO80" s="52"/>
      <c r="AP80" s="52"/>
      <c r="AQ80" s="57"/>
      <c r="AR80" s="564"/>
      <c r="AS80" s="18"/>
      <c r="AT80" s="19"/>
      <c r="AU80" s="19"/>
      <c r="AV80" s="19"/>
      <c r="AW80" s="52"/>
      <c r="AX80" s="52"/>
      <c r="AY80" s="57"/>
      <c r="AZ80" s="109"/>
      <c r="BA80" s="109"/>
      <c r="BB80" s="549"/>
      <c r="BC80" s="550"/>
      <c r="BD80" s="104"/>
      <c r="BE80" s="103"/>
      <c r="BF80" s="19"/>
      <c r="BG80" s="19"/>
      <c r="BH80" s="20"/>
      <c r="BI80" s="104"/>
      <c r="BJ80" s="9"/>
    </row>
    <row r="81" spans="1:62">
      <c r="A81" s="519">
        <f>IF('Student DATA Entry'!A77="","",'Student DATA Entry'!A77)</f>
        <v>74</v>
      </c>
      <c r="B81" s="528" t="str">
        <f>IF('Student DATA Entry'!B77="","",'Student DATA Entry'!B77)</f>
        <v/>
      </c>
      <c r="C81" s="125" t="str">
        <f>IF('Student DATA Entry'!D77="","",'Student DATA Entry'!D77)</f>
        <v/>
      </c>
      <c r="D81" s="530" t="str">
        <f>IF('Student DATA Entry'!E77="","",'Student DATA Entry'!E77)</f>
        <v/>
      </c>
      <c r="E81" s="532" t="str">
        <f>IF('Student DATA Entry'!I77="","",'Student DATA Entry'!I77)</f>
        <v/>
      </c>
      <c r="F81" s="126" t="str">
        <f>IF('Student DATA Entry'!F77="","",UPPER('Student DATA Entry'!F77))</f>
        <v/>
      </c>
      <c r="G81" s="126" t="str">
        <f>IF('Student DATA Entry'!G77="","",UPPER('Student DATA Entry'!G77))</f>
        <v/>
      </c>
      <c r="H81" s="126" t="str">
        <f>IF('Student DATA Entry'!H77="","",UPPER('Student DATA Entry'!H77))</f>
        <v/>
      </c>
      <c r="I81" s="526" t="str">
        <f>IF('Student DATA Entry'!K77="","",UPPER('Student DATA Entry'!K77))</f>
        <v/>
      </c>
      <c r="J81" s="560" t="str">
        <f>IF('Student DATA Entry'!J77="","",UPPER('Student DATA Entry'!J77))</f>
        <v/>
      </c>
      <c r="K81" s="103"/>
      <c r="L81" s="19"/>
      <c r="M81" s="19"/>
      <c r="N81" s="52"/>
      <c r="O81" s="104"/>
      <c r="P81" s="103"/>
      <c r="Q81" s="19"/>
      <c r="R81" s="19"/>
      <c r="S81" s="52"/>
      <c r="T81" s="104"/>
      <c r="U81" s="103"/>
      <c r="V81" s="19"/>
      <c r="W81" s="19"/>
      <c r="X81" s="19"/>
      <c r="Y81" s="52"/>
      <c r="Z81" s="52"/>
      <c r="AA81" s="57"/>
      <c r="AB81" s="564"/>
      <c r="AC81" s="103"/>
      <c r="AD81" s="19"/>
      <c r="AE81" s="19"/>
      <c r="AF81" s="19"/>
      <c r="AG81" s="52"/>
      <c r="AH81" s="52"/>
      <c r="AI81" s="57"/>
      <c r="AJ81" s="564"/>
      <c r="AK81" s="103"/>
      <c r="AL81" s="19"/>
      <c r="AM81" s="19"/>
      <c r="AN81" s="19"/>
      <c r="AO81" s="52"/>
      <c r="AP81" s="52"/>
      <c r="AQ81" s="57"/>
      <c r="AR81" s="564"/>
      <c r="AS81" s="18"/>
      <c r="AT81" s="19"/>
      <c r="AU81" s="19"/>
      <c r="AV81" s="19"/>
      <c r="AW81" s="52"/>
      <c r="AX81" s="52"/>
      <c r="AY81" s="57"/>
      <c r="AZ81" s="109"/>
      <c r="BA81" s="109"/>
      <c r="BB81" s="549"/>
      <c r="BC81" s="550"/>
      <c r="BD81" s="104"/>
      <c r="BE81" s="103"/>
      <c r="BF81" s="19"/>
      <c r="BG81" s="19"/>
      <c r="BH81" s="20"/>
      <c r="BI81" s="104"/>
      <c r="BJ81" s="9"/>
    </row>
    <row r="82" spans="1:62">
      <c r="A82" s="519">
        <f>IF('Student DATA Entry'!A78="","",'Student DATA Entry'!A78)</f>
        <v>75</v>
      </c>
      <c r="B82" s="528" t="str">
        <f>IF('Student DATA Entry'!B78="","",'Student DATA Entry'!B78)</f>
        <v/>
      </c>
      <c r="C82" s="125" t="str">
        <f>IF('Student DATA Entry'!D78="","",'Student DATA Entry'!D78)</f>
        <v/>
      </c>
      <c r="D82" s="530" t="str">
        <f>IF('Student DATA Entry'!E78="","",'Student DATA Entry'!E78)</f>
        <v/>
      </c>
      <c r="E82" s="532" t="str">
        <f>IF('Student DATA Entry'!I78="","",'Student DATA Entry'!I78)</f>
        <v/>
      </c>
      <c r="F82" s="126" t="str">
        <f>IF('Student DATA Entry'!F78="","",UPPER('Student DATA Entry'!F78))</f>
        <v/>
      </c>
      <c r="G82" s="126" t="str">
        <f>IF('Student DATA Entry'!G78="","",UPPER('Student DATA Entry'!G78))</f>
        <v/>
      </c>
      <c r="H82" s="126" t="str">
        <f>IF('Student DATA Entry'!H78="","",UPPER('Student DATA Entry'!H78))</f>
        <v/>
      </c>
      <c r="I82" s="526" t="str">
        <f>IF('Student DATA Entry'!K78="","",UPPER('Student DATA Entry'!K78))</f>
        <v/>
      </c>
      <c r="J82" s="560" t="str">
        <f>IF('Student DATA Entry'!J78="","",UPPER('Student DATA Entry'!J78))</f>
        <v/>
      </c>
      <c r="K82" s="103"/>
      <c r="L82" s="19"/>
      <c r="M82" s="19"/>
      <c r="N82" s="52"/>
      <c r="O82" s="104"/>
      <c r="P82" s="103"/>
      <c r="Q82" s="19"/>
      <c r="R82" s="19"/>
      <c r="S82" s="52"/>
      <c r="T82" s="104"/>
      <c r="U82" s="103"/>
      <c r="V82" s="19"/>
      <c r="W82" s="19"/>
      <c r="X82" s="19"/>
      <c r="Y82" s="52"/>
      <c r="Z82" s="52"/>
      <c r="AA82" s="57"/>
      <c r="AB82" s="564"/>
      <c r="AC82" s="103"/>
      <c r="AD82" s="19"/>
      <c r="AE82" s="19"/>
      <c r="AF82" s="19"/>
      <c r="AG82" s="52"/>
      <c r="AH82" s="52"/>
      <c r="AI82" s="57"/>
      <c r="AJ82" s="564"/>
      <c r="AK82" s="103"/>
      <c r="AL82" s="19"/>
      <c r="AM82" s="19"/>
      <c r="AN82" s="19"/>
      <c r="AO82" s="52"/>
      <c r="AP82" s="52"/>
      <c r="AQ82" s="57"/>
      <c r="AR82" s="564"/>
      <c r="AS82" s="18"/>
      <c r="AT82" s="19"/>
      <c r="AU82" s="19"/>
      <c r="AV82" s="19"/>
      <c r="AW82" s="52"/>
      <c r="AX82" s="52"/>
      <c r="AY82" s="57"/>
      <c r="AZ82" s="109"/>
      <c r="BA82" s="109"/>
      <c r="BB82" s="549"/>
      <c r="BC82" s="550"/>
      <c r="BD82" s="104"/>
      <c r="BE82" s="103"/>
      <c r="BF82" s="19"/>
      <c r="BG82" s="19"/>
      <c r="BH82" s="20"/>
      <c r="BI82" s="104"/>
      <c r="BJ82" s="9"/>
    </row>
    <row r="83" spans="1:62">
      <c r="A83" s="519">
        <f>IF('Student DATA Entry'!A79="","",'Student DATA Entry'!A79)</f>
        <v>76</v>
      </c>
      <c r="B83" s="528" t="str">
        <f>IF('Student DATA Entry'!B79="","",'Student DATA Entry'!B79)</f>
        <v/>
      </c>
      <c r="C83" s="125" t="str">
        <f>IF('Student DATA Entry'!D79="","",'Student DATA Entry'!D79)</f>
        <v/>
      </c>
      <c r="D83" s="530" t="str">
        <f>IF('Student DATA Entry'!E79="","",'Student DATA Entry'!E79)</f>
        <v/>
      </c>
      <c r="E83" s="532" t="str">
        <f>IF('Student DATA Entry'!I79="","",'Student DATA Entry'!I79)</f>
        <v/>
      </c>
      <c r="F83" s="126" t="str">
        <f>IF('Student DATA Entry'!F79="","",UPPER('Student DATA Entry'!F79))</f>
        <v/>
      </c>
      <c r="G83" s="126" t="str">
        <f>IF('Student DATA Entry'!G79="","",UPPER('Student DATA Entry'!G79))</f>
        <v/>
      </c>
      <c r="H83" s="126" t="str">
        <f>IF('Student DATA Entry'!H79="","",UPPER('Student DATA Entry'!H79))</f>
        <v/>
      </c>
      <c r="I83" s="526" t="str">
        <f>IF('Student DATA Entry'!K79="","",UPPER('Student DATA Entry'!K79))</f>
        <v/>
      </c>
      <c r="J83" s="560" t="str">
        <f>IF('Student DATA Entry'!J79="","",UPPER('Student DATA Entry'!J79))</f>
        <v/>
      </c>
      <c r="K83" s="103"/>
      <c r="L83" s="19"/>
      <c r="M83" s="19"/>
      <c r="N83" s="52"/>
      <c r="O83" s="104"/>
      <c r="P83" s="103"/>
      <c r="Q83" s="19"/>
      <c r="R83" s="19"/>
      <c r="S83" s="52"/>
      <c r="T83" s="104"/>
      <c r="U83" s="103"/>
      <c r="V83" s="19"/>
      <c r="W83" s="19"/>
      <c r="X83" s="19"/>
      <c r="Y83" s="52"/>
      <c r="Z83" s="52"/>
      <c r="AA83" s="57"/>
      <c r="AB83" s="564"/>
      <c r="AC83" s="103"/>
      <c r="AD83" s="19"/>
      <c r="AE83" s="19"/>
      <c r="AF83" s="19"/>
      <c r="AG83" s="52"/>
      <c r="AH83" s="52"/>
      <c r="AI83" s="57"/>
      <c r="AJ83" s="564"/>
      <c r="AK83" s="103"/>
      <c r="AL83" s="19"/>
      <c r="AM83" s="19"/>
      <c r="AN83" s="19"/>
      <c r="AO83" s="52"/>
      <c r="AP83" s="52"/>
      <c r="AQ83" s="57"/>
      <c r="AR83" s="564"/>
      <c r="AS83" s="18"/>
      <c r="AT83" s="19"/>
      <c r="AU83" s="19"/>
      <c r="AV83" s="19"/>
      <c r="AW83" s="52"/>
      <c r="AX83" s="52"/>
      <c r="AY83" s="57"/>
      <c r="AZ83" s="109"/>
      <c r="BA83" s="109"/>
      <c r="BB83" s="549"/>
      <c r="BC83" s="550"/>
      <c r="BD83" s="104"/>
      <c r="BE83" s="103"/>
      <c r="BF83" s="19"/>
      <c r="BG83" s="19"/>
      <c r="BH83" s="20"/>
      <c r="BI83" s="104"/>
      <c r="BJ83" s="9"/>
    </row>
    <row r="84" spans="1:62">
      <c r="A84" s="519">
        <f>IF('Student DATA Entry'!A80="","",'Student DATA Entry'!A80)</f>
        <v>77</v>
      </c>
      <c r="B84" s="528" t="str">
        <f>IF('Student DATA Entry'!B80="","",'Student DATA Entry'!B80)</f>
        <v/>
      </c>
      <c r="C84" s="125" t="str">
        <f>IF('Student DATA Entry'!D80="","",'Student DATA Entry'!D80)</f>
        <v/>
      </c>
      <c r="D84" s="530" t="str">
        <f>IF('Student DATA Entry'!E80="","",'Student DATA Entry'!E80)</f>
        <v/>
      </c>
      <c r="E84" s="532" t="str">
        <f>IF('Student DATA Entry'!I80="","",'Student DATA Entry'!I80)</f>
        <v/>
      </c>
      <c r="F84" s="126" t="str">
        <f>IF('Student DATA Entry'!F80="","",UPPER('Student DATA Entry'!F80))</f>
        <v/>
      </c>
      <c r="G84" s="126" t="str">
        <f>IF('Student DATA Entry'!G80="","",UPPER('Student DATA Entry'!G80))</f>
        <v/>
      </c>
      <c r="H84" s="126" t="str">
        <f>IF('Student DATA Entry'!H80="","",UPPER('Student DATA Entry'!H80))</f>
        <v/>
      </c>
      <c r="I84" s="526" t="str">
        <f>IF('Student DATA Entry'!K80="","",UPPER('Student DATA Entry'!K80))</f>
        <v/>
      </c>
      <c r="J84" s="560" t="str">
        <f>IF('Student DATA Entry'!J80="","",UPPER('Student DATA Entry'!J80))</f>
        <v/>
      </c>
      <c r="K84" s="103"/>
      <c r="L84" s="19"/>
      <c r="M84" s="19"/>
      <c r="N84" s="52"/>
      <c r="O84" s="104"/>
      <c r="P84" s="103"/>
      <c r="Q84" s="19"/>
      <c r="R84" s="19"/>
      <c r="S84" s="52"/>
      <c r="T84" s="104"/>
      <c r="U84" s="103"/>
      <c r="V84" s="19"/>
      <c r="W84" s="19"/>
      <c r="X84" s="19"/>
      <c r="Y84" s="52"/>
      <c r="Z84" s="52"/>
      <c r="AA84" s="57"/>
      <c r="AB84" s="564"/>
      <c r="AC84" s="103"/>
      <c r="AD84" s="19"/>
      <c r="AE84" s="19"/>
      <c r="AF84" s="19"/>
      <c r="AG84" s="52"/>
      <c r="AH84" s="52"/>
      <c r="AI84" s="57"/>
      <c r="AJ84" s="564"/>
      <c r="AK84" s="103"/>
      <c r="AL84" s="19"/>
      <c r="AM84" s="19"/>
      <c r="AN84" s="19"/>
      <c r="AO84" s="52"/>
      <c r="AP84" s="52"/>
      <c r="AQ84" s="57"/>
      <c r="AR84" s="564"/>
      <c r="AS84" s="18"/>
      <c r="AT84" s="19"/>
      <c r="AU84" s="19"/>
      <c r="AV84" s="19"/>
      <c r="AW84" s="52"/>
      <c r="AX84" s="52"/>
      <c r="AY84" s="57"/>
      <c r="AZ84" s="109"/>
      <c r="BA84" s="109"/>
      <c r="BB84" s="549"/>
      <c r="BC84" s="550"/>
      <c r="BD84" s="104"/>
      <c r="BE84" s="103"/>
      <c r="BF84" s="19"/>
      <c r="BG84" s="19"/>
      <c r="BH84" s="20"/>
      <c r="BI84" s="104"/>
      <c r="BJ84" s="9"/>
    </row>
    <row r="85" spans="1:62">
      <c r="A85" s="519">
        <f>IF('Student DATA Entry'!A81="","",'Student DATA Entry'!A81)</f>
        <v>78</v>
      </c>
      <c r="B85" s="528" t="str">
        <f>IF('Student DATA Entry'!B81="","",'Student DATA Entry'!B81)</f>
        <v/>
      </c>
      <c r="C85" s="125" t="str">
        <f>IF('Student DATA Entry'!D81="","",'Student DATA Entry'!D81)</f>
        <v/>
      </c>
      <c r="D85" s="530" t="str">
        <f>IF('Student DATA Entry'!E81="","",'Student DATA Entry'!E81)</f>
        <v/>
      </c>
      <c r="E85" s="532" t="str">
        <f>IF('Student DATA Entry'!I81="","",'Student DATA Entry'!I81)</f>
        <v/>
      </c>
      <c r="F85" s="126" t="str">
        <f>IF('Student DATA Entry'!F81="","",UPPER('Student DATA Entry'!F81))</f>
        <v/>
      </c>
      <c r="G85" s="126" t="str">
        <f>IF('Student DATA Entry'!G81="","",UPPER('Student DATA Entry'!G81))</f>
        <v/>
      </c>
      <c r="H85" s="126" t="str">
        <f>IF('Student DATA Entry'!H81="","",UPPER('Student DATA Entry'!H81))</f>
        <v/>
      </c>
      <c r="I85" s="526" t="str">
        <f>IF('Student DATA Entry'!K81="","",UPPER('Student DATA Entry'!K81))</f>
        <v/>
      </c>
      <c r="J85" s="560" t="str">
        <f>IF('Student DATA Entry'!J81="","",UPPER('Student DATA Entry'!J81))</f>
        <v/>
      </c>
      <c r="K85" s="103"/>
      <c r="L85" s="19"/>
      <c r="M85" s="19"/>
      <c r="N85" s="52"/>
      <c r="O85" s="104"/>
      <c r="P85" s="103"/>
      <c r="Q85" s="19"/>
      <c r="R85" s="19"/>
      <c r="S85" s="52"/>
      <c r="T85" s="104"/>
      <c r="U85" s="103"/>
      <c r="V85" s="19"/>
      <c r="W85" s="19"/>
      <c r="X85" s="19"/>
      <c r="Y85" s="52"/>
      <c r="Z85" s="52"/>
      <c r="AA85" s="57"/>
      <c r="AB85" s="564"/>
      <c r="AC85" s="103"/>
      <c r="AD85" s="19"/>
      <c r="AE85" s="19"/>
      <c r="AF85" s="19"/>
      <c r="AG85" s="52"/>
      <c r="AH85" s="52"/>
      <c r="AI85" s="57"/>
      <c r="AJ85" s="564"/>
      <c r="AK85" s="103"/>
      <c r="AL85" s="19"/>
      <c r="AM85" s="19"/>
      <c r="AN85" s="19"/>
      <c r="AO85" s="52"/>
      <c r="AP85" s="52"/>
      <c r="AQ85" s="57"/>
      <c r="AR85" s="564"/>
      <c r="AS85" s="18"/>
      <c r="AT85" s="19"/>
      <c r="AU85" s="19"/>
      <c r="AV85" s="19"/>
      <c r="AW85" s="52"/>
      <c r="AX85" s="52"/>
      <c r="AY85" s="57"/>
      <c r="AZ85" s="109"/>
      <c r="BA85" s="109"/>
      <c r="BB85" s="549"/>
      <c r="BC85" s="550"/>
      <c r="BD85" s="104"/>
      <c r="BE85" s="103"/>
      <c r="BF85" s="19"/>
      <c r="BG85" s="19"/>
      <c r="BH85" s="20"/>
      <c r="BI85" s="104"/>
      <c r="BJ85" s="9"/>
    </row>
    <row r="86" spans="1:62">
      <c r="A86" s="519">
        <f>IF('Student DATA Entry'!A82="","",'Student DATA Entry'!A82)</f>
        <v>79</v>
      </c>
      <c r="B86" s="528" t="str">
        <f>IF('Student DATA Entry'!B82="","",'Student DATA Entry'!B82)</f>
        <v/>
      </c>
      <c r="C86" s="125" t="str">
        <f>IF('Student DATA Entry'!D82="","",'Student DATA Entry'!D82)</f>
        <v/>
      </c>
      <c r="D86" s="530" t="str">
        <f>IF('Student DATA Entry'!E82="","",'Student DATA Entry'!E82)</f>
        <v/>
      </c>
      <c r="E86" s="532" t="str">
        <f>IF('Student DATA Entry'!I82="","",'Student DATA Entry'!I82)</f>
        <v/>
      </c>
      <c r="F86" s="126" t="str">
        <f>IF('Student DATA Entry'!F82="","",UPPER('Student DATA Entry'!F82))</f>
        <v/>
      </c>
      <c r="G86" s="126" t="str">
        <f>IF('Student DATA Entry'!G82="","",UPPER('Student DATA Entry'!G82))</f>
        <v/>
      </c>
      <c r="H86" s="126" t="str">
        <f>IF('Student DATA Entry'!H82="","",UPPER('Student DATA Entry'!H82))</f>
        <v/>
      </c>
      <c r="I86" s="526" t="str">
        <f>IF('Student DATA Entry'!K82="","",UPPER('Student DATA Entry'!K82))</f>
        <v/>
      </c>
      <c r="J86" s="560" t="str">
        <f>IF('Student DATA Entry'!J82="","",UPPER('Student DATA Entry'!J82))</f>
        <v/>
      </c>
      <c r="K86" s="103"/>
      <c r="L86" s="19"/>
      <c r="M86" s="19"/>
      <c r="N86" s="52"/>
      <c r="O86" s="104"/>
      <c r="P86" s="103"/>
      <c r="Q86" s="19"/>
      <c r="R86" s="19"/>
      <c r="S86" s="52"/>
      <c r="T86" s="104"/>
      <c r="U86" s="103"/>
      <c r="V86" s="19"/>
      <c r="W86" s="19"/>
      <c r="X86" s="19"/>
      <c r="Y86" s="52"/>
      <c r="Z86" s="52"/>
      <c r="AA86" s="57"/>
      <c r="AB86" s="564"/>
      <c r="AC86" s="103"/>
      <c r="AD86" s="19"/>
      <c r="AE86" s="19"/>
      <c r="AF86" s="19"/>
      <c r="AG86" s="52"/>
      <c r="AH86" s="52"/>
      <c r="AI86" s="57"/>
      <c r="AJ86" s="564"/>
      <c r="AK86" s="103"/>
      <c r="AL86" s="19"/>
      <c r="AM86" s="19"/>
      <c r="AN86" s="19"/>
      <c r="AO86" s="52"/>
      <c r="AP86" s="52"/>
      <c r="AQ86" s="57"/>
      <c r="AR86" s="564"/>
      <c r="AS86" s="18"/>
      <c r="AT86" s="19"/>
      <c r="AU86" s="19"/>
      <c r="AV86" s="19"/>
      <c r="AW86" s="52"/>
      <c r="AX86" s="52"/>
      <c r="AY86" s="57"/>
      <c r="AZ86" s="109"/>
      <c r="BA86" s="109"/>
      <c r="BB86" s="549"/>
      <c r="BC86" s="550"/>
      <c r="BD86" s="104"/>
      <c r="BE86" s="103"/>
      <c r="BF86" s="19"/>
      <c r="BG86" s="19"/>
      <c r="BH86" s="20"/>
      <c r="BI86" s="104"/>
      <c r="BJ86" s="9"/>
    </row>
    <row r="87" spans="1:62">
      <c r="A87" s="519">
        <f>IF('Student DATA Entry'!A83="","",'Student DATA Entry'!A83)</f>
        <v>80</v>
      </c>
      <c r="B87" s="528" t="str">
        <f>IF('Student DATA Entry'!B83="","",'Student DATA Entry'!B83)</f>
        <v/>
      </c>
      <c r="C87" s="125" t="str">
        <f>IF('Student DATA Entry'!D83="","",'Student DATA Entry'!D83)</f>
        <v/>
      </c>
      <c r="D87" s="530" t="str">
        <f>IF('Student DATA Entry'!E83="","",'Student DATA Entry'!E83)</f>
        <v/>
      </c>
      <c r="E87" s="532" t="str">
        <f>IF('Student DATA Entry'!I83="","",'Student DATA Entry'!I83)</f>
        <v/>
      </c>
      <c r="F87" s="126" t="str">
        <f>IF('Student DATA Entry'!F83="","",UPPER('Student DATA Entry'!F83))</f>
        <v/>
      </c>
      <c r="G87" s="126" t="str">
        <f>IF('Student DATA Entry'!G83="","",UPPER('Student DATA Entry'!G83))</f>
        <v/>
      </c>
      <c r="H87" s="126" t="str">
        <f>IF('Student DATA Entry'!H83="","",UPPER('Student DATA Entry'!H83))</f>
        <v/>
      </c>
      <c r="I87" s="526" t="str">
        <f>IF('Student DATA Entry'!K83="","",UPPER('Student DATA Entry'!K83))</f>
        <v/>
      </c>
      <c r="J87" s="560" t="str">
        <f>IF('Student DATA Entry'!J83="","",UPPER('Student DATA Entry'!J83))</f>
        <v/>
      </c>
      <c r="K87" s="103"/>
      <c r="L87" s="19"/>
      <c r="M87" s="19"/>
      <c r="N87" s="52"/>
      <c r="O87" s="104"/>
      <c r="P87" s="103"/>
      <c r="Q87" s="19"/>
      <c r="R87" s="19"/>
      <c r="S87" s="52"/>
      <c r="T87" s="104"/>
      <c r="U87" s="103"/>
      <c r="V87" s="19"/>
      <c r="W87" s="19"/>
      <c r="X87" s="19"/>
      <c r="Y87" s="52"/>
      <c r="Z87" s="52"/>
      <c r="AA87" s="57"/>
      <c r="AB87" s="564"/>
      <c r="AC87" s="103"/>
      <c r="AD87" s="19"/>
      <c r="AE87" s="19"/>
      <c r="AF87" s="19"/>
      <c r="AG87" s="52"/>
      <c r="AH87" s="52"/>
      <c r="AI87" s="57"/>
      <c r="AJ87" s="564"/>
      <c r="AK87" s="103"/>
      <c r="AL87" s="19"/>
      <c r="AM87" s="19"/>
      <c r="AN87" s="19"/>
      <c r="AO87" s="52"/>
      <c r="AP87" s="52"/>
      <c r="AQ87" s="57"/>
      <c r="AR87" s="564"/>
      <c r="AS87" s="18"/>
      <c r="AT87" s="19"/>
      <c r="AU87" s="19"/>
      <c r="AV87" s="19"/>
      <c r="AW87" s="52"/>
      <c r="AX87" s="52"/>
      <c r="AY87" s="57"/>
      <c r="AZ87" s="109"/>
      <c r="BA87" s="109"/>
      <c r="BB87" s="549"/>
      <c r="BC87" s="550"/>
      <c r="BD87" s="104"/>
      <c r="BE87" s="103"/>
      <c r="BF87" s="19"/>
      <c r="BG87" s="19"/>
      <c r="BH87" s="20"/>
      <c r="BI87" s="104"/>
      <c r="BJ87" s="9"/>
    </row>
    <row r="88" spans="1:62">
      <c r="A88" s="519">
        <f>IF('Student DATA Entry'!A84="","",'Student DATA Entry'!A84)</f>
        <v>81</v>
      </c>
      <c r="B88" s="528" t="str">
        <f>IF('Student DATA Entry'!B84="","",'Student DATA Entry'!B84)</f>
        <v/>
      </c>
      <c r="C88" s="125" t="str">
        <f>IF('Student DATA Entry'!D84="","",'Student DATA Entry'!D84)</f>
        <v/>
      </c>
      <c r="D88" s="530" t="str">
        <f>IF('Student DATA Entry'!E84="","",'Student DATA Entry'!E84)</f>
        <v/>
      </c>
      <c r="E88" s="532" t="str">
        <f>IF('Student DATA Entry'!I84="","",'Student DATA Entry'!I84)</f>
        <v/>
      </c>
      <c r="F88" s="126" t="str">
        <f>IF('Student DATA Entry'!F84="","",UPPER('Student DATA Entry'!F84))</f>
        <v/>
      </c>
      <c r="G88" s="126" t="str">
        <f>IF('Student DATA Entry'!G84="","",UPPER('Student DATA Entry'!G84))</f>
        <v/>
      </c>
      <c r="H88" s="126" t="str">
        <f>IF('Student DATA Entry'!H84="","",UPPER('Student DATA Entry'!H84))</f>
        <v/>
      </c>
      <c r="I88" s="526" t="str">
        <f>IF('Student DATA Entry'!K84="","",UPPER('Student DATA Entry'!K84))</f>
        <v/>
      </c>
      <c r="J88" s="560" t="str">
        <f>IF('Student DATA Entry'!J84="","",UPPER('Student DATA Entry'!J84))</f>
        <v/>
      </c>
      <c r="K88" s="103"/>
      <c r="L88" s="19"/>
      <c r="M88" s="19"/>
      <c r="N88" s="52"/>
      <c r="O88" s="104"/>
      <c r="P88" s="103"/>
      <c r="Q88" s="19"/>
      <c r="R88" s="19"/>
      <c r="S88" s="52"/>
      <c r="T88" s="104"/>
      <c r="U88" s="103"/>
      <c r="V88" s="19"/>
      <c r="W88" s="19"/>
      <c r="X88" s="19"/>
      <c r="Y88" s="52"/>
      <c r="Z88" s="52"/>
      <c r="AA88" s="57"/>
      <c r="AB88" s="564"/>
      <c r="AC88" s="103"/>
      <c r="AD88" s="19"/>
      <c r="AE88" s="19"/>
      <c r="AF88" s="19"/>
      <c r="AG88" s="52"/>
      <c r="AH88" s="52"/>
      <c r="AI88" s="57"/>
      <c r="AJ88" s="564"/>
      <c r="AK88" s="103"/>
      <c r="AL88" s="19"/>
      <c r="AM88" s="19"/>
      <c r="AN88" s="19"/>
      <c r="AO88" s="52"/>
      <c r="AP88" s="52"/>
      <c r="AQ88" s="57"/>
      <c r="AR88" s="564"/>
      <c r="AS88" s="18"/>
      <c r="AT88" s="19"/>
      <c r="AU88" s="19"/>
      <c r="AV88" s="19"/>
      <c r="AW88" s="52"/>
      <c r="AX88" s="52"/>
      <c r="AY88" s="57"/>
      <c r="AZ88" s="109"/>
      <c r="BA88" s="109"/>
      <c r="BB88" s="549"/>
      <c r="BC88" s="550"/>
      <c r="BD88" s="104"/>
      <c r="BE88" s="103"/>
      <c r="BF88" s="19"/>
      <c r="BG88" s="19"/>
      <c r="BH88" s="20"/>
      <c r="BI88" s="104"/>
      <c r="BJ88" s="9"/>
    </row>
    <row r="89" spans="1:62">
      <c r="A89" s="519">
        <f>IF('Student DATA Entry'!A85="","",'Student DATA Entry'!A85)</f>
        <v>82</v>
      </c>
      <c r="B89" s="528" t="str">
        <f>IF('Student DATA Entry'!B85="","",'Student DATA Entry'!B85)</f>
        <v/>
      </c>
      <c r="C89" s="125" t="str">
        <f>IF('Student DATA Entry'!D85="","",'Student DATA Entry'!D85)</f>
        <v/>
      </c>
      <c r="D89" s="530" t="str">
        <f>IF('Student DATA Entry'!E85="","",'Student DATA Entry'!E85)</f>
        <v/>
      </c>
      <c r="E89" s="532" t="str">
        <f>IF('Student DATA Entry'!I85="","",'Student DATA Entry'!I85)</f>
        <v/>
      </c>
      <c r="F89" s="126" t="str">
        <f>IF('Student DATA Entry'!F85="","",UPPER('Student DATA Entry'!F85))</f>
        <v/>
      </c>
      <c r="G89" s="126" t="str">
        <f>IF('Student DATA Entry'!G85="","",UPPER('Student DATA Entry'!G85))</f>
        <v/>
      </c>
      <c r="H89" s="126" t="str">
        <f>IF('Student DATA Entry'!H85="","",UPPER('Student DATA Entry'!H85))</f>
        <v/>
      </c>
      <c r="I89" s="526" t="str">
        <f>IF('Student DATA Entry'!K85="","",UPPER('Student DATA Entry'!K85))</f>
        <v/>
      </c>
      <c r="J89" s="560" t="str">
        <f>IF('Student DATA Entry'!J85="","",UPPER('Student DATA Entry'!J85))</f>
        <v/>
      </c>
      <c r="K89" s="103"/>
      <c r="L89" s="19"/>
      <c r="M89" s="19"/>
      <c r="N89" s="52"/>
      <c r="O89" s="104"/>
      <c r="P89" s="103"/>
      <c r="Q89" s="19"/>
      <c r="R89" s="19"/>
      <c r="S89" s="52"/>
      <c r="T89" s="104"/>
      <c r="U89" s="103"/>
      <c r="V89" s="19"/>
      <c r="W89" s="19"/>
      <c r="X89" s="19"/>
      <c r="Y89" s="52"/>
      <c r="Z89" s="52"/>
      <c r="AA89" s="57"/>
      <c r="AB89" s="564"/>
      <c r="AC89" s="103"/>
      <c r="AD89" s="19"/>
      <c r="AE89" s="19"/>
      <c r="AF89" s="19"/>
      <c r="AG89" s="52"/>
      <c r="AH89" s="52"/>
      <c r="AI89" s="57"/>
      <c r="AJ89" s="564"/>
      <c r="AK89" s="103"/>
      <c r="AL89" s="19"/>
      <c r="AM89" s="19"/>
      <c r="AN89" s="19"/>
      <c r="AO89" s="52"/>
      <c r="AP89" s="52"/>
      <c r="AQ89" s="57"/>
      <c r="AR89" s="564"/>
      <c r="AS89" s="18"/>
      <c r="AT89" s="19"/>
      <c r="AU89" s="19"/>
      <c r="AV89" s="19"/>
      <c r="AW89" s="52"/>
      <c r="AX89" s="52"/>
      <c r="AY89" s="57"/>
      <c r="AZ89" s="109"/>
      <c r="BA89" s="109"/>
      <c r="BB89" s="549"/>
      <c r="BC89" s="550"/>
      <c r="BD89" s="104"/>
      <c r="BE89" s="103"/>
      <c r="BF89" s="19"/>
      <c r="BG89" s="19"/>
      <c r="BH89" s="20"/>
      <c r="BI89" s="104"/>
      <c r="BJ89" s="9"/>
    </row>
    <row r="90" spans="1:62">
      <c r="A90" s="519">
        <f>IF('Student DATA Entry'!A86="","",'Student DATA Entry'!A86)</f>
        <v>83</v>
      </c>
      <c r="B90" s="528" t="str">
        <f>IF('Student DATA Entry'!B86="","",'Student DATA Entry'!B86)</f>
        <v/>
      </c>
      <c r="C90" s="125" t="str">
        <f>IF('Student DATA Entry'!D86="","",'Student DATA Entry'!D86)</f>
        <v/>
      </c>
      <c r="D90" s="530" t="str">
        <f>IF('Student DATA Entry'!E86="","",'Student DATA Entry'!E86)</f>
        <v/>
      </c>
      <c r="E90" s="532" t="str">
        <f>IF('Student DATA Entry'!I86="","",'Student DATA Entry'!I86)</f>
        <v/>
      </c>
      <c r="F90" s="126" t="str">
        <f>IF('Student DATA Entry'!F86="","",UPPER('Student DATA Entry'!F86))</f>
        <v/>
      </c>
      <c r="G90" s="126" t="str">
        <f>IF('Student DATA Entry'!G86="","",UPPER('Student DATA Entry'!G86))</f>
        <v/>
      </c>
      <c r="H90" s="126" t="str">
        <f>IF('Student DATA Entry'!H86="","",UPPER('Student DATA Entry'!H86))</f>
        <v/>
      </c>
      <c r="I90" s="526" t="str">
        <f>IF('Student DATA Entry'!K86="","",UPPER('Student DATA Entry'!K86))</f>
        <v/>
      </c>
      <c r="J90" s="560" t="str">
        <f>IF('Student DATA Entry'!J86="","",UPPER('Student DATA Entry'!J86))</f>
        <v/>
      </c>
      <c r="K90" s="103"/>
      <c r="L90" s="19"/>
      <c r="M90" s="19"/>
      <c r="N90" s="52"/>
      <c r="O90" s="104"/>
      <c r="P90" s="103"/>
      <c r="Q90" s="19"/>
      <c r="R90" s="19"/>
      <c r="S90" s="52"/>
      <c r="T90" s="104"/>
      <c r="U90" s="103"/>
      <c r="V90" s="19"/>
      <c r="W90" s="19"/>
      <c r="X90" s="19"/>
      <c r="Y90" s="52"/>
      <c r="Z90" s="52"/>
      <c r="AA90" s="57"/>
      <c r="AB90" s="564"/>
      <c r="AC90" s="103"/>
      <c r="AD90" s="19"/>
      <c r="AE90" s="19"/>
      <c r="AF90" s="19"/>
      <c r="AG90" s="52"/>
      <c r="AH90" s="52"/>
      <c r="AI90" s="57"/>
      <c r="AJ90" s="564"/>
      <c r="AK90" s="103"/>
      <c r="AL90" s="19"/>
      <c r="AM90" s="19"/>
      <c r="AN90" s="19"/>
      <c r="AO90" s="52"/>
      <c r="AP90" s="52"/>
      <c r="AQ90" s="57"/>
      <c r="AR90" s="564"/>
      <c r="AS90" s="18"/>
      <c r="AT90" s="19"/>
      <c r="AU90" s="19"/>
      <c r="AV90" s="19"/>
      <c r="AW90" s="52"/>
      <c r="AX90" s="52"/>
      <c r="AY90" s="57"/>
      <c r="AZ90" s="109"/>
      <c r="BA90" s="109"/>
      <c r="BB90" s="549"/>
      <c r="BC90" s="550"/>
      <c r="BD90" s="104"/>
      <c r="BE90" s="103"/>
      <c r="BF90" s="19"/>
      <c r="BG90" s="19"/>
      <c r="BH90" s="20"/>
      <c r="BI90" s="104"/>
      <c r="BJ90" s="9"/>
    </row>
    <row r="91" spans="1:62">
      <c r="A91" s="519">
        <f>IF('Student DATA Entry'!A87="","",'Student DATA Entry'!A87)</f>
        <v>84</v>
      </c>
      <c r="B91" s="528" t="str">
        <f>IF('Student DATA Entry'!B87="","",'Student DATA Entry'!B87)</f>
        <v/>
      </c>
      <c r="C91" s="125" t="str">
        <f>IF('Student DATA Entry'!D87="","",'Student DATA Entry'!D87)</f>
        <v/>
      </c>
      <c r="D91" s="530" t="str">
        <f>IF('Student DATA Entry'!E87="","",'Student DATA Entry'!E87)</f>
        <v/>
      </c>
      <c r="E91" s="532" t="str">
        <f>IF('Student DATA Entry'!I87="","",'Student DATA Entry'!I87)</f>
        <v/>
      </c>
      <c r="F91" s="126" t="str">
        <f>IF('Student DATA Entry'!F87="","",UPPER('Student DATA Entry'!F87))</f>
        <v/>
      </c>
      <c r="G91" s="126" t="str">
        <f>IF('Student DATA Entry'!G87="","",UPPER('Student DATA Entry'!G87))</f>
        <v/>
      </c>
      <c r="H91" s="126" t="str">
        <f>IF('Student DATA Entry'!H87="","",UPPER('Student DATA Entry'!H87))</f>
        <v/>
      </c>
      <c r="I91" s="526" t="str">
        <f>IF('Student DATA Entry'!K87="","",UPPER('Student DATA Entry'!K87))</f>
        <v/>
      </c>
      <c r="J91" s="560" t="str">
        <f>IF('Student DATA Entry'!J87="","",UPPER('Student DATA Entry'!J87))</f>
        <v/>
      </c>
      <c r="K91" s="103"/>
      <c r="L91" s="19"/>
      <c r="M91" s="19"/>
      <c r="N91" s="52"/>
      <c r="O91" s="104"/>
      <c r="P91" s="103"/>
      <c r="Q91" s="19"/>
      <c r="R91" s="19"/>
      <c r="S91" s="52"/>
      <c r="T91" s="104"/>
      <c r="U91" s="103"/>
      <c r="V91" s="19"/>
      <c r="W91" s="19"/>
      <c r="X91" s="19"/>
      <c r="Y91" s="52"/>
      <c r="Z91" s="52"/>
      <c r="AA91" s="57"/>
      <c r="AB91" s="564"/>
      <c r="AC91" s="103"/>
      <c r="AD91" s="19"/>
      <c r="AE91" s="19"/>
      <c r="AF91" s="19"/>
      <c r="AG91" s="52"/>
      <c r="AH91" s="52"/>
      <c r="AI91" s="57"/>
      <c r="AJ91" s="564"/>
      <c r="AK91" s="103"/>
      <c r="AL91" s="19"/>
      <c r="AM91" s="19"/>
      <c r="AN91" s="19"/>
      <c r="AO91" s="52"/>
      <c r="AP91" s="52"/>
      <c r="AQ91" s="57"/>
      <c r="AR91" s="564"/>
      <c r="AS91" s="18"/>
      <c r="AT91" s="19"/>
      <c r="AU91" s="19"/>
      <c r="AV91" s="19"/>
      <c r="AW91" s="52"/>
      <c r="AX91" s="52"/>
      <c r="AY91" s="57"/>
      <c r="AZ91" s="109"/>
      <c r="BA91" s="109"/>
      <c r="BB91" s="549"/>
      <c r="BC91" s="550"/>
      <c r="BD91" s="104"/>
      <c r="BE91" s="103"/>
      <c r="BF91" s="19"/>
      <c r="BG91" s="19"/>
      <c r="BH91" s="20"/>
      <c r="BI91" s="104"/>
      <c r="BJ91" s="9"/>
    </row>
    <row r="92" spans="1:62">
      <c r="A92" s="519">
        <f>IF('Student DATA Entry'!A88="","",'Student DATA Entry'!A88)</f>
        <v>85</v>
      </c>
      <c r="B92" s="528" t="str">
        <f>IF('Student DATA Entry'!B88="","",'Student DATA Entry'!B88)</f>
        <v/>
      </c>
      <c r="C92" s="125" t="str">
        <f>IF('Student DATA Entry'!D88="","",'Student DATA Entry'!D88)</f>
        <v/>
      </c>
      <c r="D92" s="530" t="str">
        <f>IF('Student DATA Entry'!E88="","",'Student DATA Entry'!E88)</f>
        <v/>
      </c>
      <c r="E92" s="532" t="str">
        <f>IF('Student DATA Entry'!I88="","",'Student DATA Entry'!I88)</f>
        <v/>
      </c>
      <c r="F92" s="126" t="str">
        <f>IF('Student DATA Entry'!F88="","",UPPER('Student DATA Entry'!F88))</f>
        <v/>
      </c>
      <c r="G92" s="126" t="str">
        <f>IF('Student DATA Entry'!G88="","",UPPER('Student DATA Entry'!G88))</f>
        <v/>
      </c>
      <c r="H92" s="126" t="str">
        <f>IF('Student DATA Entry'!H88="","",UPPER('Student DATA Entry'!H88))</f>
        <v/>
      </c>
      <c r="I92" s="526" t="str">
        <f>IF('Student DATA Entry'!K88="","",UPPER('Student DATA Entry'!K88))</f>
        <v/>
      </c>
      <c r="J92" s="560" t="str">
        <f>IF('Student DATA Entry'!J88="","",UPPER('Student DATA Entry'!J88))</f>
        <v/>
      </c>
      <c r="K92" s="103"/>
      <c r="L92" s="19"/>
      <c r="M92" s="19"/>
      <c r="N92" s="52"/>
      <c r="O92" s="104"/>
      <c r="P92" s="103"/>
      <c r="Q92" s="19"/>
      <c r="R92" s="19"/>
      <c r="S92" s="52"/>
      <c r="T92" s="104"/>
      <c r="U92" s="103"/>
      <c r="V92" s="19"/>
      <c r="W92" s="19"/>
      <c r="X92" s="19"/>
      <c r="Y92" s="52"/>
      <c r="Z92" s="52"/>
      <c r="AA92" s="57"/>
      <c r="AB92" s="564"/>
      <c r="AC92" s="103"/>
      <c r="AD92" s="19"/>
      <c r="AE92" s="19"/>
      <c r="AF92" s="19"/>
      <c r="AG92" s="52"/>
      <c r="AH92" s="52"/>
      <c r="AI92" s="57"/>
      <c r="AJ92" s="564"/>
      <c r="AK92" s="103"/>
      <c r="AL92" s="19"/>
      <c r="AM92" s="19"/>
      <c r="AN92" s="19"/>
      <c r="AO92" s="52"/>
      <c r="AP92" s="52"/>
      <c r="AQ92" s="57"/>
      <c r="AR92" s="564"/>
      <c r="AS92" s="18"/>
      <c r="AT92" s="19"/>
      <c r="AU92" s="19"/>
      <c r="AV92" s="19"/>
      <c r="AW92" s="52"/>
      <c r="AX92" s="52"/>
      <c r="AY92" s="57"/>
      <c r="AZ92" s="109"/>
      <c r="BA92" s="109"/>
      <c r="BB92" s="549"/>
      <c r="BC92" s="550"/>
      <c r="BD92" s="104"/>
      <c r="BE92" s="103"/>
      <c r="BF92" s="19"/>
      <c r="BG92" s="19"/>
      <c r="BH92" s="20"/>
      <c r="BI92" s="104"/>
      <c r="BJ92" s="9"/>
    </row>
    <row r="93" spans="1:62">
      <c r="A93" s="519">
        <f>IF('Student DATA Entry'!A89="","",'Student DATA Entry'!A89)</f>
        <v>86</v>
      </c>
      <c r="B93" s="528" t="str">
        <f>IF('Student DATA Entry'!B89="","",'Student DATA Entry'!B89)</f>
        <v/>
      </c>
      <c r="C93" s="125" t="str">
        <f>IF('Student DATA Entry'!D89="","",'Student DATA Entry'!D89)</f>
        <v/>
      </c>
      <c r="D93" s="530" t="str">
        <f>IF('Student DATA Entry'!E89="","",'Student DATA Entry'!E89)</f>
        <v/>
      </c>
      <c r="E93" s="532" t="str">
        <f>IF('Student DATA Entry'!I89="","",'Student DATA Entry'!I89)</f>
        <v/>
      </c>
      <c r="F93" s="126" t="str">
        <f>IF('Student DATA Entry'!F89="","",UPPER('Student DATA Entry'!F89))</f>
        <v/>
      </c>
      <c r="G93" s="126" t="str">
        <f>IF('Student DATA Entry'!G89="","",UPPER('Student DATA Entry'!G89))</f>
        <v/>
      </c>
      <c r="H93" s="126" t="str">
        <f>IF('Student DATA Entry'!H89="","",UPPER('Student DATA Entry'!H89))</f>
        <v/>
      </c>
      <c r="I93" s="526" t="str">
        <f>IF('Student DATA Entry'!K89="","",UPPER('Student DATA Entry'!K89))</f>
        <v/>
      </c>
      <c r="J93" s="560" t="str">
        <f>IF('Student DATA Entry'!J89="","",UPPER('Student DATA Entry'!J89))</f>
        <v/>
      </c>
      <c r="K93" s="103"/>
      <c r="L93" s="19"/>
      <c r="M93" s="19"/>
      <c r="N93" s="52"/>
      <c r="O93" s="104"/>
      <c r="P93" s="103"/>
      <c r="Q93" s="19"/>
      <c r="R93" s="19"/>
      <c r="S93" s="52"/>
      <c r="T93" s="104"/>
      <c r="U93" s="103"/>
      <c r="V93" s="19"/>
      <c r="W93" s="19"/>
      <c r="X93" s="19"/>
      <c r="Y93" s="52"/>
      <c r="Z93" s="52"/>
      <c r="AA93" s="57"/>
      <c r="AB93" s="564"/>
      <c r="AC93" s="103"/>
      <c r="AD93" s="19"/>
      <c r="AE93" s="19"/>
      <c r="AF93" s="19"/>
      <c r="AG93" s="52"/>
      <c r="AH93" s="52"/>
      <c r="AI93" s="57"/>
      <c r="AJ93" s="564"/>
      <c r="AK93" s="103"/>
      <c r="AL93" s="19"/>
      <c r="AM93" s="19"/>
      <c r="AN93" s="19"/>
      <c r="AO93" s="52"/>
      <c r="AP93" s="52"/>
      <c r="AQ93" s="57"/>
      <c r="AR93" s="564"/>
      <c r="AS93" s="18"/>
      <c r="AT93" s="19"/>
      <c r="AU93" s="19"/>
      <c r="AV93" s="19"/>
      <c r="AW93" s="52"/>
      <c r="AX93" s="52"/>
      <c r="AY93" s="57"/>
      <c r="AZ93" s="109"/>
      <c r="BA93" s="109"/>
      <c r="BB93" s="549"/>
      <c r="BC93" s="550"/>
      <c r="BD93" s="104"/>
      <c r="BE93" s="103"/>
      <c r="BF93" s="19"/>
      <c r="BG93" s="19"/>
      <c r="BH93" s="20"/>
      <c r="BI93" s="104"/>
      <c r="BJ93" s="9"/>
    </row>
    <row r="94" spans="1:62">
      <c r="A94" s="519">
        <f>IF('Student DATA Entry'!A90="","",'Student DATA Entry'!A90)</f>
        <v>87</v>
      </c>
      <c r="B94" s="528" t="str">
        <f>IF('Student DATA Entry'!B90="","",'Student DATA Entry'!B90)</f>
        <v/>
      </c>
      <c r="C94" s="125" t="str">
        <f>IF('Student DATA Entry'!D90="","",'Student DATA Entry'!D90)</f>
        <v/>
      </c>
      <c r="D94" s="530" t="str">
        <f>IF('Student DATA Entry'!E90="","",'Student DATA Entry'!E90)</f>
        <v/>
      </c>
      <c r="E94" s="532" t="str">
        <f>IF('Student DATA Entry'!I90="","",'Student DATA Entry'!I90)</f>
        <v/>
      </c>
      <c r="F94" s="126" t="str">
        <f>IF('Student DATA Entry'!F90="","",UPPER('Student DATA Entry'!F90))</f>
        <v/>
      </c>
      <c r="G94" s="126" t="str">
        <f>IF('Student DATA Entry'!G90="","",UPPER('Student DATA Entry'!G90))</f>
        <v/>
      </c>
      <c r="H94" s="126" t="str">
        <f>IF('Student DATA Entry'!H90="","",UPPER('Student DATA Entry'!H90))</f>
        <v/>
      </c>
      <c r="I94" s="526" t="str">
        <f>IF('Student DATA Entry'!K90="","",UPPER('Student DATA Entry'!K90))</f>
        <v/>
      </c>
      <c r="J94" s="560" t="str">
        <f>IF('Student DATA Entry'!J90="","",UPPER('Student DATA Entry'!J90))</f>
        <v/>
      </c>
      <c r="K94" s="103"/>
      <c r="L94" s="19"/>
      <c r="M94" s="19"/>
      <c r="N94" s="52"/>
      <c r="O94" s="104"/>
      <c r="P94" s="103"/>
      <c r="Q94" s="19"/>
      <c r="R94" s="19"/>
      <c r="S94" s="52"/>
      <c r="T94" s="104"/>
      <c r="U94" s="103"/>
      <c r="V94" s="19"/>
      <c r="W94" s="19"/>
      <c r="X94" s="19"/>
      <c r="Y94" s="52"/>
      <c r="Z94" s="52"/>
      <c r="AA94" s="57"/>
      <c r="AB94" s="564"/>
      <c r="AC94" s="103"/>
      <c r="AD94" s="19"/>
      <c r="AE94" s="19"/>
      <c r="AF94" s="19"/>
      <c r="AG94" s="52"/>
      <c r="AH94" s="52"/>
      <c r="AI94" s="57"/>
      <c r="AJ94" s="564"/>
      <c r="AK94" s="103"/>
      <c r="AL94" s="19"/>
      <c r="AM94" s="19"/>
      <c r="AN94" s="19"/>
      <c r="AO94" s="52"/>
      <c r="AP94" s="52"/>
      <c r="AQ94" s="57"/>
      <c r="AR94" s="564"/>
      <c r="AS94" s="18"/>
      <c r="AT94" s="19"/>
      <c r="AU94" s="19"/>
      <c r="AV94" s="19"/>
      <c r="AW94" s="52"/>
      <c r="AX94" s="52"/>
      <c r="AY94" s="57"/>
      <c r="AZ94" s="109"/>
      <c r="BA94" s="109"/>
      <c r="BB94" s="549"/>
      <c r="BC94" s="550"/>
      <c r="BD94" s="104"/>
      <c r="BE94" s="103"/>
      <c r="BF94" s="19"/>
      <c r="BG94" s="19"/>
      <c r="BH94" s="20"/>
      <c r="BI94" s="104"/>
      <c r="BJ94" s="9"/>
    </row>
    <row r="95" spans="1:62">
      <c r="A95" s="519">
        <f>IF('Student DATA Entry'!A91="","",'Student DATA Entry'!A91)</f>
        <v>88</v>
      </c>
      <c r="B95" s="528" t="str">
        <f>IF('Student DATA Entry'!B91="","",'Student DATA Entry'!B91)</f>
        <v/>
      </c>
      <c r="C95" s="125" t="str">
        <f>IF('Student DATA Entry'!D91="","",'Student DATA Entry'!D91)</f>
        <v/>
      </c>
      <c r="D95" s="530" t="str">
        <f>IF('Student DATA Entry'!E91="","",'Student DATA Entry'!E91)</f>
        <v/>
      </c>
      <c r="E95" s="532" t="str">
        <f>IF('Student DATA Entry'!I91="","",'Student DATA Entry'!I91)</f>
        <v/>
      </c>
      <c r="F95" s="126" t="str">
        <f>IF('Student DATA Entry'!F91="","",UPPER('Student DATA Entry'!F91))</f>
        <v/>
      </c>
      <c r="G95" s="126" t="str">
        <f>IF('Student DATA Entry'!G91="","",UPPER('Student DATA Entry'!G91))</f>
        <v/>
      </c>
      <c r="H95" s="126" t="str">
        <f>IF('Student DATA Entry'!H91="","",UPPER('Student DATA Entry'!H91))</f>
        <v/>
      </c>
      <c r="I95" s="526" t="str">
        <f>IF('Student DATA Entry'!K91="","",UPPER('Student DATA Entry'!K91))</f>
        <v/>
      </c>
      <c r="J95" s="560" t="str">
        <f>IF('Student DATA Entry'!J91="","",UPPER('Student DATA Entry'!J91))</f>
        <v/>
      </c>
      <c r="K95" s="103"/>
      <c r="L95" s="19"/>
      <c r="M95" s="19"/>
      <c r="N95" s="52"/>
      <c r="O95" s="104"/>
      <c r="P95" s="103"/>
      <c r="Q95" s="19"/>
      <c r="R95" s="19"/>
      <c r="S95" s="52"/>
      <c r="T95" s="104"/>
      <c r="U95" s="103"/>
      <c r="V95" s="19"/>
      <c r="W95" s="19"/>
      <c r="X95" s="19"/>
      <c r="Y95" s="52"/>
      <c r="Z95" s="52"/>
      <c r="AA95" s="57"/>
      <c r="AB95" s="564"/>
      <c r="AC95" s="103"/>
      <c r="AD95" s="19"/>
      <c r="AE95" s="19"/>
      <c r="AF95" s="19"/>
      <c r="AG95" s="52"/>
      <c r="AH95" s="52"/>
      <c r="AI95" s="57"/>
      <c r="AJ95" s="564"/>
      <c r="AK95" s="103"/>
      <c r="AL95" s="19"/>
      <c r="AM95" s="19"/>
      <c r="AN95" s="19"/>
      <c r="AO95" s="52"/>
      <c r="AP95" s="52"/>
      <c r="AQ95" s="57"/>
      <c r="AR95" s="564"/>
      <c r="AS95" s="18"/>
      <c r="AT95" s="19"/>
      <c r="AU95" s="19"/>
      <c r="AV95" s="19"/>
      <c r="AW95" s="52"/>
      <c r="AX95" s="52"/>
      <c r="AY95" s="57"/>
      <c r="AZ95" s="109"/>
      <c r="BA95" s="109"/>
      <c r="BB95" s="549"/>
      <c r="BC95" s="550"/>
      <c r="BD95" s="104"/>
      <c r="BE95" s="103"/>
      <c r="BF95" s="19"/>
      <c r="BG95" s="19"/>
      <c r="BH95" s="20"/>
      <c r="BI95" s="104"/>
      <c r="BJ95" s="9"/>
    </row>
    <row r="96" spans="1:62">
      <c r="A96" s="519">
        <f>IF('Student DATA Entry'!A92="","",'Student DATA Entry'!A92)</f>
        <v>89</v>
      </c>
      <c r="B96" s="528" t="str">
        <f>IF('Student DATA Entry'!B92="","",'Student DATA Entry'!B92)</f>
        <v/>
      </c>
      <c r="C96" s="125" t="str">
        <f>IF('Student DATA Entry'!D92="","",'Student DATA Entry'!D92)</f>
        <v/>
      </c>
      <c r="D96" s="530" t="str">
        <f>IF('Student DATA Entry'!E92="","",'Student DATA Entry'!E92)</f>
        <v/>
      </c>
      <c r="E96" s="532" t="str">
        <f>IF('Student DATA Entry'!I92="","",'Student DATA Entry'!I92)</f>
        <v/>
      </c>
      <c r="F96" s="126" t="str">
        <f>IF('Student DATA Entry'!F92="","",UPPER('Student DATA Entry'!F92))</f>
        <v/>
      </c>
      <c r="G96" s="126" t="str">
        <f>IF('Student DATA Entry'!G92="","",UPPER('Student DATA Entry'!G92))</f>
        <v/>
      </c>
      <c r="H96" s="126" t="str">
        <f>IF('Student DATA Entry'!H92="","",UPPER('Student DATA Entry'!H92))</f>
        <v/>
      </c>
      <c r="I96" s="526" t="str">
        <f>IF('Student DATA Entry'!K92="","",UPPER('Student DATA Entry'!K92))</f>
        <v/>
      </c>
      <c r="J96" s="560" t="str">
        <f>IF('Student DATA Entry'!J92="","",UPPER('Student DATA Entry'!J92))</f>
        <v/>
      </c>
      <c r="K96" s="103"/>
      <c r="L96" s="19"/>
      <c r="M96" s="19"/>
      <c r="N96" s="52"/>
      <c r="O96" s="104"/>
      <c r="P96" s="103"/>
      <c r="Q96" s="19"/>
      <c r="R96" s="19"/>
      <c r="S96" s="52"/>
      <c r="T96" s="104"/>
      <c r="U96" s="103"/>
      <c r="V96" s="19"/>
      <c r="W96" s="19"/>
      <c r="X96" s="19"/>
      <c r="Y96" s="52"/>
      <c r="Z96" s="52"/>
      <c r="AA96" s="57"/>
      <c r="AB96" s="564"/>
      <c r="AC96" s="103"/>
      <c r="AD96" s="19"/>
      <c r="AE96" s="19"/>
      <c r="AF96" s="19"/>
      <c r="AG96" s="52"/>
      <c r="AH96" s="52"/>
      <c r="AI96" s="57"/>
      <c r="AJ96" s="564"/>
      <c r="AK96" s="103"/>
      <c r="AL96" s="19"/>
      <c r="AM96" s="19"/>
      <c r="AN96" s="19"/>
      <c r="AO96" s="52"/>
      <c r="AP96" s="52"/>
      <c r="AQ96" s="57"/>
      <c r="AR96" s="564"/>
      <c r="AS96" s="18"/>
      <c r="AT96" s="19"/>
      <c r="AU96" s="19"/>
      <c r="AV96" s="19"/>
      <c r="AW96" s="52"/>
      <c r="AX96" s="52"/>
      <c r="AY96" s="57"/>
      <c r="AZ96" s="109"/>
      <c r="BA96" s="109"/>
      <c r="BB96" s="549"/>
      <c r="BC96" s="550"/>
      <c r="BD96" s="104"/>
      <c r="BE96" s="103"/>
      <c r="BF96" s="19"/>
      <c r="BG96" s="19"/>
      <c r="BH96" s="20"/>
      <c r="BI96" s="104"/>
      <c r="BJ96" s="9"/>
    </row>
    <row r="97" spans="1:62">
      <c r="A97" s="519">
        <f>IF('Student DATA Entry'!A93="","",'Student DATA Entry'!A93)</f>
        <v>90</v>
      </c>
      <c r="B97" s="528" t="str">
        <f>IF('Student DATA Entry'!B93="","",'Student DATA Entry'!B93)</f>
        <v/>
      </c>
      <c r="C97" s="125" t="str">
        <f>IF('Student DATA Entry'!D93="","",'Student DATA Entry'!D93)</f>
        <v/>
      </c>
      <c r="D97" s="530" t="str">
        <f>IF('Student DATA Entry'!E93="","",'Student DATA Entry'!E93)</f>
        <v/>
      </c>
      <c r="E97" s="532" t="str">
        <f>IF('Student DATA Entry'!I93="","",'Student DATA Entry'!I93)</f>
        <v/>
      </c>
      <c r="F97" s="126" t="str">
        <f>IF('Student DATA Entry'!F93="","",UPPER('Student DATA Entry'!F93))</f>
        <v/>
      </c>
      <c r="G97" s="126" t="str">
        <f>IF('Student DATA Entry'!G93="","",UPPER('Student DATA Entry'!G93))</f>
        <v/>
      </c>
      <c r="H97" s="126" t="str">
        <f>IF('Student DATA Entry'!H93="","",UPPER('Student DATA Entry'!H93))</f>
        <v/>
      </c>
      <c r="I97" s="526" t="str">
        <f>IF('Student DATA Entry'!K93="","",UPPER('Student DATA Entry'!K93))</f>
        <v/>
      </c>
      <c r="J97" s="560" t="str">
        <f>IF('Student DATA Entry'!J93="","",UPPER('Student DATA Entry'!J93))</f>
        <v/>
      </c>
      <c r="K97" s="103"/>
      <c r="L97" s="19"/>
      <c r="M97" s="19"/>
      <c r="N97" s="52"/>
      <c r="O97" s="104"/>
      <c r="P97" s="103"/>
      <c r="Q97" s="19"/>
      <c r="R97" s="19"/>
      <c r="S97" s="52"/>
      <c r="T97" s="104"/>
      <c r="U97" s="103"/>
      <c r="V97" s="19"/>
      <c r="W97" s="19"/>
      <c r="X97" s="19"/>
      <c r="Y97" s="52"/>
      <c r="Z97" s="52"/>
      <c r="AA97" s="57"/>
      <c r="AB97" s="564"/>
      <c r="AC97" s="103"/>
      <c r="AD97" s="19"/>
      <c r="AE97" s="19"/>
      <c r="AF97" s="19"/>
      <c r="AG97" s="52"/>
      <c r="AH97" s="52"/>
      <c r="AI97" s="57"/>
      <c r="AJ97" s="564"/>
      <c r="AK97" s="103"/>
      <c r="AL97" s="19"/>
      <c r="AM97" s="19"/>
      <c r="AN97" s="19"/>
      <c r="AO97" s="52"/>
      <c r="AP97" s="52"/>
      <c r="AQ97" s="57"/>
      <c r="AR97" s="564"/>
      <c r="AS97" s="18"/>
      <c r="AT97" s="19"/>
      <c r="AU97" s="19"/>
      <c r="AV97" s="19"/>
      <c r="AW97" s="52"/>
      <c r="AX97" s="52"/>
      <c r="AY97" s="57"/>
      <c r="AZ97" s="109"/>
      <c r="BA97" s="109"/>
      <c r="BB97" s="549"/>
      <c r="BC97" s="550"/>
      <c r="BD97" s="104"/>
      <c r="BE97" s="103"/>
      <c r="BF97" s="19"/>
      <c r="BG97" s="19"/>
      <c r="BH97" s="20"/>
      <c r="BI97" s="104"/>
      <c r="BJ97" s="9"/>
    </row>
    <row r="98" spans="1:62">
      <c r="A98" s="519">
        <f>IF('Student DATA Entry'!A94="","",'Student DATA Entry'!A94)</f>
        <v>91</v>
      </c>
      <c r="B98" s="528" t="str">
        <f>IF('Student DATA Entry'!B94="","",'Student DATA Entry'!B94)</f>
        <v/>
      </c>
      <c r="C98" s="125" t="str">
        <f>IF('Student DATA Entry'!D94="","",'Student DATA Entry'!D94)</f>
        <v/>
      </c>
      <c r="D98" s="530" t="str">
        <f>IF('Student DATA Entry'!E94="","",'Student DATA Entry'!E94)</f>
        <v/>
      </c>
      <c r="E98" s="532" t="str">
        <f>IF('Student DATA Entry'!I94="","",'Student DATA Entry'!I94)</f>
        <v/>
      </c>
      <c r="F98" s="126" t="str">
        <f>IF('Student DATA Entry'!F94="","",UPPER('Student DATA Entry'!F94))</f>
        <v/>
      </c>
      <c r="G98" s="126" t="str">
        <f>IF('Student DATA Entry'!G94="","",UPPER('Student DATA Entry'!G94))</f>
        <v/>
      </c>
      <c r="H98" s="126" t="str">
        <f>IF('Student DATA Entry'!H94="","",UPPER('Student DATA Entry'!H94))</f>
        <v/>
      </c>
      <c r="I98" s="526" t="str">
        <f>IF('Student DATA Entry'!K94="","",UPPER('Student DATA Entry'!K94))</f>
        <v/>
      </c>
      <c r="J98" s="560" t="str">
        <f>IF('Student DATA Entry'!J94="","",UPPER('Student DATA Entry'!J94))</f>
        <v/>
      </c>
      <c r="K98" s="103"/>
      <c r="L98" s="19"/>
      <c r="M98" s="19"/>
      <c r="N98" s="52"/>
      <c r="O98" s="104"/>
      <c r="P98" s="103"/>
      <c r="Q98" s="19"/>
      <c r="R98" s="19"/>
      <c r="S98" s="52"/>
      <c r="T98" s="104"/>
      <c r="U98" s="103"/>
      <c r="V98" s="19"/>
      <c r="W98" s="19"/>
      <c r="X98" s="19"/>
      <c r="Y98" s="52"/>
      <c r="Z98" s="52"/>
      <c r="AA98" s="57"/>
      <c r="AB98" s="564"/>
      <c r="AC98" s="103"/>
      <c r="AD98" s="19"/>
      <c r="AE98" s="19"/>
      <c r="AF98" s="19"/>
      <c r="AG98" s="52"/>
      <c r="AH98" s="52"/>
      <c r="AI98" s="57"/>
      <c r="AJ98" s="564"/>
      <c r="AK98" s="103"/>
      <c r="AL98" s="19"/>
      <c r="AM98" s="19"/>
      <c r="AN98" s="19"/>
      <c r="AO98" s="52"/>
      <c r="AP98" s="52"/>
      <c r="AQ98" s="57"/>
      <c r="AR98" s="564"/>
      <c r="AS98" s="18"/>
      <c r="AT98" s="19"/>
      <c r="AU98" s="19"/>
      <c r="AV98" s="19"/>
      <c r="AW98" s="52"/>
      <c r="AX98" s="52"/>
      <c r="AY98" s="57"/>
      <c r="AZ98" s="109"/>
      <c r="BA98" s="109"/>
      <c r="BB98" s="549"/>
      <c r="BC98" s="550"/>
      <c r="BD98" s="104"/>
      <c r="BE98" s="103"/>
      <c r="BF98" s="19"/>
      <c r="BG98" s="19"/>
      <c r="BH98" s="20"/>
      <c r="BI98" s="104"/>
      <c r="BJ98" s="9"/>
    </row>
    <row r="99" spans="1:62">
      <c r="A99" s="519">
        <f>IF('Student DATA Entry'!A95="","",'Student DATA Entry'!A95)</f>
        <v>92</v>
      </c>
      <c r="B99" s="528" t="str">
        <f>IF('Student DATA Entry'!B95="","",'Student DATA Entry'!B95)</f>
        <v/>
      </c>
      <c r="C99" s="125" t="str">
        <f>IF('Student DATA Entry'!D95="","",'Student DATA Entry'!D95)</f>
        <v/>
      </c>
      <c r="D99" s="530" t="str">
        <f>IF('Student DATA Entry'!E95="","",'Student DATA Entry'!E95)</f>
        <v/>
      </c>
      <c r="E99" s="532" t="str">
        <f>IF('Student DATA Entry'!I95="","",'Student DATA Entry'!I95)</f>
        <v/>
      </c>
      <c r="F99" s="126" t="str">
        <f>IF('Student DATA Entry'!F95="","",UPPER('Student DATA Entry'!F95))</f>
        <v/>
      </c>
      <c r="G99" s="126" t="str">
        <f>IF('Student DATA Entry'!G95="","",UPPER('Student DATA Entry'!G95))</f>
        <v/>
      </c>
      <c r="H99" s="126" t="str">
        <f>IF('Student DATA Entry'!H95="","",UPPER('Student DATA Entry'!H95))</f>
        <v/>
      </c>
      <c r="I99" s="526" t="str">
        <f>IF('Student DATA Entry'!K95="","",UPPER('Student DATA Entry'!K95))</f>
        <v/>
      </c>
      <c r="J99" s="560" t="str">
        <f>IF('Student DATA Entry'!J95="","",UPPER('Student DATA Entry'!J95))</f>
        <v/>
      </c>
      <c r="K99" s="103"/>
      <c r="L99" s="19"/>
      <c r="M99" s="19"/>
      <c r="N99" s="52"/>
      <c r="O99" s="104"/>
      <c r="P99" s="103"/>
      <c r="Q99" s="19"/>
      <c r="R99" s="19"/>
      <c r="S99" s="52"/>
      <c r="T99" s="104"/>
      <c r="U99" s="103"/>
      <c r="V99" s="19"/>
      <c r="W99" s="19"/>
      <c r="X99" s="19"/>
      <c r="Y99" s="52"/>
      <c r="Z99" s="52"/>
      <c r="AA99" s="57"/>
      <c r="AB99" s="564"/>
      <c r="AC99" s="103"/>
      <c r="AD99" s="19"/>
      <c r="AE99" s="19"/>
      <c r="AF99" s="19"/>
      <c r="AG99" s="52"/>
      <c r="AH99" s="52"/>
      <c r="AI99" s="57"/>
      <c r="AJ99" s="564"/>
      <c r="AK99" s="103"/>
      <c r="AL99" s="19"/>
      <c r="AM99" s="19"/>
      <c r="AN99" s="19"/>
      <c r="AO99" s="52"/>
      <c r="AP99" s="52"/>
      <c r="AQ99" s="57"/>
      <c r="AR99" s="564"/>
      <c r="AS99" s="18"/>
      <c r="AT99" s="19"/>
      <c r="AU99" s="19"/>
      <c r="AV99" s="19"/>
      <c r="AW99" s="52"/>
      <c r="AX99" s="52"/>
      <c r="AY99" s="57"/>
      <c r="AZ99" s="109"/>
      <c r="BA99" s="109"/>
      <c r="BB99" s="549"/>
      <c r="BC99" s="550"/>
      <c r="BD99" s="104"/>
      <c r="BE99" s="103"/>
      <c r="BF99" s="19"/>
      <c r="BG99" s="19"/>
      <c r="BH99" s="20"/>
      <c r="BI99" s="104"/>
      <c r="BJ99" s="9"/>
    </row>
    <row r="100" spans="1:62">
      <c r="A100" s="519">
        <f>IF('Student DATA Entry'!A96="","",'Student DATA Entry'!A96)</f>
        <v>93</v>
      </c>
      <c r="B100" s="528" t="str">
        <f>IF('Student DATA Entry'!B96="","",'Student DATA Entry'!B96)</f>
        <v/>
      </c>
      <c r="C100" s="125" t="str">
        <f>IF('Student DATA Entry'!D96="","",'Student DATA Entry'!D96)</f>
        <v/>
      </c>
      <c r="D100" s="530" t="str">
        <f>IF('Student DATA Entry'!E96="","",'Student DATA Entry'!E96)</f>
        <v/>
      </c>
      <c r="E100" s="532" t="str">
        <f>IF('Student DATA Entry'!I96="","",'Student DATA Entry'!I96)</f>
        <v/>
      </c>
      <c r="F100" s="126" t="str">
        <f>IF('Student DATA Entry'!F96="","",UPPER('Student DATA Entry'!F96))</f>
        <v/>
      </c>
      <c r="G100" s="126" t="str">
        <f>IF('Student DATA Entry'!G96="","",UPPER('Student DATA Entry'!G96))</f>
        <v/>
      </c>
      <c r="H100" s="126" t="str">
        <f>IF('Student DATA Entry'!H96="","",UPPER('Student DATA Entry'!H96))</f>
        <v/>
      </c>
      <c r="I100" s="526" t="str">
        <f>IF('Student DATA Entry'!K96="","",UPPER('Student DATA Entry'!K96))</f>
        <v/>
      </c>
      <c r="J100" s="560" t="str">
        <f>IF('Student DATA Entry'!J96="","",UPPER('Student DATA Entry'!J96))</f>
        <v/>
      </c>
      <c r="K100" s="103"/>
      <c r="L100" s="19"/>
      <c r="M100" s="19"/>
      <c r="N100" s="52"/>
      <c r="O100" s="104"/>
      <c r="P100" s="103"/>
      <c r="Q100" s="19"/>
      <c r="R100" s="19"/>
      <c r="S100" s="52"/>
      <c r="T100" s="104"/>
      <c r="U100" s="103"/>
      <c r="V100" s="19"/>
      <c r="W100" s="19"/>
      <c r="X100" s="19"/>
      <c r="Y100" s="52"/>
      <c r="Z100" s="52"/>
      <c r="AA100" s="57"/>
      <c r="AB100" s="564"/>
      <c r="AC100" s="103"/>
      <c r="AD100" s="19"/>
      <c r="AE100" s="19"/>
      <c r="AF100" s="19"/>
      <c r="AG100" s="52"/>
      <c r="AH100" s="52"/>
      <c r="AI100" s="57"/>
      <c r="AJ100" s="564"/>
      <c r="AK100" s="103"/>
      <c r="AL100" s="19"/>
      <c r="AM100" s="19"/>
      <c r="AN100" s="19"/>
      <c r="AO100" s="52"/>
      <c r="AP100" s="52"/>
      <c r="AQ100" s="57"/>
      <c r="AR100" s="564"/>
      <c r="AS100" s="18"/>
      <c r="AT100" s="19"/>
      <c r="AU100" s="19"/>
      <c r="AV100" s="19"/>
      <c r="AW100" s="52"/>
      <c r="AX100" s="52"/>
      <c r="AY100" s="57"/>
      <c r="AZ100" s="109"/>
      <c r="BA100" s="109"/>
      <c r="BB100" s="549"/>
      <c r="BC100" s="550"/>
      <c r="BD100" s="104"/>
      <c r="BE100" s="103"/>
      <c r="BF100" s="19"/>
      <c r="BG100" s="19"/>
      <c r="BH100" s="20"/>
      <c r="BI100" s="104"/>
      <c r="BJ100" s="9"/>
    </row>
    <row r="101" spans="1:62">
      <c r="A101" s="519">
        <f>IF('Student DATA Entry'!A97="","",'Student DATA Entry'!A97)</f>
        <v>94</v>
      </c>
      <c r="B101" s="528" t="str">
        <f>IF('Student DATA Entry'!B97="","",'Student DATA Entry'!B97)</f>
        <v/>
      </c>
      <c r="C101" s="125" t="str">
        <f>IF('Student DATA Entry'!D97="","",'Student DATA Entry'!D97)</f>
        <v/>
      </c>
      <c r="D101" s="530" t="str">
        <f>IF('Student DATA Entry'!E97="","",'Student DATA Entry'!E97)</f>
        <v/>
      </c>
      <c r="E101" s="532" t="str">
        <f>IF('Student DATA Entry'!I97="","",'Student DATA Entry'!I97)</f>
        <v/>
      </c>
      <c r="F101" s="126" t="str">
        <f>IF('Student DATA Entry'!F97="","",UPPER('Student DATA Entry'!F97))</f>
        <v/>
      </c>
      <c r="G101" s="126" t="str">
        <f>IF('Student DATA Entry'!G97="","",UPPER('Student DATA Entry'!G97))</f>
        <v/>
      </c>
      <c r="H101" s="126" t="str">
        <f>IF('Student DATA Entry'!H97="","",UPPER('Student DATA Entry'!H97))</f>
        <v/>
      </c>
      <c r="I101" s="526" t="str">
        <f>IF('Student DATA Entry'!K97="","",UPPER('Student DATA Entry'!K97))</f>
        <v/>
      </c>
      <c r="J101" s="560" t="str">
        <f>IF('Student DATA Entry'!J97="","",UPPER('Student DATA Entry'!J97))</f>
        <v/>
      </c>
      <c r="K101" s="103"/>
      <c r="L101" s="19"/>
      <c r="M101" s="19"/>
      <c r="N101" s="52"/>
      <c r="O101" s="104"/>
      <c r="P101" s="103"/>
      <c r="Q101" s="19"/>
      <c r="R101" s="19"/>
      <c r="S101" s="52"/>
      <c r="T101" s="104"/>
      <c r="U101" s="103"/>
      <c r="V101" s="19"/>
      <c r="W101" s="19"/>
      <c r="X101" s="19"/>
      <c r="Y101" s="52"/>
      <c r="Z101" s="52"/>
      <c r="AA101" s="57"/>
      <c r="AB101" s="564"/>
      <c r="AC101" s="103"/>
      <c r="AD101" s="19"/>
      <c r="AE101" s="19"/>
      <c r="AF101" s="19"/>
      <c r="AG101" s="52"/>
      <c r="AH101" s="52"/>
      <c r="AI101" s="57"/>
      <c r="AJ101" s="564"/>
      <c r="AK101" s="103"/>
      <c r="AL101" s="19"/>
      <c r="AM101" s="19"/>
      <c r="AN101" s="19"/>
      <c r="AO101" s="52"/>
      <c r="AP101" s="52"/>
      <c r="AQ101" s="57"/>
      <c r="AR101" s="564"/>
      <c r="AS101" s="18"/>
      <c r="AT101" s="19"/>
      <c r="AU101" s="19"/>
      <c r="AV101" s="19"/>
      <c r="AW101" s="52"/>
      <c r="AX101" s="52"/>
      <c r="AY101" s="57"/>
      <c r="AZ101" s="109"/>
      <c r="BA101" s="109"/>
      <c r="BB101" s="549"/>
      <c r="BC101" s="550"/>
      <c r="BD101" s="104"/>
      <c r="BE101" s="103"/>
      <c r="BF101" s="19"/>
      <c r="BG101" s="19"/>
      <c r="BH101" s="20"/>
      <c r="BI101" s="104"/>
      <c r="BJ101" s="9"/>
    </row>
    <row r="102" spans="1:62">
      <c r="A102" s="519">
        <f>IF('Student DATA Entry'!A98="","",'Student DATA Entry'!A98)</f>
        <v>95</v>
      </c>
      <c r="B102" s="528" t="str">
        <f>IF('Student DATA Entry'!B98="","",'Student DATA Entry'!B98)</f>
        <v/>
      </c>
      <c r="C102" s="125" t="str">
        <f>IF('Student DATA Entry'!D98="","",'Student DATA Entry'!D98)</f>
        <v/>
      </c>
      <c r="D102" s="530" t="str">
        <f>IF('Student DATA Entry'!E98="","",'Student DATA Entry'!E98)</f>
        <v/>
      </c>
      <c r="E102" s="532" t="str">
        <f>IF('Student DATA Entry'!I98="","",'Student DATA Entry'!I98)</f>
        <v/>
      </c>
      <c r="F102" s="126" t="str">
        <f>IF('Student DATA Entry'!F98="","",UPPER('Student DATA Entry'!F98))</f>
        <v/>
      </c>
      <c r="G102" s="126" t="str">
        <f>IF('Student DATA Entry'!G98="","",UPPER('Student DATA Entry'!G98))</f>
        <v/>
      </c>
      <c r="H102" s="126" t="str">
        <f>IF('Student DATA Entry'!H98="","",UPPER('Student DATA Entry'!H98))</f>
        <v/>
      </c>
      <c r="I102" s="526" t="str">
        <f>IF('Student DATA Entry'!K98="","",UPPER('Student DATA Entry'!K98))</f>
        <v/>
      </c>
      <c r="J102" s="560" t="str">
        <f>IF('Student DATA Entry'!J98="","",UPPER('Student DATA Entry'!J98))</f>
        <v/>
      </c>
      <c r="K102" s="103"/>
      <c r="L102" s="19"/>
      <c r="M102" s="19"/>
      <c r="N102" s="52"/>
      <c r="O102" s="104"/>
      <c r="P102" s="103"/>
      <c r="Q102" s="19"/>
      <c r="R102" s="19"/>
      <c r="S102" s="52"/>
      <c r="T102" s="104"/>
      <c r="U102" s="103"/>
      <c r="V102" s="19"/>
      <c r="W102" s="19"/>
      <c r="X102" s="19"/>
      <c r="Y102" s="52"/>
      <c r="Z102" s="52"/>
      <c r="AA102" s="57"/>
      <c r="AB102" s="564"/>
      <c r="AC102" s="103"/>
      <c r="AD102" s="19"/>
      <c r="AE102" s="19"/>
      <c r="AF102" s="19"/>
      <c r="AG102" s="52"/>
      <c r="AH102" s="52"/>
      <c r="AI102" s="57"/>
      <c r="AJ102" s="564"/>
      <c r="AK102" s="103"/>
      <c r="AL102" s="19"/>
      <c r="AM102" s="19"/>
      <c r="AN102" s="19"/>
      <c r="AO102" s="52"/>
      <c r="AP102" s="52"/>
      <c r="AQ102" s="57"/>
      <c r="AR102" s="564"/>
      <c r="AS102" s="18"/>
      <c r="AT102" s="19"/>
      <c r="AU102" s="19"/>
      <c r="AV102" s="19"/>
      <c r="AW102" s="52"/>
      <c r="AX102" s="52"/>
      <c r="AY102" s="57"/>
      <c r="AZ102" s="109"/>
      <c r="BA102" s="109"/>
      <c r="BB102" s="549"/>
      <c r="BC102" s="550"/>
      <c r="BD102" s="104"/>
      <c r="BE102" s="103"/>
      <c r="BF102" s="19"/>
      <c r="BG102" s="19"/>
      <c r="BH102" s="20"/>
      <c r="BI102" s="104"/>
      <c r="BJ102" s="9"/>
    </row>
    <row r="103" spans="1:62">
      <c r="A103" s="519">
        <f>IF('Student DATA Entry'!A99="","",'Student DATA Entry'!A99)</f>
        <v>96</v>
      </c>
      <c r="B103" s="528" t="str">
        <f>IF('Student DATA Entry'!B99="","",'Student DATA Entry'!B99)</f>
        <v/>
      </c>
      <c r="C103" s="125" t="str">
        <f>IF('Student DATA Entry'!D99="","",'Student DATA Entry'!D99)</f>
        <v/>
      </c>
      <c r="D103" s="530" t="str">
        <f>IF('Student DATA Entry'!E99="","",'Student DATA Entry'!E99)</f>
        <v/>
      </c>
      <c r="E103" s="532" t="str">
        <f>IF('Student DATA Entry'!I99="","",'Student DATA Entry'!I99)</f>
        <v/>
      </c>
      <c r="F103" s="126" t="str">
        <f>IF('Student DATA Entry'!F99="","",UPPER('Student DATA Entry'!F99))</f>
        <v/>
      </c>
      <c r="G103" s="126" t="str">
        <f>IF('Student DATA Entry'!G99="","",UPPER('Student DATA Entry'!G99))</f>
        <v/>
      </c>
      <c r="H103" s="126" t="str">
        <f>IF('Student DATA Entry'!H99="","",UPPER('Student DATA Entry'!H99))</f>
        <v/>
      </c>
      <c r="I103" s="526" t="str">
        <f>IF('Student DATA Entry'!K99="","",UPPER('Student DATA Entry'!K99))</f>
        <v/>
      </c>
      <c r="J103" s="560" t="str">
        <f>IF('Student DATA Entry'!J99="","",UPPER('Student DATA Entry'!J99))</f>
        <v/>
      </c>
      <c r="K103" s="103"/>
      <c r="L103" s="19"/>
      <c r="M103" s="19"/>
      <c r="N103" s="52"/>
      <c r="O103" s="104"/>
      <c r="P103" s="103"/>
      <c r="Q103" s="19"/>
      <c r="R103" s="19"/>
      <c r="S103" s="52"/>
      <c r="T103" s="104"/>
      <c r="U103" s="103"/>
      <c r="V103" s="19"/>
      <c r="W103" s="19"/>
      <c r="X103" s="19"/>
      <c r="Y103" s="52"/>
      <c r="Z103" s="52"/>
      <c r="AA103" s="57"/>
      <c r="AB103" s="564"/>
      <c r="AC103" s="103"/>
      <c r="AD103" s="19"/>
      <c r="AE103" s="19"/>
      <c r="AF103" s="19"/>
      <c r="AG103" s="52"/>
      <c r="AH103" s="52"/>
      <c r="AI103" s="57"/>
      <c r="AJ103" s="564"/>
      <c r="AK103" s="103"/>
      <c r="AL103" s="19"/>
      <c r="AM103" s="19"/>
      <c r="AN103" s="19"/>
      <c r="AO103" s="52"/>
      <c r="AP103" s="52"/>
      <c r="AQ103" s="57"/>
      <c r="AR103" s="564"/>
      <c r="AS103" s="18"/>
      <c r="AT103" s="19"/>
      <c r="AU103" s="19"/>
      <c r="AV103" s="19"/>
      <c r="AW103" s="52"/>
      <c r="AX103" s="52"/>
      <c r="AY103" s="57"/>
      <c r="AZ103" s="109"/>
      <c r="BA103" s="109"/>
      <c r="BB103" s="549"/>
      <c r="BC103" s="550"/>
      <c r="BD103" s="104"/>
      <c r="BE103" s="103"/>
      <c r="BF103" s="19"/>
      <c r="BG103" s="19"/>
      <c r="BH103" s="20"/>
      <c r="BI103" s="104"/>
      <c r="BJ103" s="9"/>
    </row>
    <row r="104" spans="1:62">
      <c r="A104" s="519">
        <f>IF('Student DATA Entry'!A100="","",'Student DATA Entry'!A100)</f>
        <v>97</v>
      </c>
      <c r="B104" s="528" t="str">
        <f>IF('Student DATA Entry'!B100="","",'Student DATA Entry'!B100)</f>
        <v/>
      </c>
      <c r="C104" s="125" t="str">
        <f>IF('Student DATA Entry'!D100="","",'Student DATA Entry'!D100)</f>
        <v/>
      </c>
      <c r="D104" s="530" t="str">
        <f>IF('Student DATA Entry'!E100="","",'Student DATA Entry'!E100)</f>
        <v/>
      </c>
      <c r="E104" s="532" t="str">
        <f>IF('Student DATA Entry'!I100="","",'Student DATA Entry'!I100)</f>
        <v/>
      </c>
      <c r="F104" s="126" t="str">
        <f>IF('Student DATA Entry'!F100="","",UPPER('Student DATA Entry'!F100))</f>
        <v/>
      </c>
      <c r="G104" s="126" t="str">
        <f>IF('Student DATA Entry'!G100="","",UPPER('Student DATA Entry'!G100))</f>
        <v/>
      </c>
      <c r="H104" s="126" t="str">
        <f>IF('Student DATA Entry'!H100="","",UPPER('Student DATA Entry'!H100))</f>
        <v/>
      </c>
      <c r="I104" s="526" t="str">
        <f>IF('Student DATA Entry'!K100="","",UPPER('Student DATA Entry'!K100))</f>
        <v/>
      </c>
      <c r="J104" s="560" t="str">
        <f>IF('Student DATA Entry'!J100="","",UPPER('Student DATA Entry'!J100))</f>
        <v/>
      </c>
      <c r="K104" s="103"/>
      <c r="L104" s="19"/>
      <c r="M104" s="19"/>
      <c r="N104" s="52"/>
      <c r="O104" s="104"/>
      <c r="P104" s="103"/>
      <c r="Q104" s="19"/>
      <c r="R104" s="19"/>
      <c r="S104" s="52"/>
      <c r="T104" s="104"/>
      <c r="U104" s="103"/>
      <c r="V104" s="19"/>
      <c r="W104" s="19"/>
      <c r="X104" s="19"/>
      <c r="Y104" s="52"/>
      <c r="Z104" s="52"/>
      <c r="AA104" s="57"/>
      <c r="AB104" s="564"/>
      <c r="AC104" s="103"/>
      <c r="AD104" s="19"/>
      <c r="AE104" s="19"/>
      <c r="AF104" s="19"/>
      <c r="AG104" s="52"/>
      <c r="AH104" s="52"/>
      <c r="AI104" s="57"/>
      <c r="AJ104" s="564"/>
      <c r="AK104" s="103"/>
      <c r="AL104" s="19"/>
      <c r="AM104" s="19"/>
      <c r="AN104" s="19"/>
      <c r="AO104" s="52"/>
      <c r="AP104" s="52"/>
      <c r="AQ104" s="57"/>
      <c r="AR104" s="564"/>
      <c r="AS104" s="18"/>
      <c r="AT104" s="19"/>
      <c r="AU104" s="19"/>
      <c r="AV104" s="19"/>
      <c r="AW104" s="52"/>
      <c r="AX104" s="52"/>
      <c r="AY104" s="57"/>
      <c r="AZ104" s="109"/>
      <c r="BA104" s="109"/>
      <c r="BB104" s="549"/>
      <c r="BC104" s="550"/>
      <c r="BD104" s="104"/>
      <c r="BE104" s="103"/>
      <c r="BF104" s="19"/>
      <c r="BG104" s="19"/>
      <c r="BH104" s="20"/>
      <c r="BI104" s="104"/>
      <c r="BJ104" s="9"/>
    </row>
    <row r="105" spans="1:62">
      <c r="A105" s="519">
        <f>IF('Student DATA Entry'!A101="","",'Student DATA Entry'!A101)</f>
        <v>98</v>
      </c>
      <c r="B105" s="528" t="str">
        <f>IF('Student DATA Entry'!B101="","",'Student DATA Entry'!B101)</f>
        <v/>
      </c>
      <c r="C105" s="125" t="str">
        <f>IF('Student DATA Entry'!D101="","",'Student DATA Entry'!D101)</f>
        <v/>
      </c>
      <c r="D105" s="530" t="str">
        <f>IF('Student DATA Entry'!E101="","",'Student DATA Entry'!E101)</f>
        <v/>
      </c>
      <c r="E105" s="532" t="str">
        <f>IF('Student DATA Entry'!I101="","",'Student DATA Entry'!I101)</f>
        <v/>
      </c>
      <c r="F105" s="126" t="str">
        <f>IF('Student DATA Entry'!F101="","",UPPER('Student DATA Entry'!F101))</f>
        <v/>
      </c>
      <c r="G105" s="126" t="str">
        <f>IF('Student DATA Entry'!G101="","",UPPER('Student DATA Entry'!G101))</f>
        <v/>
      </c>
      <c r="H105" s="126" t="str">
        <f>IF('Student DATA Entry'!H101="","",UPPER('Student DATA Entry'!H101))</f>
        <v/>
      </c>
      <c r="I105" s="526" t="str">
        <f>IF('Student DATA Entry'!K101="","",UPPER('Student DATA Entry'!K101))</f>
        <v/>
      </c>
      <c r="J105" s="560" t="str">
        <f>IF('Student DATA Entry'!J101="","",UPPER('Student DATA Entry'!J101))</f>
        <v/>
      </c>
      <c r="K105" s="103"/>
      <c r="L105" s="19"/>
      <c r="M105" s="19"/>
      <c r="N105" s="52"/>
      <c r="O105" s="104"/>
      <c r="P105" s="103"/>
      <c r="Q105" s="19"/>
      <c r="R105" s="19"/>
      <c r="S105" s="52"/>
      <c r="T105" s="104"/>
      <c r="U105" s="103"/>
      <c r="V105" s="19"/>
      <c r="W105" s="19"/>
      <c r="X105" s="19"/>
      <c r="Y105" s="52"/>
      <c r="Z105" s="52"/>
      <c r="AA105" s="57"/>
      <c r="AB105" s="564"/>
      <c r="AC105" s="103"/>
      <c r="AD105" s="19"/>
      <c r="AE105" s="19"/>
      <c r="AF105" s="19"/>
      <c r="AG105" s="52"/>
      <c r="AH105" s="52"/>
      <c r="AI105" s="57"/>
      <c r="AJ105" s="564"/>
      <c r="AK105" s="103"/>
      <c r="AL105" s="19"/>
      <c r="AM105" s="19"/>
      <c r="AN105" s="19"/>
      <c r="AO105" s="52"/>
      <c r="AP105" s="52"/>
      <c r="AQ105" s="57"/>
      <c r="AR105" s="564"/>
      <c r="AS105" s="18"/>
      <c r="AT105" s="19"/>
      <c r="AU105" s="19"/>
      <c r="AV105" s="19"/>
      <c r="AW105" s="52"/>
      <c r="AX105" s="52"/>
      <c r="AY105" s="57"/>
      <c r="AZ105" s="109"/>
      <c r="BA105" s="109"/>
      <c r="BB105" s="549"/>
      <c r="BC105" s="550"/>
      <c r="BD105" s="104"/>
      <c r="BE105" s="103"/>
      <c r="BF105" s="19"/>
      <c r="BG105" s="19"/>
      <c r="BH105" s="20"/>
      <c r="BI105" s="104"/>
      <c r="BJ105" s="9"/>
    </row>
    <row r="106" spans="1:62">
      <c r="A106" s="519">
        <f>IF('Student DATA Entry'!A102="","",'Student DATA Entry'!A102)</f>
        <v>99</v>
      </c>
      <c r="B106" s="528" t="str">
        <f>IF('Student DATA Entry'!B102="","",'Student DATA Entry'!B102)</f>
        <v/>
      </c>
      <c r="C106" s="125" t="str">
        <f>IF('Student DATA Entry'!D102="","",'Student DATA Entry'!D102)</f>
        <v/>
      </c>
      <c r="D106" s="530" t="str">
        <f>IF('Student DATA Entry'!E102="","",'Student DATA Entry'!E102)</f>
        <v/>
      </c>
      <c r="E106" s="532" t="str">
        <f>IF('Student DATA Entry'!I102="","",'Student DATA Entry'!I102)</f>
        <v/>
      </c>
      <c r="F106" s="126" t="str">
        <f>IF('Student DATA Entry'!F102="","",UPPER('Student DATA Entry'!F102))</f>
        <v/>
      </c>
      <c r="G106" s="126" t="str">
        <f>IF('Student DATA Entry'!G102="","",UPPER('Student DATA Entry'!G102))</f>
        <v/>
      </c>
      <c r="H106" s="126" t="str">
        <f>IF('Student DATA Entry'!H102="","",UPPER('Student DATA Entry'!H102))</f>
        <v/>
      </c>
      <c r="I106" s="526" t="str">
        <f>IF('Student DATA Entry'!K102="","",UPPER('Student DATA Entry'!K102))</f>
        <v/>
      </c>
      <c r="J106" s="560" t="str">
        <f>IF('Student DATA Entry'!J102="","",UPPER('Student DATA Entry'!J102))</f>
        <v/>
      </c>
      <c r="K106" s="103"/>
      <c r="L106" s="19"/>
      <c r="M106" s="19"/>
      <c r="N106" s="52"/>
      <c r="O106" s="104"/>
      <c r="P106" s="103"/>
      <c r="Q106" s="19"/>
      <c r="R106" s="19"/>
      <c r="S106" s="52"/>
      <c r="T106" s="104"/>
      <c r="U106" s="103"/>
      <c r="V106" s="19"/>
      <c r="W106" s="19"/>
      <c r="X106" s="19"/>
      <c r="Y106" s="52"/>
      <c r="Z106" s="52"/>
      <c r="AA106" s="57"/>
      <c r="AB106" s="564"/>
      <c r="AC106" s="103"/>
      <c r="AD106" s="19"/>
      <c r="AE106" s="19"/>
      <c r="AF106" s="19"/>
      <c r="AG106" s="52"/>
      <c r="AH106" s="52"/>
      <c r="AI106" s="57"/>
      <c r="AJ106" s="564"/>
      <c r="AK106" s="103"/>
      <c r="AL106" s="19"/>
      <c r="AM106" s="19"/>
      <c r="AN106" s="19"/>
      <c r="AO106" s="52"/>
      <c r="AP106" s="52"/>
      <c r="AQ106" s="57"/>
      <c r="AR106" s="564"/>
      <c r="AS106" s="18"/>
      <c r="AT106" s="19"/>
      <c r="AU106" s="19"/>
      <c r="AV106" s="19"/>
      <c r="AW106" s="52"/>
      <c r="AX106" s="52"/>
      <c r="AY106" s="57"/>
      <c r="AZ106" s="109"/>
      <c r="BA106" s="109"/>
      <c r="BB106" s="549"/>
      <c r="BC106" s="550"/>
      <c r="BD106" s="104"/>
      <c r="BE106" s="103"/>
      <c r="BF106" s="19"/>
      <c r="BG106" s="19"/>
      <c r="BH106" s="20"/>
      <c r="BI106" s="104"/>
      <c r="BJ106" s="8"/>
    </row>
    <row r="107" spans="1:62">
      <c r="A107" s="519">
        <f>IF('Student DATA Entry'!A103="","",'Student DATA Entry'!A103)</f>
        <v>100</v>
      </c>
      <c r="B107" s="528" t="str">
        <f>IF('Student DATA Entry'!B103="","",'Student DATA Entry'!B103)</f>
        <v/>
      </c>
      <c r="C107" s="125" t="str">
        <f>IF('Student DATA Entry'!D103="","",'Student DATA Entry'!D103)</f>
        <v/>
      </c>
      <c r="D107" s="530" t="str">
        <f>IF('Student DATA Entry'!E103="","",'Student DATA Entry'!E103)</f>
        <v/>
      </c>
      <c r="E107" s="532" t="str">
        <f>IF('Student DATA Entry'!I103="","",'Student DATA Entry'!I103)</f>
        <v/>
      </c>
      <c r="F107" s="126" t="str">
        <f>IF('Student DATA Entry'!F103="","",UPPER('Student DATA Entry'!F103))</f>
        <v/>
      </c>
      <c r="G107" s="126" t="str">
        <f>IF('Student DATA Entry'!G103="","",UPPER('Student DATA Entry'!G103))</f>
        <v/>
      </c>
      <c r="H107" s="126" t="str">
        <f>IF('Student DATA Entry'!H103="","",UPPER('Student DATA Entry'!H103))</f>
        <v/>
      </c>
      <c r="I107" s="526" t="str">
        <f>IF('Student DATA Entry'!K103="","",UPPER('Student DATA Entry'!K103))</f>
        <v/>
      </c>
      <c r="J107" s="560" t="str">
        <f>IF('Student DATA Entry'!J103="","",UPPER('Student DATA Entry'!J103))</f>
        <v/>
      </c>
      <c r="K107" s="561"/>
      <c r="L107" s="43"/>
      <c r="M107" s="43"/>
      <c r="N107" s="53"/>
      <c r="O107" s="562"/>
      <c r="P107" s="561"/>
      <c r="Q107" s="43"/>
      <c r="R107" s="43"/>
      <c r="S107" s="53"/>
      <c r="T107" s="562"/>
      <c r="U107" s="103"/>
      <c r="V107" s="43"/>
      <c r="W107" s="43"/>
      <c r="X107" s="43"/>
      <c r="Y107" s="53"/>
      <c r="Z107" s="53"/>
      <c r="AA107" s="58"/>
      <c r="AB107" s="565"/>
      <c r="AC107" s="103"/>
      <c r="AD107" s="43"/>
      <c r="AE107" s="43"/>
      <c r="AF107" s="43"/>
      <c r="AG107" s="53"/>
      <c r="AH107" s="53"/>
      <c r="AI107" s="58"/>
      <c r="AJ107" s="565"/>
      <c r="AK107" s="103"/>
      <c r="AL107" s="43"/>
      <c r="AM107" s="43"/>
      <c r="AN107" s="43"/>
      <c r="AO107" s="53"/>
      <c r="AP107" s="53"/>
      <c r="AQ107" s="58"/>
      <c r="AR107" s="565"/>
      <c r="AS107" s="18"/>
      <c r="AT107" s="43"/>
      <c r="AU107" s="43"/>
      <c r="AV107" s="43"/>
      <c r="AW107" s="52"/>
      <c r="AX107" s="53"/>
      <c r="AY107" s="57"/>
      <c r="AZ107" s="110"/>
      <c r="BA107" s="110"/>
      <c r="BB107" s="551"/>
      <c r="BC107" s="552"/>
      <c r="BD107" s="104"/>
      <c r="BE107" s="103"/>
      <c r="BF107" s="19"/>
      <c r="BG107" s="19"/>
      <c r="BH107" s="20"/>
      <c r="BI107" s="104"/>
      <c r="BJ107" s="8"/>
    </row>
    <row r="108" spans="1:62">
      <c r="A108" s="519">
        <f>IF('Student DATA Entry'!A104="","",'Student DATA Entry'!A104)</f>
        <v>101</v>
      </c>
      <c r="B108" s="528" t="str">
        <f>IF('Student DATA Entry'!B104="","",'Student DATA Entry'!B104)</f>
        <v/>
      </c>
      <c r="C108" s="125" t="str">
        <f>IF('Student DATA Entry'!D104="","",'Student DATA Entry'!D104)</f>
        <v/>
      </c>
      <c r="D108" s="530" t="str">
        <f>IF('Student DATA Entry'!E104="","",'Student DATA Entry'!E104)</f>
        <v/>
      </c>
      <c r="E108" s="532" t="str">
        <f>IF('Student DATA Entry'!I104="","",'Student DATA Entry'!I104)</f>
        <v/>
      </c>
      <c r="F108" s="126" t="str">
        <f>IF('Student DATA Entry'!F104="","",UPPER('Student DATA Entry'!F104))</f>
        <v/>
      </c>
      <c r="G108" s="126" t="str">
        <f>IF('Student DATA Entry'!G104="","",UPPER('Student DATA Entry'!G104))</f>
        <v/>
      </c>
      <c r="H108" s="126" t="str">
        <f>IF('Student DATA Entry'!H104="","",UPPER('Student DATA Entry'!H104))</f>
        <v/>
      </c>
      <c r="I108" s="526" t="str">
        <f>IF('Student DATA Entry'!K104="","",UPPER('Student DATA Entry'!K104))</f>
        <v/>
      </c>
      <c r="J108" s="560" t="str">
        <f>IF('Student DATA Entry'!J104="","",UPPER('Student DATA Entry'!J104))</f>
        <v/>
      </c>
      <c r="K108" s="561"/>
      <c r="L108" s="43"/>
      <c r="M108" s="43"/>
      <c r="N108" s="53"/>
      <c r="O108" s="562"/>
      <c r="P108" s="561"/>
      <c r="Q108" s="43"/>
      <c r="R108" s="43"/>
      <c r="S108" s="53"/>
      <c r="T108" s="562"/>
      <c r="U108" s="103"/>
      <c r="V108" s="43"/>
      <c r="W108" s="43"/>
      <c r="X108" s="43"/>
      <c r="Y108" s="53"/>
      <c r="Z108" s="53"/>
      <c r="AA108" s="58"/>
      <c r="AB108" s="565"/>
      <c r="AC108" s="103"/>
      <c r="AD108" s="43"/>
      <c r="AE108" s="43"/>
      <c r="AF108" s="43"/>
      <c r="AG108" s="53"/>
      <c r="AH108" s="53"/>
      <c r="AI108" s="58"/>
      <c r="AJ108" s="565"/>
      <c r="AK108" s="103"/>
      <c r="AL108" s="43"/>
      <c r="AM108" s="43"/>
      <c r="AN108" s="43"/>
      <c r="AO108" s="53"/>
      <c r="AP108" s="53"/>
      <c r="AQ108" s="58"/>
      <c r="AR108" s="565"/>
      <c r="AS108" s="18"/>
      <c r="AT108" s="43"/>
      <c r="AU108" s="43"/>
      <c r="AV108" s="43"/>
      <c r="AW108" s="52"/>
      <c r="AX108" s="53"/>
      <c r="AY108" s="57"/>
      <c r="AZ108" s="110"/>
      <c r="BA108" s="110"/>
      <c r="BB108" s="551"/>
      <c r="BC108" s="552"/>
      <c r="BD108" s="104"/>
      <c r="BE108" s="103"/>
      <c r="BF108" s="19"/>
      <c r="BG108" s="19"/>
      <c r="BH108" s="20"/>
      <c r="BI108" s="104"/>
      <c r="BJ108" s="8"/>
    </row>
    <row r="109" spans="1:62">
      <c r="A109" s="519">
        <f>IF('Student DATA Entry'!A105="","",'Student DATA Entry'!A105)</f>
        <v>102</v>
      </c>
      <c r="B109" s="528" t="str">
        <f>IF('Student DATA Entry'!B105="","",'Student DATA Entry'!B105)</f>
        <v/>
      </c>
      <c r="C109" s="125" t="str">
        <f>IF('Student DATA Entry'!D105="","",'Student DATA Entry'!D105)</f>
        <v/>
      </c>
      <c r="D109" s="530" t="str">
        <f>IF('Student DATA Entry'!E105="","",'Student DATA Entry'!E105)</f>
        <v/>
      </c>
      <c r="E109" s="532" t="str">
        <f>IF('Student DATA Entry'!I105="","",'Student DATA Entry'!I105)</f>
        <v/>
      </c>
      <c r="F109" s="126" t="str">
        <f>IF('Student DATA Entry'!F105="","",UPPER('Student DATA Entry'!F105))</f>
        <v/>
      </c>
      <c r="G109" s="126" t="str">
        <f>IF('Student DATA Entry'!G105="","",UPPER('Student DATA Entry'!G105))</f>
        <v/>
      </c>
      <c r="H109" s="126" t="str">
        <f>IF('Student DATA Entry'!H105="","",UPPER('Student DATA Entry'!H105))</f>
        <v/>
      </c>
      <c r="I109" s="526" t="str">
        <f>IF('Student DATA Entry'!K105="","",UPPER('Student DATA Entry'!K105))</f>
        <v/>
      </c>
      <c r="J109" s="560" t="str">
        <f>IF('Student DATA Entry'!J105="","",UPPER('Student DATA Entry'!J105))</f>
        <v/>
      </c>
      <c r="K109" s="561"/>
      <c r="L109" s="43"/>
      <c r="M109" s="43"/>
      <c r="N109" s="53"/>
      <c r="O109" s="562"/>
      <c r="P109" s="561"/>
      <c r="Q109" s="43"/>
      <c r="R109" s="43"/>
      <c r="S109" s="53"/>
      <c r="T109" s="562"/>
      <c r="U109" s="103"/>
      <c r="V109" s="43"/>
      <c r="W109" s="43"/>
      <c r="X109" s="43"/>
      <c r="Y109" s="53"/>
      <c r="Z109" s="53"/>
      <c r="AA109" s="58"/>
      <c r="AB109" s="565"/>
      <c r="AC109" s="103"/>
      <c r="AD109" s="43"/>
      <c r="AE109" s="43"/>
      <c r="AF109" s="43"/>
      <c r="AG109" s="53"/>
      <c r="AH109" s="53"/>
      <c r="AI109" s="58"/>
      <c r="AJ109" s="565"/>
      <c r="AK109" s="103"/>
      <c r="AL109" s="43"/>
      <c r="AM109" s="43"/>
      <c r="AN109" s="43"/>
      <c r="AO109" s="53"/>
      <c r="AP109" s="53"/>
      <c r="AQ109" s="58"/>
      <c r="AR109" s="565"/>
      <c r="AS109" s="18"/>
      <c r="AT109" s="43"/>
      <c r="AU109" s="43"/>
      <c r="AV109" s="43"/>
      <c r="AW109" s="52"/>
      <c r="AX109" s="53"/>
      <c r="AY109" s="57"/>
      <c r="AZ109" s="110"/>
      <c r="BA109" s="110"/>
      <c r="BB109" s="551"/>
      <c r="BC109" s="552"/>
      <c r="BD109" s="104"/>
      <c r="BE109" s="103"/>
      <c r="BF109" s="19"/>
      <c r="BG109" s="19"/>
      <c r="BH109" s="20"/>
      <c r="BI109" s="104"/>
      <c r="BJ109" s="8"/>
    </row>
    <row r="110" spans="1:62">
      <c r="A110" s="519">
        <f>IF('Student DATA Entry'!A106="","",'Student DATA Entry'!A106)</f>
        <v>103</v>
      </c>
      <c r="B110" s="528" t="str">
        <f>IF('Student DATA Entry'!B106="","",'Student DATA Entry'!B106)</f>
        <v/>
      </c>
      <c r="C110" s="125" t="str">
        <f>IF('Student DATA Entry'!D106="","",'Student DATA Entry'!D106)</f>
        <v/>
      </c>
      <c r="D110" s="530" t="str">
        <f>IF('Student DATA Entry'!E106="","",'Student DATA Entry'!E106)</f>
        <v/>
      </c>
      <c r="E110" s="532" t="str">
        <f>IF('Student DATA Entry'!I106="","",'Student DATA Entry'!I106)</f>
        <v/>
      </c>
      <c r="F110" s="126" t="str">
        <f>IF('Student DATA Entry'!F106="","",UPPER('Student DATA Entry'!F106))</f>
        <v/>
      </c>
      <c r="G110" s="126" t="str">
        <f>IF('Student DATA Entry'!G106="","",UPPER('Student DATA Entry'!G106))</f>
        <v/>
      </c>
      <c r="H110" s="126" t="str">
        <f>IF('Student DATA Entry'!H106="","",UPPER('Student DATA Entry'!H106))</f>
        <v/>
      </c>
      <c r="I110" s="526" t="str">
        <f>IF('Student DATA Entry'!K106="","",UPPER('Student DATA Entry'!K106))</f>
        <v/>
      </c>
      <c r="J110" s="560" t="str">
        <f>IF('Student DATA Entry'!J106="","",UPPER('Student DATA Entry'!J106))</f>
        <v/>
      </c>
      <c r="K110" s="561"/>
      <c r="L110" s="43"/>
      <c r="M110" s="43"/>
      <c r="N110" s="53"/>
      <c r="O110" s="562"/>
      <c r="P110" s="561"/>
      <c r="Q110" s="43"/>
      <c r="R110" s="43"/>
      <c r="S110" s="53"/>
      <c r="T110" s="562"/>
      <c r="U110" s="103"/>
      <c r="V110" s="43"/>
      <c r="W110" s="43"/>
      <c r="X110" s="43"/>
      <c r="Y110" s="53"/>
      <c r="Z110" s="53"/>
      <c r="AA110" s="58"/>
      <c r="AB110" s="565"/>
      <c r="AC110" s="103"/>
      <c r="AD110" s="43"/>
      <c r="AE110" s="43"/>
      <c r="AF110" s="43"/>
      <c r="AG110" s="53"/>
      <c r="AH110" s="53"/>
      <c r="AI110" s="58"/>
      <c r="AJ110" s="565"/>
      <c r="AK110" s="103"/>
      <c r="AL110" s="43"/>
      <c r="AM110" s="43"/>
      <c r="AN110" s="43"/>
      <c r="AO110" s="53"/>
      <c r="AP110" s="53"/>
      <c r="AQ110" s="58"/>
      <c r="AR110" s="565"/>
      <c r="AS110" s="18"/>
      <c r="AT110" s="43"/>
      <c r="AU110" s="43"/>
      <c r="AV110" s="43"/>
      <c r="AW110" s="52"/>
      <c r="AX110" s="53"/>
      <c r="AY110" s="57"/>
      <c r="AZ110" s="110"/>
      <c r="BA110" s="110"/>
      <c r="BB110" s="551"/>
      <c r="BC110" s="552"/>
      <c r="BD110" s="104"/>
      <c r="BE110" s="103"/>
      <c r="BF110" s="19"/>
      <c r="BG110" s="19"/>
      <c r="BH110" s="20"/>
      <c r="BI110" s="104"/>
      <c r="BJ110" s="8"/>
    </row>
    <row r="111" spans="1:62">
      <c r="A111" s="519">
        <f>IF('Student DATA Entry'!A107="","",'Student DATA Entry'!A107)</f>
        <v>104</v>
      </c>
      <c r="B111" s="528" t="str">
        <f>IF('Student DATA Entry'!B107="","",'Student DATA Entry'!B107)</f>
        <v/>
      </c>
      <c r="C111" s="125" t="str">
        <f>IF('Student DATA Entry'!D107="","",'Student DATA Entry'!D107)</f>
        <v/>
      </c>
      <c r="D111" s="530" t="str">
        <f>IF('Student DATA Entry'!E107="","",'Student DATA Entry'!E107)</f>
        <v/>
      </c>
      <c r="E111" s="532" t="str">
        <f>IF('Student DATA Entry'!I107="","",'Student DATA Entry'!I107)</f>
        <v/>
      </c>
      <c r="F111" s="126" t="str">
        <f>IF('Student DATA Entry'!F107="","",UPPER('Student DATA Entry'!F107))</f>
        <v/>
      </c>
      <c r="G111" s="126" t="str">
        <f>IF('Student DATA Entry'!G107="","",UPPER('Student DATA Entry'!G107))</f>
        <v/>
      </c>
      <c r="H111" s="126" t="str">
        <f>IF('Student DATA Entry'!H107="","",UPPER('Student DATA Entry'!H107))</f>
        <v/>
      </c>
      <c r="I111" s="526" t="str">
        <f>IF('Student DATA Entry'!K107="","",UPPER('Student DATA Entry'!K107))</f>
        <v/>
      </c>
      <c r="J111" s="560" t="str">
        <f>IF('Student DATA Entry'!J107="","",UPPER('Student DATA Entry'!J107))</f>
        <v/>
      </c>
      <c r="K111" s="561"/>
      <c r="L111" s="43"/>
      <c r="M111" s="43"/>
      <c r="N111" s="53"/>
      <c r="O111" s="562"/>
      <c r="P111" s="561"/>
      <c r="Q111" s="43"/>
      <c r="R111" s="43"/>
      <c r="S111" s="53"/>
      <c r="T111" s="562"/>
      <c r="U111" s="103"/>
      <c r="V111" s="43"/>
      <c r="W111" s="43"/>
      <c r="X111" s="43"/>
      <c r="Y111" s="53"/>
      <c r="Z111" s="53"/>
      <c r="AA111" s="58"/>
      <c r="AB111" s="565"/>
      <c r="AC111" s="103"/>
      <c r="AD111" s="43"/>
      <c r="AE111" s="43"/>
      <c r="AF111" s="43"/>
      <c r="AG111" s="53"/>
      <c r="AH111" s="53"/>
      <c r="AI111" s="58"/>
      <c r="AJ111" s="565"/>
      <c r="AK111" s="103"/>
      <c r="AL111" s="43"/>
      <c r="AM111" s="43"/>
      <c r="AN111" s="43"/>
      <c r="AO111" s="53"/>
      <c r="AP111" s="53"/>
      <c r="AQ111" s="58"/>
      <c r="AR111" s="565"/>
      <c r="AS111" s="18"/>
      <c r="AT111" s="43"/>
      <c r="AU111" s="43"/>
      <c r="AV111" s="43"/>
      <c r="AW111" s="52"/>
      <c r="AX111" s="53"/>
      <c r="AY111" s="57"/>
      <c r="AZ111" s="110"/>
      <c r="BA111" s="110"/>
      <c r="BB111" s="551"/>
      <c r="BC111" s="552"/>
      <c r="BD111" s="104"/>
      <c r="BE111" s="103"/>
      <c r="BF111" s="19"/>
      <c r="BG111" s="19"/>
      <c r="BH111" s="20"/>
      <c r="BI111" s="104"/>
      <c r="BJ111" s="8"/>
    </row>
    <row r="112" spans="1:62">
      <c r="A112" s="519">
        <f>IF('Student DATA Entry'!A108="","",'Student DATA Entry'!A108)</f>
        <v>105</v>
      </c>
      <c r="B112" s="528" t="str">
        <f>IF('Student DATA Entry'!B108="","",'Student DATA Entry'!B108)</f>
        <v/>
      </c>
      <c r="C112" s="125" t="str">
        <f>IF('Student DATA Entry'!D108="","",'Student DATA Entry'!D108)</f>
        <v/>
      </c>
      <c r="D112" s="530" t="str">
        <f>IF('Student DATA Entry'!E108="","",'Student DATA Entry'!E108)</f>
        <v/>
      </c>
      <c r="E112" s="532" t="str">
        <f>IF('Student DATA Entry'!I108="","",'Student DATA Entry'!I108)</f>
        <v/>
      </c>
      <c r="F112" s="126" t="str">
        <f>IF('Student DATA Entry'!F108="","",UPPER('Student DATA Entry'!F108))</f>
        <v/>
      </c>
      <c r="G112" s="126" t="str">
        <f>IF('Student DATA Entry'!G108="","",UPPER('Student DATA Entry'!G108))</f>
        <v/>
      </c>
      <c r="H112" s="126" t="str">
        <f>IF('Student DATA Entry'!H108="","",UPPER('Student DATA Entry'!H108))</f>
        <v/>
      </c>
      <c r="I112" s="526" t="str">
        <f>IF('Student DATA Entry'!K108="","",UPPER('Student DATA Entry'!K108))</f>
        <v/>
      </c>
      <c r="J112" s="560" t="str">
        <f>IF('Student DATA Entry'!J108="","",UPPER('Student DATA Entry'!J108))</f>
        <v/>
      </c>
      <c r="K112" s="561"/>
      <c r="L112" s="43"/>
      <c r="M112" s="43"/>
      <c r="N112" s="53"/>
      <c r="O112" s="562"/>
      <c r="P112" s="561"/>
      <c r="Q112" s="43"/>
      <c r="R112" s="43"/>
      <c r="S112" s="53"/>
      <c r="T112" s="562"/>
      <c r="U112" s="103"/>
      <c r="V112" s="43"/>
      <c r="W112" s="43"/>
      <c r="X112" s="43"/>
      <c r="Y112" s="53"/>
      <c r="Z112" s="53"/>
      <c r="AA112" s="58"/>
      <c r="AB112" s="565"/>
      <c r="AC112" s="103"/>
      <c r="AD112" s="43"/>
      <c r="AE112" s="43"/>
      <c r="AF112" s="43"/>
      <c r="AG112" s="53"/>
      <c r="AH112" s="53"/>
      <c r="AI112" s="58"/>
      <c r="AJ112" s="565"/>
      <c r="AK112" s="103"/>
      <c r="AL112" s="43"/>
      <c r="AM112" s="43"/>
      <c r="AN112" s="43"/>
      <c r="AO112" s="53"/>
      <c r="AP112" s="53"/>
      <c r="AQ112" s="58"/>
      <c r="AR112" s="565"/>
      <c r="AS112" s="18"/>
      <c r="AT112" s="43"/>
      <c r="AU112" s="43"/>
      <c r="AV112" s="43"/>
      <c r="AW112" s="52"/>
      <c r="AX112" s="53"/>
      <c r="AY112" s="57"/>
      <c r="AZ112" s="110"/>
      <c r="BA112" s="110"/>
      <c r="BB112" s="551"/>
      <c r="BC112" s="552"/>
      <c r="BD112" s="104"/>
      <c r="BE112" s="103"/>
      <c r="BF112" s="19"/>
      <c r="BG112" s="19"/>
      <c r="BH112" s="20"/>
      <c r="BI112" s="104"/>
      <c r="BJ112" s="8"/>
    </row>
    <row r="113" spans="1:62">
      <c r="A113" s="519">
        <f>IF('Student DATA Entry'!A109="","",'Student DATA Entry'!A109)</f>
        <v>106</v>
      </c>
      <c r="B113" s="528" t="str">
        <f>IF('Student DATA Entry'!B109="","",'Student DATA Entry'!B109)</f>
        <v/>
      </c>
      <c r="C113" s="125" t="str">
        <f>IF('Student DATA Entry'!D109="","",'Student DATA Entry'!D109)</f>
        <v/>
      </c>
      <c r="D113" s="530" t="str">
        <f>IF('Student DATA Entry'!E109="","",'Student DATA Entry'!E109)</f>
        <v/>
      </c>
      <c r="E113" s="532" t="str">
        <f>IF('Student DATA Entry'!I109="","",'Student DATA Entry'!I109)</f>
        <v/>
      </c>
      <c r="F113" s="126" t="str">
        <f>IF('Student DATA Entry'!F109="","",UPPER('Student DATA Entry'!F109))</f>
        <v/>
      </c>
      <c r="G113" s="126" t="str">
        <f>IF('Student DATA Entry'!G109="","",UPPER('Student DATA Entry'!G109))</f>
        <v/>
      </c>
      <c r="H113" s="126" t="str">
        <f>IF('Student DATA Entry'!H109="","",UPPER('Student DATA Entry'!H109))</f>
        <v/>
      </c>
      <c r="I113" s="526" t="str">
        <f>IF('Student DATA Entry'!K109="","",UPPER('Student DATA Entry'!K109))</f>
        <v/>
      </c>
      <c r="J113" s="560" t="str">
        <f>IF('Student DATA Entry'!J109="","",UPPER('Student DATA Entry'!J109))</f>
        <v/>
      </c>
      <c r="K113" s="561"/>
      <c r="L113" s="43"/>
      <c r="M113" s="43"/>
      <c r="N113" s="53"/>
      <c r="O113" s="562"/>
      <c r="P113" s="561"/>
      <c r="Q113" s="43"/>
      <c r="R113" s="43"/>
      <c r="S113" s="53"/>
      <c r="T113" s="562"/>
      <c r="U113" s="103"/>
      <c r="V113" s="43"/>
      <c r="W113" s="43"/>
      <c r="X113" s="43"/>
      <c r="Y113" s="53"/>
      <c r="Z113" s="53"/>
      <c r="AA113" s="58"/>
      <c r="AB113" s="565"/>
      <c r="AC113" s="103"/>
      <c r="AD113" s="43"/>
      <c r="AE113" s="43"/>
      <c r="AF113" s="43"/>
      <c r="AG113" s="53"/>
      <c r="AH113" s="53"/>
      <c r="AI113" s="58"/>
      <c r="AJ113" s="565"/>
      <c r="AK113" s="103"/>
      <c r="AL113" s="43"/>
      <c r="AM113" s="43"/>
      <c r="AN113" s="43"/>
      <c r="AO113" s="53"/>
      <c r="AP113" s="53"/>
      <c r="AQ113" s="58"/>
      <c r="AR113" s="565"/>
      <c r="AS113" s="18"/>
      <c r="AT113" s="43"/>
      <c r="AU113" s="43"/>
      <c r="AV113" s="43"/>
      <c r="AW113" s="52"/>
      <c r="AX113" s="53"/>
      <c r="AY113" s="57"/>
      <c r="AZ113" s="110"/>
      <c r="BA113" s="110"/>
      <c r="BB113" s="551"/>
      <c r="BC113" s="552"/>
      <c r="BD113" s="104"/>
      <c r="BE113" s="103"/>
      <c r="BF113" s="19"/>
      <c r="BG113" s="19"/>
      <c r="BH113" s="20"/>
      <c r="BI113" s="104"/>
      <c r="BJ113" s="8"/>
    </row>
    <row r="114" spans="1:62">
      <c r="A114" s="519">
        <f>IF('Student DATA Entry'!A110="","",'Student DATA Entry'!A110)</f>
        <v>107</v>
      </c>
      <c r="B114" s="528" t="str">
        <f>IF('Student DATA Entry'!B110="","",'Student DATA Entry'!B110)</f>
        <v/>
      </c>
      <c r="C114" s="125" t="str">
        <f>IF('Student DATA Entry'!D110="","",'Student DATA Entry'!D110)</f>
        <v/>
      </c>
      <c r="D114" s="530" t="str">
        <f>IF('Student DATA Entry'!E110="","",'Student DATA Entry'!E110)</f>
        <v/>
      </c>
      <c r="E114" s="532" t="str">
        <f>IF('Student DATA Entry'!I110="","",'Student DATA Entry'!I110)</f>
        <v/>
      </c>
      <c r="F114" s="126" t="str">
        <f>IF('Student DATA Entry'!F110="","",UPPER('Student DATA Entry'!F110))</f>
        <v/>
      </c>
      <c r="G114" s="126" t="str">
        <f>IF('Student DATA Entry'!G110="","",UPPER('Student DATA Entry'!G110))</f>
        <v/>
      </c>
      <c r="H114" s="126" t="str">
        <f>IF('Student DATA Entry'!H110="","",UPPER('Student DATA Entry'!H110))</f>
        <v/>
      </c>
      <c r="I114" s="526" t="str">
        <f>IF('Student DATA Entry'!K110="","",UPPER('Student DATA Entry'!K110))</f>
        <v/>
      </c>
      <c r="J114" s="560" t="str">
        <f>IF('Student DATA Entry'!J110="","",UPPER('Student DATA Entry'!J110))</f>
        <v/>
      </c>
      <c r="K114" s="561"/>
      <c r="L114" s="43"/>
      <c r="M114" s="43"/>
      <c r="N114" s="53"/>
      <c r="O114" s="562"/>
      <c r="P114" s="561"/>
      <c r="Q114" s="43"/>
      <c r="R114" s="43"/>
      <c r="S114" s="53"/>
      <c r="T114" s="562"/>
      <c r="U114" s="103"/>
      <c r="V114" s="43"/>
      <c r="W114" s="43"/>
      <c r="X114" s="43"/>
      <c r="Y114" s="53"/>
      <c r="Z114" s="53"/>
      <c r="AA114" s="58"/>
      <c r="AB114" s="565"/>
      <c r="AC114" s="103"/>
      <c r="AD114" s="43"/>
      <c r="AE114" s="43"/>
      <c r="AF114" s="43"/>
      <c r="AG114" s="53"/>
      <c r="AH114" s="53"/>
      <c r="AI114" s="58"/>
      <c r="AJ114" s="565"/>
      <c r="AK114" s="103"/>
      <c r="AL114" s="43"/>
      <c r="AM114" s="43"/>
      <c r="AN114" s="43"/>
      <c r="AO114" s="53"/>
      <c r="AP114" s="53"/>
      <c r="AQ114" s="58"/>
      <c r="AR114" s="565"/>
      <c r="AS114" s="18"/>
      <c r="AT114" s="43"/>
      <c r="AU114" s="43"/>
      <c r="AV114" s="43"/>
      <c r="AW114" s="52"/>
      <c r="AX114" s="53"/>
      <c r="AY114" s="57"/>
      <c r="AZ114" s="110"/>
      <c r="BA114" s="110"/>
      <c r="BB114" s="551"/>
      <c r="BC114" s="552"/>
      <c r="BD114" s="104"/>
      <c r="BE114" s="103"/>
      <c r="BF114" s="19"/>
      <c r="BG114" s="19"/>
      <c r="BH114" s="20"/>
      <c r="BI114" s="104"/>
      <c r="BJ114" s="8"/>
    </row>
    <row r="115" spans="1:62">
      <c r="A115" s="519">
        <f>IF('Student DATA Entry'!A111="","",'Student DATA Entry'!A111)</f>
        <v>108</v>
      </c>
      <c r="B115" s="528" t="str">
        <f>IF('Student DATA Entry'!B111="","",'Student DATA Entry'!B111)</f>
        <v/>
      </c>
      <c r="C115" s="125" t="str">
        <f>IF('Student DATA Entry'!D111="","",'Student DATA Entry'!D111)</f>
        <v/>
      </c>
      <c r="D115" s="530" t="str">
        <f>IF('Student DATA Entry'!E111="","",'Student DATA Entry'!E111)</f>
        <v/>
      </c>
      <c r="E115" s="532" t="str">
        <f>IF('Student DATA Entry'!I111="","",'Student DATA Entry'!I111)</f>
        <v/>
      </c>
      <c r="F115" s="126" t="str">
        <f>IF('Student DATA Entry'!F111="","",UPPER('Student DATA Entry'!F111))</f>
        <v/>
      </c>
      <c r="G115" s="126" t="str">
        <f>IF('Student DATA Entry'!G111="","",UPPER('Student DATA Entry'!G111))</f>
        <v/>
      </c>
      <c r="H115" s="126" t="str">
        <f>IF('Student DATA Entry'!H111="","",UPPER('Student DATA Entry'!H111))</f>
        <v/>
      </c>
      <c r="I115" s="526" t="str">
        <f>IF('Student DATA Entry'!K111="","",UPPER('Student DATA Entry'!K111))</f>
        <v/>
      </c>
      <c r="J115" s="560" t="str">
        <f>IF('Student DATA Entry'!J111="","",UPPER('Student DATA Entry'!J111))</f>
        <v/>
      </c>
      <c r="K115" s="561"/>
      <c r="L115" s="43"/>
      <c r="M115" s="43"/>
      <c r="N115" s="53"/>
      <c r="O115" s="562"/>
      <c r="P115" s="561"/>
      <c r="Q115" s="43"/>
      <c r="R115" s="43"/>
      <c r="S115" s="53"/>
      <c r="T115" s="562"/>
      <c r="U115" s="103"/>
      <c r="V115" s="43"/>
      <c r="W115" s="43"/>
      <c r="X115" s="43"/>
      <c r="Y115" s="53"/>
      <c r="Z115" s="53"/>
      <c r="AA115" s="58"/>
      <c r="AB115" s="565"/>
      <c r="AC115" s="103"/>
      <c r="AD115" s="43"/>
      <c r="AE115" s="43"/>
      <c r="AF115" s="43"/>
      <c r="AG115" s="53"/>
      <c r="AH115" s="53"/>
      <c r="AI115" s="58"/>
      <c r="AJ115" s="565"/>
      <c r="AK115" s="103"/>
      <c r="AL115" s="43"/>
      <c r="AM115" s="43"/>
      <c r="AN115" s="43"/>
      <c r="AO115" s="53"/>
      <c r="AP115" s="53"/>
      <c r="AQ115" s="58"/>
      <c r="AR115" s="565"/>
      <c r="AS115" s="18"/>
      <c r="AT115" s="43"/>
      <c r="AU115" s="43"/>
      <c r="AV115" s="43"/>
      <c r="AW115" s="52"/>
      <c r="AX115" s="53"/>
      <c r="AY115" s="57"/>
      <c r="AZ115" s="110"/>
      <c r="BA115" s="110"/>
      <c r="BB115" s="551"/>
      <c r="BC115" s="552"/>
      <c r="BD115" s="104"/>
      <c r="BE115" s="103"/>
      <c r="BF115" s="19"/>
      <c r="BG115" s="19"/>
      <c r="BH115" s="20"/>
      <c r="BI115" s="104"/>
      <c r="BJ115" s="8"/>
    </row>
    <row r="116" spans="1:62">
      <c r="A116" s="519">
        <f>IF('Student DATA Entry'!A112="","",'Student DATA Entry'!A112)</f>
        <v>109</v>
      </c>
      <c r="B116" s="528" t="str">
        <f>IF('Student DATA Entry'!B112="","",'Student DATA Entry'!B112)</f>
        <v/>
      </c>
      <c r="C116" s="125" t="str">
        <f>IF('Student DATA Entry'!D112="","",'Student DATA Entry'!D112)</f>
        <v/>
      </c>
      <c r="D116" s="530" t="str">
        <f>IF('Student DATA Entry'!E112="","",'Student DATA Entry'!E112)</f>
        <v/>
      </c>
      <c r="E116" s="532" t="str">
        <f>IF('Student DATA Entry'!I112="","",'Student DATA Entry'!I112)</f>
        <v/>
      </c>
      <c r="F116" s="126" t="str">
        <f>IF('Student DATA Entry'!F112="","",UPPER('Student DATA Entry'!F112))</f>
        <v/>
      </c>
      <c r="G116" s="126" t="str">
        <f>IF('Student DATA Entry'!G112="","",UPPER('Student DATA Entry'!G112))</f>
        <v/>
      </c>
      <c r="H116" s="126" t="str">
        <f>IF('Student DATA Entry'!H112="","",UPPER('Student DATA Entry'!H112))</f>
        <v/>
      </c>
      <c r="I116" s="526" t="str">
        <f>IF('Student DATA Entry'!K112="","",UPPER('Student DATA Entry'!K112))</f>
        <v/>
      </c>
      <c r="J116" s="560" t="str">
        <f>IF('Student DATA Entry'!J112="","",UPPER('Student DATA Entry'!J112))</f>
        <v/>
      </c>
      <c r="K116" s="561"/>
      <c r="L116" s="43"/>
      <c r="M116" s="43"/>
      <c r="N116" s="53"/>
      <c r="O116" s="562"/>
      <c r="P116" s="561"/>
      <c r="Q116" s="43"/>
      <c r="R116" s="43"/>
      <c r="S116" s="53"/>
      <c r="T116" s="562"/>
      <c r="U116" s="103"/>
      <c r="V116" s="43"/>
      <c r="W116" s="43"/>
      <c r="X116" s="43"/>
      <c r="Y116" s="53"/>
      <c r="Z116" s="53"/>
      <c r="AA116" s="58"/>
      <c r="AB116" s="565"/>
      <c r="AC116" s="103"/>
      <c r="AD116" s="43"/>
      <c r="AE116" s="43"/>
      <c r="AF116" s="43"/>
      <c r="AG116" s="53"/>
      <c r="AH116" s="53"/>
      <c r="AI116" s="58"/>
      <c r="AJ116" s="565"/>
      <c r="AK116" s="103"/>
      <c r="AL116" s="43"/>
      <c r="AM116" s="43"/>
      <c r="AN116" s="43"/>
      <c r="AO116" s="53"/>
      <c r="AP116" s="53"/>
      <c r="AQ116" s="58"/>
      <c r="AR116" s="565"/>
      <c r="AS116" s="18"/>
      <c r="AT116" s="43"/>
      <c r="AU116" s="43"/>
      <c r="AV116" s="43"/>
      <c r="AW116" s="52"/>
      <c r="AX116" s="53"/>
      <c r="AY116" s="57"/>
      <c r="AZ116" s="110"/>
      <c r="BA116" s="110"/>
      <c r="BB116" s="551"/>
      <c r="BC116" s="552"/>
      <c r="BD116" s="104"/>
      <c r="BE116" s="103"/>
      <c r="BF116" s="19"/>
      <c r="BG116" s="19"/>
      <c r="BH116" s="20"/>
      <c r="BI116" s="104"/>
      <c r="BJ116" s="8"/>
    </row>
    <row r="117" spans="1:62">
      <c r="A117" s="519">
        <f>IF('Student DATA Entry'!A113="","",'Student DATA Entry'!A113)</f>
        <v>110</v>
      </c>
      <c r="B117" s="528" t="str">
        <f>IF('Student DATA Entry'!B113="","",'Student DATA Entry'!B113)</f>
        <v/>
      </c>
      <c r="C117" s="125" t="str">
        <f>IF('Student DATA Entry'!D113="","",'Student DATA Entry'!D113)</f>
        <v/>
      </c>
      <c r="D117" s="530" t="str">
        <f>IF('Student DATA Entry'!E113="","",'Student DATA Entry'!E113)</f>
        <v/>
      </c>
      <c r="E117" s="532" t="str">
        <f>IF('Student DATA Entry'!I113="","",'Student DATA Entry'!I113)</f>
        <v/>
      </c>
      <c r="F117" s="126" t="str">
        <f>IF('Student DATA Entry'!F113="","",UPPER('Student DATA Entry'!F113))</f>
        <v/>
      </c>
      <c r="G117" s="126" t="str">
        <f>IF('Student DATA Entry'!G113="","",UPPER('Student DATA Entry'!G113))</f>
        <v/>
      </c>
      <c r="H117" s="126" t="str">
        <f>IF('Student DATA Entry'!H113="","",UPPER('Student DATA Entry'!H113))</f>
        <v/>
      </c>
      <c r="I117" s="526" t="str">
        <f>IF('Student DATA Entry'!K113="","",UPPER('Student DATA Entry'!K113))</f>
        <v/>
      </c>
      <c r="J117" s="560" t="str">
        <f>IF('Student DATA Entry'!J113="","",UPPER('Student DATA Entry'!J113))</f>
        <v/>
      </c>
      <c r="K117" s="561"/>
      <c r="L117" s="43"/>
      <c r="M117" s="43"/>
      <c r="N117" s="53"/>
      <c r="O117" s="562"/>
      <c r="P117" s="561"/>
      <c r="Q117" s="43"/>
      <c r="R117" s="43"/>
      <c r="S117" s="53"/>
      <c r="T117" s="562"/>
      <c r="U117" s="103"/>
      <c r="V117" s="43"/>
      <c r="W117" s="43"/>
      <c r="X117" s="43"/>
      <c r="Y117" s="53"/>
      <c r="Z117" s="53"/>
      <c r="AA117" s="58"/>
      <c r="AB117" s="565"/>
      <c r="AC117" s="103"/>
      <c r="AD117" s="43"/>
      <c r="AE117" s="43"/>
      <c r="AF117" s="43"/>
      <c r="AG117" s="53"/>
      <c r="AH117" s="53"/>
      <c r="AI117" s="58"/>
      <c r="AJ117" s="565"/>
      <c r="AK117" s="103"/>
      <c r="AL117" s="43"/>
      <c r="AM117" s="43"/>
      <c r="AN117" s="43"/>
      <c r="AO117" s="53"/>
      <c r="AP117" s="53"/>
      <c r="AQ117" s="58"/>
      <c r="AR117" s="565"/>
      <c r="AS117" s="18"/>
      <c r="AT117" s="43"/>
      <c r="AU117" s="43"/>
      <c r="AV117" s="43"/>
      <c r="AW117" s="52"/>
      <c r="AX117" s="53"/>
      <c r="AY117" s="57"/>
      <c r="AZ117" s="110"/>
      <c r="BA117" s="110"/>
      <c r="BB117" s="551"/>
      <c r="BC117" s="552"/>
      <c r="BD117" s="104"/>
      <c r="BE117" s="103"/>
      <c r="BF117" s="19"/>
      <c r="BG117" s="19"/>
      <c r="BH117" s="20"/>
      <c r="BI117" s="104"/>
      <c r="BJ117" s="8"/>
    </row>
    <row r="118" spans="1:62">
      <c r="A118" s="519">
        <f>IF('Student DATA Entry'!A114="","",'Student DATA Entry'!A114)</f>
        <v>111</v>
      </c>
      <c r="B118" s="528" t="str">
        <f>IF('Student DATA Entry'!B114="","",'Student DATA Entry'!B114)</f>
        <v/>
      </c>
      <c r="C118" s="125" t="str">
        <f>IF('Student DATA Entry'!D114="","",'Student DATA Entry'!D114)</f>
        <v/>
      </c>
      <c r="D118" s="530" t="str">
        <f>IF('Student DATA Entry'!E114="","",'Student DATA Entry'!E114)</f>
        <v/>
      </c>
      <c r="E118" s="532" t="str">
        <f>IF('Student DATA Entry'!I114="","",'Student DATA Entry'!I114)</f>
        <v/>
      </c>
      <c r="F118" s="126" t="str">
        <f>IF('Student DATA Entry'!F114="","",UPPER('Student DATA Entry'!F114))</f>
        <v/>
      </c>
      <c r="G118" s="126" t="str">
        <f>IF('Student DATA Entry'!G114="","",UPPER('Student DATA Entry'!G114))</f>
        <v/>
      </c>
      <c r="H118" s="126" t="str">
        <f>IF('Student DATA Entry'!H114="","",UPPER('Student DATA Entry'!H114))</f>
        <v/>
      </c>
      <c r="I118" s="526" t="str">
        <f>IF('Student DATA Entry'!K114="","",UPPER('Student DATA Entry'!K114))</f>
        <v/>
      </c>
      <c r="J118" s="560" t="str">
        <f>IF('Student DATA Entry'!J114="","",UPPER('Student DATA Entry'!J114))</f>
        <v/>
      </c>
      <c r="K118" s="561"/>
      <c r="L118" s="43"/>
      <c r="M118" s="43"/>
      <c r="N118" s="53"/>
      <c r="O118" s="562"/>
      <c r="P118" s="561"/>
      <c r="Q118" s="43"/>
      <c r="R118" s="43"/>
      <c r="S118" s="53"/>
      <c r="T118" s="562"/>
      <c r="U118" s="103"/>
      <c r="V118" s="43"/>
      <c r="W118" s="43"/>
      <c r="X118" s="43"/>
      <c r="Y118" s="53"/>
      <c r="Z118" s="53"/>
      <c r="AA118" s="58"/>
      <c r="AB118" s="565"/>
      <c r="AC118" s="103"/>
      <c r="AD118" s="43"/>
      <c r="AE118" s="43"/>
      <c r="AF118" s="43"/>
      <c r="AG118" s="53"/>
      <c r="AH118" s="53"/>
      <c r="AI118" s="58"/>
      <c r="AJ118" s="565"/>
      <c r="AK118" s="103"/>
      <c r="AL118" s="43"/>
      <c r="AM118" s="43"/>
      <c r="AN118" s="43"/>
      <c r="AO118" s="53"/>
      <c r="AP118" s="53"/>
      <c r="AQ118" s="58"/>
      <c r="AR118" s="565"/>
      <c r="AS118" s="18"/>
      <c r="AT118" s="43"/>
      <c r="AU118" s="43"/>
      <c r="AV118" s="43"/>
      <c r="AW118" s="52"/>
      <c r="AX118" s="53"/>
      <c r="AY118" s="57"/>
      <c r="AZ118" s="110"/>
      <c r="BA118" s="110"/>
      <c r="BB118" s="551"/>
      <c r="BC118" s="552"/>
      <c r="BD118" s="104"/>
      <c r="BE118" s="103"/>
      <c r="BF118" s="19"/>
      <c r="BG118" s="19"/>
      <c r="BH118" s="20"/>
      <c r="BI118" s="104"/>
      <c r="BJ118" s="8"/>
    </row>
    <row r="119" spans="1:62">
      <c r="A119" s="519">
        <f>IF('Student DATA Entry'!A115="","",'Student DATA Entry'!A115)</f>
        <v>112</v>
      </c>
      <c r="B119" s="528" t="str">
        <f>IF('Student DATA Entry'!B115="","",'Student DATA Entry'!B115)</f>
        <v/>
      </c>
      <c r="C119" s="125" t="str">
        <f>IF('Student DATA Entry'!D115="","",'Student DATA Entry'!D115)</f>
        <v/>
      </c>
      <c r="D119" s="530" t="str">
        <f>IF('Student DATA Entry'!E115="","",'Student DATA Entry'!E115)</f>
        <v/>
      </c>
      <c r="E119" s="532" t="str">
        <f>IF('Student DATA Entry'!I115="","",'Student DATA Entry'!I115)</f>
        <v/>
      </c>
      <c r="F119" s="126" t="str">
        <f>IF('Student DATA Entry'!F115="","",UPPER('Student DATA Entry'!F115))</f>
        <v/>
      </c>
      <c r="G119" s="126" t="str">
        <f>IF('Student DATA Entry'!G115="","",UPPER('Student DATA Entry'!G115))</f>
        <v/>
      </c>
      <c r="H119" s="126" t="str">
        <f>IF('Student DATA Entry'!H115="","",UPPER('Student DATA Entry'!H115))</f>
        <v/>
      </c>
      <c r="I119" s="526" t="str">
        <f>IF('Student DATA Entry'!K115="","",UPPER('Student DATA Entry'!K115))</f>
        <v/>
      </c>
      <c r="J119" s="560" t="str">
        <f>IF('Student DATA Entry'!J115="","",UPPER('Student DATA Entry'!J115))</f>
        <v/>
      </c>
      <c r="K119" s="561"/>
      <c r="L119" s="43"/>
      <c r="M119" s="43"/>
      <c r="N119" s="53"/>
      <c r="O119" s="562"/>
      <c r="P119" s="561"/>
      <c r="Q119" s="43"/>
      <c r="R119" s="43"/>
      <c r="S119" s="53"/>
      <c r="T119" s="562"/>
      <c r="U119" s="103"/>
      <c r="V119" s="43"/>
      <c r="W119" s="43"/>
      <c r="X119" s="43"/>
      <c r="Y119" s="53"/>
      <c r="Z119" s="53"/>
      <c r="AA119" s="58"/>
      <c r="AB119" s="565"/>
      <c r="AC119" s="103"/>
      <c r="AD119" s="43"/>
      <c r="AE119" s="43"/>
      <c r="AF119" s="43"/>
      <c r="AG119" s="53"/>
      <c r="AH119" s="53"/>
      <c r="AI119" s="58"/>
      <c r="AJ119" s="565"/>
      <c r="AK119" s="103"/>
      <c r="AL119" s="43"/>
      <c r="AM119" s="43"/>
      <c r="AN119" s="43"/>
      <c r="AO119" s="53"/>
      <c r="AP119" s="53"/>
      <c r="AQ119" s="58"/>
      <c r="AR119" s="565"/>
      <c r="AS119" s="18"/>
      <c r="AT119" s="43"/>
      <c r="AU119" s="43"/>
      <c r="AV119" s="43"/>
      <c r="AW119" s="52"/>
      <c r="AX119" s="53"/>
      <c r="AY119" s="57"/>
      <c r="AZ119" s="110"/>
      <c r="BA119" s="110"/>
      <c r="BB119" s="551"/>
      <c r="BC119" s="552"/>
      <c r="BD119" s="104"/>
      <c r="BE119" s="103"/>
      <c r="BF119" s="19"/>
      <c r="BG119" s="19"/>
      <c r="BH119" s="20"/>
      <c r="BI119" s="104"/>
      <c r="BJ119" s="8"/>
    </row>
    <row r="120" spans="1:62">
      <c r="A120" s="519">
        <f>IF('Student DATA Entry'!A116="","",'Student DATA Entry'!A116)</f>
        <v>113</v>
      </c>
      <c r="B120" s="528" t="str">
        <f>IF('Student DATA Entry'!B116="","",'Student DATA Entry'!B116)</f>
        <v/>
      </c>
      <c r="C120" s="125" t="str">
        <f>IF('Student DATA Entry'!D116="","",'Student DATA Entry'!D116)</f>
        <v/>
      </c>
      <c r="D120" s="530" t="str">
        <f>IF('Student DATA Entry'!E116="","",'Student DATA Entry'!E116)</f>
        <v/>
      </c>
      <c r="E120" s="532" t="str">
        <f>IF('Student DATA Entry'!I116="","",'Student DATA Entry'!I116)</f>
        <v/>
      </c>
      <c r="F120" s="126" t="str">
        <f>IF('Student DATA Entry'!F116="","",UPPER('Student DATA Entry'!F116))</f>
        <v/>
      </c>
      <c r="G120" s="126" t="str">
        <f>IF('Student DATA Entry'!G116="","",UPPER('Student DATA Entry'!G116))</f>
        <v/>
      </c>
      <c r="H120" s="126" t="str">
        <f>IF('Student DATA Entry'!H116="","",UPPER('Student DATA Entry'!H116))</f>
        <v/>
      </c>
      <c r="I120" s="526" t="str">
        <f>IF('Student DATA Entry'!K116="","",UPPER('Student DATA Entry'!K116))</f>
        <v/>
      </c>
      <c r="J120" s="560" t="str">
        <f>IF('Student DATA Entry'!J116="","",UPPER('Student DATA Entry'!J116))</f>
        <v/>
      </c>
      <c r="K120" s="561"/>
      <c r="L120" s="43"/>
      <c r="M120" s="43"/>
      <c r="N120" s="53"/>
      <c r="O120" s="562"/>
      <c r="P120" s="561"/>
      <c r="Q120" s="43"/>
      <c r="R120" s="43"/>
      <c r="S120" s="53"/>
      <c r="T120" s="562"/>
      <c r="U120" s="103"/>
      <c r="V120" s="43"/>
      <c r="W120" s="43"/>
      <c r="X120" s="43"/>
      <c r="Y120" s="53"/>
      <c r="Z120" s="53"/>
      <c r="AA120" s="58"/>
      <c r="AB120" s="565"/>
      <c r="AC120" s="103"/>
      <c r="AD120" s="43"/>
      <c r="AE120" s="43"/>
      <c r="AF120" s="43"/>
      <c r="AG120" s="53"/>
      <c r="AH120" s="53"/>
      <c r="AI120" s="58"/>
      <c r="AJ120" s="565"/>
      <c r="AK120" s="103"/>
      <c r="AL120" s="43"/>
      <c r="AM120" s="43"/>
      <c r="AN120" s="43"/>
      <c r="AO120" s="53"/>
      <c r="AP120" s="53"/>
      <c r="AQ120" s="58"/>
      <c r="AR120" s="565"/>
      <c r="AS120" s="18"/>
      <c r="AT120" s="43"/>
      <c r="AU120" s="43"/>
      <c r="AV120" s="43"/>
      <c r="AW120" s="52"/>
      <c r="AX120" s="53"/>
      <c r="AY120" s="57"/>
      <c r="AZ120" s="110"/>
      <c r="BA120" s="110"/>
      <c r="BB120" s="551"/>
      <c r="BC120" s="552"/>
      <c r="BD120" s="104"/>
      <c r="BE120" s="103"/>
      <c r="BF120" s="19"/>
      <c r="BG120" s="19"/>
      <c r="BH120" s="20"/>
      <c r="BI120" s="104"/>
      <c r="BJ120" s="8"/>
    </row>
    <row r="121" spans="1:62">
      <c r="A121" s="519">
        <f>IF('Student DATA Entry'!A117="","",'Student DATA Entry'!A117)</f>
        <v>114</v>
      </c>
      <c r="B121" s="528" t="str">
        <f>IF('Student DATA Entry'!B117="","",'Student DATA Entry'!B117)</f>
        <v/>
      </c>
      <c r="C121" s="125" t="str">
        <f>IF('Student DATA Entry'!D117="","",'Student DATA Entry'!D117)</f>
        <v/>
      </c>
      <c r="D121" s="530" t="str">
        <f>IF('Student DATA Entry'!E117="","",'Student DATA Entry'!E117)</f>
        <v/>
      </c>
      <c r="E121" s="532" t="str">
        <f>IF('Student DATA Entry'!I117="","",'Student DATA Entry'!I117)</f>
        <v/>
      </c>
      <c r="F121" s="126" t="str">
        <f>IF('Student DATA Entry'!F117="","",UPPER('Student DATA Entry'!F117))</f>
        <v/>
      </c>
      <c r="G121" s="126" t="str">
        <f>IF('Student DATA Entry'!G117="","",UPPER('Student DATA Entry'!G117))</f>
        <v/>
      </c>
      <c r="H121" s="126" t="str">
        <f>IF('Student DATA Entry'!H117="","",UPPER('Student DATA Entry'!H117))</f>
        <v/>
      </c>
      <c r="I121" s="526" t="str">
        <f>IF('Student DATA Entry'!K117="","",UPPER('Student DATA Entry'!K117))</f>
        <v/>
      </c>
      <c r="J121" s="560" t="str">
        <f>IF('Student DATA Entry'!J117="","",UPPER('Student DATA Entry'!J117))</f>
        <v/>
      </c>
      <c r="K121" s="561"/>
      <c r="L121" s="43"/>
      <c r="M121" s="43"/>
      <c r="N121" s="53"/>
      <c r="O121" s="562"/>
      <c r="P121" s="561"/>
      <c r="Q121" s="43"/>
      <c r="R121" s="43"/>
      <c r="S121" s="53"/>
      <c r="T121" s="562"/>
      <c r="U121" s="103"/>
      <c r="V121" s="43"/>
      <c r="W121" s="43"/>
      <c r="X121" s="43"/>
      <c r="Y121" s="53"/>
      <c r="Z121" s="53"/>
      <c r="AA121" s="58"/>
      <c r="AB121" s="565"/>
      <c r="AC121" s="103"/>
      <c r="AD121" s="43"/>
      <c r="AE121" s="43"/>
      <c r="AF121" s="43"/>
      <c r="AG121" s="53"/>
      <c r="AH121" s="53"/>
      <c r="AI121" s="58"/>
      <c r="AJ121" s="565"/>
      <c r="AK121" s="103"/>
      <c r="AL121" s="43"/>
      <c r="AM121" s="43"/>
      <c r="AN121" s="43"/>
      <c r="AO121" s="53"/>
      <c r="AP121" s="53"/>
      <c r="AQ121" s="58"/>
      <c r="AR121" s="565"/>
      <c r="AS121" s="18"/>
      <c r="AT121" s="43"/>
      <c r="AU121" s="43"/>
      <c r="AV121" s="43"/>
      <c r="AW121" s="52"/>
      <c r="AX121" s="53"/>
      <c r="AY121" s="57"/>
      <c r="AZ121" s="110"/>
      <c r="BA121" s="110"/>
      <c r="BB121" s="551"/>
      <c r="BC121" s="552"/>
      <c r="BD121" s="104"/>
      <c r="BE121" s="103"/>
      <c r="BF121" s="19"/>
      <c r="BG121" s="19"/>
      <c r="BH121" s="20"/>
      <c r="BI121" s="104"/>
      <c r="BJ121" s="8"/>
    </row>
    <row r="122" spans="1:62">
      <c r="A122" s="519">
        <f>IF('Student DATA Entry'!A118="","",'Student DATA Entry'!A118)</f>
        <v>115</v>
      </c>
      <c r="B122" s="528" t="str">
        <f>IF('Student DATA Entry'!B118="","",'Student DATA Entry'!B118)</f>
        <v/>
      </c>
      <c r="C122" s="125" t="str">
        <f>IF('Student DATA Entry'!D118="","",'Student DATA Entry'!D118)</f>
        <v/>
      </c>
      <c r="D122" s="530" t="str">
        <f>IF('Student DATA Entry'!E118="","",'Student DATA Entry'!E118)</f>
        <v/>
      </c>
      <c r="E122" s="532" t="str">
        <f>IF('Student DATA Entry'!I118="","",'Student DATA Entry'!I118)</f>
        <v/>
      </c>
      <c r="F122" s="126" t="str">
        <f>IF('Student DATA Entry'!F118="","",UPPER('Student DATA Entry'!F118))</f>
        <v/>
      </c>
      <c r="G122" s="126" t="str">
        <f>IF('Student DATA Entry'!G118="","",UPPER('Student DATA Entry'!G118))</f>
        <v/>
      </c>
      <c r="H122" s="126" t="str">
        <f>IF('Student DATA Entry'!H118="","",UPPER('Student DATA Entry'!H118))</f>
        <v/>
      </c>
      <c r="I122" s="526" t="str">
        <f>IF('Student DATA Entry'!K118="","",UPPER('Student DATA Entry'!K118))</f>
        <v/>
      </c>
      <c r="J122" s="560" t="str">
        <f>IF('Student DATA Entry'!J118="","",UPPER('Student DATA Entry'!J118))</f>
        <v/>
      </c>
      <c r="K122" s="561"/>
      <c r="L122" s="43"/>
      <c r="M122" s="43"/>
      <c r="N122" s="53"/>
      <c r="O122" s="562"/>
      <c r="P122" s="561"/>
      <c r="Q122" s="43"/>
      <c r="R122" s="43"/>
      <c r="S122" s="53"/>
      <c r="T122" s="562"/>
      <c r="U122" s="103"/>
      <c r="V122" s="43"/>
      <c r="W122" s="43"/>
      <c r="X122" s="43"/>
      <c r="Y122" s="53"/>
      <c r="Z122" s="53"/>
      <c r="AA122" s="58"/>
      <c r="AB122" s="565"/>
      <c r="AC122" s="103"/>
      <c r="AD122" s="43"/>
      <c r="AE122" s="43"/>
      <c r="AF122" s="43"/>
      <c r="AG122" s="53"/>
      <c r="AH122" s="53"/>
      <c r="AI122" s="58"/>
      <c r="AJ122" s="565"/>
      <c r="AK122" s="103"/>
      <c r="AL122" s="43"/>
      <c r="AM122" s="43"/>
      <c r="AN122" s="43"/>
      <c r="AO122" s="53"/>
      <c r="AP122" s="53"/>
      <c r="AQ122" s="58"/>
      <c r="AR122" s="565"/>
      <c r="AS122" s="18"/>
      <c r="AT122" s="43"/>
      <c r="AU122" s="43"/>
      <c r="AV122" s="43"/>
      <c r="AW122" s="52"/>
      <c r="AX122" s="53"/>
      <c r="AY122" s="57"/>
      <c r="AZ122" s="110"/>
      <c r="BA122" s="110"/>
      <c r="BB122" s="551"/>
      <c r="BC122" s="552"/>
      <c r="BD122" s="104"/>
      <c r="BE122" s="103"/>
      <c r="BF122" s="19"/>
      <c r="BG122" s="19"/>
      <c r="BH122" s="20"/>
      <c r="BI122" s="104"/>
      <c r="BJ122" s="8"/>
    </row>
    <row r="123" spans="1:62">
      <c r="A123" s="519">
        <f>IF('Student DATA Entry'!A119="","",'Student DATA Entry'!A119)</f>
        <v>116</v>
      </c>
      <c r="B123" s="528" t="str">
        <f>IF('Student DATA Entry'!B119="","",'Student DATA Entry'!B119)</f>
        <v/>
      </c>
      <c r="C123" s="125" t="str">
        <f>IF('Student DATA Entry'!D119="","",'Student DATA Entry'!D119)</f>
        <v/>
      </c>
      <c r="D123" s="530" t="str">
        <f>IF('Student DATA Entry'!E119="","",'Student DATA Entry'!E119)</f>
        <v/>
      </c>
      <c r="E123" s="532" t="str">
        <f>IF('Student DATA Entry'!I119="","",'Student DATA Entry'!I119)</f>
        <v/>
      </c>
      <c r="F123" s="126" t="str">
        <f>IF('Student DATA Entry'!F119="","",UPPER('Student DATA Entry'!F119))</f>
        <v/>
      </c>
      <c r="G123" s="126" t="str">
        <f>IF('Student DATA Entry'!G119="","",UPPER('Student DATA Entry'!G119))</f>
        <v/>
      </c>
      <c r="H123" s="126" t="str">
        <f>IF('Student DATA Entry'!H119="","",UPPER('Student DATA Entry'!H119))</f>
        <v/>
      </c>
      <c r="I123" s="526" t="str">
        <f>IF('Student DATA Entry'!K119="","",UPPER('Student DATA Entry'!K119))</f>
        <v/>
      </c>
      <c r="J123" s="560" t="str">
        <f>IF('Student DATA Entry'!J119="","",UPPER('Student DATA Entry'!J119))</f>
        <v/>
      </c>
      <c r="K123" s="561"/>
      <c r="L123" s="43"/>
      <c r="M123" s="43"/>
      <c r="N123" s="53"/>
      <c r="O123" s="562"/>
      <c r="P123" s="561"/>
      <c r="Q123" s="43"/>
      <c r="R123" s="43"/>
      <c r="S123" s="53"/>
      <c r="T123" s="562"/>
      <c r="U123" s="103"/>
      <c r="V123" s="43"/>
      <c r="W123" s="43"/>
      <c r="X123" s="43"/>
      <c r="Y123" s="53"/>
      <c r="Z123" s="53"/>
      <c r="AA123" s="58"/>
      <c r="AB123" s="565"/>
      <c r="AC123" s="103"/>
      <c r="AD123" s="43"/>
      <c r="AE123" s="43"/>
      <c r="AF123" s="43"/>
      <c r="AG123" s="53"/>
      <c r="AH123" s="53"/>
      <c r="AI123" s="58"/>
      <c r="AJ123" s="565"/>
      <c r="AK123" s="103"/>
      <c r="AL123" s="43"/>
      <c r="AM123" s="43"/>
      <c r="AN123" s="43"/>
      <c r="AO123" s="53"/>
      <c r="AP123" s="53"/>
      <c r="AQ123" s="58"/>
      <c r="AR123" s="565"/>
      <c r="AS123" s="18"/>
      <c r="AT123" s="43"/>
      <c r="AU123" s="43"/>
      <c r="AV123" s="43"/>
      <c r="AW123" s="52"/>
      <c r="AX123" s="53"/>
      <c r="AY123" s="57"/>
      <c r="AZ123" s="110"/>
      <c r="BA123" s="110"/>
      <c r="BB123" s="551"/>
      <c r="BC123" s="552"/>
      <c r="BD123" s="104"/>
      <c r="BE123" s="103"/>
      <c r="BF123" s="19"/>
      <c r="BG123" s="19"/>
      <c r="BH123" s="20"/>
      <c r="BI123" s="104"/>
      <c r="BJ123" s="8"/>
    </row>
    <row r="124" spans="1:62">
      <c r="A124" s="519">
        <f>IF('Student DATA Entry'!A120="","",'Student DATA Entry'!A120)</f>
        <v>117</v>
      </c>
      <c r="B124" s="528" t="str">
        <f>IF('Student DATA Entry'!B120="","",'Student DATA Entry'!B120)</f>
        <v/>
      </c>
      <c r="C124" s="125" t="str">
        <f>IF('Student DATA Entry'!D120="","",'Student DATA Entry'!D120)</f>
        <v/>
      </c>
      <c r="D124" s="530" t="str">
        <f>IF('Student DATA Entry'!E120="","",'Student DATA Entry'!E120)</f>
        <v/>
      </c>
      <c r="E124" s="532" t="str">
        <f>IF('Student DATA Entry'!I120="","",'Student DATA Entry'!I120)</f>
        <v/>
      </c>
      <c r="F124" s="126" t="str">
        <f>IF('Student DATA Entry'!F120="","",UPPER('Student DATA Entry'!F120))</f>
        <v/>
      </c>
      <c r="G124" s="126" t="str">
        <f>IF('Student DATA Entry'!G120="","",UPPER('Student DATA Entry'!G120))</f>
        <v/>
      </c>
      <c r="H124" s="126" t="str">
        <f>IF('Student DATA Entry'!H120="","",UPPER('Student DATA Entry'!H120))</f>
        <v/>
      </c>
      <c r="I124" s="526" t="str">
        <f>IF('Student DATA Entry'!K120="","",UPPER('Student DATA Entry'!K120))</f>
        <v/>
      </c>
      <c r="J124" s="560" t="str">
        <f>IF('Student DATA Entry'!J120="","",UPPER('Student DATA Entry'!J120))</f>
        <v/>
      </c>
      <c r="K124" s="561"/>
      <c r="L124" s="43"/>
      <c r="M124" s="43"/>
      <c r="N124" s="53"/>
      <c r="O124" s="562"/>
      <c r="P124" s="561"/>
      <c r="Q124" s="43"/>
      <c r="R124" s="43"/>
      <c r="S124" s="53"/>
      <c r="T124" s="562"/>
      <c r="U124" s="103"/>
      <c r="V124" s="43"/>
      <c r="W124" s="43"/>
      <c r="X124" s="43"/>
      <c r="Y124" s="53"/>
      <c r="Z124" s="53"/>
      <c r="AA124" s="58"/>
      <c r="AB124" s="565"/>
      <c r="AC124" s="103"/>
      <c r="AD124" s="43"/>
      <c r="AE124" s="43"/>
      <c r="AF124" s="43"/>
      <c r="AG124" s="53"/>
      <c r="AH124" s="53"/>
      <c r="AI124" s="58"/>
      <c r="AJ124" s="565"/>
      <c r="AK124" s="103"/>
      <c r="AL124" s="43"/>
      <c r="AM124" s="43"/>
      <c r="AN124" s="43"/>
      <c r="AO124" s="53"/>
      <c r="AP124" s="53"/>
      <c r="AQ124" s="58"/>
      <c r="AR124" s="565"/>
      <c r="AS124" s="18"/>
      <c r="AT124" s="43"/>
      <c r="AU124" s="43"/>
      <c r="AV124" s="43"/>
      <c r="AW124" s="52"/>
      <c r="AX124" s="53"/>
      <c r="AY124" s="57"/>
      <c r="AZ124" s="110"/>
      <c r="BA124" s="110"/>
      <c r="BB124" s="551"/>
      <c r="BC124" s="552"/>
      <c r="BD124" s="104"/>
      <c r="BE124" s="103"/>
      <c r="BF124" s="19"/>
      <c r="BG124" s="19"/>
      <c r="BH124" s="20"/>
      <c r="BI124" s="104"/>
      <c r="BJ124" s="8"/>
    </row>
    <row r="125" spans="1:62">
      <c r="A125" s="519">
        <f>IF('Student DATA Entry'!A121="","",'Student DATA Entry'!A121)</f>
        <v>118</v>
      </c>
      <c r="B125" s="528" t="str">
        <f>IF('Student DATA Entry'!B121="","",'Student DATA Entry'!B121)</f>
        <v/>
      </c>
      <c r="C125" s="125" t="str">
        <f>IF('Student DATA Entry'!D121="","",'Student DATA Entry'!D121)</f>
        <v/>
      </c>
      <c r="D125" s="530" t="str">
        <f>IF('Student DATA Entry'!E121="","",'Student DATA Entry'!E121)</f>
        <v/>
      </c>
      <c r="E125" s="532" t="str">
        <f>IF('Student DATA Entry'!I121="","",'Student DATA Entry'!I121)</f>
        <v/>
      </c>
      <c r="F125" s="126" t="str">
        <f>IF('Student DATA Entry'!F121="","",UPPER('Student DATA Entry'!F121))</f>
        <v/>
      </c>
      <c r="G125" s="126" t="str">
        <f>IF('Student DATA Entry'!G121="","",UPPER('Student DATA Entry'!G121))</f>
        <v/>
      </c>
      <c r="H125" s="126" t="str">
        <f>IF('Student DATA Entry'!H121="","",UPPER('Student DATA Entry'!H121))</f>
        <v/>
      </c>
      <c r="I125" s="526" t="str">
        <f>IF('Student DATA Entry'!K121="","",UPPER('Student DATA Entry'!K121))</f>
        <v/>
      </c>
      <c r="J125" s="560" t="str">
        <f>IF('Student DATA Entry'!J121="","",UPPER('Student DATA Entry'!J121))</f>
        <v/>
      </c>
      <c r="K125" s="561"/>
      <c r="L125" s="43"/>
      <c r="M125" s="43"/>
      <c r="N125" s="53"/>
      <c r="O125" s="562"/>
      <c r="P125" s="561"/>
      <c r="Q125" s="43"/>
      <c r="R125" s="43"/>
      <c r="S125" s="53"/>
      <c r="T125" s="562"/>
      <c r="U125" s="103"/>
      <c r="V125" s="43"/>
      <c r="W125" s="43"/>
      <c r="X125" s="43"/>
      <c r="Y125" s="53"/>
      <c r="Z125" s="53"/>
      <c r="AA125" s="58"/>
      <c r="AB125" s="565"/>
      <c r="AC125" s="103"/>
      <c r="AD125" s="43"/>
      <c r="AE125" s="43"/>
      <c r="AF125" s="43"/>
      <c r="AG125" s="53"/>
      <c r="AH125" s="53"/>
      <c r="AI125" s="58"/>
      <c r="AJ125" s="565"/>
      <c r="AK125" s="103"/>
      <c r="AL125" s="43"/>
      <c r="AM125" s="43"/>
      <c r="AN125" s="43"/>
      <c r="AO125" s="53"/>
      <c r="AP125" s="53"/>
      <c r="AQ125" s="58"/>
      <c r="AR125" s="565"/>
      <c r="AS125" s="18"/>
      <c r="AT125" s="43"/>
      <c r="AU125" s="43"/>
      <c r="AV125" s="43"/>
      <c r="AW125" s="52"/>
      <c r="AX125" s="53"/>
      <c r="AY125" s="57"/>
      <c r="AZ125" s="110"/>
      <c r="BA125" s="110"/>
      <c r="BB125" s="551"/>
      <c r="BC125" s="552"/>
      <c r="BD125" s="104"/>
      <c r="BE125" s="103"/>
      <c r="BF125" s="19"/>
      <c r="BG125" s="19"/>
      <c r="BH125" s="20"/>
      <c r="BI125" s="104"/>
      <c r="BJ125" s="8"/>
    </row>
    <row r="126" spans="1:62">
      <c r="A126" s="519">
        <f>IF('Student DATA Entry'!A122="","",'Student DATA Entry'!A122)</f>
        <v>119</v>
      </c>
      <c r="B126" s="528" t="str">
        <f>IF('Student DATA Entry'!B122="","",'Student DATA Entry'!B122)</f>
        <v/>
      </c>
      <c r="C126" s="125" t="str">
        <f>IF('Student DATA Entry'!D122="","",'Student DATA Entry'!D122)</f>
        <v/>
      </c>
      <c r="D126" s="530" t="str">
        <f>IF('Student DATA Entry'!E122="","",'Student DATA Entry'!E122)</f>
        <v/>
      </c>
      <c r="E126" s="532" t="str">
        <f>IF('Student DATA Entry'!I122="","",'Student DATA Entry'!I122)</f>
        <v/>
      </c>
      <c r="F126" s="126" t="str">
        <f>IF('Student DATA Entry'!F122="","",UPPER('Student DATA Entry'!F122))</f>
        <v/>
      </c>
      <c r="G126" s="126" t="str">
        <f>IF('Student DATA Entry'!G122="","",UPPER('Student DATA Entry'!G122))</f>
        <v/>
      </c>
      <c r="H126" s="126" t="str">
        <f>IF('Student DATA Entry'!H122="","",UPPER('Student DATA Entry'!H122))</f>
        <v/>
      </c>
      <c r="I126" s="526" t="str">
        <f>IF('Student DATA Entry'!K122="","",UPPER('Student DATA Entry'!K122))</f>
        <v/>
      </c>
      <c r="J126" s="560" t="str">
        <f>IF('Student DATA Entry'!J122="","",UPPER('Student DATA Entry'!J122))</f>
        <v/>
      </c>
      <c r="K126" s="561"/>
      <c r="L126" s="43"/>
      <c r="M126" s="43"/>
      <c r="N126" s="53"/>
      <c r="O126" s="562"/>
      <c r="P126" s="561"/>
      <c r="Q126" s="43"/>
      <c r="R126" s="43"/>
      <c r="S126" s="53"/>
      <c r="T126" s="562"/>
      <c r="U126" s="103"/>
      <c r="V126" s="43"/>
      <c r="W126" s="43"/>
      <c r="X126" s="43"/>
      <c r="Y126" s="53"/>
      <c r="Z126" s="53"/>
      <c r="AA126" s="58"/>
      <c r="AB126" s="565"/>
      <c r="AC126" s="103"/>
      <c r="AD126" s="43"/>
      <c r="AE126" s="43"/>
      <c r="AF126" s="43"/>
      <c r="AG126" s="53"/>
      <c r="AH126" s="53"/>
      <c r="AI126" s="58"/>
      <c r="AJ126" s="565"/>
      <c r="AK126" s="103"/>
      <c r="AL126" s="43"/>
      <c r="AM126" s="43"/>
      <c r="AN126" s="43"/>
      <c r="AO126" s="53"/>
      <c r="AP126" s="53"/>
      <c r="AQ126" s="58"/>
      <c r="AR126" s="565"/>
      <c r="AS126" s="18"/>
      <c r="AT126" s="43"/>
      <c r="AU126" s="43"/>
      <c r="AV126" s="43"/>
      <c r="AW126" s="52"/>
      <c r="AX126" s="53"/>
      <c r="AY126" s="57"/>
      <c r="AZ126" s="110"/>
      <c r="BA126" s="110"/>
      <c r="BB126" s="551"/>
      <c r="BC126" s="552"/>
      <c r="BD126" s="104"/>
      <c r="BE126" s="103"/>
      <c r="BF126" s="19"/>
      <c r="BG126" s="19"/>
      <c r="BH126" s="20"/>
      <c r="BI126" s="104"/>
      <c r="BJ126" s="8"/>
    </row>
    <row r="127" spans="1:62">
      <c r="A127" s="519">
        <f>IF('Student DATA Entry'!A123="","",'Student DATA Entry'!A123)</f>
        <v>120</v>
      </c>
      <c r="B127" s="528" t="str">
        <f>IF('Student DATA Entry'!B123="","",'Student DATA Entry'!B123)</f>
        <v/>
      </c>
      <c r="C127" s="125" t="str">
        <f>IF('Student DATA Entry'!D123="","",'Student DATA Entry'!D123)</f>
        <v/>
      </c>
      <c r="D127" s="530" t="str">
        <f>IF('Student DATA Entry'!E123="","",'Student DATA Entry'!E123)</f>
        <v/>
      </c>
      <c r="E127" s="532" t="str">
        <f>IF('Student DATA Entry'!I123="","",'Student DATA Entry'!I123)</f>
        <v/>
      </c>
      <c r="F127" s="126" t="str">
        <f>IF('Student DATA Entry'!F123="","",UPPER('Student DATA Entry'!F123))</f>
        <v/>
      </c>
      <c r="G127" s="126" t="str">
        <f>IF('Student DATA Entry'!G123="","",UPPER('Student DATA Entry'!G123))</f>
        <v/>
      </c>
      <c r="H127" s="126" t="str">
        <f>IF('Student DATA Entry'!H123="","",UPPER('Student DATA Entry'!H123))</f>
        <v/>
      </c>
      <c r="I127" s="526" t="str">
        <f>IF('Student DATA Entry'!K123="","",UPPER('Student DATA Entry'!K123))</f>
        <v/>
      </c>
      <c r="J127" s="560" t="str">
        <f>IF('Student DATA Entry'!J123="","",UPPER('Student DATA Entry'!J123))</f>
        <v/>
      </c>
      <c r="K127" s="561"/>
      <c r="L127" s="43"/>
      <c r="M127" s="43"/>
      <c r="N127" s="53"/>
      <c r="O127" s="562"/>
      <c r="P127" s="561"/>
      <c r="Q127" s="43"/>
      <c r="R127" s="43"/>
      <c r="S127" s="53"/>
      <c r="T127" s="562"/>
      <c r="U127" s="103"/>
      <c r="V127" s="43"/>
      <c r="W127" s="43"/>
      <c r="X127" s="43"/>
      <c r="Y127" s="53"/>
      <c r="Z127" s="53"/>
      <c r="AA127" s="58"/>
      <c r="AB127" s="565"/>
      <c r="AC127" s="103"/>
      <c r="AD127" s="43"/>
      <c r="AE127" s="43"/>
      <c r="AF127" s="43"/>
      <c r="AG127" s="53"/>
      <c r="AH127" s="53"/>
      <c r="AI127" s="58"/>
      <c r="AJ127" s="565"/>
      <c r="AK127" s="103"/>
      <c r="AL127" s="43"/>
      <c r="AM127" s="43"/>
      <c r="AN127" s="43"/>
      <c r="AO127" s="53"/>
      <c r="AP127" s="53"/>
      <c r="AQ127" s="58"/>
      <c r="AR127" s="565"/>
      <c r="AS127" s="18"/>
      <c r="AT127" s="43"/>
      <c r="AU127" s="43"/>
      <c r="AV127" s="43"/>
      <c r="AW127" s="52"/>
      <c r="AX127" s="53"/>
      <c r="AY127" s="57"/>
      <c r="AZ127" s="110"/>
      <c r="BA127" s="110"/>
      <c r="BB127" s="551"/>
      <c r="BC127" s="552"/>
      <c r="BD127" s="104"/>
      <c r="BE127" s="103"/>
      <c r="BF127" s="19"/>
      <c r="BG127" s="19"/>
      <c r="BH127" s="20"/>
      <c r="BI127" s="104"/>
      <c r="BJ127" s="8"/>
    </row>
    <row r="128" spans="1:62">
      <c r="A128" s="519">
        <f>IF('Student DATA Entry'!A124="","",'Student DATA Entry'!A124)</f>
        <v>121</v>
      </c>
      <c r="B128" s="528" t="str">
        <f>IF('Student DATA Entry'!B124="","",'Student DATA Entry'!B124)</f>
        <v/>
      </c>
      <c r="C128" s="125" t="str">
        <f>IF('Student DATA Entry'!D124="","",'Student DATA Entry'!D124)</f>
        <v/>
      </c>
      <c r="D128" s="530" t="str">
        <f>IF('Student DATA Entry'!E124="","",'Student DATA Entry'!E124)</f>
        <v/>
      </c>
      <c r="E128" s="532" t="str">
        <f>IF('Student DATA Entry'!I124="","",'Student DATA Entry'!I124)</f>
        <v/>
      </c>
      <c r="F128" s="126" t="str">
        <f>IF('Student DATA Entry'!F124="","",UPPER('Student DATA Entry'!F124))</f>
        <v/>
      </c>
      <c r="G128" s="126" t="str">
        <f>IF('Student DATA Entry'!G124="","",UPPER('Student DATA Entry'!G124))</f>
        <v/>
      </c>
      <c r="H128" s="126" t="str">
        <f>IF('Student DATA Entry'!H124="","",UPPER('Student DATA Entry'!H124))</f>
        <v/>
      </c>
      <c r="I128" s="526" t="str">
        <f>IF('Student DATA Entry'!K124="","",UPPER('Student DATA Entry'!K124))</f>
        <v/>
      </c>
      <c r="J128" s="560" t="str">
        <f>IF('Student DATA Entry'!J124="","",UPPER('Student DATA Entry'!J124))</f>
        <v/>
      </c>
      <c r="K128" s="561"/>
      <c r="L128" s="43"/>
      <c r="M128" s="43"/>
      <c r="N128" s="53"/>
      <c r="O128" s="562"/>
      <c r="P128" s="561"/>
      <c r="Q128" s="43"/>
      <c r="R128" s="43"/>
      <c r="S128" s="53"/>
      <c r="T128" s="562"/>
      <c r="U128" s="103"/>
      <c r="V128" s="43"/>
      <c r="W128" s="43"/>
      <c r="X128" s="43"/>
      <c r="Y128" s="53"/>
      <c r="Z128" s="53"/>
      <c r="AA128" s="58"/>
      <c r="AB128" s="565"/>
      <c r="AC128" s="103"/>
      <c r="AD128" s="43"/>
      <c r="AE128" s="43"/>
      <c r="AF128" s="43"/>
      <c r="AG128" s="53"/>
      <c r="AH128" s="53"/>
      <c r="AI128" s="58"/>
      <c r="AJ128" s="565"/>
      <c r="AK128" s="103"/>
      <c r="AL128" s="43"/>
      <c r="AM128" s="43"/>
      <c r="AN128" s="43"/>
      <c r="AO128" s="53"/>
      <c r="AP128" s="53"/>
      <c r="AQ128" s="58"/>
      <c r="AR128" s="565"/>
      <c r="AS128" s="18"/>
      <c r="AT128" s="43"/>
      <c r="AU128" s="43"/>
      <c r="AV128" s="43"/>
      <c r="AW128" s="52"/>
      <c r="AX128" s="53"/>
      <c r="AY128" s="57"/>
      <c r="AZ128" s="110"/>
      <c r="BA128" s="110"/>
      <c r="BB128" s="551"/>
      <c r="BC128" s="552"/>
      <c r="BD128" s="104"/>
      <c r="BE128" s="103"/>
      <c r="BF128" s="19"/>
      <c r="BG128" s="19"/>
      <c r="BH128" s="20"/>
      <c r="BI128" s="104"/>
      <c r="BJ128" s="8"/>
    </row>
    <row r="129" spans="1:62">
      <c r="A129" s="519">
        <f>IF('Student DATA Entry'!A125="","",'Student DATA Entry'!A125)</f>
        <v>122</v>
      </c>
      <c r="B129" s="528" t="str">
        <f>IF('Student DATA Entry'!B125="","",'Student DATA Entry'!B125)</f>
        <v/>
      </c>
      <c r="C129" s="125" t="str">
        <f>IF('Student DATA Entry'!D125="","",'Student DATA Entry'!D125)</f>
        <v/>
      </c>
      <c r="D129" s="530" t="str">
        <f>IF('Student DATA Entry'!E125="","",'Student DATA Entry'!E125)</f>
        <v/>
      </c>
      <c r="E129" s="532" t="str">
        <f>IF('Student DATA Entry'!I125="","",'Student DATA Entry'!I125)</f>
        <v/>
      </c>
      <c r="F129" s="126" t="str">
        <f>IF('Student DATA Entry'!F125="","",UPPER('Student DATA Entry'!F125))</f>
        <v/>
      </c>
      <c r="G129" s="126" t="str">
        <f>IF('Student DATA Entry'!G125="","",UPPER('Student DATA Entry'!G125))</f>
        <v/>
      </c>
      <c r="H129" s="126" t="str">
        <f>IF('Student DATA Entry'!H125="","",UPPER('Student DATA Entry'!H125))</f>
        <v/>
      </c>
      <c r="I129" s="526" t="str">
        <f>IF('Student DATA Entry'!K125="","",UPPER('Student DATA Entry'!K125))</f>
        <v/>
      </c>
      <c r="J129" s="560" t="str">
        <f>IF('Student DATA Entry'!J125="","",UPPER('Student DATA Entry'!J125))</f>
        <v/>
      </c>
      <c r="K129" s="561"/>
      <c r="L129" s="43"/>
      <c r="M129" s="43"/>
      <c r="N129" s="53"/>
      <c r="O129" s="562"/>
      <c r="P129" s="561"/>
      <c r="Q129" s="43"/>
      <c r="R129" s="43"/>
      <c r="S129" s="53"/>
      <c r="T129" s="562"/>
      <c r="U129" s="103"/>
      <c r="V129" s="43"/>
      <c r="W129" s="43"/>
      <c r="X129" s="43"/>
      <c r="Y129" s="53"/>
      <c r="Z129" s="53"/>
      <c r="AA129" s="58"/>
      <c r="AB129" s="565"/>
      <c r="AC129" s="103"/>
      <c r="AD129" s="43"/>
      <c r="AE129" s="43"/>
      <c r="AF129" s="43"/>
      <c r="AG129" s="53"/>
      <c r="AH129" s="53"/>
      <c r="AI129" s="58"/>
      <c r="AJ129" s="565"/>
      <c r="AK129" s="103"/>
      <c r="AL129" s="43"/>
      <c r="AM129" s="43"/>
      <c r="AN129" s="43"/>
      <c r="AO129" s="53"/>
      <c r="AP129" s="53"/>
      <c r="AQ129" s="58"/>
      <c r="AR129" s="565"/>
      <c r="AS129" s="18"/>
      <c r="AT129" s="43"/>
      <c r="AU129" s="43"/>
      <c r="AV129" s="43"/>
      <c r="AW129" s="52"/>
      <c r="AX129" s="53"/>
      <c r="AY129" s="57"/>
      <c r="AZ129" s="110"/>
      <c r="BA129" s="110"/>
      <c r="BB129" s="551"/>
      <c r="BC129" s="552"/>
      <c r="BD129" s="104"/>
      <c r="BE129" s="103"/>
      <c r="BF129" s="19"/>
      <c r="BG129" s="19"/>
      <c r="BH129" s="20"/>
      <c r="BI129" s="104"/>
      <c r="BJ129" s="8"/>
    </row>
    <row r="130" spans="1:62">
      <c r="A130" s="519">
        <f>IF('Student DATA Entry'!A126="","",'Student DATA Entry'!A126)</f>
        <v>123</v>
      </c>
      <c r="B130" s="528" t="str">
        <f>IF('Student DATA Entry'!B126="","",'Student DATA Entry'!B126)</f>
        <v/>
      </c>
      <c r="C130" s="125" t="str">
        <f>IF('Student DATA Entry'!D126="","",'Student DATA Entry'!D126)</f>
        <v/>
      </c>
      <c r="D130" s="530" t="str">
        <f>IF('Student DATA Entry'!E126="","",'Student DATA Entry'!E126)</f>
        <v/>
      </c>
      <c r="E130" s="532" t="str">
        <f>IF('Student DATA Entry'!I126="","",'Student DATA Entry'!I126)</f>
        <v/>
      </c>
      <c r="F130" s="126" t="str">
        <f>IF('Student DATA Entry'!F126="","",UPPER('Student DATA Entry'!F126))</f>
        <v/>
      </c>
      <c r="G130" s="126" t="str">
        <f>IF('Student DATA Entry'!G126="","",UPPER('Student DATA Entry'!G126))</f>
        <v/>
      </c>
      <c r="H130" s="126" t="str">
        <f>IF('Student DATA Entry'!H126="","",UPPER('Student DATA Entry'!H126))</f>
        <v/>
      </c>
      <c r="I130" s="526" t="str">
        <f>IF('Student DATA Entry'!K126="","",UPPER('Student DATA Entry'!K126))</f>
        <v/>
      </c>
      <c r="J130" s="560" t="str">
        <f>IF('Student DATA Entry'!J126="","",UPPER('Student DATA Entry'!J126))</f>
        <v/>
      </c>
      <c r="K130" s="561"/>
      <c r="L130" s="43"/>
      <c r="M130" s="43"/>
      <c r="N130" s="53"/>
      <c r="O130" s="562"/>
      <c r="P130" s="561"/>
      <c r="Q130" s="43"/>
      <c r="R130" s="43"/>
      <c r="S130" s="53"/>
      <c r="T130" s="562"/>
      <c r="U130" s="103"/>
      <c r="V130" s="43"/>
      <c r="W130" s="43"/>
      <c r="X130" s="43"/>
      <c r="Y130" s="53"/>
      <c r="Z130" s="53"/>
      <c r="AA130" s="58"/>
      <c r="AB130" s="565"/>
      <c r="AC130" s="103"/>
      <c r="AD130" s="43"/>
      <c r="AE130" s="43"/>
      <c r="AF130" s="43"/>
      <c r="AG130" s="53"/>
      <c r="AH130" s="53"/>
      <c r="AI130" s="58"/>
      <c r="AJ130" s="565"/>
      <c r="AK130" s="103"/>
      <c r="AL130" s="43"/>
      <c r="AM130" s="43"/>
      <c r="AN130" s="43"/>
      <c r="AO130" s="53"/>
      <c r="AP130" s="53"/>
      <c r="AQ130" s="58"/>
      <c r="AR130" s="565"/>
      <c r="AS130" s="18"/>
      <c r="AT130" s="43"/>
      <c r="AU130" s="43"/>
      <c r="AV130" s="43"/>
      <c r="AW130" s="52"/>
      <c r="AX130" s="53"/>
      <c r="AY130" s="57"/>
      <c r="AZ130" s="110"/>
      <c r="BA130" s="110"/>
      <c r="BB130" s="551"/>
      <c r="BC130" s="552"/>
      <c r="BD130" s="104"/>
      <c r="BE130" s="103"/>
      <c r="BF130" s="19"/>
      <c r="BG130" s="19"/>
      <c r="BH130" s="20"/>
      <c r="BI130" s="104"/>
      <c r="BJ130" s="8"/>
    </row>
    <row r="131" spans="1:62">
      <c r="A131" s="519">
        <f>IF('Student DATA Entry'!A127="","",'Student DATA Entry'!A127)</f>
        <v>124</v>
      </c>
      <c r="B131" s="528" t="str">
        <f>IF('Student DATA Entry'!B127="","",'Student DATA Entry'!B127)</f>
        <v/>
      </c>
      <c r="C131" s="125" t="str">
        <f>IF('Student DATA Entry'!D127="","",'Student DATA Entry'!D127)</f>
        <v/>
      </c>
      <c r="D131" s="530" t="str">
        <f>IF('Student DATA Entry'!E127="","",'Student DATA Entry'!E127)</f>
        <v/>
      </c>
      <c r="E131" s="532" t="str">
        <f>IF('Student DATA Entry'!I127="","",'Student DATA Entry'!I127)</f>
        <v/>
      </c>
      <c r="F131" s="126" t="str">
        <f>IF('Student DATA Entry'!F127="","",UPPER('Student DATA Entry'!F127))</f>
        <v/>
      </c>
      <c r="G131" s="126" t="str">
        <f>IF('Student DATA Entry'!G127="","",UPPER('Student DATA Entry'!G127))</f>
        <v/>
      </c>
      <c r="H131" s="126" t="str">
        <f>IF('Student DATA Entry'!H127="","",UPPER('Student DATA Entry'!H127))</f>
        <v/>
      </c>
      <c r="I131" s="526" t="str">
        <f>IF('Student DATA Entry'!K127="","",UPPER('Student DATA Entry'!K127))</f>
        <v/>
      </c>
      <c r="J131" s="560" t="str">
        <f>IF('Student DATA Entry'!J127="","",UPPER('Student DATA Entry'!J127))</f>
        <v/>
      </c>
      <c r="K131" s="561"/>
      <c r="L131" s="43"/>
      <c r="M131" s="43"/>
      <c r="N131" s="53"/>
      <c r="O131" s="562"/>
      <c r="P131" s="561"/>
      <c r="Q131" s="43"/>
      <c r="R131" s="43"/>
      <c r="S131" s="53"/>
      <c r="T131" s="562"/>
      <c r="U131" s="103"/>
      <c r="V131" s="43"/>
      <c r="W131" s="43"/>
      <c r="X131" s="43"/>
      <c r="Y131" s="53"/>
      <c r="Z131" s="53"/>
      <c r="AA131" s="58"/>
      <c r="AB131" s="565"/>
      <c r="AC131" s="103"/>
      <c r="AD131" s="43"/>
      <c r="AE131" s="43"/>
      <c r="AF131" s="43"/>
      <c r="AG131" s="53"/>
      <c r="AH131" s="53"/>
      <c r="AI131" s="58"/>
      <c r="AJ131" s="565"/>
      <c r="AK131" s="103"/>
      <c r="AL131" s="43"/>
      <c r="AM131" s="43"/>
      <c r="AN131" s="43"/>
      <c r="AO131" s="53"/>
      <c r="AP131" s="53"/>
      <c r="AQ131" s="58"/>
      <c r="AR131" s="565"/>
      <c r="AS131" s="18"/>
      <c r="AT131" s="43"/>
      <c r="AU131" s="43"/>
      <c r="AV131" s="43"/>
      <c r="AW131" s="52"/>
      <c r="AX131" s="53"/>
      <c r="AY131" s="57"/>
      <c r="AZ131" s="110"/>
      <c r="BA131" s="110"/>
      <c r="BB131" s="551"/>
      <c r="BC131" s="552"/>
      <c r="BD131" s="104"/>
      <c r="BE131" s="103"/>
      <c r="BF131" s="19"/>
      <c r="BG131" s="19"/>
      <c r="BH131" s="20"/>
      <c r="BI131" s="104"/>
      <c r="BJ131" s="8"/>
    </row>
    <row r="132" spans="1:62">
      <c r="A132" s="519">
        <f>IF('Student DATA Entry'!A128="","",'Student DATA Entry'!A128)</f>
        <v>125</v>
      </c>
      <c r="B132" s="528" t="str">
        <f>IF('Student DATA Entry'!B128="","",'Student DATA Entry'!B128)</f>
        <v/>
      </c>
      <c r="C132" s="125" t="str">
        <f>IF('Student DATA Entry'!D128="","",'Student DATA Entry'!D128)</f>
        <v/>
      </c>
      <c r="D132" s="530" t="str">
        <f>IF('Student DATA Entry'!E128="","",'Student DATA Entry'!E128)</f>
        <v/>
      </c>
      <c r="E132" s="532" t="str">
        <f>IF('Student DATA Entry'!I128="","",'Student DATA Entry'!I128)</f>
        <v/>
      </c>
      <c r="F132" s="126" t="str">
        <f>IF('Student DATA Entry'!F128="","",UPPER('Student DATA Entry'!F128))</f>
        <v/>
      </c>
      <c r="G132" s="126" t="str">
        <f>IF('Student DATA Entry'!G128="","",UPPER('Student DATA Entry'!G128))</f>
        <v/>
      </c>
      <c r="H132" s="126" t="str">
        <f>IF('Student DATA Entry'!H128="","",UPPER('Student DATA Entry'!H128))</f>
        <v/>
      </c>
      <c r="I132" s="526" t="str">
        <f>IF('Student DATA Entry'!K128="","",UPPER('Student DATA Entry'!K128))</f>
        <v/>
      </c>
      <c r="J132" s="560" t="str">
        <f>IF('Student DATA Entry'!J128="","",UPPER('Student DATA Entry'!J128))</f>
        <v/>
      </c>
      <c r="K132" s="561"/>
      <c r="L132" s="43"/>
      <c r="M132" s="43"/>
      <c r="N132" s="53"/>
      <c r="O132" s="562"/>
      <c r="P132" s="561"/>
      <c r="Q132" s="43"/>
      <c r="R132" s="43"/>
      <c r="S132" s="53"/>
      <c r="T132" s="562"/>
      <c r="U132" s="103"/>
      <c r="V132" s="43"/>
      <c r="W132" s="43"/>
      <c r="X132" s="43"/>
      <c r="Y132" s="53"/>
      <c r="Z132" s="53"/>
      <c r="AA132" s="58"/>
      <c r="AB132" s="565"/>
      <c r="AC132" s="103"/>
      <c r="AD132" s="43"/>
      <c r="AE132" s="43"/>
      <c r="AF132" s="43"/>
      <c r="AG132" s="53"/>
      <c r="AH132" s="53"/>
      <c r="AI132" s="58"/>
      <c r="AJ132" s="565"/>
      <c r="AK132" s="103"/>
      <c r="AL132" s="43"/>
      <c r="AM132" s="43"/>
      <c r="AN132" s="43"/>
      <c r="AO132" s="53"/>
      <c r="AP132" s="53"/>
      <c r="AQ132" s="58"/>
      <c r="AR132" s="565"/>
      <c r="AS132" s="18"/>
      <c r="AT132" s="43"/>
      <c r="AU132" s="43"/>
      <c r="AV132" s="43"/>
      <c r="AW132" s="52"/>
      <c r="AX132" s="53"/>
      <c r="AY132" s="57"/>
      <c r="AZ132" s="110"/>
      <c r="BA132" s="110"/>
      <c r="BB132" s="551"/>
      <c r="BC132" s="552"/>
      <c r="BD132" s="104"/>
      <c r="BE132" s="103"/>
      <c r="BF132" s="19"/>
      <c r="BG132" s="19"/>
      <c r="BH132" s="20"/>
      <c r="BI132" s="104"/>
      <c r="BJ132" s="8"/>
    </row>
    <row r="133" spans="1:62">
      <c r="A133" s="519">
        <f>IF('Student DATA Entry'!A129="","",'Student DATA Entry'!A129)</f>
        <v>126</v>
      </c>
      <c r="B133" s="528" t="str">
        <f>IF('Student DATA Entry'!B129="","",'Student DATA Entry'!B129)</f>
        <v/>
      </c>
      <c r="C133" s="125" t="str">
        <f>IF('Student DATA Entry'!D129="","",'Student DATA Entry'!D129)</f>
        <v/>
      </c>
      <c r="D133" s="530" t="str">
        <f>IF('Student DATA Entry'!E129="","",'Student DATA Entry'!E129)</f>
        <v/>
      </c>
      <c r="E133" s="532" t="str">
        <f>IF('Student DATA Entry'!I129="","",'Student DATA Entry'!I129)</f>
        <v/>
      </c>
      <c r="F133" s="126" t="str">
        <f>IF('Student DATA Entry'!F129="","",UPPER('Student DATA Entry'!F129))</f>
        <v/>
      </c>
      <c r="G133" s="126" t="str">
        <f>IF('Student DATA Entry'!G129="","",UPPER('Student DATA Entry'!G129))</f>
        <v/>
      </c>
      <c r="H133" s="126" t="str">
        <f>IF('Student DATA Entry'!H129="","",UPPER('Student DATA Entry'!H129))</f>
        <v/>
      </c>
      <c r="I133" s="526" t="str">
        <f>IF('Student DATA Entry'!K129="","",UPPER('Student DATA Entry'!K129))</f>
        <v/>
      </c>
      <c r="J133" s="560" t="str">
        <f>IF('Student DATA Entry'!J129="","",UPPER('Student DATA Entry'!J129))</f>
        <v/>
      </c>
      <c r="K133" s="561"/>
      <c r="L133" s="43"/>
      <c r="M133" s="43"/>
      <c r="N133" s="53"/>
      <c r="O133" s="562"/>
      <c r="P133" s="561"/>
      <c r="Q133" s="43"/>
      <c r="R133" s="43"/>
      <c r="S133" s="53"/>
      <c r="T133" s="562"/>
      <c r="U133" s="103"/>
      <c r="V133" s="43"/>
      <c r="W133" s="43"/>
      <c r="X133" s="43"/>
      <c r="Y133" s="53"/>
      <c r="Z133" s="53"/>
      <c r="AA133" s="58"/>
      <c r="AB133" s="565"/>
      <c r="AC133" s="103"/>
      <c r="AD133" s="43"/>
      <c r="AE133" s="43"/>
      <c r="AF133" s="43"/>
      <c r="AG133" s="53"/>
      <c r="AH133" s="53"/>
      <c r="AI133" s="58"/>
      <c r="AJ133" s="565"/>
      <c r="AK133" s="103"/>
      <c r="AL133" s="43"/>
      <c r="AM133" s="43"/>
      <c r="AN133" s="43"/>
      <c r="AO133" s="53"/>
      <c r="AP133" s="53"/>
      <c r="AQ133" s="58"/>
      <c r="AR133" s="565"/>
      <c r="AS133" s="18"/>
      <c r="AT133" s="43"/>
      <c r="AU133" s="43"/>
      <c r="AV133" s="43"/>
      <c r="AW133" s="52"/>
      <c r="AX133" s="53"/>
      <c r="AY133" s="57"/>
      <c r="AZ133" s="110"/>
      <c r="BA133" s="110"/>
      <c r="BB133" s="551"/>
      <c r="BC133" s="552"/>
      <c r="BD133" s="104"/>
      <c r="BE133" s="103"/>
      <c r="BF133" s="19"/>
      <c r="BG133" s="19"/>
      <c r="BH133" s="20"/>
      <c r="BI133" s="104"/>
      <c r="BJ133" s="8"/>
    </row>
    <row r="134" spans="1:62">
      <c r="A134" s="519">
        <f>IF('Student DATA Entry'!A130="","",'Student DATA Entry'!A130)</f>
        <v>127</v>
      </c>
      <c r="B134" s="528" t="str">
        <f>IF('Student DATA Entry'!B130="","",'Student DATA Entry'!B130)</f>
        <v/>
      </c>
      <c r="C134" s="125" t="str">
        <f>IF('Student DATA Entry'!D130="","",'Student DATA Entry'!D130)</f>
        <v/>
      </c>
      <c r="D134" s="530" t="str">
        <f>IF('Student DATA Entry'!E130="","",'Student DATA Entry'!E130)</f>
        <v/>
      </c>
      <c r="E134" s="532" t="str">
        <f>IF('Student DATA Entry'!I130="","",'Student DATA Entry'!I130)</f>
        <v/>
      </c>
      <c r="F134" s="126" t="str">
        <f>IF('Student DATA Entry'!F130="","",UPPER('Student DATA Entry'!F130))</f>
        <v/>
      </c>
      <c r="G134" s="126" t="str">
        <f>IF('Student DATA Entry'!G130="","",UPPER('Student DATA Entry'!G130))</f>
        <v/>
      </c>
      <c r="H134" s="126" t="str">
        <f>IF('Student DATA Entry'!H130="","",UPPER('Student DATA Entry'!H130))</f>
        <v/>
      </c>
      <c r="I134" s="526" t="str">
        <f>IF('Student DATA Entry'!K130="","",UPPER('Student DATA Entry'!K130))</f>
        <v/>
      </c>
      <c r="J134" s="560" t="str">
        <f>IF('Student DATA Entry'!J130="","",UPPER('Student DATA Entry'!J130))</f>
        <v/>
      </c>
      <c r="K134" s="561"/>
      <c r="L134" s="43"/>
      <c r="M134" s="43"/>
      <c r="N134" s="53"/>
      <c r="O134" s="562"/>
      <c r="P134" s="561"/>
      <c r="Q134" s="43"/>
      <c r="R134" s="43"/>
      <c r="S134" s="53"/>
      <c r="T134" s="562"/>
      <c r="U134" s="103"/>
      <c r="V134" s="43"/>
      <c r="W134" s="43"/>
      <c r="X134" s="43"/>
      <c r="Y134" s="53"/>
      <c r="Z134" s="53"/>
      <c r="AA134" s="58"/>
      <c r="AB134" s="565"/>
      <c r="AC134" s="103"/>
      <c r="AD134" s="43"/>
      <c r="AE134" s="43"/>
      <c r="AF134" s="43"/>
      <c r="AG134" s="53"/>
      <c r="AH134" s="53"/>
      <c r="AI134" s="58"/>
      <c r="AJ134" s="565"/>
      <c r="AK134" s="103"/>
      <c r="AL134" s="43"/>
      <c r="AM134" s="43"/>
      <c r="AN134" s="43"/>
      <c r="AO134" s="53"/>
      <c r="AP134" s="53"/>
      <c r="AQ134" s="58"/>
      <c r="AR134" s="565"/>
      <c r="AS134" s="18"/>
      <c r="AT134" s="43"/>
      <c r="AU134" s="43"/>
      <c r="AV134" s="43"/>
      <c r="AW134" s="52"/>
      <c r="AX134" s="53"/>
      <c r="AY134" s="57"/>
      <c r="AZ134" s="110"/>
      <c r="BA134" s="110"/>
      <c r="BB134" s="551"/>
      <c r="BC134" s="552"/>
      <c r="BD134" s="104"/>
      <c r="BE134" s="103"/>
      <c r="BF134" s="19"/>
      <c r="BG134" s="19"/>
      <c r="BH134" s="20"/>
      <c r="BI134" s="104"/>
      <c r="BJ134" s="8"/>
    </row>
    <row r="135" spans="1:62">
      <c r="A135" s="519">
        <f>IF('Student DATA Entry'!A131="","",'Student DATA Entry'!A131)</f>
        <v>128</v>
      </c>
      <c r="B135" s="528" t="str">
        <f>IF('Student DATA Entry'!B131="","",'Student DATA Entry'!B131)</f>
        <v/>
      </c>
      <c r="C135" s="125" t="str">
        <f>IF('Student DATA Entry'!D131="","",'Student DATA Entry'!D131)</f>
        <v/>
      </c>
      <c r="D135" s="530" t="str">
        <f>IF('Student DATA Entry'!E131="","",'Student DATA Entry'!E131)</f>
        <v/>
      </c>
      <c r="E135" s="532" t="str">
        <f>IF('Student DATA Entry'!I131="","",'Student DATA Entry'!I131)</f>
        <v/>
      </c>
      <c r="F135" s="126" t="str">
        <f>IF('Student DATA Entry'!F131="","",UPPER('Student DATA Entry'!F131))</f>
        <v/>
      </c>
      <c r="G135" s="126" t="str">
        <f>IF('Student DATA Entry'!G131="","",UPPER('Student DATA Entry'!G131))</f>
        <v/>
      </c>
      <c r="H135" s="126" t="str">
        <f>IF('Student DATA Entry'!H131="","",UPPER('Student DATA Entry'!H131))</f>
        <v/>
      </c>
      <c r="I135" s="526" t="str">
        <f>IF('Student DATA Entry'!K131="","",UPPER('Student DATA Entry'!K131))</f>
        <v/>
      </c>
      <c r="J135" s="560" t="str">
        <f>IF('Student DATA Entry'!J131="","",UPPER('Student DATA Entry'!J131))</f>
        <v/>
      </c>
      <c r="K135" s="561"/>
      <c r="L135" s="43"/>
      <c r="M135" s="43"/>
      <c r="N135" s="53"/>
      <c r="O135" s="562"/>
      <c r="P135" s="561"/>
      <c r="Q135" s="43"/>
      <c r="R135" s="43"/>
      <c r="S135" s="53"/>
      <c r="T135" s="562"/>
      <c r="U135" s="103"/>
      <c r="V135" s="43"/>
      <c r="W135" s="43"/>
      <c r="X135" s="43"/>
      <c r="Y135" s="53"/>
      <c r="Z135" s="53"/>
      <c r="AA135" s="58"/>
      <c r="AB135" s="565"/>
      <c r="AC135" s="103"/>
      <c r="AD135" s="43"/>
      <c r="AE135" s="43"/>
      <c r="AF135" s="43"/>
      <c r="AG135" s="53"/>
      <c r="AH135" s="53"/>
      <c r="AI135" s="58"/>
      <c r="AJ135" s="565"/>
      <c r="AK135" s="103"/>
      <c r="AL135" s="43"/>
      <c r="AM135" s="43"/>
      <c r="AN135" s="43"/>
      <c r="AO135" s="53"/>
      <c r="AP135" s="53"/>
      <c r="AQ135" s="58"/>
      <c r="AR135" s="565"/>
      <c r="AS135" s="18"/>
      <c r="AT135" s="43"/>
      <c r="AU135" s="43"/>
      <c r="AV135" s="43"/>
      <c r="AW135" s="52"/>
      <c r="AX135" s="53"/>
      <c r="AY135" s="57"/>
      <c r="AZ135" s="110"/>
      <c r="BA135" s="110"/>
      <c r="BB135" s="551"/>
      <c r="BC135" s="552"/>
      <c r="BD135" s="104"/>
      <c r="BE135" s="103"/>
      <c r="BF135" s="19"/>
      <c r="BG135" s="19"/>
      <c r="BH135" s="20"/>
      <c r="BI135" s="104"/>
      <c r="BJ135" s="8"/>
    </row>
    <row r="136" spans="1:62">
      <c r="A136" s="519">
        <f>IF('Student DATA Entry'!A132="","",'Student DATA Entry'!A132)</f>
        <v>129</v>
      </c>
      <c r="B136" s="528" t="str">
        <f>IF('Student DATA Entry'!B132="","",'Student DATA Entry'!B132)</f>
        <v/>
      </c>
      <c r="C136" s="125" t="str">
        <f>IF('Student DATA Entry'!D132="","",'Student DATA Entry'!D132)</f>
        <v/>
      </c>
      <c r="D136" s="530" t="str">
        <f>IF('Student DATA Entry'!E132="","",'Student DATA Entry'!E132)</f>
        <v/>
      </c>
      <c r="E136" s="532" t="str">
        <f>IF('Student DATA Entry'!I132="","",'Student DATA Entry'!I132)</f>
        <v/>
      </c>
      <c r="F136" s="126" t="str">
        <f>IF('Student DATA Entry'!F132="","",UPPER('Student DATA Entry'!F132))</f>
        <v/>
      </c>
      <c r="G136" s="126" t="str">
        <f>IF('Student DATA Entry'!G132="","",UPPER('Student DATA Entry'!G132))</f>
        <v/>
      </c>
      <c r="H136" s="126" t="str">
        <f>IF('Student DATA Entry'!H132="","",UPPER('Student DATA Entry'!H132))</f>
        <v/>
      </c>
      <c r="I136" s="526" t="str">
        <f>IF('Student DATA Entry'!K132="","",UPPER('Student DATA Entry'!K132))</f>
        <v/>
      </c>
      <c r="J136" s="560" t="str">
        <f>IF('Student DATA Entry'!J132="","",UPPER('Student DATA Entry'!J132))</f>
        <v/>
      </c>
      <c r="K136" s="561"/>
      <c r="L136" s="43"/>
      <c r="M136" s="43"/>
      <c r="N136" s="53"/>
      <c r="O136" s="562"/>
      <c r="P136" s="561"/>
      <c r="Q136" s="43"/>
      <c r="R136" s="43"/>
      <c r="S136" s="53"/>
      <c r="T136" s="562"/>
      <c r="U136" s="103"/>
      <c r="V136" s="43"/>
      <c r="W136" s="43"/>
      <c r="X136" s="43"/>
      <c r="Y136" s="53"/>
      <c r="Z136" s="53"/>
      <c r="AA136" s="58"/>
      <c r="AB136" s="565"/>
      <c r="AC136" s="103"/>
      <c r="AD136" s="43"/>
      <c r="AE136" s="43"/>
      <c r="AF136" s="43"/>
      <c r="AG136" s="53"/>
      <c r="AH136" s="53"/>
      <c r="AI136" s="58"/>
      <c r="AJ136" s="565"/>
      <c r="AK136" s="103"/>
      <c r="AL136" s="43"/>
      <c r="AM136" s="43"/>
      <c r="AN136" s="43"/>
      <c r="AO136" s="53"/>
      <c r="AP136" s="53"/>
      <c r="AQ136" s="58"/>
      <c r="AR136" s="565"/>
      <c r="AS136" s="18"/>
      <c r="AT136" s="43"/>
      <c r="AU136" s="43"/>
      <c r="AV136" s="43"/>
      <c r="AW136" s="52"/>
      <c r="AX136" s="53"/>
      <c r="AY136" s="57"/>
      <c r="AZ136" s="110"/>
      <c r="BA136" s="110"/>
      <c r="BB136" s="551"/>
      <c r="BC136" s="552"/>
      <c r="BD136" s="104"/>
      <c r="BE136" s="103"/>
      <c r="BF136" s="19"/>
      <c r="BG136" s="19"/>
      <c r="BH136" s="20"/>
      <c r="BI136" s="104"/>
      <c r="BJ136" s="8"/>
    </row>
    <row r="137" spans="1:62">
      <c r="A137" s="519">
        <f>IF('Student DATA Entry'!A133="","",'Student DATA Entry'!A133)</f>
        <v>130</v>
      </c>
      <c r="B137" s="528" t="str">
        <f>IF('Student DATA Entry'!B133="","",'Student DATA Entry'!B133)</f>
        <v/>
      </c>
      <c r="C137" s="125" t="str">
        <f>IF('Student DATA Entry'!D133="","",'Student DATA Entry'!D133)</f>
        <v/>
      </c>
      <c r="D137" s="530" t="str">
        <f>IF('Student DATA Entry'!E133="","",'Student DATA Entry'!E133)</f>
        <v/>
      </c>
      <c r="E137" s="532" t="str">
        <f>IF('Student DATA Entry'!I133="","",'Student DATA Entry'!I133)</f>
        <v/>
      </c>
      <c r="F137" s="126" t="str">
        <f>IF('Student DATA Entry'!F133="","",UPPER('Student DATA Entry'!F133))</f>
        <v/>
      </c>
      <c r="G137" s="126" t="str">
        <f>IF('Student DATA Entry'!G133="","",UPPER('Student DATA Entry'!G133))</f>
        <v/>
      </c>
      <c r="H137" s="126" t="str">
        <f>IF('Student DATA Entry'!H133="","",UPPER('Student DATA Entry'!H133))</f>
        <v/>
      </c>
      <c r="I137" s="526" t="str">
        <f>IF('Student DATA Entry'!K133="","",UPPER('Student DATA Entry'!K133))</f>
        <v/>
      </c>
      <c r="J137" s="560" t="str">
        <f>IF('Student DATA Entry'!J133="","",UPPER('Student DATA Entry'!J133))</f>
        <v/>
      </c>
      <c r="K137" s="561"/>
      <c r="L137" s="43"/>
      <c r="M137" s="43"/>
      <c r="N137" s="53"/>
      <c r="O137" s="562"/>
      <c r="P137" s="561"/>
      <c r="Q137" s="43"/>
      <c r="R137" s="43"/>
      <c r="S137" s="53"/>
      <c r="T137" s="562"/>
      <c r="U137" s="103"/>
      <c r="V137" s="43"/>
      <c r="W137" s="43"/>
      <c r="X137" s="43"/>
      <c r="Y137" s="53"/>
      <c r="Z137" s="53"/>
      <c r="AA137" s="58"/>
      <c r="AB137" s="565"/>
      <c r="AC137" s="103"/>
      <c r="AD137" s="43"/>
      <c r="AE137" s="43"/>
      <c r="AF137" s="43"/>
      <c r="AG137" s="53"/>
      <c r="AH137" s="53"/>
      <c r="AI137" s="58"/>
      <c r="AJ137" s="565"/>
      <c r="AK137" s="103"/>
      <c r="AL137" s="43"/>
      <c r="AM137" s="43"/>
      <c r="AN137" s="43"/>
      <c r="AO137" s="53"/>
      <c r="AP137" s="53"/>
      <c r="AQ137" s="58"/>
      <c r="AR137" s="565"/>
      <c r="AS137" s="18"/>
      <c r="AT137" s="43"/>
      <c r="AU137" s="43"/>
      <c r="AV137" s="43"/>
      <c r="AW137" s="52"/>
      <c r="AX137" s="53"/>
      <c r="AY137" s="57"/>
      <c r="AZ137" s="110"/>
      <c r="BA137" s="110"/>
      <c r="BB137" s="551"/>
      <c r="BC137" s="552"/>
      <c r="BD137" s="104"/>
      <c r="BE137" s="103"/>
      <c r="BF137" s="19"/>
      <c r="BG137" s="19"/>
      <c r="BH137" s="20"/>
      <c r="BI137" s="104"/>
      <c r="BJ137" s="8"/>
    </row>
    <row r="138" spans="1:62">
      <c r="A138" s="519">
        <f>IF('Student DATA Entry'!A134="","",'Student DATA Entry'!A134)</f>
        <v>131</v>
      </c>
      <c r="B138" s="528" t="str">
        <f>IF('Student DATA Entry'!B134="","",'Student DATA Entry'!B134)</f>
        <v/>
      </c>
      <c r="C138" s="125" t="str">
        <f>IF('Student DATA Entry'!D134="","",'Student DATA Entry'!D134)</f>
        <v/>
      </c>
      <c r="D138" s="530" t="str">
        <f>IF('Student DATA Entry'!E134="","",'Student DATA Entry'!E134)</f>
        <v/>
      </c>
      <c r="E138" s="532" t="str">
        <f>IF('Student DATA Entry'!I134="","",'Student DATA Entry'!I134)</f>
        <v/>
      </c>
      <c r="F138" s="126" t="str">
        <f>IF('Student DATA Entry'!F134="","",UPPER('Student DATA Entry'!F134))</f>
        <v/>
      </c>
      <c r="G138" s="126" t="str">
        <f>IF('Student DATA Entry'!G134="","",UPPER('Student DATA Entry'!G134))</f>
        <v/>
      </c>
      <c r="H138" s="126" t="str">
        <f>IF('Student DATA Entry'!H134="","",UPPER('Student DATA Entry'!H134))</f>
        <v/>
      </c>
      <c r="I138" s="526" t="str">
        <f>IF('Student DATA Entry'!K134="","",UPPER('Student DATA Entry'!K134))</f>
        <v/>
      </c>
      <c r="J138" s="560" t="str">
        <f>IF('Student DATA Entry'!J134="","",UPPER('Student DATA Entry'!J134))</f>
        <v/>
      </c>
      <c r="K138" s="561"/>
      <c r="L138" s="43"/>
      <c r="M138" s="43"/>
      <c r="N138" s="53"/>
      <c r="O138" s="562"/>
      <c r="P138" s="561"/>
      <c r="Q138" s="43"/>
      <c r="R138" s="43"/>
      <c r="S138" s="53"/>
      <c r="T138" s="562"/>
      <c r="U138" s="103"/>
      <c r="V138" s="43"/>
      <c r="W138" s="43"/>
      <c r="X138" s="43"/>
      <c r="Y138" s="53"/>
      <c r="Z138" s="53"/>
      <c r="AA138" s="58"/>
      <c r="AB138" s="565"/>
      <c r="AC138" s="103"/>
      <c r="AD138" s="43"/>
      <c r="AE138" s="43"/>
      <c r="AF138" s="43"/>
      <c r="AG138" s="53"/>
      <c r="AH138" s="53"/>
      <c r="AI138" s="58"/>
      <c r="AJ138" s="565"/>
      <c r="AK138" s="103"/>
      <c r="AL138" s="43"/>
      <c r="AM138" s="43"/>
      <c r="AN138" s="43"/>
      <c r="AO138" s="53"/>
      <c r="AP138" s="53"/>
      <c r="AQ138" s="58"/>
      <c r="AR138" s="565"/>
      <c r="AS138" s="18"/>
      <c r="AT138" s="43"/>
      <c r="AU138" s="43"/>
      <c r="AV138" s="43"/>
      <c r="AW138" s="52"/>
      <c r="AX138" s="53"/>
      <c r="AY138" s="57"/>
      <c r="AZ138" s="110"/>
      <c r="BA138" s="110"/>
      <c r="BB138" s="551"/>
      <c r="BC138" s="552"/>
      <c r="BD138" s="104"/>
      <c r="BE138" s="103"/>
      <c r="BF138" s="19"/>
      <c r="BG138" s="19"/>
      <c r="BH138" s="20"/>
      <c r="BI138" s="104"/>
      <c r="BJ138" s="8"/>
    </row>
    <row r="139" spans="1:62">
      <c r="A139" s="519">
        <f>IF('Student DATA Entry'!A135="","",'Student DATA Entry'!A135)</f>
        <v>132</v>
      </c>
      <c r="B139" s="528" t="str">
        <f>IF('Student DATA Entry'!B135="","",'Student DATA Entry'!B135)</f>
        <v/>
      </c>
      <c r="C139" s="125" t="str">
        <f>IF('Student DATA Entry'!D135="","",'Student DATA Entry'!D135)</f>
        <v/>
      </c>
      <c r="D139" s="530" t="str">
        <f>IF('Student DATA Entry'!E135="","",'Student DATA Entry'!E135)</f>
        <v/>
      </c>
      <c r="E139" s="532" t="str">
        <f>IF('Student DATA Entry'!I135="","",'Student DATA Entry'!I135)</f>
        <v/>
      </c>
      <c r="F139" s="126" t="str">
        <f>IF('Student DATA Entry'!F135="","",UPPER('Student DATA Entry'!F135))</f>
        <v/>
      </c>
      <c r="G139" s="126" t="str">
        <f>IF('Student DATA Entry'!G135="","",UPPER('Student DATA Entry'!G135))</f>
        <v/>
      </c>
      <c r="H139" s="126" t="str">
        <f>IF('Student DATA Entry'!H135="","",UPPER('Student DATA Entry'!H135))</f>
        <v/>
      </c>
      <c r="I139" s="526" t="str">
        <f>IF('Student DATA Entry'!K135="","",UPPER('Student DATA Entry'!K135))</f>
        <v/>
      </c>
      <c r="J139" s="560" t="str">
        <f>IF('Student DATA Entry'!J135="","",UPPER('Student DATA Entry'!J135))</f>
        <v/>
      </c>
      <c r="K139" s="561"/>
      <c r="L139" s="43"/>
      <c r="M139" s="43"/>
      <c r="N139" s="53"/>
      <c r="O139" s="562"/>
      <c r="P139" s="561"/>
      <c r="Q139" s="43"/>
      <c r="R139" s="43"/>
      <c r="S139" s="53"/>
      <c r="T139" s="562"/>
      <c r="U139" s="103"/>
      <c r="V139" s="43"/>
      <c r="W139" s="43"/>
      <c r="X139" s="43"/>
      <c r="Y139" s="53"/>
      <c r="Z139" s="53"/>
      <c r="AA139" s="58"/>
      <c r="AB139" s="565"/>
      <c r="AC139" s="103"/>
      <c r="AD139" s="43"/>
      <c r="AE139" s="43"/>
      <c r="AF139" s="43"/>
      <c r="AG139" s="53"/>
      <c r="AH139" s="53"/>
      <c r="AI139" s="58"/>
      <c r="AJ139" s="565"/>
      <c r="AK139" s="103"/>
      <c r="AL139" s="43"/>
      <c r="AM139" s="43"/>
      <c r="AN139" s="43"/>
      <c r="AO139" s="53"/>
      <c r="AP139" s="53"/>
      <c r="AQ139" s="58"/>
      <c r="AR139" s="565"/>
      <c r="AS139" s="18"/>
      <c r="AT139" s="43"/>
      <c r="AU139" s="43"/>
      <c r="AV139" s="43"/>
      <c r="AW139" s="52"/>
      <c r="AX139" s="53"/>
      <c r="AY139" s="57"/>
      <c r="AZ139" s="110"/>
      <c r="BA139" s="110"/>
      <c r="BB139" s="551"/>
      <c r="BC139" s="552"/>
      <c r="BD139" s="104"/>
      <c r="BE139" s="103"/>
      <c r="BF139" s="19"/>
      <c r="BG139" s="19"/>
      <c r="BH139" s="20"/>
      <c r="BI139" s="104"/>
      <c r="BJ139" s="8"/>
    </row>
    <row r="140" spans="1:62">
      <c r="A140" s="519">
        <f>IF('Student DATA Entry'!A136="","",'Student DATA Entry'!A136)</f>
        <v>133</v>
      </c>
      <c r="B140" s="528" t="str">
        <f>IF('Student DATA Entry'!B136="","",'Student DATA Entry'!B136)</f>
        <v/>
      </c>
      <c r="C140" s="125" t="str">
        <f>IF('Student DATA Entry'!D136="","",'Student DATA Entry'!D136)</f>
        <v/>
      </c>
      <c r="D140" s="530" t="str">
        <f>IF('Student DATA Entry'!E136="","",'Student DATA Entry'!E136)</f>
        <v/>
      </c>
      <c r="E140" s="532" t="str">
        <f>IF('Student DATA Entry'!I136="","",'Student DATA Entry'!I136)</f>
        <v/>
      </c>
      <c r="F140" s="126" t="str">
        <f>IF('Student DATA Entry'!F136="","",UPPER('Student DATA Entry'!F136))</f>
        <v/>
      </c>
      <c r="G140" s="126" t="str">
        <f>IF('Student DATA Entry'!G136="","",UPPER('Student DATA Entry'!G136))</f>
        <v/>
      </c>
      <c r="H140" s="126" t="str">
        <f>IF('Student DATA Entry'!H136="","",UPPER('Student DATA Entry'!H136))</f>
        <v/>
      </c>
      <c r="I140" s="526" t="str">
        <f>IF('Student DATA Entry'!K136="","",UPPER('Student DATA Entry'!K136))</f>
        <v/>
      </c>
      <c r="J140" s="560" t="str">
        <f>IF('Student DATA Entry'!J136="","",UPPER('Student DATA Entry'!J136))</f>
        <v/>
      </c>
      <c r="K140" s="561"/>
      <c r="L140" s="43"/>
      <c r="M140" s="43"/>
      <c r="N140" s="53"/>
      <c r="O140" s="562"/>
      <c r="P140" s="561"/>
      <c r="Q140" s="43"/>
      <c r="R140" s="43"/>
      <c r="S140" s="53"/>
      <c r="T140" s="562"/>
      <c r="U140" s="103"/>
      <c r="V140" s="43"/>
      <c r="W140" s="43"/>
      <c r="X140" s="43"/>
      <c r="Y140" s="53"/>
      <c r="Z140" s="53"/>
      <c r="AA140" s="58"/>
      <c r="AB140" s="565"/>
      <c r="AC140" s="103"/>
      <c r="AD140" s="43"/>
      <c r="AE140" s="43"/>
      <c r="AF140" s="43"/>
      <c r="AG140" s="53"/>
      <c r="AH140" s="53"/>
      <c r="AI140" s="58"/>
      <c r="AJ140" s="565"/>
      <c r="AK140" s="103"/>
      <c r="AL140" s="43"/>
      <c r="AM140" s="43"/>
      <c r="AN140" s="43"/>
      <c r="AO140" s="53"/>
      <c r="AP140" s="53"/>
      <c r="AQ140" s="58"/>
      <c r="AR140" s="565"/>
      <c r="AS140" s="18"/>
      <c r="AT140" s="43"/>
      <c r="AU140" s="43"/>
      <c r="AV140" s="43"/>
      <c r="AW140" s="52"/>
      <c r="AX140" s="53"/>
      <c r="AY140" s="57"/>
      <c r="AZ140" s="110"/>
      <c r="BA140" s="110"/>
      <c r="BB140" s="551"/>
      <c r="BC140" s="552"/>
      <c r="BD140" s="104"/>
      <c r="BE140" s="103"/>
      <c r="BF140" s="19"/>
      <c r="BG140" s="19"/>
      <c r="BH140" s="20"/>
      <c r="BI140" s="104"/>
      <c r="BJ140" s="8"/>
    </row>
    <row r="141" spans="1:62">
      <c r="A141" s="519">
        <f>IF('Student DATA Entry'!A137="","",'Student DATA Entry'!A137)</f>
        <v>134</v>
      </c>
      <c r="B141" s="528" t="str">
        <f>IF('Student DATA Entry'!B137="","",'Student DATA Entry'!B137)</f>
        <v/>
      </c>
      <c r="C141" s="125" t="str">
        <f>IF('Student DATA Entry'!D137="","",'Student DATA Entry'!D137)</f>
        <v/>
      </c>
      <c r="D141" s="530" t="str">
        <f>IF('Student DATA Entry'!E137="","",'Student DATA Entry'!E137)</f>
        <v/>
      </c>
      <c r="E141" s="532" t="str">
        <f>IF('Student DATA Entry'!I137="","",'Student DATA Entry'!I137)</f>
        <v/>
      </c>
      <c r="F141" s="126" t="str">
        <f>IF('Student DATA Entry'!F137="","",UPPER('Student DATA Entry'!F137))</f>
        <v/>
      </c>
      <c r="G141" s="126" t="str">
        <f>IF('Student DATA Entry'!G137="","",UPPER('Student DATA Entry'!G137))</f>
        <v/>
      </c>
      <c r="H141" s="126" t="str">
        <f>IF('Student DATA Entry'!H137="","",UPPER('Student DATA Entry'!H137))</f>
        <v/>
      </c>
      <c r="I141" s="526" t="str">
        <f>IF('Student DATA Entry'!K137="","",UPPER('Student DATA Entry'!K137))</f>
        <v/>
      </c>
      <c r="J141" s="560" t="str">
        <f>IF('Student DATA Entry'!J137="","",UPPER('Student DATA Entry'!J137))</f>
        <v/>
      </c>
      <c r="K141" s="561"/>
      <c r="L141" s="43"/>
      <c r="M141" s="43"/>
      <c r="N141" s="53"/>
      <c r="O141" s="562"/>
      <c r="P141" s="561"/>
      <c r="Q141" s="43"/>
      <c r="R141" s="43"/>
      <c r="S141" s="53"/>
      <c r="T141" s="562"/>
      <c r="U141" s="103"/>
      <c r="V141" s="43"/>
      <c r="W141" s="43"/>
      <c r="X141" s="43"/>
      <c r="Y141" s="53"/>
      <c r="Z141" s="53"/>
      <c r="AA141" s="58"/>
      <c r="AB141" s="565"/>
      <c r="AC141" s="103"/>
      <c r="AD141" s="43"/>
      <c r="AE141" s="43"/>
      <c r="AF141" s="43"/>
      <c r="AG141" s="53"/>
      <c r="AH141" s="53"/>
      <c r="AI141" s="58"/>
      <c r="AJ141" s="565"/>
      <c r="AK141" s="103"/>
      <c r="AL141" s="43"/>
      <c r="AM141" s="43"/>
      <c r="AN141" s="43"/>
      <c r="AO141" s="53"/>
      <c r="AP141" s="53"/>
      <c r="AQ141" s="58"/>
      <c r="AR141" s="565"/>
      <c r="AS141" s="18"/>
      <c r="AT141" s="43"/>
      <c r="AU141" s="43"/>
      <c r="AV141" s="43"/>
      <c r="AW141" s="52"/>
      <c r="AX141" s="53"/>
      <c r="AY141" s="57"/>
      <c r="AZ141" s="110"/>
      <c r="BA141" s="110"/>
      <c r="BB141" s="551"/>
      <c r="BC141" s="552"/>
      <c r="BD141" s="104"/>
      <c r="BE141" s="103"/>
      <c r="BF141" s="19"/>
      <c r="BG141" s="19"/>
      <c r="BH141" s="20"/>
      <c r="BI141" s="104"/>
      <c r="BJ141" s="8"/>
    </row>
    <row r="142" spans="1:62">
      <c r="A142" s="519">
        <f>IF('Student DATA Entry'!A138="","",'Student DATA Entry'!A138)</f>
        <v>135</v>
      </c>
      <c r="B142" s="528" t="str">
        <f>IF('Student DATA Entry'!B138="","",'Student DATA Entry'!B138)</f>
        <v/>
      </c>
      <c r="C142" s="125" t="str">
        <f>IF('Student DATA Entry'!D138="","",'Student DATA Entry'!D138)</f>
        <v/>
      </c>
      <c r="D142" s="530" t="str">
        <f>IF('Student DATA Entry'!E138="","",'Student DATA Entry'!E138)</f>
        <v/>
      </c>
      <c r="E142" s="532" t="str">
        <f>IF('Student DATA Entry'!I138="","",'Student DATA Entry'!I138)</f>
        <v/>
      </c>
      <c r="F142" s="126" t="str">
        <f>IF('Student DATA Entry'!F138="","",UPPER('Student DATA Entry'!F138))</f>
        <v/>
      </c>
      <c r="G142" s="126" t="str">
        <f>IF('Student DATA Entry'!G138="","",UPPER('Student DATA Entry'!G138))</f>
        <v/>
      </c>
      <c r="H142" s="126" t="str">
        <f>IF('Student DATA Entry'!H138="","",UPPER('Student DATA Entry'!H138))</f>
        <v/>
      </c>
      <c r="I142" s="526" t="str">
        <f>IF('Student DATA Entry'!K138="","",UPPER('Student DATA Entry'!K138))</f>
        <v/>
      </c>
      <c r="J142" s="560" t="str">
        <f>IF('Student DATA Entry'!J138="","",UPPER('Student DATA Entry'!J138))</f>
        <v/>
      </c>
      <c r="K142" s="561"/>
      <c r="L142" s="43"/>
      <c r="M142" s="43"/>
      <c r="N142" s="53"/>
      <c r="O142" s="562"/>
      <c r="P142" s="561"/>
      <c r="Q142" s="43"/>
      <c r="R142" s="43"/>
      <c r="S142" s="53"/>
      <c r="T142" s="562"/>
      <c r="U142" s="103"/>
      <c r="V142" s="43"/>
      <c r="W142" s="43"/>
      <c r="X142" s="43"/>
      <c r="Y142" s="53"/>
      <c r="Z142" s="53"/>
      <c r="AA142" s="58"/>
      <c r="AB142" s="565"/>
      <c r="AC142" s="103"/>
      <c r="AD142" s="43"/>
      <c r="AE142" s="43"/>
      <c r="AF142" s="43"/>
      <c r="AG142" s="53"/>
      <c r="AH142" s="53"/>
      <c r="AI142" s="58"/>
      <c r="AJ142" s="565"/>
      <c r="AK142" s="103"/>
      <c r="AL142" s="43"/>
      <c r="AM142" s="43"/>
      <c r="AN142" s="43"/>
      <c r="AO142" s="53"/>
      <c r="AP142" s="53"/>
      <c r="AQ142" s="58"/>
      <c r="AR142" s="565"/>
      <c r="AS142" s="18"/>
      <c r="AT142" s="43"/>
      <c r="AU142" s="43"/>
      <c r="AV142" s="43"/>
      <c r="AW142" s="52"/>
      <c r="AX142" s="53"/>
      <c r="AY142" s="57"/>
      <c r="AZ142" s="110"/>
      <c r="BA142" s="110"/>
      <c r="BB142" s="551"/>
      <c r="BC142" s="552"/>
      <c r="BD142" s="104"/>
      <c r="BE142" s="103"/>
      <c r="BF142" s="19"/>
      <c r="BG142" s="19"/>
      <c r="BH142" s="20"/>
      <c r="BI142" s="104"/>
      <c r="BJ142" s="8"/>
    </row>
    <row r="143" spans="1:62">
      <c r="A143" s="519">
        <f>IF('Student DATA Entry'!A139="","",'Student DATA Entry'!A139)</f>
        <v>136</v>
      </c>
      <c r="B143" s="528" t="str">
        <f>IF('Student DATA Entry'!B139="","",'Student DATA Entry'!B139)</f>
        <v/>
      </c>
      <c r="C143" s="125" t="str">
        <f>IF('Student DATA Entry'!D139="","",'Student DATA Entry'!D139)</f>
        <v/>
      </c>
      <c r="D143" s="530" t="str">
        <f>IF('Student DATA Entry'!E139="","",'Student DATA Entry'!E139)</f>
        <v/>
      </c>
      <c r="E143" s="532" t="str">
        <f>IF('Student DATA Entry'!I139="","",'Student DATA Entry'!I139)</f>
        <v/>
      </c>
      <c r="F143" s="126" t="str">
        <f>IF('Student DATA Entry'!F139="","",UPPER('Student DATA Entry'!F139))</f>
        <v/>
      </c>
      <c r="G143" s="126" t="str">
        <f>IF('Student DATA Entry'!G139="","",UPPER('Student DATA Entry'!G139))</f>
        <v/>
      </c>
      <c r="H143" s="126" t="str">
        <f>IF('Student DATA Entry'!H139="","",UPPER('Student DATA Entry'!H139))</f>
        <v/>
      </c>
      <c r="I143" s="526" t="str">
        <f>IF('Student DATA Entry'!K139="","",UPPER('Student DATA Entry'!K139))</f>
        <v/>
      </c>
      <c r="J143" s="560" t="str">
        <f>IF('Student DATA Entry'!J139="","",UPPER('Student DATA Entry'!J139))</f>
        <v/>
      </c>
      <c r="K143" s="561"/>
      <c r="L143" s="43"/>
      <c r="M143" s="43"/>
      <c r="N143" s="53"/>
      <c r="O143" s="562"/>
      <c r="P143" s="561"/>
      <c r="Q143" s="43"/>
      <c r="R143" s="43"/>
      <c r="S143" s="53"/>
      <c r="T143" s="562"/>
      <c r="U143" s="103"/>
      <c r="V143" s="43"/>
      <c r="W143" s="43"/>
      <c r="X143" s="43"/>
      <c r="Y143" s="53"/>
      <c r="Z143" s="53"/>
      <c r="AA143" s="58"/>
      <c r="AB143" s="565"/>
      <c r="AC143" s="103"/>
      <c r="AD143" s="43"/>
      <c r="AE143" s="43"/>
      <c r="AF143" s="43"/>
      <c r="AG143" s="53"/>
      <c r="AH143" s="53"/>
      <c r="AI143" s="58"/>
      <c r="AJ143" s="565"/>
      <c r="AK143" s="103"/>
      <c r="AL143" s="43"/>
      <c r="AM143" s="43"/>
      <c r="AN143" s="43"/>
      <c r="AO143" s="53"/>
      <c r="AP143" s="53"/>
      <c r="AQ143" s="58"/>
      <c r="AR143" s="565"/>
      <c r="AS143" s="18"/>
      <c r="AT143" s="43"/>
      <c r="AU143" s="43"/>
      <c r="AV143" s="43"/>
      <c r="AW143" s="52"/>
      <c r="AX143" s="53"/>
      <c r="AY143" s="57"/>
      <c r="AZ143" s="110"/>
      <c r="BA143" s="110"/>
      <c r="BB143" s="551"/>
      <c r="BC143" s="552"/>
      <c r="BD143" s="104"/>
      <c r="BE143" s="103"/>
      <c r="BF143" s="19"/>
      <c r="BG143" s="19"/>
      <c r="BH143" s="20"/>
      <c r="BI143" s="104"/>
      <c r="BJ143" s="8"/>
    </row>
    <row r="144" spans="1:62">
      <c r="A144" s="519">
        <f>IF('Student DATA Entry'!A140="","",'Student DATA Entry'!A140)</f>
        <v>137</v>
      </c>
      <c r="B144" s="528" t="str">
        <f>IF('Student DATA Entry'!B140="","",'Student DATA Entry'!B140)</f>
        <v/>
      </c>
      <c r="C144" s="125" t="str">
        <f>IF('Student DATA Entry'!D140="","",'Student DATA Entry'!D140)</f>
        <v/>
      </c>
      <c r="D144" s="530" t="str">
        <f>IF('Student DATA Entry'!E140="","",'Student DATA Entry'!E140)</f>
        <v/>
      </c>
      <c r="E144" s="532" t="str">
        <f>IF('Student DATA Entry'!I140="","",'Student DATA Entry'!I140)</f>
        <v/>
      </c>
      <c r="F144" s="126" t="str">
        <f>IF('Student DATA Entry'!F140="","",UPPER('Student DATA Entry'!F140))</f>
        <v/>
      </c>
      <c r="G144" s="126" t="str">
        <f>IF('Student DATA Entry'!G140="","",UPPER('Student DATA Entry'!G140))</f>
        <v/>
      </c>
      <c r="H144" s="126" t="str">
        <f>IF('Student DATA Entry'!H140="","",UPPER('Student DATA Entry'!H140))</f>
        <v/>
      </c>
      <c r="I144" s="526" t="str">
        <f>IF('Student DATA Entry'!K140="","",UPPER('Student DATA Entry'!K140))</f>
        <v/>
      </c>
      <c r="J144" s="560" t="str">
        <f>IF('Student DATA Entry'!J140="","",UPPER('Student DATA Entry'!J140))</f>
        <v/>
      </c>
      <c r="K144" s="561"/>
      <c r="L144" s="43"/>
      <c r="M144" s="43"/>
      <c r="N144" s="53"/>
      <c r="O144" s="562"/>
      <c r="P144" s="561"/>
      <c r="Q144" s="43"/>
      <c r="R144" s="43"/>
      <c r="S144" s="53"/>
      <c r="T144" s="562"/>
      <c r="U144" s="103"/>
      <c r="V144" s="43"/>
      <c r="W144" s="43"/>
      <c r="X144" s="43"/>
      <c r="Y144" s="53"/>
      <c r="Z144" s="53"/>
      <c r="AA144" s="58"/>
      <c r="AB144" s="565"/>
      <c r="AC144" s="103"/>
      <c r="AD144" s="43"/>
      <c r="AE144" s="43"/>
      <c r="AF144" s="43"/>
      <c r="AG144" s="53"/>
      <c r="AH144" s="53"/>
      <c r="AI144" s="58"/>
      <c r="AJ144" s="565"/>
      <c r="AK144" s="103"/>
      <c r="AL144" s="43"/>
      <c r="AM144" s="43"/>
      <c r="AN144" s="43"/>
      <c r="AO144" s="53"/>
      <c r="AP144" s="53"/>
      <c r="AQ144" s="58"/>
      <c r="AR144" s="565"/>
      <c r="AS144" s="18"/>
      <c r="AT144" s="43"/>
      <c r="AU144" s="43"/>
      <c r="AV144" s="43"/>
      <c r="AW144" s="52"/>
      <c r="AX144" s="53"/>
      <c r="AY144" s="57"/>
      <c r="AZ144" s="110"/>
      <c r="BA144" s="110"/>
      <c r="BB144" s="551"/>
      <c r="BC144" s="552"/>
      <c r="BD144" s="104"/>
      <c r="BE144" s="103"/>
      <c r="BF144" s="19"/>
      <c r="BG144" s="19"/>
      <c r="BH144" s="20"/>
      <c r="BI144" s="104"/>
      <c r="BJ144" s="8"/>
    </row>
    <row r="145" spans="1:62">
      <c r="A145" s="519">
        <f>IF('Student DATA Entry'!A141="","",'Student DATA Entry'!A141)</f>
        <v>138</v>
      </c>
      <c r="B145" s="528" t="str">
        <f>IF('Student DATA Entry'!B141="","",'Student DATA Entry'!B141)</f>
        <v/>
      </c>
      <c r="C145" s="125" t="str">
        <f>IF('Student DATA Entry'!D141="","",'Student DATA Entry'!D141)</f>
        <v/>
      </c>
      <c r="D145" s="530" t="str">
        <f>IF('Student DATA Entry'!E141="","",'Student DATA Entry'!E141)</f>
        <v/>
      </c>
      <c r="E145" s="532" t="str">
        <f>IF('Student DATA Entry'!I141="","",'Student DATA Entry'!I141)</f>
        <v/>
      </c>
      <c r="F145" s="126" t="str">
        <f>IF('Student DATA Entry'!F141="","",UPPER('Student DATA Entry'!F141))</f>
        <v/>
      </c>
      <c r="G145" s="126" t="str">
        <f>IF('Student DATA Entry'!G141="","",UPPER('Student DATA Entry'!G141))</f>
        <v/>
      </c>
      <c r="H145" s="126" t="str">
        <f>IF('Student DATA Entry'!H141="","",UPPER('Student DATA Entry'!H141))</f>
        <v/>
      </c>
      <c r="I145" s="526" t="str">
        <f>IF('Student DATA Entry'!K141="","",UPPER('Student DATA Entry'!K141))</f>
        <v/>
      </c>
      <c r="J145" s="560" t="str">
        <f>IF('Student DATA Entry'!J141="","",UPPER('Student DATA Entry'!J141))</f>
        <v/>
      </c>
      <c r="K145" s="561"/>
      <c r="L145" s="43"/>
      <c r="M145" s="43"/>
      <c r="N145" s="53"/>
      <c r="O145" s="562"/>
      <c r="P145" s="561"/>
      <c r="Q145" s="43"/>
      <c r="R145" s="43"/>
      <c r="S145" s="53"/>
      <c r="T145" s="562"/>
      <c r="U145" s="103"/>
      <c r="V145" s="43"/>
      <c r="W145" s="43"/>
      <c r="X145" s="43"/>
      <c r="Y145" s="53"/>
      <c r="Z145" s="53"/>
      <c r="AA145" s="58"/>
      <c r="AB145" s="565"/>
      <c r="AC145" s="103"/>
      <c r="AD145" s="43"/>
      <c r="AE145" s="43"/>
      <c r="AF145" s="43"/>
      <c r="AG145" s="53"/>
      <c r="AH145" s="53"/>
      <c r="AI145" s="58"/>
      <c r="AJ145" s="565"/>
      <c r="AK145" s="103"/>
      <c r="AL145" s="43"/>
      <c r="AM145" s="43"/>
      <c r="AN145" s="43"/>
      <c r="AO145" s="53"/>
      <c r="AP145" s="53"/>
      <c r="AQ145" s="58"/>
      <c r="AR145" s="565"/>
      <c r="AS145" s="18"/>
      <c r="AT145" s="43"/>
      <c r="AU145" s="43"/>
      <c r="AV145" s="43"/>
      <c r="AW145" s="52"/>
      <c r="AX145" s="53"/>
      <c r="AY145" s="57"/>
      <c r="AZ145" s="110"/>
      <c r="BA145" s="110"/>
      <c r="BB145" s="551"/>
      <c r="BC145" s="552"/>
      <c r="BD145" s="104"/>
      <c r="BE145" s="103"/>
      <c r="BF145" s="19"/>
      <c r="BG145" s="19"/>
      <c r="BH145" s="20"/>
      <c r="BI145" s="104"/>
      <c r="BJ145" s="8"/>
    </row>
    <row r="146" spans="1:62">
      <c r="A146" s="519">
        <f>IF('Student DATA Entry'!A142="","",'Student DATA Entry'!A142)</f>
        <v>139</v>
      </c>
      <c r="B146" s="528" t="str">
        <f>IF('Student DATA Entry'!B142="","",'Student DATA Entry'!B142)</f>
        <v/>
      </c>
      <c r="C146" s="125" t="str">
        <f>IF('Student DATA Entry'!D142="","",'Student DATA Entry'!D142)</f>
        <v/>
      </c>
      <c r="D146" s="530" t="str">
        <f>IF('Student DATA Entry'!E142="","",'Student DATA Entry'!E142)</f>
        <v/>
      </c>
      <c r="E146" s="532" t="str">
        <f>IF('Student DATA Entry'!I142="","",'Student DATA Entry'!I142)</f>
        <v/>
      </c>
      <c r="F146" s="126" t="str">
        <f>IF('Student DATA Entry'!F142="","",UPPER('Student DATA Entry'!F142))</f>
        <v/>
      </c>
      <c r="G146" s="126" t="str">
        <f>IF('Student DATA Entry'!G142="","",UPPER('Student DATA Entry'!G142))</f>
        <v/>
      </c>
      <c r="H146" s="126" t="str">
        <f>IF('Student DATA Entry'!H142="","",UPPER('Student DATA Entry'!H142))</f>
        <v/>
      </c>
      <c r="I146" s="526" t="str">
        <f>IF('Student DATA Entry'!K142="","",UPPER('Student DATA Entry'!K142))</f>
        <v/>
      </c>
      <c r="J146" s="560" t="str">
        <f>IF('Student DATA Entry'!J142="","",UPPER('Student DATA Entry'!J142))</f>
        <v/>
      </c>
      <c r="K146" s="561"/>
      <c r="L146" s="43"/>
      <c r="M146" s="43"/>
      <c r="N146" s="53"/>
      <c r="O146" s="562"/>
      <c r="P146" s="561"/>
      <c r="Q146" s="43"/>
      <c r="R146" s="43"/>
      <c r="S146" s="53"/>
      <c r="T146" s="562"/>
      <c r="U146" s="103"/>
      <c r="V146" s="43"/>
      <c r="W146" s="43"/>
      <c r="X146" s="43"/>
      <c r="Y146" s="53"/>
      <c r="Z146" s="53"/>
      <c r="AA146" s="58"/>
      <c r="AB146" s="565"/>
      <c r="AC146" s="103"/>
      <c r="AD146" s="43"/>
      <c r="AE146" s="43"/>
      <c r="AF146" s="43"/>
      <c r="AG146" s="53"/>
      <c r="AH146" s="53"/>
      <c r="AI146" s="58"/>
      <c r="AJ146" s="565"/>
      <c r="AK146" s="103"/>
      <c r="AL146" s="43"/>
      <c r="AM146" s="43"/>
      <c r="AN146" s="43"/>
      <c r="AO146" s="53"/>
      <c r="AP146" s="53"/>
      <c r="AQ146" s="58"/>
      <c r="AR146" s="565"/>
      <c r="AS146" s="18"/>
      <c r="AT146" s="43"/>
      <c r="AU146" s="43"/>
      <c r="AV146" s="43"/>
      <c r="AW146" s="52"/>
      <c r="AX146" s="53"/>
      <c r="AY146" s="57"/>
      <c r="AZ146" s="110"/>
      <c r="BA146" s="110"/>
      <c r="BB146" s="551"/>
      <c r="BC146" s="552"/>
      <c r="BD146" s="104"/>
      <c r="BE146" s="103"/>
      <c r="BF146" s="19"/>
      <c r="BG146" s="19"/>
      <c r="BH146" s="20"/>
      <c r="BI146" s="104"/>
      <c r="BJ146" s="8"/>
    </row>
    <row r="147" spans="1:62">
      <c r="A147" s="519">
        <f>IF('Student DATA Entry'!A143="","",'Student DATA Entry'!A143)</f>
        <v>140</v>
      </c>
      <c r="B147" s="528" t="str">
        <f>IF('Student DATA Entry'!B143="","",'Student DATA Entry'!B143)</f>
        <v/>
      </c>
      <c r="C147" s="125" t="str">
        <f>IF('Student DATA Entry'!D143="","",'Student DATA Entry'!D143)</f>
        <v/>
      </c>
      <c r="D147" s="530" t="str">
        <f>IF('Student DATA Entry'!E143="","",'Student DATA Entry'!E143)</f>
        <v/>
      </c>
      <c r="E147" s="532" t="str">
        <f>IF('Student DATA Entry'!I143="","",'Student DATA Entry'!I143)</f>
        <v/>
      </c>
      <c r="F147" s="126" t="str">
        <f>IF('Student DATA Entry'!F143="","",UPPER('Student DATA Entry'!F143))</f>
        <v/>
      </c>
      <c r="G147" s="126" t="str">
        <f>IF('Student DATA Entry'!G143="","",UPPER('Student DATA Entry'!G143))</f>
        <v/>
      </c>
      <c r="H147" s="126" t="str">
        <f>IF('Student DATA Entry'!H143="","",UPPER('Student DATA Entry'!H143))</f>
        <v/>
      </c>
      <c r="I147" s="526" t="str">
        <f>IF('Student DATA Entry'!K143="","",UPPER('Student DATA Entry'!K143))</f>
        <v/>
      </c>
      <c r="J147" s="560" t="str">
        <f>IF('Student DATA Entry'!J143="","",UPPER('Student DATA Entry'!J143))</f>
        <v/>
      </c>
      <c r="K147" s="561"/>
      <c r="L147" s="43"/>
      <c r="M147" s="43"/>
      <c r="N147" s="53"/>
      <c r="O147" s="562"/>
      <c r="P147" s="561"/>
      <c r="Q147" s="43"/>
      <c r="R147" s="43"/>
      <c r="S147" s="53"/>
      <c r="T147" s="562"/>
      <c r="U147" s="103"/>
      <c r="V147" s="43"/>
      <c r="W147" s="43"/>
      <c r="X147" s="43"/>
      <c r="Y147" s="53"/>
      <c r="Z147" s="53"/>
      <c r="AA147" s="58"/>
      <c r="AB147" s="565"/>
      <c r="AC147" s="103"/>
      <c r="AD147" s="43"/>
      <c r="AE147" s="43"/>
      <c r="AF147" s="43"/>
      <c r="AG147" s="53"/>
      <c r="AH147" s="53"/>
      <c r="AI147" s="58"/>
      <c r="AJ147" s="565"/>
      <c r="AK147" s="103"/>
      <c r="AL147" s="43"/>
      <c r="AM147" s="43"/>
      <c r="AN147" s="43"/>
      <c r="AO147" s="53"/>
      <c r="AP147" s="53"/>
      <c r="AQ147" s="58"/>
      <c r="AR147" s="565"/>
      <c r="AS147" s="18"/>
      <c r="AT147" s="43"/>
      <c r="AU147" s="43"/>
      <c r="AV147" s="43"/>
      <c r="AW147" s="52"/>
      <c r="AX147" s="53"/>
      <c r="AY147" s="57"/>
      <c r="AZ147" s="110"/>
      <c r="BA147" s="110"/>
      <c r="BB147" s="551"/>
      <c r="BC147" s="552"/>
      <c r="BD147" s="104"/>
      <c r="BE147" s="103"/>
      <c r="BF147" s="19"/>
      <c r="BG147" s="19"/>
      <c r="BH147" s="20"/>
      <c r="BI147" s="104"/>
      <c r="BJ147" s="8"/>
    </row>
    <row r="148" spans="1:62">
      <c r="A148" s="519">
        <f>IF('Student DATA Entry'!A144="","",'Student DATA Entry'!A144)</f>
        <v>141</v>
      </c>
      <c r="B148" s="528" t="str">
        <f>IF('Student DATA Entry'!B144="","",'Student DATA Entry'!B144)</f>
        <v/>
      </c>
      <c r="C148" s="125" t="str">
        <f>IF('Student DATA Entry'!D144="","",'Student DATA Entry'!D144)</f>
        <v/>
      </c>
      <c r="D148" s="530" t="str">
        <f>IF('Student DATA Entry'!E144="","",'Student DATA Entry'!E144)</f>
        <v/>
      </c>
      <c r="E148" s="532" t="str">
        <f>IF('Student DATA Entry'!I144="","",'Student DATA Entry'!I144)</f>
        <v/>
      </c>
      <c r="F148" s="126" t="str">
        <f>IF('Student DATA Entry'!F144="","",UPPER('Student DATA Entry'!F144))</f>
        <v/>
      </c>
      <c r="G148" s="126" t="str">
        <f>IF('Student DATA Entry'!G144="","",UPPER('Student DATA Entry'!G144))</f>
        <v/>
      </c>
      <c r="H148" s="126" t="str">
        <f>IF('Student DATA Entry'!H144="","",UPPER('Student DATA Entry'!H144))</f>
        <v/>
      </c>
      <c r="I148" s="526" t="str">
        <f>IF('Student DATA Entry'!K144="","",UPPER('Student DATA Entry'!K144))</f>
        <v/>
      </c>
      <c r="J148" s="560" t="str">
        <f>IF('Student DATA Entry'!J144="","",UPPER('Student DATA Entry'!J144))</f>
        <v/>
      </c>
      <c r="K148" s="561"/>
      <c r="L148" s="43"/>
      <c r="M148" s="43"/>
      <c r="N148" s="53"/>
      <c r="O148" s="562"/>
      <c r="P148" s="561"/>
      <c r="Q148" s="43"/>
      <c r="R148" s="43"/>
      <c r="S148" s="53"/>
      <c r="T148" s="562"/>
      <c r="U148" s="103"/>
      <c r="V148" s="43"/>
      <c r="W148" s="43"/>
      <c r="X148" s="43"/>
      <c r="Y148" s="53"/>
      <c r="Z148" s="53"/>
      <c r="AA148" s="58"/>
      <c r="AB148" s="565"/>
      <c r="AC148" s="103"/>
      <c r="AD148" s="43"/>
      <c r="AE148" s="43"/>
      <c r="AF148" s="43"/>
      <c r="AG148" s="53"/>
      <c r="AH148" s="53"/>
      <c r="AI148" s="58"/>
      <c r="AJ148" s="565"/>
      <c r="AK148" s="103"/>
      <c r="AL148" s="43"/>
      <c r="AM148" s="43"/>
      <c r="AN148" s="43"/>
      <c r="AO148" s="53"/>
      <c r="AP148" s="53"/>
      <c r="AQ148" s="58"/>
      <c r="AR148" s="565"/>
      <c r="AS148" s="18"/>
      <c r="AT148" s="43"/>
      <c r="AU148" s="43"/>
      <c r="AV148" s="43"/>
      <c r="AW148" s="52"/>
      <c r="AX148" s="53"/>
      <c r="AY148" s="57"/>
      <c r="AZ148" s="110"/>
      <c r="BA148" s="110"/>
      <c r="BB148" s="551"/>
      <c r="BC148" s="552"/>
      <c r="BD148" s="104"/>
      <c r="BE148" s="103"/>
      <c r="BF148" s="19"/>
      <c r="BG148" s="19"/>
      <c r="BH148" s="20"/>
      <c r="BI148" s="104"/>
      <c r="BJ148" s="8"/>
    </row>
    <row r="149" spans="1:62">
      <c r="A149" s="519">
        <f>IF('Student DATA Entry'!A145="","",'Student DATA Entry'!A145)</f>
        <v>142</v>
      </c>
      <c r="B149" s="528" t="str">
        <f>IF('Student DATA Entry'!B145="","",'Student DATA Entry'!B145)</f>
        <v/>
      </c>
      <c r="C149" s="125" t="str">
        <f>IF('Student DATA Entry'!D145="","",'Student DATA Entry'!D145)</f>
        <v/>
      </c>
      <c r="D149" s="530" t="str">
        <f>IF('Student DATA Entry'!E145="","",'Student DATA Entry'!E145)</f>
        <v/>
      </c>
      <c r="E149" s="532" t="str">
        <f>IF('Student DATA Entry'!I145="","",'Student DATA Entry'!I145)</f>
        <v/>
      </c>
      <c r="F149" s="126" t="str">
        <f>IF('Student DATA Entry'!F145="","",UPPER('Student DATA Entry'!F145))</f>
        <v/>
      </c>
      <c r="G149" s="126" t="str">
        <f>IF('Student DATA Entry'!G145="","",UPPER('Student DATA Entry'!G145))</f>
        <v/>
      </c>
      <c r="H149" s="126" t="str">
        <f>IF('Student DATA Entry'!H145="","",UPPER('Student DATA Entry'!H145))</f>
        <v/>
      </c>
      <c r="I149" s="526" t="str">
        <f>IF('Student DATA Entry'!K145="","",UPPER('Student DATA Entry'!K145))</f>
        <v/>
      </c>
      <c r="J149" s="560" t="str">
        <f>IF('Student DATA Entry'!J145="","",UPPER('Student DATA Entry'!J145))</f>
        <v/>
      </c>
      <c r="K149" s="561"/>
      <c r="L149" s="43"/>
      <c r="M149" s="43"/>
      <c r="N149" s="53"/>
      <c r="O149" s="562"/>
      <c r="P149" s="561"/>
      <c r="Q149" s="43"/>
      <c r="R149" s="43"/>
      <c r="S149" s="53"/>
      <c r="T149" s="562"/>
      <c r="U149" s="103"/>
      <c r="V149" s="43"/>
      <c r="W149" s="43"/>
      <c r="X149" s="43"/>
      <c r="Y149" s="53"/>
      <c r="Z149" s="53"/>
      <c r="AA149" s="58"/>
      <c r="AB149" s="565"/>
      <c r="AC149" s="103"/>
      <c r="AD149" s="43"/>
      <c r="AE149" s="43"/>
      <c r="AF149" s="43"/>
      <c r="AG149" s="53"/>
      <c r="AH149" s="53"/>
      <c r="AI149" s="58"/>
      <c r="AJ149" s="565"/>
      <c r="AK149" s="103"/>
      <c r="AL149" s="43"/>
      <c r="AM149" s="43"/>
      <c r="AN149" s="43"/>
      <c r="AO149" s="53"/>
      <c r="AP149" s="53"/>
      <c r="AQ149" s="58"/>
      <c r="AR149" s="565"/>
      <c r="AS149" s="18"/>
      <c r="AT149" s="43"/>
      <c r="AU149" s="43"/>
      <c r="AV149" s="43"/>
      <c r="AW149" s="52"/>
      <c r="AX149" s="53"/>
      <c r="AY149" s="57"/>
      <c r="AZ149" s="110"/>
      <c r="BA149" s="110"/>
      <c r="BB149" s="551"/>
      <c r="BC149" s="552"/>
      <c r="BD149" s="104"/>
      <c r="BE149" s="103"/>
      <c r="BF149" s="19"/>
      <c r="BG149" s="19"/>
      <c r="BH149" s="20"/>
      <c r="BI149" s="104"/>
      <c r="BJ149" s="8"/>
    </row>
    <row r="150" spans="1:62">
      <c r="A150" s="519">
        <f>IF('Student DATA Entry'!A146="","",'Student DATA Entry'!A146)</f>
        <v>143</v>
      </c>
      <c r="B150" s="528" t="str">
        <f>IF('Student DATA Entry'!B146="","",'Student DATA Entry'!B146)</f>
        <v/>
      </c>
      <c r="C150" s="125" t="str">
        <f>IF('Student DATA Entry'!D146="","",'Student DATA Entry'!D146)</f>
        <v/>
      </c>
      <c r="D150" s="530" t="str">
        <f>IF('Student DATA Entry'!E146="","",'Student DATA Entry'!E146)</f>
        <v/>
      </c>
      <c r="E150" s="532" t="str">
        <f>IF('Student DATA Entry'!I146="","",'Student DATA Entry'!I146)</f>
        <v/>
      </c>
      <c r="F150" s="126" t="str">
        <f>IF('Student DATA Entry'!F146="","",UPPER('Student DATA Entry'!F146))</f>
        <v/>
      </c>
      <c r="G150" s="126" t="str">
        <f>IF('Student DATA Entry'!G146="","",UPPER('Student DATA Entry'!G146))</f>
        <v/>
      </c>
      <c r="H150" s="126" t="str">
        <f>IF('Student DATA Entry'!H146="","",UPPER('Student DATA Entry'!H146))</f>
        <v/>
      </c>
      <c r="I150" s="526" t="str">
        <f>IF('Student DATA Entry'!K146="","",UPPER('Student DATA Entry'!K146))</f>
        <v/>
      </c>
      <c r="J150" s="560" t="str">
        <f>IF('Student DATA Entry'!J146="","",UPPER('Student DATA Entry'!J146))</f>
        <v/>
      </c>
      <c r="K150" s="561"/>
      <c r="L150" s="43"/>
      <c r="M150" s="43"/>
      <c r="N150" s="53"/>
      <c r="O150" s="562"/>
      <c r="P150" s="561"/>
      <c r="Q150" s="43"/>
      <c r="R150" s="43"/>
      <c r="S150" s="53"/>
      <c r="T150" s="562"/>
      <c r="U150" s="103"/>
      <c r="V150" s="43"/>
      <c r="W150" s="43"/>
      <c r="X150" s="43"/>
      <c r="Y150" s="53"/>
      <c r="Z150" s="53"/>
      <c r="AA150" s="58"/>
      <c r="AB150" s="565"/>
      <c r="AC150" s="103"/>
      <c r="AD150" s="43"/>
      <c r="AE150" s="43"/>
      <c r="AF150" s="43"/>
      <c r="AG150" s="53"/>
      <c r="AH150" s="53"/>
      <c r="AI150" s="58"/>
      <c r="AJ150" s="565"/>
      <c r="AK150" s="103"/>
      <c r="AL150" s="43"/>
      <c r="AM150" s="43"/>
      <c r="AN150" s="43"/>
      <c r="AO150" s="53"/>
      <c r="AP150" s="53"/>
      <c r="AQ150" s="58"/>
      <c r="AR150" s="565"/>
      <c r="AS150" s="18"/>
      <c r="AT150" s="43"/>
      <c r="AU150" s="43"/>
      <c r="AV150" s="43"/>
      <c r="AW150" s="52"/>
      <c r="AX150" s="53"/>
      <c r="AY150" s="57"/>
      <c r="AZ150" s="110"/>
      <c r="BA150" s="110"/>
      <c r="BB150" s="551"/>
      <c r="BC150" s="552"/>
      <c r="BD150" s="104"/>
      <c r="BE150" s="103"/>
      <c r="BF150" s="19"/>
      <c r="BG150" s="19"/>
      <c r="BH150" s="20"/>
      <c r="BI150" s="104"/>
      <c r="BJ150" s="8"/>
    </row>
    <row r="151" spans="1:62">
      <c r="A151" s="519">
        <f>IF('Student DATA Entry'!A147="","",'Student DATA Entry'!A147)</f>
        <v>144</v>
      </c>
      <c r="B151" s="528" t="str">
        <f>IF('Student DATA Entry'!B147="","",'Student DATA Entry'!B147)</f>
        <v/>
      </c>
      <c r="C151" s="125" t="str">
        <f>IF('Student DATA Entry'!D147="","",'Student DATA Entry'!D147)</f>
        <v/>
      </c>
      <c r="D151" s="530" t="str">
        <f>IF('Student DATA Entry'!E147="","",'Student DATA Entry'!E147)</f>
        <v/>
      </c>
      <c r="E151" s="532" t="str">
        <f>IF('Student DATA Entry'!I147="","",'Student DATA Entry'!I147)</f>
        <v/>
      </c>
      <c r="F151" s="126" t="str">
        <f>IF('Student DATA Entry'!F147="","",UPPER('Student DATA Entry'!F147))</f>
        <v/>
      </c>
      <c r="G151" s="126" t="str">
        <f>IF('Student DATA Entry'!G147="","",UPPER('Student DATA Entry'!G147))</f>
        <v/>
      </c>
      <c r="H151" s="126" t="str">
        <f>IF('Student DATA Entry'!H147="","",UPPER('Student DATA Entry'!H147))</f>
        <v/>
      </c>
      <c r="I151" s="526" t="str">
        <f>IF('Student DATA Entry'!K147="","",UPPER('Student DATA Entry'!K147))</f>
        <v/>
      </c>
      <c r="J151" s="560" t="str">
        <f>IF('Student DATA Entry'!J147="","",UPPER('Student DATA Entry'!J147))</f>
        <v/>
      </c>
      <c r="K151" s="561"/>
      <c r="L151" s="43"/>
      <c r="M151" s="43"/>
      <c r="N151" s="53"/>
      <c r="O151" s="562"/>
      <c r="P151" s="561"/>
      <c r="Q151" s="43"/>
      <c r="R151" s="43"/>
      <c r="S151" s="53"/>
      <c r="T151" s="562"/>
      <c r="U151" s="103"/>
      <c r="V151" s="43"/>
      <c r="W151" s="43"/>
      <c r="X151" s="43"/>
      <c r="Y151" s="53"/>
      <c r="Z151" s="53"/>
      <c r="AA151" s="58"/>
      <c r="AB151" s="565"/>
      <c r="AC151" s="103"/>
      <c r="AD151" s="43"/>
      <c r="AE151" s="43"/>
      <c r="AF151" s="43"/>
      <c r="AG151" s="53"/>
      <c r="AH151" s="53"/>
      <c r="AI151" s="58"/>
      <c r="AJ151" s="565"/>
      <c r="AK151" s="103"/>
      <c r="AL151" s="43"/>
      <c r="AM151" s="43"/>
      <c r="AN151" s="43"/>
      <c r="AO151" s="53"/>
      <c r="AP151" s="53"/>
      <c r="AQ151" s="58"/>
      <c r="AR151" s="565"/>
      <c r="AS151" s="18"/>
      <c r="AT151" s="43"/>
      <c r="AU151" s="43"/>
      <c r="AV151" s="43"/>
      <c r="AW151" s="52"/>
      <c r="AX151" s="53"/>
      <c r="AY151" s="57"/>
      <c r="AZ151" s="110"/>
      <c r="BA151" s="110"/>
      <c r="BB151" s="551"/>
      <c r="BC151" s="552"/>
      <c r="BD151" s="104"/>
      <c r="BE151" s="103"/>
      <c r="BF151" s="19"/>
      <c r="BG151" s="19"/>
      <c r="BH151" s="20"/>
      <c r="BI151" s="104"/>
      <c r="BJ151" s="8"/>
    </row>
    <row r="152" spans="1:62">
      <c r="A152" s="519">
        <f>IF('Student DATA Entry'!A148="","",'Student DATA Entry'!A148)</f>
        <v>145</v>
      </c>
      <c r="B152" s="528" t="str">
        <f>IF('Student DATA Entry'!B148="","",'Student DATA Entry'!B148)</f>
        <v/>
      </c>
      <c r="C152" s="125" t="str">
        <f>IF('Student DATA Entry'!D148="","",'Student DATA Entry'!D148)</f>
        <v/>
      </c>
      <c r="D152" s="530" t="str">
        <f>IF('Student DATA Entry'!E148="","",'Student DATA Entry'!E148)</f>
        <v/>
      </c>
      <c r="E152" s="532" t="str">
        <f>IF('Student DATA Entry'!I148="","",'Student DATA Entry'!I148)</f>
        <v/>
      </c>
      <c r="F152" s="126" t="str">
        <f>IF('Student DATA Entry'!F148="","",UPPER('Student DATA Entry'!F148))</f>
        <v/>
      </c>
      <c r="G152" s="126" t="str">
        <f>IF('Student DATA Entry'!G148="","",UPPER('Student DATA Entry'!G148))</f>
        <v/>
      </c>
      <c r="H152" s="126" t="str">
        <f>IF('Student DATA Entry'!H148="","",UPPER('Student DATA Entry'!H148))</f>
        <v/>
      </c>
      <c r="I152" s="526" t="str">
        <f>IF('Student DATA Entry'!K148="","",UPPER('Student DATA Entry'!K148))</f>
        <v/>
      </c>
      <c r="J152" s="560" t="str">
        <f>IF('Student DATA Entry'!J148="","",UPPER('Student DATA Entry'!J148))</f>
        <v/>
      </c>
      <c r="K152" s="561"/>
      <c r="L152" s="43"/>
      <c r="M152" s="43"/>
      <c r="N152" s="53"/>
      <c r="O152" s="562"/>
      <c r="P152" s="561"/>
      <c r="Q152" s="43"/>
      <c r="R152" s="43"/>
      <c r="S152" s="53"/>
      <c r="T152" s="562"/>
      <c r="U152" s="103"/>
      <c r="V152" s="43"/>
      <c r="W152" s="43"/>
      <c r="X152" s="43"/>
      <c r="Y152" s="53"/>
      <c r="Z152" s="53"/>
      <c r="AA152" s="58"/>
      <c r="AB152" s="565"/>
      <c r="AC152" s="103"/>
      <c r="AD152" s="43"/>
      <c r="AE152" s="43"/>
      <c r="AF152" s="43"/>
      <c r="AG152" s="53"/>
      <c r="AH152" s="53"/>
      <c r="AI152" s="58"/>
      <c r="AJ152" s="565"/>
      <c r="AK152" s="103"/>
      <c r="AL152" s="43"/>
      <c r="AM152" s="43"/>
      <c r="AN152" s="43"/>
      <c r="AO152" s="53"/>
      <c r="AP152" s="53"/>
      <c r="AQ152" s="58"/>
      <c r="AR152" s="565"/>
      <c r="AS152" s="18"/>
      <c r="AT152" s="43"/>
      <c r="AU152" s="43"/>
      <c r="AV152" s="43"/>
      <c r="AW152" s="52"/>
      <c r="AX152" s="53"/>
      <c r="AY152" s="57"/>
      <c r="AZ152" s="110"/>
      <c r="BA152" s="110"/>
      <c r="BB152" s="551"/>
      <c r="BC152" s="552"/>
      <c r="BD152" s="104"/>
      <c r="BE152" s="103"/>
      <c r="BF152" s="19"/>
      <c r="BG152" s="19"/>
      <c r="BH152" s="20"/>
      <c r="BI152" s="104"/>
      <c r="BJ152" s="8"/>
    </row>
    <row r="153" spans="1:62">
      <c r="A153" s="519">
        <f>IF('Student DATA Entry'!A149="","",'Student DATA Entry'!A149)</f>
        <v>146</v>
      </c>
      <c r="B153" s="528" t="str">
        <f>IF('Student DATA Entry'!B149="","",'Student DATA Entry'!B149)</f>
        <v/>
      </c>
      <c r="C153" s="125" t="str">
        <f>IF('Student DATA Entry'!D149="","",'Student DATA Entry'!D149)</f>
        <v/>
      </c>
      <c r="D153" s="530" t="str">
        <f>IF('Student DATA Entry'!E149="","",'Student DATA Entry'!E149)</f>
        <v/>
      </c>
      <c r="E153" s="532" t="str">
        <f>IF('Student DATA Entry'!I149="","",'Student DATA Entry'!I149)</f>
        <v/>
      </c>
      <c r="F153" s="126" t="str">
        <f>IF('Student DATA Entry'!F149="","",UPPER('Student DATA Entry'!F149))</f>
        <v/>
      </c>
      <c r="G153" s="126" t="str">
        <f>IF('Student DATA Entry'!G149="","",UPPER('Student DATA Entry'!G149))</f>
        <v/>
      </c>
      <c r="H153" s="126" t="str">
        <f>IF('Student DATA Entry'!H149="","",UPPER('Student DATA Entry'!H149))</f>
        <v/>
      </c>
      <c r="I153" s="526" t="str">
        <f>IF('Student DATA Entry'!K149="","",UPPER('Student DATA Entry'!K149))</f>
        <v/>
      </c>
      <c r="J153" s="560" t="str">
        <f>IF('Student DATA Entry'!J149="","",UPPER('Student DATA Entry'!J149))</f>
        <v/>
      </c>
      <c r="K153" s="561"/>
      <c r="L153" s="43"/>
      <c r="M153" s="43"/>
      <c r="N153" s="53"/>
      <c r="O153" s="562"/>
      <c r="P153" s="561"/>
      <c r="Q153" s="43"/>
      <c r="R153" s="43"/>
      <c r="S153" s="53"/>
      <c r="T153" s="562"/>
      <c r="U153" s="103"/>
      <c r="V153" s="43"/>
      <c r="W153" s="43"/>
      <c r="X153" s="43"/>
      <c r="Y153" s="53"/>
      <c r="Z153" s="53"/>
      <c r="AA153" s="58"/>
      <c r="AB153" s="565"/>
      <c r="AC153" s="103"/>
      <c r="AD153" s="43"/>
      <c r="AE153" s="43"/>
      <c r="AF153" s="43"/>
      <c r="AG153" s="53"/>
      <c r="AH153" s="53"/>
      <c r="AI153" s="58"/>
      <c r="AJ153" s="565"/>
      <c r="AK153" s="103"/>
      <c r="AL153" s="43"/>
      <c r="AM153" s="43"/>
      <c r="AN153" s="43"/>
      <c r="AO153" s="53"/>
      <c r="AP153" s="53"/>
      <c r="AQ153" s="58"/>
      <c r="AR153" s="565"/>
      <c r="AS153" s="18"/>
      <c r="AT153" s="43"/>
      <c r="AU153" s="43"/>
      <c r="AV153" s="43"/>
      <c r="AW153" s="52"/>
      <c r="AX153" s="53"/>
      <c r="AY153" s="57"/>
      <c r="AZ153" s="110"/>
      <c r="BA153" s="110"/>
      <c r="BB153" s="551"/>
      <c r="BC153" s="552"/>
      <c r="BD153" s="104"/>
      <c r="BE153" s="103"/>
      <c r="BF153" s="19"/>
      <c r="BG153" s="19"/>
      <c r="BH153" s="20"/>
      <c r="BI153" s="104"/>
      <c r="BJ153" s="8"/>
    </row>
    <row r="154" spans="1:62">
      <c r="A154" s="519">
        <f>IF('Student DATA Entry'!A150="","",'Student DATA Entry'!A150)</f>
        <v>147</v>
      </c>
      <c r="B154" s="528" t="str">
        <f>IF('Student DATA Entry'!B150="","",'Student DATA Entry'!B150)</f>
        <v/>
      </c>
      <c r="C154" s="125" t="str">
        <f>IF('Student DATA Entry'!D150="","",'Student DATA Entry'!D150)</f>
        <v/>
      </c>
      <c r="D154" s="530" t="str">
        <f>IF('Student DATA Entry'!E150="","",'Student DATA Entry'!E150)</f>
        <v/>
      </c>
      <c r="E154" s="532" t="str">
        <f>IF('Student DATA Entry'!I150="","",'Student DATA Entry'!I150)</f>
        <v/>
      </c>
      <c r="F154" s="126" t="str">
        <f>IF('Student DATA Entry'!F150="","",UPPER('Student DATA Entry'!F150))</f>
        <v/>
      </c>
      <c r="G154" s="126" t="str">
        <f>IF('Student DATA Entry'!G150="","",UPPER('Student DATA Entry'!G150))</f>
        <v/>
      </c>
      <c r="H154" s="126" t="str">
        <f>IF('Student DATA Entry'!H150="","",UPPER('Student DATA Entry'!H150))</f>
        <v/>
      </c>
      <c r="I154" s="526" t="str">
        <f>IF('Student DATA Entry'!K150="","",UPPER('Student DATA Entry'!K150))</f>
        <v/>
      </c>
      <c r="J154" s="560" t="str">
        <f>IF('Student DATA Entry'!J150="","",UPPER('Student DATA Entry'!J150))</f>
        <v/>
      </c>
      <c r="K154" s="561"/>
      <c r="L154" s="43"/>
      <c r="M154" s="43"/>
      <c r="N154" s="53"/>
      <c r="O154" s="562"/>
      <c r="P154" s="561"/>
      <c r="Q154" s="43"/>
      <c r="R154" s="43"/>
      <c r="S154" s="53"/>
      <c r="T154" s="562"/>
      <c r="U154" s="103"/>
      <c r="V154" s="43"/>
      <c r="W154" s="43"/>
      <c r="X154" s="43"/>
      <c r="Y154" s="53"/>
      <c r="Z154" s="53"/>
      <c r="AA154" s="58"/>
      <c r="AB154" s="565"/>
      <c r="AC154" s="103"/>
      <c r="AD154" s="43"/>
      <c r="AE154" s="43"/>
      <c r="AF154" s="43"/>
      <c r="AG154" s="53"/>
      <c r="AH154" s="53"/>
      <c r="AI154" s="58"/>
      <c r="AJ154" s="565"/>
      <c r="AK154" s="103"/>
      <c r="AL154" s="43"/>
      <c r="AM154" s="43"/>
      <c r="AN154" s="43"/>
      <c r="AO154" s="53"/>
      <c r="AP154" s="53"/>
      <c r="AQ154" s="58"/>
      <c r="AR154" s="565"/>
      <c r="AS154" s="18"/>
      <c r="AT154" s="43"/>
      <c r="AU154" s="43"/>
      <c r="AV154" s="43"/>
      <c r="AW154" s="52"/>
      <c r="AX154" s="53"/>
      <c r="AY154" s="57"/>
      <c r="AZ154" s="110"/>
      <c r="BA154" s="110"/>
      <c r="BB154" s="551"/>
      <c r="BC154" s="552"/>
      <c r="BD154" s="104"/>
      <c r="BE154" s="103"/>
      <c r="BF154" s="19"/>
      <c r="BG154" s="19"/>
      <c r="BH154" s="20"/>
      <c r="BI154" s="104"/>
      <c r="BJ154" s="8"/>
    </row>
    <row r="155" spans="1:62">
      <c r="A155" s="519">
        <f>IF('Student DATA Entry'!A151="","",'Student DATA Entry'!A151)</f>
        <v>148</v>
      </c>
      <c r="B155" s="528" t="str">
        <f>IF('Student DATA Entry'!B151="","",'Student DATA Entry'!B151)</f>
        <v/>
      </c>
      <c r="C155" s="125" t="str">
        <f>IF('Student DATA Entry'!D151="","",'Student DATA Entry'!D151)</f>
        <v/>
      </c>
      <c r="D155" s="530" t="str">
        <f>IF('Student DATA Entry'!E151="","",'Student DATA Entry'!E151)</f>
        <v/>
      </c>
      <c r="E155" s="532" t="str">
        <f>IF('Student DATA Entry'!I151="","",'Student DATA Entry'!I151)</f>
        <v/>
      </c>
      <c r="F155" s="126" t="str">
        <f>IF('Student DATA Entry'!F151="","",UPPER('Student DATA Entry'!F151))</f>
        <v/>
      </c>
      <c r="G155" s="126" t="str">
        <f>IF('Student DATA Entry'!G151="","",UPPER('Student DATA Entry'!G151))</f>
        <v/>
      </c>
      <c r="H155" s="126" t="str">
        <f>IF('Student DATA Entry'!H151="","",UPPER('Student DATA Entry'!H151))</f>
        <v/>
      </c>
      <c r="I155" s="526" t="str">
        <f>IF('Student DATA Entry'!K151="","",UPPER('Student DATA Entry'!K151))</f>
        <v/>
      </c>
      <c r="J155" s="560" t="str">
        <f>IF('Student DATA Entry'!J151="","",UPPER('Student DATA Entry'!J151))</f>
        <v/>
      </c>
      <c r="K155" s="561"/>
      <c r="L155" s="43"/>
      <c r="M155" s="43"/>
      <c r="N155" s="53"/>
      <c r="O155" s="562"/>
      <c r="P155" s="561"/>
      <c r="Q155" s="43"/>
      <c r="R155" s="43"/>
      <c r="S155" s="53"/>
      <c r="T155" s="562"/>
      <c r="U155" s="103"/>
      <c r="V155" s="43"/>
      <c r="W155" s="43"/>
      <c r="X155" s="43"/>
      <c r="Y155" s="53"/>
      <c r="Z155" s="53"/>
      <c r="AA155" s="58"/>
      <c r="AB155" s="565"/>
      <c r="AC155" s="103"/>
      <c r="AD155" s="43"/>
      <c r="AE155" s="43"/>
      <c r="AF155" s="43"/>
      <c r="AG155" s="53"/>
      <c r="AH155" s="53"/>
      <c r="AI155" s="58"/>
      <c r="AJ155" s="565"/>
      <c r="AK155" s="103"/>
      <c r="AL155" s="43"/>
      <c r="AM155" s="43"/>
      <c r="AN155" s="43"/>
      <c r="AO155" s="53"/>
      <c r="AP155" s="53"/>
      <c r="AQ155" s="58"/>
      <c r="AR155" s="565"/>
      <c r="AS155" s="18"/>
      <c r="AT155" s="43"/>
      <c r="AU155" s="43"/>
      <c r="AV155" s="43"/>
      <c r="AW155" s="52"/>
      <c r="AX155" s="53"/>
      <c r="AY155" s="57"/>
      <c r="AZ155" s="110"/>
      <c r="BA155" s="110"/>
      <c r="BB155" s="551"/>
      <c r="BC155" s="552"/>
      <c r="BD155" s="104"/>
      <c r="BE155" s="103"/>
      <c r="BF155" s="19"/>
      <c r="BG155" s="19"/>
      <c r="BH155" s="20"/>
      <c r="BI155" s="104"/>
      <c r="BJ155" s="8"/>
    </row>
    <row r="156" spans="1:62">
      <c r="A156" s="519">
        <f>IF('Student DATA Entry'!A152="","",'Student DATA Entry'!A152)</f>
        <v>149</v>
      </c>
      <c r="B156" s="528" t="str">
        <f>IF('Student DATA Entry'!B152="","",'Student DATA Entry'!B152)</f>
        <v/>
      </c>
      <c r="C156" s="125" t="str">
        <f>IF('Student DATA Entry'!D152="","",'Student DATA Entry'!D152)</f>
        <v/>
      </c>
      <c r="D156" s="530" t="str">
        <f>IF('Student DATA Entry'!E152="","",'Student DATA Entry'!E152)</f>
        <v/>
      </c>
      <c r="E156" s="532" t="str">
        <f>IF('Student DATA Entry'!I152="","",'Student DATA Entry'!I152)</f>
        <v/>
      </c>
      <c r="F156" s="126" t="str">
        <f>IF('Student DATA Entry'!F152="","",UPPER('Student DATA Entry'!F152))</f>
        <v/>
      </c>
      <c r="G156" s="126" t="str">
        <f>IF('Student DATA Entry'!G152="","",UPPER('Student DATA Entry'!G152))</f>
        <v/>
      </c>
      <c r="H156" s="126" t="str">
        <f>IF('Student DATA Entry'!H152="","",UPPER('Student DATA Entry'!H152))</f>
        <v/>
      </c>
      <c r="I156" s="526" t="str">
        <f>IF('Student DATA Entry'!K152="","",UPPER('Student DATA Entry'!K152))</f>
        <v/>
      </c>
      <c r="J156" s="560" t="str">
        <f>IF('Student DATA Entry'!J152="","",UPPER('Student DATA Entry'!J152))</f>
        <v/>
      </c>
      <c r="K156" s="561"/>
      <c r="L156" s="43"/>
      <c r="M156" s="43"/>
      <c r="N156" s="53"/>
      <c r="O156" s="562"/>
      <c r="P156" s="561"/>
      <c r="Q156" s="43"/>
      <c r="R156" s="43"/>
      <c r="S156" s="53"/>
      <c r="T156" s="562"/>
      <c r="U156" s="103"/>
      <c r="V156" s="43"/>
      <c r="W156" s="43"/>
      <c r="X156" s="43"/>
      <c r="Y156" s="53"/>
      <c r="Z156" s="53"/>
      <c r="AA156" s="58"/>
      <c r="AB156" s="565"/>
      <c r="AC156" s="103"/>
      <c r="AD156" s="43"/>
      <c r="AE156" s="43"/>
      <c r="AF156" s="43"/>
      <c r="AG156" s="53"/>
      <c r="AH156" s="53"/>
      <c r="AI156" s="58"/>
      <c r="AJ156" s="565"/>
      <c r="AK156" s="103"/>
      <c r="AL156" s="43"/>
      <c r="AM156" s="43"/>
      <c r="AN156" s="43"/>
      <c r="AO156" s="53"/>
      <c r="AP156" s="53"/>
      <c r="AQ156" s="58"/>
      <c r="AR156" s="565"/>
      <c r="AS156" s="18"/>
      <c r="AT156" s="43"/>
      <c r="AU156" s="43"/>
      <c r="AV156" s="43"/>
      <c r="AW156" s="52"/>
      <c r="AX156" s="53"/>
      <c r="AY156" s="57"/>
      <c r="AZ156" s="110"/>
      <c r="BA156" s="110"/>
      <c r="BB156" s="551"/>
      <c r="BC156" s="552"/>
      <c r="BD156" s="104"/>
      <c r="BE156" s="103"/>
      <c r="BF156" s="19"/>
      <c r="BG156" s="19"/>
      <c r="BH156" s="20"/>
      <c r="BI156" s="104"/>
      <c r="BJ156" s="8"/>
    </row>
    <row r="157" spans="1:62">
      <c r="A157" s="519">
        <f>IF('Student DATA Entry'!A153="","",'Student DATA Entry'!A153)</f>
        <v>150</v>
      </c>
      <c r="B157" s="528" t="str">
        <f>IF('Student DATA Entry'!B153="","",'Student DATA Entry'!B153)</f>
        <v/>
      </c>
      <c r="C157" s="125" t="str">
        <f>IF('Student DATA Entry'!D153="","",'Student DATA Entry'!D153)</f>
        <v/>
      </c>
      <c r="D157" s="530" t="str">
        <f>IF('Student DATA Entry'!E153="","",'Student DATA Entry'!E153)</f>
        <v/>
      </c>
      <c r="E157" s="532" t="str">
        <f>IF('Student DATA Entry'!I153="","",'Student DATA Entry'!I153)</f>
        <v/>
      </c>
      <c r="F157" s="126" t="str">
        <f>IF('Student DATA Entry'!F153="","",UPPER('Student DATA Entry'!F153))</f>
        <v/>
      </c>
      <c r="G157" s="126" t="str">
        <f>IF('Student DATA Entry'!G153="","",UPPER('Student DATA Entry'!G153))</f>
        <v/>
      </c>
      <c r="H157" s="126" t="str">
        <f>IF('Student DATA Entry'!H153="","",UPPER('Student DATA Entry'!H153))</f>
        <v/>
      </c>
      <c r="I157" s="526" t="str">
        <f>IF('Student DATA Entry'!K153="","",UPPER('Student DATA Entry'!K153))</f>
        <v/>
      </c>
      <c r="J157" s="560" t="str">
        <f>IF('Student DATA Entry'!J153="","",UPPER('Student DATA Entry'!J153))</f>
        <v/>
      </c>
      <c r="K157" s="561"/>
      <c r="L157" s="43"/>
      <c r="M157" s="43"/>
      <c r="N157" s="53"/>
      <c r="O157" s="562"/>
      <c r="P157" s="561"/>
      <c r="Q157" s="43"/>
      <c r="R157" s="43"/>
      <c r="S157" s="53"/>
      <c r="T157" s="562"/>
      <c r="U157" s="103"/>
      <c r="V157" s="43"/>
      <c r="W157" s="43"/>
      <c r="X157" s="43"/>
      <c r="Y157" s="53"/>
      <c r="Z157" s="53"/>
      <c r="AA157" s="58"/>
      <c r="AB157" s="565"/>
      <c r="AC157" s="103"/>
      <c r="AD157" s="43"/>
      <c r="AE157" s="43"/>
      <c r="AF157" s="43"/>
      <c r="AG157" s="53"/>
      <c r="AH157" s="53"/>
      <c r="AI157" s="58"/>
      <c r="AJ157" s="565"/>
      <c r="AK157" s="103"/>
      <c r="AL157" s="43"/>
      <c r="AM157" s="43"/>
      <c r="AN157" s="43"/>
      <c r="AO157" s="53"/>
      <c r="AP157" s="53"/>
      <c r="AQ157" s="58"/>
      <c r="AR157" s="565"/>
      <c r="AS157" s="18"/>
      <c r="AT157" s="43"/>
      <c r="AU157" s="43"/>
      <c r="AV157" s="43"/>
      <c r="AW157" s="52"/>
      <c r="AX157" s="53"/>
      <c r="AY157" s="57"/>
      <c r="AZ157" s="110"/>
      <c r="BA157" s="110"/>
      <c r="BB157" s="551"/>
      <c r="BC157" s="552"/>
      <c r="BD157" s="104"/>
      <c r="BE157" s="103"/>
      <c r="BF157" s="19"/>
      <c r="BG157" s="19"/>
      <c r="BH157" s="20"/>
      <c r="BI157" s="104"/>
      <c r="BJ157" s="8"/>
    </row>
    <row r="158" spans="1:62">
      <c r="A158" s="519">
        <f>IF('Student DATA Entry'!A154="","",'Student DATA Entry'!A154)</f>
        <v>151</v>
      </c>
      <c r="B158" s="528" t="str">
        <f>IF('Student DATA Entry'!B154="","",'Student DATA Entry'!B154)</f>
        <v/>
      </c>
      <c r="C158" s="125" t="str">
        <f>IF('Student DATA Entry'!D154="","",'Student DATA Entry'!D154)</f>
        <v/>
      </c>
      <c r="D158" s="530" t="str">
        <f>IF('Student DATA Entry'!E154="","",'Student DATA Entry'!E154)</f>
        <v/>
      </c>
      <c r="E158" s="532" t="str">
        <f>IF('Student DATA Entry'!I154="","",'Student DATA Entry'!I154)</f>
        <v/>
      </c>
      <c r="F158" s="126" t="str">
        <f>IF('Student DATA Entry'!F154="","",UPPER('Student DATA Entry'!F154))</f>
        <v/>
      </c>
      <c r="G158" s="126" t="str">
        <f>IF('Student DATA Entry'!G154="","",UPPER('Student DATA Entry'!G154))</f>
        <v/>
      </c>
      <c r="H158" s="126" t="str">
        <f>IF('Student DATA Entry'!H154="","",UPPER('Student DATA Entry'!H154))</f>
        <v/>
      </c>
      <c r="I158" s="526" t="str">
        <f>IF('Student DATA Entry'!K154="","",UPPER('Student DATA Entry'!K154))</f>
        <v/>
      </c>
      <c r="J158" s="560" t="str">
        <f>IF('Student DATA Entry'!J154="","",UPPER('Student DATA Entry'!J154))</f>
        <v/>
      </c>
      <c r="K158" s="561"/>
      <c r="L158" s="43"/>
      <c r="M158" s="43"/>
      <c r="N158" s="53"/>
      <c r="O158" s="562"/>
      <c r="P158" s="561"/>
      <c r="Q158" s="43"/>
      <c r="R158" s="43"/>
      <c r="S158" s="53"/>
      <c r="T158" s="562"/>
      <c r="U158" s="103"/>
      <c r="V158" s="43"/>
      <c r="W158" s="43"/>
      <c r="X158" s="43"/>
      <c r="Y158" s="53"/>
      <c r="Z158" s="53"/>
      <c r="AA158" s="58"/>
      <c r="AB158" s="565"/>
      <c r="AC158" s="103"/>
      <c r="AD158" s="43"/>
      <c r="AE158" s="43"/>
      <c r="AF158" s="43"/>
      <c r="AG158" s="53"/>
      <c r="AH158" s="53"/>
      <c r="AI158" s="58"/>
      <c r="AJ158" s="565"/>
      <c r="AK158" s="103"/>
      <c r="AL158" s="43"/>
      <c r="AM158" s="43"/>
      <c r="AN158" s="43"/>
      <c r="AO158" s="53"/>
      <c r="AP158" s="53"/>
      <c r="AQ158" s="58"/>
      <c r="AR158" s="565"/>
      <c r="AS158" s="18"/>
      <c r="AT158" s="43"/>
      <c r="AU158" s="43"/>
      <c r="AV158" s="43"/>
      <c r="AW158" s="52"/>
      <c r="AX158" s="53"/>
      <c r="AY158" s="57"/>
      <c r="AZ158" s="110"/>
      <c r="BA158" s="110"/>
      <c r="BB158" s="551"/>
      <c r="BC158" s="552"/>
      <c r="BD158" s="104"/>
      <c r="BE158" s="103"/>
      <c r="BF158" s="19"/>
      <c r="BG158" s="19"/>
      <c r="BH158" s="20"/>
      <c r="BI158" s="104"/>
      <c r="BJ158" s="8"/>
    </row>
    <row r="159" spans="1:62">
      <c r="A159" s="519">
        <f>IF('Student DATA Entry'!A155="","",'Student DATA Entry'!A155)</f>
        <v>152</v>
      </c>
      <c r="B159" s="528" t="str">
        <f>IF('Student DATA Entry'!B155="","",'Student DATA Entry'!B155)</f>
        <v/>
      </c>
      <c r="C159" s="125" t="str">
        <f>IF('Student DATA Entry'!D155="","",'Student DATA Entry'!D155)</f>
        <v/>
      </c>
      <c r="D159" s="530" t="str">
        <f>IF('Student DATA Entry'!E155="","",'Student DATA Entry'!E155)</f>
        <v/>
      </c>
      <c r="E159" s="532" t="str">
        <f>IF('Student DATA Entry'!I155="","",'Student DATA Entry'!I155)</f>
        <v/>
      </c>
      <c r="F159" s="126" t="str">
        <f>IF('Student DATA Entry'!F155="","",UPPER('Student DATA Entry'!F155))</f>
        <v/>
      </c>
      <c r="G159" s="126" t="str">
        <f>IF('Student DATA Entry'!G155="","",UPPER('Student DATA Entry'!G155))</f>
        <v/>
      </c>
      <c r="H159" s="126" t="str">
        <f>IF('Student DATA Entry'!H155="","",UPPER('Student DATA Entry'!H155))</f>
        <v/>
      </c>
      <c r="I159" s="526" t="str">
        <f>IF('Student DATA Entry'!K155="","",UPPER('Student DATA Entry'!K155))</f>
        <v/>
      </c>
      <c r="J159" s="560" t="str">
        <f>IF('Student DATA Entry'!J155="","",UPPER('Student DATA Entry'!J155))</f>
        <v/>
      </c>
      <c r="K159" s="561"/>
      <c r="L159" s="43"/>
      <c r="M159" s="43"/>
      <c r="N159" s="53"/>
      <c r="O159" s="562"/>
      <c r="P159" s="561"/>
      <c r="Q159" s="43"/>
      <c r="R159" s="43"/>
      <c r="S159" s="53"/>
      <c r="T159" s="562"/>
      <c r="U159" s="103"/>
      <c r="V159" s="43"/>
      <c r="W159" s="43"/>
      <c r="X159" s="43"/>
      <c r="Y159" s="53"/>
      <c r="Z159" s="53"/>
      <c r="AA159" s="58"/>
      <c r="AB159" s="565"/>
      <c r="AC159" s="103"/>
      <c r="AD159" s="43"/>
      <c r="AE159" s="43"/>
      <c r="AF159" s="43"/>
      <c r="AG159" s="53"/>
      <c r="AH159" s="53"/>
      <c r="AI159" s="58"/>
      <c r="AJ159" s="565"/>
      <c r="AK159" s="103"/>
      <c r="AL159" s="43"/>
      <c r="AM159" s="43"/>
      <c r="AN159" s="43"/>
      <c r="AO159" s="53"/>
      <c r="AP159" s="53"/>
      <c r="AQ159" s="58"/>
      <c r="AR159" s="565"/>
      <c r="AS159" s="18"/>
      <c r="AT159" s="43"/>
      <c r="AU159" s="43"/>
      <c r="AV159" s="43"/>
      <c r="AW159" s="52"/>
      <c r="AX159" s="53"/>
      <c r="AY159" s="57"/>
      <c r="AZ159" s="110"/>
      <c r="BA159" s="110"/>
      <c r="BB159" s="551"/>
      <c r="BC159" s="552"/>
      <c r="BD159" s="104"/>
      <c r="BE159" s="103"/>
      <c r="BF159" s="19"/>
      <c r="BG159" s="19"/>
      <c r="BH159" s="20"/>
      <c r="BI159" s="104"/>
      <c r="BJ159" s="8"/>
    </row>
    <row r="160" spans="1:62">
      <c r="A160" s="519">
        <f>IF('Student DATA Entry'!A156="","",'Student DATA Entry'!A156)</f>
        <v>153</v>
      </c>
      <c r="B160" s="528" t="str">
        <f>IF('Student DATA Entry'!B156="","",'Student DATA Entry'!B156)</f>
        <v/>
      </c>
      <c r="C160" s="125" t="str">
        <f>IF('Student DATA Entry'!D156="","",'Student DATA Entry'!D156)</f>
        <v/>
      </c>
      <c r="D160" s="530" t="str">
        <f>IF('Student DATA Entry'!E156="","",'Student DATA Entry'!E156)</f>
        <v/>
      </c>
      <c r="E160" s="532" t="str">
        <f>IF('Student DATA Entry'!I156="","",'Student DATA Entry'!I156)</f>
        <v/>
      </c>
      <c r="F160" s="126" t="str">
        <f>IF('Student DATA Entry'!F156="","",UPPER('Student DATA Entry'!F156))</f>
        <v/>
      </c>
      <c r="G160" s="126" t="str">
        <f>IF('Student DATA Entry'!G156="","",UPPER('Student DATA Entry'!G156))</f>
        <v/>
      </c>
      <c r="H160" s="126" t="str">
        <f>IF('Student DATA Entry'!H156="","",UPPER('Student DATA Entry'!H156))</f>
        <v/>
      </c>
      <c r="I160" s="526" t="str">
        <f>IF('Student DATA Entry'!K156="","",UPPER('Student DATA Entry'!K156))</f>
        <v/>
      </c>
      <c r="J160" s="560" t="str">
        <f>IF('Student DATA Entry'!J156="","",UPPER('Student DATA Entry'!J156))</f>
        <v/>
      </c>
      <c r="K160" s="561"/>
      <c r="L160" s="43"/>
      <c r="M160" s="43"/>
      <c r="N160" s="53"/>
      <c r="O160" s="562"/>
      <c r="P160" s="561"/>
      <c r="Q160" s="43"/>
      <c r="R160" s="43"/>
      <c r="S160" s="53"/>
      <c r="T160" s="562"/>
      <c r="U160" s="103"/>
      <c r="V160" s="43"/>
      <c r="W160" s="43"/>
      <c r="X160" s="43"/>
      <c r="Y160" s="53"/>
      <c r="Z160" s="53"/>
      <c r="AA160" s="58"/>
      <c r="AB160" s="565"/>
      <c r="AC160" s="103"/>
      <c r="AD160" s="43"/>
      <c r="AE160" s="43"/>
      <c r="AF160" s="43"/>
      <c r="AG160" s="53"/>
      <c r="AH160" s="53"/>
      <c r="AI160" s="58"/>
      <c r="AJ160" s="565"/>
      <c r="AK160" s="103"/>
      <c r="AL160" s="43"/>
      <c r="AM160" s="43"/>
      <c r="AN160" s="43"/>
      <c r="AO160" s="53"/>
      <c r="AP160" s="53"/>
      <c r="AQ160" s="58"/>
      <c r="AR160" s="565"/>
      <c r="AS160" s="18"/>
      <c r="AT160" s="43"/>
      <c r="AU160" s="43"/>
      <c r="AV160" s="43"/>
      <c r="AW160" s="52"/>
      <c r="AX160" s="53"/>
      <c r="AY160" s="57"/>
      <c r="AZ160" s="110"/>
      <c r="BA160" s="110"/>
      <c r="BB160" s="551"/>
      <c r="BC160" s="552"/>
      <c r="BD160" s="104"/>
      <c r="BE160" s="103"/>
      <c r="BF160" s="19"/>
      <c r="BG160" s="19"/>
      <c r="BH160" s="20"/>
      <c r="BI160" s="104"/>
      <c r="BJ160" s="8"/>
    </row>
    <row r="161" spans="1:62">
      <c r="A161" s="519">
        <f>IF('Student DATA Entry'!A157="","",'Student DATA Entry'!A157)</f>
        <v>154</v>
      </c>
      <c r="B161" s="528" t="str">
        <f>IF('Student DATA Entry'!B157="","",'Student DATA Entry'!B157)</f>
        <v/>
      </c>
      <c r="C161" s="125" t="str">
        <f>IF('Student DATA Entry'!D157="","",'Student DATA Entry'!D157)</f>
        <v/>
      </c>
      <c r="D161" s="530" t="str">
        <f>IF('Student DATA Entry'!E157="","",'Student DATA Entry'!E157)</f>
        <v/>
      </c>
      <c r="E161" s="532" t="str">
        <f>IF('Student DATA Entry'!I157="","",'Student DATA Entry'!I157)</f>
        <v/>
      </c>
      <c r="F161" s="126" t="str">
        <f>IF('Student DATA Entry'!F157="","",UPPER('Student DATA Entry'!F157))</f>
        <v/>
      </c>
      <c r="G161" s="126" t="str">
        <f>IF('Student DATA Entry'!G157="","",UPPER('Student DATA Entry'!G157))</f>
        <v/>
      </c>
      <c r="H161" s="126" t="str">
        <f>IF('Student DATA Entry'!H157="","",UPPER('Student DATA Entry'!H157))</f>
        <v/>
      </c>
      <c r="I161" s="526" t="str">
        <f>IF('Student DATA Entry'!K157="","",UPPER('Student DATA Entry'!K157))</f>
        <v/>
      </c>
      <c r="J161" s="560" t="str">
        <f>IF('Student DATA Entry'!J157="","",UPPER('Student DATA Entry'!J157))</f>
        <v/>
      </c>
      <c r="K161" s="561"/>
      <c r="L161" s="43"/>
      <c r="M161" s="43"/>
      <c r="N161" s="53"/>
      <c r="O161" s="562"/>
      <c r="P161" s="561"/>
      <c r="Q161" s="43"/>
      <c r="R161" s="43"/>
      <c r="S161" s="53"/>
      <c r="T161" s="562"/>
      <c r="U161" s="103"/>
      <c r="V161" s="43"/>
      <c r="W161" s="43"/>
      <c r="X161" s="43"/>
      <c r="Y161" s="53"/>
      <c r="Z161" s="53"/>
      <c r="AA161" s="58"/>
      <c r="AB161" s="565"/>
      <c r="AC161" s="103"/>
      <c r="AD161" s="43"/>
      <c r="AE161" s="43"/>
      <c r="AF161" s="43"/>
      <c r="AG161" s="53"/>
      <c r="AH161" s="53"/>
      <c r="AI161" s="58"/>
      <c r="AJ161" s="565"/>
      <c r="AK161" s="103"/>
      <c r="AL161" s="43"/>
      <c r="AM161" s="43"/>
      <c r="AN161" s="43"/>
      <c r="AO161" s="53"/>
      <c r="AP161" s="53"/>
      <c r="AQ161" s="58"/>
      <c r="AR161" s="565"/>
      <c r="AS161" s="18"/>
      <c r="AT161" s="43"/>
      <c r="AU161" s="43"/>
      <c r="AV161" s="43"/>
      <c r="AW161" s="52"/>
      <c r="AX161" s="53"/>
      <c r="AY161" s="57"/>
      <c r="AZ161" s="110"/>
      <c r="BA161" s="110"/>
      <c r="BB161" s="551"/>
      <c r="BC161" s="552"/>
      <c r="BD161" s="104"/>
      <c r="BE161" s="103"/>
      <c r="BF161" s="19"/>
      <c r="BG161" s="19"/>
      <c r="BH161" s="20"/>
      <c r="BI161" s="104"/>
      <c r="BJ161" s="8"/>
    </row>
    <row r="162" spans="1:62">
      <c r="A162" s="519">
        <f>IF('Student DATA Entry'!A158="","",'Student DATA Entry'!A158)</f>
        <v>155</v>
      </c>
      <c r="B162" s="528" t="str">
        <f>IF('Student DATA Entry'!B158="","",'Student DATA Entry'!B158)</f>
        <v/>
      </c>
      <c r="C162" s="125" t="str">
        <f>IF('Student DATA Entry'!D158="","",'Student DATA Entry'!D158)</f>
        <v/>
      </c>
      <c r="D162" s="530" t="str">
        <f>IF('Student DATA Entry'!E158="","",'Student DATA Entry'!E158)</f>
        <v/>
      </c>
      <c r="E162" s="532" t="str">
        <f>IF('Student DATA Entry'!I158="","",'Student DATA Entry'!I158)</f>
        <v/>
      </c>
      <c r="F162" s="126" t="str">
        <f>IF('Student DATA Entry'!F158="","",UPPER('Student DATA Entry'!F158))</f>
        <v/>
      </c>
      <c r="G162" s="126" t="str">
        <f>IF('Student DATA Entry'!G158="","",UPPER('Student DATA Entry'!G158))</f>
        <v/>
      </c>
      <c r="H162" s="126" t="str">
        <f>IF('Student DATA Entry'!H158="","",UPPER('Student DATA Entry'!H158))</f>
        <v/>
      </c>
      <c r="I162" s="526" t="str">
        <f>IF('Student DATA Entry'!K158="","",UPPER('Student DATA Entry'!K158))</f>
        <v/>
      </c>
      <c r="J162" s="560" t="str">
        <f>IF('Student DATA Entry'!J158="","",UPPER('Student DATA Entry'!J158))</f>
        <v/>
      </c>
      <c r="K162" s="561"/>
      <c r="L162" s="43"/>
      <c r="M162" s="43"/>
      <c r="N162" s="53"/>
      <c r="O162" s="562"/>
      <c r="P162" s="561"/>
      <c r="Q162" s="43"/>
      <c r="R162" s="43"/>
      <c r="S162" s="53"/>
      <c r="T162" s="562"/>
      <c r="U162" s="103"/>
      <c r="V162" s="43"/>
      <c r="W162" s="43"/>
      <c r="X162" s="43"/>
      <c r="Y162" s="53"/>
      <c r="Z162" s="53"/>
      <c r="AA162" s="58"/>
      <c r="AB162" s="565"/>
      <c r="AC162" s="103"/>
      <c r="AD162" s="43"/>
      <c r="AE162" s="43"/>
      <c r="AF162" s="43"/>
      <c r="AG162" s="53"/>
      <c r="AH162" s="53"/>
      <c r="AI162" s="58"/>
      <c r="AJ162" s="565"/>
      <c r="AK162" s="103"/>
      <c r="AL162" s="43"/>
      <c r="AM162" s="43"/>
      <c r="AN162" s="43"/>
      <c r="AO162" s="53"/>
      <c r="AP162" s="53"/>
      <c r="AQ162" s="58"/>
      <c r="AR162" s="565"/>
      <c r="AS162" s="18"/>
      <c r="AT162" s="43"/>
      <c r="AU162" s="43"/>
      <c r="AV162" s="43"/>
      <c r="AW162" s="52"/>
      <c r="AX162" s="53"/>
      <c r="AY162" s="57"/>
      <c r="AZ162" s="110"/>
      <c r="BA162" s="110"/>
      <c r="BB162" s="551"/>
      <c r="BC162" s="552"/>
      <c r="BD162" s="104"/>
      <c r="BE162" s="103"/>
      <c r="BF162" s="19"/>
      <c r="BG162" s="19"/>
      <c r="BH162" s="20"/>
      <c r="BI162" s="104"/>
      <c r="BJ162" s="8"/>
    </row>
    <row r="163" spans="1:62">
      <c r="A163" s="519">
        <f>IF('Student DATA Entry'!A159="","",'Student DATA Entry'!A159)</f>
        <v>156</v>
      </c>
      <c r="B163" s="528" t="str">
        <f>IF('Student DATA Entry'!B159="","",'Student DATA Entry'!B159)</f>
        <v/>
      </c>
      <c r="C163" s="125" t="str">
        <f>IF('Student DATA Entry'!D159="","",'Student DATA Entry'!D159)</f>
        <v/>
      </c>
      <c r="D163" s="530" t="str">
        <f>IF('Student DATA Entry'!E159="","",'Student DATA Entry'!E159)</f>
        <v/>
      </c>
      <c r="E163" s="532" t="str">
        <f>IF('Student DATA Entry'!I159="","",'Student DATA Entry'!I159)</f>
        <v/>
      </c>
      <c r="F163" s="126" t="str">
        <f>IF('Student DATA Entry'!F159="","",UPPER('Student DATA Entry'!F159))</f>
        <v/>
      </c>
      <c r="G163" s="126" t="str">
        <f>IF('Student DATA Entry'!G159="","",UPPER('Student DATA Entry'!G159))</f>
        <v/>
      </c>
      <c r="H163" s="126" t="str">
        <f>IF('Student DATA Entry'!H159="","",UPPER('Student DATA Entry'!H159))</f>
        <v/>
      </c>
      <c r="I163" s="526" t="str">
        <f>IF('Student DATA Entry'!K159="","",UPPER('Student DATA Entry'!K159))</f>
        <v/>
      </c>
      <c r="J163" s="560" t="str">
        <f>IF('Student DATA Entry'!J159="","",UPPER('Student DATA Entry'!J159))</f>
        <v/>
      </c>
      <c r="K163" s="561"/>
      <c r="L163" s="43"/>
      <c r="M163" s="43"/>
      <c r="N163" s="53"/>
      <c r="O163" s="562"/>
      <c r="P163" s="561"/>
      <c r="Q163" s="43"/>
      <c r="R163" s="43"/>
      <c r="S163" s="53"/>
      <c r="T163" s="562"/>
      <c r="U163" s="103"/>
      <c r="V163" s="43"/>
      <c r="W163" s="43"/>
      <c r="X163" s="43"/>
      <c r="Y163" s="53"/>
      <c r="Z163" s="53"/>
      <c r="AA163" s="58"/>
      <c r="AB163" s="565"/>
      <c r="AC163" s="103"/>
      <c r="AD163" s="43"/>
      <c r="AE163" s="43"/>
      <c r="AF163" s="43"/>
      <c r="AG163" s="53"/>
      <c r="AH163" s="53"/>
      <c r="AI163" s="58"/>
      <c r="AJ163" s="565"/>
      <c r="AK163" s="103"/>
      <c r="AL163" s="43"/>
      <c r="AM163" s="43"/>
      <c r="AN163" s="43"/>
      <c r="AO163" s="53"/>
      <c r="AP163" s="53"/>
      <c r="AQ163" s="58"/>
      <c r="AR163" s="565"/>
      <c r="AS163" s="18"/>
      <c r="AT163" s="43"/>
      <c r="AU163" s="43"/>
      <c r="AV163" s="43"/>
      <c r="AW163" s="52"/>
      <c r="AX163" s="53"/>
      <c r="AY163" s="57"/>
      <c r="AZ163" s="110"/>
      <c r="BA163" s="110"/>
      <c r="BB163" s="551"/>
      <c r="BC163" s="552"/>
      <c r="BD163" s="104"/>
      <c r="BE163" s="103"/>
      <c r="BF163" s="19"/>
      <c r="BG163" s="19"/>
      <c r="BH163" s="20"/>
      <c r="BI163" s="104"/>
      <c r="BJ163" s="8"/>
    </row>
    <row r="164" spans="1:62">
      <c r="A164" s="519">
        <f>IF('Student DATA Entry'!A160="","",'Student DATA Entry'!A160)</f>
        <v>157</v>
      </c>
      <c r="B164" s="528" t="str">
        <f>IF('Student DATA Entry'!B160="","",'Student DATA Entry'!B160)</f>
        <v/>
      </c>
      <c r="C164" s="125" t="str">
        <f>IF('Student DATA Entry'!D160="","",'Student DATA Entry'!D160)</f>
        <v/>
      </c>
      <c r="D164" s="530" t="str">
        <f>IF('Student DATA Entry'!E160="","",'Student DATA Entry'!E160)</f>
        <v/>
      </c>
      <c r="E164" s="532" t="str">
        <f>IF('Student DATA Entry'!I160="","",'Student DATA Entry'!I160)</f>
        <v/>
      </c>
      <c r="F164" s="126" t="str">
        <f>IF('Student DATA Entry'!F160="","",UPPER('Student DATA Entry'!F160))</f>
        <v/>
      </c>
      <c r="G164" s="126" t="str">
        <f>IF('Student DATA Entry'!G160="","",UPPER('Student DATA Entry'!G160))</f>
        <v/>
      </c>
      <c r="H164" s="126" t="str">
        <f>IF('Student DATA Entry'!H160="","",UPPER('Student DATA Entry'!H160))</f>
        <v/>
      </c>
      <c r="I164" s="526" t="str">
        <f>IF('Student DATA Entry'!K160="","",UPPER('Student DATA Entry'!K160))</f>
        <v/>
      </c>
      <c r="J164" s="560" t="str">
        <f>IF('Student DATA Entry'!J160="","",UPPER('Student DATA Entry'!J160))</f>
        <v/>
      </c>
      <c r="K164" s="561"/>
      <c r="L164" s="43"/>
      <c r="M164" s="43"/>
      <c r="N164" s="53"/>
      <c r="O164" s="562"/>
      <c r="P164" s="561"/>
      <c r="Q164" s="43"/>
      <c r="R164" s="43"/>
      <c r="S164" s="53"/>
      <c r="T164" s="562"/>
      <c r="U164" s="103"/>
      <c r="V164" s="43"/>
      <c r="W164" s="43"/>
      <c r="X164" s="43"/>
      <c r="Y164" s="53"/>
      <c r="Z164" s="53"/>
      <c r="AA164" s="58"/>
      <c r="AB164" s="565"/>
      <c r="AC164" s="103"/>
      <c r="AD164" s="43"/>
      <c r="AE164" s="43"/>
      <c r="AF164" s="43"/>
      <c r="AG164" s="53"/>
      <c r="AH164" s="53"/>
      <c r="AI164" s="58"/>
      <c r="AJ164" s="565"/>
      <c r="AK164" s="103"/>
      <c r="AL164" s="43"/>
      <c r="AM164" s="43"/>
      <c r="AN164" s="43"/>
      <c r="AO164" s="53"/>
      <c r="AP164" s="53"/>
      <c r="AQ164" s="58"/>
      <c r="AR164" s="565"/>
      <c r="AS164" s="18"/>
      <c r="AT164" s="43"/>
      <c r="AU164" s="43"/>
      <c r="AV164" s="43"/>
      <c r="AW164" s="52"/>
      <c r="AX164" s="53"/>
      <c r="AY164" s="57"/>
      <c r="AZ164" s="110"/>
      <c r="BA164" s="110"/>
      <c r="BB164" s="551"/>
      <c r="BC164" s="552"/>
      <c r="BD164" s="104"/>
      <c r="BE164" s="103"/>
      <c r="BF164" s="19"/>
      <c r="BG164" s="19"/>
      <c r="BH164" s="20"/>
      <c r="BI164" s="104"/>
      <c r="BJ164" s="8"/>
    </row>
    <row r="165" spans="1:62">
      <c r="A165" s="519">
        <f>IF('Student DATA Entry'!A161="","",'Student DATA Entry'!A161)</f>
        <v>158</v>
      </c>
      <c r="B165" s="528" t="str">
        <f>IF('Student DATA Entry'!B161="","",'Student DATA Entry'!B161)</f>
        <v/>
      </c>
      <c r="C165" s="125" t="str">
        <f>IF('Student DATA Entry'!D161="","",'Student DATA Entry'!D161)</f>
        <v/>
      </c>
      <c r="D165" s="530" t="str">
        <f>IF('Student DATA Entry'!E161="","",'Student DATA Entry'!E161)</f>
        <v/>
      </c>
      <c r="E165" s="532" t="str">
        <f>IF('Student DATA Entry'!I161="","",'Student DATA Entry'!I161)</f>
        <v/>
      </c>
      <c r="F165" s="126" t="str">
        <f>IF('Student DATA Entry'!F161="","",UPPER('Student DATA Entry'!F161))</f>
        <v/>
      </c>
      <c r="G165" s="126" t="str">
        <f>IF('Student DATA Entry'!G161="","",UPPER('Student DATA Entry'!G161))</f>
        <v/>
      </c>
      <c r="H165" s="126" t="str">
        <f>IF('Student DATA Entry'!H161="","",UPPER('Student DATA Entry'!H161))</f>
        <v/>
      </c>
      <c r="I165" s="526" t="str">
        <f>IF('Student DATA Entry'!K161="","",UPPER('Student DATA Entry'!K161))</f>
        <v/>
      </c>
      <c r="J165" s="560" t="str">
        <f>IF('Student DATA Entry'!J161="","",UPPER('Student DATA Entry'!J161))</f>
        <v/>
      </c>
      <c r="K165" s="561"/>
      <c r="L165" s="43"/>
      <c r="M165" s="43"/>
      <c r="N165" s="53"/>
      <c r="O165" s="562"/>
      <c r="P165" s="561"/>
      <c r="Q165" s="43"/>
      <c r="R165" s="43"/>
      <c r="S165" s="53"/>
      <c r="T165" s="562"/>
      <c r="U165" s="103"/>
      <c r="V165" s="43"/>
      <c r="W165" s="43"/>
      <c r="X165" s="43"/>
      <c r="Y165" s="53"/>
      <c r="Z165" s="53"/>
      <c r="AA165" s="58"/>
      <c r="AB165" s="565"/>
      <c r="AC165" s="103"/>
      <c r="AD165" s="43"/>
      <c r="AE165" s="43"/>
      <c r="AF165" s="43"/>
      <c r="AG165" s="53"/>
      <c r="AH165" s="53"/>
      <c r="AI165" s="58"/>
      <c r="AJ165" s="565"/>
      <c r="AK165" s="103"/>
      <c r="AL165" s="43"/>
      <c r="AM165" s="43"/>
      <c r="AN165" s="43"/>
      <c r="AO165" s="53"/>
      <c r="AP165" s="53"/>
      <c r="AQ165" s="58"/>
      <c r="AR165" s="565"/>
      <c r="AS165" s="18"/>
      <c r="AT165" s="43"/>
      <c r="AU165" s="43"/>
      <c r="AV165" s="43"/>
      <c r="AW165" s="52"/>
      <c r="AX165" s="53"/>
      <c r="AY165" s="57"/>
      <c r="AZ165" s="110"/>
      <c r="BA165" s="110"/>
      <c r="BB165" s="551"/>
      <c r="BC165" s="552"/>
      <c r="BD165" s="104"/>
      <c r="BE165" s="103"/>
      <c r="BF165" s="19"/>
      <c r="BG165" s="19"/>
      <c r="BH165" s="20"/>
      <c r="BI165" s="104"/>
      <c r="BJ165" s="8"/>
    </row>
    <row r="166" spans="1:62">
      <c r="A166" s="519">
        <f>IF('Student DATA Entry'!A162="","",'Student DATA Entry'!A162)</f>
        <v>159</v>
      </c>
      <c r="B166" s="528" t="str">
        <f>IF('Student DATA Entry'!B162="","",'Student DATA Entry'!B162)</f>
        <v/>
      </c>
      <c r="C166" s="125" t="str">
        <f>IF('Student DATA Entry'!D162="","",'Student DATA Entry'!D162)</f>
        <v/>
      </c>
      <c r="D166" s="530" t="str">
        <f>IF('Student DATA Entry'!E162="","",'Student DATA Entry'!E162)</f>
        <v/>
      </c>
      <c r="E166" s="532" t="str">
        <f>IF('Student DATA Entry'!I162="","",'Student DATA Entry'!I162)</f>
        <v/>
      </c>
      <c r="F166" s="126" t="str">
        <f>IF('Student DATA Entry'!F162="","",UPPER('Student DATA Entry'!F162))</f>
        <v/>
      </c>
      <c r="G166" s="126" t="str">
        <f>IF('Student DATA Entry'!G162="","",UPPER('Student DATA Entry'!G162))</f>
        <v/>
      </c>
      <c r="H166" s="126" t="str">
        <f>IF('Student DATA Entry'!H162="","",UPPER('Student DATA Entry'!H162))</f>
        <v/>
      </c>
      <c r="I166" s="526" t="str">
        <f>IF('Student DATA Entry'!K162="","",UPPER('Student DATA Entry'!K162))</f>
        <v/>
      </c>
      <c r="J166" s="560" t="str">
        <f>IF('Student DATA Entry'!J162="","",UPPER('Student DATA Entry'!J162))</f>
        <v/>
      </c>
      <c r="K166" s="561"/>
      <c r="L166" s="43"/>
      <c r="M166" s="43"/>
      <c r="N166" s="53"/>
      <c r="O166" s="562"/>
      <c r="P166" s="561"/>
      <c r="Q166" s="43"/>
      <c r="R166" s="43"/>
      <c r="S166" s="53"/>
      <c r="T166" s="562"/>
      <c r="U166" s="103"/>
      <c r="V166" s="43"/>
      <c r="W166" s="43"/>
      <c r="X166" s="43"/>
      <c r="Y166" s="53"/>
      <c r="Z166" s="53"/>
      <c r="AA166" s="58"/>
      <c r="AB166" s="565"/>
      <c r="AC166" s="103"/>
      <c r="AD166" s="43"/>
      <c r="AE166" s="43"/>
      <c r="AF166" s="43"/>
      <c r="AG166" s="53"/>
      <c r="AH166" s="53"/>
      <c r="AI166" s="58"/>
      <c r="AJ166" s="565"/>
      <c r="AK166" s="103"/>
      <c r="AL166" s="43"/>
      <c r="AM166" s="43"/>
      <c r="AN166" s="43"/>
      <c r="AO166" s="53"/>
      <c r="AP166" s="53"/>
      <c r="AQ166" s="58"/>
      <c r="AR166" s="565"/>
      <c r="AS166" s="18"/>
      <c r="AT166" s="43"/>
      <c r="AU166" s="43"/>
      <c r="AV166" s="43"/>
      <c r="AW166" s="52"/>
      <c r="AX166" s="53"/>
      <c r="AY166" s="57"/>
      <c r="AZ166" s="110"/>
      <c r="BA166" s="110"/>
      <c r="BB166" s="551"/>
      <c r="BC166" s="552"/>
      <c r="BD166" s="104"/>
      <c r="BE166" s="103"/>
      <c r="BF166" s="19"/>
      <c r="BG166" s="19"/>
      <c r="BH166" s="20"/>
      <c r="BI166" s="104"/>
      <c r="BJ166" s="8"/>
    </row>
    <row r="167" spans="1:62">
      <c r="A167" s="519">
        <f>IF('Student DATA Entry'!A163="","",'Student DATA Entry'!A163)</f>
        <v>160</v>
      </c>
      <c r="B167" s="528" t="str">
        <f>IF('Student DATA Entry'!B163="","",'Student DATA Entry'!B163)</f>
        <v/>
      </c>
      <c r="C167" s="125" t="str">
        <f>IF('Student DATA Entry'!D163="","",'Student DATA Entry'!D163)</f>
        <v/>
      </c>
      <c r="D167" s="530" t="str">
        <f>IF('Student DATA Entry'!E163="","",'Student DATA Entry'!E163)</f>
        <v/>
      </c>
      <c r="E167" s="532" t="str">
        <f>IF('Student DATA Entry'!I163="","",'Student DATA Entry'!I163)</f>
        <v/>
      </c>
      <c r="F167" s="126" t="str">
        <f>IF('Student DATA Entry'!F163="","",UPPER('Student DATA Entry'!F163))</f>
        <v/>
      </c>
      <c r="G167" s="126" t="str">
        <f>IF('Student DATA Entry'!G163="","",UPPER('Student DATA Entry'!G163))</f>
        <v/>
      </c>
      <c r="H167" s="126" t="str">
        <f>IF('Student DATA Entry'!H163="","",UPPER('Student DATA Entry'!H163))</f>
        <v/>
      </c>
      <c r="I167" s="526" t="str">
        <f>IF('Student DATA Entry'!K163="","",UPPER('Student DATA Entry'!K163))</f>
        <v/>
      </c>
      <c r="J167" s="560" t="str">
        <f>IF('Student DATA Entry'!J163="","",UPPER('Student DATA Entry'!J163))</f>
        <v/>
      </c>
      <c r="K167" s="561"/>
      <c r="L167" s="43"/>
      <c r="M167" s="43"/>
      <c r="N167" s="53"/>
      <c r="O167" s="562"/>
      <c r="P167" s="561"/>
      <c r="Q167" s="43"/>
      <c r="R167" s="43"/>
      <c r="S167" s="53"/>
      <c r="T167" s="562"/>
      <c r="U167" s="103"/>
      <c r="V167" s="43"/>
      <c r="W167" s="43"/>
      <c r="X167" s="43"/>
      <c r="Y167" s="53"/>
      <c r="Z167" s="53"/>
      <c r="AA167" s="58"/>
      <c r="AB167" s="565"/>
      <c r="AC167" s="103"/>
      <c r="AD167" s="43"/>
      <c r="AE167" s="43"/>
      <c r="AF167" s="43"/>
      <c r="AG167" s="53"/>
      <c r="AH167" s="53"/>
      <c r="AI167" s="58"/>
      <c r="AJ167" s="565"/>
      <c r="AK167" s="103"/>
      <c r="AL167" s="43"/>
      <c r="AM167" s="43"/>
      <c r="AN167" s="43"/>
      <c r="AO167" s="53"/>
      <c r="AP167" s="53"/>
      <c r="AQ167" s="58"/>
      <c r="AR167" s="565"/>
      <c r="AS167" s="18"/>
      <c r="AT167" s="43"/>
      <c r="AU167" s="43"/>
      <c r="AV167" s="43"/>
      <c r="AW167" s="52"/>
      <c r="AX167" s="53"/>
      <c r="AY167" s="57"/>
      <c r="AZ167" s="110"/>
      <c r="BA167" s="110"/>
      <c r="BB167" s="551"/>
      <c r="BC167" s="552"/>
      <c r="BD167" s="104"/>
      <c r="BE167" s="103"/>
      <c r="BF167" s="19"/>
      <c r="BG167" s="19"/>
      <c r="BH167" s="20"/>
      <c r="BI167" s="104"/>
      <c r="BJ167" s="8"/>
    </row>
    <row r="168" spans="1:62">
      <c r="A168" s="519">
        <f>IF('Student DATA Entry'!A164="","",'Student DATA Entry'!A164)</f>
        <v>161</v>
      </c>
      <c r="B168" s="528" t="str">
        <f>IF('Student DATA Entry'!B164="","",'Student DATA Entry'!B164)</f>
        <v/>
      </c>
      <c r="C168" s="125" t="str">
        <f>IF('Student DATA Entry'!D164="","",'Student DATA Entry'!D164)</f>
        <v/>
      </c>
      <c r="D168" s="530" t="str">
        <f>IF('Student DATA Entry'!E164="","",'Student DATA Entry'!E164)</f>
        <v/>
      </c>
      <c r="E168" s="532" t="str">
        <f>IF('Student DATA Entry'!I164="","",'Student DATA Entry'!I164)</f>
        <v/>
      </c>
      <c r="F168" s="126" t="str">
        <f>IF('Student DATA Entry'!F164="","",UPPER('Student DATA Entry'!F164))</f>
        <v/>
      </c>
      <c r="G168" s="126" t="str">
        <f>IF('Student DATA Entry'!G164="","",UPPER('Student DATA Entry'!G164))</f>
        <v/>
      </c>
      <c r="H168" s="126" t="str">
        <f>IF('Student DATA Entry'!H164="","",UPPER('Student DATA Entry'!H164))</f>
        <v/>
      </c>
      <c r="I168" s="526" t="str">
        <f>IF('Student DATA Entry'!K164="","",UPPER('Student DATA Entry'!K164))</f>
        <v/>
      </c>
      <c r="J168" s="560" t="str">
        <f>IF('Student DATA Entry'!J164="","",UPPER('Student DATA Entry'!J164))</f>
        <v/>
      </c>
      <c r="K168" s="561"/>
      <c r="L168" s="43"/>
      <c r="M168" s="43"/>
      <c r="N168" s="53"/>
      <c r="O168" s="562"/>
      <c r="P168" s="561"/>
      <c r="Q168" s="43"/>
      <c r="R168" s="43"/>
      <c r="S168" s="53"/>
      <c r="T168" s="562"/>
      <c r="U168" s="103"/>
      <c r="V168" s="43"/>
      <c r="W168" s="43"/>
      <c r="X168" s="43"/>
      <c r="Y168" s="53"/>
      <c r="Z168" s="53"/>
      <c r="AA168" s="58"/>
      <c r="AB168" s="565"/>
      <c r="AC168" s="103"/>
      <c r="AD168" s="43"/>
      <c r="AE168" s="43"/>
      <c r="AF168" s="43"/>
      <c r="AG168" s="53"/>
      <c r="AH168" s="53"/>
      <c r="AI168" s="58"/>
      <c r="AJ168" s="565"/>
      <c r="AK168" s="103"/>
      <c r="AL168" s="43"/>
      <c r="AM168" s="43"/>
      <c r="AN168" s="43"/>
      <c r="AO168" s="53"/>
      <c r="AP168" s="53"/>
      <c r="AQ168" s="58"/>
      <c r="AR168" s="565"/>
      <c r="AS168" s="18"/>
      <c r="AT168" s="43"/>
      <c r="AU168" s="43"/>
      <c r="AV168" s="43"/>
      <c r="AW168" s="52"/>
      <c r="AX168" s="53"/>
      <c r="AY168" s="57"/>
      <c r="AZ168" s="110"/>
      <c r="BA168" s="110"/>
      <c r="BB168" s="551"/>
      <c r="BC168" s="552"/>
      <c r="BD168" s="104"/>
      <c r="BE168" s="103"/>
      <c r="BF168" s="19"/>
      <c r="BG168" s="19"/>
      <c r="BH168" s="20"/>
      <c r="BI168" s="104"/>
      <c r="BJ168" s="8"/>
    </row>
    <row r="169" spans="1:62">
      <c r="A169" s="519">
        <f>IF('Student DATA Entry'!A165="","",'Student DATA Entry'!A165)</f>
        <v>162</v>
      </c>
      <c r="B169" s="528" t="str">
        <f>IF('Student DATA Entry'!B165="","",'Student DATA Entry'!B165)</f>
        <v/>
      </c>
      <c r="C169" s="125" t="str">
        <f>IF('Student DATA Entry'!D165="","",'Student DATA Entry'!D165)</f>
        <v/>
      </c>
      <c r="D169" s="530" t="str">
        <f>IF('Student DATA Entry'!E165="","",'Student DATA Entry'!E165)</f>
        <v/>
      </c>
      <c r="E169" s="532" t="str">
        <f>IF('Student DATA Entry'!I165="","",'Student DATA Entry'!I165)</f>
        <v/>
      </c>
      <c r="F169" s="126" t="str">
        <f>IF('Student DATA Entry'!F165="","",UPPER('Student DATA Entry'!F165))</f>
        <v/>
      </c>
      <c r="G169" s="126" t="str">
        <f>IF('Student DATA Entry'!G165="","",UPPER('Student DATA Entry'!G165))</f>
        <v/>
      </c>
      <c r="H169" s="126" t="str">
        <f>IF('Student DATA Entry'!H165="","",UPPER('Student DATA Entry'!H165))</f>
        <v/>
      </c>
      <c r="I169" s="526" t="str">
        <f>IF('Student DATA Entry'!K165="","",UPPER('Student DATA Entry'!K165))</f>
        <v/>
      </c>
      <c r="J169" s="560" t="str">
        <f>IF('Student DATA Entry'!J165="","",UPPER('Student DATA Entry'!J165))</f>
        <v/>
      </c>
      <c r="K169" s="561"/>
      <c r="L169" s="43"/>
      <c r="M169" s="43"/>
      <c r="N169" s="53"/>
      <c r="O169" s="562"/>
      <c r="P169" s="561"/>
      <c r="Q169" s="43"/>
      <c r="R169" s="43"/>
      <c r="S169" s="53"/>
      <c r="T169" s="562"/>
      <c r="U169" s="103"/>
      <c r="V169" s="43"/>
      <c r="W169" s="43"/>
      <c r="X169" s="43"/>
      <c r="Y169" s="53"/>
      <c r="Z169" s="53"/>
      <c r="AA169" s="58"/>
      <c r="AB169" s="565"/>
      <c r="AC169" s="103"/>
      <c r="AD169" s="43"/>
      <c r="AE169" s="43"/>
      <c r="AF169" s="43"/>
      <c r="AG169" s="53"/>
      <c r="AH169" s="53"/>
      <c r="AI169" s="58"/>
      <c r="AJ169" s="565"/>
      <c r="AK169" s="103"/>
      <c r="AL169" s="43"/>
      <c r="AM169" s="43"/>
      <c r="AN169" s="43"/>
      <c r="AO169" s="53"/>
      <c r="AP169" s="53"/>
      <c r="AQ169" s="58"/>
      <c r="AR169" s="565"/>
      <c r="AS169" s="18"/>
      <c r="AT169" s="43"/>
      <c r="AU169" s="43"/>
      <c r="AV169" s="43"/>
      <c r="AW169" s="52"/>
      <c r="AX169" s="53"/>
      <c r="AY169" s="57"/>
      <c r="AZ169" s="110"/>
      <c r="BA169" s="110"/>
      <c r="BB169" s="551"/>
      <c r="BC169" s="552"/>
      <c r="BD169" s="104"/>
      <c r="BE169" s="103"/>
      <c r="BF169" s="19"/>
      <c r="BG169" s="19"/>
      <c r="BH169" s="20"/>
      <c r="BI169" s="104"/>
      <c r="BJ169" s="8"/>
    </row>
    <row r="170" spans="1:62">
      <c r="A170" s="519">
        <f>IF('Student DATA Entry'!A166="","",'Student DATA Entry'!A166)</f>
        <v>163</v>
      </c>
      <c r="B170" s="528" t="str">
        <f>IF('Student DATA Entry'!B166="","",'Student DATA Entry'!B166)</f>
        <v/>
      </c>
      <c r="C170" s="125" t="str">
        <f>IF('Student DATA Entry'!D166="","",'Student DATA Entry'!D166)</f>
        <v/>
      </c>
      <c r="D170" s="530" t="str">
        <f>IF('Student DATA Entry'!E166="","",'Student DATA Entry'!E166)</f>
        <v/>
      </c>
      <c r="E170" s="532" t="str">
        <f>IF('Student DATA Entry'!I166="","",'Student DATA Entry'!I166)</f>
        <v/>
      </c>
      <c r="F170" s="126" t="str">
        <f>IF('Student DATA Entry'!F166="","",UPPER('Student DATA Entry'!F166))</f>
        <v/>
      </c>
      <c r="G170" s="126" t="str">
        <f>IF('Student DATA Entry'!G166="","",UPPER('Student DATA Entry'!G166))</f>
        <v/>
      </c>
      <c r="H170" s="126" t="str">
        <f>IF('Student DATA Entry'!H166="","",UPPER('Student DATA Entry'!H166))</f>
        <v/>
      </c>
      <c r="I170" s="526" t="str">
        <f>IF('Student DATA Entry'!K166="","",UPPER('Student DATA Entry'!K166))</f>
        <v/>
      </c>
      <c r="J170" s="560" t="str">
        <f>IF('Student DATA Entry'!J166="","",UPPER('Student DATA Entry'!J166))</f>
        <v/>
      </c>
      <c r="K170" s="561"/>
      <c r="L170" s="43"/>
      <c r="M170" s="43"/>
      <c r="N170" s="53"/>
      <c r="O170" s="562"/>
      <c r="P170" s="561"/>
      <c r="Q170" s="43"/>
      <c r="R170" s="43"/>
      <c r="S170" s="53"/>
      <c r="T170" s="562"/>
      <c r="U170" s="103"/>
      <c r="V170" s="43"/>
      <c r="W170" s="43"/>
      <c r="X170" s="43"/>
      <c r="Y170" s="53"/>
      <c r="Z170" s="53"/>
      <c r="AA170" s="58"/>
      <c r="AB170" s="565"/>
      <c r="AC170" s="103"/>
      <c r="AD170" s="43"/>
      <c r="AE170" s="43"/>
      <c r="AF170" s="43"/>
      <c r="AG170" s="53"/>
      <c r="AH170" s="53"/>
      <c r="AI170" s="58"/>
      <c r="AJ170" s="565"/>
      <c r="AK170" s="103"/>
      <c r="AL170" s="43"/>
      <c r="AM170" s="43"/>
      <c r="AN170" s="43"/>
      <c r="AO170" s="53"/>
      <c r="AP170" s="53"/>
      <c r="AQ170" s="58"/>
      <c r="AR170" s="565"/>
      <c r="AS170" s="18"/>
      <c r="AT170" s="43"/>
      <c r="AU170" s="43"/>
      <c r="AV170" s="43"/>
      <c r="AW170" s="52"/>
      <c r="AX170" s="53"/>
      <c r="AY170" s="57"/>
      <c r="AZ170" s="110"/>
      <c r="BA170" s="110"/>
      <c r="BB170" s="551"/>
      <c r="BC170" s="552"/>
      <c r="BD170" s="104"/>
      <c r="BE170" s="103"/>
      <c r="BF170" s="19"/>
      <c r="BG170" s="19"/>
      <c r="BH170" s="20"/>
      <c r="BI170" s="104"/>
      <c r="BJ170" s="8"/>
    </row>
    <row r="171" spans="1:62">
      <c r="A171" s="519">
        <f>IF('Student DATA Entry'!A167="","",'Student DATA Entry'!A167)</f>
        <v>164</v>
      </c>
      <c r="B171" s="528" t="str">
        <f>IF('Student DATA Entry'!B167="","",'Student DATA Entry'!B167)</f>
        <v/>
      </c>
      <c r="C171" s="125" t="str">
        <f>IF('Student DATA Entry'!D167="","",'Student DATA Entry'!D167)</f>
        <v/>
      </c>
      <c r="D171" s="530" t="str">
        <f>IF('Student DATA Entry'!E167="","",'Student DATA Entry'!E167)</f>
        <v/>
      </c>
      <c r="E171" s="532" t="str">
        <f>IF('Student DATA Entry'!I167="","",'Student DATA Entry'!I167)</f>
        <v/>
      </c>
      <c r="F171" s="126" t="str">
        <f>IF('Student DATA Entry'!F167="","",UPPER('Student DATA Entry'!F167))</f>
        <v/>
      </c>
      <c r="G171" s="126" t="str">
        <f>IF('Student DATA Entry'!G167="","",UPPER('Student DATA Entry'!G167))</f>
        <v/>
      </c>
      <c r="H171" s="126" t="str">
        <f>IF('Student DATA Entry'!H167="","",UPPER('Student DATA Entry'!H167))</f>
        <v/>
      </c>
      <c r="I171" s="526" t="str">
        <f>IF('Student DATA Entry'!K167="","",UPPER('Student DATA Entry'!K167))</f>
        <v/>
      </c>
      <c r="J171" s="560" t="str">
        <f>IF('Student DATA Entry'!J167="","",UPPER('Student DATA Entry'!J167))</f>
        <v/>
      </c>
      <c r="K171" s="561"/>
      <c r="L171" s="43"/>
      <c r="M171" s="43"/>
      <c r="N171" s="53"/>
      <c r="O171" s="562"/>
      <c r="P171" s="561"/>
      <c r="Q171" s="43"/>
      <c r="R171" s="43"/>
      <c r="S171" s="53"/>
      <c r="T171" s="562"/>
      <c r="U171" s="103"/>
      <c r="V171" s="43"/>
      <c r="W171" s="43"/>
      <c r="X171" s="43"/>
      <c r="Y171" s="53"/>
      <c r="Z171" s="53"/>
      <c r="AA171" s="58"/>
      <c r="AB171" s="565"/>
      <c r="AC171" s="103"/>
      <c r="AD171" s="43"/>
      <c r="AE171" s="43"/>
      <c r="AF171" s="43"/>
      <c r="AG171" s="53"/>
      <c r="AH171" s="53"/>
      <c r="AI171" s="58"/>
      <c r="AJ171" s="565"/>
      <c r="AK171" s="103"/>
      <c r="AL171" s="43"/>
      <c r="AM171" s="43"/>
      <c r="AN171" s="43"/>
      <c r="AO171" s="53"/>
      <c r="AP171" s="53"/>
      <c r="AQ171" s="58"/>
      <c r="AR171" s="565"/>
      <c r="AS171" s="18"/>
      <c r="AT171" s="43"/>
      <c r="AU171" s="43"/>
      <c r="AV171" s="43"/>
      <c r="AW171" s="52"/>
      <c r="AX171" s="53"/>
      <c r="AY171" s="57"/>
      <c r="AZ171" s="110"/>
      <c r="BA171" s="110"/>
      <c r="BB171" s="551"/>
      <c r="BC171" s="552"/>
      <c r="BD171" s="104"/>
      <c r="BE171" s="103"/>
      <c r="BF171" s="19"/>
      <c r="BG171" s="19"/>
      <c r="BH171" s="20"/>
      <c r="BI171" s="104"/>
      <c r="BJ171" s="8"/>
    </row>
    <row r="172" spans="1:62">
      <c r="A172" s="519">
        <f>IF('Student DATA Entry'!A168="","",'Student DATA Entry'!A168)</f>
        <v>165</v>
      </c>
      <c r="B172" s="528" t="str">
        <f>IF('Student DATA Entry'!B168="","",'Student DATA Entry'!B168)</f>
        <v/>
      </c>
      <c r="C172" s="125" t="str">
        <f>IF('Student DATA Entry'!D168="","",'Student DATA Entry'!D168)</f>
        <v/>
      </c>
      <c r="D172" s="530" t="str">
        <f>IF('Student DATA Entry'!E168="","",'Student DATA Entry'!E168)</f>
        <v/>
      </c>
      <c r="E172" s="532" t="str">
        <f>IF('Student DATA Entry'!I168="","",'Student DATA Entry'!I168)</f>
        <v/>
      </c>
      <c r="F172" s="126" t="str">
        <f>IF('Student DATA Entry'!F168="","",UPPER('Student DATA Entry'!F168))</f>
        <v/>
      </c>
      <c r="G172" s="126" t="str">
        <f>IF('Student DATA Entry'!G168="","",UPPER('Student DATA Entry'!G168))</f>
        <v/>
      </c>
      <c r="H172" s="126" t="str">
        <f>IF('Student DATA Entry'!H168="","",UPPER('Student DATA Entry'!H168))</f>
        <v/>
      </c>
      <c r="I172" s="526" t="str">
        <f>IF('Student DATA Entry'!K168="","",UPPER('Student DATA Entry'!K168))</f>
        <v/>
      </c>
      <c r="J172" s="560" t="str">
        <f>IF('Student DATA Entry'!J168="","",UPPER('Student DATA Entry'!J168))</f>
        <v/>
      </c>
      <c r="K172" s="561"/>
      <c r="L172" s="43"/>
      <c r="M172" s="43"/>
      <c r="N172" s="53"/>
      <c r="O172" s="562"/>
      <c r="P172" s="561"/>
      <c r="Q172" s="43"/>
      <c r="R172" s="43"/>
      <c r="S172" s="53"/>
      <c r="T172" s="562"/>
      <c r="U172" s="103"/>
      <c r="V172" s="43"/>
      <c r="W172" s="43"/>
      <c r="X172" s="43"/>
      <c r="Y172" s="53"/>
      <c r="Z172" s="53"/>
      <c r="AA172" s="58"/>
      <c r="AB172" s="565"/>
      <c r="AC172" s="103"/>
      <c r="AD172" s="43"/>
      <c r="AE172" s="43"/>
      <c r="AF172" s="43"/>
      <c r="AG172" s="53"/>
      <c r="AH172" s="53"/>
      <c r="AI172" s="58"/>
      <c r="AJ172" s="565"/>
      <c r="AK172" s="103"/>
      <c r="AL172" s="43"/>
      <c r="AM172" s="43"/>
      <c r="AN172" s="43"/>
      <c r="AO172" s="53"/>
      <c r="AP172" s="53"/>
      <c r="AQ172" s="58"/>
      <c r="AR172" s="565"/>
      <c r="AS172" s="18"/>
      <c r="AT172" s="43"/>
      <c r="AU172" s="43"/>
      <c r="AV172" s="43"/>
      <c r="AW172" s="52"/>
      <c r="AX172" s="53"/>
      <c r="AY172" s="57"/>
      <c r="AZ172" s="110"/>
      <c r="BA172" s="110"/>
      <c r="BB172" s="551"/>
      <c r="BC172" s="552"/>
      <c r="BD172" s="104"/>
      <c r="BE172" s="103"/>
      <c r="BF172" s="19"/>
      <c r="BG172" s="19"/>
      <c r="BH172" s="20"/>
      <c r="BI172" s="104"/>
      <c r="BJ172" s="8"/>
    </row>
    <row r="173" spans="1:62">
      <c r="A173" s="519">
        <f>IF('Student DATA Entry'!A169="","",'Student DATA Entry'!A169)</f>
        <v>166</v>
      </c>
      <c r="B173" s="528" t="str">
        <f>IF('Student DATA Entry'!B169="","",'Student DATA Entry'!B169)</f>
        <v/>
      </c>
      <c r="C173" s="125" t="str">
        <f>IF('Student DATA Entry'!D169="","",'Student DATA Entry'!D169)</f>
        <v/>
      </c>
      <c r="D173" s="530" t="str">
        <f>IF('Student DATA Entry'!E169="","",'Student DATA Entry'!E169)</f>
        <v/>
      </c>
      <c r="E173" s="532" t="str">
        <f>IF('Student DATA Entry'!I169="","",'Student DATA Entry'!I169)</f>
        <v/>
      </c>
      <c r="F173" s="126" t="str">
        <f>IF('Student DATA Entry'!F169="","",UPPER('Student DATA Entry'!F169))</f>
        <v/>
      </c>
      <c r="G173" s="126" t="str">
        <f>IF('Student DATA Entry'!G169="","",UPPER('Student DATA Entry'!G169))</f>
        <v/>
      </c>
      <c r="H173" s="126" t="str">
        <f>IF('Student DATA Entry'!H169="","",UPPER('Student DATA Entry'!H169))</f>
        <v/>
      </c>
      <c r="I173" s="526" t="str">
        <f>IF('Student DATA Entry'!K169="","",UPPER('Student DATA Entry'!K169))</f>
        <v/>
      </c>
      <c r="J173" s="560" t="str">
        <f>IF('Student DATA Entry'!J169="","",UPPER('Student DATA Entry'!J169))</f>
        <v/>
      </c>
      <c r="K173" s="561"/>
      <c r="L173" s="43"/>
      <c r="M173" s="43"/>
      <c r="N173" s="53"/>
      <c r="O173" s="562"/>
      <c r="P173" s="561"/>
      <c r="Q173" s="43"/>
      <c r="R173" s="43"/>
      <c r="S173" s="53"/>
      <c r="T173" s="562"/>
      <c r="U173" s="103"/>
      <c r="V173" s="43"/>
      <c r="W173" s="43"/>
      <c r="X173" s="43"/>
      <c r="Y173" s="53"/>
      <c r="Z173" s="53"/>
      <c r="AA173" s="58"/>
      <c r="AB173" s="565"/>
      <c r="AC173" s="103"/>
      <c r="AD173" s="43"/>
      <c r="AE173" s="43"/>
      <c r="AF173" s="43"/>
      <c r="AG173" s="53"/>
      <c r="AH173" s="53"/>
      <c r="AI173" s="58"/>
      <c r="AJ173" s="565"/>
      <c r="AK173" s="103"/>
      <c r="AL173" s="43"/>
      <c r="AM173" s="43"/>
      <c r="AN173" s="43"/>
      <c r="AO173" s="53"/>
      <c r="AP173" s="53"/>
      <c r="AQ173" s="58"/>
      <c r="AR173" s="565"/>
      <c r="AS173" s="18"/>
      <c r="AT173" s="43"/>
      <c r="AU173" s="43"/>
      <c r="AV173" s="43"/>
      <c r="AW173" s="52"/>
      <c r="AX173" s="53"/>
      <c r="AY173" s="57"/>
      <c r="AZ173" s="110"/>
      <c r="BA173" s="110"/>
      <c r="BB173" s="551"/>
      <c r="BC173" s="552"/>
      <c r="BD173" s="104"/>
      <c r="BE173" s="103"/>
      <c r="BF173" s="19"/>
      <c r="BG173" s="19"/>
      <c r="BH173" s="20"/>
      <c r="BI173" s="104"/>
      <c r="BJ173" s="8"/>
    </row>
    <row r="174" spans="1:62">
      <c r="A174" s="519">
        <f>IF('Student DATA Entry'!A170="","",'Student DATA Entry'!A170)</f>
        <v>167</v>
      </c>
      <c r="B174" s="528" t="str">
        <f>IF('Student DATA Entry'!B170="","",'Student DATA Entry'!B170)</f>
        <v/>
      </c>
      <c r="C174" s="125" t="str">
        <f>IF('Student DATA Entry'!D170="","",'Student DATA Entry'!D170)</f>
        <v/>
      </c>
      <c r="D174" s="530" t="str">
        <f>IF('Student DATA Entry'!E170="","",'Student DATA Entry'!E170)</f>
        <v/>
      </c>
      <c r="E174" s="532" t="str">
        <f>IF('Student DATA Entry'!I170="","",'Student DATA Entry'!I170)</f>
        <v/>
      </c>
      <c r="F174" s="126" t="str">
        <f>IF('Student DATA Entry'!F170="","",UPPER('Student DATA Entry'!F170))</f>
        <v/>
      </c>
      <c r="G174" s="126" t="str">
        <f>IF('Student DATA Entry'!G170="","",UPPER('Student DATA Entry'!G170))</f>
        <v/>
      </c>
      <c r="H174" s="126" t="str">
        <f>IF('Student DATA Entry'!H170="","",UPPER('Student DATA Entry'!H170))</f>
        <v/>
      </c>
      <c r="I174" s="526" t="str">
        <f>IF('Student DATA Entry'!K170="","",UPPER('Student DATA Entry'!K170))</f>
        <v/>
      </c>
      <c r="J174" s="560" t="str">
        <f>IF('Student DATA Entry'!J170="","",UPPER('Student DATA Entry'!J170))</f>
        <v/>
      </c>
      <c r="K174" s="561"/>
      <c r="L174" s="43"/>
      <c r="M174" s="43"/>
      <c r="N174" s="53"/>
      <c r="O174" s="562"/>
      <c r="P174" s="561"/>
      <c r="Q174" s="43"/>
      <c r="R174" s="43"/>
      <c r="S174" s="53"/>
      <c r="T174" s="562"/>
      <c r="U174" s="103"/>
      <c r="V174" s="43"/>
      <c r="W174" s="43"/>
      <c r="X174" s="43"/>
      <c r="Y174" s="53"/>
      <c r="Z174" s="53"/>
      <c r="AA174" s="58"/>
      <c r="AB174" s="565"/>
      <c r="AC174" s="103"/>
      <c r="AD174" s="43"/>
      <c r="AE174" s="43"/>
      <c r="AF174" s="43"/>
      <c r="AG174" s="53"/>
      <c r="AH174" s="53"/>
      <c r="AI174" s="58"/>
      <c r="AJ174" s="565"/>
      <c r="AK174" s="103"/>
      <c r="AL174" s="43"/>
      <c r="AM174" s="43"/>
      <c r="AN174" s="43"/>
      <c r="AO174" s="53"/>
      <c r="AP174" s="53"/>
      <c r="AQ174" s="58"/>
      <c r="AR174" s="565"/>
      <c r="AS174" s="18"/>
      <c r="AT174" s="43"/>
      <c r="AU174" s="43"/>
      <c r="AV174" s="43"/>
      <c r="AW174" s="52"/>
      <c r="AX174" s="53"/>
      <c r="AY174" s="57"/>
      <c r="AZ174" s="110"/>
      <c r="BA174" s="110"/>
      <c r="BB174" s="551"/>
      <c r="BC174" s="552"/>
      <c r="BD174" s="104"/>
      <c r="BE174" s="103"/>
      <c r="BF174" s="19"/>
      <c r="BG174" s="19"/>
      <c r="BH174" s="20"/>
      <c r="BI174" s="104"/>
      <c r="BJ174" s="8"/>
    </row>
    <row r="175" spans="1:62">
      <c r="A175" s="519">
        <f>IF('Student DATA Entry'!A171="","",'Student DATA Entry'!A171)</f>
        <v>168</v>
      </c>
      <c r="B175" s="528" t="str">
        <f>IF('Student DATA Entry'!B171="","",'Student DATA Entry'!B171)</f>
        <v/>
      </c>
      <c r="C175" s="125" t="str">
        <f>IF('Student DATA Entry'!D171="","",'Student DATA Entry'!D171)</f>
        <v/>
      </c>
      <c r="D175" s="530" t="str">
        <f>IF('Student DATA Entry'!E171="","",'Student DATA Entry'!E171)</f>
        <v/>
      </c>
      <c r="E175" s="532" t="str">
        <f>IF('Student DATA Entry'!I171="","",'Student DATA Entry'!I171)</f>
        <v/>
      </c>
      <c r="F175" s="126" t="str">
        <f>IF('Student DATA Entry'!F171="","",UPPER('Student DATA Entry'!F171))</f>
        <v/>
      </c>
      <c r="G175" s="126" t="str">
        <f>IF('Student DATA Entry'!G171="","",UPPER('Student DATA Entry'!G171))</f>
        <v/>
      </c>
      <c r="H175" s="126" t="str">
        <f>IF('Student DATA Entry'!H171="","",UPPER('Student DATA Entry'!H171))</f>
        <v/>
      </c>
      <c r="I175" s="526" t="str">
        <f>IF('Student DATA Entry'!K171="","",UPPER('Student DATA Entry'!K171))</f>
        <v/>
      </c>
      <c r="J175" s="560" t="str">
        <f>IF('Student DATA Entry'!J171="","",UPPER('Student DATA Entry'!J171))</f>
        <v/>
      </c>
      <c r="K175" s="561"/>
      <c r="L175" s="43"/>
      <c r="M175" s="43"/>
      <c r="N175" s="53"/>
      <c r="O175" s="562"/>
      <c r="P175" s="561"/>
      <c r="Q175" s="43"/>
      <c r="R175" s="43"/>
      <c r="S175" s="53"/>
      <c r="T175" s="562"/>
      <c r="U175" s="103"/>
      <c r="V175" s="43"/>
      <c r="W175" s="43"/>
      <c r="X175" s="43"/>
      <c r="Y175" s="53"/>
      <c r="Z175" s="53"/>
      <c r="AA175" s="58"/>
      <c r="AB175" s="565"/>
      <c r="AC175" s="103"/>
      <c r="AD175" s="43"/>
      <c r="AE175" s="43"/>
      <c r="AF175" s="43"/>
      <c r="AG175" s="53"/>
      <c r="AH175" s="53"/>
      <c r="AI175" s="58"/>
      <c r="AJ175" s="565"/>
      <c r="AK175" s="103"/>
      <c r="AL175" s="43"/>
      <c r="AM175" s="43"/>
      <c r="AN175" s="43"/>
      <c r="AO175" s="53"/>
      <c r="AP175" s="53"/>
      <c r="AQ175" s="58"/>
      <c r="AR175" s="565"/>
      <c r="AS175" s="18"/>
      <c r="AT175" s="43"/>
      <c r="AU175" s="43"/>
      <c r="AV175" s="43"/>
      <c r="AW175" s="52"/>
      <c r="AX175" s="53"/>
      <c r="AY175" s="57"/>
      <c r="AZ175" s="110"/>
      <c r="BA175" s="110"/>
      <c r="BB175" s="551"/>
      <c r="BC175" s="552"/>
      <c r="BD175" s="104"/>
      <c r="BE175" s="103"/>
      <c r="BF175" s="19"/>
      <c r="BG175" s="19"/>
      <c r="BH175" s="20"/>
      <c r="BI175" s="104"/>
      <c r="BJ175" s="8"/>
    </row>
    <row r="176" spans="1:62">
      <c r="A176" s="519">
        <f>IF('Student DATA Entry'!A172="","",'Student DATA Entry'!A172)</f>
        <v>169</v>
      </c>
      <c r="B176" s="528" t="str">
        <f>IF('Student DATA Entry'!B172="","",'Student DATA Entry'!B172)</f>
        <v/>
      </c>
      <c r="C176" s="125" t="str">
        <f>IF('Student DATA Entry'!D172="","",'Student DATA Entry'!D172)</f>
        <v/>
      </c>
      <c r="D176" s="530" t="str">
        <f>IF('Student DATA Entry'!E172="","",'Student DATA Entry'!E172)</f>
        <v/>
      </c>
      <c r="E176" s="532" t="str">
        <f>IF('Student DATA Entry'!I172="","",'Student DATA Entry'!I172)</f>
        <v/>
      </c>
      <c r="F176" s="126" t="str">
        <f>IF('Student DATA Entry'!F172="","",UPPER('Student DATA Entry'!F172))</f>
        <v/>
      </c>
      <c r="G176" s="126" t="str">
        <f>IF('Student DATA Entry'!G172="","",UPPER('Student DATA Entry'!G172))</f>
        <v/>
      </c>
      <c r="H176" s="126" t="str">
        <f>IF('Student DATA Entry'!H172="","",UPPER('Student DATA Entry'!H172))</f>
        <v/>
      </c>
      <c r="I176" s="526" t="str">
        <f>IF('Student DATA Entry'!K172="","",UPPER('Student DATA Entry'!K172))</f>
        <v/>
      </c>
      <c r="J176" s="560" t="str">
        <f>IF('Student DATA Entry'!J172="","",UPPER('Student DATA Entry'!J172))</f>
        <v/>
      </c>
      <c r="K176" s="561"/>
      <c r="L176" s="43"/>
      <c r="M176" s="43"/>
      <c r="N176" s="53"/>
      <c r="O176" s="562"/>
      <c r="P176" s="561"/>
      <c r="Q176" s="43"/>
      <c r="R176" s="43"/>
      <c r="S176" s="53"/>
      <c r="T176" s="562"/>
      <c r="U176" s="103"/>
      <c r="V176" s="43"/>
      <c r="W176" s="43"/>
      <c r="X176" s="43"/>
      <c r="Y176" s="53"/>
      <c r="Z176" s="53"/>
      <c r="AA176" s="58"/>
      <c r="AB176" s="565"/>
      <c r="AC176" s="103"/>
      <c r="AD176" s="43"/>
      <c r="AE176" s="43"/>
      <c r="AF176" s="43"/>
      <c r="AG176" s="53"/>
      <c r="AH176" s="53"/>
      <c r="AI176" s="58"/>
      <c r="AJ176" s="565"/>
      <c r="AK176" s="103"/>
      <c r="AL176" s="43"/>
      <c r="AM176" s="43"/>
      <c r="AN176" s="43"/>
      <c r="AO176" s="53"/>
      <c r="AP176" s="53"/>
      <c r="AQ176" s="58"/>
      <c r="AR176" s="565"/>
      <c r="AS176" s="18"/>
      <c r="AT176" s="43"/>
      <c r="AU176" s="43"/>
      <c r="AV176" s="43"/>
      <c r="AW176" s="52"/>
      <c r="AX176" s="53"/>
      <c r="AY176" s="57"/>
      <c r="AZ176" s="110"/>
      <c r="BA176" s="110"/>
      <c r="BB176" s="551"/>
      <c r="BC176" s="552"/>
      <c r="BD176" s="104"/>
      <c r="BE176" s="103"/>
      <c r="BF176" s="19"/>
      <c r="BG176" s="19"/>
      <c r="BH176" s="20"/>
      <c r="BI176" s="104"/>
      <c r="BJ176" s="8"/>
    </row>
    <row r="177" spans="1:62">
      <c r="A177" s="519">
        <f>IF('Student DATA Entry'!A173="","",'Student DATA Entry'!A173)</f>
        <v>170</v>
      </c>
      <c r="B177" s="528" t="str">
        <f>IF('Student DATA Entry'!B173="","",'Student DATA Entry'!B173)</f>
        <v/>
      </c>
      <c r="C177" s="125" t="str">
        <f>IF('Student DATA Entry'!D173="","",'Student DATA Entry'!D173)</f>
        <v/>
      </c>
      <c r="D177" s="530" t="str">
        <f>IF('Student DATA Entry'!E173="","",'Student DATA Entry'!E173)</f>
        <v/>
      </c>
      <c r="E177" s="532" t="str">
        <f>IF('Student DATA Entry'!I173="","",'Student DATA Entry'!I173)</f>
        <v/>
      </c>
      <c r="F177" s="126" t="str">
        <f>IF('Student DATA Entry'!F173="","",UPPER('Student DATA Entry'!F173))</f>
        <v/>
      </c>
      <c r="G177" s="126" t="str">
        <f>IF('Student DATA Entry'!G173="","",UPPER('Student DATA Entry'!G173))</f>
        <v/>
      </c>
      <c r="H177" s="126" t="str">
        <f>IF('Student DATA Entry'!H173="","",UPPER('Student DATA Entry'!H173))</f>
        <v/>
      </c>
      <c r="I177" s="526" t="str">
        <f>IF('Student DATA Entry'!K173="","",UPPER('Student DATA Entry'!K173))</f>
        <v/>
      </c>
      <c r="J177" s="560" t="str">
        <f>IF('Student DATA Entry'!J173="","",UPPER('Student DATA Entry'!J173))</f>
        <v/>
      </c>
      <c r="K177" s="561"/>
      <c r="L177" s="43"/>
      <c r="M177" s="43"/>
      <c r="N177" s="53"/>
      <c r="O177" s="562"/>
      <c r="P177" s="561"/>
      <c r="Q177" s="43"/>
      <c r="R177" s="43"/>
      <c r="S177" s="53"/>
      <c r="T177" s="562"/>
      <c r="U177" s="103"/>
      <c r="V177" s="43"/>
      <c r="W177" s="43"/>
      <c r="X177" s="43"/>
      <c r="Y177" s="53"/>
      <c r="Z177" s="53"/>
      <c r="AA177" s="58"/>
      <c r="AB177" s="565"/>
      <c r="AC177" s="103"/>
      <c r="AD177" s="43"/>
      <c r="AE177" s="43"/>
      <c r="AF177" s="43"/>
      <c r="AG177" s="53"/>
      <c r="AH177" s="53"/>
      <c r="AI177" s="58"/>
      <c r="AJ177" s="565"/>
      <c r="AK177" s="103"/>
      <c r="AL177" s="43"/>
      <c r="AM177" s="43"/>
      <c r="AN177" s="43"/>
      <c r="AO177" s="53"/>
      <c r="AP177" s="53"/>
      <c r="AQ177" s="58"/>
      <c r="AR177" s="565"/>
      <c r="AS177" s="18"/>
      <c r="AT177" s="43"/>
      <c r="AU177" s="43"/>
      <c r="AV177" s="43"/>
      <c r="AW177" s="52"/>
      <c r="AX177" s="53"/>
      <c r="AY177" s="57"/>
      <c r="AZ177" s="110"/>
      <c r="BA177" s="110"/>
      <c r="BB177" s="551"/>
      <c r="BC177" s="552"/>
      <c r="BD177" s="104"/>
      <c r="BE177" s="103"/>
      <c r="BF177" s="19"/>
      <c r="BG177" s="19"/>
      <c r="BH177" s="20"/>
      <c r="BI177" s="104"/>
      <c r="BJ177" s="8"/>
    </row>
    <row r="178" spans="1:62">
      <c r="A178" s="519">
        <f>IF('Student DATA Entry'!A174="","",'Student DATA Entry'!A174)</f>
        <v>171</v>
      </c>
      <c r="B178" s="528" t="str">
        <f>IF('Student DATA Entry'!B174="","",'Student DATA Entry'!B174)</f>
        <v/>
      </c>
      <c r="C178" s="125" t="str">
        <f>IF('Student DATA Entry'!D174="","",'Student DATA Entry'!D174)</f>
        <v/>
      </c>
      <c r="D178" s="530" t="str">
        <f>IF('Student DATA Entry'!E174="","",'Student DATA Entry'!E174)</f>
        <v/>
      </c>
      <c r="E178" s="532" t="str">
        <f>IF('Student DATA Entry'!I174="","",'Student DATA Entry'!I174)</f>
        <v/>
      </c>
      <c r="F178" s="126" t="str">
        <f>IF('Student DATA Entry'!F174="","",UPPER('Student DATA Entry'!F174))</f>
        <v/>
      </c>
      <c r="G178" s="126" t="str">
        <f>IF('Student DATA Entry'!G174="","",UPPER('Student DATA Entry'!G174))</f>
        <v/>
      </c>
      <c r="H178" s="126" t="str">
        <f>IF('Student DATA Entry'!H174="","",UPPER('Student DATA Entry'!H174))</f>
        <v/>
      </c>
      <c r="I178" s="526" t="str">
        <f>IF('Student DATA Entry'!K174="","",UPPER('Student DATA Entry'!K174))</f>
        <v/>
      </c>
      <c r="J178" s="560" t="str">
        <f>IF('Student DATA Entry'!J174="","",UPPER('Student DATA Entry'!J174))</f>
        <v/>
      </c>
      <c r="K178" s="561"/>
      <c r="L178" s="43"/>
      <c r="M178" s="43"/>
      <c r="N178" s="53"/>
      <c r="O178" s="562"/>
      <c r="P178" s="561"/>
      <c r="Q178" s="43"/>
      <c r="R178" s="43"/>
      <c r="S178" s="53"/>
      <c r="T178" s="562"/>
      <c r="U178" s="103"/>
      <c r="V178" s="43"/>
      <c r="W178" s="43"/>
      <c r="X178" s="43"/>
      <c r="Y178" s="53"/>
      <c r="Z178" s="53"/>
      <c r="AA178" s="58"/>
      <c r="AB178" s="565"/>
      <c r="AC178" s="103"/>
      <c r="AD178" s="43"/>
      <c r="AE178" s="43"/>
      <c r="AF178" s="43"/>
      <c r="AG178" s="53"/>
      <c r="AH178" s="53"/>
      <c r="AI178" s="58"/>
      <c r="AJ178" s="565"/>
      <c r="AK178" s="103"/>
      <c r="AL178" s="43"/>
      <c r="AM178" s="43"/>
      <c r="AN178" s="43"/>
      <c r="AO178" s="53"/>
      <c r="AP178" s="53"/>
      <c r="AQ178" s="58"/>
      <c r="AR178" s="565"/>
      <c r="AS178" s="18"/>
      <c r="AT178" s="43"/>
      <c r="AU178" s="43"/>
      <c r="AV178" s="43"/>
      <c r="AW178" s="52"/>
      <c r="AX178" s="53"/>
      <c r="AY178" s="57"/>
      <c r="AZ178" s="110"/>
      <c r="BA178" s="110"/>
      <c r="BB178" s="551"/>
      <c r="BC178" s="552"/>
      <c r="BD178" s="104"/>
      <c r="BE178" s="103"/>
      <c r="BF178" s="19"/>
      <c r="BG178" s="19"/>
      <c r="BH178" s="20"/>
      <c r="BI178" s="104"/>
      <c r="BJ178" s="8"/>
    </row>
    <row r="179" spans="1:62">
      <c r="A179" s="519">
        <f>IF('Student DATA Entry'!A175="","",'Student DATA Entry'!A175)</f>
        <v>172</v>
      </c>
      <c r="B179" s="528" t="str">
        <f>IF('Student DATA Entry'!B175="","",'Student DATA Entry'!B175)</f>
        <v/>
      </c>
      <c r="C179" s="125" t="str">
        <f>IF('Student DATA Entry'!D175="","",'Student DATA Entry'!D175)</f>
        <v/>
      </c>
      <c r="D179" s="530" t="str">
        <f>IF('Student DATA Entry'!E175="","",'Student DATA Entry'!E175)</f>
        <v/>
      </c>
      <c r="E179" s="532" t="str">
        <f>IF('Student DATA Entry'!I175="","",'Student DATA Entry'!I175)</f>
        <v/>
      </c>
      <c r="F179" s="126" t="str">
        <f>IF('Student DATA Entry'!F175="","",UPPER('Student DATA Entry'!F175))</f>
        <v/>
      </c>
      <c r="G179" s="126" t="str">
        <f>IF('Student DATA Entry'!G175="","",UPPER('Student DATA Entry'!G175))</f>
        <v/>
      </c>
      <c r="H179" s="126" t="str">
        <f>IF('Student DATA Entry'!H175="","",UPPER('Student DATA Entry'!H175))</f>
        <v/>
      </c>
      <c r="I179" s="526" t="str">
        <f>IF('Student DATA Entry'!K175="","",UPPER('Student DATA Entry'!K175))</f>
        <v/>
      </c>
      <c r="J179" s="560" t="str">
        <f>IF('Student DATA Entry'!J175="","",UPPER('Student DATA Entry'!J175))</f>
        <v/>
      </c>
      <c r="K179" s="561"/>
      <c r="L179" s="43"/>
      <c r="M179" s="43"/>
      <c r="N179" s="53"/>
      <c r="O179" s="562"/>
      <c r="P179" s="561"/>
      <c r="Q179" s="43"/>
      <c r="R179" s="43"/>
      <c r="S179" s="53"/>
      <c r="T179" s="562"/>
      <c r="U179" s="103"/>
      <c r="V179" s="43"/>
      <c r="W179" s="43"/>
      <c r="X179" s="43"/>
      <c r="Y179" s="53"/>
      <c r="Z179" s="53"/>
      <c r="AA179" s="58"/>
      <c r="AB179" s="565"/>
      <c r="AC179" s="103"/>
      <c r="AD179" s="43"/>
      <c r="AE179" s="43"/>
      <c r="AF179" s="43"/>
      <c r="AG179" s="53"/>
      <c r="AH179" s="53"/>
      <c r="AI179" s="58"/>
      <c r="AJ179" s="565"/>
      <c r="AK179" s="103"/>
      <c r="AL179" s="43"/>
      <c r="AM179" s="43"/>
      <c r="AN179" s="43"/>
      <c r="AO179" s="53"/>
      <c r="AP179" s="53"/>
      <c r="AQ179" s="58"/>
      <c r="AR179" s="565"/>
      <c r="AS179" s="18"/>
      <c r="AT179" s="43"/>
      <c r="AU179" s="43"/>
      <c r="AV179" s="43"/>
      <c r="AW179" s="52"/>
      <c r="AX179" s="53"/>
      <c r="AY179" s="57"/>
      <c r="AZ179" s="110"/>
      <c r="BA179" s="110"/>
      <c r="BB179" s="551"/>
      <c r="BC179" s="552"/>
      <c r="BD179" s="104"/>
      <c r="BE179" s="103"/>
      <c r="BF179" s="19"/>
      <c r="BG179" s="19"/>
      <c r="BH179" s="20"/>
      <c r="BI179" s="104"/>
      <c r="BJ179" s="8"/>
    </row>
    <row r="180" spans="1:62">
      <c r="A180" s="519">
        <f>IF('Student DATA Entry'!A176="","",'Student DATA Entry'!A176)</f>
        <v>173</v>
      </c>
      <c r="B180" s="528" t="str">
        <f>IF('Student DATA Entry'!B176="","",'Student DATA Entry'!B176)</f>
        <v/>
      </c>
      <c r="C180" s="125" t="str">
        <f>IF('Student DATA Entry'!D176="","",'Student DATA Entry'!D176)</f>
        <v/>
      </c>
      <c r="D180" s="530" t="str">
        <f>IF('Student DATA Entry'!E176="","",'Student DATA Entry'!E176)</f>
        <v/>
      </c>
      <c r="E180" s="532" t="str">
        <f>IF('Student DATA Entry'!I176="","",'Student DATA Entry'!I176)</f>
        <v/>
      </c>
      <c r="F180" s="126" t="str">
        <f>IF('Student DATA Entry'!F176="","",UPPER('Student DATA Entry'!F176))</f>
        <v/>
      </c>
      <c r="G180" s="126" t="str">
        <f>IF('Student DATA Entry'!G176="","",UPPER('Student DATA Entry'!G176))</f>
        <v/>
      </c>
      <c r="H180" s="126" t="str">
        <f>IF('Student DATA Entry'!H176="","",UPPER('Student DATA Entry'!H176))</f>
        <v/>
      </c>
      <c r="I180" s="526" t="str">
        <f>IF('Student DATA Entry'!K176="","",UPPER('Student DATA Entry'!K176))</f>
        <v/>
      </c>
      <c r="J180" s="560" t="str">
        <f>IF('Student DATA Entry'!J176="","",UPPER('Student DATA Entry'!J176))</f>
        <v/>
      </c>
      <c r="K180" s="561"/>
      <c r="L180" s="43"/>
      <c r="M180" s="43"/>
      <c r="N180" s="53"/>
      <c r="O180" s="562"/>
      <c r="P180" s="561"/>
      <c r="Q180" s="43"/>
      <c r="R180" s="43"/>
      <c r="S180" s="53"/>
      <c r="T180" s="562"/>
      <c r="U180" s="103"/>
      <c r="V180" s="43"/>
      <c r="W180" s="43"/>
      <c r="X180" s="43"/>
      <c r="Y180" s="53"/>
      <c r="Z180" s="53"/>
      <c r="AA180" s="58"/>
      <c r="AB180" s="565"/>
      <c r="AC180" s="103"/>
      <c r="AD180" s="43"/>
      <c r="AE180" s="43"/>
      <c r="AF180" s="43"/>
      <c r="AG180" s="53"/>
      <c r="AH180" s="53"/>
      <c r="AI180" s="58"/>
      <c r="AJ180" s="565"/>
      <c r="AK180" s="103"/>
      <c r="AL180" s="43"/>
      <c r="AM180" s="43"/>
      <c r="AN180" s="43"/>
      <c r="AO180" s="53"/>
      <c r="AP180" s="53"/>
      <c r="AQ180" s="58"/>
      <c r="AR180" s="565"/>
      <c r="AS180" s="18"/>
      <c r="AT180" s="43"/>
      <c r="AU180" s="43"/>
      <c r="AV180" s="43"/>
      <c r="AW180" s="52"/>
      <c r="AX180" s="53"/>
      <c r="AY180" s="57"/>
      <c r="AZ180" s="110"/>
      <c r="BA180" s="110"/>
      <c r="BB180" s="551"/>
      <c r="BC180" s="552"/>
      <c r="BD180" s="104"/>
      <c r="BE180" s="103"/>
      <c r="BF180" s="19"/>
      <c r="BG180" s="19"/>
      <c r="BH180" s="20"/>
      <c r="BI180" s="104"/>
      <c r="BJ180" s="8"/>
    </row>
    <row r="181" spans="1:62">
      <c r="A181" s="519">
        <f>IF('Student DATA Entry'!A177="","",'Student DATA Entry'!A177)</f>
        <v>174</v>
      </c>
      <c r="B181" s="528" t="str">
        <f>IF('Student DATA Entry'!B177="","",'Student DATA Entry'!B177)</f>
        <v/>
      </c>
      <c r="C181" s="125" t="str">
        <f>IF('Student DATA Entry'!D177="","",'Student DATA Entry'!D177)</f>
        <v/>
      </c>
      <c r="D181" s="530" t="str">
        <f>IF('Student DATA Entry'!E177="","",'Student DATA Entry'!E177)</f>
        <v/>
      </c>
      <c r="E181" s="532" t="str">
        <f>IF('Student DATA Entry'!I177="","",'Student DATA Entry'!I177)</f>
        <v/>
      </c>
      <c r="F181" s="126" t="str">
        <f>IF('Student DATA Entry'!F177="","",UPPER('Student DATA Entry'!F177))</f>
        <v/>
      </c>
      <c r="G181" s="126" t="str">
        <f>IF('Student DATA Entry'!G177="","",UPPER('Student DATA Entry'!G177))</f>
        <v/>
      </c>
      <c r="H181" s="126" t="str">
        <f>IF('Student DATA Entry'!H177="","",UPPER('Student DATA Entry'!H177))</f>
        <v/>
      </c>
      <c r="I181" s="526" t="str">
        <f>IF('Student DATA Entry'!K177="","",UPPER('Student DATA Entry'!K177))</f>
        <v/>
      </c>
      <c r="J181" s="560" t="str">
        <f>IF('Student DATA Entry'!J177="","",UPPER('Student DATA Entry'!J177))</f>
        <v/>
      </c>
      <c r="K181" s="561"/>
      <c r="L181" s="43"/>
      <c r="M181" s="43"/>
      <c r="N181" s="53"/>
      <c r="O181" s="562"/>
      <c r="P181" s="561"/>
      <c r="Q181" s="43"/>
      <c r="R181" s="43"/>
      <c r="S181" s="53"/>
      <c r="T181" s="562"/>
      <c r="U181" s="103"/>
      <c r="V181" s="43"/>
      <c r="W181" s="43"/>
      <c r="X181" s="43"/>
      <c r="Y181" s="53"/>
      <c r="Z181" s="53"/>
      <c r="AA181" s="58"/>
      <c r="AB181" s="565"/>
      <c r="AC181" s="103"/>
      <c r="AD181" s="43"/>
      <c r="AE181" s="43"/>
      <c r="AF181" s="43"/>
      <c r="AG181" s="53"/>
      <c r="AH181" s="53"/>
      <c r="AI181" s="58"/>
      <c r="AJ181" s="565"/>
      <c r="AK181" s="103"/>
      <c r="AL181" s="43"/>
      <c r="AM181" s="43"/>
      <c r="AN181" s="43"/>
      <c r="AO181" s="53"/>
      <c r="AP181" s="53"/>
      <c r="AQ181" s="58"/>
      <c r="AR181" s="565"/>
      <c r="AS181" s="18"/>
      <c r="AT181" s="43"/>
      <c r="AU181" s="43"/>
      <c r="AV181" s="43"/>
      <c r="AW181" s="52"/>
      <c r="AX181" s="53"/>
      <c r="AY181" s="57"/>
      <c r="AZ181" s="110"/>
      <c r="BA181" s="110"/>
      <c r="BB181" s="551"/>
      <c r="BC181" s="552"/>
      <c r="BD181" s="104"/>
      <c r="BE181" s="103"/>
      <c r="BF181" s="19"/>
      <c r="BG181" s="19"/>
      <c r="BH181" s="20"/>
      <c r="BI181" s="104"/>
      <c r="BJ181" s="8"/>
    </row>
    <row r="182" spans="1:62">
      <c r="A182" s="519">
        <f>IF('Student DATA Entry'!A178="","",'Student DATA Entry'!A178)</f>
        <v>175</v>
      </c>
      <c r="B182" s="528" t="str">
        <f>IF('Student DATA Entry'!B178="","",'Student DATA Entry'!B178)</f>
        <v/>
      </c>
      <c r="C182" s="125" t="str">
        <f>IF('Student DATA Entry'!D178="","",'Student DATA Entry'!D178)</f>
        <v/>
      </c>
      <c r="D182" s="530" t="str">
        <f>IF('Student DATA Entry'!E178="","",'Student DATA Entry'!E178)</f>
        <v/>
      </c>
      <c r="E182" s="532" t="str">
        <f>IF('Student DATA Entry'!I178="","",'Student DATA Entry'!I178)</f>
        <v/>
      </c>
      <c r="F182" s="126" t="str">
        <f>IF('Student DATA Entry'!F178="","",UPPER('Student DATA Entry'!F178))</f>
        <v/>
      </c>
      <c r="G182" s="126" t="str">
        <f>IF('Student DATA Entry'!G178="","",UPPER('Student DATA Entry'!G178))</f>
        <v/>
      </c>
      <c r="H182" s="126" t="str">
        <f>IF('Student DATA Entry'!H178="","",UPPER('Student DATA Entry'!H178))</f>
        <v/>
      </c>
      <c r="I182" s="526" t="str">
        <f>IF('Student DATA Entry'!K178="","",UPPER('Student DATA Entry'!K178))</f>
        <v/>
      </c>
      <c r="J182" s="560" t="str">
        <f>IF('Student DATA Entry'!J178="","",UPPER('Student DATA Entry'!J178))</f>
        <v/>
      </c>
      <c r="K182" s="561"/>
      <c r="L182" s="43"/>
      <c r="M182" s="43"/>
      <c r="N182" s="53"/>
      <c r="O182" s="562"/>
      <c r="P182" s="561"/>
      <c r="Q182" s="43"/>
      <c r="R182" s="43"/>
      <c r="S182" s="53"/>
      <c r="T182" s="562"/>
      <c r="U182" s="103"/>
      <c r="V182" s="43"/>
      <c r="W182" s="43"/>
      <c r="X182" s="43"/>
      <c r="Y182" s="53"/>
      <c r="Z182" s="53"/>
      <c r="AA182" s="58"/>
      <c r="AB182" s="565"/>
      <c r="AC182" s="103"/>
      <c r="AD182" s="43"/>
      <c r="AE182" s="43"/>
      <c r="AF182" s="43"/>
      <c r="AG182" s="53"/>
      <c r="AH182" s="53"/>
      <c r="AI182" s="58"/>
      <c r="AJ182" s="565"/>
      <c r="AK182" s="103"/>
      <c r="AL182" s="43"/>
      <c r="AM182" s="43"/>
      <c r="AN182" s="43"/>
      <c r="AO182" s="53"/>
      <c r="AP182" s="53"/>
      <c r="AQ182" s="58"/>
      <c r="AR182" s="565"/>
      <c r="AS182" s="18"/>
      <c r="AT182" s="43"/>
      <c r="AU182" s="43"/>
      <c r="AV182" s="43"/>
      <c r="AW182" s="52"/>
      <c r="AX182" s="53"/>
      <c r="AY182" s="57"/>
      <c r="AZ182" s="110"/>
      <c r="BA182" s="110"/>
      <c r="BB182" s="551"/>
      <c r="BC182" s="552"/>
      <c r="BD182" s="104"/>
      <c r="BE182" s="103"/>
      <c r="BF182" s="19"/>
      <c r="BG182" s="19"/>
      <c r="BH182" s="20"/>
      <c r="BI182" s="104"/>
      <c r="BJ182" s="8"/>
    </row>
    <row r="183" spans="1:62">
      <c r="A183" s="519">
        <f>IF('Student DATA Entry'!A179="","",'Student DATA Entry'!A179)</f>
        <v>176</v>
      </c>
      <c r="B183" s="528" t="str">
        <f>IF('Student DATA Entry'!B179="","",'Student DATA Entry'!B179)</f>
        <v/>
      </c>
      <c r="C183" s="125" t="str">
        <f>IF('Student DATA Entry'!D179="","",'Student DATA Entry'!D179)</f>
        <v/>
      </c>
      <c r="D183" s="530" t="str">
        <f>IF('Student DATA Entry'!E179="","",'Student DATA Entry'!E179)</f>
        <v/>
      </c>
      <c r="E183" s="532" t="str">
        <f>IF('Student DATA Entry'!I179="","",'Student DATA Entry'!I179)</f>
        <v/>
      </c>
      <c r="F183" s="126" t="str">
        <f>IF('Student DATA Entry'!F179="","",UPPER('Student DATA Entry'!F179))</f>
        <v/>
      </c>
      <c r="G183" s="126" t="str">
        <f>IF('Student DATA Entry'!G179="","",UPPER('Student DATA Entry'!G179))</f>
        <v/>
      </c>
      <c r="H183" s="126" t="str">
        <f>IF('Student DATA Entry'!H179="","",UPPER('Student DATA Entry'!H179))</f>
        <v/>
      </c>
      <c r="I183" s="526" t="str">
        <f>IF('Student DATA Entry'!K179="","",UPPER('Student DATA Entry'!K179))</f>
        <v/>
      </c>
      <c r="J183" s="560" t="str">
        <f>IF('Student DATA Entry'!J179="","",UPPER('Student DATA Entry'!J179))</f>
        <v/>
      </c>
      <c r="K183" s="561"/>
      <c r="L183" s="43"/>
      <c r="M183" s="43"/>
      <c r="N183" s="53"/>
      <c r="O183" s="562"/>
      <c r="P183" s="561"/>
      <c r="Q183" s="43"/>
      <c r="R183" s="43"/>
      <c r="S183" s="53"/>
      <c r="T183" s="562"/>
      <c r="U183" s="103"/>
      <c r="V183" s="43"/>
      <c r="W183" s="43"/>
      <c r="X183" s="43"/>
      <c r="Y183" s="53"/>
      <c r="Z183" s="53"/>
      <c r="AA183" s="58"/>
      <c r="AB183" s="565"/>
      <c r="AC183" s="103"/>
      <c r="AD183" s="43"/>
      <c r="AE183" s="43"/>
      <c r="AF183" s="43"/>
      <c r="AG183" s="53"/>
      <c r="AH183" s="53"/>
      <c r="AI183" s="58"/>
      <c r="AJ183" s="565"/>
      <c r="AK183" s="103"/>
      <c r="AL183" s="43"/>
      <c r="AM183" s="43"/>
      <c r="AN183" s="43"/>
      <c r="AO183" s="53"/>
      <c r="AP183" s="53"/>
      <c r="AQ183" s="58"/>
      <c r="AR183" s="565"/>
      <c r="AS183" s="18"/>
      <c r="AT183" s="43"/>
      <c r="AU183" s="43"/>
      <c r="AV183" s="43"/>
      <c r="AW183" s="52"/>
      <c r="AX183" s="53"/>
      <c r="AY183" s="57"/>
      <c r="AZ183" s="110"/>
      <c r="BA183" s="110"/>
      <c r="BB183" s="551"/>
      <c r="BC183" s="552"/>
      <c r="BD183" s="104"/>
      <c r="BE183" s="103"/>
      <c r="BF183" s="19"/>
      <c r="BG183" s="19"/>
      <c r="BH183" s="20"/>
      <c r="BI183" s="104"/>
      <c r="BJ183" s="8"/>
    </row>
    <row r="184" spans="1:62">
      <c r="A184" s="519">
        <f>IF('Student DATA Entry'!A180="","",'Student DATA Entry'!A180)</f>
        <v>177</v>
      </c>
      <c r="B184" s="528" t="str">
        <f>IF('Student DATA Entry'!B180="","",'Student DATA Entry'!B180)</f>
        <v/>
      </c>
      <c r="C184" s="125" t="str">
        <f>IF('Student DATA Entry'!D180="","",'Student DATA Entry'!D180)</f>
        <v/>
      </c>
      <c r="D184" s="530" t="str">
        <f>IF('Student DATA Entry'!E180="","",'Student DATA Entry'!E180)</f>
        <v/>
      </c>
      <c r="E184" s="532" t="str">
        <f>IF('Student DATA Entry'!I180="","",'Student DATA Entry'!I180)</f>
        <v/>
      </c>
      <c r="F184" s="126" t="str">
        <f>IF('Student DATA Entry'!F180="","",UPPER('Student DATA Entry'!F180))</f>
        <v/>
      </c>
      <c r="G184" s="126" t="str">
        <f>IF('Student DATA Entry'!G180="","",UPPER('Student DATA Entry'!G180))</f>
        <v/>
      </c>
      <c r="H184" s="126" t="str">
        <f>IF('Student DATA Entry'!H180="","",UPPER('Student DATA Entry'!H180))</f>
        <v/>
      </c>
      <c r="I184" s="526" t="str">
        <f>IF('Student DATA Entry'!K180="","",UPPER('Student DATA Entry'!K180))</f>
        <v/>
      </c>
      <c r="J184" s="560" t="str">
        <f>IF('Student DATA Entry'!J180="","",UPPER('Student DATA Entry'!J180))</f>
        <v/>
      </c>
      <c r="K184" s="561"/>
      <c r="L184" s="43"/>
      <c r="M184" s="43"/>
      <c r="N184" s="53"/>
      <c r="O184" s="562"/>
      <c r="P184" s="561"/>
      <c r="Q184" s="43"/>
      <c r="R184" s="43"/>
      <c r="S184" s="53"/>
      <c r="T184" s="562"/>
      <c r="U184" s="103"/>
      <c r="V184" s="43"/>
      <c r="W184" s="43"/>
      <c r="X184" s="43"/>
      <c r="Y184" s="53"/>
      <c r="Z184" s="53"/>
      <c r="AA184" s="58"/>
      <c r="AB184" s="565"/>
      <c r="AC184" s="103"/>
      <c r="AD184" s="43"/>
      <c r="AE184" s="43"/>
      <c r="AF184" s="43"/>
      <c r="AG184" s="53"/>
      <c r="AH184" s="53"/>
      <c r="AI184" s="58"/>
      <c r="AJ184" s="565"/>
      <c r="AK184" s="103"/>
      <c r="AL184" s="43"/>
      <c r="AM184" s="43"/>
      <c r="AN184" s="43"/>
      <c r="AO184" s="53"/>
      <c r="AP184" s="53"/>
      <c r="AQ184" s="58"/>
      <c r="AR184" s="565"/>
      <c r="AS184" s="18"/>
      <c r="AT184" s="43"/>
      <c r="AU184" s="43"/>
      <c r="AV184" s="43"/>
      <c r="AW184" s="52"/>
      <c r="AX184" s="53"/>
      <c r="AY184" s="57"/>
      <c r="AZ184" s="110"/>
      <c r="BA184" s="110"/>
      <c r="BB184" s="551"/>
      <c r="BC184" s="552"/>
      <c r="BD184" s="104"/>
      <c r="BE184" s="103"/>
      <c r="BF184" s="19"/>
      <c r="BG184" s="19"/>
      <c r="BH184" s="20"/>
      <c r="BI184" s="104"/>
      <c r="BJ184" s="8"/>
    </row>
    <row r="185" spans="1:62">
      <c r="A185" s="519">
        <f>IF('Student DATA Entry'!A181="","",'Student DATA Entry'!A181)</f>
        <v>178</v>
      </c>
      <c r="B185" s="528" t="str">
        <f>IF('Student DATA Entry'!B181="","",'Student DATA Entry'!B181)</f>
        <v/>
      </c>
      <c r="C185" s="125" t="str">
        <f>IF('Student DATA Entry'!D181="","",'Student DATA Entry'!D181)</f>
        <v/>
      </c>
      <c r="D185" s="530" t="str">
        <f>IF('Student DATA Entry'!E181="","",'Student DATA Entry'!E181)</f>
        <v/>
      </c>
      <c r="E185" s="532" t="str">
        <f>IF('Student DATA Entry'!I181="","",'Student DATA Entry'!I181)</f>
        <v/>
      </c>
      <c r="F185" s="126" t="str">
        <f>IF('Student DATA Entry'!F181="","",UPPER('Student DATA Entry'!F181))</f>
        <v/>
      </c>
      <c r="G185" s="126" t="str">
        <f>IF('Student DATA Entry'!G181="","",UPPER('Student DATA Entry'!G181))</f>
        <v/>
      </c>
      <c r="H185" s="126" t="str">
        <f>IF('Student DATA Entry'!H181="","",UPPER('Student DATA Entry'!H181))</f>
        <v/>
      </c>
      <c r="I185" s="526" t="str">
        <f>IF('Student DATA Entry'!K181="","",UPPER('Student DATA Entry'!K181))</f>
        <v/>
      </c>
      <c r="J185" s="560" t="str">
        <f>IF('Student DATA Entry'!J181="","",UPPER('Student DATA Entry'!J181))</f>
        <v/>
      </c>
      <c r="K185" s="561"/>
      <c r="L185" s="43"/>
      <c r="M185" s="43"/>
      <c r="N185" s="53"/>
      <c r="O185" s="562"/>
      <c r="P185" s="561"/>
      <c r="Q185" s="43"/>
      <c r="R185" s="43"/>
      <c r="S185" s="53"/>
      <c r="T185" s="562"/>
      <c r="U185" s="103"/>
      <c r="V185" s="43"/>
      <c r="W185" s="43"/>
      <c r="X185" s="43"/>
      <c r="Y185" s="53"/>
      <c r="Z185" s="53"/>
      <c r="AA185" s="58"/>
      <c r="AB185" s="565"/>
      <c r="AC185" s="103"/>
      <c r="AD185" s="43"/>
      <c r="AE185" s="43"/>
      <c r="AF185" s="43"/>
      <c r="AG185" s="53"/>
      <c r="AH185" s="53"/>
      <c r="AI185" s="58"/>
      <c r="AJ185" s="565"/>
      <c r="AK185" s="103"/>
      <c r="AL185" s="43"/>
      <c r="AM185" s="43"/>
      <c r="AN185" s="43"/>
      <c r="AO185" s="53"/>
      <c r="AP185" s="53"/>
      <c r="AQ185" s="58"/>
      <c r="AR185" s="565"/>
      <c r="AS185" s="18"/>
      <c r="AT185" s="43"/>
      <c r="AU185" s="43"/>
      <c r="AV185" s="43"/>
      <c r="AW185" s="52"/>
      <c r="AX185" s="53"/>
      <c r="AY185" s="57"/>
      <c r="AZ185" s="110"/>
      <c r="BA185" s="110"/>
      <c r="BB185" s="551"/>
      <c r="BC185" s="552"/>
      <c r="BD185" s="104"/>
      <c r="BE185" s="103"/>
      <c r="BF185" s="19"/>
      <c r="BG185" s="19"/>
      <c r="BH185" s="20"/>
      <c r="BI185" s="104"/>
      <c r="BJ185" s="8"/>
    </row>
    <row r="186" spans="1:62">
      <c r="A186" s="519">
        <f>IF('Student DATA Entry'!A182="","",'Student DATA Entry'!A182)</f>
        <v>179</v>
      </c>
      <c r="B186" s="528" t="str">
        <f>IF('Student DATA Entry'!B182="","",'Student DATA Entry'!B182)</f>
        <v/>
      </c>
      <c r="C186" s="125" t="str">
        <f>IF('Student DATA Entry'!D182="","",'Student DATA Entry'!D182)</f>
        <v/>
      </c>
      <c r="D186" s="530" t="str">
        <f>IF('Student DATA Entry'!E182="","",'Student DATA Entry'!E182)</f>
        <v/>
      </c>
      <c r="E186" s="532" t="str">
        <f>IF('Student DATA Entry'!I182="","",'Student DATA Entry'!I182)</f>
        <v/>
      </c>
      <c r="F186" s="126" t="str">
        <f>IF('Student DATA Entry'!F182="","",UPPER('Student DATA Entry'!F182))</f>
        <v/>
      </c>
      <c r="G186" s="126" t="str">
        <f>IF('Student DATA Entry'!G182="","",UPPER('Student DATA Entry'!G182))</f>
        <v/>
      </c>
      <c r="H186" s="126" t="str">
        <f>IF('Student DATA Entry'!H182="","",UPPER('Student DATA Entry'!H182))</f>
        <v/>
      </c>
      <c r="I186" s="526" t="str">
        <f>IF('Student DATA Entry'!K182="","",UPPER('Student DATA Entry'!K182))</f>
        <v/>
      </c>
      <c r="J186" s="560" t="str">
        <f>IF('Student DATA Entry'!J182="","",UPPER('Student DATA Entry'!J182))</f>
        <v/>
      </c>
      <c r="K186" s="561"/>
      <c r="L186" s="43"/>
      <c r="M186" s="43"/>
      <c r="N186" s="53"/>
      <c r="O186" s="562"/>
      <c r="P186" s="561"/>
      <c r="Q186" s="43"/>
      <c r="R186" s="43"/>
      <c r="S186" s="53"/>
      <c r="T186" s="562"/>
      <c r="U186" s="103"/>
      <c r="V186" s="43"/>
      <c r="W186" s="43"/>
      <c r="X186" s="43"/>
      <c r="Y186" s="53"/>
      <c r="Z186" s="53"/>
      <c r="AA186" s="58"/>
      <c r="AB186" s="565"/>
      <c r="AC186" s="103"/>
      <c r="AD186" s="43"/>
      <c r="AE186" s="43"/>
      <c r="AF186" s="43"/>
      <c r="AG186" s="53"/>
      <c r="AH186" s="53"/>
      <c r="AI186" s="58"/>
      <c r="AJ186" s="565"/>
      <c r="AK186" s="103"/>
      <c r="AL186" s="43"/>
      <c r="AM186" s="43"/>
      <c r="AN186" s="43"/>
      <c r="AO186" s="53"/>
      <c r="AP186" s="53"/>
      <c r="AQ186" s="58"/>
      <c r="AR186" s="565"/>
      <c r="AS186" s="18"/>
      <c r="AT186" s="43"/>
      <c r="AU186" s="43"/>
      <c r="AV186" s="43"/>
      <c r="AW186" s="52"/>
      <c r="AX186" s="53"/>
      <c r="AY186" s="57"/>
      <c r="AZ186" s="110"/>
      <c r="BA186" s="110"/>
      <c r="BB186" s="551"/>
      <c r="BC186" s="552"/>
      <c r="BD186" s="104"/>
      <c r="BE186" s="103"/>
      <c r="BF186" s="19"/>
      <c r="BG186" s="19"/>
      <c r="BH186" s="20"/>
      <c r="BI186" s="104"/>
      <c r="BJ186" s="8"/>
    </row>
    <row r="187" spans="1:62">
      <c r="A187" s="519">
        <f>IF('Student DATA Entry'!A183="","",'Student DATA Entry'!A183)</f>
        <v>180</v>
      </c>
      <c r="B187" s="528" t="str">
        <f>IF('Student DATA Entry'!B183="","",'Student DATA Entry'!B183)</f>
        <v/>
      </c>
      <c r="C187" s="125" t="str">
        <f>IF('Student DATA Entry'!D183="","",'Student DATA Entry'!D183)</f>
        <v/>
      </c>
      <c r="D187" s="530" t="str">
        <f>IF('Student DATA Entry'!E183="","",'Student DATA Entry'!E183)</f>
        <v/>
      </c>
      <c r="E187" s="532" t="str">
        <f>IF('Student DATA Entry'!I183="","",'Student DATA Entry'!I183)</f>
        <v/>
      </c>
      <c r="F187" s="126" t="str">
        <f>IF('Student DATA Entry'!F183="","",UPPER('Student DATA Entry'!F183))</f>
        <v/>
      </c>
      <c r="G187" s="126" t="str">
        <f>IF('Student DATA Entry'!G183="","",UPPER('Student DATA Entry'!G183))</f>
        <v/>
      </c>
      <c r="H187" s="126" t="str">
        <f>IF('Student DATA Entry'!H183="","",UPPER('Student DATA Entry'!H183))</f>
        <v/>
      </c>
      <c r="I187" s="526" t="str">
        <f>IF('Student DATA Entry'!K183="","",UPPER('Student DATA Entry'!K183))</f>
        <v/>
      </c>
      <c r="J187" s="560" t="str">
        <f>IF('Student DATA Entry'!J183="","",UPPER('Student DATA Entry'!J183))</f>
        <v/>
      </c>
      <c r="K187" s="561"/>
      <c r="L187" s="43"/>
      <c r="M187" s="43"/>
      <c r="N187" s="53"/>
      <c r="O187" s="562"/>
      <c r="P187" s="561"/>
      <c r="Q187" s="43"/>
      <c r="R187" s="43"/>
      <c r="S187" s="53"/>
      <c r="T187" s="562"/>
      <c r="U187" s="103"/>
      <c r="V187" s="43"/>
      <c r="W187" s="43"/>
      <c r="X187" s="43"/>
      <c r="Y187" s="53"/>
      <c r="Z187" s="53"/>
      <c r="AA187" s="58"/>
      <c r="AB187" s="565"/>
      <c r="AC187" s="103"/>
      <c r="AD187" s="43"/>
      <c r="AE187" s="43"/>
      <c r="AF187" s="43"/>
      <c r="AG187" s="53"/>
      <c r="AH187" s="53"/>
      <c r="AI187" s="58"/>
      <c r="AJ187" s="565"/>
      <c r="AK187" s="103"/>
      <c r="AL187" s="43"/>
      <c r="AM187" s="43"/>
      <c r="AN187" s="43"/>
      <c r="AO187" s="53"/>
      <c r="AP187" s="53"/>
      <c r="AQ187" s="58"/>
      <c r="AR187" s="565"/>
      <c r="AS187" s="18"/>
      <c r="AT187" s="43"/>
      <c r="AU187" s="43"/>
      <c r="AV187" s="43"/>
      <c r="AW187" s="52"/>
      <c r="AX187" s="53"/>
      <c r="AY187" s="57"/>
      <c r="AZ187" s="110"/>
      <c r="BA187" s="110"/>
      <c r="BB187" s="551"/>
      <c r="BC187" s="552"/>
      <c r="BD187" s="104"/>
      <c r="BE187" s="103"/>
      <c r="BF187" s="19"/>
      <c r="BG187" s="19"/>
      <c r="BH187" s="20"/>
      <c r="BI187" s="104"/>
      <c r="BJ187" s="8"/>
    </row>
    <row r="188" spans="1:62">
      <c r="A188" s="519">
        <f>IF('Student DATA Entry'!A184="","",'Student DATA Entry'!A184)</f>
        <v>181</v>
      </c>
      <c r="B188" s="528" t="str">
        <f>IF('Student DATA Entry'!B184="","",'Student DATA Entry'!B184)</f>
        <v/>
      </c>
      <c r="C188" s="125" t="str">
        <f>IF('Student DATA Entry'!D184="","",'Student DATA Entry'!D184)</f>
        <v/>
      </c>
      <c r="D188" s="530" t="str">
        <f>IF('Student DATA Entry'!E184="","",'Student DATA Entry'!E184)</f>
        <v/>
      </c>
      <c r="E188" s="532" t="str">
        <f>IF('Student DATA Entry'!I184="","",'Student DATA Entry'!I184)</f>
        <v/>
      </c>
      <c r="F188" s="126" t="str">
        <f>IF('Student DATA Entry'!F184="","",UPPER('Student DATA Entry'!F184))</f>
        <v/>
      </c>
      <c r="G188" s="126" t="str">
        <f>IF('Student DATA Entry'!G184="","",UPPER('Student DATA Entry'!G184))</f>
        <v/>
      </c>
      <c r="H188" s="126" t="str">
        <f>IF('Student DATA Entry'!H184="","",UPPER('Student DATA Entry'!H184))</f>
        <v/>
      </c>
      <c r="I188" s="526" t="str">
        <f>IF('Student DATA Entry'!K184="","",UPPER('Student DATA Entry'!K184))</f>
        <v/>
      </c>
      <c r="J188" s="560" t="str">
        <f>IF('Student DATA Entry'!J184="","",UPPER('Student DATA Entry'!J184))</f>
        <v/>
      </c>
      <c r="K188" s="561"/>
      <c r="L188" s="43"/>
      <c r="M188" s="43"/>
      <c r="N188" s="53"/>
      <c r="O188" s="562"/>
      <c r="P188" s="561"/>
      <c r="Q188" s="43"/>
      <c r="R188" s="43"/>
      <c r="S188" s="53"/>
      <c r="T188" s="562"/>
      <c r="U188" s="103"/>
      <c r="V188" s="43"/>
      <c r="W188" s="43"/>
      <c r="X188" s="43"/>
      <c r="Y188" s="53"/>
      <c r="Z188" s="53"/>
      <c r="AA188" s="58"/>
      <c r="AB188" s="565"/>
      <c r="AC188" s="103"/>
      <c r="AD188" s="43"/>
      <c r="AE188" s="43"/>
      <c r="AF188" s="43"/>
      <c r="AG188" s="53"/>
      <c r="AH188" s="53"/>
      <c r="AI188" s="58"/>
      <c r="AJ188" s="565"/>
      <c r="AK188" s="103"/>
      <c r="AL188" s="43"/>
      <c r="AM188" s="43"/>
      <c r="AN188" s="43"/>
      <c r="AO188" s="53"/>
      <c r="AP188" s="53"/>
      <c r="AQ188" s="58"/>
      <c r="AR188" s="565"/>
      <c r="AS188" s="18"/>
      <c r="AT188" s="43"/>
      <c r="AU188" s="43"/>
      <c r="AV188" s="43"/>
      <c r="AW188" s="52"/>
      <c r="AX188" s="53"/>
      <c r="AY188" s="57"/>
      <c r="AZ188" s="110"/>
      <c r="BA188" s="110"/>
      <c r="BB188" s="551"/>
      <c r="BC188" s="552"/>
      <c r="BD188" s="104"/>
      <c r="BE188" s="103"/>
      <c r="BF188" s="19"/>
      <c r="BG188" s="19"/>
      <c r="BH188" s="20"/>
      <c r="BI188" s="104"/>
      <c r="BJ188" s="8"/>
    </row>
    <row r="189" spans="1:62">
      <c r="A189" s="519">
        <f>IF('Student DATA Entry'!A185="","",'Student DATA Entry'!A185)</f>
        <v>182</v>
      </c>
      <c r="B189" s="528" t="str">
        <f>IF('Student DATA Entry'!B185="","",'Student DATA Entry'!B185)</f>
        <v/>
      </c>
      <c r="C189" s="125" t="str">
        <f>IF('Student DATA Entry'!D185="","",'Student DATA Entry'!D185)</f>
        <v/>
      </c>
      <c r="D189" s="530" t="str">
        <f>IF('Student DATA Entry'!E185="","",'Student DATA Entry'!E185)</f>
        <v/>
      </c>
      <c r="E189" s="532" t="str">
        <f>IF('Student DATA Entry'!I185="","",'Student DATA Entry'!I185)</f>
        <v/>
      </c>
      <c r="F189" s="126" t="str">
        <f>IF('Student DATA Entry'!F185="","",UPPER('Student DATA Entry'!F185))</f>
        <v/>
      </c>
      <c r="G189" s="126" t="str">
        <f>IF('Student DATA Entry'!G185="","",UPPER('Student DATA Entry'!G185))</f>
        <v/>
      </c>
      <c r="H189" s="126" t="str">
        <f>IF('Student DATA Entry'!H185="","",UPPER('Student DATA Entry'!H185))</f>
        <v/>
      </c>
      <c r="I189" s="526" t="str">
        <f>IF('Student DATA Entry'!K185="","",UPPER('Student DATA Entry'!K185))</f>
        <v/>
      </c>
      <c r="J189" s="560" t="str">
        <f>IF('Student DATA Entry'!J185="","",UPPER('Student DATA Entry'!J185))</f>
        <v/>
      </c>
      <c r="K189" s="561"/>
      <c r="L189" s="43"/>
      <c r="M189" s="43"/>
      <c r="N189" s="53"/>
      <c r="O189" s="562"/>
      <c r="P189" s="561"/>
      <c r="Q189" s="43"/>
      <c r="R189" s="43"/>
      <c r="S189" s="53"/>
      <c r="T189" s="562"/>
      <c r="U189" s="103"/>
      <c r="V189" s="43"/>
      <c r="W189" s="43"/>
      <c r="X189" s="43"/>
      <c r="Y189" s="53"/>
      <c r="Z189" s="53"/>
      <c r="AA189" s="58"/>
      <c r="AB189" s="565"/>
      <c r="AC189" s="103"/>
      <c r="AD189" s="43"/>
      <c r="AE189" s="43"/>
      <c r="AF189" s="43"/>
      <c r="AG189" s="53"/>
      <c r="AH189" s="53"/>
      <c r="AI189" s="58"/>
      <c r="AJ189" s="565"/>
      <c r="AK189" s="103"/>
      <c r="AL189" s="43"/>
      <c r="AM189" s="43"/>
      <c r="AN189" s="43"/>
      <c r="AO189" s="53"/>
      <c r="AP189" s="53"/>
      <c r="AQ189" s="58"/>
      <c r="AR189" s="565"/>
      <c r="AS189" s="18"/>
      <c r="AT189" s="43"/>
      <c r="AU189" s="43"/>
      <c r="AV189" s="43"/>
      <c r="AW189" s="52"/>
      <c r="AX189" s="53"/>
      <c r="AY189" s="57"/>
      <c r="AZ189" s="110"/>
      <c r="BA189" s="110"/>
      <c r="BB189" s="551"/>
      <c r="BC189" s="552"/>
      <c r="BD189" s="104"/>
      <c r="BE189" s="103"/>
      <c r="BF189" s="19"/>
      <c r="BG189" s="19"/>
      <c r="BH189" s="20"/>
      <c r="BI189" s="104"/>
      <c r="BJ189" s="8"/>
    </row>
    <row r="190" spans="1:62">
      <c r="A190" s="519">
        <f>IF('Student DATA Entry'!A186="","",'Student DATA Entry'!A186)</f>
        <v>183</v>
      </c>
      <c r="B190" s="528" t="str">
        <f>IF('Student DATA Entry'!B186="","",'Student DATA Entry'!B186)</f>
        <v/>
      </c>
      <c r="C190" s="125" t="str">
        <f>IF('Student DATA Entry'!D186="","",'Student DATA Entry'!D186)</f>
        <v/>
      </c>
      <c r="D190" s="530" t="str">
        <f>IF('Student DATA Entry'!E186="","",'Student DATA Entry'!E186)</f>
        <v/>
      </c>
      <c r="E190" s="532" t="str">
        <f>IF('Student DATA Entry'!I186="","",'Student DATA Entry'!I186)</f>
        <v/>
      </c>
      <c r="F190" s="126" t="str">
        <f>IF('Student DATA Entry'!F186="","",UPPER('Student DATA Entry'!F186))</f>
        <v/>
      </c>
      <c r="G190" s="126" t="str">
        <f>IF('Student DATA Entry'!G186="","",UPPER('Student DATA Entry'!G186))</f>
        <v/>
      </c>
      <c r="H190" s="126" t="str">
        <f>IF('Student DATA Entry'!H186="","",UPPER('Student DATA Entry'!H186))</f>
        <v/>
      </c>
      <c r="I190" s="526" t="str">
        <f>IF('Student DATA Entry'!K186="","",UPPER('Student DATA Entry'!K186))</f>
        <v/>
      </c>
      <c r="J190" s="560" t="str">
        <f>IF('Student DATA Entry'!J186="","",UPPER('Student DATA Entry'!J186))</f>
        <v/>
      </c>
      <c r="K190" s="561"/>
      <c r="L190" s="43"/>
      <c r="M190" s="43"/>
      <c r="N190" s="53"/>
      <c r="O190" s="562"/>
      <c r="P190" s="561"/>
      <c r="Q190" s="43"/>
      <c r="R190" s="43"/>
      <c r="S190" s="53"/>
      <c r="T190" s="562"/>
      <c r="U190" s="103"/>
      <c r="V190" s="43"/>
      <c r="W190" s="43"/>
      <c r="X190" s="43"/>
      <c r="Y190" s="53"/>
      <c r="Z190" s="53"/>
      <c r="AA190" s="58"/>
      <c r="AB190" s="565"/>
      <c r="AC190" s="103"/>
      <c r="AD190" s="43"/>
      <c r="AE190" s="43"/>
      <c r="AF190" s="43"/>
      <c r="AG190" s="53"/>
      <c r="AH190" s="53"/>
      <c r="AI190" s="58"/>
      <c r="AJ190" s="565"/>
      <c r="AK190" s="103"/>
      <c r="AL190" s="43"/>
      <c r="AM190" s="43"/>
      <c r="AN190" s="43"/>
      <c r="AO190" s="53"/>
      <c r="AP190" s="53"/>
      <c r="AQ190" s="58"/>
      <c r="AR190" s="565"/>
      <c r="AS190" s="18"/>
      <c r="AT190" s="43"/>
      <c r="AU190" s="43"/>
      <c r="AV190" s="43"/>
      <c r="AW190" s="52"/>
      <c r="AX190" s="53"/>
      <c r="AY190" s="57"/>
      <c r="AZ190" s="110"/>
      <c r="BA190" s="110"/>
      <c r="BB190" s="551"/>
      <c r="BC190" s="552"/>
      <c r="BD190" s="104"/>
      <c r="BE190" s="103"/>
      <c r="BF190" s="19"/>
      <c r="BG190" s="19"/>
      <c r="BH190" s="20"/>
      <c r="BI190" s="104"/>
      <c r="BJ190" s="8"/>
    </row>
    <row r="191" spans="1:62">
      <c r="A191" s="519">
        <f>IF('Student DATA Entry'!A187="","",'Student DATA Entry'!A187)</f>
        <v>184</v>
      </c>
      <c r="B191" s="528" t="str">
        <f>IF('Student DATA Entry'!B187="","",'Student DATA Entry'!B187)</f>
        <v/>
      </c>
      <c r="C191" s="125" t="str">
        <f>IF('Student DATA Entry'!D187="","",'Student DATA Entry'!D187)</f>
        <v/>
      </c>
      <c r="D191" s="530" t="str">
        <f>IF('Student DATA Entry'!E187="","",'Student DATA Entry'!E187)</f>
        <v/>
      </c>
      <c r="E191" s="532" t="str">
        <f>IF('Student DATA Entry'!I187="","",'Student DATA Entry'!I187)</f>
        <v/>
      </c>
      <c r="F191" s="126" t="str">
        <f>IF('Student DATA Entry'!F187="","",UPPER('Student DATA Entry'!F187))</f>
        <v/>
      </c>
      <c r="G191" s="126" t="str">
        <f>IF('Student DATA Entry'!G187="","",UPPER('Student DATA Entry'!G187))</f>
        <v/>
      </c>
      <c r="H191" s="126" t="str">
        <f>IF('Student DATA Entry'!H187="","",UPPER('Student DATA Entry'!H187))</f>
        <v/>
      </c>
      <c r="I191" s="526" t="str">
        <f>IF('Student DATA Entry'!K187="","",UPPER('Student DATA Entry'!K187))</f>
        <v/>
      </c>
      <c r="J191" s="560" t="str">
        <f>IF('Student DATA Entry'!J187="","",UPPER('Student DATA Entry'!J187))</f>
        <v/>
      </c>
      <c r="K191" s="561"/>
      <c r="L191" s="43"/>
      <c r="M191" s="43"/>
      <c r="N191" s="53"/>
      <c r="O191" s="562"/>
      <c r="P191" s="561"/>
      <c r="Q191" s="43"/>
      <c r="R191" s="43"/>
      <c r="S191" s="53"/>
      <c r="T191" s="562"/>
      <c r="U191" s="103"/>
      <c r="V191" s="43"/>
      <c r="W191" s="43"/>
      <c r="X191" s="43"/>
      <c r="Y191" s="53"/>
      <c r="Z191" s="53"/>
      <c r="AA191" s="58"/>
      <c r="AB191" s="565"/>
      <c r="AC191" s="103"/>
      <c r="AD191" s="43"/>
      <c r="AE191" s="43"/>
      <c r="AF191" s="43"/>
      <c r="AG191" s="53"/>
      <c r="AH191" s="53"/>
      <c r="AI191" s="58"/>
      <c r="AJ191" s="565"/>
      <c r="AK191" s="103"/>
      <c r="AL191" s="43"/>
      <c r="AM191" s="43"/>
      <c r="AN191" s="43"/>
      <c r="AO191" s="53"/>
      <c r="AP191" s="53"/>
      <c r="AQ191" s="58"/>
      <c r="AR191" s="565"/>
      <c r="AS191" s="18"/>
      <c r="AT191" s="43"/>
      <c r="AU191" s="43"/>
      <c r="AV191" s="43"/>
      <c r="AW191" s="52"/>
      <c r="AX191" s="53"/>
      <c r="AY191" s="57"/>
      <c r="AZ191" s="110"/>
      <c r="BA191" s="110"/>
      <c r="BB191" s="551"/>
      <c r="BC191" s="552"/>
      <c r="BD191" s="104"/>
      <c r="BE191" s="103"/>
      <c r="BF191" s="19"/>
      <c r="BG191" s="19"/>
      <c r="BH191" s="20"/>
      <c r="BI191" s="104"/>
      <c r="BJ191" s="8"/>
    </row>
    <row r="192" spans="1:62">
      <c r="A192" s="519">
        <f>IF('Student DATA Entry'!A188="","",'Student DATA Entry'!A188)</f>
        <v>185</v>
      </c>
      <c r="B192" s="528" t="str">
        <f>IF('Student DATA Entry'!B188="","",'Student DATA Entry'!B188)</f>
        <v/>
      </c>
      <c r="C192" s="125" t="str">
        <f>IF('Student DATA Entry'!D188="","",'Student DATA Entry'!D188)</f>
        <v/>
      </c>
      <c r="D192" s="530" t="str">
        <f>IF('Student DATA Entry'!E188="","",'Student DATA Entry'!E188)</f>
        <v/>
      </c>
      <c r="E192" s="532" t="str">
        <f>IF('Student DATA Entry'!I188="","",'Student DATA Entry'!I188)</f>
        <v/>
      </c>
      <c r="F192" s="126" t="str">
        <f>IF('Student DATA Entry'!F188="","",UPPER('Student DATA Entry'!F188))</f>
        <v/>
      </c>
      <c r="G192" s="126" t="str">
        <f>IF('Student DATA Entry'!G188="","",UPPER('Student DATA Entry'!G188))</f>
        <v/>
      </c>
      <c r="H192" s="126" t="str">
        <f>IF('Student DATA Entry'!H188="","",UPPER('Student DATA Entry'!H188))</f>
        <v/>
      </c>
      <c r="I192" s="526" t="str">
        <f>IF('Student DATA Entry'!K188="","",UPPER('Student DATA Entry'!K188))</f>
        <v/>
      </c>
      <c r="J192" s="560" t="str">
        <f>IF('Student DATA Entry'!J188="","",UPPER('Student DATA Entry'!J188))</f>
        <v/>
      </c>
      <c r="K192" s="561"/>
      <c r="L192" s="43"/>
      <c r="M192" s="43"/>
      <c r="N192" s="53"/>
      <c r="O192" s="562"/>
      <c r="P192" s="561"/>
      <c r="Q192" s="43"/>
      <c r="R192" s="43"/>
      <c r="S192" s="53"/>
      <c r="T192" s="562"/>
      <c r="U192" s="103"/>
      <c r="V192" s="43"/>
      <c r="W192" s="43"/>
      <c r="X192" s="43"/>
      <c r="Y192" s="53"/>
      <c r="Z192" s="53"/>
      <c r="AA192" s="58"/>
      <c r="AB192" s="565"/>
      <c r="AC192" s="103"/>
      <c r="AD192" s="43"/>
      <c r="AE192" s="43"/>
      <c r="AF192" s="43"/>
      <c r="AG192" s="53"/>
      <c r="AH192" s="53"/>
      <c r="AI192" s="58"/>
      <c r="AJ192" s="565"/>
      <c r="AK192" s="103"/>
      <c r="AL192" s="43"/>
      <c r="AM192" s="43"/>
      <c r="AN192" s="43"/>
      <c r="AO192" s="53"/>
      <c r="AP192" s="53"/>
      <c r="AQ192" s="58"/>
      <c r="AR192" s="565"/>
      <c r="AS192" s="18"/>
      <c r="AT192" s="43"/>
      <c r="AU192" s="43"/>
      <c r="AV192" s="43"/>
      <c r="AW192" s="52"/>
      <c r="AX192" s="53"/>
      <c r="AY192" s="57"/>
      <c r="AZ192" s="110"/>
      <c r="BA192" s="110"/>
      <c r="BB192" s="551"/>
      <c r="BC192" s="552"/>
      <c r="BD192" s="104"/>
      <c r="BE192" s="103"/>
      <c r="BF192" s="19"/>
      <c r="BG192" s="19"/>
      <c r="BH192" s="20"/>
      <c r="BI192" s="104"/>
      <c r="BJ192" s="8"/>
    </row>
    <row r="193" spans="1:62">
      <c r="A193" s="519">
        <f>IF('Student DATA Entry'!A189="","",'Student DATA Entry'!A189)</f>
        <v>186</v>
      </c>
      <c r="B193" s="528" t="str">
        <f>IF('Student DATA Entry'!B189="","",'Student DATA Entry'!B189)</f>
        <v/>
      </c>
      <c r="C193" s="125" t="str">
        <f>IF('Student DATA Entry'!D189="","",'Student DATA Entry'!D189)</f>
        <v/>
      </c>
      <c r="D193" s="530" t="str">
        <f>IF('Student DATA Entry'!E189="","",'Student DATA Entry'!E189)</f>
        <v/>
      </c>
      <c r="E193" s="532" t="str">
        <f>IF('Student DATA Entry'!I189="","",'Student DATA Entry'!I189)</f>
        <v/>
      </c>
      <c r="F193" s="126" t="str">
        <f>IF('Student DATA Entry'!F189="","",UPPER('Student DATA Entry'!F189))</f>
        <v/>
      </c>
      <c r="G193" s="126" t="str">
        <f>IF('Student DATA Entry'!G189="","",UPPER('Student DATA Entry'!G189))</f>
        <v/>
      </c>
      <c r="H193" s="126" t="str">
        <f>IF('Student DATA Entry'!H189="","",UPPER('Student DATA Entry'!H189))</f>
        <v/>
      </c>
      <c r="I193" s="526" t="str">
        <f>IF('Student DATA Entry'!K189="","",UPPER('Student DATA Entry'!K189))</f>
        <v/>
      </c>
      <c r="J193" s="560" t="str">
        <f>IF('Student DATA Entry'!J189="","",UPPER('Student DATA Entry'!J189))</f>
        <v/>
      </c>
      <c r="K193" s="561"/>
      <c r="L193" s="43"/>
      <c r="M193" s="43"/>
      <c r="N193" s="53"/>
      <c r="O193" s="562"/>
      <c r="P193" s="561"/>
      <c r="Q193" s="43"/>
      <c r="R193" s="43"/>
      <c r="S193" s="53"/>
      <c r="T193" s="562"/>
      <c r="U193" s="103"/>
      <c r="V193" s="43"/>
      <c r="W193" s="43"/>
      <c r="X193" s="43"/>
      <c r="Y193" s="53"/>
      <c r="Z193" s="53"/>
      <c r="AA193" s="58"/>
      <c r="AB193" s="565"/>
      <c r="AC193" s="103"/>
      <c r="AD193" s="43"/>
      <c r="AE193" s="43"/>
      <c r="AF193" s="43"/>
      <c r="AG193" s="53"/>
      <c r="AH193" s="53"/>
      <c r="AI193" s="58"/>
      <c r="AJ193" s="565"/>
      <c r="AK193" s="103"/>
      <c r="AL193" s="43"/>
      <c r="AM193" s="43"/>
      <c r="AN193" s="43"/>
      <c r="AO193" s="53"/>
      <c r="AP193" s="53"/>
      <c r="AQ193" s="58"/>
      <c r="AR193" s="565"/>
      <c r="AS193" s="18"/>
      <c r="AT193" s="43"/>
      <c r="AU193" s="43"/>
      <c r="AV193" s="43"/>
      <c r="AW193" s="52"/>
      <c r="AX193" s="53"/>
      <c r="AY193" s="57"/>
      <c r="AZ193" s="110"/>
      <c r="BA193" s="110"/>
      <c r="BB193" s="551"/>
      <c r="BC193" s="552"/>
      <c r="BD193" s="104"/>
      <c r="BE193" s="103"/>
      <c r="BF193" s="19"/>
      <c r="BG193" s="19"/>
      <c r="BH193" s="20"/>
      <c r="BI193" s="104"/>
      <c r="BJ193" s="8"/>
    </row>
    <row r="194" spans="1:62">
      <c r="A194" s="519">
        <f>IF('Student DATA Entry'!A190="","",'Student DATA Entry'!A190)</f>
        <v>187</v>
      </c>
      <c r="B194" s="528" t="str">
        <f>IF('Student DATA Entry'!B190="","",'Student DATA Entry'!B190)</f>
        <v/>
      </c>
      <c r="C194" s="125" t="str">
        <f>IF('Student DATA Entry'!D190="","",'Student DATA Entry'!D190)</f>
        <v/>
      </c>
      <c r="D194" s="530" t="str">
        <f>IF('Student DATA Entry'!E190="","",'Student DATA Entry'!E190)</f>
        <v/>
      </c>
      <c r="E194" s="532" t="str">
        <f>IF('Student DATA Entry'!I190="","",'Student DATA Entry'!I190)</f>
        <v/>
      </c>
      <c r="F194" s="126" t="str">
        <f>IF('Student DATA Entry'!F190="","",UPPER('Student DATA Entry'!F190))</f>
        <v/>
      </c>
      <c r="G194" s="126" t="str">
        <f>IF('Student DATA Entry'!G190="","",UPPER('Student DATA Entry'!G190))</f>
        <v/>
      </c>
      <c r="H194" s="126" t="str">
        <f>IF('Student DATA Entry'!H190="","",UPPER('Student DATA Entry'!H190))</f>
        <v/>
      </c>
      <c r="I194" s="526" t="str">
        <f>IF('Student DATA Entry'!K190="","",UPPER('Student DATA Entry'!K190))</f>
        <v/>
      </c>
      <c r="J194" s="560" t="str">
        <f>IF('Student DATA Entry'!J190="","",UPPER('Student DATA Entry'!J190))</f>
        <v/>
      </c>
      <c r="K194" s="561"/>
      <c r="L194" s="43"/>
      <c r="M194" s="43"/>
      <c r="N194" s="53"/>
      <c r="O194" s="562"/>
      <c r="P194" s="561"/>
      <c r="Q194" s="43"/>
      <c r="R194" s="43"/>
      <c r="S194" s="53"/>
      <c r="T194" s="562"/>
      <c r="U194" s="103"/>
      <c r="V194" s="43"/>
      <c r="W194" s="43"/>
      <c r="X194" s="43"/>
      <c r="Y194" s="53"/>
      <c r="Z194" s="53"/>
      <c r="AA194" s="58"/>
      <c r="AB194" s="565"/>
      <c r="AC194" s="103"/>
      <c r="AD194" s="43"/>
      <c r="AE194" s="43"/>
      <c r="AF194" s="43"/>
      <c r="AG194" s="53"/>
      <c r="AH194" s="53"/>
      <c r="AI194" s="58"/>
      <c r="AJ194" s="565"/>
      <c r="AK194" s="103"/>
      <c r="AL194" s="43"/>
      <c r="AM194" s="43"/>
      <c r="AN194" s="43"/>
      <c r="AO194" s="53"/>
      <c r="AP194" s="53"/>
      <c r="AQ194" s="58"/>
      <c r="AR194" s="565"/>
      <c r="AS194" s="18"/>
      <c r="AT194" s="43"/>
      <c r="AU194" s="43"/>
      <c r="AV194" s="43"/>
      <c r="AW194" s="52"/>
      <c r="AX194" s="53"/>
      <c r="AY194" s="57"/>
      <c r="AZ194" s="110"/>
      <c r="BA194" s="110"/>
      <c r="BB194" s="551"/>
      <c r="BC194" s="552"/>
      <c r="BD194" s="104"/>
      <c r="BE194" s="103"/>
      <c r="BF194" s="19"/>
      <c r="BG194" s="19"/>
      <c r="BH194" s="20"/>
      <c r="BI194" s="104"/>
      <c r="BJ194" s="8"/>
    </row>
    <row r="195" spans="1:62">
      <c r="A195" s="519">
        <f>IF('Student DATA Entry'!A191="","",'Student DATA Entry'!A191)</f>
        <v>188</v>
      </c>
      <c r="B195" s="528" t="str">
        <f>IF('Student DATA Entry'!B191="","",'Student DATA Entry'!B191)</f>
        <v/>
      </c>
      <c r="C195" s="125" t="str">
        <f>IF('Student DATA Entry'!D191="","",'Student DATA Entry'!D191)</f>
        <v/>
      </c>
      <c r="D195" s="530" t="str">
        <f>IF('Student DATA Entry'!E191="","",'Student DATA Entry'!E191)</f>
        <v/>
      </c>
      <c r="E195" s="532" t="str">
        <f>IF('Student DATA Entry'!I191="","",'Student DATA Entry'!I191)</f>
        <v/>
      </c>
      <c r="F195" s="126" t="str">
        <f>IF('Student DATA Entry'!F191="","",UPPER('Student DATA Entry'!F191))</f>
        <v/>
      </c>
      <c r="G195" s="126" t="str">
        <f>IF('Student DATA Entry'!G191="","",UPPER('Student DATA Entry'!G191))</f>
        <v/>
      </c>
      <c r="H195" s="126" t="str">
        <f>IF('Student DATA Entry'!H191="","",UPPER('Student DATA Entry'!H191))</f>
        <v/>
      </c>
      <c r="I195" s="526" t="str">
        <f>IF('Student DATA Entry'!K191="","",UPPER('Student DATA Entry'!K191))</f>
        <v/>
      </c>
      <c r="J195" s="560" t="str">
        <f>IF('Student DATA Entry'!J191="","",UPPER('Student DATA Entry'!J191))</f>
        <v/>
      </c>
      <c r="K195" s="561"/>
      <c r="L195" s="43"/>
      <c r="M195" s="43"/>
      <c r="N195" s="53"/>
      <c r="O195" s="562"/>
      <c r="P195" s="561"/>
      <c r="Q195" s="43"/>
      <c r="R195" s="43"/>
      <c r="S195" s="53"/>
      <c r="T195" s="562"/>
      <c r="U195" s="103"/>
      <c r="V195" s="43"/>
      <c r="W195" s="43"/>
      <c r="X195" s="43"/>
      <c r="Y195" s="53"/>
      <c r="Z195" s="53"/>
      <c r="AA195" s="58"/>
      <c r="AB195" s="565"/>
      <c r="AC195" s="103"/>
      <c r="AD195" s="43"/>
      <c r="AE195" s="43"/>
      <c r="AF195" s="43"/>
      <c r="AG195" s="53"/>
      <c r="AH195" s="53"/>
      <c r="AI195" s="58"/>
      <c r="AJ195" s="565"/>
      <c r="AK195" s="103"/>
      <c r="AL195" s="43"/>
      <c r="AM195" s="43"/>
      <c r="AN195" s="43"/>
      <c r="AO195" s="53"/>
      <c r="AP195" s="53"/>
      <c r="AQ195" s="58"/>
      <c r="AR195" s="565"/>
      <c r="AS195" s="18"/>
      <c r="AT195" s="43"/>
      <c r="AU195" s="43"/>
      <c r="AV195" s="43"/>
      <c r="AW195" s="52"/>
      <c r="AX195" s="53"/>
      <c r="AY195" s="57"/>
      <c r="AZ195" s="110"/>
      <c r="BA195" s="110"/>
      <c r="BB195" s="551"/>
      <c r="BC195" s="552"/>
      <c r="BD195" s="104"/>
      <c r="BE195" s="103"/>
      <c r="BF195" s="19"/>
      <c r="BG195" s="19"/>
      <c r="BH195" s="20"/>
      <c r="BI195" s="104"/>
      <c r="BJ195" s="8"/>
    </row>
    <row r="196" spans="1:62">
      <c r="A196" s="519">
        <f>IF('Student DATA Entry'!A192="","",'Student DATA Entry'!A192)</f>
        <v>189</v>
      </c>
      <c r="B196" s="528" t="str">
        <f>IF('Student DATA Entry'!B192="","",'Student DATA Entry'!B192)</f>
        <v/>
      </c>
      <c r="C196" s="125" t="str">
        <f>IF('Student DATA Entry'!D192="","",'Student DATA Entry'!D192)</f>
        <v/>
      </c>
      <c r="D196" s="530" t="str">
        <f>IF('Student DATA Entry'!E192="","",'Student DATA Entry'!E192)</f>
        <v/>
      </c>
      <c r="E196" s="532" t="str">
        <f>IF('Student DATA Entry'!I192="","",'Student DATA Entry'!I192)</f>
        <v/>
      </c>
      <c r="F196" s="126" t="str">
        <f>IF('Student DATA Entry'!F192="","",UPPER('Student DATA Entry'!F192))</f>
        <v/>
      </c>
      <c r="G196" s="126" t="str">
        <f>IF('Student DATA Entry'!G192="","",UPPER('Student DATA Entry'!G192))</f>
        <v/>
      </c>
      <c r="H196" s="126" t="str">
        <f>IF('Student DATA Entry'!H192="","",UPPER('Student DATA Entry'!H192))</f>
        <v/>
      </c>
      <c r="I196" s="526" t="str">
        <f>IF('Student DATA Entry'!K192="","",UPPER('Student DATA Entry'!K192))</f>
        <v/>
      </c>
      <c r="J196" s="560" t="str">
        <f>IF('Student DATA Entry'!J192="","",UPPER('Student DATA Entry'!J192))</f>
        <v/>
      </c>
      <c r="K196" s="561"/>
      <c r="L196" s="43"/>
      <c r="M196" s="43"/>
      <c r="N196" s="53"/>
      <c r="O196" s="562"/>
      <c r="P196" s="561"/>
      <c r="Q196" s="43"/>
      <c r="R196" s="43"/>
      <c r="S196" s="53"/>
      <c r="T196" s="562"/>
      <c r="U196" s="103"/>
      <c r="V196" s="43"/>
      <c r="W196" s="43"/>
      <c r="X196" s="43"/>
      <c r="Y196" s="53"/>
      <c r="Z196" s="53"/>
      <c r="AA196" s="58"/>
      <c r="AB196" s="565"/>
      <c r="AC196" s="103"/>
      <c r="AD196" s="43"/>
      <c r="AE196" s="43"/>
      <c r="AF196" s="43"/>
      <c r="AG196" s="53"/>
      <c r="AH196" s="53"/>
      <c r="AI196" s="58"/>
      <c r="AJ196" s="565"/>
      <c r="AK196" s="103"/>
      <c r="AL196" s="43"/>
      <c r="AM196" s="43"/>
      <c r="AN196" s="43"/>
      <c r="AO196" s="53"/>
      <c r="AP196" s="53"/>
      <c r="AQ196" s="58"/>
      <c r="AR196" s="565"/>
      <c r="AS196" s="18"/>
      <c r="AT196" s="43"/>
      <c r="AU196" s="43"/>
      <c r="AV196" s="43"/>
      <c r="AW196" s="52"/>
      <c r="AX196" s="53"/>
      <c r="AY196" s="57"/>
      <c r="AZ196" s="110"/>
      <c r="BA196" s="110"/>
      <c r="BB196" s="551"/>
      <c r="BC196" s="552"/>
      <c r="BD196" s="104"/>
      <c r="BE196" s="103"/>
      <c r="BF196" s="19"/>
      <c r="BG196" s="19"/>
      <c r="BH196" s="20"/>
      <c r="BI196" s="104"/>
      <c r="BJ196" s="8"/>
    </row>
    <row r="197" spans="1:62">
      <c r="A197" s="519">
        <f>IF('Student DATA Entry'!A193="","",'Student DATA Entry'!A193)</f>
        <v>190</v>
      </c>
      <c r="B197" s="528" t="str">
        <f>IF('Student DATA Entry'!B193="","",'Student DATA Entry'!B193)</f>
        <v/>
      </c>
      <c r="C197" s="125" t="str">
        <f>IF('Student DATA Entry'!D193="","",'Student DATA Entry'!D193)</f>
        <v/>
      </c>
      <c r="D197" s="530" t="str">
        <f>IF('Student DATA Entry'!E193="","",'Student DATA Entry'!E193)</f>
        <v/>
      </c>
      <c r="E197" s="532" t="str">
        <f>IF('Student DATA Entry'!I193="","",'Student DATA Entry'!I193)</f>
        <v/>
      </c>
      <c r="F197" s="126" t="str">
        <f>IF('Student DATA Entry'!F193="","",UPPER('Student DATA Entry'!F193))</f>
        <v/>
      </c>
      <c r="G197" s="126" t="str">
        <f>IF('Student DATA Entry'!G193="","",UPPER('Student DATA Entry'!G193))</f>
        <v/>
      </c>
      <c r="H197" s="126" t="str">
        <f>IF('Student DATA Entry'!H193="","",UPPER('Student DATA Entry'!H193))</f>
        <v/>
      </c>
      <c r="I197" s="526" t="str">
        <f>IF('Student DATA Entry'!K193="","",UPPER('Student DATA Entry'!K193))</f>
        <v/>
      </c>
      <c r="J197" s="560" t="str">
        <f>IF('Student DATA Entry'!J193="","",UPPER('Student DATA Entry'!J193))</f>
        <v/>
      </c>
      <c r="K197" s="561"/>
      <c r="L197" s="43"/>
      <c r="M197" s="43"/>
      <c r="N197" s="53"/>
      <c r="O197" s="562"/>
      <c r="P197" s="561"/>
      <c r="Q197" s="43"/>
      <c r="R197" s="43"/>
      <c r="S197" s="53"/>
      <c r="T197" s="562"/>
      <c r="U197" s="103"/>
      <c r="V197" s="43"/>
      <c r="W197" s="43"/>
      <c r="X197" s="43"/>
      <c r="Y197" s="53"/>
      <c r="Z197" s="53"/>
      <c r="AA197" s="58"/>
      <c r="AB197" s="565"/>
      <c r="AC197" s="103"/>
      <c r="AD197" s="43"/>
      <c r="AE197" s="43"/>
      <c r="AF197" s="43"/>
      <c r="AG197" s="53"/>
      <c r="AH197" s="53"/>
      <c r="AI197" s="58"/>
      <c r="AJ197" s="565"/>
      <c r="AK197" s="103"/>
      <c r="AL197" s="43"/>
      <c r="AM197" s="43"/>
      <c r="AN197" s="43"/>
      <c r="AO197" s="53"/>
      <c r="AP197" s="53"/>
      <c r="AQ197" s="58"/>
      <c r="AR197" s="565"/>
      <c r="AS197" s="18"/>
      <c r="AT197" s="43"/>
      <c r="AU197" s="43"/>
      <c r="AV197" s="43"/>
      <c r="AW197" s="52"/>
      <c r="AX197" s="53"/>
      <c r="AY197" s="57"/>
      <c r="AZ197" s="110"/>
      <c r="BA197" s="110"/>
      <c r="BB197" s="551"/>
      <c r="BC197" s="552"/>
      <c r="BD197" s="104"/>
      <c r="BE197" s="103"/>
      <c r="BF197" s="19"/>
      <c r="BG197" s="19"/>
      <c r="BH197" s="20"/>
      <c r="BI197" s="104"/>
      <c r="BJ197" s="8"/>
    </row>
    <row r="198" spans="1:62">
      <c r="A198" s="519">
        <f>IF('Student DATA Entry'!A194="","",'Student DATA Entry'!A194)</f>
        <v>191</v>
      </c>
      <c r="B198" s="528" t="str">
        <f>IF('Student DATA Entry'!B194="","",'Student DATA Entry'!B194)</f>
        <v/>
      </c>
      <c r="C198" s="125" t="str">
        <f>IF('Student DATA Entry'!D194="","",'Student DATA Entry'!D194)</f>
        <v/>
      </c>
      <c r="D198" s="530" t="str">
        <f>IF('Student DATA Entry'!E194="","",'Student DATA Entry'!E194)</f>
        <v/>
      </c>
      <c r="E198" s="532" t="str">
        <f>IF('Student DATA Entry'!I194="","",'Student DATA Entry'!I194)</f>
        <v/>
      </c>
      <c r="F198" s="126" t="str">
        <f>IF('Student DATA Entry'!F194="","",UPPER('Student DATA Entry'!F194))</f>
        <v/>
      </c>
      <c r="G198" s="126" t="str">
        <f>IF('Student DATA Entry'!G194="","",UPPER('Student DATA Entry'!G194))</f>
        <v/>
      </c>
      <c r="H198" s="126" t="str">
        <f>IF('Student DATA Entry'!H194="","",UPPER('Student DATA Entry'!H194))</f>
        <v/>
      </c>
      <c r="I198" s="526" t="str">
        <f>IF('Student DATA Entry'!K194="","",UPPER('Student DATA Entry'!K194))</f>
        <v/>
      </c>
      <c r="J198" s="560" t="str">
        <f>IF('Student DATA Entry'!J194="","",UPPER('Student DATA Entry'!J194))</f>
        <v/>
      </c>
      <c r="K198" s="561"/>
      <c r="L198" s="43"/>
      <c r="M198" s="43"/>
      <c r="N198" s="53"/>
      <c r="O198" s="562"/>
      <c r="P198" s="561"/>
      <c r="Q198" s="43"/>
      <c r="R198" s="43"/>
      <c r="S198" s="53"/>
      <c r="T198" s="562"/>
      <c r="U198" s="103"/>
      <c r="V198" s="43"/>
      <c r="W198" s="43"/>
      <c r="X198" s="43"/>
      <c r="Y198" s="53"/>
      <c r="Z198" s="53"/>
      <c r="AA198" s="58"/>
      <c r="AB198" s="565"/>
      <c r="AC198" s="103"/>
      <c r="AD198" s="43"/>
      <c r="AE198" s="43"/>
      <c r="AF198" s="43"/>
      <c r="AG198" s="53"/>
      <c r="AH198" s="53"/>
      <c r="AI198" s="58"/>
      <c r="AJ198" s="565"/>
      <c r="AK198" s="103"/>
      <c r="AL198" s="43"/>
      <c r="AM198" s="43"/>
      <c r="AN198" s="43"/>
      <c r="AO198" s="53"/>
      <c r="AP198" s="53"/>
      <c r="AQ198" s="58"/>
      <c r="AR198" s="565"/>
      <c r="AS198" s="18"/>
      <c r="AT198" s="43"/>
      <c r="AU198" s="43"/>
      <c r="AV198" s="43"/>
      <c r="AW198" s="52"/>
      <c r="AX198" s="53"/>
      <c r="AY198" s="57"/>
      <c r="AZ198" s="110"/>
      <c r="BA198" s="110"/>
      <c r="BB198" s="551"/>
      <c r="BC198" s="552"/>
      <c r="BD198" s="104"/>
      <c r="BE198" s="103"/>
      <c r="BF198" s="19"/>
      <c r="BG198" s="19"/>
      <c r="BH198" s="20"/>
      <c r="BI198" s="104"/>
      <c r="BJ198" s="8"/>
    </row>
    <row r="199" spans="1:62">
      <c r="A199" s="519">
        <f>IF('Student DATA Entry'!A195="","",'Student DATA Entry'!A195)</f>
        <v>192</v>
      </c>
      <c r="B199" s="528" t="str">
        <f>IF('Student DATA Entry'!B195="","",'Student DATA Entry'!B195)</f>
        <v/>
      </c>
      <c r="C199" s="125" t="str">
        <f>IF('Student DATA Entry'!D195="","",'Student DATA Entry'!D195)</f>
        <v/>
      </c>
      <c r="D199" s="530" t="str">
        <f>IF('Student DATA Entry'!E195="","",'Student DATA Entry'!E195)</f>
        <v/>
      </c>
      <c r="E199" s="532" t="str">
        <f>IF('Student DATA Entry'!I195="","",'Student DATA Entry'!I195)</f>
        <v/>
      </c>
      <c r="F199" s="126" t="str">
        <f>IF('Student DATA Entry'!F195="","",UPPER('Student DATA Entry'!F195))</f>
        <v/>
      </c>
      <c r="G199" s="126" t="str">
        <f>IF('Student DATA Entry'!G195="","",UPPER('Student DATA Entry'!G195))</f>
        <v/>
      </c>
      <c r="H199" s="126" t="str">
        <f>IF('Student DATA Entry'!H195="","",UPPER('Student DATA Entry'!H195))</f>
        <v/>
      </c>
      <c r="I199" s="526" t="str">
        <f>IF('Student DATA Entry'!K195="","",UPPER('Student DATA Entry'!K195))</f>
        <v/>
      </c>
      <c r="J199" s="560" t="str">
        <f>IF('Student DATA Entry'!J195="","",UPPER('Student DATA Entry'!J195))</f>
        <v/>
      </c>
      <c r="K199" s="561"/>
      <c r="L199" s="43"/>
      <c r="M199" s="43"/>
      <c r="N199" s="53"/>
      <c r="O199" s="562"/>
      <c r="P199" s="561"/>
      <c r="Q199" s="43"/>
      <c r="R199" s="43"/>
      <c r="S199" s="53"/>
      <c r="T199" s="562"/>
      <c r="U199" s="103"/>
      <c r="V199" s="43"/>
      <c r="W199" s="43"/>
      <c r="X199" s="43"/>
      <c r="Y199" s="53"/>
      <c r="Z199" s="53"/>
      <c r="AA199" s="58"/>
      <c r="AB199" s="565"/>
      <c r="AC199" s="103"/>
      <c r="AD199" s="43"/>
      <c r="AE199" s="43"/>
      <c r="AF199" s="43"/>
      <c r="AG199" s="53"/>
      <c r="AH199" s="53"/>
      <c r="AI199" s="58"/>
      <c r="AJ199" s="565"/>
      <c r="AK199" s="103"/>
      <c r="AL199" s="43"/>
      <c r="AM199" s="43"/>
      <c r="AN199" s="43"/>
      <c r="AO199" s="53"/>
      <c r="AP199" s="53"/>
      <c r="AQ199" s="58"/>
      <c r="AR199" s="565"/>
      <c r="AS199" s="18"/>
      <c r="AT199" s="43"/>
      <c r="AU199" s="43"/>
      <c r="AV199" s="43"/>
      <c r="AW199" s="52"/>
      <c r="AX199" s="53"/>
      <c r="AY199" s="57"/>
      <c r="AZ199" s="110"/>
      <c r="BA199" s="110"/>
      <c r="BB199" s="551"/>
      <c r="BC199" s="552"/>
      <c r="BD199" s="104"/>
      <c r="BE199" s="103"/>
      <c r="BF199" s="19"/>
      <c r="BG199" s="19"/>
      <c r="BH199" s="20"/>
      <c r="BI199" s="104"/>
      <c r="BJ199" s="8"/>
    </row>
    <row r="200" spans="1:62">
      <c r="A200" s="519">
        <f>IF('Student DATA Entry'!A196="","",'Student DATA Entry'!A196)</f>
        <v>193</v>
      </c>
      <c r="B200" s="528" t="str">
        <f>IF('Student DATA Entry'!B196="","",'Student DATA Entry'!B196)</f>
        <v/>
      </c>
      <c r="C200" s="125" t="str">
        <f>IF('Student DATA Entry'!D196="","",'Student DATA Entry'!D196)</f>
        <v/>
      </c>
      <c r="D200" s="530" t="str">
        <f>IF('Student DATA Entry'!E196="","",'Student DATA Entry'!E196)</f>
        <v/>
      </c>
      <c r="E200" s="532" t="str">
        <f>IF('Student DATA Entry'!I196="","",'Student DATA Entry'!I196)</f>
        <v/>
      </c>
      <c r="F200" s="126" t="str">
        <f>IF('Student DATA Entry'!F196="","",UPPER('Student DATA Entry'!F196))</f>
        <v/>
      </c>
      <c r="G200" s="126" t="str">
        <f>IF('Student DATA Entry'!G196="","",UPPER('Student DATA Entry'!G196))</f>
        <v/>
      </c>
      <c r="H200" s="126" t="str">
        <f>IF('Student DATA Entry'!H196="","",UPPER('Student DATA Entry'!H196))</f>
        <v/>
      </c>
      <c r="I200" s="526" t="str">
        <f>IF('Student DATA Entry'!K196="","",UPPER('Student DATA Entry'!K196))</f>
        <v/>
      </c>
      <c r="J200" s="560" t="str">
        <f>IF('Student DATA Entry'!J196="","",UPPER('Student DATA Entry'!J196))</f>
        <v/>
      </c>
      <c r="K200" s="561"/>
      <c r="L200" s="43"/>
      <c r="M200" s="43"/>
      <c r="N200" s="53"/>
      <c r="O200" s="562"/>
      <c r="P200" s="561"/>
      <c r="Q200" s="43"/>
      <c r="R200" s="43"/>
      <c r="S200" s="53"/>
      <c r="T200" s="562"/>
      <c r="U200" s="103"/>
      <c r="V200" s="43"/>
      <c r="W200" s="43"/>
      <c r="X200" s="43"/>
      <c r="Y200" s="53"/>
      <c r="Z200" s="53"/>
      <c r="AA200" s="58"/>
      <c r="AB200" s="565"/>
      <c r="AC200" s="103"/>
      <c r="AD200" s="43"/>
      <c r="AE200" s="43"/>
      <c r="AF200" s="43"/>
      <c r="AG200" s="53"/>
      <c r="AH200" s="53"/>
      <c r="AI200" s="58"/>
      <c r="AJ200" s="565"/>
      <c r="AK200" s="103"/>
      <c r="AL200" s="43"/>
      <c r="AM200" s="43"/>
      <c r="AN200" s="43"/>
      <c r="AO200" s="53"/>
      <c r="AP200" s="53"/>
      <c r="AQ200" s="58"/>
      <c r="AR200" s="565"/>
      <c r="AS200" s="18"/>
      <c r="AT200" s="43"/>
      <c r="AU200" s="43"/>
      <c r="AV200" s="43"/>
      <c r="AW200" s="52"/>
      <c r="AX200" s="53"/>
      <c r="AY200" s="57"/>
      <c r="AZ200" s="110"/>
      <c r="BA200" s="110"/>
      <c r="BB200" s="551"/>
      <c r="BC200" s="552"/>
      <c r="BD200" s="104"/>
      <c r="BE200" s="103"/>
      <c r="BF200" s="19"/>
      <c r="BG200" s="19"/>
      <c r="BH200" s="20"/>
      <c r="BI200" s="104"/>
      <c r="BJ200" s="8"/>
    </row>
    <row r="201" spans="1:62">
      <c r="A201" s="519">
        <f>IF('Student DATA Entry'!A197="","",'Student DATA Entry'!A197)</f>
        <v>194</v>
      </c>
      <c r="B201" s="528" t="str">
        <f>IF('Student DATA Entry'!B197="","",'Student DATA Entry'!B197)</f>
        <v/>
      </c>
      <c r="C201" s="125" t="str">
        <f>IF('Student DATA Entry'!D197="","",'Student DATA Entry'!D197)</f>
        <v/>
      </c>
      <c r="D201" s="530" t="str">
        <f>IF('Student DATA Entry'!E197="","",'Student DATA Entry'!E197)</f>
        <v/>
      </c>
      <c r="E201" s="532" t="str">
        <f>IF('Student DATA Entry'!I197="","",'Student DATA Entry'!I197)</f>
        <v/>
      </c>
      <c r="F201" s="126" t="str">
        <f>IF('Student DATA Entry'!F197="","",UPPER('Student DATA Entry'!F197))</f>
        <v/>
      </c>
      <c r="G201" s="126" t="str">
        <f>IF('Student DATA Entry'!G197="","",UPPER('Student DATA Entry'!G197))</f>
        <v/>
      </c>
      <c r="H201" s="126" t="str">
        <f>IF('Student DATA Entry'!H197="","",UPPER('Student DATA Entry'!H197))</f>
        <v/>
      </c>
      <c r="I201" s="526" t="str">
        <f>IF('Student DATA Entry'!K197="","",UPPER('Student DATA Entry'!K197))</f>
        <v/>
      </c>
      <c r="J201" s="560" t="str">
        <f>IF('Student DATA Entry'!J197="","",UPPER('Student DATA Entry'!J197))</f>
        <v/>
      </c>
      <c r="K201" s="561"/>
      <c r="L201" s="43"/>
      <c r="M201" s="43"/>
      <c r="N201" s="53"/>
      <c r="O201" s="562"/>
      <c r="P201" s="561"/>
      <c r="Q201" s="43"/>
      <c r="R201" s="43"/>
      <c r="S201" s="53"/>
      <c r="T201" s="562"/>
      <c r="U201" s="103"/>
      <c r="V201" s="43"/>
      <c r="W201" s="43"/>
      <c r="X201" s="43"/>
      <c r="Y201" s="53"/>
      <c r="Z201" s="53"/>
      <c r="AA201" s="58"/>
      <c r="AB201" s="565"/>
      <c r="AC201" s="103"/>
      <c r="AD201" s="43"/>
      <c r="AE201" s="43"/>
      <c r="AF201" s="43"/>
      <c r="AG201" s="53"/>
      <c r="AH201" s="53"/>
      <c r="AI201" s="58"/>
      <c r="AJ201" s="565"/>
      <c r="AK201" s="103"/>
      <c r="AL201" s="43"/>
      <c r="AM201" s="43"/>
      <c r="AN201" s="43"/>
      <c r="AO201" s="53"/>
      <c r="AP201" s="53"/>
      <c r="AQ201" s="58"/>
      <c r="AR201" s="565"/>
      <c r="AS201" s="18"/>
      <c r="AT201" s="43"/>
      <c r="AU201" s="43"/>
      <c r="AV201" s="43"/>
      <c r="AW201" s="52"/>
      <c r="AX201" s="53"/>
      <c r="AY201" s="57"/>
      <c r="AZ201" s="110"/>
      <c r="BA201" s="110"/>
      <c r="BB201" s="551"/>
      <c r="BC201" s="552"/>
      <c r="BD201" s="104"/>
      <c r="BE201" s="103"/>
      <c r="BF201" s="19"/>
      <c r="BG201" s="19"/>
      <c r="BH201" s="20"/>
      <c r="BI201" s="104"/>
      <c r="BJ201" s="8"/>
    </row>
    <row r="202" spans="1:62">
      <c r="A202" s="519">
        <f>IF('Student DATA Entry'!A198="","",'Student DATA Entry'!A198)</f>
        <v>195</v>
      </c>
      <c r="B202" s="528" t="str">
        <f>IF('Student DATA Entry'!B198="","",'Student DATA Entry'!B198)</f>
        <v/>
      </c>
      <c r="C202" s="125" t="str">
        <f>IF('Student DATA Entry'!D198="","",'Student DATA Entry'!D198)</f>
        <v/>
      </c>
      <c r="D202" s="530" t="str">
        <f>IF('Student DATA Entry'!E198="","",'Student DATA Entry'!E198)</f>
        <v/>
      </c>
      <c r="E202" s="532" t="str">
        <f>IF('Student DATA Entry'!I198="","",'Student DATA Entry'!I198)</f>
        <v/>
      </c>
      <c r="F202" s="126" t="str">
        <f>IF('Student DATA Entry'!F198="","",UPPER('Student DATA Entry'!F198))</f>
        <v/>
      </c>
      <c r="G202" s="126" t="str">
        <f>IF('Student DATA Entry'!G198="","",UPPER('Student DATA Entry'!G198))</f>
        <v/>
      </c>
      <c r="H202" s="126" t="str">
        <f>IF('Student DATA Entry'!H198="","",UPPER('Student DATA Entry'!H198))</f>
        <v/>
      </c>
      <c r="I202" s="526" t="str">
        <f>IF('Student DATA Entry'!K198="","",UPPER('Student DATA Entry'!K198))</f>
        <v/>
      </c>
      <c r="J202" s="560" t="str">
        <f>IF('Student DATA Entry'!J198="","",UPPER('Student DATA Entry'!J198))</f>
        <v/>
      </c>
      <c r="K202" s="561"/>
      <c r="L202" s="43"/>
      <c r="M202" s="43"/>
      <c r="N202" s="53"/>
      <c r="O202" s="562"/>
      <c r="P202" s="561"/>
      <c r="Q202" s="43"/>
      <c r="R202" s="43"/>
      <c r="S202" s="53"/>
      <c r="T202" s="562"/>
      <c r="U202" s="103"/>
      <c r="V202" s="43"/>
      <c r="W202" s="43"/>
      <c r="X202" s="43"/>
      <c r="Y202" s="53"/>
      <c r="Z202" s="53"/>
      <c r="AA202" s="58"/>
      <c r="AB202" s="565"/>
      <c r="AC202" s="103"/>
      <c r="AD202" s="43"/>
      <c r="AE202" s="43"/>
      <c r="AF202" s="43"/>
      <c r="AG202" s="53"/>
      <c r="AH202" s="53"/>
      <c r="AI202" s="58"/>
      <c r="AJ202" s="565"/>
      <c r="AK202" s="103"/>
      <c r="AL202" s="43"/>
      <c r="AM202" s="43"/>
      <c r="AN202" s="43"/>
      <c r="AO202" s="53"/>
      <c r="AP202" s="53"/>
      <c r="AQ202" s="58"/>
      <c r="AR202" s="565"/>
      <c r="AS202" s="18"/>
      <c r="AT202" s="43"/>
      <c r="AU202" s="43"/>
      <c r="AV202" s="43"/>
      <c r="AW202" s="52"/>
      <c r="AX202" s="53"/>
      <c r="AY202" s="57"/>
      <c r="AZ202" s="110"/>
      <c r="BA202" s="110"/>
      <c r="BB202" s="551"/>
      <c r="BC202" s="552"/>
      <c r="BD202" s="104"/>
      <c r="BE202" s="103"/>
      <c r="BF202" s="19"/>
      <c r="BG202" s="19"/>
      <c r="BH202" s="20"/>
      <c r="BI202" s="104"/>
      <c r="BJ202" s="8"/>
    </row>
    <row r="203" spans="1:62">
      <c r="A203" s="519">
        <f>IF('Student DATA Entry'!A199="","",'Student DATA Entry'!A199)</f>
        <v>196</v>
      </c>
      <c r="B203" s="528" t="str">
        <f>IF('Student DATA Entry'!B199="","",'Student DATA Entry'!B199)</f>
        <v/>
      </c>
      <c r="C203" s="125" t="str">
        <f>IF('Student DATA Entry'!D199="","",'Student DATA Entry'!D199)</f>
        <v/>
      </c>
      <c r="D203" s="530" t="str">
        <f>IF('Student DATA Entry'!E199="","",'Student DATA Entry'!E199)</f>
        <v/>
      </c>
      <c r="E203" s="532" t="str">
        <f>IF('Student DATA Entry'!I199="","",'Student DATA Entry'!I199)</f>
        <v/>
      </c>
      <c r="F203" s="126" t="str">
        <f>IF('Student DATA Entry'!F199="","",UPPER('Student DATA Entry'!F199))</f>
        <v/>
      </c>
      <c r="G203" s="126" t="str">
        <f>IF('Student DATA Entry'!G199="","",UPPER('Student DATA Entry'!G199))</f>
        <v/>
      </c>
      <c r="H203" s="126" t="str">
        <f>IF('Student DATA Entry'!H199="","",UPPER('Student DATA Entry'!H199))</f>
        <v/>
      </c>
      <c r="I203" s="526" t="str">
        <f>IF('Student DATA Entry'!K199="","",UPPER('Student DATA Entry'!K199))</f>
        <v/>
      </c>
      <c r="J203" s="560" t="str">
        <f>IF('Student DATA Entry'!J199="","",UPPER('Student DATA Entry'!J199))</f>
        <v/>
      </c>
      <c r="K203" s="561"/>
      <c r="L203" s="43"/>
      <c r="M203" s="43"/>
      <c r="N203" s="53"/>
      <c r="O203" s="562"/>
      <c r="P203" s="561"/>
      <c r="Q203" s="43"/>
      <c r="R203" s="43"/>
      <c r="S203" s="53"/>
      <c r="T203" s="562"/>
      <c r="U203" s="103"/>
      <c r="V203" s="43"/>
      <c r="W203" s="43"/>
      <c r="X203" s="43"/>
      <c r="Y203" s="53"/>
      <c r="Z203" s="53"/>
      <c r="AA203" s="58"/>
      <c r="AB203" s="565"/>
      <c r="AC203" s="103"/>
      <c r="AD203" s="43"/>
      <c r="AE203" s="43"/>
      <c r="AF203" s="43"/>
      <c r="AG203" s="53"/>
      <c r="AH203" s="53"/>
      <c r="AI203" s="58"/>
      <c r="AJ203" s="565"/>
      <c r="AK203" s="103"/>
      <c r="AL203" s="43"/>
      <c r="AM203" s="43"/>
      <c r="AN203" s="43"/>
      <c r="AO203" s="53"/>
      <c r="AP203" s="53"/>
      <c r="AQ203" s="58"/>
      <c r="AR203" s="565"/>
      <c r="AS203" s="18"/>
      <c r="AT203" s="43"/>
      <c r="AU203" s="43"/>
      <c r="AV203" s="43"/>
      <c r="AW203" s="52"/>
      <c r="AX203" s="53"/>
      <c r="AY203" s="57"/>
      <c r="AZ203" s="110"/>
      <c r="BA203" s="110"/>
      <c r="BB203" s="551"/>
      <c r="BC203" s="552"/>
      <c r="BD203" s="104"/>
      <c r="BE203" s="103"/>
      <c r="BF203" s="19"/>
      <c r="BG203" s="19"/>
      <c r="BH203" s="20"/>
      <c r="BI203" s="104"/>
      <c r="BJ203" s="8"/>
    </row>
    <row r="204" spans="1:62">
      <c r="A204" s="519">
        <f>IF('Student DATA Entry'!A200="","",'Student DATA Entry'!A200)</f>
        <v>197</v>
      </c>
      <c r="B204" s="528" t="str">
        <f>IF('Student DATA Entry'!B200="","",'Student DATA Entry'!B200)</f>
        <v/>
      </c>
      <c r="C204" s="125" t="str">
        <f>IF('Student DATA Entry'!D200="","",'Student DATA Entry'!D200)</f>
        <v/>
      </c>
      <c r="D204" s="530" t="str">
        <f>IF('Student DATA Entry'!E200="","",'Student DATA Entry'!E200)</f>
        <v/>
      </c>
      <c r="E204" s="532" t="str">
        <f>IF('Student DATA Entry'!I200="","",'Student DATA Entry'!I200)</f>
        <v/>
      </c>
      <c r="F204" s="126" t="str">
        <f>IF('Student DATA Entry'!F200="","",UPPER('Student DATA Entry'!F200))</f>
        <v/>
      </c>
      <c r="G204" s="126" t="str">
        <f>IF('Student DATA Entry'!G200="","",UPPER('Student DATA Entry'!G200))</f>
        <v/>
      </c>
      <c r="H204" s="126" t="str">
        <f>IF('Student DATA Entry'!H200="","",UPPER('Student DATA Entry'!H200))</f>
        <v/>
      </c>
      <c r="I204" s="526" t="str">
        <f>IF('Student DATA Entry'!K200="","",UPPER('Student DATA Entry'!K200))</f>
        <v/>
      </c>
      <c r="J204" s="560" t="str">
        <f>IF('Student DATA Entry'!J200="","",UPPER('Student DATA Entry'!J200))</f>
        <v/>
      </c>
      <c r="K204" s="561"/>
      <c r="L204" s="43"/>
      <c r="M204" s="43"/>
      <c r="N204" s="53"/>
      <c r="O204" s="562"/>
      <c r="P204" s="561"/>
      <c r="Q204" s="43"/>
      <c r="R204" s="43"/>
      <c r="S204" s="53"/>
      <c r="T204" s="562"/>
      <c r="U204" s="103"/>
      <c r="V204" s="43"/>
      <c r="W204" s="43"/>
      <c r="X204" s="43"/>
      <c r="Y204" s="53"/>
      <c r="Z204" s="53"/>
      <c r="AA204" s="58"/>
      <c r="AB204" s="565"/>
      <c r="AC204" s="103"/>
      <c r="AD204" s="43"/>
      <c r="AE204" s="43"/>
      <c r="AF204" s="43"/>
      <c r="AG204" s="53"/>
      <c r="AH204" s="53"/>
      <c r="AI204" s="58"/>
      <c r="AJ204" s="565"/>
      <c r="AK204" s="103"/>
      <c r="AL204" s="43"/>
      <c r="AM204" s="43"/>
      <c r="AN204" s="43"/>
      <c r="AO204" s="53"/>
      <c r="AP204" s="53"/>
      <c r="AQ204" s="58"/>
      <c r="AR204" s="565"/>
      <c r="AS204" s="18"/>
      <c r="AT204" s="43"/>
      <c r="AU204" s="43"/>
      <c r="AV204" s="43"/>
      <c r="AW204" s="52"/>
      <c r="AX204" s="53"/>
      <c r="AY204" s="57"/>
      <c r="AZ204" s="110"/>
      <c r="BA204" s="110"/>
      <c r="BB204" s="551"/>
      <c r="BC204" s="552"/>
      <c r="BD204" s="104"/>
      <c r="BE204" s="103"/>
      <c r="BF204" s="19"/>
      <c r="BG204" s="19"/>
      <c r="BH204" s="20"/>
      <c r="BI204" s="104"/>
      <c r="BJ204" s="8"/>
    </row>
    <row r="205" spans="1:62">
      <c r="A205" s="519">
        <f>IF('Student DATA Entry'!A201="","",'Student DATA Entry'!A201)</f>
        <v>198</v>
      </c>
      <c r="B205" s="528" t="str">
        <f>IF('Student DATA Entry'!B201="","",'Student DATA Entry'!B201)</f>
        <v/>
      </c>
      <c r="C205" s="125" t="str">
        <f>IF('Student DATA Entry'!D201="","",'Student DATA Entry'!D201)</f>
        <v/>
      </c>
      <c r="D205" s="530" t="str">
        <f>IF('Student DATA Entry'!E201="","",'Student DATA Entry'!E201)</f>
        <v/>
      </c>
      <c r="E205" s="532" t="str">
        <f>IF('Student DATA Entry'!I201="","",'Student DATA Entry'!I201)</f>
        <v/>
      </c>
      <c r="F205" s="126" t="str">
        <f>IF('Student DATA Entry'!F201="","",UPPER('Student DATA Entry'!F201))</f>
        <v/>
      </c>
      <c r="G205" s="126" t="str">
        <f>IF('Student DATA Entry'!G201="","",UPPER('Student DATA Entry'!G201))</f>
        <v/>
      </c>
      <c r="H205" s="126" t="str">
        <f>IF('Student DATA Entry'!H201="","",UPPER('Student DATA Entry'!H201))</f>
        <v/>
      </c>
      <c r="I205" s="526" t="str">
        <f>IF('Student DATA Entry'!K201="","",UPPER('Student DATA Entry'!K201))</f>
        <v/>
      </c>
      <c r="J205" s="560" t="str">
        <f>IF('Student DATA Entry'!J201="","",UPPER('Student DATA Entry'!J201))</f>
        <v/>
      </c>
      <c r="K205" s="561"/>
      <c r="L205" s="43"/>
      <c r="M205" s="43"/>
      <c r="N205" s="53"/>
      <c r="O205" s="562"/>
      <c r="P205" s="561"/>
      <c r="Q205" s="43"/>
      <c r="R205" s="43"/>
      <c r="S205" s="53"/>
      <c r="T205" s="562"/>
      <c r="U205" s="103"/>
      <c r="V205" s="43"/>
      <c r="W205" s="43"/>
      <c r="X205" s="43"/>
      <c r="Y205" s="53"/>
      <c r="Z205" s="53"/>
      <c r="AA205" s="58"/>
      <c r="AB205" s="565"/>
      <c r="AC205" s="103"/>
      <c r="AD205" s="43"/>
      <c r="AE205" s="43"/>
      <c r="AF205" s="43"/>
      <c r="AG205" s="53"/>
      <c r="AH205" s="53"/>
      <c r="AI205" s="58"/>
      <c r="AJ205" s="565"/>
      <c r="AK205" s="103"/>
      <c r="AL205" s="43"/>
      <c r="AM205" s="43"/>
      <c r="AN205" s="43"/>
      <c r="AO205" s="53"/>
      <c r="AP205" s="53"/>
      <c r="AQ205" s="58"/>
      <c r="AR205" s="565"/>
      <c r="AS205" s="18"/>
      <c r="AT205" s="43"/>
      <c r="AU205" s="43"/>
      <c r="AV205" s="43"/>
      <c r="AW205" s="52"/>
      <c r="AX205" s="53"/>
      <c r="AY205" s="57"/>
      <c r="AZ205" s="110"/>
      <c r="BA205" s="110"/>
      <c r="BB205" s="551"/>
      <c r="BC205" s="552"/>
      <c r="BD205" s="104"/>
      <c r="BE205" s="103"/>
      <c r="BF205" s="19"/>
      <c r="BG205" s="19"/>
      <c r="BH205" s="20"/>
      <c r="BI205" s="104"/>
      <c r="BJ205" s="8"/>
    </row>
    <row r="206" spans="1:62">
      <c r="A206" s="519">
        <f>IF('Student DATA Entry'!A202="","",'Student DATA Entry'!A202)</f>
        <v>199</v>
      </c>
      <c r="B206" s="528" t="str">
        <f>IF('Student DATA Entry'!B202="","",'Student DATA Entry'!B202)</f>
        <v/>
      </c>
      <c r="C206" s="125" t="str">
        <f>IF('Student DATA Entry'!D202="","",'Student DATA Entry'!D202)</f>
        <v/>
      </c>
      <c r="D206" s="530" t="str">
        <f>IF('Student DATA Entry'!E202="","",'Student DATA Entry'!E202)</f>
        <v/>
      </c>
      <c r="E206" s="532" t="str">
        <f>IF('Student DATA Entry'!I202="","",'Student DATA Entry'!I202)</f>
        <v/>
      </c>
      <c r="F206" s="126" t="str">
        <f>IF('Student DATA Entry'!F202="","",UPPER('Student DATA Entry'!F202))</f>
        <v/>
      </c>
      <c r="G206" s="126" t="str">
        <f>IF('Student DATA Entry'!G202="","",UPPER('Student DATA Entry'!G202))</f>
        <v/>
      </c>
      <c r="H206" s="126" t="str">
        <f>IF('Student DATA Entry'!H202="","",UPPER('Student DATA Entry'!H202))</f>
        <v/>
      </c>
      <c r="I206" s="526" t="str">
        <f>IF('Student DATA Entry'!K202="","",UPPER('Student DATA Entry'!K202))</f>
        <v/>
      </c>
      <c r="J206" s="560" t="str">
        <f>IF('Student DATA Entry'!J202="","",UPPER('Student DATA Entry'!J202))</f>
        <v/>
      </c>
      <c r="K206" s="561"/>
      <c r="L206" s="43"/>
      <c r="M206" s="43"/>
      <c r="N206" s="53"/>
      <c r="O206" s="562"/>
      <c r="P206" s="561"/>
      <c r="Q206" s="43"/>
      <c r="R206" s="43"/>
      <c r="S206" s="53"/>
      <c r="T206" s="562"/>
      <c r="U206" s="103"/>
      <c r="V206" s="43"/>
      <c r="W206" s="43"/>
      <c r="X206" s="43"/>
      <c r="Y206" s="53"/>
      <c r="Z206" s="53"/>
      <c r="AA206" s="58"/>
      <c r="AB206" s="565"/>
      <c r="AC206" s="103"/>
      <c r="AD206" s="43"/>
      <c r="AE206" s="43"/>
      <c r="AF206" s="43"/>
      <c r="AG206" s="53"/>
      <c r="AH206" s="53"/>
      <c r="AI206" s="58"/>
      <c r="AJ206" s="565"/>
      <c r="AK206" s="103"/>
      <c r="AL206" s="43"/>
      <c r="AM206" s="43"/>
      <c r="AN206" s="43"/>
      <c r="AO206" s="53"/>
      <c r="AP206" s="53"/>
      <c r="AQ206" s="58"/>
      <c r="AR206" s="565"/>
      <c r="AS206" s="18"/>
      <c r="AT206" s="43"/>
      <c r="AU206" s="43"/>
      <c r="AV206" s="43"/>
      <c r="AW206" s="52"/>
      <c r="AX206" s="53"/>
      <c r="AY206" s="57"/>
      <c r="AZ206" s="110"/>
      <c r="BA206" s="110"/>
      <c r="BB206" s="551"/>
      <c r="BC206" s="552"/>
      <c r="BD206" s="104"/>
      <c r="BE206" s="103"/>
      <c r="BF206" s="19"/>
      <c r="BG206" s="19"/>
      <c r="BH206" s="20"/>
      <c r="BI206" s="104"/>
      <c r="BJ206" s="8"/>
    </row>
    <row r="207" spans="1:62" ht="21" thickBot="1">
      <c r="A207" s="520">
        <f>IF('Student DATA Entry'!A203="","",'Student DATA Entry'!A203)</f>
        <v>200</v>
      </c>
      <c r="B207" s="528" t="str">
        <f>IF('Student DATA Entry'!B203="","",'Student DATA Entry'!B203)</f>
        <v/>
      </c>
      <c r="C207" s="125" t="str">
        <f>IF('Student DATA Entry'!D203="","",'Student DATA Entry'!D203)</f>
        <v/>
      </c>
      <c r="D207" s="530" t="str">
        <f>IF('Student DATA Entry'!E203="","",'Student DATA Entry'!E203)</f>
        <v/>
      </c>
      <c r="E207" s="532" t="str">
        <f>IF('Student DATA Entry'!I203="","",'Student DATA Entry'!I203)</f>
        <v/>
      </c>
      <c r="F207" s="126" t="str">
        <f>IF('Student DATA Entry'!F203="","",UPPER('Student DATA Entry'!F203))</f>
        <v/>
      </c>
      <c r="G207" s="126" t="str">
        <f>IF('Student DATA Entry'!G203="","",UPPER('Student DATA Entry'!G203))</f>
        <v/>
      </c>
      <c r="H207" s="126" t="str">
        <f>IF('Student DATA Entry'!H203="","",UPPER('Student DATA Entry'!H203))</f>
        <v/>
      </c>
      <c r="I207" s="526" t="str">
        <f>IF('Student DATA Entry'!K203="","",UPPER('Student DATA Entry'!K203))</f>
        <v/>
      </c>
      <c r="J207" s="560" t="str">
        <f>IF('Student DATA Entry'!J203="","",UPPER('Student DATA Entry'!J203))</f>
        <v/>
      </c>
      <c r="K207" s="105"/>
      <c r="L207" s="48"/>
      <c r="M207" s="48"/>
      <c r="N207" s="54"/>
      <c r="O207" s="107"/>
      <c r="P207" s="105"/>
      <c r="Q207" s="48"/>
      <c r="R207" s="48"/>
      <c r="S207" s="54"/>
      <c r="T207" s="107"/>
      <c r="U207" s="105"/>
      <c r="V207" s="48"/>
      <c r="W207" s="48"/>
      <c r="X207" s="48"/>
      <c r="Y207" s="54"/>
      <c r="Z207" s="54"/>
      <c r="AA207" s="59"/>
      <c r="AB207" s="566"/>
      <c r="AC207" s="105"/>
      <c r="AD207" s="48"/>
      <c r="AE207" s="48"/>
      <c r="AF207" s="48"/>
      <c r="AG207" s="54"/>
      <c r="AH207" s="54"/>
      <c r="AI207" s="59"/>
      <c r="AJ207" s="566"/>
      <c r="AK207" s="105"/>
      <c r="AL207" s="48"/>
      <c r="AM207" s="48"/>
      <c r="AN207" s="48"/>
      <c r="AO207" s="54"/>
      <c r="AP207" s="54"/>
      <c r="AQ207" s="59"/>
      <c r="AR207" s="566"/>
      <c r="AS207" s="47"/>
      <c r="AT207" s="48"/>
      <c r="AU207" s="48"/>
      <c r="AV207" s="48"/>
      <c r="AW207" s="54"/>
      <c r="AX207" s="54"/>
      <c r="AY207" s="59"/>
      <c r="AZ207" s="111"/>
      <c r="BA207" s="111"/>
      <c r="BB207" s="553"/>
      <c r="BC207" s="554"/>
      <c r="BD207" s="107"/>
      <c r="BE207" s="105"/>
      <c r="BF207" s="48"/>
      <c r="BG207" s="48"/>
      <c r="BH207" s="106"/>
      <c r="BI207" s="107"/>
      <c r="BJ207" s="8"/>
    </row>
    <row r="208" spans="1:62" ht="33.75" customHeight="1">
      <c r="A208" s="10"/>
      <c r="B208" s="10"/>
      <c r="C208" s="10"/>
      <c r="D208" s="10"/>
      <c r="E208" s="11"/>
      <c r="F208" s="11"/>
      <c r="G208" s="11"/>
      <c r="H208" s="10"/>
      <c r="I208" s="10"/>
      <c r="J208" s="10"/>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0"/>
    </row>
    <row r="209" spans="1:62" ht="36" customHeight="1">
      <c r="A209" s="10"/>
      <c r="B209" s="10"/>
      <c r="C209" s="10"/>
      <c r="D209" s="10"/>
      <c r="E209" s="11"/>
      <c r="F209" s="11"/>
      <c r="G209" s="11"/>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row>
    <row r="210" spans="1:62" hidden="1"/>
    <row r="211" spans="1:62" hidden="1"/>
    <row r="212" spans="1:62" hidden="1"/>
    <row r="213" spans="1:62" hidden="1"/>
    <row r="214" spans="1:62" hidden="1"/>
    <row r="215" spans="1:62" hidden="1"/>
    <row r="216" spans="1:62" hidden="1"/>
    <row r="217" spans="1:62"/>
    <row r="218" spans="1:62"/>
    <row r="219" spans="1:62">
      <c r="AV219" s="556" t="b">
        <v>1</v>
      </c>
      <c r="AW219" s="548"/>
    </row>
    <row r="220" spans="1:62">
      <c r="AV220" s="556" t="b">
        <v>1</v>
      </c>
      <c r="AW220" s="788">
        <f>IF(AV220=AV219,1,2)</f>
        <v>1</v>
      </c>
    </row>
    <row r="221" spans="1:62"/>
    <row r="222" spans="1:62"/>
    <row r="223" spans="1:62"/>
    <row r="224" spans="1:62" hidden="1"/>
    <row r="225" hidden="1"/>
    <row r="226" hidden="1"/>
    <row r="227" hidden="1"/>
    <row r="228" hidden="1"/>
    <row r="229" hidden="1"/>
    <row r="230" hidden="1"/>
    <row r="231" hidden="1"/>
    <row r="232" hidden="1"/>
    <row r="233" hidden="1"/>
    <row r="234" hidden="1"/>
    <row r="235" hidden="1"/>
    <row r="236" hidden="1"/>
    <row r="237" hidden="1"/>
  </sheetData>
  <sheetProtection password="D1E2" sheet="1" objects="1" scenarios="1" formatColumns="0" formatRows="0"/>
  <protectedRanges>
    <protectedRange password="DC77" sqref="U3 K1:T3 U1:AR2 AS1:BA3 W3:BD3 BB1:BI2" name="Range4"/>
    <protectedRange password="DC77" sqref="K1:T2" name="Range2"/>
    <protectedRange password="DC77" sqref="BE5:BI5 K6:BI207" name="Range1"/>
    <protectedRange password="DC77" sqref="H1:H3" name="Range3"/>
  </protectedRanges>
  <mergeCells count="111">
    <mergeCell ref="BE1:BI1"/>
    <mergeCell ref="BE6:BE7"/>
    <mergeCell ref="BF6:BF7"/>
    <mergeCell ref="BH6:BH7"/>
    <mergeCell ref="BI6:BI7"/>
    <mergeCell ref="BE4:BE5"/>
    <mergeCell ref="BF4:BF5"/>
    <mergeCell ref="BE2:BI2"/>
    <mergeCell ref="BG4:BG5"/>
    <mergeCell ref="BH3:BH5"/>
    <mergeCell ref="BI3:BI5"/>
    <mergeCell ref="BE3:BG3"/>
    <mergeCell ref="BG6:BG7"/>
    <mergeCell ref="AW3:AX3"/>
    <mergeCell ref="AY3:BA3"/>
    <mergeCell ref="AQ4:AR4"/>
    <mergeCell ref="AS4:AS7"/>
    <mergeCell ref="AW4:AX4"/>
    <mergeCell ref="AY4:BA4"/>
    <mergeCell ref="AK4:AK7"/>
    <mergeCell ref="AO4:AP4"/>
    <mergeCell ref="AS1:AX1"/>
    <mergeCell ref="AT4:AV4"/>
    <mergeCell ref="AV6:AV7"/>
    <mergeCell ref="AS2:AV2"/>
    <mergeCell ref="AS3:AV3"/>
    <mergeCell ref="BB1:BD1"/>
    <mergeCell ref="BB2:BD2"/>
    <mergeCell ref="K1:O2"/>
    <mergeCell ref="K3:O3"/>
    <mergeCell ref="P1:T2"/>
    <mergeCell ref="P3:T3"/>
    <mergeCell ref="U1:AB1"/>
    <mergeCell ref="AC1:AJ1"/>
    <mergeCell ref="AG2:AH2"/>
    <mergeCell ref="BB3:BD3"/>
    <mergeCell ref="Y2:Z2"/>
    <mergeCell ref="AA2:AB2"/>
    <mergeCell ref="Y3:Z3"/>
    <mergeCell ref="AA3:AB3"/>
    <mergeCell ref="AI2:AJ2"/>
    <mergeCell ref="AG3:AH3"/>
    <mergeCell ref="AI3:AJ3"/>
    <mergeCell ref="AO2:AP2"/>
    <mergeCell ref="AQ2:AR2"/>
    <mergeCell ref="AO3:AP3"/>
    <mergeCell ref="AQ3:AR3"/>
    <mergeCell ref="AK1:AR1"/>
    <mergeCell ref="AW2:AX2"/>
    <mergeCell ref="AY2:BA2"/>
    <mergeCell ref="BD6:BD7"/>
    <mergeCell ref="I3:I7"/>
    <mergeCell ref="BB6:BB7"/>
    <mergeCell ref="AE6:AE7"/>
    <mergeCell ref="AL6:AL7"/>
    <mergeCell ref="AM6:AM7"/>
    <mergeCell ref="J3:J7"/>
    <mergeCell ref="BD4:BD5"/>
    <mergeCell ref="K6:K7"/>
    <mergeCell ref="L6:L7"/>
    <mergeCell ref="N6:N7"/>
    <mergeCell ref="W6:W7"/>
    <mergeCell ref="AD6:AD7"/>
    <mergeCell ref="O6:O7"/>
    <mergeCell ref="BC6:BC7"/>
    <mergeCell ref="AC4:AC7"/>
    <mergeCell ref="AG4:AH4"/>
    <mergeCell ref="AI4:AJ4"/>
    <mergeCell ref="U4:U7"/>
    <mergeCell ref="BB4:BB5"/>
    <mergeCell ref="BC4:BC5"/>
    <mergeCell ref="AA4:AB4"/>
    <mergeCell ref="AT6:AT7"/>
    <mergeCell ref="AU6:AU7"/>
    <mergeCell ref="T6:T7"/>
    <mergeCell ref="Y4:Z4"/>
    <mergeCell ref="V6:V7"/>
    <mergeCell ref="C4:C7"/>
    <mergeCell ref="K4:M4"/>
    <mergeCell ref="M6:M7"/>
    <mergeCell ref="N4:N5"/>
    <mergeCell ref="O4:O5"/>
    <mergeCell ref="T4:T5"/>
    <mergeCell ref="A1:F3"/>
    <mergeCell ref="I1:J2"/>
    <mergeCell ref="F6:F7"/>
    <mergeCell ref="G6:G7"/>
    <mergeCell ref="H6:H7"/>
    <mergeCell ref="F4:H4"/>
    <mergeCell ref="P4:R4"/>
    <mergeCell ref="S4:S5"/>
    <mergeCell ref="R6:R7"/>
    <mergeCell ref="A4:A7"/>
    <mergeCell ref="B4:B7"/>
    <mergeCell ref="D4:D7"/>
    <mergeCell ref="E4:E7"/>
    <mergeCell ref="P6:P7"/>
    <mergeCell ref="Q6:Q7"/>
    <mergeCell ref="S6:S7"/>
    <mergeCell ref="U2:X2"/>
    <mergeCell ref="U3:X3"/>
    <mergeCell ref="V4:X4"/>
    <mergeCell ref="X6:X7"/>
    <mergeCell ref="AD4:AF4"/>
    <mergeCell ref="AF6:AF7"/>
    <mergeCell ref="AC2:AF2"/>
    <mergeCell ref="AC3:AF3"/>
    <mergeCell ref="AL4:AN4"/>
    <mergeCell ref="AN6:AN7"/>
    <mergeCell ref="AK2:AN2"/>
    <mergeCell ref="AK3:AN3"/>
  </mergeCells>
  <conditionalFormatting sqref="BJ6:BJ7">
    <cfRule type="cellIs" dxfId="201" priority="371" operator="equal">
      <formula>0</formula>
    </cfRule>
  </conditionalFormatting>
  <conditionalFormatting sqref="AS8:BA207">
    <cfRule type="expression" dxfId="200" priority="1" stopIfTrue="1">
      <formula>$BA$1=2</formula>
    </cfRule>
  </conditionalFormatting>
  <dataValidations count="10">
    <dataValidation type="custom" operator="lessThanOrEqual" allowBlank="1" showInputMessage="1" showErrorMessage="1" errorTitle="maximum limit crossed" error="Invalid entry" sqref="AL8:AN8 AY8:AZ207 AG8:AG207 AI8:AI207 AQ8:AQ207 AO8:AO207 AA8:AA207 AD8:AF8 Y8:Y207 AW8:AW207 BB8:BC19">
      <formula1>OR(Y8&lt;=Y$7,Y8="ML",Y8="NA",Y8="ab")</formula1>
    </dataValidation>
    <dataValidation type="custom" operator="lessThanOrEqual" allowBlank="1" showInputMessage="1" showErrorMessage="1" errorTitle="maximum limit crossed" error="Invalid entry" sqref="AL9:AN207 BB20:BC207 AD9:AF207 AJ8:AJ207 AT8:AV207 AR8:AR207 BD8:BI207 AB8:AB207 K8:T207 Z8:Z207 AH8:AH207 AP8:AP207 AX8:AX207 BA8:BA207 V8:X207">
      <formula1>OR(K8&lt;=K$6,K8="ML",K8="NA",K8="ab")</formula1>
    </dataValidation>
    <dataValidation type="list" operator="lessThanOrEqual" allowBlank="1" showInputMessage="1" showErrorMessage="1" errorTitle="maximum limit crossed" error="Invalid entry" sqref="AS8:AS207">
      <formula1>"A, B, C"</formula1>
    </dataValidation>
    <dataValidation type="list" allowBlank="1" showInputMessage="1" showErrorMessage="1" errorTitle="subject code" error="Please refer to training mannual for entering subject code" sqref="AK8:AK207 AC8:AC207 U8:U207">
      <formula1>"A, B, C"</formula1>
    </dataValidation>
    <dataValidation type="list" allowBlank="1" showInputMessage="1" showErrorMessage="1" errorTitle="optional" error="You may copy from DA7 TO DA44  and paste here." sqref="U2 AG2:AJ2 AS2 AW2:BA2 Y2:Z2 AC2">
      <formula1>Subject</formula1>
    </dataValidation>
    <dataValidation type="textLength" errorStyle="warning" operator="lessThanOrEqual" showInputMessage="1" showErrorMessage="1" errorTitle="long name" error="Please decrease the font size of this cell if name does not fit into the column." sqref="H1">
      <formula1>20</formula1>
    </dataValidation>
    <dataValidation type="list" allowBlank="1" showInputMessage="1" showErrorMessage="1" sqref="H3">
      <formula1>"Arts, Commerce, Science, Agriculture"</formula1>
    </dataValidation>
    <dataValidation type="list" allowBlank="1" showInputMessage="1" errorTitle="optional" error="You may copy from DA7 TO DA44  and paste here." sqref="AO2:AR2">
      <formula1>sub</formula1>
    </dataValidation>
    <dataValidation type="list" allowBlank="1" showInputMessage="1" errorTitle="optional" error="You may copy from DA7 TO DA44  and paste here." sqref="AK2:AN2 AA2:AB2">
      <formula1>Subject</formula1>
    </dataValidation>
    <dataValidation type="list" allowBlank="1" showInputMessage="1" showErrorMessage="1" sqref="H2">
      <formula1>"11"</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5"/>
  <dimension ref="A1:JB252"/>
  <sheetViews>
    <sheetView showGridLines="0" workbookViewId="0">
      <selection activeCell="H1" sqref="H1"/>
    </sheetView>
  </sheetViews>
  <sheetFormatPr defaultColWidth="0" defaultRowHeight="18.75" zeroHeight="1"/>
  <cols>
    <col min="1" max="1" width="4.25" style="129" customWidth="1"/>
    <col min="2" max="3" width="5.875" style="130" customWidth="1"/>
    <col min="4" max="4" width="11.375" style="131" customWidth="1"/>
    <col min="5" max="5" width="18" style="132" customWidth="1"/>
    <col min="6" max="6" width="18.875" style="132" customWidth="1"/>
    <col min="7" max="7" width="16.875" style="132" customWidth="1"/>
    <col min="8" max="8" width="6.125" style="133" customWidth="1"/>
    <col min="9" max="9" width="4.625" style="133" customWidth="1"/>
    <col min="10" max="12" width="4.625" style="134" customWidth="1"/>
    <col min="13" max="17" width="4.625" style="135" customWidth="1"/>
    <col min="18" max="23" width="4.625" style="136" hidden="1" customWidth="1"/>
    <col min="24" max="26" width="4.625" style="134" customWidth="1"/>
    <col min="27" max="31" width="4.625" style="135" customWidth="1"/>
    <col min="32" max="37" width="4.625" style="136" hidden="1" customWidth="1"/>
    <col min="38" max="38" width="4.625" style="136" customWidth="1"/>
    <col min="39" max="41" width="4.625" style="134" customWidth="1"/>
    <col min="42" max="42" width="4.625" style="135" customWidth="1"/>
    <col min="43" max="44" width="4.625" style="134" customWidth="1"/>
    <col min="45" max="46" width="4.625" style="135" customWidth="1"/>
    <col min="47" max="48" width="4.625" style="137" customWidth="1"/>
    <col min="49" max="52" width="4.625" style="135" customWidth="1"/>
    <col min="53" max="54" width="4.625" style="136" hidden="1" customWidth="1"/>
    <col min="55" max="58" width="4.625" style="137" hidden="1" customWidth="1"/>
    <col min="59" max="60" width="4.625" style="136" hidden="1" customWidth="1"/>
    <col min="61" max="61" width="4.625" style="136" customWidth="1"/>
    <col min="62" max="64" width="4.625" style="134" customWidth="1"/>
    <col min="65" max="65" width="4.625" style="135" customWidth="1"/>
    <col min="66" max="67" width="4.625" style="134" customWidth="1"/>
    <col min="68" max="69" width="4.625" style="135" customWidth="1"/>
    <col min="70" max="71" width="4.625" style="134" customWidth="1"/>
    <col min="72" max="75" width="4.625" style="135" customWidth="1"/>
    <col min="76" max="77" width="4.625" style="136" hidden="1" customWidth="1"/>
    <col min="78" max="81" width="4.625" style="137" hidden="1" customWidth="1"/>
    <col min="82" max="83" width="4.625" style="136" hidden="1" customWidth="1"/>
    <col min="84" max="84" width="4.625" style="136" customWidth="1"/>
    <col min="85" max="87" width="4.625" style="134" customWidth="1"/>
    <col min="88" max="88" width="5.125" style="135" customWidth="1"/>
    <col min="89" max="89" width="4.625" style="134" customWidth="1"/>
    <col min="90" max="90" width="4.625" style="137" customWidth="1"/>
    <col min="91" max="91" width="4.625" style="135" customWidth="1"/>
    <col min="92" max="92" width="4.625" style="137" customWidth="1"/>
    <col min="93" max="93" width="4.625" style="135" customWidth="1"/>
    <col min="94" max="94" width="4.625" style="137" customWidth="1"/>
    <col min="95" max="98" width="4.625" style="135" customWidth="1"/>
    <col min="99" max="100" width="4.625" style="136" hidden="1" customWidth="1"/>
    <col min="101" max="104" width="4.625" style="137" hidden="1" customWidth="1"/>
    <col min="105" max="107" width="4.625" style="136" hidden="1" customWidth="1"/>
    <col min="108" max="124" width="4.625" style="136" customWidth="1"/>
    <col min="125" max="132" width="4.625" style="136" hidden="1" customWidth="1"/>
    <col min="133" max="135" width="4.625" style="137" customWidth="1"/>
    <col min="136" max="136" width="4.625" style="135" customWidth="1"/>
    <col min="137" max="153" width="3.625" style="136" hidden="1" customWidth="1"/>
    <col min="154" max="154" width="12" style="136" hidden="1" customWidth="1"/>
    <col min="155" max="160" width="4.75" style="136" customWidth="1"/>
    <col min="161" max="161" width="6" style="136" customWidth="1"/>
    <col min="162" max="162" width="5.125" style="136" customWidth="1"/>
    <col min="163" max="163" width="7.375" style="136" customWidth="1"/>
    <col min="164" max="164" width="7.625" style="136" customWidth="1"/>
    <col min="165" max="165" width="7.5" style="136" customWidth="1"/>
    <col min="166" max="168" width="3.375" style="138" customWidth="1"/>
    <col min="169" max="171" width="3.375" style="129" customWidth="1"/>
    <col min="172" max="172" width="3.375" style="129" hidden="1" customWidth="1"/>
    <col min="173" max="175" width="3.375" style="129" customWidth="1"/>
    <col min="176" max="176" width="3.375" style="129" hidden="1" customWidth="1"/>
    <col min="177" max="178" width="3.375" style="129" customWidth="1"/>
    <col min="179" max="179" width="3.375" style="129" hidden="1" customWidth="1"/>
    <col min="180" max="182" width="3.375" style="129" customWidth="1"/>
    <col min="183" max="183" width="3.375" style="129" hidden="1" customWidth="1"/>
    <col min="184" max="185" width="3.375" style="129" customWidth="1"/>
    <col min="186" max="186" width="3.375" style="129" hidden="1" customWidth="1"/>
    <col min="187" max="189" width="3.375" style="129" customWidth="1"/>
    <col min="190" max="190" width="3.375" style="129" hidden="1" customWidth="1"/>
    <col min="191" max="192" width="3.375" style="129" customWidth="1"/>
    <col min="193" max="193" width="3.375" style="129" hidden="1" customWidth="1"/>
    <col min="194" max="196" width="3.375" style="129" customWidth="1"/>
    <col min="197" max="197" width="3.375" style="129" hidden="1" customWidth="1"/>
    <col min="198" max="199" width="3.375" style="129" customWidth="1"/>
    <col min="200" max="201" width="4.75" style="129" customWidth="1"/>
    <col min="202" max="202" width="17.75" style="129" customWidth="1"/>
    <col min="203" max="203" width="18" style="129" customWidth="1"/>
    <col min="204" max="204" width="16.625" style="129" customWidth="1"/>
    <col min="205" max="205" width="15.5" style="129" customWidth="1"/>
    <col min="206" max="206" width="41.25" style="129" customWidth="1"/>
    <col min="207" max="207" width="13.375" style="129" customWidth="1"/>
    <col min="208" max="208" width="7.875" style="607" customWidth="1"/>
    <col min="209" max="209" width="7.125" style="129" customWidth="1"/>
    <col min="210" max="210" width="5.5" style="129" customWidth="1"/>
    <col min="211" max="211" width="9.5" style="129" customWidth="1"/>
    <col min="212" max="212" width="7.75" style="129" customWidth="1"/>
    <col min="213" max="213" width="9.75" style="129" customWidth="1"/>
    <col min="214" max="214" width="7.125" style="612" customWidth="1"/>
    <col min="215" max="215" width="8.125" style="129" customWidth="1"/>
    <col min="216" max="216" width="12.25" style="129" customWidth="1"/>
    <col min="217" max="217" width="11.75" style="129" customWidth="1"/>
    <col min="218" max="218" width="9.125" style="129" customWidth="1"/>
    <col min="219" max="16384" width="9.125" style="129" hidden="1"/>
  </cols>
  <sheetData>
    <row r="1" spans="1:262" ht="36" customHeight="1"/>
    <row r="2" spans="1:262" s="141" customFormat="1" ht="27.75" customHeight="1">
      <c r="A2" s="1210" t="str">
        <f>IF('Master Sheet'!D11="Hindi",CONCATENATE("विद्यालय का नाम :-","  ",'Master Sheet'!D8),CONCATENATE("School Name :-","  ",'Master Sheet'!D7))</f>
        <v xml:space="preserve">विद्यालय का नाम :-  महात्मा गाँधी राजकीय विद्यालय (अंग्रेजी माध्यम) बर, पाली </v>
      </c>
      <c r="B2" s="1210"/>
      <c r="C2" s="1210"/>
      <c r="D2" s="1210"/>
      <c r="E2" s="1210"/>
      <c r="F2" s="1211"/>
      <c r="G2" s="1211"/>
      <c r="H2" s="1211"/>
      <c r="I2" s="1211"/>
      <c r="J2" s="1211"/>
      <c r="K2" s="1211"/>
      <c r="L2" s="1211"/>
      <c r="M2" s="1211"/>
      <c r="N2" s="1211"/>
      <c r="O2" s="1211"/>
      <c r="P2" s="1211"/>
      <c r="Q2" s="1211"/>
      <c r="R2" s="1211"/>
      <c r="S2" s="1211"/>
      <c r="T2" s="1211"/>
      <c r="U2" s="1211"/>
      <c r="V2" s="1211"/>
      <c r="W2" s="1211"/>
      <c r="X2" s="1212" t="str">
        <f>IF('Master Sheet'!$D$11="Hindi","परीक्षाफल पत्रक ","Exam Result Sheet")</f>
        <v xml:space="preserve">परीक्षाफल पत्रक </v>
      </c>
      <c r="Y2" s="1212"/>
      <c r="Z2" s="1212"/>
      <c r="AA2" s="1212"/>
      <c r="AB2" s="1212"/>
      <c r="AC2" s="1212"/>
      <c r="AD2" s="1212"/>
      <c r="AE2" s="1212"/>
      <c r="AF2" s="1212"/>
      <c r="AG2" s="1212"/>
      <c r="AH2" s="1212"/>
      <c r="AI2" s="1212"/>
      <c r="AJ2" s="1212"/>
      <c r="AK2" s="1212"/>
      <c r="AL2" s="1213" t="str">
        <f>'Marks Entry'!U1</f>
        <v>Optional Subject - 01</v>
      </c>
      <c r="AM2" s="1213"/>
      <c r="AN2" s="1213"/>
      <c r="AO2" s="1213"/>
      <c r="AP2" s="1213"/>
      <c r="AQ2" s="1213"/>
      <c r="AR2" s="1213"/>
      <c r="AS2" s="1213"/>
      <c r="AT2" s="1213"/>
      <c r="AU2" s="1213"/>
      <c r="AV2" s="1213"/>
      <c r="AW2" s="1213"/>
      <c r="AX2" s="1213"/>
      <c r="AY2" s="1213"/>
      <c r="AZ2" s="1213"/>
      <c r="BA2" s="1213"/>
      <c r="BB2" s="1213"/>
      <c r="BC2" s="1213"/>
      <c r="BD2" s="1213"/>
      <c r="BE2" s="1213"/>
      <c r="BF2" s="1213"/>
      <c r="BG2" s="1213"/>
      <c r="BH2" s="1213"/>
      <c r="BI2" s="1213" t="str">
        <f>'Marks Entry'!AC1</f>
        <v>Optional Subject - 02</v>
      </c>
      <c r="BJ2" s="1213"/>
      <c r="BK2" s="1213"/>
      <c r="BL2" s="1213"/>
      <c r="BM2" s="1213"/>
      <c r="BN2" s="1213"/>
      <c r="BO2" s="1213"/>
      <c r="BP2" s="1213"/>
      <c r="BQ2" s="1213"/>
      <c r="BR2" s="1213"/>
      <c r="BS2" s="1213"/>
      <c r="BT2" s="1213"/>
      <c r="BU2" s="1213"/>
      <c r="BV2" s="1213"/>
      <c r="BW2" s="1213"/>
      <c r="BX2" s="1213"/>
      <c r="BY2" s="1213"/>
      <c r="BZ2" s="1213"/>
      <c r="CA2" s="1213"/>
      <c r="CB2" s="1213"/>
      <c r="CC2" s="1213"/>
      <c r="CD2" s="1213"/>
      <c r="CE2" s="1213"/>
      <c r="CF2" s="1213" t="str">
        <f>'Marks Entry'!AK1</f>
        <v>Optional Subject - 03</v>
      </c>
      <c r="CG2" s="1213"/>
      <c r="CH2" s="1213"/>
      <c r="CI2" s="1213"/>
      <c r="CJ2" s="1213"/>
      <c r="CK2" s="1213"/>
      <c r="CL2" s="1213"/>
      <c r="CM2" s="1213"/>
      <c r="CN2" s="1213"/>
      <c r="CO2" s="1213"/>
      <c r="CP2" s="1213"/>
      <c r="CQ2" s="1213"/>
      <c r="CR2" s="1213"/>
      <c r="CS2" s="1213"/>
      <c r="CT2" s="1213"/>
      <c r="CU2" s="1213"/>
      <c r="CV2" s="1213"/>
      <c r="CW2" s="1213"/>
      <c r="CX2" s="1213"/>
      <c r="CY2" s="1213"/>
      <c r="CZ2" s="1213"/>
      <c r="DA2" s="1213"/>
      <c r="DB2" s="1213"/>
      <c r="DC2" s="139"/>
      <c r="DD2" s="1213" t="str">
        <f>'Marks Entry'!AS1</f>
        <v>Additional Sub. / Vocational  Subject</v>
      </c>
      <c r="DE2" s="1213"/>
      <c r="DF2" s="1213"/>
      <c r="DG2" s="1213"/>
      <c r="DH2" s="1213"/>
      <c r="DI2" s="1213"/>
      <c r="DJ2" s="1213"/>
      <c r="DK2" s="1213"/>
      <c r="DL2" s="1213"/>
      <c r="DM2" s="1213"/>
      <c r="DN2" s="1213"/>
      <c r="DO2" s="1213"/>
      <c r="DP2" s="1213"/>
      <c r="DQ2" s="1213"/>
      <c r="DR2" s="1213"/>
      <c r="DS2" s="1213"/>
      <c r="DT2" s="1213"/>
      <c r="DU2" s="140"/>
      <c r="DV2" s="140"/>
      <c r="DW2" s="140"/>
      <c r="DX2" s="140"/>
      <c r="DY2" s="140"/>
      <c r="DZ2" s="140"/>
      <c r="EA2" s="140"/>
      <c r="EB2" s="140"/>
      <c r="EC2" s="1099" t="str">
        <f>IF('Master Sheet'!D11="Hindi","अनिवार्य विषय","Compulsory Subject")</f>
        <v>अनिवार्य विषय</v>
      </c>
      <c r="ED2" s="1100"/>
      <c r="EE2" s="1100"/>
      <c r="EF2" s="1100"/>
      <c r="EG2" s="1100"/>
      <c r="EH2" s="1100"/>
      <c r="EI2" s="1100"/>
      <c r="EJ2" s="1100"/>
      <c r="EK2" s="1100"/>
      <c r="EL2" s="1100"/>
      <c r="EM2" s="1100"/>
      <c r="EN2" s="1100"/>
      <c r="EO2" s="1100"/>
      <c r="EP2" s="1100"/>
      <c r="EQ2" s="1100"/>
      <c r="ER2" s="1100"/>
      <c r="ES2" s="1100"/>
      <c r="ET2" s="1100"/>
      <c r="EU2" s="1100"/>
      <c r="EV2" s="1100"/>
      <c r="EW2" s="1100"/>
      <c r="EX2" s="1100"/>
      <c r="EY2" s="1100"/>
      <c r="EZ2" s="1100"/>
      <c r="FA2" s="1100"/>
      <c r="FB2" s="1100"/>
      <c r="FC2" s="1100"/>
      <c r="FD2" s="1100"/>
      <c r="FE2" s="1100"/>
      <c r="FF2" s="1101"/>
      <c r="FG2" s="1162" t="str">
        <f>'Student DATA Entry'!L2</f>
        <v>Total Attendance</v>
      </c>
      <c r="FH2" s="1162"/>
      <c r="FI2" s="1162"/>
      <c r="FJ2" s="1102" t="str">
        <f>IF('Master Sheet'!D11="Hindi","विषयवार परिणाम","Subject-wise Result")</f>
        <v>विषयवार परिणाम</v>
      </c>
      <c r="FK2" s="1103"/>
      <c r="FL2" s="1103"/>
      <c r="FM2" s="1103"/>
      <c r="FN2" s="1103"/>
      <c r="FO2" s="1103"/>
      <c r="FP2" s="1103"/>
      <c r="FQ2" s="1103"/>
      <c r="FR2" s="1103"/>
      <c r="FS2" s="1103"/>
      <c r="FT2" s="1103"/>
      <c r="FU2" s="1103"/>
      <c r="FV2" s="1103"/>
      <c r="FW2" s="1103"/>
      <c r="FX2" s="1103"/>
      <c r="FY2" s="1103"/>
      <c r="FZ2" s="1103"/>
      <c r="GA2" s="1103"/>
      <c r="GB2" s="1103"/>
      <c r="GC2" s="1103"/>
      <c r="GD2" s="1103"/>
      <c r="GE2" s="1103"/>
      <c r="GF2" s="1103"/>
      <c r="GG2" s="1103"/>
      <c r="GH2" s="1103"/>
      <c r="GI2" s="1103"/>
      <c r="GJ2" s="1103"/>
      <c r="GK2" s="1103"/>
      <c r="GL2" s="1103"/>
      <c r="GM2" s="1103"/>
      <c r="GN2" s="1103"/>
      <c r="GO2" s="1103"/>
      <c r="GP2" s="1103"/>
      <c r="GQ2" s="1103"/>
      <c r="GR2" s="1103"/>
      <c r="GS2" s="1104"/>
      <c r="GT2" s="1130" t="str">
        <f>IF('Master Sheet'!D11="Hindi","विशेष विवरण","Specifications")</f>
        <v>विशेष विवरण</v>
      </c>
      <c r="GU2" s="1130"/>
      <c r="GV2" s="1130"/>
      <c r="GW2" s="1130"/>
      <c r="GX2" s="1130"/>
      <c r="GY2" s="1111" t="str">
        <f>IF('Master Sheet'!D11="Hindi","मुख्य परीक्षा परिणाम ","Main Exam Result")</f>
        <v xml:space="preserve">मुख्य परीक्षा परिणाम </v>
      </c>
      <c r="GZ2" s="1112"/>
      <c r="HA2" s="1112"/>
      <c r="HB2" s="1112"/>
      <c r="HC2" s="1112"/>
      <c r="HD2" s="1113"/>
      <c r="HE2" s="1117" t="str">
        <f>IF('Master Sheet'!D11="Hindi","पूरक परीक्षा उतीर्ण होने के पश्चात् अंतिम परिणाम","Final Result after Passing the Supplementary Exam")</f>
        <v>पूरक परीक्षा उतीर्ण होने के पश्चात् अंतिम परिणाम</v>
      </c>
      <c r="HF2" s="1118"/>
      <c r="HG2" s="1118"/>
      <c r="HH2" s="1118"/>
      <c r="HI2" s="1119"/>
    </row>
    <row r="3" spans="1:262" s="146" customFormat="1" ht="27.75" customHeight="1">
      <c r="A3" s="1214" t="str">
        <f>IF('Master Sheet'!$D$11="Hindi","कक्षा :-","Class :-")</f>
        <v>कक्षा :-</v>
      </c>
      <c r="B3" s="1215"/>
      <c r="C3" s="1215"/>
      <c r="D3" s="615">
        <f>'Marks Entry'!H2</f>
        <v>11</v>
      </c>
      <c r="E3" s="1097" t="str">
        <f>CONCATENATE('Marks Entry'!G3,"  ",'Marks Entry'!H3)</f>
        <v>संकाय :-  Arts</v>
      </c>
      <c r="F3" s="1097"/>
      <c r="G3" s="1097" t="str">
        <f>CONCATENATE('Marks Entry'!G1,"  ",'Marks Entry'!H1)</f>
        <v>सत्र :-  2023-2024</v>
      </c>
      <c r="H3" s="1097"/>
      <c r="I3" s="1098"/>
      <c r="J3" s="1131" t="str">
        <f>IF('Marks Entry'!K1="","",'Marks Entry'!K1)</f>
        <v>Com. Hindi</v>
      </c>
      <c r="K3" s="1131"/>
      <c r="L3" s="1131"/>
      <c r="M3" s="1131"/>
      <c r="N3" s="1216"/>
      <c r="O3" s="1131"/>
      <c r="P3" s="1131"/>
      <c r="Q3" s="1131"/>
      <c r="R3" s="1131"/>
      <c r="S3" s="1131"/>
      <c r="T3" s="1131"/>
      <c r="U3" s="1131"/>
      <c r="V3" s="1131"/>
      <c r="W3" s="1131"/>
      <c r="X3" s="1131" t="str">
        <f>IF('Marks Entry'!P1="","",'Marks Entry'!P1)</f>
        <v>Com. English</v>
      </c>
      <c r="Y3" s="1131"/>
      <c r="Z3" s="1131"/>
      <c r="AA3" s="1131"/>
      <c r="AB3" s="1131"/>
      <c r="AC3" s="1131"/>
      <c r="AD3" s="1131"/>
      <c r="AE3" s="1131"/>
      <c r="AF3" s="1131"/>
      <c r="AG3" s="1131"/>
      <c r="AH3" s="1131"/>
      <c r="AI3" s="1131"/>
      <c r="AJ3" s="1131"/>
      <c r="AK3" s="1131"/>
      <c r="AL3" s="1131" t="str">
        <f>IF('Marks Entry'!U2="","",'Marks Entry'!U2)</f>
        <v>POLITICAL SCIENCE</v>
      </c>
      <c r="AM3" s="1131"/>
      <c r="AN3" s="1131"/>
      <c r="AO3" s="1131"/>
      <c r="AP3" s="1131"/>
      <c r="AQ3" s="1131"/>
      <c r="AR3" s="1131" t="str">
        <f>IF('Marks Entry'!Y2="","",'Marks Entry'!Y2)</f>
        <v>BIOLOGY</v>
      </c>
      <c r="AS3" s="1131"/>
      <c r="AT3" s="1131"/>
      <c r="AU3" s="1131"/>
      <c r="AV3" s="1131"/>
      <c r="AW3" s="1131" t="str">
        <f>IF('Marks Entry'!AA2="","",'Marks Entry'!AA2)</f>
        <v/>
      </c>
      <c r="AX3" s="1131"/>
      <c r="AY3" s="1131"/>
      <c r="AZ3" s="1131"/>
      <c r="BA3" s="1131"/>
      <c r="BB3" s="1131"/>
      <c r="BC3" s="1137" t="str">
        <f>IF('Marks Entry'!AA2="","",'Marks Entry'!AA2)</f>
        <v/>
      </c>
      <c r="BD3" s="1137"/>
      <c r="BE3" s="1137"/>
      <c r="BF3" s="1137"/>
      <c r="BG3" s="1137"/>
      <c r="BH3" s="1137"/>
      <c r="BI3" s="1131" t="str">
        <f>IF('Marks Entry'!AC2="","",'Marks Entry'!AC2)</f>
        <v>HISTORY</v>
      </c>
      <c r="BJ3" s="1131"/>
      <c r="BK3" s="1131"/>
      <c r="BL3" s="1131"/>
      <c r="BM3" s="1131"/>
      <c r="BN3" s="1131"/>
      <c r="BO3" s="1131" t="str">
        <f>IF('Marks Entry'!AG2="","",'Marks Entry'!AG2)</f>
        <v>ACCOUNTANCY</v>
      </c>
      <c r="BP3" s="1131"/>
      <c r="BQ3" s="1131"/>
      <c r="BR3" s="1131"/>
      <c r="BS3" s="1131"/>
      <c r="BT3" s="1131" t="str">
        <f>IF('Marks Entry'!AI2="","",'Marks Entry'!AI2)</f>
        <v>ECONOMICS</v>
      </c>
      <c r="BU3" s="1131"/>
      <c r="BV3" s="1131"/>
      <c r="BW3" s="1131"/>
      <c r="BX3" s="1131"/>
      <c r="BY3" s="1131"/>
      <c r="BZ3" s="1219"/>
      <c r="CA3" s="1219"/>
      <c r="CB3" s="1219"/>
      <c r="CC3" s="1219"/>
      <c r="CD3" s="1219"/>
      <c r="CE3" s="1219"/>
      <c r="CF3" s="1131" t="str">
        <f>IF('Marks Entry'!AK2="","",'Marks Entry'!AK2)</f>
        <v>GEOGRAPHY</v>
      </c>
      <c r="CG3" s="1131"/>
      <c r="CH3" s="1131"/>
      <c r="CI3" s="1131"/>
      <c r="CJ3" s="1131"/>
      <c r="CK3" s="1131"/>
      <c r="CL3" s="1131" t="str">
        <f>IF('Marks Entry'!AO2="","",'Marks Entry'!AO2)</f>
        <v>HOME SCIENCE</v>
      </c>
      <c r="CM3" s="1131"/>
      <c r="CN3" s="1131"/>
      <c r="CO3" s="1131"/>
      <c r="CP3" s="1131"/>
      <c r="CQ3" s="1131" t="str">
        <f>IF('Marks Entry'!AQ2="","",'Marks Entry'!AQ2)</f>
        <v>TYPING</v>
      </c>
      <c r="CR3" s="1131"/>
      <c r="CS3" s="1131"/>
      <c r="CT3" s="1131"/>
      <c r="CU3" s="1131"/>
      <c r="CV3" s="1131"/>
      <c r="CW3" s="1137" t="str">
        <f>IF('Marks Entry'!AQ2="","",'Marks Entry'!AQ2)</f>
        <v>TYPING</v>
      </c>
      <c r="CX3" s="1137"/>
      <c r="CY3" s="1137"/>
      <c r="CZ3" s="1137"/>
      <c r="DA3" s="1137"/>
      <c r="DB3" s="1137"/>
      <c r="DC3" s="142"/>
      <c r="DD3" s="1131" t="str">
        <f>IF('Marks Entry'!AS2="","",IF(AND('Master Sheet'!$D$19="YES",'Marks Entry'!$BA$1=1),'Marks Entry'!AS2,""))</f>
        <v/>
      </c>
      <c r="DE3" s="1131"/>
      <c r="DF3" s="1131"/>
      <c r="DG3" s="1131"/>
      <c r="DH3" s="1131"/>
      <c r="DI3" s="1131"/>
      <c r="DJ3" s="1131"/>
      <c r="DK3" s="1220" t="str">
        <f>IF('Marks Entry'!AW2="","",IF(AND('Master Sheet'!$D$19="YES",'Marks Entry'!$BA$1=1),'Marks Entry'!AW2,""))</f>
        <v/>
      </c>
      <c r="DL3" s="1217"/>
      <c r="DM3" s="1217"/>
      <c r="DN3" s="1217"/>
      <c r="DO3" s="1218"/>
      <c r="DP3" s="1217" t="str">
        <f>IF('Marks Entry'!AY2="","",IF(AND('Master Sheet'!$D$19="YES",'Marks Entry'!$BA$1=1),'Marks Entry'!AY2,""))</f>
        <v/>
      </c>
      <c r="DQ3" s="1217"/>
      <c r="DR3" s="1217"/>
      <c r="DS3" s="1217"/>
      <c r="DT3" s="1218"/>
      <c r="DU3" s="142"/>
      <c r="DV3" s="1137" t="str">
        <f>IF('Marks Entry'!BT2="","",'Marks Entry'!BT2)</f>
        <v/>
      </c>
      <c r="DW3" s="1137"/>
      <c r="DX3" s="1137"/>
      <c r="DY3" s="1137"/>
      <c r="DZ3" s="1137"/>
      <c r="EA3" s="1137"/>
      <c r="EB3" s="143"/>
      <c r="EC3" s="1219"/>
      <c r="ED3" s="1219"/>
      <c r="EE3" s="1219"/>
      <c r="EF3" s="1219"/>
      <c r="EG3" s="1219"/>
      <c r="EH3" s="1219"/>
      <c r="EI3" s="1219"/>
      <c r="EJ3" s="1219"/>
      <c r="EK3" s="1219"/>
      <c r="EL3" s="1225" t="s">
        <v>47</v>
      </c>
      <c r="EM3" s="1225"/>
      <c r="EN3" s="1225"/>
      <c r="EO3" s="1225"/>
      <c r="EP3" s="1225"/>
      <c r="EQ3" s="144"/>
      <c r="ER3" s="1223" t="s">
        <v>48</v>
      </c>
      <c r="ES3" s="1223" t="s">
        <v>49</v>
      </c>
      <c r="ET3" s="1223" t="s">
        <v>50</v>
      </c>
      <c r="EU3" s="1223" t="s">
        <v>51</v>
      </c>
      <c r="EV3" s="1223" t="s">
        <v>52</v>
      </c>
      <c r="EW3" s="1223" t="s">
        <v>53</v>
      </c>
      <c r="EX3" s="145"/>
      <c r="EY3" s="1220" t="str">
        <f>'Marks Entry'!BE1</f>
        <v xml:space="preserve">आजादी के बाद का स्वर्णिम भारत </v>
      </c>
      <c r="EZ3" s="1217"/>
      <c r="FA3" s="1217"/>
      <c r="FB3" s="1217"/>
      <c r="FC3" s="1217"/>
      <c r="FD3" s="1217"/>
      <c r="FE3" s="1217"/>
      <c r="FF3" s="1218"/>
      <c r="FG3" s="1162"/>
      <c r="FH3" s="1162"/>
      <c r="FI3" s="1162"/>
      <c r="FJ3" s="1105"/>
      <c r="FK3" s="1106"/>
      <c r="FL3" s="1106"/>
      <c r="FM3" s="1106"/>
      <c r="FN3" s="1106"/>
      <c r="FO3" s="1106"/>
      <c r="FP3" s="1106"/>
      <c r="FQ3" s="1106"/>
      <c r="FR3" s="1106"/>
      <c r="FS3" s="1106"/>
      <c r="FT3" s="1106"/>
      <c r="FU3" s="1106"/>
      <c r="FV3" s="1106"/>
      <c r="FW3" s="1106"/>
      <c r="FX3" s="1106"/>
      <c r="FY3" s="1106"/>
      <c r="FZ3" s="1106"/>
      <c r="GA3" s="1106"/>
      <c r="GB3" s="1106"/>
      <c r="GC3" s="1106"/>
      <c r="GD3" s="1106"/>
      <c r="GE3" s="1106"/>
      <c r="GF3" s="1106"/>
      <c r="GG3" s="1106"/>
      <c r="GH3" s="1106"/>
      <c r="GI3" s="1106"/>
      <c r="GJ3" s="1106"/>
      <c r="GK3" s="1106"/>
      <c r="GL3" s="1106"/>
      <c r="GM3" s="1106"/>
      <c r="GN3" s="1106"/>
      <c r="GO3" s="1106"/>
      <c r="GP3" s="1106"/>
      <c r="GQ3" s="1106"/>
      <c r="GR3" s="1106"/>
      <c r="GS3" s="1107"/>
      <c r="GT3" s="1130"/>
      <c r="GU3" s="1130"/>
      <c r="GV3" s="1130"/>
      <c r="GW3" s="1130"/>
      <c r="GX3" s="1130"/>
      <c r="GY3" s="1114"/>
      <c r="GZ3" s="1115"/>
      <c r="HA3" s="1115"/>
      <c r="HB3" s="1115"/>
      <c r="HC3" s="1115"/>
      <c r="HD3" s="1116"/>
      <c r="HE3" s="1120"/>
      <c r="HF3" s="1121"/>
      <c r="HG3" s="1121"/>
      <c r="HH3" s="1121"/>
      <c r="HI3" s="1122"/>
    </row>
    <row r="4" spans="1:262" s="146" customFormat="1" ht="30" customHeight="1">
      <c r="A4" s="1134" t="str">
        <f>'Marks Entry'!A4</f>
        <v xml:space="preserve">क्रमांक </v>
      </c>
      <c r="B4" s="1134" t="str">
        <f>'Marks Entry'!B4</f>
        <v xml:space="preserve">नामांक
Roll No. </v>
      </c>
      <c r="C4" s="1134" t="str">
        <f>'Marks Entry'!D4</f>
        <v xml:space="preserve">प्रवेशांक
SR. No. </v>
      </c>
      <c r="D4" s="1134" t="str">
        <f>'Marks Entry'!E4</f>
        <v>जन्मतिथि 
Date of Birth</v>
      </c>
      <c r="E4" s="1262" t="str">
        <f>CONCATENATE('Marks Entry'!F5,"  ",'Marks Entry'!F6)</f>
        <v>विद्यार्थी का नाम   Name of student</v>
      </c>
      <c r="F4" s="1162" t="str">
        <f>CONCATENATE('Marks Entry'!G5,"  ",'Marks Entry'!G6)</f>
        <v>पिता का नाम   Father's Name</v>
      </c>
      <c r="G4" s="1162" t="str">
        <f>CONCATENATE('Marks Entry'!H5,"  ",'Marks Entry'!H6)</f>
        <v>माता का नाम   Mother's Name</v>
      </c>
      <c r="H4" s="1138" t="str">
        <f>'Marks Entry'!I3</f>
        <v>जाति वर्ग  (Category)</v>
      </c>
      <c r="I4" s="1138" t="str">
        <f>'Marks Entry'!J3</f>
        <v>लिंग  (Gender)</v>
      </c>
      <c r="J4" s="1140" t="str">
        <f>'Marks Entry'!K4</f>
        <v>सामयिक परख</v>
      </c>
      <c r="K4" s="1140"/>
      <c r="L4" s="1140"/>
      <c r="M4" s="1141"/>
      <c r="N4" s="1146" t="str">
        <f>'Marks Entry'!N4</f>
        <v>अर्द्धवार्षिक</v>
      </c>
      <c r="O4" s="1147" t="str">
        <f>IF('Master Sheet'!$D$11="Hindi","अर्द्ध वा. तक योग","Total Till H.Y.")</f>
        <v>अर्द्ध वा. तक योग</v>
      </c>
      <c r="P4" s="1149" t="str">
        <f>'Marks Entry'!O4</f>
        <v>वार्षिक</v>
      </c>
      <c r="Q4" s="1142" t="str">
        <f>IF('Master Sheet'!$D$11="Hindi","विषय कुल योग ","Subject Total")</f>
        <v xml:space="preserve">विषय कुल योग </v>
      </c>
      <c r="R4" s="1157" t="s">
        <v>54</v>
      </c>
      <c r="S4" s="1157" t="s">
        <v>54</v>
      </c>
      <c r="T4" s="1156" t="s">
        <v>55</v>
      </c>
      <c r="U4" s="1157" t="s">
        <v>56</v>
      </c>
      <c r="V4" s="1156" t="s">
        <v>57</v>
      </c>
      <c r="W4" s="1156" t="s">
        <v>58</v>
      </c>
      <c r="X4" s="1140" t="str">
        <f>'Marks Entry'!P4</f>
        <v>सामयिक परख</v>
      </c>
      <c r="Y4" s="1140"/>
      <c r="Z4" s="1140"/>
      <c r="AA4" s="1141"/>
      <c r="AB4" s="1146" t="str">
        <f>'Marks Entry'!S4</f>
        <v>अर्द्धवार्षिक</v>
      </c>
      <c r="AC4" s="1147" t="str">
        <f>IF('Master Sheet'!$D$11="Hindi","अर्द्ध वा. तक योग","Total Till H.Y.")</f>
        <v>अर्द्ध वा. तक योग</v>
      </c>
      <c r="AD4" s="1149" t="str">
        <f>'Marks Entry'!T4</f>
        <v>वार्षिक</v>
      </c>
      <c r="AE4" s="1142" t="str">
        <f>IF('Master Sheet'!$D$11="Hindi","विषय कुल योग ","Subject Total")</f>
        <v xml:space="preserve">विषय कुल योग </v>
      </c>
      <c r="AF4" s="1157" t="s">
        <v>54</v>
      </c>
      <c r="AG4" s="1157" t="s">
        <v>54</v>
      </c>
      <c r="AH4" s="1156" t="s">
        <v>55</v>
      </c>
      <c r="AI4" s="1157" t="s">
        <v>56</v>
      </c>
      <c r="AJ4" s="1156" t="s">
        <v>57</v>
      </c>
      <c r="AK4" s="1156" t="s">
        <v>58</v>
      </c>
      <c r="AL4" s="1135" t="str">
        <f>IF('Marks Entry'!U4="","",'Marks Entry'!U4)</f>
        <v>विषय कोड</v>
      </c>
      <c r="AM4" s="1137" t="str">
        <f>IF('Marks Entry'!V4="","",'Marks Entry'!V4)</f>
        <v>सामयिक परख</v>
      </c>
      <c r="AN4" s="1137"/>
      <c r="AO4" s="1137"/>
      <c r="AP4" s="1137"/>
      <c r="AQ4" s="1137" t="str">
        <f>IF('Marks Entry'!Y4="","",'Marks Entry'!Y4)</f>
        <v>अर्द्धवार्षिक</v>
      </c>
      <c r="AR4" s="1137"/>
      <c r="AS4" s="1137"/>
      <c r="AT4" s="1147" t="str">
        <f>IF('Master Sheet'!$D$11="Hindi","अर्द्ध वा. तक योग","Total Till H.Y.")</f>
        <v>अर्द्ध वा. तक योग</v>
      </c>
      <c r="AU4" s="1137" t="str">
        <f>IF('Marks Entry'!AA4="","",'Marks Entry'!AA4)</f>
        <v>वार्षिक</v>
      </c>
      <c r="AV4" s="1137"/>
      <c r="AW4" s="1137"/>
      <c r="AX4" s="1224" t="str">
        <f>IF('Master Sheet'!$D$11="Hindi","सैद्धांतिक योग","Theoretical Sub Total")</f>
        <v>सैद्धांतिक योग</v>
      </c>
      <c r="AY4" s="1224" t="str">
        <f>IF('Master Sheet'!$D$11="Hindi","प्रायोगिक योग","Practical Sub. Total")</f>
        <v>प्रायोगिक योग</v>
      </c>
      <c r="AZ4" s="1142" t="str">
        <f>IF('Master Sheet'!$D$11="Hindi","विषय कुल योग ","Subject Total")</f>
        <v xml:space="preserve">विषय कुल योग </v>
      </c>
      <c r="BA4" s="1157" t="s">
        <v>54</v>
      </c>
      <c r="BB4" s="1157" t="s">
        <v>54</v>
      </c>
      <c r="BC4" s="1156" t="s">
        <v>59</v>
      </c>
      <c r="BD4" s="1156" t="s">
        <v>60</v>
      </c>
      <c r="BE4" s="1156" t="s">
        <v>55</v>
      </c>
      <c r="BF4" s="1157" t="s">
        <v>56</v>
      </c>
      <c r="BG4" s="1156" t="s">
        <v>57</v>
      </c>
      <c r="BH4" s="1156" t="s">
        <v>58</v>
      </c>
      <c r="BI4" s="1135" t="str">
        <f>IF('Marks Entry'!AC4="","",'Marks Entry'!AC4)</f>
        <v>विषय कोड</v>
      </c>
      <c r="BJ4" s="1137" t="str">
        <f>IF('Marks Entry'!AD4="","",'Marks Entry'!AD4)</f>
        <v>सामयिक परख</v>
      </c>
      <c r="BK4" s="1137"/>
      <c r="BL4" s="1137"/>
      <c r="BM4" s="1137"/>
      <c r="BN4" s="1137" t="str">
        <f>IF('Marks Entry'!AG4="","",'Marks Entry'!AG4)</f>
        <v>अर्द्धवार्षिक</v>
      </c>
      <c r="BO4" s="1137"/>
      <c r="BP4" s="1137"/>
      <c r="BQ4" s="1147" t="str">
        <f>IF('Master Sheet'!$D$11="Hindi","अर्द्ध वा. तक योग","Total Till H.Y.")</f>
        <v>अर्द्ध वा. तक योग</v>
      </c>
      <c r="BR4" s="1137" t="str">
        <f>IF('Marks Entry'!AI4="","",'Marks Entry'!AI4)</f>
        <v>वार्षिक</v>
      </c>
      <c r="BS4" s="1137"/>
      <c r="BT4" s="1137"/>
      <c r="BU4" s="1224" t="str">
        <f>IF('Master Sheet'!$D$11="Hindi","सैद्धांतिक योग","Theoretical Sub Total")</f>
        <v>सैद्धांतिक योग</v>
      </c>
      <c r="BV4" s="1224" t="str">
        <f>IF('Master Sheet'!$D$11="Hindi","प्रायोगिक योग","Practical Sub. Total")</f>
        <v>प्रायोगिक योग</v>
      </c>
      <c r="BW4" s="1142" t="str">
        <f>IF('Master Sheet'!$D$11="Hindi","विषय कुल योग ","Subject Total")</f>
        <v xml:space="preserve">विषय कुल योग </v>
      </c>
      <c r="BX4" s="1157" t="s">
        <v>54</v>
      </c>
      <c r="BY4" s="1157" t="s">
        <v>54</v>
      </c>
      <c r="BZ4" s="1156" t="s">
        <v>59</v>
      </c>
      <c r="CA4" s="1156" t="s">
        <v>60</v>
      </c>
      <c r="CB4" s="1156" t="s">
        <v>55</v>
      </c>
      <c r="CC4" s="1157" t="s">
        <v>56</v>
      </c>
      <c r="CD4" s="1156" t="s">
        <v>57</v>
      </c>
      <c r="CE4" s="1156" t="s">
        <v>58</v>
      </c>
      <c r="CF4" s="1135" t="str">
        <f>IF('Marks Entry'!AK4="","",'Marks Entry'!AK4)</f>
        <v>विषय कोड</v>
      </c>
      <c r="CG4" s="1137" t="str">
        <f>IF('Marks Entry'!AL4="","",'Marks Entry'!AL4)</f>
        <v>सामयिक परख</v>
      </c>
      <c r="CH4" s="1137"/>
      <c r="CI4" s="1137"/>
      <c r="CJ4" s="1137"/>
      <c r="CK4" s="1137" t="str">
        <f>IF('Marks Entry'!AO4="","",'Marks Entry'!AO4)</f>
        <v>अर्द्धवार्षिक</v>
      </c>
      <c r="CL4" s="1137"/>
      <c r="CM4" s="1137"/>
      <c r="CN4" s="1147" t="str">
        <f>IF('Master Sheet'!$D$11="Hindi","अर्द्ध वा. तक योग","Total Till H.Y.")</f>
        <v>अर्द्ध वा. तक योग</v>
      </c>
      <c r="CO4" s="1137" t="str">
        <f>IF('Marks Entry'!AQ4="","",'Marks Entry'!AQ4)</f>
        <v>वार्षिक</v>
      </c>
      <c r="CP4" s="1137"/>
      <c r="CQ4" s="1137"/>
      <c r="CR4" s="1224" t="str">
        <f>IF('Master Sheet'!$D$11="Hindi","सैद्धांतिक योग","Theoretical Sub Total")</f>
        <v>सैद्धांतिक योग</v>
      </c>
      <c r="CS4" s="1224" t="str">
        <f>IF('Master Sheet'!$D$11="Hindi","प्रायोगिक योग","Practical Sub. Total")</f>
        <v>प्रायोगिक योग</v>
      </c>
      <c r="CT4" s="1142" t="str">
        <f>IF('Master Sheet'!$D$11="Hindi","विषय कुल योग ","Subject Total")</f>
        <v xml:space="preserve">विषय कुल योग </v>
      </c>
      <c r="CU4" s="1157" t="s">
        <v>54</v>
      </c>
      <c r="CV4" s="1157" t="s">
        <v>54</v>
      </c>
      <c r="CW4" s="1156" t="s">
        <v>59</v>
      </c>
      <c r="CX4" s="1156" t="s">
        <v>60</v>
      </c>
      <c r="CY4" s="1156" t="s">
        <v>55</v>
      </c>
      <c r="CZ4" s="1157" t="s">
        <v>56</v>
      </c>
      <c r="DA4" s="1156" t="s">
        <v>57</v>
      </c>
      <c r="DB4" s="1156" t="s">
        <v>58</v>
      </c>
      <c r="DC4" s="1157" t="s">
        <v>61</v>
      </c>
      <c r="DD4" s="1135" t="str">
        <f>IF('Marks Entry'!AS4="","",'Marks Entry'!AS4)</f>
        <v>विषय कोड</v>
      </c>
      <c r="DE4" s="1137" t="str">
        <f>IF('Marks Entry'!AT4="","",'Marks Entry'!AT4)</f>
        <v>सामयिक परख</v>
      </c>
      <c r="DF4" s="1137"/>
      <c r="DG4" s="1137"/>
      <c r="DH4" s="1137"/>
      <c r="DI4" s="1137" t="str">
        <f>IF('Marks Entry'!AW4="","",'Marks Entry'!AW4)</f>
        <v>अर्द्धवार्षिक</v>
      </c>
      <c r="DJ4" s="1137"/>
      <c r="DK4" s="1137"/>
      <c r="DL4" s="1147" t="str">
        <f>IF('Master Sheet'!$D$11="Hindi","अर्द्ध वा. तक योग","Total Till H.Y.")</f>
        <v>अर्द्ध वा. तक योग</v>
      </c>
      <c r="DM4" s="1137" t="str">
        <f>IF('Marks Entry'!AY4="","",'Marks Entry'!AY4)</f>
        <v>वार्षिक</v>
      </c>
      <c r="DN4" s="1137"/>
      <c r="DO4" s="1137"/>
      <c r="DP4" s="1137"/>
      <c r="DQ4" s="1224" t="str">
        <f>IF('Master Sheet'!$D$11="Hindi","सैद्धांतिक योग","Theoretical Sub Total")</f>
        <v>सैद्धांतिक योग</v>
      </c>
      <c r="DR4" s="1224" t="str">
        <f>IF('Master Sheet'!$D$11="Hindi","पोर्टफोलियो योग","Portfolio Total")</f>
        <v>पोर्टफोलियो योग</v>
      </c>
      <c r="DS4" s="1224" t="str">
        <f>IF('Master Sheet'!$D$11="Hindi","प्रायोगिक योग","Practical Sub. Total")</f>
        <v>प्रायोगिक योग</v>
      </c>
      <c r="DT4" s="1142" t="str">
        <f>IF('Master Sheet'!$D$11="Hindi","विषय कुल योग ","Subject Total")</f>
        <v xml:space="preserve">विषय कुल योग </v>
      </c>
      <c r="DU4" s="1157" t="s">
        <v>54</v>
      </c>
      <c r="DV4" s="1157" t="s">
        <v>54</v>
      </c>
      <c r="DW4" s="1156" t="s">
        <v>59</v>
      </c>
      <c r="DX4" s="1156" t="s">
        <v>60</v>
      </c>
      <c r="DY4" s="1156" t="s">
        <v>55</v>
      </c>
      <c r="DZ4" s="1157" t="s">
        <v>56</v>
      </c>
      <c r="EA4" s="1156" t="s">
        <v>57</v>
      </c>
      <c r="EB4" s="1156" t="s">
        <v>58</v>
      </c>
      <c r="EC4" s="1137" t="str">
        <f>'Marks Entry'!BB2</f>
        <v>जीवन कौशल</v>
      </c>
      <c r="ED4" s="1137"/>
      <c r="EE4" s="1137"/>
      <c r="EF4" s="1137"/>
      <c r="EG4" s="1157" t="s">
        <v>54</v>
      </c>
      <c r="EH4" s="1157" t="s">
        <v>54</v>
      </c>
      <c r="EI4" s="1156" t="s">
        <v>55</v>
      </c>
      <c r="EJ4" s="1157" t="s">
        <v>56</v>
      </c>
      <c r="EK4" s="1156" t="s">
        <v>62</v>
      </c>
      <c r="EL4" s="1225"/>
      <c r="EM4" s="1225"/>
      <c r="EN4" s="1225"/>
      <c r="EO4" s="1225"/>
      <c r="EP4" s="1225"/>
      <c r="EQ4" s="144"/>
      <c r="ER4" s="1223"/>
      <c r="ES4" s="1223"/>
      <c r="ET4" s="1223"/>
      <c r="EU4" s="1223"/>
      <c r="EV4" s="1223"/>
      <c r="EW4" s="1223"/>
      <c r="EX4" s="1221" t="s">
        <v>63</v>
      </c>
      <c r="EY4" s="1124" t="str">
        <f>IF('Marks Entry'!BE3="","",'Marks Entry'!BE3)</f>
        <v>सामयिक परख</v>
      </c>
      <c r="EZ4" s="1125"/>
      <c r="FA4" s="1125"/>
      <c r="FB4" s="1126"/>
      <c r="FC4" s="1108" t="str">
        <f>IF('Marks Entry'!BH3="","",'Marks Entry'!BH3)</f>
        <v>अर्द्धवार्षिक</v>
      </c>
      <c r="FD4" s="1108" t="str">
        <f>IF('Marks Entry'!BI3="","",'Marks Entry'!BI3)</f>
        <v>वार्षिक</v>
      </c>
      <c r="FE4" s="1142" t="str">
        <f>IF('Master Sheet'!$D$11="Hindi","विषय कुल योग ","Subject Total")</f>
        <v xml:space="preserve">विषय कुल योग </v>
      </c>
      <c r="FF4" s="1129" t="str">
        <f>IF('Master Sheet'!$D$11="Hindi","विषय ग्रेड","Sub. Grade")</f>
        <v>विषय ग्रेड</v>
      </c>
      <c r="FG4" s="1135" t="str">
        <f>IF('Master Sheet'!D11="Hindi","कुल कार्य दिवस","Total Working Days")</f>
        <v>कुल कार्य दिवस</v>
      </c>
      <c r="FH4" s="1135" t="str">
        <f>IF('Master Sheet'!D11="Hindi","कुल उपस्थिति","Student's Attendance")</f>
        <v>कुल उपस्थिति</v>
      </c>
      <c r="FI4" s="1136" t="str">
        <f>IF('Master Sheet'!D11="Hindi","उपस्थिति प्रतिशत","Attendance  Percentage")</f>
        <v>उपस्थिति प्रतिशत</v>
      </c>
      <c r="FJ4" s="1137" t="str">
        <f>J3</f>
        <v>Com. Hindi</v>
      </c>
      <c r="FK4" s="1137"/>
      <c r="FL4" s="1137"/>
      <c r="FM4" s="1137" t="str">
        <f>X3</f>
        <v>Com. English</v>
      </c>
      <c r="FN4" s="1137"/>
      <c r="FO4" s="1137"/>
      <c r="FP4" s="147"/>
      <c r="FQ4" s="1202" t="str">
        <f>AL2</f>
        <v>Optional Subject - 01</v>
      </c>
      <c r="FR4" s="1202"/>
      <c r="FS4" s="1202"/>
      <c r="FT4" s="1202"/>
      <c r="FU4" s="1202"/>
      <c r="FV4" s="1202"/>
      <c r="FW4" s="148"/>
      <c r="FX4" s="1202" t="str">
        <f>BI2</f>
        <v>Optional Subject - 02</v>
      </c>
      <c r="FY4" s="1202"/>
      <c r="FZ4" s="1202"/>
      <c r="GA4" s="1202"/>
      <c r="GB4" s="1202"/>
      <c r="GC4" s="1202"/>
      <c r="GD4" s="148"/>
      <c r="GE4" s="1202" t="str">
        <f>CF2</f>
        <v>Optional Subject - 03</v>
      </c>
      <c r="GF4" s="1202"/>
      <c r="GG4" s="1202"/>
      <c r="GH4" s="1202"/>
      <c r="GI4" s="1202"/>
      <c r="GJ4" s="1202"/>
      <c r="GK4" s="148"/>
      <c r="GL4" s="1202" t="str">
        <f>DD2</f>
        <v>Additional Sub. / Vocational  Subject</v>
      </c>
      <c r="GM4" s="1202"/>
      <c r="GN4" s="1202"/>
      <c r="GO4" s="1202"/>
      <c r="GP4" s="1202"/>
      <c r="GQ4" s="1202"/>
      <c r="GR4" s="1108" t="str">
        <f>EC4</f>
        <v>जीवन कौशल</v>
      </c>
      <c r="GS4" s="1108" t="str">
        <f>EY3</f>
        <v xml:space="preserve">आजादी के बाद का स्वर्णिम भारत </v>
      </c>
      <c r="GT4" s="1131" t="str">
        <f>IF('Master Sheet'!D11="Hindi","अनुतीर्ण विषय","Failed Subject")</f>
        <v>अनुतीर्ण विषय</v>
      </c>
      <c r="GU4" s="1131" t="str">
        <f>IF('Master Sheet'!D11="Hindi","पूरक विषय","Supplementary Subject")</f>
        <v>पूरक विषय</v>
      </c>
      <c r="GV4" s="1131" t="str">
        <f>IF('Master Sheet'!D11="Hindi","सानुग्रह उतीर्ण विषय","Subject Of Grace")</f>
        <v>सानुग्रह उतीर्ण विषय</v>
      </c>
      <c r="GW4" s="1131" t="str">
        <f>IF('Master Sheet'!D11="Hindi","पुनः परीक्षा के विषय","Subject of Re-Exam")</f>
        <v>पुनः परीक्षा के विषय</v>
      </c>
      <c r="GX4" s="1131" t="str">
        <f>IF('Master Sheet'!D11="Hindi","विशेष योग्यता प्राप्त विषय","Subjects Of Dictation Marks")</f>
        <v>विशेष योग्यता प्राप्त विषय</v>
      </c>
      <c r="GY4" s="1137" t="str">
        <f>IF('Master Sheet'!D11="Hindi","परिणाम :- उतीर्ण/ सा.उतीर्ण/ पूरक/ पुनः परीक्षा/ अनुतीर्ण","Result :- PASS/ BY GRACE PASS/ SUPPLEMENTARY/ RE-EXAM/ FAIL")</f>
        <v>परिणाम :- उतीर्ण/ सा.उतीर्ण/ पूरक/ पुनः परीक्षा/ अनुतीर्ण</v>
      </c>
      <c r="GZ4" s="1265" t="str">
        <f>IF('Master Sheet'!D11="Hindi","सर्व योग प्राप्तांक","Grand Total")</f>
        <v>सर्व योग प्राप्तांक</v>
      </c>
      <c r="HA4" s="1266" t="s">
        <v>65</v>
      </c>
      <c r="HB4" s="1132" t="str">
        <f>IF('Master Sheet'!D11="Hindi","श्रेणी","Division")</f>
        <v>श्रेणी</v>
      </c>
      <c r="HC4" s="1138" t="str">
        <f>IF('Master Sheet'!D11="Hindi","प्रतिशत","Percentage")</f>
        <v>प्रतिशत</v>
      </c>
      <c r="HD4" s="1132" t="str">
        <f>IF('Master Sheet'!D11="Hindi","कक्षा में स्थान","Position in the Class")</f>
        <v>कक्षा में स्थान</v>
      </c>
      <c r="HE4" s="1108" t="str">
        <f>IF('Master Sheet'!D11="Hindi","पूरक परीक्षा का परिणाम","Result of Supplementary Exam")</f>
        <v>पूरक परीक्षा का परिणाम</v>
      </c>
      <c r="HF4" s="1108" t="str">
        <f>IF('Master Sheet'!D11="Hindi","पूरक परीक्षा उतीर्ण के बाद प्रतिशत","Percentage  after Passing the Supplementary Exam")</f>
        <v>पूरक परीक्षा उतीर्ण के बाद प्रतिशत</v>
      </c>
      <c r="HG4" s="1149" t="str">
        <f>IF('Master Sheet'!D11="Hindi","श्रेणी","Division")</f>
        <v>श्रेणी</v>
      </c>
      <c r="HH4" s="1108" t="str">
        <f>IF('Master Sheet'!D11="Hindi","पूरक परीक्षा उतीर्ण के पश्चात् परिणाम","Final Result after Passing the Supplementary Exam")</f>
        <v>पूरक परीक्षा उतीर्ण के पश्चात् परिणाम</v>
      </c>
      <c r="HI4" s="1149" t="str">
        <f>IF('Master Sheet'!D11="Hindi","विशेष विवरण","Specifications")</f>
        <v>विशेष विवरण</v>
      </c>
      <c r="HY4" s="1181" t="s">
        <v>94</v>
      </c>
      <c r="HZ4" s="1182"/>
      <c r="IA4" s="1182"/>
      <c r="IB4" s="1182"/>
      <c r="IC4" s="1182"/>
      <c r="ID4" s="1183"/>
      <c r="IE4" s="1187" t="s">
        <v>93</v>
      </c>
      <c r="IF4" s="1188"/>
      <c r="IG4" s="1188"/>
      <c r="IH4" s="1188"/>
      <c r="II4" s="1188"/>
      <c r="IJ4" s="1189"/>
      <c r="IK4" s="1194" t="s">
        <v>57</v>
      </c>
      <c r="IL4" s="1195"/>
      <c r="IM4" s="1195"/>
      <c r="IN4" s="1195"/>
      <c r="IO4" s="1195"/>
      <c r="IP4" s="1196"/>
      <c r="IQ4" s="149"/>
      <c r="IR4" s="149"/>
      <c r="IS4" s="149"/>
      <c r="IT4" s="1193" t="s">
        <v>95</v>
      </c>
      <c r="IU4" s="1193"/>
      <c r="IV4" s="1193"/>
      <c r="IW4" s="1193"/>
      <c r="IX4" s="1193"/>
      <c r="IY4" s="1193" t="s">
        <v>66</v>
      </c>
      <c r="IZ4" s="1193" t="s">
        <v>65</v>
      </c>
      <c r="JA4" s="1193" t="s">
        <v>100</v>
      </c>
    </row>
    <row r="5" spans="1:262" s="146" customFormat="1" ht="83.25" customHeight="1">
      <c r="A5" s="1138"/>
      <c r="B5" s="1138"/>
      <c r="C5" s="1138"/>
      <c r="D5" s="1138"/>
      <c r="E5" s="1162"/>
      <c r="F5" s="1162"/>
      <c r="G5" s="1162"/>
      <c r="H5" s="1138"/>
      <c r="I5" s="1138"/>
      <c r="J5" s="574" t="str">
        <f>'Marks Entry'!K5</f>
        <v xml:space="preserve">प्रथम परख </v>
      </c>
      <c r="K5" s="574" t="str">
        <f>'Marks Entry'!L5</f>
        <v>द्वितीय परख</v>
      </c>
      <c r="L5" s="574" t="str">
        <f>'Marks Entry'!M5</f>
        <v>तृतीय परख</v>
      </c>
      <c r="M5" s="576" t="str">
        <f>IF('Master Sheet'!$D$11="Hindi","सा. परख योग","Test Total")</f>
        <v>सा. परख योग</v>
      </c>
      <c r="N5" s="1146"/>
      <c r="O5" s="1148"/>
      <c r="P5" s="1150"/>
      <c r="Q5" s="1142"/>
      <c r="R5" s="1157"/>
      <c r="S5" s="1157"/>
      <c r="T5" s="1156"/>
      <c r="U5" s="1157"/>
      <c r="V5" s="1156"/>
      <c r="W5" s="1156"/>
      <c r="X5" s="574" t="str">
        <f>'Marks Entry'!P5</f>
        <v xml:space="preserve">प्रथम परख </v>
      </c>
      <c r="Y5" s="574" t="str">
        <f>'Marks Entry'!Q5</f>
        <v>द्वितीय परख</v>
      </c>
      <c r="Z5" s="574" t="str">
        <f>'Marks Entry'!R5</f>
        <v>तृतीय परख</v>
      </c>
      <c r="AA5" s="576" t="str">
        <f>IF('Master Sheet'!$D$11="Hindi","सा. परख योग","Test Total")</f>
        <v>सा. परख योग</v>
      </c>
      <c r="AB5" s="1146"/>
      <c r="AC5" s="1148"/>
      <c r="AD5" s="1150"/>
      <c r="AE5" s="1142"/>
      <c r="AF5" s="1157"/>
      <c r="AG5" s="1157"/>
      <c r="AH5" s="1156"/>
      <c r="AI5" s="1157"/>
      <c r="AJ5" s="1156"/>
      <c r="AK5" s="1156"/>
      <c r="AL5" s="1135"/>
      <c r="AM5" s="575" t="str">
        <f>IF('Marks Entry'!V5="","",'Marks Entry'!V5)</f>
        <v xml:space="preserve">प्रथम परख </v>
      </c>
      <c r="AN5" s="575" t="str">
        <f>IF('Marks Entry'!W5="","",'Marks Entry'!W5)</f>
        <v>द्वितीय परख</v>
      </c>
      <c r="AO5" s="575" t="str">
        <f>IF('Marks Entry'!X5="","",'Marks Entry'!X5)</f>
        <v>तृतीय परख</v>
      </c>
      <c r="AP5" s="576" t="str">
        <f>IF('Master Sheet'!$D$11="Hindi","सा. परख योग","Test Total")</f>
        <v>सा. परख योग</v>
      </c>
      <c r="AQ5" s="151" t="str">
        <f>IF('Marks Entry'!Y5="","",'Marks Entry'!Y5)</f>
        <v>सैद्धांतिक</v>
      </c>
      <c r="AR5" s="571" t="str">
        <f>IF('Marks Entry'!Z5="","",'Marks Entry'!Z5)</f>
        <v>प्रायोगिक</v>
      </c>
      <c r="AS5" s="150" t="str">
        <f>IF('Master Sheet'!$D$11="Hindi","अर्द्ध वा. योग","Total H.Y.")</f>
        <v>अर्द्ध वा. योग</v>
      </c>
      <c r="AT5" s="1148"/>
      <c r="AU5" s="151" t="str">
        <f>IF('Marks Entry'!AA5="","",'Marks Entry'!AA5)</f>
        <v>सैद्धांतिक</v>
      </c>
      <c r="AV5" s="571" t="str">
        <f>IF('Marks Entry'!AB5="","",'Marks Entry'!AB5)</f>
        <v>प्रायोगिक</v>
      </c>
      <c r="AW5" s="150" t="str">
        <f>IF('Master Sheet'!$D$11="Hindi","वार्षिक योग","Total Yearly")</f>
        <v>वार्षिक योग</v>
      </c>
      <c r="AX5" s="1224"/>
      <c r="AY5" s="1224"/>
      <c r="AZ5" s="1142"/>
      <c r="BA5" s="1157"/>
      <c r="BB5" s="1157"/>
      <c r="BC5" s="1156"/>
      <c r="BD5" s="1156"/>
      <c r="BE5" s="1156"/>
      <c r="BF5" s="1157"/>
      <c r="BG5" s="1156"/>
      <c r="BH5" s="1156"/>
      <c r="BI5" s="1135"/>
      <c r="BJ5" s="577" t="str">
        <f>IF('Marks Entry'!AD5="","",'Marks Entry'!AD5)</f>
        <v xml:space="preserve">प्रथम परख </v>
      </c>
      <c r="BK5" s="577" t="str">
        <f>IF('Marks Entry'!AE5="","",'Marks Entry'!AE5)</f>
        <v>द्वितीय परख</v>
      </c>
      <c r="BL5" s="577" t="str">
        <f>IF('Marks Entry'!AF5="","",'Marks Entry'!AF5)</f>
        <v>तृतीय परख</v>
      </c>
      <c r="BM5" s="576" t="str">
        <f>IF('Master Sheet'!$D$11="Hindi","सा. परख योग","Test Total")</f>
        <v>सा. परख योग</v>
      </c>
      <c r="BN5" s="579" t="str">
        <f>IF('Marks Entry'!AG5="","",'Marks Entry'!AG5)</f>
        <v>सैद्धांतिक</v>
      </c>
      <c r="BO5" s="579" t="str">
        <f>IF('Marks Entry'!AH5="","",'Marks Entry'!AH5)</f>
        <v>प्रायोगिक</v>
      </c>
      <c r="BP5" s="578" t="str">
        <f>IF('Master Sheet'!$D$11="Hindi","अर्द्ध वा. योग","Total H.Y.")</f>
        <v>अर्द्ध वा. योग</v>
      </c>
      <c r="BQ5" s="1148"/>
      <c r="BR5" s="579" t="str">
        <f>IF('Marks Entry'!AI5="","",'Marks Entry'!AI5)</f>
        <v>सैद्धांतिक</v>
      </c>
      <c r="BS5" s="579" t="str">
        <f>IF('Marks Entry'!AJ5="","",'Marks Entry'!AJ5)</f>
        <v>प्रायोगिक</v>
      </c>
      <c r="BT5" s="578" t="str">
        <f>IF('Master Sheet'!$D$11="Hindi","वार्षिक योग","Total Yearly")</f>
        <v>वार्षिक योग</v>
      </c>
      <c r="BU5" s="1224"/>
      <c r="BV5" s="1224"/>
      <c r="BW5" s="1142"/>
      <c r="BX5" s="1157"/>
      <c r="BY5" s="1157"/>
      <c r="BZ5" s="1156"/>
      <c r="CA5" s="1156"/>
      <c r="CB5" s="1156"/>
      <c r="CC5" s="1157"/>
      <c r="CD5" s="1156"/>
      <c r="CE5" s="1156"/>
      <c r="CF5" s="1135"/>
      <c r="CG5" s="583" t="str">
        <f>IF('Marks Entry'!AL5="","",'Marks Entry'!AL5)</f>
        <v xml:space="preserve">प्रथम परख </v>
      </c>
      <c r="CH5" s="583" t="str">
        <f>IF('Marks Entry'!AM5="","",'Marks Entry'!AM5)</f>
        <v>द्वितीय परख</v>
      </c>
      <c r="CI5" s="583" t="str">
        <f>IF('Marks Entry'!AN5="","",'Marks Entry'!AN5)</f>
        <v>तृतीय परख</v>
      </c>
      <c r="CJ5" s="576" t="str">
        <f>IF('Master Sheet'!$D$11="Hindi","सा. परख योग","Test Total")</f>
        <v>सा. परख योग</v>
      </c>
      <c r="CK5" s="151" t="str">
        <f>IF('Marks Entry'!AO5="","",'Marks Entry'!AO5)</f>
        <v>सैद्धांतिक</v>
      </c>
      <c r="CL5" s="579" t="str">
        <f>IF('Marks Entry'!AP5="","",'Marks Entry'!AP5)</f>
        <v>प्रायोगिक</v>
      </c>
      <c r="CM5" s="582" t="str">
        <f>IF('Master Sheet'!$D$11="Hindi","अर्द्ध वा. योग","Total H.Y.")</f>
        <v>अर्द्ध वा. योग</v>
      </c>
      <c r="CN5" s="1148"/>
      <c r="CO5" s="151" t="str">
        <f>IF('Marks Entry'!AQ5="","",'Marks Entry'!AQ5)</f>
        <v>सैद्धांतिक</v>
      </c>
      <c r="CP5" s="579" t="str">
        <f>IF('Marks Entry'!AR5="","",'Marks Entry'!AR5)</f>
        <v>प्रायोगिक</v>
      </c>
      <c r="CQ5" s="582" t="str">
        <f>IF('Master Sheet'!$D$11="Hindi","वार्षिक योग","Total Yearly")</f>
        <v>वार्षिक योग</v>
      </c>
      <c r="CR5" s="1224"/>
      <c r="CS5" s="1224"/>
      <c r="CT5" s="1142"/>
      <c r="CU5" s="1157"/>
      <c r="CV5" s="1157"/>
      <c r="CW5" s="1156"/>
      <c r="CX5" s="1156"/>
      <c r="CY5" s="1156"/>
      <c r="CZ5" s="1157"/>
      <c r="DA5" s="1156"/>
      <c r="DB5" s="1156"/>
      <c r="DC5" s="1157"/>
      <c r="DD5" s="1135"/>
      <c r="DE5" s="585" t="str">
        <f>IF('Marks Entry'!AT5="","",'Marks Entry'!AT5)</f>
        <v xml:space="preserve">प्रथम परख </v>
      </c>
      <c r="DF5" s="585" t="str">
        <f>IF('Marks Entry'!AU5="","",'Marks Entry'!AU5)</f>
        <v>द्वितीय परख</v>
      </c>
      <c r="DG5" s="585" t="str">
        <f>IF('Marks Entry'!AV5="","",'Marks Entry'!AV5)</f>
        <v>तृतीय परख</v>
      </c>
      <c r="DH5" s="576" t="str">
        <f>IF('Master Sheet'!$D$11="Hindi","सा. परख योग","Test Total")</f>
        <v>सा. परख योग</v>
      </c>
      <c r="DI5" s="151" t="str">
        <f>IF('Marks Entry'!AW5="","",'Marks Entry'!AW5)</f>
        <v>सैद्धांतिक</v>
      </c>
      <c r="DJ5" s="591" t="str">
        <f>IF('Marks Entry'!AX5="","",'Marks Entry'!AX5)</f>
        <v>प्रायोगिक</v>
      </c>
      <c r="DK5" s="592" t="str">
        <f>IF('Master Sheet'!$D$11="Hindi","अर्द्ध वा. योग","Total H.Y.")</f>
        <v>अर्द्ध वा. योग</v>
      </c>
      <c r="DL5" s="1148"/>
      <c r="DM5" s="151" t="str">
        <f>IF('Marks Entry'!AY5="","",'Marks Entry'!AY5)</f>
        <v>सैद्धांतिक</v>
      </c>
      <c r="DN5" s="591" t="str">
        <f>IF('Marks Entry'!AZ5="","",'Marks Entry'!AZ5)</f>
        <v>पोर्टफोलियो</v>
      </c>
      <c r="DO5" s="591" t="str">
        <f>IF('Marks Entry'!BA5="","",'Marks Entry'!BA5)</f>
        <v>प्रायोगिक</v>
      </c>
      <c r="DP5" s="592" t="str">
        <f>IF('Master Sheet'!$D$11="Hindi","वार्षिक योग","Total Yearly")</f>
        <v>वार्षिक योग</v>
      </c>
      <c r="DQ5" s="1224"/>
      <c r="DR5" s="1224"/>
      <c r="DS5" s="1224"/>
      <c r="DT5" s="1142"/>
      <c r="DU5" s="1157"/>
      <c r="DV5" s="1157"/>
      <c r="DW5" s="1156"/>
      <c r="DX5" s="1156"/>
      <c r="DY5" s="1156"/>
      <c r="DZ5" s="1157"/>
      <c r="EA5" s="1156"/>
      <c r="EB5" s="1156"/>
      <c r="EC5" s="591" t="str">
        <f>'Marks Entry'!BB4</f>
        <v>अनिवार्य प्रवृति</v>
      </c>
      <c r="ED5" s="591" t="str">
        <f>'Marks Entry'!BC4</f>
        <v>वैकल्पिक प्रवृति</v>
      </c>
      <c r="EE5" s="591" t="str">
        <f>'Marks Entry'!BD4</f>
        <v>वार्षिक परीक्षा</v>
      </c>
      <c r="EF5" s="593" t="str">
        <f>IF('Master Sheet'!$D$11="Hindi","विषय कुल योग ","Subject Total")</f>
        <v xml:space="preserve">विषय कुल योग </v>
      </c>
      <c r="EG5" s="1157"/>
      <c r="EH5" s="1157"/>
      <c r="EI5" s="1156"/>
      <c r="EJ5" s="1157"/>
      <c r="EK5" s="1156"/>
      <c r="EL5" s="1225"/>
      <c r="EM5" s="1225"/>
      <c r="EN5" s="1225"/>
      <c r="EO5" s="1225"/>
      <c r="EP5" s="1225"/>
      <c r="EQ5" s="144"/>
      <c r="ER5" s="1223"/>
      <c r="ES5" s="1223"/>
      <c r="ET5" s="1223"/>
      <c r="EU5" s="1223"/>
      <c r="EV5" s="1223"/>
      <c r="EW5" s="1223"/>
      <c r="EX5" s="1221"/>
      <c r="EY5" s="585" t="str">
        <f>IF('Marks Entry'!BE4="","",'Marks Entry'!BE4)</f>
        <v xml:space="preserve">प्रथम परख </v>
      </c>
      <c r="EZ5" s="585" t="str">
        <f>IF('Marks Entry'!BF4="","",'Marks Entry'!BF4)</f>
        <v>द्वितीय परख</v>
      </c>
      <c r="FA5" s="585" t="str">
        <f>IF('Marks Entry'!BG4="","",'Marks Entry'!BG4)</f>
        <v>तृतीय परख</v>
      </c>
      <c r="FB5" s="576" t="str">
        <f>IF('Master Sheet'!$D$11="Hindi","सा. परख योग","Test Total")</f>
        <v>सा. परख योग</v>
      </c>
      <c r="FC5" s="1110"/>
      <c r="FD5" s="1110"/>
      <c r="FE5" s="1142"/>
      <c r="FF5" s="1129"/>
      <c r="FG5" s="1136"/>
      <c r="FH5" s="1136"/>
      <c r="FI5" s="1200"/>
      <c r="FJ5" s="1139" t="str">
        <f>IF('Marks Entry'!K1="Com. Hindi","Com. Hindi","")</f>
        <v>Com. Hindi</v>
      </c>
      <c r="FK5" s="1139"/>
      <c r="FL5" s="1139" t="s">
        <v>228</v>
      </c>
      <c r="FM5" s="1139" t="str">
        <f>IF('Marks Entry'!P1="Com. English","Com. English","")</f>
        <v>Com. English</v>
      </c>
      <c r="FN5" s="1139"/>
      <c r="FO5" s="1139" t="s">
        <v>228</v>
      </c>
      <c r="FP5" s="1203" t="str">
        <f>AL2</f>
        <v>Optional Subject - 01</v>
      </c>
      <c r="FQ5" s="1139" t="str">
        <f>AL3</f>
        <v>POLITICAL SCIENCE</v>
      </c>
      <c r="FR5" s="1139" t="str">
        <f>AR3</f>
        <v>BIOLOGY</v>
      </c>
      <c r="FS5" s="1139" t="str">
        <f>AW3</f>
        <v/>
      </c>
      <c r="FT5" s="1139"/>
      <c r="FU5" s="1139"/>
      <c r="FV5" s="1139" t="s">
        <v>228</v>
      </c>
      <c r="FW5" s="1203" t="str">
        <f>BI2</f>
        <v>Optional Subject - 02</v>
      </c>
      <c r="FX5" s="1139" t="str">
        <f>BI3</f>
        <v>HISTORY</v>
      </c>
      <c r="FY5" s="1139" t="str">
        <f>BO3</f>
        <v>ACCOUNTANCY</v>
      </c>
      <c r="FZ5" s="1139" t="str">
        <f>BT3</f>
        <v>ECONOMICS</v>
      </c>
      <c r="GA5" s="1139"/>
      <c r="GB5" s="1139"/>
      <c r="GC5" s="1139" t="s">
        <v>228</v>
      </c>
      <c r="GD5" s="1203" t="str">
        <f>CF2</f>
        <v>Optional Subject - 03</v>
      </c>
      <c r="GE5" s="1139" t="str">
        <f>CF3</f>
        <v>GEOGRAPHY</v>
      </c>
      <c r="GF5" s="1139" t="str">
        <f>CL3</f>
        <v>HOME SCIENCE</v>
      </c>
      <c r="GG5" s="1139" t="str">
        <f>CQ3</f>
        <v>TYPING</v>
      </c>
      <c r="GH5" s="1139"/>
      <c r="GI5" s="1139"/>
      <c r="GJ5" s="1139" t="s">
        <v>228</v>
      </c>
      <c r="GK5" s="1203" t="str">
        <f>DD2</f>
        <v>Additional Sub. / Vocational  Subject</v>
      </c>
      <c r="GL5" s="1139" t="str">
        <f>DD3</f>
        <v/>
      </c>
      <c r="GM5" s="1139" t="str">
        <f>DK3</f>
        <v/>
      </c>
      <c r="GN5" s="1139" t="str">
        <f>DP3</f>
        <v/>
      </c>
      <c r="GO5" s="1139"/>
      <c r="GP5" s="1139"/>
      <c r="GQ5" s="1139" t="s">
        <v>228</v>
      </c>
      <c r="GR5" s="1109"/>
      <c r="GS5" s="1109"/>
      <c r="GT5" s="1131"/>
      <c r="GU5" s="1131"/>
      <c r="GV5" s="1131"/>
      <c r="GW5" s="1131"/>
      <c r="GX5" s="1131"/>
      <c r="GY5" s="1137"/>
      <c r="GZ5" s="1265"/>
      <c r="HA5" s="1266"/>
      <c r="HB5" s="1133"/>
      <c r="HC5" s="1138"/>
      <c r="HD5" s="1133"/>
      <c r="HE5" s="1109"/>
      <c r="HF5" s="1109"/>
      <c r="HG5" s="1207"/>
      <c r="HH5" s="1109"/>
      <c r="HI5" s="1207"/>
      <c r="HY5" s="1184"/>
      <c r="HZ5" s="1185"/>
      <c r="IA5" s="1185"/>
      <c r="IB5" s="1185"/>
      <c r="IC5" s="1185"/>
      <c r="ID5" s="1186"/>
      <c r="IE5" s="1190"/>
      <c r="IF5" s="1191"/>
      <c r="IG5" s="1191"/>
      <c r="IH5" s="1191"/>
      <c r="II5" s="1191"/>
      <c r="IJ5" s="1192"/>
      <c r="IK5" s="1197"/>
      <c r="IL5" s="1198"/>
      <c r="IM5" s="1198"/>
      <c r="IN5" s="1198"/>
      <c r="IO5" s="1198"/>
      <c r="IP5" s="1199"/>
      <c r="IQ5" s="149"/>
      <c r="IR5" s="149"/>
      <c r="IS5" s="149"/>
      <c r="IT5" s="1193"/>
      <c r="IU5" s="1193"/>
      <c r="IV5" s="1193"/>
      <c r="IW5" s="1193"/>
      <c r="IX5" s="1193"/>
      <c r="IY5" s="1193"/>
      <c r="IZ5" s="1193"/>
      <c r="JA5" s="1193"/>
    </row>
    <row r="6" spans="1:262" s="164" customFormat="1" ht="18.75" customHeight="1">
      <c r="A6" s="1138"/>
      <c r="B6" s="1138"/>
      <c r="C6" s="1138"/>
      <c r="D6" s="1138"/>
      <c r="E6" s="1162"/>
      <c r="F6" s="1162"/>
      <c r="G6" s="1162"/>
      <c r="H6" s="1138"/>
      <c r="I6" s="1138"/>
      <c r="J6" s="1123">
        <f>IF('Marks Entry'!K6="","",'Marks Entry'!K6)</f>
        <v>10</v>
      </c>
      <c r="K6" s="1123">
        <f>IF('Marks Entry'!L6="","",'Marks Entry'!L6)</f>
        <v>10</v>
      </c>
      <c r="L6" s="1123">
        <f>IF('Marks Entry'!M6="","",'Marks Entry'!M6)</f>
        <v>10</v>
      </c>
      <c r="M6" s="1143">
        <f>IF(AND(J6="",K6="",L6=""),"",SUM(J6:L6))</f>
        <v>30</v>
      </c>
      <c r="N6" s="1144">
        <f>IF('Marks Entry'!N6="","",'Marks Entry'!N6)</f>
        <v>70</v>
      </c>
      <c r="O6" s="1143">
        <f>IF(AND(N6="",M6=""),"",SUM(M6,N6))</f>
        <v>100</v>
      </c>
      <c r="P6" s="1123">
        <f>IF('Marks Entry'!O6="","",'Marks Entry'!O6)</f>
        <v>100</v>
      </c>
      <c r="Q6" s="1145">
        <f>IF(AND(O6="",P6=""),"",SUM(O6,P6))</f>
        <v>200</v>
      </c>
      <c r="R6" s="152"/>
      <c r="S6" s="152"/>
      <c r="T6" s="153"/>
      <c r="U6" s="152"/>
      <c r="V6" s="152"/>
      <c r="W6" s="152"/>
      <c r="X6" s="1123">
        <f>IF('Marks Entry'!P6="","",'Marks Entry'!P6)</f>
        <v>10</v>
      </c>
      <c r="Y6" s="1123">
        <f>IF('Marks Entry'!Q6="","",'Marks Entry'!Q6)</f>
        <v>10</v>
      </c>
      <c r="Z6" s="1123">
        <f>IF('Marks Entry'!R6="","",'Marks Entry'!R6)</f>
        <v>10</v>
      </c>
      <c r="AA6" s="1143">
        <f>IF(AND(X6="",Y6="",Z6=""),"",SUM(X6:Z6))</f>
        <v>30</v>
      </c>
      <c r="AB6" s="1123">
        <f>IF('Marks Entry'!S6="","",'Marks Entry'!S6)</f>
        <v>70</v>
      </c>
      <c r="AC6" s="1143">
        <f>IF(AND(AB6="",AA6=""),"",SUM(AA6,AB6))</f>
        <v>100</v>
      </c>
      <c r="AD6" s="1123">
        <f>IF('Marks Entry'!T6="","",'Marks Entry'!T6)</f>
        <v>100</v>
      </c>
      <c r="AE6" s="1145">
        <f>IF(AND(AC6="",AD6=""),"",SUM(AC6,AD6))</f>
        <v>200</v>
      </c>
      <c r="AF6" s="152"/>
      <c r="AG6" s="152"/>
      <c r="AH6" s="153"/>
      <c r="AI6" s="152"/>
      <c r="AJ6" s="152"/>
      <c r="AK6" s="152"/>
      <c r="AL6" s="1158" t="str">
        <f>IF('Marks Entry'!U6="","",'Marks Entry'!U6)</f>
        <v/>
      </c>
      <c r="AM6" s="1123">
        <f>IF('Marks Entry'!V6="","",'Marks Entry'!V6)</f>
        <v>10</v>
      </c>
      <c r="AN6" s="1123">
        <f>IF('Marks Entry'!W6="","",'Marks Entry'!W6)</f>
        <v>10</v>
      </c>
      <c r="AO6" s="1123">
        <f>IF('Marks Entry'!X6="","",'Marks Entry'!X6)</f>
        <v>10</v>
      </c>
      <c r="AP6" s="1143">
        <f>IF(AND(AM6="",AN6="",AO6=""),"",SUM(AM6:AO6))</f>
        <v>30</v>
      </c>
      <c r="AQ6" s="154">
        <f>IF('Marks Entry'!Y6="","",'Marks Entry'!Y6)</f>
        <v>50</v>
      </c>
      <c r="AR6" s="573">
        <f>IF('Marks Entry'!Z6="","",'Marks Entry'!Z6)</f>
        <v>20</v>
      </c>
      <c r="AS6" s="155">
        <f>SUM(AQ6,AR6)</f>
        <v>70</v>
      </c>
      <c r="AT6" s="1143">
        <f>SUM(AP6)+MAX(AS6,AS7)</f>
        <v>100</v>
      </c>
      <c r="AU6" s="154">
        <f>IF('Marks Entry'!AA6="","",'Marks Entry'!AA6)</f>
        <v>70</v>
      </c>
      <c r="AV6" s="573">
        <f>IF('Marks Entry'!AB6="","",'Marks Entry'!AB6)</f>
        <v>30</v>
      </c>
      <c r="AW6" s="155">
        <f>SUM(AU6,AV6)</f>
        <v>100</v>
      </c>
      <c r="AX6" s="156">
        <f>SUM(AP6,AQ6,AU6)</f>
        <v>150</v>
      </c>
      <c r="AY6" s="156">
        <f>SUM(AR6,AV6)</f>
        <v>50</v>
      </c>
      <c r="AZ6" s="1145">
        <f>MAX(SUM(AX6,AY6),SUM(AX7,AY7))</f>
        <v>200</v>
      </c>
      <c r="BA6" s="152">
        <f>COUNTIF(AM6:AO6,"NA")*10</f>
        <v>0</v>
      </c>
      <c r="BB6" s="153">
        <f>IF(AND(AQ6="",AU6=""),(COUNTIF(AM6:AO6,"ML")*10+(COUNTIF(AQ6,"ML"))*AQ$6+(COUNTIF(AU6,"ML"))*AU$6),(COUNTIF(AM6:AO6,"ML")*10+(COUNTIF(AQ6,"ML"))*AQ$6+(COUNTIF(AU6,"ML"))*AU$6))</f>
        <v>0</v>
      </c>
      <c r="BC6" s="153" t="str">
        <f>IF(OR($B6="NSO",$B6=0,AX6=""),"",IF(AND(AR6="",AV6=""),AU$7,AU$6))</f>
        <v/>
      </c>
      <c r="BD6" s="153" t="str">
        <f>IF(OR($B6="NSO",$B6=0,AY6=""),"",IF(AND(AR6="",AV6=""),"",AY$6-(COUNTIF(AR6,"ML")*AR$6)-(COUNTIF(AV6,"ML")*AV$6)))</f>
        <v/>
      </c>
      <c r="BE6" s="153" t="str">
        <f>IF(OR($B6="NSO",$B6=0,$B6=""),"",IF(AND(AR6="",AV6=""),AX$7-BA6-BB6,AX$6-BA6-BB6))</f>
        <v/>
      </c>
      <c r="BF6" s="152"/>
      <c r="BG6" s="153"/>
      <c r="BH6" s="152"/>
      <c r="BI6" s="1158"/>
      <c r="BJ6" s="1123">
        <f>IF('Marks Entry'!AD6="","",'Marks Entry'!AD6)</f>
        <v>10</v>
      </c>
      <c r="BK6" s="1123">
        <f>IF('Marks Entry'!AE6="","",'Marks Entry'!AE6)</f>
        <v>10</v>
      </c>
      <c r="BL6" s="1123">
        <f>IF('Marks Entry'!AF6="","",'Marks Entry'!AF6)</f>
        <v>10</v>
      </c>
      <c r="BM6" s="1143">
        <f>IF(AND(BJ6="",BK6="",BL6=""),"",SUM(BJ6:BL6))</f>
        <v>30</v>
      </c>
      <c r="BN6" s="154">
        <f>IF('Marks Entry'!AG6="","",'Marks Entry'!AG6)</f>
        <v>50</v>
      </c>
      <c r="BO6" s="580">
        <f>IF('Marks Entry'!AH6="","",'Marks Entry'!AH6)</f>
        <v>20</v>
      </c>
      <c r="BP6" s="581">
        <f>SUM(BN6,BO6)</f>
        <v>70</v>
      </c>
      <c r="BQ6" s="1143">
        <f>SUM(BM6)+MAX(BP6,BP7)</f>
        <v>100</v>
      </c>
      <c r="BR6" s="154">
        <f>IF('Marks Entry'!AI6="","",'Marks Entry'!AI6)</f>
        <v>70</v>
      </c>
      <c r="BS6" s="580">
        <f>IF('Marks Entry'!AJ6="","",'Marks Entry'!AJ6)</f>
        <v>30</v>
      </c>
      <c r="BT6" s="155">
        <f>SUM(BR6,BS6)</f>
        <v>100</v>
      </c>
      <c r="BU6" s="156">
        <f>SUM(BM6,BN6,BR6)</f>
        <v>150</v>
      </c>
      <c r="BV6" s="156">
        <f>SUM(BO6,BS6)</f>
        <v>50</v>
      </c>
      <c r="BW6" s="1145">
        <f>MAX(SUM(BU6,BV6),SUM(BU7,BV7))</f>
        <v>200</v>
      </c>
      <c r="BX6" s="152">
        <f>COUNTIF(BJ6:BL6,"NA")*10</f>
        <v>0</v>
      </c>
      <c r="BY6" s="153">
        <f>IF(AND(BN6="",BR6=""),(COUNTIF(BJ6:BL6,"ML")*10+(COUNTIF(BN6,"ML"))*BN$6+(COUNTIF(BR6,"ML"))*BR$6),(COUNTIF(BJ6:BL6,"ML")*10+(COUNTIF(BN6,"ML"))*BN$6+(COUNTIF(BR6,"ML"))*BR$6))</f>
        <v>0</v>
      </c>
      <c r="BZ6" s="153" t="str">
        <f>IF(OR($B6="NSO",$B6=0,BU6=""),"",IF(AND(BO6="",BS6=""),BR$7,BR$6))</f>
        <v/>
      </c>
      <c r="CA6" s="153"/>
      <c r="CB6" s="153" t="str">
        <f>IF(OR($B6="NSO",$B6=0,$B6=""),"",IF(AND(BO6="",BS6=""),BU$7-BX6-BY6,BU$6-BX6-BY6))</f>
        <v/>
      </c>
      <c r="CC6" s="152" t="str">
        <f t="shared" ref="CC6:CC7" si="0">IF(AND(OR(BJ6="ab",BK6="ml"),OR(BM6="ab",BM6="ml")),"AB",IF(AND(OR(BJ6="ab",BJ6="ml"),OR(BK6="ab",BK6="ml"),OR(BP6="ab",BP6="ml")),"AB",IF(AND(OR(BN6="ab",BN6="ml"),OR(BK6="ab",BK6="ml"),OR(BJ6="ab",BJ6="ml")),"AB",IF(AND(OR(BP6="ab",BP6="ml"),OR(BJ6="ab",BJ6="ml"),OR(BK6="ab",BK6="ml")),"AB",""))))</f>
        <v/>
      </c>
      <c r="CD6" s="153" t="str">
        <f>IF(OR($B6="NSO",$B6=0,BT6=""),"",IF(OR(BS6="AB",BT6="AB",CC6="AB"),"AB",IF(BT6="ML","RE",IF(BT6="MLP","REP",IF(BS6&lt;36%*BS$6,"FP",IF(AND(BU6&gt;=36%*CB6,BR6&gt;=20%*BZ6,#REF!&gt;=SUM(CA6)*36%),"P",IF(AND(BU6&gt;=34%*CB6,BY6=0,BR6&gt;=20%*BZ6,#REF!&gt;=SUM(CA6)*36%),"G2",IF(AND(BU6&gt;=31%*CB6,BY6=0,BR6&gt;=20%*BZ6,#REF!&gt;=SUM(CA6)*36%),"G1",IF(AND(BU6&gt;=25%*CB6,#REF!&gt;=SUM(CA6)*36%),"S","F")))))))))</f>
        <v/>
      </c>
      <c r="CE6" s="152" t="str">
        <f t="shared" ref="CE6:CE7" si="1">IF(OR(CD6="REP",CD6="RE",CD6=0,CD6="",CD6="F",CD6="AB"),CD6,IF(AND(BW6&gt;=75%*(200-BX6-BY6),CD6="P"),"D",IF(AND(BW6&gt;=60%*(200-BX6-BY6),CD6="P"),"I",IF(AND(BW6&gt;=48%*(200-BX6-BY6),CD6="P"),"II",IF(AND(BW6&gt;=36%*(200-BX6-BY6),CD6="P"),"III",CD6)))))</f>
        <v/>
      </c>
      <c r="CF6" s="1158"/>
      <c r="CG6" s="1123">
        <f>IF('Marks Entry'!AL6="","",'Marks Entry'!AL6)</f>
        <v>10</v>
      </c>
      <c r="CH6" s="1123">
        <f>IF('Marks Entry'!AM6="","",'Marks Entry'!AM6)</f>
        <v>10</v>
      </c>
      <c r="CI6" s="1123">
        <f>IF('Marks Entry'!AN6="","",'Marks Entry'!AN6)</f>
        <v>10</v>
      </c>
      <c r="CJ6" s="1143">
        <f>IF(AND(CG6="",CH6="",CI6=""),"",SUM(CG6:CI6))</f>
        <v>30</v>
      </c>
      <c r="CK6" s="154">
        <f>IF('Marks Entry'!AO6="","",'Marks Entry'!AO6)</f>
        <v>50</v>
      </c>
      <c r="CL6" s="580">
        <f>IF('Marks Entry'!AP6="","",'Marks Entry'!AP6)</f>
        <v>20</v>
      </c>
      <c r="CM6" s="581">
        <f>SUM(CK6,CL6)</f>
        <v>70</v>
      </c>
      <c r="CN6" s="1143">
        <f>SUM(CJ6)+MAX(CM6,CM7)</f>
        <v>100</v>
      </c>
      <c r="CO6" s="154">
        <f>IF('Marks Entry'!AQ6="","",'Marks Entry'!AQ6)</f>
        <v>70</v>
      </c>
      <c r="CP6" s="580">
        <f>IF('Marks Entry'!AR6="","",'Marks Entry'!AR6)</f>
        <v>30</v>
      </c>
      <c r="CQ6" s="581">
        <f>SUM(CO6,CP6)</f>
        <v>100</v>
      </c>
      <c r="CR6" s="156">
        <f>SUM(CJ6,CK6,CO6)</f>
        <v>150</v>
      </c>
      <c r="CS6" s="156">
        <f>SUM(CL6,CP6)</f>
        <v>50</v>
      </c>
      <c r="CT6" s="1145">
        <f>MAX(SUM(CR6,CS6),SUM(CR7,CS7))</f>
        <v>200</v>
      </c>
      <c r="CU6" s="152">
        <f>COUNTIF(CG6:CI6,"NA")*10</f>
        <v>0</v>
      </c>
      <c r="CV6" s="153">
        <f>IF(AND(CK6="",CO6=""),(COUNTIF(CG6:CI6,"ML")*10+(COUNTIF(CK6,"ML"))*CK$6+(COUNTIF(CO6,"ML"))*CO$6),(COUNTIF(CG6:CI6,"ML")*10+(COUNTIF(CK6,"ML"))*CK$6+(COUNTIF(CO6,"ML"))*CO$6))</f>
        <v>0</v>
      </c>
      <c r="CW6" s="153"/>
      <c r="CX6" s="153"/>
      <c r="CY6" s="153" t="str">
        <f>IF(OR($B6="NSO",$B6=0,$B6=""),"",IF(AND(CL6="",CP6=""),CR$7-CU6-CV6,CR$6-CU6-CV6))</f>
        <v/>
      </c>
      <c r="CZ6" s="152" t="str">
        <f>IF(AND(OR(CG6="ab",CH6="ml"),OR(CJ6="ab",CJ6="ml")),"AB",IF(AND(OR(CG6="ab",CG6="ml"),OR(CH6="ab",CH6="ml"),OR(CM6="ab",CM6="ml")),"AB",IF(AND(OR(CK6="ab",CK6="ml"),OR(CH6="ab",CH6="ml"),OR(CG6="ab",CG6="ml")),"AB",IF(AND(OR(CM6="ab",CM6="ml"),OR(CG6="ab",CG6="ml"),OR(CH6="ab",CH6="ml")),"AB",""))))</f>
        <v/>
      </c>
      <c r="DA6" s="153" t="str">
        <f>IF(OR($B6="NSO",$B6=0,CQ6=""),"",IF(OR(CP6="AB",CQ6="AB",CZ6="AB"),"AB",IF(CQ6="ML","RE",IF(CQ6="MLP","REP",IF(CP6&lt;36%*CP$6,"FP",IF(AND(CR6&gt;=36%*CY6,CO6&gt;=20%*CW6,#REF!&gt;=SUM(CX6)*36%),"P",IF(AND(CR6&gt;=34%*CY6,CV6=0,CO6&gt;=20%*CW6,#REF!&gt;=SUM(CX6)*36%),"G2",IF(AND(CR6&gt;=31%*CY6,CV6=0,CO6&gt;=20%*CW6,#REF!&gt;=SUM(CX6)*36%),"G1",IF(AND(CR6&gt;=25%*CY6,#REF!&gt;=SUM(CX6)*36%),"S","F")))))))))</f>
        <v/>
      </c>
      <c r="DB6" s="152" t="str">
        <f t="shared" ref="DB6:DB7" si="2">IF(OR(DA6="REP",DA6="RE",DA6=0,DA6="",DA6="F",DA6="AB"),DA6,IF(AND(CT6&gt;=75%*(200-CU6-CV6),DA6="P"),"D",IF(AND(CT6&gt;=60%*(200-CU6-CV6),DA6="P"),"I",IF(AND(CT6&gt;=48%*(200-CU6-CV6),DA6="P"),"II",IF(AND(CT6&gt;=36%*(200-CU6-CV6),DA6="P"),"III",DA6)))))</f>
        <v/>
      </c>
      <c r="DC6" s="153"/>
      <c r="DD6" s="1158"/>
      <c r="DE6" s="1123">
        <f>IF('Marks Entry'!AT6="","",IF(OR('Master Sheet'!$D$19="YES",'Marks Entry'!$BA$1=1),'Marks Entry'!AT6,""))</f>
        <v>10</v>
      </c>
      <c r="DF6" s="1123">
        <f>IF('Marks Entry'!AU6="","",IF(OR('Master Sheet'!$D$19="YES",'Marks Entry'!$BA$1=1),'Marks Entry'!AU6,""))</f>
        <v>10</v>
      </c>
      <c r="DG6" s="1123">
        <f>IF('Marks Entry'!AV6="","",IF(OR('Master Sheet'!$D$19="YES",'Marks Entry'!$BA$1=1),'Marks Entry'!AV6,""))</f>
        <v>10</v>
      </c>
      <c r="DH6" s="1143">
        <f>IF(AND(DE6="",DF6="",DG6=""),"",SUM(DE6:DG6))</f>
        <v>30</v>
      </c>
      <c r="DI6" s="154">
        <f>IF('Marks Entry'!AW6="","",IF(OR('Master Sheet'!$D$19="YES",'Marks Entry'!$BA$1=1),'Marks Entry'!AW6,""))</f>
        <v>50</v>
      </c>
      <c r="DJ6" s="785">
        <f>IF('Marks Entry'!AX6="","",IF(OR('Master Sheet'!$D$19="YES",'Marks Entry'!$BA$1=1),'Marks Entry'!AX6,""))</f>
        <v>20</v>
      </c>
      <c r="DK6" s="586">
        <f>IF(AND(DI6="",DJ6=""),"",SUM(DI6,DJ6))</f>
        <v>70</v>
      </c>
      <c r="DL6" s="1143">
        <f>SUM(DH6)+MAX(DK6,DK7)</f>
        <v>100</v>
      </c>
      <c r="DM6" s="154">
        <f>IF('Marks Entry'!AY6="","",IF(OR('Master Sheet'!$D$19="YES",'Marks Entry'!$BA$1=1),'Marks Entry'!AY6,""))</f>
        <v>30</v>
      </c>
      <c r="DN6" s="785">
        <f>IF('Marks Entry'!AZ6="","",IF(OR('Master Sheet'!$D$19="YES",'Marks Entry'!$BA$1=1),'Marks Entry'!AZ6,""))</f>
        <v>20</v>
      </c>
      <c r="DO6" s="785">
        <f>IF('Marks Entry'!BA6="","",IF(OR('Master Sheet'!$D$19="YES",'Marks Entry'!$BA$1=1),'Marks Entry'!BA6,""))</f>
        <v>50</v>
      </c>
      <c r="DP6" s="155">
        <f>SUM(DM6,DO6,DN6)</f>
        <v>100</v>
      </c>
      <c r="DQ6" s="156">
        <f>IF(AND(DH6="",DI6="",DM6=""),"",SUM(DH6,DI6,DM6))</f>
        <v>110</v>
      </c>
      <c r="DR6" s="156">
        <f>IF(DN6="","",SUM(DN6))</f>
        <v>20</v>
      </c>
      <c r="DS6" s="156">
        <f>IF(AND(DJ6="",DO6=""),"",SUM(DJ6,DO6))</f>
        <v>70</v>
      </c>
      <c r="DT6" s="1145">
        <f>MAX(SUM(DQ6,DR6,DS6),SUM(DQ7),SUM(DQ7,DR7))</f>
        <v>200</v>
      </c>
      <c r="DU6" s="152"/>
      <c r="DV6" s="153"/>
      <c r="DW6" s="153"/>
      <c r="DX6" s="153"/>
      <c r="DY6" s="153"/>
      <c r="DZ6" s="152"/>
      <c r="EA6" s="153"/>
      <c r="EB6" s="152"/>
      <c r="EC6" s="1123">
        <f>IF('Marks Entry'!BB6="","",'Marks Entry'!BB6)</f>
        <v>30</v>
      </c>
      <c r="ED6" s="1123">
        <f>IF('Marks Entry'!BC6="","",'Marks Entry'!BC6)</f>
        <v>30</v>
      </c>
      <c r="EE6" s="1123">
        <f>IF('Marks Entry'!BD6="","",'Marks Entry'!BD6)</f>
        <v>40</v>
      </c>
      <c r="EF6" s="1145">
        <f>IF(AND(EC6="",ED6="",EE6=""),"",SUM(EC6:EE7))</f>
        <v>100</v>
      </c>
      <c r="EG6" s="157"/>
      <c r="EH6" s="157"/>
      <c r="EI6" s="158"/>
      <c r="EJ6" s="157"/>
      <c r="EK6" s="157"/>
      <c r="EL6" s="159" t="s">
        <v>215</v>
      </c>
      <c r="EM6" s="159" t="s">
        <v>216</v>
      </c>
      <c r="EN6" s="160" t="s">
        <v>217</v>
      </c>
      <c r="EO6" s="160" t="s">
        <v>218</v>
      </c>
      <c r="EP6" s="160" t="s">
        <v>219</v>
      </c>
      <c r="EQ6" s="160" t="s">
        <v>220</v>
      </c>
      <c r="ER6" s="161" t="s">
        <v>7</v>
      </c>
      <c r="ES6" s="161" t="s">
        <v>67</v>
      </c>
      <c r="ET6" s="161" t="s">
        <v>68</v>
      </c>
      <c r="EU6" s="161" t="s">
        <v>69</v>
      </c>
      <c r="EV6" s="161" t="s">
        <v>70</v>
      </c>
      <c r="EW6" s="162" t="s">
        <v>71</v>
      </c>
      <c r="EX6" s="1222"/>
      <c r="EY6" s="1127">
        <f>IF('Marks Entry'!BE6="","",'Marks Entry'!BE6)</f>
        <v>10</v>
      </c>
      <c r="EZ6" s="1127">
        <f>IF('Marks Entry'!BF6="","",'Marks Entry'!BF6)</f>
        <v>10</v>
      </c>
      <c r="FA6" s="1127">
        <f>IF('Marks Entry'!BG6="","",'Marks Entry'!BG6)</f>
        <v>10</v>
      </c>
      <c r="FB6" s="1143">
        <f>IF(AND(EY6="",EZ6="",FA6=""),"",SUM(EY6:FA7))</f>
        <v>30</v>
      </c>
      <c r="FC6" s="1127">
        <f>IF('Marks Entry'!BH6="","",'Marks Entry'!BH6)</f>
        <v>70</v>
      </c>
      <c r="FD6" s="1127">
        <f>IF('Marks Entry'!BI6="","",'Marks Entry'!BI6)</f>
        <v>100</v>
      </c>
      <c r="FE6" s="1233">
        <f>SUM(EY6,EZ6,FA6,FC6,FD6)</f>
        <v>200</v>
      </c>
      <c r="FF6" s="1283"/>
      <c r="FG6" s="1201"/>
      <c r="FH6" s="1201"/>
      <c r="FI6" s="1201"/>
      <c r="FJ6" s="1204"/>
      <c r="FK6" s="1139"/>
      <c r="FL6" s="1139"/>
      <c r="FM6" s="1139"/>
      <c r="FN6" s="1139"/>
      <c r="FO6" s="1139"/>
      <c r="FP6" s="1203"/>
      <c r="FQ6" s="1139"/>
      <c r="FR6" s="1139"/>
      <c r="FS6" s="1139"/>
      <c r="FT6" s="1139"/>
      <c r="FU6" s="1139"/>
      <c r="FV6" s="1139"/>
      <c r="FW6" s="1203"/>
      <c r="FX6" s="1139"/>
      <c r="FY6" s="1139"/>
      <c r="FZ6" s="1139"/>
      <c r="GA6" s="1139"/>
      <c r="GB6" s="1139"/>
      <c r="GC6" s="1139"/>
      <c r="GD6" s="1203"/>
      <c r="GE6" s="1139"/>
      <c r="GF6" s="1139"/>
      <c r="GG6" s="1139"/>
      <c r="GH6" s="1139"/>
      <c r="GI6" s="1139"/>
      <c r="GJ6" s="1139"/>
      <c r="GK6" s="1203"/>
      <c r="GL6" s="1139"/>
      <c r="GM6" s="1139"/>
      <c r="GN6" s="1139"/>
      <c r="GO6" s="1139"/>
      <c r="GP6" s="1139"/>
      <c r="GQ6" s="1139"/>
      <c r="GR6" s="1110"/>
      <c r="GS6" s="1110"/>
      <c r="GT6" s="1131"/>
      <c r="GU6" s="1131"/>
      <c r="GV6" s="1131"/>
      <c r="GW6" s="1131"/>
      <c r="GX6" s="1131"/>
      <c r="GY6" s="1137"/>
      <c r="GZ6" s="606">
        <f>IF(AND('Master Sheet'!$D$19="YES",'Marks Entry'!$BA$1=1),SUM(Q6,AE6,AZ6,BW6,DT6),SUM(Q6,AE6,AZ6,BW6,CT6))</f>
        <v>1000</v>
      </c>
      <c r="HA6" s="163">
        <f>GZ6*100/(GZ6-DC6)</f>
        <v>100</v>
      </c>
      <c r="HB6" s="1134"/>
      <c r="HC6" s="1138"/>
      <c r="HD6" s="1134"/>
      <c r="HE6" s="1110"/>
      <c r="HF6" s="1110"/>
      <c r="HG6" s="1150"/>
      <c r="HH6" s="1110"/>
      <c r="HI6" s="1150"/>
      <c r="HY6" s="165" t="s">
        <v>96</v>
      </c>
      <c r="HZ6" s="166" t="s">
        <v>97</v>
      </c>
      <c r="IA6" s="167" t="str">
        <f>AL2</f>
        <v>Optional Subject - 01</v>
      </c>
      <c r="IB6" s="167" t="str">
        <f>BI2</f>
        <v>Optional Subject - 02</v>
      </c>
      <c r="IC6" s="167" t="str">
        <f>CF2</f>
        <v>Optional Subject - 03</v>
      </c>
      <c r="ID6" s="167" t="s">
        <v>225</v>
      </c>
      <c r="IE6" s="168" t="str">
        <f>HY6</f>
        <v>fgUnh</v>
      </c>
      <c r="IF6" s="168" t="str">
        <f t="shared" ref="IF6:II6" si="3">HZ6</f>
        <v>vaxzsth</v>
      </c>
      <c r="IG6" s="169" t="str">
        <f t="shared" si="3"/>
        <v>Optional Subject - 01</v>
      </c>
      <c r="IH6" s="169" t="str">
        <f t="shared" si="3"/>
        <v>Optional Subject - 02</v>
      </c>
      <c r="II6" s="169" t="str">
        <f t="shared" si="3"/>
        <v>Optional Subject - 03</v>
      </c>
      <c r="IJ6" s="170" t="s">
        <v>225</v>
      </c>
      <c r="IK6" s="171" t="str">
        <f>HY6</f>
        <v>fgUnh</v>
      </c>
      <c r="IL6" s="171" t="str">
        <f t="shared" ref="IL6" si="4">HZ6</f>
        <v>vaxzsth</v>
      </c>
      <c r="IM6" s="169" t="str">
        <f t="shared" ref="IM6" si="5">IG6</f>
        <v>Optional Subject - 01</v>
      </c>
      <c r="IN6" s="169" t="str">
        <f t="shared" ref="IN6" si="6">IH6</f>
        <v>Optional Subject - 02</v>
      </c>
      <c r="IO6" s="169" t="str">
        <f t="shared" ref="IO6" si="7">II6</f>
        <v>Optional Subject - 03</v>
      </c>
      <c r="IP6" s="170" t="s">
        <v>225</v>
      </c>
      <c r="IQ6" s="149" t="s">
        <v>99</v>
      </c>
      <c r="IR6" s="149"/>
      <c r="IS6" s="149" t="s">
        <v>98</v>
      </c>
      <c r="IT6" s="172"/>
      <c r="IU6" s="173"/>
      <c r="IV6" s="173"/>
      <c r="IW6" s="173"/>
      <c r="IX6" s="173"/>
      <c r="IY6" s="1193"/>
      <c r="IZ6" s="1193"/>
      <c r="JA6" s="1193"/>
    </row>
    <row r="7" spans="1:262" s="164" customFormat="1" ht="15.95" customHeight="1">
      <c r="A7" s="1138"/>
      <c r="B7" s="1138"/>
      <c r="C7" s="1138"/>
      <c r="D7" s="1138"/>
      <c r="E7" s="1162"/>
      <c r="F7" s="1162"/>
      <c r="G7" s="1162"/>
      <c r="H7" s="1138"/>
      <c r="I7" s="1138"/>
      <c r="J7" s="1123"/>
      <c r="K7" s="1123"/>
      <c r="L7" s="1123"/>
      <c r="M7" s="1143"/>
      <c r="N7" s="1123"/>
      <c r="O7" s="1143"/>
      <c r="P7" s="1123"/>
      <c r="Q7" s="1145"/>
      <c r="R7" s="152"/>
      <c r="S7" s="152"/>
      <c r="T7" s="153"/>
      <c r="U7" s="152"/>
      <c r="V7" s="152"/>
      <c r="W7" s="152"/>
      <c r="X7" s="1123"/>
      <c r="Y7" s="1123"/>
      <c r="Z7" s="1123"/>
      <c r="AA7" s="1143"/>
      <c r="AB7" s="1123"/>
      <c r="AC7" s="1143"/>
      <c r="AD7" s="1123"/>
      <c r="AE7" s="1145"/>
      <c r="AF7" s="152"/>
      <c r="AG7" s="152"/>
      <c r="AH7" s="153"/>
      <c r="AI7" s="152"/>
      <c r="AJ7" s="152"/>
      <c r="AK7" s="152">
        <f>IF(OR(AJ7="",AJ7=0,AJ7="S",AJ7="RE",AJ7="F",AJ7="AB"),AJ7,IF(AE7&gt;=75%*AH7,"D",IF(AE7&gt;=60%*AH7,"I",IF(AE7&gt;=48%*AH7,"II",IF(AE7&gt;=36%*AH7,"III",AJ7)))))</f>
        <v>0</v>
      </c>
      <c r="AL7" s="1158"/>
      <c r="AM7" s="1123"/>
      <c r="AN7" s="1123"/>
      <c r="AO7" s="1123"/>
      <c r="AP7" s="1143"/>
      <c r="AQ7" s="154">
        <f>IF('Marks Entry'!Y7="","",'Marks Entry'!Y7)</f>
        <v>70</v>
      </c>
      <c r="AR7" s="573" t="str">
        <f>IF('Marks Entry'!Z7="","",'Marks Entry'!Z7)</f>
        <v/>
      </c>
      <c r="AS7" s="155">
        <f>SUM(AQ7,AR7)</f>
        <v>70</v>
      </c>
      <c r="AT7" s="1143"/>
      <c r="AU7" s="154">
        <f>IF('Marks Entry'!AA7="","",'Marks Entry'!AA7)</f>
        <v>100</v>
      </c>
      <c r="AV7" s="573" t="str">
        <f>IF('Marks Entry'!AB7="","",'Marks Entry'!AB7)</f>
        <v/>
      </c>
      <c r="AW7" s="155">
        <f>SUM(AU7,AV7)</f>
        <v>100</v>
      </c>
      <c r="AX7" s="156">
        <f>SUM(AP6,AQ7,AU7)</f>
        <v>200</v>
      </c>
      <c r="AY7" s="156">
        <f>SUM(AR7,AV7)</f>
        <v>0</v>
      </c>
      <c r="AZ7" s="1145"/>
      <c r="BA7" s="152">
        <f t="shared" ref="BA7:BA8" si="8">COUNTIF(AM7:AO7,"NA")*10</f>
        <v>0</v>
      </c>
      <c r="BB7" s="153">
        <f t="shared" ref="BB7:BB8" si="9">IF(AND(AQ7="",AU7=""),(COUNTIF(AM7:AO7,"ML")*10+(COUNTIF(AQ7,"ML"))*AQ$6+(COUNTIF(AU7,"ML"))*AU$6),(COUNTIF(AM7:AO7,"ML")*10+(COUNTIF(AQ7,"ML"))*AQ$6+(COUNTIF(AU7,"ML"))*AU$6))</f>
        <v>0</v>
      </c>
      <c r="BC7" s="153" t="str">
        <f>IF(OR($B7="NSO",$B7=0,AX7=""),"",IF(AND(AR7="",AV7=""),AU$7,AU$6))</f>
        <v/>
      </c>
      <c r="BD7" s="153" t="str">
        <f>IF(OR($B7="NSO",$B7=0,AY7=""),"",IF(AND(AR7="",AV7=""),"",AY$6-(COUNTIF(AR7,"ML")*AR$6)-(COUNTIF(AV7,"ML")*AV$6)))</f>
        <v/>
      </c>
      <c r="BE7" s="153" t="str">
        <f>IF(OR($B7="NSO",$B7=0,$B7=""),"",IF(AND(AR7="",AV7=""),AX$7-BA7-BB7,AX$6-BA7-BB7))</f>
        <v/>
      </c>
      <c r="BF7" s="152"/>
      <c r="BG7" s="153"/>
      <c r="BH7" s="152"/>
      <c r="BI7" s="1158"/>
      <c r="BJ7" s="1123"/>
      <c r="BK7" s="1123"/>
      <c r="BL7" s="1123"/>
      <c r="BM7" s="1143"/>
      <c r="BN7" s="154">
        <f>IF('Marks Entry'!AG7="","",'Marks Entry'!AG7)</f>
        <v>70</v>
      </c>
      <c r="BO7" s="580" t="str">
        <f>IF('Marks Entry'!AH7="","",'Marks Entry'!AH7)</f>
        <v/>
      </c>
      <c r="BP7" s="581">
        <f>SUM(BN7,BO7)</f>
        <v>70</v>
      </c>
      <c r="BQ7" s="1143"/>
      <c r="BR7" s="154">
        <f>IF('Marks Entry'!AI7="","",'Marks Entry'!AI7)</f>
        <v>100</v>
      </c>
      <c r="BS7" s="580" t="str">
        <f>IF('Marks Entry'!AJ7="","",'Marks Entry'!AJ7)</f>
        <v/>
      </c>
      <c r="BT7" s="581">
        <f>SUM(BR7,BS7)</f>
        <v>100</v>
      </c>
      <c r="BU7" s="156">
        <f>SUM(BM6,BN7,BR7)</f>
        <v>200</v>
      </c>
      <c r="BV7" s="156">
        <f>SUM(BO7,BS7)</f>
        <v>0</v>
      </c>
      <c r="BW7" s="1145"/>
      <c r="BX7" s="152">
        <f t="shared" ref="BX7:BX8" si="10">COUNTIF(BJ7:BL7,"NA")*10</f>
        <v>0</v>
      </c>
      <c r="BY7" s="153">
        <f t="shared" ref="BY7" si="11">IF(AND(BN7="",BR7=""),(COUNTIF(BJ7:BL7,"ML")*10+(COUNTIF(BN7,"ML"))*BN$6+(COUNTIF(BR7,"ML"))*BR$6),(COUNTIF(BJ7:BL7,"ML")*10+(COUNTIF(BN7,"ML"))*BN$6+(COUNTIF(BR7,"ML"))*BR$6))</f>
        <v>0</v>
      </c>
      <c r="BZ7" s="153" t="str">
        <f>IF(OR($B7="NSO",$B7=0,BU7=""),"",IF(AND(BO7="",BS7=""),BR$7,BR$6))</f>
        <v/>
      </c>
      <c r="CA7" s="153"/>
      <c r="CB7" s="153" t="str">
        <f>IF(OR($B7="NSO",$B7=0,$B7=""),"",IF(AND(BO7="",BS7=""),BU$7-BX7-BY7,BU$6-BX7-BY7))</f>
        <v/>
      </c>
      <c r="CC7" s="152" t="str">
        <f t="shared" si="0"/>
        <v/>
      </c>
      <c r="CD7" s="153" t="str">
        <f>IF(OR($B7="NSO",$B7=0,BT7=""),"",IF(OR(BS7="AB",BT7="AB",CC7="AB"),"AB",IF(BT7="ML","RE",IF(BT7="MLP","REP",IF(BS7&lt;36%*BS$6,"FP",IF(AND(BU7&gt;=36%*CB7,BR7&gt;=20%*BZ7,#REF!&gt;=SUM(CA7)*36%),"P",IF(AND(BU7&gt;=34%*CB7,BY7=0,BR7&gt;=20%*BZ7,#REF!&gt;=SUM(CA7)*36%),"G2",IF(AND(BU7&gt;=31%*CB7,BY7=0,BR7&gt;=20%*BZ7,#REF!&gt;=SUM(CA7)*36%),"G1",IF(AND(BU7&gt;=25%*CB7,#REF!&gt;=SUM(CA7)*36%),"S","F")))))))))</f>
        <v/>
      </c>
      <c r="CE7" s="152" t="str">
        <f t="shared" si="1"/>
        <v/>
      </c>
      <c r="CF7" s="1158"/>
      <c r="CG7" s="1123"/>
      <c r="CH7" s="1123"/>
      <c r="CI7" s="1123"/>
      <c r="CJ7" s="1143"/>
      <c r="CK7" s="154">
        <f>IF('Marks Entry'!AO7="","",'Marks Entry'!AO7)</f>
        <v>70</v>
      </c>
      <c r="CL7" s="580" t="str">
        <f>IF('Marks Entry'!AP7="","",'Marks Entry'!AP7)</f>
        <v/>
      </c>
      <c r="CM7" s="581">
        <f>SUM(CK7,CL7)</f>
        <v>70</v>
      </c>
      <c r="CN7" s="1143"/>
      <c r="CO7" s="154">
        <f>IF('Marks Entry'!AQ7="","",'Marks Entry'!AQ7)</f>
        <v>100</v>
      </c>
      <c r="CP7" s="580" t="str">
        <f>IF('Marks Entry'!AR7="","",'Marks Entry'!AR7)</f>
        <v/>
      </c>
      <c r="CQ7" s="581">
        <f>SUM(CO7,CP7)</f>
        <v>100</v>
      </c>
      <c r="CR7" s="156">
        <f>SUM(CJ6,CK7,CO7)</f>
        <v>200</v>
      </c>
      <c r="CS7" s="156">
        <f>SUM(CL7,CP7)</f>
        <v>0</v>
      </c>
      <c r="CT7" s="1145"/>
      <c r="CU7" s="152">
        <f t="shared" ref="CU7:CU8" si="12">COUNTIF(CG7:CI7,"NA")*10</f>
        <v>0</v>
      </c>
      <c r="CV7" s="153">
        <f t="shared" ref="CV7:CV8" si="13">IF(AND(CK7="",CO7=""),(COUNTIF(CG7:CI7,"ML")*10+(COUNTIF(CK7,"ML"))*CK$6+(COUNTIF(CO7,"ML"))*CO$6),(COUNTIF(CG7:CI7,"ML")*10+(COUNTIF(CK7,"ML"))*CK$6+(COUNTIF(CO7,"ML"))*CO$6))</f>
        <v>0</v>
      </c>
      <c r="CW7" s="153"/>
      <c r="CX7" s="153"/>
      <c r="CY7" s="153" t="str">
        <f>IF(OR($B7="NSO",$B7=0,$B7=""),"",IF(AND(CL7="",CP7=""),CR$7-CU7-CV7,CR$6-CU7-CV7))</f>
        <v/>
      </c>
      <c r="CZ7" s="152" t="str">
        <f>IF(AND(OR(CG7="ab",CH7="ml"),OR(CJ7="ab",CJ7="ml")),"AB",IF(AND(OR(CG7="ab",CG7="ml"),OR(CH7="ab",CH7="ml"),OR(CM7="ab",CM7="ml")),"AB",IF(AND(OR(CK7="ab",CK7="ml"),OR(CH7="ab",CH7="ml"),OR(CG7="ab",CG7="ml")),"AB",IF(AND(OR(CM7="ab",CM7="ml"),OR(CG7="ab",CG7="ml"),OR(CH7="ab",CH7="ml")),"AB",""))))</f>
        <v/>
      </c>
      <c r="DA7" s="153" t="str">
        <f>IF(OR($B7="NSO",$B7=0,CQ7=""),"",IF(OR(CP7="AB",CQ7="AB",CZ7="AB"),"AB",IF(CQ7="ML","RE",IF(CQ7="MLP","REP",IF(CP7&lt;36%*CP$6,"FP",IF(AND(CR7&gt;=36%*CY7,CO7&gt;=20%*CW7,#REF!&gt;=SUM(CX7)*36%),"P",IF(AND(CR7&gt;=34%*CY7,CV7=0,CO7&gt;=20%*CW7,#REF!&gt;=SUM(CX7)*36%),"G2",IF(AND(CR7&gt;=31%*CY7,CV7=0,CO7&gt;=20%*CW7,#REF!&gt;=SUM(CX7)*36%),"G1",IF(AND(CR7&gt;=25%*CY7,#REF!&gt;=SUM(CX7)*36%),"S","F")))))))))</f>
        <v/>
      </c>
      <c r="DB7" s="152" t="str">
        <f t="shared" si="2"/>
        <v/>
      </c>
      <c r="DC7" s="153"/>
      <c r="DD7" s="1158"/>
      <c r="DE7" s="1123"/>
      <c r="DF7" s="1123"/>
      <c r="DG7" s="1123"/>
      <c r="DH7" s="1143"/>
      <c r="DI7" s="785">
        <f>IF('Marks Entry'!AW7="","",IF(OR('Master Sheet'!$D$19="YES",'Marks Entry'!$BA$1=1),'Marks Entry'!AW7,""))</f>
        <v>70</v>
      </c>
      <c r="DJ7" s="785">
        <f>IF('Marks Entry'!AX7="",0,IF(OR('Master Sheet'!$D$19="YES",'Marks Entry'!$BA$1=1),'Marks Entry'!AX7,""))</f>
        <v>0</v>
      </c>
      <c r="DK7" s="786">
        <f>IF(AND(DI7="",DJ7=""),"",SUM(DI7,DJ7))</f>
        <v>70</v>
      </c>
      <c r="DL7" s="1143"/>
      <c r="DM7" s="785">
        <f>IF('Marks Entry'!AY7="","",IF(OR('Master Sheet'!$D$19="YES",'Marks Entry'!$BA$1=1),'Marks Entry'!AY7,""))</f>
        <v>100</v>
      </c>
      <c r="DN7" s="785">
        <f>IF('Marks Entry'!AZ7="",0,IF(OR('Master Sheet'!$D$19="YES",'Marks Entry'!$BA$1=1),'Marks Entry'!AZ7,0))</f>
        <v>0</v>
      </c>
      <c r="DO7" s="785">
        <f>IF('Marks Entry'!BA7="",0,IF(OR('Master Sheet'!$D$19="YES",'Marks Entry'!$BA$1=1),'Marks Entry'!BA7,""))</f>
        <v>0</v>
      </c>
      <c r="DP7" s="155">
        <f>SUM(DM7,DO7,DN7)</f>
        <v>100</v>
      </c>
      <c r="DQ7" s="156">
        <f>IF(AND(DH6="",DI7="",DM7=""),"",SUM(DH6,DI7,DM7))</f>
        <v>200</v>
      </c>
      <c r="DR7" s="156">
        <f>IF(DN7="","",SUM(DN7))</f>
        <v>0</v>
      </c>
      <c r="DS7" s="156">
        <f>IF(AND(DJ7="",DO7=""),0,SUM(DJ7,DO7))</f>
        <v>0</v>
      </c>
      <c r="DT7" s="1145"/>
      <c r="DU7" s="152"/>
      <c r="DV7" s="153"/>
      <c r="DW7" s="153"/>
      <c r="DX7" s="153"/>
      <c r="DY7" s="153"/>
      <c r="DZ7" s="152"/>
      <c r="EA7" s="153"/>
      <c r="EB7" s="152"/>
      <c r="EC7" s="1123"/>
      <c r="ED7" s="1123"/>
      <c r="EE7" s="1123"/>
      <c r="EF7" s="1145"/>
      <c r="EG7" s="157"/>
      <c r="EH7" s="157"/>
      <c r="EI7" s="158"/>
      <c r="EJ7" s="157"/>
      <c r="EK7" s="157"/>
      <c r="EL7" s="174"/>
      <c r="EM7" s="174"/>
      <c r="EN7" s="175"/>
      <c r="EO7" s="175"/>
      <c r="EP7" s="175"/>
      <c r="EQ7" s="175"/>
      <c r="ER7" s="161"/>
      <c r="ES7" s="161"/>
      <c r="ET7" s="161"/>
      <c r="EU7" s="161"/>
      <c r="EV7" s="161"/>
      <c r="EW7" s="161"/>
      <c r="EX7" s="112"/>
      <c r="EY7" s="1128"/>
      <c r="EZ7" s="1128"/>
      <c r="FA7" s="1128"/>
      <c r="FB7" s="1143"/>
      <c r="FC7" s="1128"/>
      <c r="FD7" s="1128"/>
      <c r="FE7" s="1234"/>
      <c r="FF7" s="1284"/>
      <c r="FG7" s="1201"/>
      <c r="FH7" s="1201"/>
      <c r="FI7" s="1201"/>
      <c r="FJ7" s="176"/>
      <c r="FK7" s="177"/>
      <c r="FL7" s="177"/>
      <c r="FM7" s="177"/>
      <c r="FN7" s="177"/>
      <c r="FO7" s="177"/>
      <c r="FP7" s="178"/>
      <c r="FQ7" s="177"/>
      <c r="FR7" s="177"/>
      <c r="FS7" s="177"/>
      <c r="FT7" s="177"/>
      <c r="FU7" s="177"/>
      <c r="FV7" s="177"/>
      <c r="FW7" s="178"/>
      <c r="FX7" s="177"/>
      <c r="FY7" s="177"/>
      <c r="FZ7" s="177"/>
      <c r="GA7" s="177"/>
      <c r="GB7" s="177"/>
      <c r="GC7" s="177"/>
      <c r="GD7" s="178"/>
      <c r="GE7" s="177"/>
      <c r="GF7" s="177"/>
      <c r="GG7" s="177"/>
      <c r="GH7" s="177"/>
      <c r="GI7" s="177"/>
      <c r="GJ7" s="177"/>
      <c r="GK7" s="177"/>
      <c r="GL7" s="177"/>
      <c r="GM7" s="177"/>
      <c r="GN7" s="177"/>
      <c r="GO7" s="177"/>
      <c r="GP7" s="177"/>
      <c r="GQ7" s="177"/>
      <c r="GR7" s="177"/>
      <c r="GS7" s="600"/>
      <c r="GT7" s="597"/>
      <c r="GU7" s="597"/>
      <c r="GV7" s="597"/>
      <c r="GW7" s="598"/>
      <c r="GX7" s="597"/>
      <c r="GY7" s="180"/>
      <c r="GZ7" s="606"/>
      <c r="HA7" s="163"/>
      <c r="HB7" s="181"/>
      <c r="HC7" s="599"/>
      <c r="HD7" s="182"/>
      <c r="HE7" s="179"/>
      <c r="HF7" s="179"/>
      <c r="HG7" s="179"/>
      <c r="HH7" s="179"/>
      <c r="HI7" s="179"/>
    </row>
    <row r="8" spans="1:262" s="210" customFormat="1" ht="21" customHeight="1">
      <c r="A8" s="183">
        <v>1</v>
      </c>
      <c r="B8" s="184">
        <f>IF('Marks Entry'!B8="","",'Marks Entry'!B8)</f>
        <v>1101</v>
      </c>
      <c r="C8" s="185">
        <f>IF('Marks Entry'!D8="","",'Marks Entry'!D8)</f>
        <v>230</v>
      </c>
      <c r="D8" s="186">
        <f>IF('Marks Entry'!E8="","",'Marks Entry'!E8)</f>
        <v>37622</v>
      </c>
      <c r="E8" s="187" t="str">
        <f>IF('Marks Entry'!F8="","",'Marks Entry'!F8)</f>
        <v>A</v>
      </c>
      <c r="F8" s="187" t="str">
        <f>IF('Marks Entry'!G8="","",'Marks Entry'!G8)</f>
        <v>X</v>
      </c>
      <c r="G8" s="187" t="str">
        <f>IF('Marks Entry'!H8="","",'Marks Entry'!H8)</f>
        <v>M</v>
      </c>
      <c r="H8" s="188" t="str">
        <f>IF('Marks Entry'!I8="","",'Marks Entry'!I8)</f>
        <v>GEN</v>
      </c>
      <c r="I8" s="189" t="str">
        <f>IF('Marks Entry'!J8="","",'Marks Entry'!J8)</f>
        <v>M</v>
      </c>
      <c r="J8" s="154">
        <f>IF('Marks Entry'!K8="","",'Marks Entry'!K8)</f>
        <v>8</v>
      </c>
      <c r="K8" s="545">
        <f>IF('Marks Entry'!L8="","",'Marks Entry'!L8)</f>
        <v>8</v>
      </c>
      <c r="L8" s="545">
        <f>IF('Marks Entry'!M8="","",'Marks Entry'!M8)</f>
        <v>9</v>
      </c>
      <c r="M8" s="155">
        <f>IF(AND(J8="",K8="",L8=""),"",IF(AND(J8="AB",K8="AB",L8="AB"),"AB",IF(AND(J8="ML",K8="ML",L8="ML"),"ML",SUM(J8:L8))))</f>
        <v>25</v>
      </c>
      <c r="N8" s="154">
        <f>IF('Marks Entry'!N8="","",'Marks Entry'!N8)</f>
        <v>46</v>
      </c>
      <c r="O8" s="155">
        <f>IF(AND(N8="",M8=""),"",IF(AND(N8="AB",M8="AB"),"AB",IF(AND(N8="ML",M8="ML"),"ML",SUM(M8,N8))))</f>
        <v>71</v>
      </c>
      <c r="P8" s="154">
        <f>IF('Marks Entry'!O8="","",'Marks Entry'!O8)</f>
        <v>70</v>
      </c>
      <c r="Q8" s="190">
        <f>IF(AND(O8="",P8=""),"",IF(AND(O8="AB",P8="AB"),"AB",IF(AND(O8="ML",P8="ML"),"ML",SUM(O8,P8))))</f>
        <v>141</v>
      </c>
      <c r="R8" s="152">
        <f>COUNTIF(J8:L8,"NA")*10</f>
        <v>0</v>
      </c>
      <c r="S8" s="152">
        <f>(COUNTIF(J8:L8,"ML")*10)+(COUNTIF(N8,"ML")*70)+(COUNTIF(P8,"ML")*100)</f>
        <v>0</v>
      </c>
      <c r="T8" s="153">
        <f>IF(OR($B8="NSO",$B8=0),"",IF(AND(J8="",K8="",L8="",N8="",P8=""),"",IF(AND(K8="",J8="",O8="",N8=""),20-R8-S8,IF(AND(K8="",L8="",N8=""),20-R8-S8,IF(AND(N8="",P8=""),40-R8-S8,IF(P8="",100-R8-S8,200-R8-S8))))))</f>
        <v>200</v>
      </c>
      <c r="U8" s="152" t="str">
        <f>IF(OR($B8="",$C8="",$E8=""),"",IF(AND(OR(J8="ab",J8="ml",J8=""),OR(K8="ab",K8="ml",K8=""),OR(N8="ab",N8="ml",N8="")),"AB",IF(AND(OR(N8="ab",N8="ml",N8=""),OR(P8="ab",P8="ml",P8=""),OR(L8="ab",L8="ml")),"AB",IF(AND(OR(P8="ab",P8="ml",P8=""),OR(J8="ab",J8="ml",J8=""),OR(K8="ab",K8="ml",K8="")),"AB",""))))</f>
        <v/>
      </c>
      <c r="V8" s="152" t="str">
        <f>IF(OR($B8="NSO",$B8="",Q8=""),"",IF(OR(U8="AB",P8="ab"),"AB",IF(P8="ML","RE",IF(AND(Q8&gt;=36%*T8,P8&gt;=20%*$P$6),"P",IF(AND(Q8&gt;=34%*T8,S8=0,P8&gt;=20%*$P$6),"G2",IF(AND(Q8&gt;=31%*T8,S8=0,P8&gt;=20%*$P$6),"G1",IF(Q8&gt;=25%*T8,"S","F")))))))</f>
        <v>P</v>
      </c>
      <c r="W8" s="152" t="str">
        <f>IF(OR(V8="",V8=0,V8="S",V8="RE",V8="F",V8="AB"),V8,IF(Q8&gt;=75%*T8,"D",IF(Q8&gt;=60%*T8,"I",IF(Q8&gt;=48%*T8,"II",IF(Q8&gt;=36%*T8,"III",V8)))))</f>
        <v>I</v>
      </c>
      <c r="X8" s="154">
        <f>IF('Marks Entry'!P8="","",'Marks Entry'!P8)</f>
        <v>8</v>
      </c>
      <c r="Y8" s="545">
        <f>IF('Marks Entry'!Q8="","",'Marks Entry'!Q8)</f>
        <v>5</v>
      </c>
      <c r="Z8" s="545">
        <f>IF('Marks Entry'!R8="","",'Marks Entry'!R8)</f>
        <v>8</v>
      </c>
      <c r="AA8" s="546">
        <f>IF(AND(X8="",Y8="",Z8=""),"",IF(AND(X8="AB",Y8="AB",Z8="AB"),"AB",IF(AND(X8="ML",Y8="ML",Z8="ML"),"ML",SUM(X8:Z8))))</f>
        <v>21</v>
      </c>
      <c r="AB8" s="154">
        <f>IF('Marks Entry'!S8="","",'Marks Entry'!S8)</f>
        <v>48</v>
      </c>
      <c r="AC8" s="546">
        <f>IF(AND(AB8="",AA8=""),"",IF(AND(AB8="AB",AA8="AB"),"AB",IF(AND(AB8="ML",AA8="ML"),"ML",SUM(AA8,AB8))))</f>
        <v>69</v>
      </c>
      <c r="AD8" s="154">
        <f>IF('Marks Entry'!T8="","",'Marks Entry'!T8)</f>
        <v>74</v>
      </c>
      <c r="AE8" s="547">
        <f>IF(AND(AC8="",AD8=""),"",IF(AND(AC8="AB",AD8="AB"),"AB",IF(AND(AC8="ML",AD8="ML"),"ML",SUM(AC8,AD8))))</f>
        <v>143</v>
      </c>
      <c r="AF8" s="152">
        <f>COUNTIF(X8:Z8,"NA")*10</f>
        <v>0</v>
      </c>
      <c r="AG8" s="152">
        <f>(COUNTIF(X8:Z8,"ML")*10)+(COUNTIF(AB8,"ML")*70)+(COUNTIF(AD8,"ML")*100)</f>
        <v>0</v>
      </c>
      <c r="AH8" s="153">
        <f>IF(OR($B8="NSO",$B8=0),"",IF(AND(X8="",Y8="",Z8="",AB8="",AD8=""),"",IF(AND(Y8="",X8="",AC8="",AB8=""),20-AF8-AG8,IF(AND(Y8="",Z8="",AB8=""),20-AF8-AG8,IF(AND(AB8="",AD8=""),40-AF8-AG8,IF(AD8="",100-AF8-AG8,200-AF8-AG8))))))</f>
        <v>200</v>
      </c>
      <c r="AI8" s="152" t="str">
        <f>IF(OR($B8="",$C8="",$E8=""),"",IF(AND(OR(X8="ab",X8="ml",X8=""),OR(Y8="ab",Y8="ml",Y8=""),OR(AB8="ab",AB8="ml",AB8="")),"AB",IF(AND(OR(AB8="ab",AB8="ml",AB8=""),OR(AD8="ab",AD8="ml",AD8=""),OR(Z8="ab",Z8="ml")),"AB",IF(AND(OR(AD8="ab",AD8="ml",AD8=""),OR(X8="ab",X8="ml",X8=""),OR(Y8="ab",Y8="ml",Y8="")),"AB",""))))</f>
        <v/>
      </c>
      <c r="AJ8" s="152" t="str">
        <f>IF(OR($B8="NSO",$B8="",AE8=""),"",IF(OR(AI8="AB",AD8="ab"),"AB",IF(AD8="ML","RE",IF(AND(AE8&gt;=36%*AH8,AD8&gt;=20%*$P$6),"P",IF(AND(AE8&gt;=34%*AH8,AG8=0,AD8&gt;=20%*$P$6),"G2",IF(AND(AE8&gt;=31%*AH8,AG8=0,AD8&gt;=20%*$P$6),"G1",IF(AE8&gt;=25%*AH8,"S","F")))))))</f>
        <v>P</v>
      </c>
      <c r="AK8" s="152" t="str">
        <f>IF(OR(AJ8="",AJ8=0,AJ8="S",AJ8="RE",AJ8="F",AJ8="AB"),AJ8,IF(AE8&gt;=75%*AH8,"D",IF(AE8&gt;=60%*AH8,"I",IF(AE8&gt;=48%*AH8,"II",IF(AE8&gt;=36%*AH8,"III",AJ8)))))</f>
        <v>I</v>
      </c>
      <c r="AL8" s="154" t="str">
        <f>IF('Marks Entry'!U8="","",'Marks Entry'!U8)</f>
        <v>A</v>
      </c>
      <c r="AM8" s="154">
        <f>IF('Marks Entry'!V8="","",'Marks Entry'!V8)</f>
        <v>8</v>
      </c>
      <c r="AN8" s="573">
        <f>IF('Marks Entry'!W8="","",'Marks Entry'!W8)</f>
        <v>9</v>
      </c>
      <c r="AO8" s="573">
        <f>IF('Marks Entry'!X8="","",'Marks Entry'!X8)</f>
        <v>10</v>
      </c>
      <c r="AP8" s="572">
        <f>IF(AND(AM8="",AN8="",AO8=""),"",IF(AND(AM8="AB",AN8="AB",AO8="AB"),"AB",IF(AND(AM8="ML",AN8="ML",AO8="ML"),"ML",SUM(AM8:AO8))))</f>
        <v>27</v>
      </c>
      <c r="AQ8" s="154">
        <f>IF('Marks Entry'!Y8="","",'Marks Entry'!Y8)</f>
        <v>45</v>
      </c>
      <c r="AR8" s="154" t="str">
        <f>IF('Marks Entry'!Z8="","",'Marks Entry'!Z8)</f>
        <v/>
      </c>
      <c r="AS8" s="155">
        <f>IF(AND(AQ8="",AR8=""),"",IF(AND(AQ8="AB",AR8="AB"),"AB",IF(AND(AQ8="ML",AR8="ML"),"ML",SUM(AQ8:AR8))))</f>
        <v>45</v>
      </c>
      <c r="AT8" s="572">
        <f>IF(AND(AS8="",AP8=""),"",IF(AND(AS8="AB",AP8="AB"),"AB",IF(AND(AS8="ML",AP8="ML"),"ML",SUM(AP8,AS8))))</f>
        <v>72</v>
      </c>
      <c r="AU8" s="154">
        <f>IF('Marks Entry'!AA8="","",'Marks Entry'!AA8)</f>
        <v>57</v>
      </c>
      <c r="AV8" s="573" t="str">
        <f>IF('Marks Entry'!AB8="","",'Marks Entry'!AB8)</f>
        <v/>
      </c>
      <c r="AW8" s="155">
        <f>IF(AND(AU8="",AV8=""),"",IF(AND(AU8="AB",AV8="AB"),"AB",IF(AND(AU8="ML",AV8="ML"),"ML",SUM(AU8:AV8))))</f>
        <v>57</v>
      </c>
      <c r="AX8" s="156">
        <f>IF(AND(AP8="",AQ8="",AU8=""),"",SUM(AP8,AQ8,AU8))</f>
        <v>129</v>
      </c>
      <c r="AY8" s="156" t="str">
        <f>IF(AND(AR8="",AV8=""),"",SUM(AR8,AV8))</f>
        <v/>
      </c>
      <c r="AZ8" s="191">
        <f>IF(AND(AT8="",AW8=""),"",SUM(AT8,AW8))</f>
        <v>129</v>
      </c>
      <c r="BA8" s="152">
        <f t="shared" si="8"/>
        <v>0</v>
      </c>
      <c r="BB8" s="153">
        <f t="shared" si="9"/>
        <v>0</v>
      </c>
      <c r="BC8" s="153">
        <f>IF(OR($B8="NSO",$B8=0,AX8=""),"",IF(AND(AR8="",AV8=""),SUM($AU$7),SUM($AU$6)))</f>
        <v>100</v>
      </c>
      <c r="BD8" s="153" t="str">
        <f>IF(OR($B8="NSO",$B8=0,AY8=""),"",IF(AND(AR8="",AV8=""),"",AY$6-(COUNTIF(AR8,"ML")*AR$6)-(COUNTIF(AV8,"ML")*AV$6)))</f>
        <v/>
      </c>
      <c r="BE8" s="153">
        <f>IF(OR($B8="NSO",$B8=0),"",IF(AND(AP8="",AQ8="",AU8=""),"",IF(AND(AR8="",AV8=""),SUM(($AX$7)-(BA8+BB8)),SUM(($AX$6)-(BA8+BB8)))))</f>
        <v>200</v>
      </c>
      <c r="BF8" s="152" t="str">
        <f>IF(AND(OR(AM8="ab",AM8="ml"),OR(AQ8="ab",AQ8="ml"),OR(AN8="ab",AN8="ml")),"AB",IF(AND(OR(AM8="ab",AM8="ml"),OR(AQ8="ab",AQ8="ml"),OR(AU8="ab",AU8="ml")),"AB",IF(AND(OR(AQ8="ab",AQ8="ml"),OR(AO8="ab",AO8="ml"),OR(AN8="ab",AN8="ml")),"AB",IF(AND(OR(AQ8="ab",AQ8="ml"),OR(AU8="ab",AU8="ml"),OR(AN8="ab",AN8="ml")),"AB",IF(AND(OR(AQ8="ab",AQ8="ml"),OR(AU8="ab",AU8="ml")),"AB","")))))</f>
        <v/>
      </c>
      <c r="BG8" s="153" t="str">
        <f>IF(OR($B8="NSO",$B8=0,AU8="",AW8="",AZ8=""),"",IF(OR(AU8="AB",AV8="AB",BF8="AB"),"AB",IF(OR(AU8="ML",AW8="ML"),"RE",IF(AV8="MLP","REP",IF(AV8&lt;33%*$AV$6,"FP",IF(AR8&lt;33%*$AR$6,"FP",IF(AND(AX8&gt;=36%*BE8,SUM(AU8)&gt;=20%*BC8,AY8&gt;=SUM(BD8)*36%),"P",IF(AND(AX8&gt;=34%*BE8,BB8=0,SUM(AU8)&gt;=20%*BC8,AY8&gt;=SUM(BD8)*36%),"G2",IF(AND(AX8&gt;=31%*BE8,BB8=0,SUM(AU8)&gt;=20%*BC8,AY8&gt;=SUM(BD8)*36%),"G1",IF(AND(AX8&gt;=25%*BE8,SUM(AU8)&gt;=20%*BC8),"S","F"))))))))))</f>
        <v>P</v>
      </c>
      <c r="BH8" s="152" t="str">
        <f>IF(OR(BG8="REP",BG8="RE",BG8=0,BG8="",BG8="F",BG8="AB"),BG8,IF(AND(AZ8&gt;=75%*($AZ$6-BA8-BB8),BG8="P"),"D",IF(AND(AZ8&gt;=60%*($AZ$6-BA8-BB8),BG8="P"),"I",IF(AND(AZ8&gt;=48%*($AZ$6-BA8-BB8),BG8="P"),"II",IF(AND(AZ8&gt;=36%*($AZ$6-BA8-BB8),BG8="P"),"III",BG8)))))</f>
        <v>I</v>
      </c>
      <c r="BI8" s="154" t="str">
        <f>IF('Marks Entry'!AC8="","",'Marks Entry'!AC8)</f>
        <v>A</v>
      </c>
      <c r="BJ8" s="154">
        <f>IF('Marks Entry'!AD8="","",'Marks Entry'!AD8)</f>
        <v>5</v>
      </c>
      <c r="BK8" s="580">
        <f>IF('Marks Entry'!AE8="","",'Marks Entry'!AE8)</f>
        <v>9</v>
      </c>
      <c r="BL8" s="580">
        <f>IF('Marks Entry'!AF8="","",'Marks Entry'!AF8)</f>
        <v>8</v>
      </c>
      <c r="BM8" s="581">
        <f>IF(AND(BJ8="",BK8="",BL8=""),"",IF(AND(BJ8="AB",BK8="AB",BL8="AB"),"AB",IF(AND(BJ8="ML",BK8="ML",BL8="ML"),"ML",SUM(BJ8:BL8))))</f>
        <v>22</v>
      </c>
      <c r="BN8" s="154">
        <f>IF('Marks Entry'!AG8="","",'Marks Entry'!AG8)</f>
        <v>55</v>
      </c>
      <c r="BO8" s="580" t="str">
        <f>IF('Marks Entry'!AH8="","",'Marks Entry'!AH8)</f>
        <v/>
      </c>
      <c r="BP8" s="581">
        <f>IF(AND(BN8="",BO8=""),"",IF(AND(BN8="AB",BO8="AB"),"AB",IF(AND(BN8="ML",BO8="ML"),"ML",SUM(BN8:BO8))))</f>
        <v>55</v>
      </c>
      <c r="BQ8" s="581">
        <f>IF(AND(BP8="",BM8=""),"",IF(AND(BP8="AB",BM8="AB"),"AB",IF(AND(BP8="ML",BM8="ML"),"ML",SUM(BM8,BP8))))</f>
        <v>77</v>
      </c>
      <c r="BR8" s="154">
        <f>IF('Marks Entry'!AI8="","",'Marks Entry'!AI8)</f>
        <v>81</v>
      </c>
      <c r="BS8" s="580" t="str">
        <f>IF('Marks Entry'!AJ8="","",'Marks Entry'!AJ8)</f>
        <v/>
      </c>
      <c r="BT8" s="581">
        <f>IF(AND(BR8="",BS8=""),"",IF(AND(BR8="AB",BS8="AB"),"AB",IF(AND(BR8="ML",BS8="ML"),"ML",SUM(BR8:BS8))))</f>
        <v>81</v>
      </c>
      <c r="BU8" s="156">
        <f>IF(AND(BM8="",BN8="",BR8=""),"",SUM(BM8,BN8,BR8))</f>
        <v>158</v>
      </c>
      <c r="BV8" s="156" t="str">
        <f>IF(AND(BO8="",BS8=""),"",SUM(BO8,BS8))</f>
        <v/>
      </c>
      <c r="BW8" s="191">
        <f t="shared" ref="BW8" si="14">IF(AND(BQ8="",BT8=""),"",SUM(BQ8,BT8))</f>
        <v>158</v>
      </c>
      <c r="BX8" s="152">
        <f t="shared" si="10"/>
        <v>0</v>
      </c>
      <c r="BY8" s="153">
        <f>IF(AND(BN8="",BR8=""),(COUNTIF(BJ8:BL8,"ML")*10+(COUNTIF(BN8,"ML"))*BN$6+(COUNTIF(BR8,"ML"))*BR$6),(COUNTIF(BJ8:BL8,"ML")*10+(COUNTIF(BN8,"ML"))*BN$6+(COUNTIF(BR8,"ML"))*BR$6))</f>
        <v>0</v>
      </c>
      <c r="BZ8" s="153">
        <f>IF(OR($B8="NSO",$B8=0,BU8=""),"",IF(AND(BO8="",BS8=""),SUM($BR$7),SUM($BR$6)))</f>
        <v>100</v>
      </c>
      <c r="CA8" s="153" t="str">
        <f>IF(OR($B8="NSO",$B8=0,BV8=""),"",IF(AND(BO8="",BS8=""),"",BV$6-(COUNTIF(BO8,"ML")*BO$6)-(COUNTIF(BS8,"ML")*BS$6)))</f>
        <v/>
      </c>
      <c r="CB8" s="153">
        <f>IF(OR($B8="NSO",$B8=0),"",IF(AND(BM8="",BN8="",BR8=""),"",IF(AND(BO8="",BS8=""),SUM(($BU$7)-(BX8+BY8)),SUM(($BU$6)-(BX8+BY8)))))</f>
        <v>200</v>
      </c>
      <c r="CC8" s="152" t="str">
        <f>IF(AND(OR(BJ8="ab",BJ8="ml"),OR(BN8="ab",BN8="ml"),OR(BK8="ab",BK8="ml")),"AB",IF(AND(OR(BJ8="ab",BJ8="ml"),OR(BN8="ab",BN8="ml"),OR(BR8="ab",BR8="ml")),"AB",IF(AND(OR(BN8="ab",BN8="ml"),OR(BL8="ab",BL8="ml"),OR(BK8="ab",BK8="ml")),"AB",IF(AND(OR(BN8="ab",BN8="ml"),OR(BR8="ab",BR8="ml"),OR(BK8="ab",BK8="ml")),"AB",IF(AND(OR(BN8="ab",BN8="ml"),OR(BR8="ab",BR8="ml")),"AB","")))))</f>
        <v/>
      </c>
      <c r="CD8" s="153" t="str">
        <f>IF(OR($B8="NSO",$B8=0,BR8="",BT8="",BW8=""),"",IF(OR(BR8="AB",BS8="AB",CC8="AB"),"AB",IF(OR(BR8="ML",BT8="ML"),"RE",IF(BS8="MLP","REP",IF(BS8&lt;33%*$BS$6,"FP",IF(BO8&lt;33%*$BO$6,"FP",IF(AND(BU8&gt;=36%*CB8,SUM(BR8)&gt;=20%*BZ8,BV8&gt;=SUM(CA8)*36%),"P",IF(AND(BU8&gt;=34%*CB8,BY8=0,SUM(BR8)&gt;=20%*BZ8,BV8&gt;=SUM(CA8)*36%),"G2",IF(AND(BU8&gt;=31%*CB8,BY8=0,SUM(BR8)&gt;=20%*BZ8,BV8&gt;=SUM(CA8)*36%),"G1",IF(AND(BU8&gt;=25%*CB8,SUM(BR8)&gt;=20%*BZ8),"S","F"))))))))))</f>
        <v>P</v>
      </c>
      <c r="CE8" s="152" t="str">
        <f>IF(OR(CD8="REP",CD8="RE",CD8=0,CD8="",CD8="F",CD8="AB"),CD8,IF(AND(BW8&gt;=75%*($BW$6-BX8-BY8),CD8="P"),"D",IF(AND(BW8&gt;=60%*($BW$6-BX8-BY8),CD8="P"),"I",IF(AND(BW8&gt;=48%*($BW$6-BX8-BY8),CD8="P"),"II",IF(AND(BW8&gt;=36%*($BW$6-BX8-BY8),CD8="P"),"III",CD8)))))</f>
        <v>D</v>
      </c>
      <c r="CF8" s="154" t="str">
        <f>IF('Marks Entry'!AK8="","",'Marks Entry'!AK8)</f>
        <v>A</v>
      </c>
      <c r="CG8" s="154">
        <f>IF('Marks Entry'!AL8="","",'Marks Entry'!AL8)</f>
        <v>5</v>
      </c>
      <c r="CH8" s="580">
        <f>IF('Marks Entry'!AM8="","",'Marks Entry'!AM8)</f>
        <v>6</v>
      </c>
      <c r="CI8" s="580">
        <f>IF('Marks Entry'!AN8="","",'Marks Entry'!AN8)</f>
        <v>8</v>
      </c>
      <c r="CJ8" s="581">
        <f>IF(AND(CG8="",CH8="",CI8=""),"",IF(AND(CG8="AB",CH8="AB",CI8="AB"),"AB",IF(AND(CG8="ML",CH8="ML",CI8="ML"),"ML",SUM(CG8:CI8))))</f>
        <v>19</v>
      </c>
      <c r="CK8" s="154">
        <f>IF('Marks Entry'!AO8="","",'Marks Entry'!AO8)</f>
        <v>40</v>
      </c>
      <c r="CL8" s="580">
        <f>IF('Marks Entry'!AP8="","",'Marks Entry'!AP8)</f>
        <v>10</v>
      </c>
      <c r="CM8" s="581">
        <f>IF(AND(CK8="",CL8=""),"",IF(AND(CK8="AB",CL8="AB"),"AB",IF(AND(CK8="ML",CL8="ML"),"ML",SUM(CK8:CL8))))</f>
        <v>50</v>
      </c>
      <c r="CN8" s="581">
        <f>IF(AND(CM8="",CJ8=""),"",IF(AND(CM8="AB",CJ8="AB"),"AB",IF(AND(CM8="ML",CJ8="ML"),"ML",SUM(CJ8,CM8))))</f>
        <v>69</v>
      </c>
      <c r="CO8" s="154">
        <f>IF('Marks Entry'!AQ8="","",'Marks Entry'!AQ8)</f>
        <v>56</v>
      </c>
      <c r="CP8" s="154">
        <f>IF('Marks Entry'!AR8="","",'Marks Entry'!AR8)</f>
        <v>11</v>
      </c>
      <c r="CQ8" s="581">
        <f>IF(AND(CO8="",CP8=""),"",IF(AND(CO8="AB",CP8="AB"),"AB",IF(AND(CO8="ML",CP8="ML"),"ML",SUM(CO8:CP8))))</f>
        <v>67</v>
      </c>
      <c r="CR8" s="156">
        <f>IF(AND(CJ8="",CK8="",CO8=""),"",SUM(CJ8,CK8,CO8))</f>
        <v>115</v>
      </c>
      <c r="CS8" s="156">
        <f>IF(AND(CL8="",CP8=""),"",SUM(CL8,CP8))</f>
        <v>21</v>
      </c>
      <c r="CT8" s="191">
        <f>IF(AND(CN8="",CQ8=""),"",SUM(CN8,CQ8))</f>
        <v>136</v>
      </c>
      <c r="CU8" s="152">
        <f t="shared" si="12"/>
        <v>0</v>
      </c>
      <c r="CV8" s="153">
        <f t="shared" si="13"/>
        <v>0</v>
      </c>
      <c r="CW8" s="153">
        <f>IF(OR($B8="NSO",$B8=0,CR8=""),"",IF(AND(CL8="",CP8=""),SUM($CO$7),SUM($CO$6)))</f>
        <v>70</v>
      </c>
      <c r="CX8" s="153">
        <f>IF(OR($B8="NSO",$B8=0,CS8=""),"",IF(AND(CL8="",CP8=""),"",CS$6-(COUNTIF(CL8,"ML")*CL$6)-(COUNTIF(CP8,"ML")*CP$6)))</f>
        <v>50</v>
      </c>
      <c r="CY8" s="153">
        <f>IF(OR($B8="NSO",$B8=0),"",IF(AND(CJ8="",CK8="",CO8=""),"",IF(AND(CL8="",CP8=""),SUM((CR$7)-(CU8+CV8)),SUM((CR$6)-(CU8+CV8)))))</f>
        <v>150</v>
      </c>
      <c r="CZ8" s="152" t="str">
        <f>IF(AND(OR(CG8="ab",CG8="ml"),OR(CK8="ab",CK8="ml"),OR(CH8="ab",CH8="ml")),"AB",IF(AND(OR(CG8="ab",CG8="ml"),OR(CK8="ab",CK8="ml"),OR(CO8="ab",CO8="ml")),"AB",IF(AND(OR(CK8="ab",CK8="ml"),OR(CI8="ab",CI8="ml"),OR(CH8="ab",CH8="ml")),"AB",IF(AND(OR(CK8="ab",CK8="ml"),OR(CO8="ab",CO8="ml"),OR(CH8="ab",CH8="ml")),"AB",IF(AND(OR(CK8="ab",CK8="ml"),OR(CO8="ab",CO8="ml")),"AB","")))))</f>
        <v/>
      </c>
      <c r="DA8" s="153" t="str">
        <f>IF(OR($B8="NSO",$B8=0,CO8="",CQ8="",CT8=""),"",IF(OR(CO8="AB",CP8="AB",CZ8="AB"),"AB",IF(OR(CO8="ML",CQ8="ML"),"RE",IF(CP8="MLP","REP",IF(CP8&lt;33%*$CP$6,"FP",IF(CL8&lt;33%*$CL$6,"FP",IF(AND(CR8&gt;=36%*CY8,SUM(CO8)&gt;=20%*CW8,CS8&gt;=SUM(CX8)*36%),"P",IF(AND(CR8&gt;=34%*CY8,CV8=0,SUM(CO8)&gt;=20%*CW8,CS8&gt;=SUM(CX8)*36%),"G2",IF(AND(CR8&gt;=31%*CY8,CV8=0,SUM(CO8)&gt;=20%*CW8,CS8&gt;=SUM(CX8)*36%),"G1",IF(AND(CR8&gt;=25%*CY8,SUM(CO8)&gt;=20%*CW8),"S","F"))))))))))</f>
        <v>P</v>
      </c>
      <c r="DB8" s="152" t="str">
        <f>IF(OR(DA8="REP",DA8="RE",DA8=0,DA8="",DA8="F",DA8="AB"),DA8,IF(AND(CT8&gt;=75%*($CT$6-CU8-CV8),DA8="P"),"D",IF(AND(CT8&gt;=60%*($CT$6-CU8-CV8),DA8="P"),"I",IF(AND(CT8&gt;=48%*($CT$6-CU8-CV8),DA8="P"),"II",IF(AND(CT8&gt;=36%*($CT$6-CU8-CV8),DA8="P"),"III",DA8)))))</f>
        <v>I</v>
      </c>
      <c r="DC8" s="153">
        <f>SUM(R8,S8,AF8,AG8,BA8,BB8,BX8,BY8,CU8,CV8)</f>
        <v>0</v>
      </c>
      <c r="DD8" s="154" t="str">
        <f>IF('Marks Entry'!AS8="","",IF(OR('Master Sheet'!$D$19="YES",'Marks Entry'!$BA$1=1),'Marks Entry'!AS8,""))</f>
        <v/>
      </c>
      <c r="DE8" s="154" t="str">
        <f>IF('Marks Entry'!AT8="","",IF(OR('Master Sheet'!$D$19="YES",'Marks Entry'!$BA$1=1),'Marks Entry'!AT8,""))</f>
        <v/>
      </c>
      <c r="DF8" s="785" t="str">
        <f>IF('Marks Entry'!AU8="","",IF(OR('Master Sheet'!$D$19="YES",'Marks Entry'!$BA$1=1),'Marks Entry'!AU8,""))</f>
        <v/>
      </c>
      <c r="DG8" s="785" t="str">
        <f>IF('Marks Entry'!AV8="","",IF(OR('Master Sheet'!$D$19="YES",'Marks Entry'!$BA$1=1),'Marks Entry'!AV8,""))</f>
        <v/>
      </c>
      <c r="DH8" s="586" t="str">
        <f>IF(AND(DE8="",DF8="",DG8=""),"",IF(AND(DE8="AB",DF8="AB",DG8="AB"),"AB",IF(AND(DE8="ML",DF8="ML",DG8="ML"),"ML",SUM(DE8:DG8))))</f>
        <v/>
      </c>
      <c r="DI8" s="154" t="str">
        <f>IF('Marks Entry'!AW8="","",IF(OR('Master Sheet'!$D$19="YES",'Marks Entry'!$BA$1=1),'Marks Entry'!AW8,""))</f>
        <v/>
      </c>
      <c r="DJ8" s="785" t="str">
        <f>IF('Marks Entry'!AX8="","",IF(OR('Master Sheet'!$D$19="YES",'Marks Entry'!$BA$1=1),'Marks Entry'!AX8,""))</f>
        <v/>
      </c>
      <c r="DK8" s="586" t="str">
        <f>IF(AND(DI8="",DJ8=""),"",IF(AND(DI8="AB",DJ8="AB"),"AB",IF(AND(DI8="ML",DJ8="ML"),"ML",SUM(DI8:DJ8))))</f>
        <v/>
      </c>
      <c r="DL8" s="586" t="str">
        <f>IF(AND(DK8="",DH8=""),"",IF(AND(DK8="AB",DH8="AB"),"AB",IF(AND(DK8="ML",DH8="ML"),"ML",SUM(DH8,DK8))))</f>
        <v/>
      </c>
      <c r="DM8" s="154" t="str">
        <f>IF('Marks Entry'!AY8="","",IF(OR('Master Sheet'!$D$19="YES",'Marks Entry'!$BA$1=1),'Marks Entry'!AY8,""))</f>
        <v/>
      </c>
      <c r="DN8" s="785" t="str">
        <f>IF('Marks Entry'!AZ8="","",IF(OR('Master Sheet'!$D$19="YES",'Marks Entry'!$BA$1=1),'Marks Entry'!AZ8,""))</f>
        <v/>
      </c>
      <c r="DO8" s="785" t="str">
        <f>IF('Marks Entry'!BA8="","",IF(OR('Master Sheet'!$D$19="YES",'Marks Entry'!$BA$1=1),'Marks Entry'!BA8,""))</f>
        <v/>
      </c>
      <c r="DP8" s="586" t="str">
        <f>IF(AND(DM8="",DN8="",DO8=""),"",IF(AND(DM8="AB",DN8="AB",DO8="AB"),"AB",IF(AND(DM8="ML",DN8="ML",DO8="ML"),"ML",SUM(DM8:DO8))))</f>
        <v/>
      </c>
      <c r="DQ8" s="156" t="str">
        <f>IF(AND(DH8="",DI8="",DM8="",DN8=""),"",SUM(DH8,DI8,DM8))</f>
        <v/>
      </c>
      <c r="DR8" s="156" t="str">
        <f>IF(AND(DN8=""),"",SUM(DN8))</f>
        <v/>
      </c>
      <c r="DS8" s="156" t="str">
        <f>IF(AND(DJ8="",DO8=""),"",SUM(DJ8,DO8))</f>
        <v/>
      </c>
      <c r="DT8" s="191" t="str">
        <f>IF(AND(DL8="",DP8=""),"",SUM(DL8,DP8))</f>
        <v/>
      </c>
      <c r="DU8" s="152">
        <f>COUNTIF(DE8:DG8,"NA")*10</f>
        <v>0</v>
      </c>
      <c r="DV8" s="153">
        <f>IF(AND(DI8="",DM8=""),(COUNTIF(DE8:DG8,"ML")*10+(COUNTIF(DI8,"ML"))*DI$6+(COUNTIF(DM8,"ML"))*DM$6),(COUNTIF(DE8:DG8,"ML")*10+(COUNTIF(DI8,"ML"))*DI$6+(COUNTIF(DM8,"ML"))*DM$6))</f>
        <v>0</v>
      </c>
      <c r="DW8" s="153" t="str">
        <f>IF(OR($B8="NSO",$B8=0,DM8=""),"",IF(AND(DO8=""),SUM($DM$7,DN$7),SUM($DM$6,DN$6)))</f>
        <v/>
      </c>
      <c r="DX8" s="153" t="str">
        <f>IF(OR($B8="NSO",$B8=0,DS8=""),"",IF(AND(DJ8="",DO8=""),"",IF('Master Sheet'!$D$19="YES",$DO$6-COUNTIF(DO8,"ML")*DO$6,DS$6-(COUNTIF(DJ8,"ML")*DJ$6)-(COUNTIF(DO8,"ML")*DO$6))))</f>
        <v/>
      </c>
      <c r="DY8" s="153" t="str">
        <f>IF(OR($B8="NSO",$B8=0),"",IF(AND(DH8="",DI8="",DM8=""),"",IF(AND('Master Sheet'!$D$19="YES",'Marks Entry'!$BA$1=1),100,IF(AND(DJ8="",DO8=""),SUM(($DQ$7+$DR$7)-(DU8+DV8)),SUM(($DQ$6+$DR$6)-(DU8+DV8))))))</f>
        <v/>
      </c>
      <c r="DZ8" s="152" t="str">
        <f>IF(AND(OR(DE8="ab",DF8="ml"),OR(DI8="ab",DI8="ml")),"AB",IF(AND(OR(DE8="ab",DE8="ml"),OR(DF8="ab",DF8="ml"),OR(DH8="ab",DH8="ml")),"AB",IF(AND(OR(DI8="ab",DI8="ml"),OR(DF8="ab",DF8="ml"),OR(DG8="ab",DG8="ml")),"AB",IF(AND(OR(DKJ8="ab",DI8="ml"),OR(DM8="ab",DM8="ml"),OR(DN8="ab",DN8="ml")),"AB",""))))</f>
        <v/>
      </c>
      <c r="EA8" s="153" t="str">
        <f>IF(OR($B8="NSO",$B8=0,DM8="",DT8="",DQ8=""),"",IF(OR(DM8="AB",DO8="AB",DZ8="AB"),"AB",IF(OR(DM8="ML",DP8="ML"),"RE",IF(DO8="MLP","REP",IF(DO8&lt;33%*$DO$6,"FP",IF(DJ8&lt;33%*$DJ$6,"FP",IF(AND(DT8&gt;=36%*DY8,SUM(DM8)&gt;=20%*DW8,DS8&gt;=SUM(DX8)*36%),"P",IF(AND(DQ8&gt;=34%*DY8,DV8=0,SUM(DM8)&gt;=20%*DW8,DS8&gt;=SUM(DX8)*36%),"G2",IF(AND(DQ8&gt;=31%*DY8,DV8=0,SUM(DM8)&gt;=20%*DW8,DS8&gt;=SUM(DX8)*36%),"G1",IF(AND(DQ8&gt;=25%*DY8,SUM(DM8)&gt;=20%*DW8),"S","F"))))))))))</f>
        <v/>
      </c>
      <c r="EB8" s="152" t="str">
        <f>IF(OR(EA8="REP",EA8="RE",EA8=0,EA8="",EA8="F",EA8="AB"),EA8,IF(AND(DT8&gt;=75%*($DT$6-DU8-DV8),EA8="P"),"D",IF(AND(DT8&gt;=60%*($DT$6-DU8-DV8),EA8="P"),"I",IF(AND(DT8&gt;=48%*($DT$6-DU8-DV8),EA8="P"),"II",IF(AND(DT8&gt;=36%*($DT$6-DU8-DV8),EA8="P"),"III",EA8)))))</f>
        <v/>
      </c>
      <c r="EC8" s="154">
        <f>IF('Marks Entry'!BB8="","",'Marks Entry'!BB8)</f>
        <v>25</v>
      </c>
      <c r="ED8" s="584">
        <f>IF('Marks Entry'!BC8="","",'Marks Entry'!BC8)</f>
        <v>20</v>
      </c>
      <c r="EE8" s="584">
        <f>IF('Marks Entry'!BD8="","",'Marks Entry'!BD8)</f>
        <v>38</v>
      </c>
      <c r="EF8" s="190">
        <f>IF(AND(EC8="",ED8="",EE8=""),"",SUM(EC8:EE8))</f>
        <v>83</v>
      </c>
      <c r="EG8" s="112">
        <f>COUNTIF(EC8,"NA")*$EC$6</f>
        <v>0</v>
      </c>
      <c r="EH8" s="112">
        <f>(COUNTIF(EC8,"ML")*$EC$6)+(COUNTIF(ED8,"ML")*$ED$6)</f>
        <v>0</v>
      </c>
      <c r="EI8" s="192">
        <f>IF(OR($B8="NSO",$B8=0),"",IF(AND(EC8="",ED8="",EE8=""),"",IF(AND(EC8="",ED8=""),30-EG8-EH8,IF(AND(ED8="",EE8=""),60-EG8-EH8,100-EG8-EH8))))</f>
        <v>100</v>
      </c>
      <c r="EJ8" s="112" t="str">
        <f>IF(OR(EE8="ab",EE8="ml"),EE8,"")</f>
        <v/>
      </c>
      <c r="EK8" s="112" t="str">
        <f>IF(OR($B8="NSO",$B8=0,EF8=""),"",IF(OR(EJ8="AB",EE8="ab"),"AB",IF(AND(EX8="FAIL",(OR(EF8="ml",EF8&lt;20%*$EF$6,EF8&lt;36%*EI8))),"F",IF(OR(EE8="ML",EE8&lt;20%*$EE$6,EF8&lt;36%*EI8),"RE",IF(EF8&gt;80%*EI8,"A",IF(EF8&gt;60%*EI8,"B",IF(EF8&gt;40%*EI8,"C","D")))))))</f>
        <v>A</v>
      </c>
      <c r="EL8" s="193" t="str">
        <f>W8</f>
        <v>I</v>
      </c>
      <c r="EM8" s="193" t="str">
        <f t="shared" ref="EM8" si="15">AK8</f>
        <v>I</v>
      </c>
      <c r="EN8" s="193" t="str">
        <f t="shared" ref="EN8" si="16">BH8</f>
        <v>I</v>
      </c>
      <c r="EO8" s="193" t="str">
        <f t="shared" ref="EO8" si="17">CE8</f>
        <v>D</v>
      </c>
      <c r="EP8" s="193" t="str">
        <f>DB8</f>
        <v>I</v>
      </c>
      <c r="EQ8" s="193" t="str">
        <f>EB8</f>
        <v/>
      </c>
      <c r="ER8" s="194">
        <f>COUNTIF(EL8:EP8,"F")+COUNTIF(EL8:EP8,"AB")+COUNTIF(EN8:EP8,"FP")</f>
        <v>0</v>
      </c>
      <c r="ES8" s="194">
        <f>COUNTIF(EL8:EP8,"S")</f>
        <v>0</v>
      </c>
      <c r="ET8" s="194">
        <f>COUNTIF(EL8:EP8,"G1")</f>
        <v>0</v>
      </c>
      <c r="EU8" s="194">
        <f>COUNTIF(EL8:EP8,"G2")</f>
        <v>0</v>
      </c>
      <c r="EV8" s="194">
        <f>COUNTIF(EL8:EP8,"RE")+COUNTIF(EL8:EP8,"REP")</f>
        <v>0</v>
      </c>
      <c r="EW8" s="194" t="str">
        <f>IF(OR(EK8="AB",EK8="F"),"D",IF(OR(EK8="RE"),"D",""))</f>
        <v/>
      </c>
      <c r="EX8" s="195" t="str">
        <f>IF(B8="NSO","NSO",IF(OR(B8="",B8=0,P8="",AD8="",AW8="",BT8=""),"",IF(OR(ER8&gt;0,(ES8+ET8+EU8)&gt;2),"FAIL",IF(EV8&gt;0,"RE-EXAM",IF(OR(ES8&gt;0,ET8&gt;1),"SUPPLEMENTARY",IF(AND(ET8&gt;0,EU8&gt;0),"SUPPLEMENTARY",IF((ET8+EU8)&gt;0,"BY GRACE PASS","PASS")))))))</f>
        <v>PASS</v>
      </c>
      <c r="EY8" s="196">
        <f>IF('Marks Entry'!BE8="","",'Marks Entry'!BE8)</f>
        <v>9</v>
      </c>
      <c r="EZ8" s="196">
        <f>IF('Marks Entry'!BF8="","",'Marks Entry'!BF8)</f>
        <v>9</v>
      </c>
      <c r="FA8" s="196">
        <f>IF('Marks Entry'!BG8="","",'Marks Entry'!BG8)</f>
        <v>9</v>
      </c>
      <c r="FB8" s="596">
        <f>IF(AND(EY8="",EZ8="",FA8=""),"",IF(AND(EY8="AB",EZ8="AB",FA8="AB"),"AB",IF(AND(EY8="ML",EZ8="ML",FA8="ML"),"ML",SUM(EY8:FA8))))</f>
        <v>27</v>
      </c>
      <c r="FC8" s="196">
        <f>IF('Marks Entry'!BH8="","",'Marks Entry'!BH8)</f>
        <v>45</v>
      </c>
      <c r="FD8" s="196">
        <f>IF('Marks Entry'!BI8="","",'Marks Entry'!BI8)</f>
        <v>98</v>
      </c>
      <c r="FE8" s="197">
        <f>IF(AND(EY8="",EZ8="",FA8="",FC8="",FD8=""),"",SUM(EY8,EZ8,FA8,FC8,FD8))</f>
        <v>170</v>
      </c>
      <c r="FF8" s="198" t="str">
        <f t="shared" ref="FF8" si="18">IF(OR($B8="NSO",$B8=0,FE8=""),"",IF(OR(FE8="AB",FD8="ab"),"AB",IF(AND(EX8="FAIL",(OR(FE8&lt;36%*$FE$6))),"F",IF(OR(FD8="ML",FD8&lt;20%*$FD$6,FE8&lt;36%*$FE$6),"RE",IF(FE8&gt;80%*$FE$6,"A",IF(FE8&gt;60%*$FE$6,"B",IF(FE8&gt;40%*$FE$6,"C","D")))))))</f>
        <v>A</v>
      </c>
      <c r="FG8" s="199">
        <f>IF(AND(E8=""),"",IF('Student DATA Entry'!L4="","",'Student DATA Entry'!L4))</f>
        <v>350</v>
      </c>
      <c r="FH8" s="200">
        <f>IF(AND(E8=""),"",IF('Student DATA Entry'!M4="","",'Student DATA Entry'!M4))</f>
        <v>340</v>
      </c>
      <c r="FI8" s="201">
        <f>IF(OR(FG8=0,FH8=0,FG8="",FH8=""),"",FH8/FG8*100)</f>
        <v>97.142857142857139</v>
      </c>
      <c r="FJ8" s="188" t="str">
        <f>IF(AND(EX8="FAIL",(OR(EL8="G1",EL8="G2",EL8="S",EL8="RE"))),"F",IF(AND(EX8="RE-EXAM",(OR(EL8="G1",EL8="G2",EL8="S"))),"S",IF(AND(EX8="SUPPLEMENTARY",(OR(EL8="G1",EL8="G2"))),"S",IF(AND(EX8="BY GRACE PASS",(OR(EL8="G1",EL8="G2"))),"G",EL8))))</f>
        <v>I</v>
      </c>
      <c r="FK8" s="188" t="str">
        <f>IF(FJ8="G",",+","")</f>
        <v/>
      </c>
      <c r="FL8" s="202" t="str">
        <f t="shared" ref="FL8:FL39" si="19">IF(FJ8="G",ROUNDUP(36%*T8-Q8,0),"")</f>
        <v/>
      </c>
      <c r="FM8" s="188" t="str">
        <f>IF(AND(EX8="FAIL",(OR(EM8="G1",EM8="G2",EM8="S",EM8="RE"))),"F",IF(AND(EX8="RE-EXAM",(OR(EM8="G1",EM8="G2",EM8="S"))),"S",IF(AND(EX8="SUPPLEMENTARY",(OR(EM8="G1",EM8="G2"))),"S",IF(AND(EX8="BY GRACE PASS",(OR(EM8="G1",EM8="G2"))),"G",EM8))))</f>
        <v>I</v>
      </c>
      <c r="FN8" s="203" t="str">
        <f>IF(FM8="G",",+","")</f>
        <v/>
      </c>
      <c r="FO8" s="202" t="str">
        <f t="shared" ref="FO8:FO39" si="20">IF(FM8="G",ROUNDUP(36%*AH8-AE8,0),"")</f>
        <v/>
      </c>
      <c r="FP8" s="204" t="str">
        <f>IF(AND(EX8="FAIL",(OR(EN8="G1",EN8="G2",EN8="S",EN8="RE"))),"F",IF(AND(EX8="RE-EXAM",(OR(EN8="G1",EN8="G2",EN8="S"))),"S",IF(AND(EX8="SUPPLEMENTARY",(OR(EN8="G1",EN8="G2"))),"S",IF(AND(EX8="BY GRACE PASS",(OR(EN8="G1",EN8="G2"))),"G",EN8))))</f>
        <v>I</v>
      </c>
      <c r="FQ8" s="188" t="str">
        <f t="shared" ref="FQ8:FQ39" si="21">IF(AL8="A",FP8,"")</f>
        <v>I</v>
      </c>
      <c r="FR8" s="188" t="str">
        <f t="shared" ref="FR8:FR39" si="22">IF(AL8="B",FP8,"")</f>
        <v/>
      </c>
      <c r="FS8" s="188" t="str">
        <f t="shared" ref="FS8:FS39" si="23">IF(AL8="C",FP8,"")</f>
        <v/>
      </c>
      <c r="FT8" s="188" t="str">
        <f t="shared" ref="FT8:FT39" si="24">IF(AL8="D",FP8,"")</f>
        <v/>
      </c>
      <c r="FU8" s="188" t="str">
        <f>IF(FP8="G",",+","")</f>
        <v/>
      </c>
      <c r="FV8" s="205" t="str">
        <f t="shared" ref="FV8:FV39" si="25">IF(FP8="G",ROUNDUP(36%*BE8-AX8,0),"")</f>
        <v/>
      </c>
      <c r="FW8" s="204" t="str">
        <f>IF(AND(EX8="FAIL",(OR(EO8="G1",EO8="G2",EO8="S",EO8="RE",))),"F",IF(AND(EX8="RE-EXAM",(OR(EO8="G1",EO8="G2",EO8="S"))),"S",IF(AND(EX8="SUPPLEMENTARY",(OR(EO8="G1",EO8="G2"))),"S",IF(AND(EX8="BY GRACE PASS",(OR(EO8="G1",EO8="G2"))),"G",EO8))))</f>
        <v>D</v>
      </c>
      <c r="FX8" s="188" t="str">
        <f t="shared" ref="FX8:FX39" si="26">IF(BI8="A",FW8,"")</f>
        <v>D</v>
      </c>
      <c r="FY8" s="188" t="str">
        <f t="shared" ref="FY8:FY39" si="27">IF(BI8="B",FW8,"")</f>
        <v/>
      </c>
      <c r="FZ8" s="188" t="str">
        <f t="shared" ref="FZ8:FZ39" si="28">IF(BI8="C",FW8,"")</f>
        <v/>
      </c>
      <c r="GA8" s="188" t="str">
        <f t="shared" ref="GA8:GA39" si="29">IF(BI8="D",FW8,"")</f>
        <v/>
      </c>
      <c r="GB8" s="188" t="str">
        <f>IF(FW8="G",",+","")</f>
        <v/>
      </c>
      <c r="GC8" s="205" t="str">
        <f t="shared" ref="GC8:GC39" si="30">IF(FW8="G",ROUNDUP(36%*CB8-BU8,0),"")</f>
        <v/>
      </c>
      <c r="GD8" s="204" t="str">
        <f>IF(AND(EX8="FAIL",(OR(EP8="G1",EP8="G2",EP8="S",EP8="RE"))),"F",IF(AND(EX8="RE-EXAM",(OR(EP8="G1",EP8="G2",EP8="S"))),"S",IF(AND(EX8="SUPPLEMENTARY",(OR(EP8="G1",EP8="G2"))),"S",IF(AND(EX8="BY GRACE PASS",(OR(EP8="G1",EP8="G2"))),"G",EP8))))</f>
        <v>I</v>
      </c>
      <c r="GE8" s="188" t="str">
        <f t="shared" ref="GE8:GE39" si="31">IF(CF8="A",GD8,"")</f>
        <v>I</v>
      </c>
      <c r="GF8" s="188" t="str">
        <f t="shared" ref="GF8:GF39" si="32">IF(CF8="B",GD8,"")</f>
        <v/>
      </c>
      <c r="GG8" s="188" t="str">
        <f t="shared" ref="GG8:GG39" si="33">IF(CF8="C",GD8,"")</f>
        <v/>
      </c>
      <c r="GH8" s="188" t="str">
        <f t="shared" ref="GH8:GH39" si="34">IF(CF8="D",GD8,"")</f>
        <v/>
      </c>
      <c r="GI8" s="188" t="str">
        <f>IF(GD8="G",",+","")</f>
        <v/>
      </c>
      <c r="GJ8" s="205" t="str">
        <f t="shared" ref="GJ8:GJ39" si="35">IF(GD8="G",ROUNDUP(36%*CY8-CR8,0),"")</f>
        <v/>
      </c>
      <c r="GK8" s="204" t="str">
        <f>IF(AND(EX8="FAIL",(OR(EQ8="G1",EQ8="G2",EQ8="S",EQ8="RE"))),"F",IF(AND(EX8="RE-EXAM",(OR(EQ8="G1",EQ8="G2",EQ8="S"))),"S",IF(AND(EX8="SUPPLEMENTARY",(OR(EQ8="G1",EQ8="G2"))),"S",IF(AND(EX8="BY GRACE PASS",(OR(EQ8="G1",EQ8="G2"))),"G",EQ8))))</f>
        <v/>
      </c>
      <c r="GL8" s="188" t="str">
        <f t="shared" ref="GL8:GL39" si="36">IF(DD8="A",GK8,"")</f>
        <v/>
      </c>
      <c r="GM8" s="188" t="str">
        <f t="shared" ref="GM8:GM39" si="37">IF(DD8="B",GK8,"")</f>
        <v/>
      </c>
      <c r="GN8" s="188" t="str">
        <f t="shared" ref="GN8:GN39" si="38">IF(DD8="C",GK8,"")</f>
        <v/>
      </c>
      <c r="GO8" s="188" t="str">
        <f t="shared" ref="GO8:GO39" si="39">IF(DD8="D",GK8,"")</f>
        <v/>
      </c>
      <c r="GP8" s="188" t="str">
        <f>IF(GK8="G",",+","")</f>
        <v/>
      </c>
      <c r="GQ8" s="205" t="str">
        <f t="shared" ref="GQ8:GQ39" si="40">IF(GK8="G",ROUNDUP(36%*DY8-DQ8,0),"")</f>
        <v/>
      </c>
      <c r="GR8" s="188" t="str">
        <f>IF(AND(EX8="FAIL",EK8="RE"),"F",EK8)</f>
        <v>A</v>
      </c>
      <c r="GS8" s="188" t="str">
        <f>IF(AND(EX8="FAIL",FF8="RE"),"F",FF8)</f>
        <v>A</v>
      </c>
      <c r="GT8" s="206" t="str">
        <f>CONCATENATE(IF(FJ8="F",$FJ$5,IF(FJ8="AB",$FJ$5,""))," ",IF(FM8="F",$FM$5,IF(FM8="AB",$FM$5,""))," ",IF(FQ8="F",$FQ$5,IF(FR8="F",$FR$5,IF(FS8="F",$FS$5,IF(FQ8="AB",$FQ$5,IF(FR8="AB",$FR$5,IF(FS8="AB",$FS$5,IF(FQ8="FP",$FQ$5,IF(FR8="FP",$FR$5,IF(FS8="FP",$FS$5,"")))))))))," ",IF(FX8="F",$FX$5,IF(FY8="F",$FY$5,IF(FZ8="F",$FZ$5,IF(FX8="AB",$FX$5,IF(FY8="AB",$FY$5,IF(FZ8="AB",$FZ$5,IF(FX8="FP",$FX$5,IF(FY8="FP",$FY$5,IF(FZ8="FP",$FZ$5,"")))))))))," ",IF(GE8="F",$GE$5,IF(GF8="F",$GF$5,IF(GG8="F",$GG$5,IF(GE8="AB",$GE$5,IF(GF8="AB",$GF$5,IF(GG8="AB",$GG$5,IF(GE8="FP",$GE$5,IF(GF8="FP",$GF$5,IF(GG8="FP",$GG$5,""))))))))),"",IF(GL8="F",$GL$5,IF(GM8="F",$GM$5,IF(GN8="F",$GN$5,IF(GL8="AB",$GL$5,IF(GM8="AB",$GM$5,IF(GN8="AB",$GN$5,IF(GL8="FP",$GL$5,IF(GM8="FP",$GM$5,IF(GN8="FP",$GN$5,""))))))))))</f>
        <v xml:space="preserve">    </v>
      </c>
      <c r="GU8" s="206" t="str">
        <f>CONCATENATE(IF(FJ8="S",$FJ$5,"")," ",IF(FM8="S",$FM$5,"")," ",IF(FQ8="S",$FQ$5,IF(FR8="S",$FR$5,IF(FS8="S",$FS$5,IF(FT8="S",$FT$5,""))))," ",IF(FX8="S",$FX$5,IF(FY8="S",$FY$5,IF(FZ8="S",$FZ$5,IF(GA8="S",$GA$5,""))))," ",IF(GE8="S",$GE$5,IF(GF8="S",$GF$5,IF(GG8="S",$GG$5,IF(GH8="S",$GH$5,"")))))</f>
        <v xml:space="preserve">    </v>
      </c>
      <c r="GV8" s="206" t="str">
        <f>CONCATENATE(IF(FJ8="G",$FJ$5,"")," ",IF(FM8="G",$FM$5,"")," ",IF(FQ8="G",$FQ$5,IF(FR8="G",$FR$5,IF(FS8="G",$FS$5,"")))," ",IF(FX8="G",$FX$5,IF(FY8="G",$FY$5,IF(FZ8="G",$FZ$5,"")))," ",IF(GE8="G",$GE$5,IF(GF8="G",$GF$5,IF(GG8="G",$GG$5,""))))</f>
        <v xml:space="preserve">    </v>
      </c>
      <c r="GW8" s="206" t="str">
        <f>CONCATENATE(IF(FJ8="RE",$FJ$5,"")," ",IF(FM8="RE",$FM$5,"")," ",IF(OR(FQ8="RE",FQ8="REP"),$FQ$5,IF(OR(FR8="RE",FR8="REP"),$FR$5,IF(OR(FS8="RE",FS8="REP"),$FS$5,IF(OR(FT8="RE",FT8="REP"),$FT$5,""))))," ",IF(OR(FX8="RE",FX8="REP"),$FX$5,IF(OR(FY8="RE",FY8="REP"),$FY$5,IF(OR(FZ8="RE",FZ8="REP"),$FZ$5,IF(OR(GA8="RE",GA8="REP"),$GA$5,""))))," ",IF(OR(GE8="RE",GE8="REP"),$GE$5,IF(OR(GF8="RE",GF8="REP"),$GF$5,IF(OR(GG8="RE",GG8="REP"),$GG$5,IF(OR(GH8="RE",GH8="REP"),$GH$5,""))))," ",IF(GR8="RE",$GR$4," "),"",IF(GS8="RE",$GS$4," "),"",)</f>
        <v xml:space="preserve">       </v>
      </c>
      <c r="GX8" s="598" t="str">
        <f>CONCATENATE(IF(FJ8="D",$FJ$5,"")," ",IF($FM8="D",$FM$5,"")," ",IF(FQ8="D",$FQ$5,IF(FR8="D",$FR$5,IF(FS8="D",$FS$5,IF(FT8="D",$FT$5,""))))," ",IF(FX8="D",$FX$5,IF(FY8="D",$FY$5,IF(FZ8="D",$FZ$5,IF(GA8="D",$GA$5,""))))," ",IF(GE8="D",$GE$5,IF(GF8="D",$GF$5,IF(GG8="D",$GG$5,IF(GH8="D",$GH$5,""))))," ",IF(GL8="D",$GL$5,IF(GM8="D",$GM$5,IF(GN8="D",$GN$5,IF(GO8="D",$GO$5,"")))))</f>
        <v xml:space="preserve">   HISTORY  </v>
      </c>
      <c r="GY8" s="207" t="str">
        <f>IF(B8="NSO","NSO",IF(AND(OR(EX8="PASS",EX8="BY GRACE PASS",EX8="RE-EXAM"),EW8="F"),"FAIL",IF(AND(OR(EX8="PASS",EX8="BY GRACE PASS"),EW8="RE"),"RE-EXAM",EX8)))</f>
        <v>PASS</v>
      </c>
      <c r="GZ8" s="606">
        <f>IF(AND(Q8="",AE8="",AZ8="",BW8="",CT8=""),"",IF(AND('Master Sheet'!$D$19="YES",'Marks Entry'!$BA$1=1),SUM(Q8,AE8,AZ8,BW8,DT8),SUM(Q8,AE8,AZ8,BW8,CT8)))</f>
        <v>707</v>
      </c>
      <c r="HA8" s="208">
        <f>IF(GZ8="","",IF(AND('Master Sheet'!$D$19="YES",'Marks Entry'!$BA$1=1),GZ8/((900)-DC8)*100,GZ8/((1000)-DC8)*100))</f>
        <v>70.7</v>
      </c>
      <c r="HB8" s="611" t="str">
        <f>IF(HA8="","",IF(AND(HA8&gt;=60,(GY8="PASS")),"I",IF(AND(HA8&gt;=60,(GY8="BY GRACE PASS")),"I",IF(AND(HA8&gt;=48,(GY8="PASS")),"II",IF(AND(HA8&gt;=48,(GY8="BY GRACE PASS")),"II",IF(AND(HA8&gt;=36,(GY8="PASS")),"III",IF(AND(HA8&gt;=36,(GY8="BY GRACE PASS")),"III","")))))))</f>
        <v>I</v>
      </c>
      <c r="HC8" s="609">
        <f>IF(OR(GY8="PASS",GY8="BY GRACE PASS"),HA8,"")</f>
        <v>70.7</v>
      </c>
      <c r="HD8" s="610">
        <f>IF(HC8="","",SUMPRODUCT((HC8&lt;HC$8:HC$207)/COUNTIF(HC$8:HC$207,HC$8:HC$207)))</f>
        <v>0.99999999999999567</v>
      </c>
      <c r="HE8" s="209" t="str">
        <f>IFERROR(IF(OR(GY8="SUPPLEMENTARY",GY8="RE-EXAM"),'Supp. Result Entry'!AS7,""),"")</f>
        <v/>
      </c>
      <c r="HF8" s="613" t="str">
        <f>IF(OR(JB8="",IS8=0),"",IF(IZ8="","",IZ8))</f>
        <v/>
      </c>
      <c r="HG8" s="181" t="str">
        <f>IF(AND(JB8=""),"",IF(HE8="","",IF(AND(JB8="FAIL"),"Failed",JB8)))</f>
        <v/>
      </c>
      <c r="HH8" s="181" t="str">
        <f>IF(AND(HE8="",HF8="",HG8=""),"",IF(OR(GY8="SUPPLEMENTARY",GY8="RE-EXAM"),'Supp. Result Entry'!AS7,GY8))</f>
        <v/>
      </c>
      <c r="HI8" s="179"/>
      <c r="HY8" s="211" t="str">
        <f>IF('Supp. Result Entry'!U7="","",'Supp. Result Entry'!$U$6)</f>
        <v/>
      </c>
      <c r="HZ8" s="212" t="str">
        <f>IF('Supp. Result Entry'!X7="","",'Supp. Result Entry'!$X$6)</f>
        <v/>
      </c>
      <c r="IA8" s="212" t="str">
        <f>IF('Supp. Result Entry'!AA7="","",'Supp. Result Entry'!$AA$6)</f>
        <v/>
      </c>
      <c r="IB8" s="212" t="str">
        <f>IF('Supp. Result Entry'!AD7="","",'Supp. Result Entry'!$AD$6)</f>
        <v/>
      </c>
      <c r="IC8" s="212" t="str">
        <f>IF('Supp. Result Entry'!AG7="","",'Supp. Result Entry'!$AG$6)</f>
        <v/>
      </c>
      <c r="ID8" s="212" t="str">
        <f>IF('Supp. Result Entry'!AJ7="","",'Supp. Result Entry'!$AJ$6)</f>
        <v/>
      </c>
      <c r="IE8" s="212" t="str">
        <f>IF('Supp. Result Entry'!V7="","",'Supp. Result Entry'!V7)</f>
        <v/>
      </c>
      <c r="IF8" s="212" t="str">
        <f>IF('Supp. Result Entry'!Y7="","",'Supp. Result Entry'!Y7)</f>
        <v/>
      </c>
      <c r="IG8" s="212" t="str">
        <f>IF('Supp. Result Entry'!AB7="","",'Supp. Result Entry'!AB7)</f>
        <v/>
      </c>
      <c r="IH8" s="212" t="str">
        <f>IF('Supp. Result Entry'!AE7="","",'Supp. Result Entry'!AE7)</f>
        <v/>
      </c>
      <c r="II8" s="212" t="str">
        <f>IF('Supp. Result Entry'!AH7="","",'Supp. Result Entry'!AH7)</f>
        <v/>
      </c>
      <c r="IJ8" s="212" t="str">
        <f>IF('Supp. Result Entry'!AK7="","",'Supp. Result Entry'!AK7)</f>
        <v/>
      </c>
      <c r="IK8" s="212" t="str">
        <f>IF('Supp. Result Entry'!W7="","",'Supp. Result Entry'!W7)</f>
        <v/>
      </c>
      <c r="IL8" s="212" t="str">
        <f>IF('Supp. Result Entry'!Z7="","",'Supp. Result Entry'!Z7)</f>
        <v/>
      </c>
      <c r="IM8" s="212" t="str">
        <f>IF('Supp. Result Entry'!AC7="","",'Supp. Result Entry'!AC7)</f>
        <v/>
      </c>
      <c r="IN8" s="212" t="str">
        <f>IF('Supp. Result Entry'!AF7="","",'Supp. Result Entry'!AF7)</f>
        <v/>
      </c>
      <c r="IO8" s="212" t="str">
        <f>IF('Supp. Result Entry'!AI7="","",'Supp. Result Entry'!AI7)</f>
        <v/>
      </c>
      <c r="IP8" s="212" t="str">
        <f>IF('Supp. Result Entry'!AL7="","",'Supp. Result Entry'!AL7)</f>
        <v/>
      </c>
      <c r="IQ8" s="212">
        <f>COUNTIF('Supp. Result Entry'!K7:Q7,"S")</f>
        <v>0</v>
      </c>
      <c r="IR8" s="212">
        <f>COUNTIF(FJ8:GR8,"RE")+COUNTIF(FJ8:GR8,"REP")</f>
        <v>0</v>
      </c>
      <c r="IS8" s="212">
        <f>COUNTIF(IK8:IP8,"P")</f>
        <v>0</v>
      </c>
      <c r="IT8" s="212" t="str">
        <f t="shared" ref="IT8:IT71" si="41">IF(OR(IQ8=0,IQ8&lt;IS8),"",IF(OR(FJ8="RE",FJ8="REP"),SUM(Q8,IE8),IF(FJ8="S",IE8,Q8)))</f>
        <v/>
      </c>
      <c r="IU8" s="212" t="str">
        <f t="shared" ref="IU8:IU71" si="42">IF(OR(IQ8=0,IQ8&lt;IS8),"",IF(OR(FM8="RE",FM8="REP"),SUM(AE8,IF8),IF(FM8="S",IF8,AE8)))</f>
        <v/>
      </c>
      <c r="IV8" s="212" t="str">
        <f t="shared" ref="IV8:IV71" si="43">IF(OR(IQ8=0,IQ8&lt;IS8),"",IF(OR(FP8="RE",FP8="REP"),SUM(AZ8,IG8),IF(FP8="S",IG8,AZ8)))</f>
        <v/>
      </c>
      <c r="IW8" s="212" t="str">
        <f t="shared" ref="IW8:IW71" si="44">IF(OR(IQ8=0,IQ8&lt;IS8),"",IF(OR(FW8="RE",FW8="REP"),SUM(BW8,IH8),IF(FW8="S",IH8,BW8)))</f>
        <v/>
      </c>
      <c r="IX8" s="212" t="str">
        <f t="shared" ref="IX8:IX71" si="45">IF(OR(IQ8=0,IQ8&lt;IS8),"",IF(OR(GD8="RE",GD8="REP"),SUM(CT8,II8),IF(GD8="S",II8,CT8)))</f>
        <v/>
      </c>
      <c r="IY8" s="212" t="str">
        <f>IF(OR(IQ8=0,IQ8&lt;IS8),"",SUM(IT8:IX8))</f>
        <v/>
      </c>
      <c r="IZ8" s="212" t="str">
        <f>IF(OR(IQ8=0,IQ8&lt;IS8),"",IY8/JA8*100)</f>
        <v/>
      </c>
      <c r="JA8" s="212" t="str">
        <f t="shared" ref="JA8:JA71" si="46">IF(OR(IQ8=0,IQ8&lt;IS8),"",SUM(($Q$6+$AE$6+$AZ$6+$BW$6+$CT$6)))</f>
        <v/>
      </c>
      <c r="JB8" s="210" t="str">
        <f>IF(IZ8="","",IF(IZ8&gt;=60,"I",IF(IZ8&gt;=48,"II",IF(IZ8&gt;=36,"III",""))))</f>
        <v/>
      </c>
    </row>
    <row r="9" spans="1:262" s="210" customFormat="1" ht="21" customHeight="1">
      <c r="A9" s="183">
        <v>2</v>
      </c>
      <c r="B9" s="184">
        <f>IF('Marks Entry'!B9="","",'Marks Entry'!B9)</f>
        <v>1102</v>
      </c>
      <c r="C9" s="185">
        <f>IF('Marks Entry'!D9="","",'Marks Entry'!D9)</f>
        <v>231</v>
      </c>
      <c r="D9" s="186">
        <f>IF('Marks Entry'!E9="","",'Marks Entry'!E9)</f>
        <v>38090</v>
      </c>
      <c r="E9" s="187" t="str">
        <f>IF('Marks Entry'!F9="","",'Marks Entry'!F9)</f>
        <v>B</v>
      </c>
      <c r="F9" s="187" t="str">
        <f>IF('Marks Entry'!G9="","",'Marks Entry'!G9)</f>
        <v>Y</v>
      </c>
      <c r="G9" s="187" t="str">
        <f>IF('Marks Entry'!H9="","",'Marks Entry'!H9)</f>
        <v>N</v>
      </c>
      <c r="H9" s="188" t="str">
        <f>IF('Marks Entry'!I9="","",'Marks Entry'!I9)</f>
        <v>OBC</v>
      </c>
      <c r="I9" s="189" t="str">
        <f>IF('Marks Entry'!J9="","",'Marks Entry'!J9)</f>
        <v>M</v>
      </c>
      <c r="J9" s="545">
        <f>IF('Marks Entry'!K9="","",'Marks Entry'!K9)</f>
        <v>8</v>
      </c>
      <c r="K9" s="545">
        <f>IF('Marks Entry'!L9="","",'Marks Entry'!L9)</f>
        <v>9</v>
      </c>
      <c r="L9" s="545">
        <f>IF('Marks Entry'!M9="","",'Marks Entry'!M9)</f>
        <v>7</v>
      </c>
      <c r="M9" s="546">
        <f t="shared" ref="M9:M72" si="47">IF(AND(J9="",K9="",L9=""),"",IF(AND(J9="AB",K9="AB",L9="AB"),"AB",IF(AND(J9="ML",K9="ML",L9="ML"),"ML",SUM(J9:L9))))</f>
        <v>24</v>
      </c>
      <c r="N9" s="545">
        <f>IF('Marks Entry'!N9="","",'Marks Entry'!N9)</f>
        <v>46</v>
      </c>
      <c r="O9" s="546">
        <f t="shared" ref="O9:O72" si="48">IF(AND(N9="",M9=""),"",IF(AND(N9="AB",M9="AB"),"AB",IF(AND(N9="ML",M9="ML"),"ML",SUM(M9,N9))))</f>
        <v>70</v>
      </c>
      <c r="P9" s="545">
        <f>IF('Marks Entry'!O9="","",'Marks Entry'!O9)</f>
        <v>45</v>
      </c>
      <c r="Q9" s="547">
        <f t="shared" ref="Q9:Q72" si="49">IF(AND(O9="",P9=""),"",IF(AND(O9="AB",P9="AB"),"AB",IF(AND(O9="ML",P9="ML"),"ML",SUM(O9,P9))))</f>
        <v>115</v>
      </c>
      <c r="R9" s="152">
        <f t="shared" ref="R9:R72" si="50">COUNTIF(J9:L9,"NA")*10</f>
        <v>0</v>
      </c>
      <c r="S9" s="152">
        <f t="shared" ref="S9:S72" si="51">(COUNTIF(J9:L9,"ML")*10)+(COUNTIF(N9,"ML")*70)+(COUNTIF(P9,"ML")*100)</f>
        <v>0</v>
      </c>
      <c r="T9" s="153">
        <f t="shared" ref="T9:T72" si="52">IF(OR($B9="NSO",$B9=0),"",IF(AND(J9="",K9="",L9="",N9="",P9=""),"",IF(AND(K9="",J9="",O9="",N9=""),20-R9-S9,IF(AND(K9="",L9="",N9=""),20-R9-S9,IF(AND(N9="",P9=""),40-R9-S9,IF(P9="",100-R9-S9,200-R9-S9))))))</f>
        <v>200</v>
      </c>
      <c r="U9" s="152" t="str">
        <f t="shared" ref="U9:U72" si="53">IF(OR($B9="",$C9="",$E9=""),"",IF(AND(OR(J9="ab",J9="ml",J9=""),OR(K9="ab",K9="ml",K9=""),OR(N9="ab",N9="ml",N9="")),"AB",IF(AND(OR(N9="ab",N9="ml",N9=""),OR(P9="ab",P9="ml",P9=""),OR(L9="ab",L9="ml")),"AB",IF(AND(OR(P9="ab",P9="ml",P9=""),OR(J9="ab",J9="ml",J9=""),OR(K9="ab",K9="ml",K9="")),"AB",""))))</f>
        <v/>
      </c>
      <c r="V9" s="152" t="str">
        <f t="shared" ref="V9:V72" si="54">IF(OR($B9="NSO",$B9="",Q9=""),"",IF(OR(U9="AB",P9="ab"),"AB",IF(P9="ML","RE",IF(AND(Q9&gt;=36%*T9,P9&gt;=20%*$P$6),"P",IF(AND(Q9&gt;=34%*T9,S9=0,P9&gt;=20%*$P$6),"G2",IF(AND(Q9&gt;=31%*T9,S9=0,P9&gt;=20%*$P$6),"G1",IF(Q9&gt;=25%*T9,"S","F")))))))</f>
        <v>P</v>
      </c>
      <c r="W9" s="152" t="str">
        <f t="shared" ref="W9:W72" si="55">IF(OR(V9="",V9=0,V9="S",V9="RE",V9="F",V9="AB"),V9,IF(Q9&gt;=75%*T9,"D",IF(Q9&gt;=60%*T9,"I",IF(Q9&gt;=48%*T9,"II",IF(Q9&gt;=36%*T9,"III",V9)))))</f>
        <v>II</v>
      </c>
      <c r="X9" s="545">
        <f>IF('Marks Entry'!P9="","",'Marks Entry'!P9)</f>
        <v>9</v>
      </c>
      <c r="Y9" s="545">
        <f>IF('Marks Entry'!Q9="","",'Marks Entry'!Q9)</f>
        <v>5</v>
      </c>
      <c r="Z9" s="545">
        <f>IF('Marks Entry'!R9="","",'Marks Entry'!R9)</f>
        <v>7</v>
      </c>
      <c r="AA9" s="546">
        <f t="shared" ref="AA9:AA72" si="56">IF(AND(X9="",Y9="",Z9=""),"",IF(AND(X9="AB",Y9="AB",Z9="AB"),"AB",IF(AND(X9="ML",Y9="ML",Z9="ML"),"ML",SUM(X9:Z9))))</f>
        <v>21</v>
      </c>
      <c r="AB9" s="545">
        <f>IF('Marks Entry'!S9="","",'Marks Entry'!S9)</f>
        <v>41</v>
      </c>
      <c r="AC9" s="546">
        <f t="shared" ref="AC9:AC72" si="57">IF(AND(AB9="",AA9=""),"",IF(AND(AB9="AB",AA9="AB"),"AB",IF(AND(AB9="ML",AA9="ML"),"ML",SUM(AA9,AB9))))</f>
        <v>62</v>
      </c>
      <c r="AD9" s="545">
        <f>IF('Marks Entry'!T9="","",'Marks Entry'!T9)</f>
        <v>71</v>
      </c>
      <c r="AE9" s="547">
        <f t="shared" ref="AE9:AE72" si="58">IF(AND(AC9="",AD9=""),"",IF(AND(AC9="AB",AD9="AB"),"AB",IF(AND(AC9="ML",AD9="ML"),"ML",SUM(AC9,AD9))))</f>
        <v>133</v>
      </c>
      <c r="AF9" s="152">
        <f t="shared" ref="AF9:AF72" si="59">COUNTIF(X9:Z9,"NA")*10</f>
        <v>0</v>
      </c>
      <c r="AG9" s="152">
        <f t="shared" ref="AG9:AG72" si="60">(COUNTIF(X9:Z9,"ML")*10)+(COUNTIF(AB9,"ML")*70)+(COUNTIF(AD9,"ML")*100)</f>
        <v>0</v>
      </c>
      <c r="AH9" s="153">
        <f t="shared" ref="AH9:AH72" si="61">IF(OR($B9="NSO",$B9=0),"",IF(AND(X9="",Y9="",Z9="",AB9="",AD9=""),"",IF(AND(Y9="",X9="",AC9="",AB9=""),20-AF9-AG9,IF(AND(Y9="",Z9="",AB9=""),20-AF9-AG9,IF(AND(AB9="",AD9=""),40-AF9-AG9,IF(AD9="",100-AF9-AG9,200-AF9-AG9))))))</f>
        <v>200</v>
      </c>
      <c r="AI9" s="152" t="str">
        <f t="shared" ref="AI9:AI72" si="62">IF(OR($B9="",$C9="",$E9=""),"",IF(AND(OR(X9="ab",X9="ml",X9=""),OR(Y9="ab",Y9="ml",Y9=""),OR(AB9="ab",AB9="ml",AB9="")),"AB",IF(AND(OR(AB9="ab",AB9="ml",AB9=""),OR(AD9="ab",AD9="ml",AD9=""),OR(Z9="ab",Z9="ml")),"AB",IF(AND(OR(AD9="ab",AD9="ml",AD9=""),OR(X9="ab",X9="ml",X9=""),OR(Y9="ab",Y9="ml",Y9="")),"AB",""))))</f>
        <v/>
      </c>
      <c r="AJ9" s="152" t="str">
        <f t="shared" ref="AJ9:AJ72" si="63">IF(OR($B9="NSO",$B9="",AE9=""),"",IF(OR(AI9="AB",AD9="ab"),"AB",IF(AD9="ML","RE",IF(AND(AE9&gt;=36%*AH9,AD9&gt;=20%*$P$6),"P",IF(AND(AE9&gt;=34%*AH9,AG9=0,AD9&gt;=20%*$P$6),"G2",IF(AND(AE9&gt;=31%*AH9,AG9=0,AD9&gt;=20%*$P$6),"G1",IF(AE9&gt;=25%*AH9,"S","F")))))))</f>
        <v>P</v>
      </c>
      <c r="AK9" s="152" t="str">
        <f t="shared" ref="AK9:AK72" si="64">IF(OR(AJ9="",AJ9=0,AJ9="S",AJ9="RE",AJ9="F",AJ9="AB"),AJ9,IF(AE9&gt;=75%*AH9,"D",IF(AE9&gt;=60%*AH9,"I",IF(AE9&gt;=48%*AH9,"II",IF(AE9&gt;=36%*AH9,"III",AJ9)))))</f>
        <v>I</v>
      </c>
      <c r="AL9" s="573" t="str">
        <f>IF('Marks Entry'!U9="","",'Marks Entry'!U9)</f>
        <v>B</v>
      </c>
      <c r="AM9" s="573">
        <f>IF('Marks Entry'!V9="","",'Marks Entry'!V9)</f>
        <v>9</v>
      </c>
      <c r="AN9" s="573">
        <f>IF('Marks Entry'!W9="","",'Marks Entry'!W9)</f>
        <v>10</v>
      </c>
      <c r="AO9" s="573">
        <f>IF('Marks Entry'!X9="","",'Marks Entry'!X9)</f>
        <v>8</v>
      </c>
      <c r="AP9" s="572">
        <f t="shared" ref="AP9:AP72" si="65">IF(AND(AM9="",AN9="",AO9=""),"",IF(AND(AM9="AB",AN9="AB",AO9="AB"),"AB",IF(AND(AM9="ML",AN9="ML",AO9="ML"),"ML",SUM(AM9:AO9))))</f>
        <v>27</v>
      </c>
      <c r="AQ9" s="573">
        <f>IF('Marks Entry'!Y9="","",'Marks Entry'!Y9)</f>
        <v>34</v>
      </c>
      <c r="AR9" s="573">
        <f>IF('Marks Entry'!Z9="","",'Marks Entry'!Z9)</f>
        <v>8</v>
      </c>
      <c r="AS9" s="572">
        <f t="shared" ref="AS9:AS72" si="66">IF(AND(AQ9="",AR9=""),"",IF(AND(AQ9="AB",AR9="AB"),"AB",IF(AND(AQ9="ML",AR9="ML"),"ML",SUM(AQ9:AR9))))</f>
        <v>42</v>
      </c>
      <c r="AT9" s="572">
        <f t="shared" ref="AT9:AT72" si="67">IF(AND(AS9="",AP9=""),"",IF(AND(AS9="AB",AP9="AB"),"AB",IF(AND(AS9="ML",AP9="ML"),"ML",SUM(AP9,AS9))))</f>
        <v>69</v>
      </c>
      <c r="AU9" s="573">
        <f>IF('Marks Entry'!AA9="","",'Marks Entry'!AA9)</f>
        <v>53</v>
      </c>
      <c r="AV9" s="573">
        <f>IF('Marks Entry'!AB9="","",'Marks Entry'!AB9)</f>
        <v>10</v>
      </c>
      <c r="AW9" s="572">
        <f t="shared" ref="AW9:AW72" si="68">IF(AND(AU9="",AV9=""),"",IF(AND(AU9="AB",AV9="AB"),"AB",IF(AND(AU9="ML",AV9="ML"),"ML",SUM(AU9:AV9))))</f>
        <v>63</v>
      </c>
      <c r="AX9" s="156">
        <f t="shared" ref="AX9:AX72" si="69">IF(AND(AP9="",AQ9="",AU9=""),"",SUM(AP9,AQ9,AU9))</f>
        <v>114</v>
      </c>
      <c r="AY9" s="156">
        <f t="shared" ref="AY9:AY72" si="70">IF(AND(AR9="",AV9=""),"",SUM(AR9,AV9))</f>
        <v>18</v>
      </c>
      <c r="AZ9" s="191">
        <f t="shared" ref="AZ9:AZ72" si="71">IF(AND(AT9="",AW9=""),"",SUM(AT9,AW9))</f>
        <v>132</v>
      </c>
      <c r="BA9" s="152">
        <f t="shared" ref="BA9:BA72" si="72">COUNTIF(AM9:AO9,"NA")*10</f>
        <v>0</v>
      </c>
      <c r="BB9" s="153">
        <f t="shared" ref="BB9:BB72" si="73">IF(AND(AQ9="",AU9=""),(COUNTIF(AM9:AO9,"ML")*10+(COUNTIF(AQ9,"ML"))*AQ$6+(COUNTIF(AU9,"ML"))*AU$6),(COUNTIF(AM9:AO9,"ML")*10+(COUNTIF(AQ9,"ML"))*AQ$6+(COUNTIF(AU9,"ML"))*AU$6))</f>
        <v>0</v>
      </c>
      <c r="BC9" s="153">
        <f t="shared" ref="BC9:BC72" si="74">IF(OR($B9="NSO",$B9=0,AX9=""),"",IF(AND(AR9="",AV9=""),SUM($AU$7),SUM($AU$6)))</f>
        <v>70</v>
      </c>
      <c r="BD9" s="153">
        <f t="shared" ref="BD9:BD72" si="75">IF(OR($B9="NSO",$B9=0,AY9=""),"",IF(AND(AR9="",AV9=""),"",AY$6-(COUNTIF(AR9,"ML")*AR$6)-(COUNTIF(AV9,"ML")*AV$6)))</f>
        <v>50</v>
      </c>
      <c r="BE9" s="153">
        <f t="shared" ref="BE9:BE72" si="76">IF(OR($B9="NSO",$B9=0),"",IF(AND(AP9="",AQ9="",AU9=""),"",IF(AND(AR9="",AV9=""),SUM(($AX$7)-(BA9+BB9)),SUM(($AX$6)-(BA9+BB9)))))</f>
        <v>150</v>
      </c>
      <c r="BF9" s="152" t="str">
        <f t="shared" ref="BF9:BF72" si="77">IF(AND(OR(AM9="ab",AM9="ml"),OR(AQ9="ab",AQ9="ml"),OR(AN9="ab",AN9="ml")),"AB",IF(AND(OR(AM9="ab",AM9="ml"),OR(AQ9="ab",AQ9="ml"),OR(AU9="ab",AU9="ml")),"AB",IF(AND(OR(AQ9="ab",AQ9="ml"),OR(AO9="ab",AO9="ml"),OR(AN9="ab",AN9="ml")),"AB",IF(AND(OR(AQ9="ab",AQ9="ml"),OR(AU9="ab",AU9="ml"),OR(AN9="ab",AN9="ml")),"AB",IF(AND(OR(AQ9="ab",AQ9="ml"),OR(AU9="ab",AU9="ml")),"AB","")))))</f>
        <v/>
      </c>
      <c r="BG9" s="153" t="str">
        <f>IF(OR($B9="NSO",$B9=0,AU9="",AW9="",AZ9=""),"",IF(OR(AU9="AB",AV9="AB",BF9="AB"),"AB",IF(OR(AU9="ML",AW9="ML"),"RE",IF(AV9="MLP","REP",IF(AV9&lt;33%*$AV$6,"FP",IF(AR9&lt;33%*$AR$6,"FP",IF(AND(AX9&gt;=36%*BE9,SUM(AU9)&gt;=20%*BC9,AY9&gt;=SUM(BD9)*36%),"P",IF(AND(AX9&gt;=34%*BE9,BB9=0,SUM(AU9)&gt;=20%*BC9,AY9&gt;=SUM(BD9)*36%),"G2",IF(AND(AX9&gt;=31%*BE9,BB9=0,SUM(AU9)&gt;=20%*BC9,AY9&gt;=SUM(BD9)*36%),"G1",IF(AND(AX9&gt;=25%*BE9,SUM(AU9)&gt;=20%*BC9),"S","F"))))))))))</f>
        <v>P</v>
      </c>
      <c r="BH9" s="152" t="str">
        <f t="shared" ref="BH9:BH72" si="78">IF(OR(BG9="REP",BG9="RE",BG9=0,BG9="",BG9="F",BG9="AB"),BG9,IF(AND(AZ9&gt;=75%*($AZ$6-BA9-BB9),BG9="P"),"D",IF(AND(AZ9&gt;=60%*($AZ$6-BA9-BB9),BG9="P"),"I",IF(AND(AZ9&gt;=48%*($AZ$6-BA9-BB9),BG9="P"),"II",IF(AND(AZ9&gt;=36%*($AZ$6-BA9-BB9),BG9="P"),"III",BG9)))))</f>
        <v>I</v>
      </c>
      <c r="BI9" s="580" t="str">
        <f>IF('Marks Entry'!AC9="","",'Marks Entry'!AC9)</f>
        <v>B</v>
      </c>
      <c r="BJ9" s="580">
        <f>IF('Marks Entry'!AD9="","",'Marks Entry'!AD9)</f>
        <v>8</v>
      </c>
      <c r="BK9" s="580">
        <f>IF('Marks Entry'!AE9="","",'Marks Entry'!AE9)</f>
        <v>10</v>
      </c>
      <c r="BL9" s="580">
        <f>IF('Marks Entry'!AF9="","",'Marks Entry'!AF9)</f>
        <v>9</v>
      </c>
      <c r="BM9" s="581">
        <f t="shared" ref="BM9:BM72" si="79">IF(AND(BJ9="",BK9="",BL9=""),"",IF(AND(BJ9="AB",BK9="AB",BL9="AB"),"AB",IF(AND(BJ9="ML",BK9="ML",BL9="ML"),"ML",SUM(BJ9:BL9))))</f>
        <v>27</v>
      </c>
      <c r="BN9" s="580">
        <f>IF('Marks Entry'!AG9="","",'Marks Entry'!AG9)</f>
        <v>45</v>
      </c>
      <c r="BO9" s="580">
        <f>IF('Marks Entry'!AH9="","",'Marks Entry'!AH9)</f>
        <v>16</v>
      </c>
      <c r="BP9" s="581">
        <f t="shared" ref="BP9:BP72" si="80">IF(AND(BN9="",BO9=""),"",IF(AND(BN9="AB",BO9="AB"),"AB",IF(AND(BN9="ML",BO9="ML"),"ML",SUM(BN9:BO9))))</f>
        <v>61</v>
      </c>
      <c r="BQ9" s="581">
        <f t="shared" ref="BQ9:BQ72" si="81">IF(AND(BP9="",BM9=""),"",IF(AND(BP9="AB",BM9="AB"),"AB",IF(AND(BP9="ML",BM9="ML"),"ML",SUM(BM9,BP9))))</f>
        <v>88</v>
      </c>
      <c r="BR9" s="580">
        <f>IF('Marks Entry'!AI9="","",'Marks Entry'!AI9)</f>
        <v>42</v>
      </c>
      <c r="BS9" s="580">
        <f>IF('Marks Entry'!AJ9="","",'Marks Entry'!AJ9)</f>
        <v>25</v>
      </c>
      <c r="BT9" s="581">
        <f t="shared" ref="BT9:BT72" si="82">IF(AND(BR9="",BS9=""),"",IF(AND(BR9="AB",BS9="AB"),"AB",IF(AND(BR9="ML",BS9="ML"),"ML",SUM(BR9:BS9))))</f>
        <v>67</v>
      </c>
      <c r="BU9" s="156">
        <f t="shared" ref="BU9:BU72" si="83">IF(AND(BM9="",BN9="",BR9=""),"",SUM(BM9,BN9,BR9))</f>
        <v>114</v>
      </c>
      <c r="BV9" s="156">
        <f t="shared" ref="BV9:BV72" si="84">IF(AND(BO9="",BS9=""),"",SUM(BO9,BS9))</f>
        <v>41</v>
      </c>
      <c r="BW9" s="191">
        <f t="shared" ref="BW9:BW72" si="85">IF(AND(BQ9="",BT9=""),"",SUM(BQ9,BT9))</f>
        <v>155</v>
      </c>
      <c r="BX9" s="152">
        <f t="shared" ref="BX9:BX72" si="86">COUNTIF(BJ9:BL9,"NA")*10</f>
        <v>0</v>
      </c>
      <c r="BY9" s="153">
        <f t="shared" ref="BY9:BY72" si="87">IF(AND(BN9="",BR9=""),(COUNTIF(BJ9:BL9,"ML")*10+(COUNTIF(BN9,"ML"))*BN$6+(COUNTIF(BR9,"ML"))*BR$6),(COUNTIF(BJ9:BL9,"ML")*10+(COUNTIF(BN9,"ML"))*BN$6+(COUNTIF(BR9,"ML"))*BR$6))</f>
        <v>0</v>
      </c>
      <c r="BZ9" s="153">
        <f t="shared" ref="BZ9:BZ72" si="88">IF(OR($B9="NSO",$B9=0,BU9=""),"",IF(AND(BO9="",BS9=""),SUM($BR$7),SUM($BR$6)))</f>
        <v>70</v>
      </c>
      <c r="CA9" s="153">
        <f t="shared" ref="CA9:CA72" si="89">IF(OR($B9="NSO",$B9=0,BV9=""),"",IF(AND(BO9="",BS9=""),"",BV$6-(COUNTIF(BO9,"ML")*BO$6)-(COUNTIF(BS9,"ML")*BS$6)))</f>
        <v>50</v>
      </c>
      <c r="CB9" s="153">
        <f t="shared" ref="CB9:CB72" si="90">IF(OR($B9="NSO",$B9=0),"",IF(AND(BM9="",BN9="",BR9=""),"",IF(AND(BO9="",BS9=""),SUM(($BU$7)-(BX9+BY9)),SUM(($BU$6)-(BX9+BY9)))))</f>
        <v>150</v>
      </c>
      <c r="CC9" s="152" t="str">
        <f t="shared" ref="CC9:CC72" si="91">IF(AND(OR(BJ9="ab",BJ9="ml"),OR(BN9="ab",BN9="ml"),OR(BK9="ab",BK9="ml")),"AB",IF(AND(OR(BJ9="ab",BJ9="ml"),OR(BN9="ab",BN9="ml"),OR(BR9="ab",BR9="ml")),"AB",IF(AND(OR(BN9="ab",BN9="ml"),OR(BL9="ab",BL9="ml"),OR(BK9="ab",BK9="ml")),"AB",IF(AND(OR(BN9="ab",BN9="ml"),OR(BR9="ab",BR9="ml"),OR(BK9="ab",BK9="ml")),"AB",IF(AND(OR(BN9="ab",BN9="ml"),OR(BR9="ab",BR9="ml")),"AB","")))))</f>
        <v/>
      </c>
      <c r="CD9" s="153" t="str">
        <f t="shared" ref="CD9:CD72" si="92">IF(OR($B9="NSO",$B9=0,BR9="",BT9="",BW9=""),"",IF(OR(BR9="AB",BS9="AB",CC9="AB"),"AB",IF(OR(BR9="ML",BT9="ML"),"RE",IF(BS9="MLP","REP",IF(BS9&lt;33%*$AV$6,"FP",IF(BO9&lt;33%*$AR$6,"FP",IF(AND(BU9&gt;=36%*CB9,SUM(BR9)&gt;=20%*BZ9,BV9&gt;=SUM(CA9)*36%),"P",IF(AND(BU9&gt;=34%*CB9,BY9=0,SUM(BR9)&gt;=20%*BZ9,BV9&gt;=SUM(CA9)*36%),"G2",IF(AND(BU9&gt;=31%*CB9,BY9=0,SUM(BR9)&gt;=20%*BZ9,BV9&gt;=SUM(CA9)*36%),"G1",IF(AND(BU9&gt;=25%*CB9,SUM(BR9)&gt;=20%*BZ9),"S","F"))))))))))</f>
        <v>P</v>
      </c>
      <c r="CE9" s="152" t="str">
        <f t="shared" ref="CE9:CE72" si="93">IF(OR(CD9="REP",CD9="RE",CD9=0,CD9="",CD9="F",CD9="AB"),CD9,IF(AND(BW9&gt;=75%*($BW$6-BX9-BY9),CD9="P"),"D",IF(AND(BW9&gt;=60%*($BW$6-BX9-BY9),CD9="P"),"I",IF(AND(BW9&gt;=48%*($BW$6-BX9-BY9),CD9="P"),"II",IF(AND(BW9&gt;=36%*($BW$6-BX9-BY9),CD9="P"),"III",CD9)))))</f>
        <v>D</v>
      </c>
      <c r="CF9" s="580" t="str">
        <f>IF('Marks Entry'!AK9="","",'Marks Entry'!AK9)</f>
        <v>B</v>
      </c>
      <c r="CG9" s="580">
        <f>IF('Marks Entry'!AL9="","",'Marks Entry'!AL9)</f>
        <v>4</v>
      </c>
      <c r="CH9" s="580">
        <f>IF('Marks Entry'!AM9="","",'Marks Entry'!AM9)</f>
        <v>4</v>
      </c>
      <c r="CI9" s="580">
        <f>IF('Marks Entry'!AN9="","",'Marks Entry'!AN9)</f>
        <v>9</v>
      </c>
      <c r="CJ9" s="581">
        <f t="shared" ref="CJ9:CJ72" si="94">IF(AND(CG9="",CH9="",CI9=""),"",IF(AND(CG9="AB",CH9="AB",CI9="AB"),"AB",IF(AND(CG9="ML",CH9="ML",CI9="ML"),"ML",SUM(CG9:CI9))))</f>
        <v>17</v>
      </c>
      <c r="CK9" s="580">
        <f>IF('Marks Entry'!AO9="","",'Marks Entry'!AO9)</f>
        <v>10</v>
      </c>
      <c r="CL9" s="580">
        <f>IF('Marks Entry'!AP9="","",'Marks Entry'!AP9)</f>
        <v>20</v>
      </c>
      <c r="CM9" s="581">
        <f t="shared" ref="CM9:CM72" si="95">IF(AND(CK9="",CL9=""),"",IF(AND(CK9="AB",CL9="AB"),"AB",IF(AND(CK9="ML",CL9="ML"),"ML",SUM(CK9:CL9))))</f>
        <v>30</v>
      </c>
      <c r="CN9" s="581">
        <f t="shared" ref="CN9:CN72" si="96">IF(AND(CM9="",CJ9=""),"",IF(AND(CM9="AB",CJ9="AB"),"AB",IF(AND(CM9="ML",CJ9="ML"),"ML",SUM(CJ9,CM9))))</f>
        <v>47</v>
      </c>
      <c r="CO9" s="580">
        <f>IF('Marks Entry'!AQ9="","",'Marks Entry'!AQ9)</f>
        <v>45</v>
      </c>
      <c r="CP9" s="580">
        <f>IF('Marks Entry'!AR9="","",'Marks Entry'!AR9)</f>
        <v>15</v>
      </c>
      <c r="CQ9" s="581">
        <f t="shared" ref="CQ9:CQ72" si="97">IF(AND(CO9="",CP9=""),"",IF(AND(CO9="AB",CP9="AB"),"AB",IF(AND(CO9="ML",CP9="ML"),"ML",SUM(CO9:CP9))))</f>
        <v>60</v>
      </c>
      <c r="CR9" s="156">
        <f t="shared" ref="CR9:CR72" si="98">IF(AND(CJ9="",CK9="",CO9=""),"",SUM(CJ9,CK9,CO9))</f>
        <v>72</v>
      </c>
      <c r="CS9" s="156">
        <f t="shared" ref="CS9:CS72" si="99">IF(AND(CL9="",CP9=""),"",SUM(CL9,CP9))</f>
        <v>35</v>
      </c>
      <c r="CT9" s="191">
        <f t="shared" ref="CT9:CT72" si="100">IF(AND(CN9="",CQ9=""),"",SUM(CN9,CQ9))</f>
        <v>107</v>
      </c>
      <c r="CU9" s="152">
        <f t="shared" ref="CU9:CU72" si="101">COUNTIF(CG9:CI9,"NA")*10</f>
        <v>0</v>
      </c>
      <c r="CV9" s="153">
        <f t="shared" ref="CV9:CV72" si="102">IF(AND(CK9="",CO9=""),(COUNTIF(CG9:CI9,"ML")*10+(COUNTIF(CK9,"ML"))*CK$6+(COUNTIF(CO9,"ML"))*CO$6),(COUNTIF(CG9:CI9,"ML")*10+(COUNTIF(CK9,"ML"))*CK$6+(COUNTIF(CO9,"ML"))*CO$6))</f>
        <v>0</v>
      </c>
      <c r="CW9" s="153">
        <f t="shared" ref="CW9:CW72" si="103">IF(OR($B9="NSO",$B9=0,CR9=""),"",IF(AND(CL9="",CP9=""),SUM($CO$7),SUM($CO$6)))</f>
        <v>70</v>
      </c>
      <c r="CX9" s="153">
        <f t="shared" ref="CX9:CX72" si="104">IF(OR($B9="NSO",$B9=0,CS9=""),"",IF(AND(CL9="",CP9=""),"",CS$6-(COUNTIF(CL9,"ML")*CL$6)-(COUNTIF(CP9,"ML")*CP$6)))</f>
        <v>50</v>
      </c>
      <c r="CY9" s="153">
        <f>IF(OR($B9="NSO",$B9=0),"",IF(AND(CJ9="",CK9="",CO9=""),"",IF(AND(CL9="",CP9=""),SUM((CR$7)-(CU9+CV9)),SUM((CR$6)-(CU9+CV9)))))</f>
        <v>150</v>
      </c>
      <c r="CZ9" s="152" t="str">
        <f t="shared" ref="CZ9:CZ72" si="105">IF(AND(OR(CG9="ab",CG9="ml"),OR(CK9="ab",CK9="ml"),OR(CH9="ab",CH9="ml")),"AB",IF(AND(OR(CG9="ab",CG9="ml"),OR(CK9="ab",CK9="ml"),OR(CO9="ab",CO9="ml")),"AB",IF(AND(OR(CK9="ab",CK9="ml"),OR(CI9="ab",CI9="ml"),OR(CH9="ab",CH9="ml")),"AB",IF(AND(OR(CK9="ab",CK9="ml"),OR(CO9="ab",CO9="ml"),OR(CH9="ab",CH9="ml")),"AB",IF(AND(OR(CK9="ab",CK9="ml"),OR(CO9="ab",CO9="ml")),"AB","")))))</f>
        <v/>
      </c>
      <c r="DA9" s="153" t="str">
        <f t="shared" ref="DA9:DA72" si="106">IF(OR($B9="NSO",$B9=0,CO9="",CQ9="",CT9=""),"",IF(OR(CO9="AB",CP9="AB",CZ9="AB"),"AB",IF(OR(CO9="ML",CQ9="ML"),"RE",IF(CP9="MLP","REP",IF(CP9&lt;33%*$AV$6,"FP",IF(CL9&lt;33%*$AR$6,"FP",IF(AND(CR9&gt;=36%*CY9,SUM(CO9)&gt;=20%*CW9,CS9&gt;=SUM(CX9)*36%),"P",IF(AND(CR9&gt;=34%*CY9,CV9=0,SUM(CO9)&gt;=20%*CW9,CS9&gt;=SUM(CX9)*36%),"G2",IF(AND(CR9&gt;=31%*CY9,CV9=0,SUM(CO9)&gt;=20%*CW9,CS9&gt;=SUM(CX9)*36%),"G1",IF(AND(CR9&gt;=25%*CY9,SUM(CO9)&gt;=20%*CW9),"S","F"))))))))))</f>
        <v>P</v>
      </c>
      <c r="DB9" s="152" t="str">
        <f t="shared" ref="DB9:DB72" si="107">IF(OR(DA9="REP",DA9="RE",DA9=0,DA9="",DA9="F",DA9="AB"),DA9,IF(AND(CT9&gt;=75%*($CT$6-CU9-CV9),DA9="P"),"D",IF(AND(CT9&gt;=60%*($CT$6-CU9-CV9),DA9="P"),"I",IF(AND(CT9&gt;=48%*($CT$6-CU9-CV9),DA9="P"),"II",IF(AND(CT9&gt;=36%*($CT$6-CU9-CV9),DA9="P"),"III",DA9)))))</f>
        <v>II</v>
      </c>
      <c r="DC9" s="153">
        <f t="shared" ref="DC9:DC72" si="108">SUM(R9,S9,AF9,AG9,BA9,BB9,BX9,BY9,CU9,CV9)</f>
        <v>0</v>
      </c>
      <c r="DD9" s="851" t="str">
        <f>IF('Marks Entry'!AS9="","",IF(OR('Master Sheet'!$D$19="YES",'Marks Entry'!$BA$1=1),'Marks Entry'!AS9,""))</f>
        <v>A</v>
      </c>
      <c r="DE9" s="851">
        <f>IF('Marks Entry'!AT9="","",IF(OR('Master Sheet'!$D$19="YES",'Marks Entry'!$BA$1=1),'Marks Entry'!AT9,""))</f>
        <v>9</v>
      </c>
      <c r="DF9" s="851">
        <f>IF('Marks Entry'!AU9="","",IF(OR('Master Sheet'!$D$19="YES",'Marks Entry'!$BA$1=1),'Marks Entry'!AU9,""))</f>
        <v>9</v>
      </c>
      <c r="DG9" s="851">
        <f>IF('Marks Entry'!AV9="","",IF(OR('Master Sheet'!$D$19="YES",'Marks Entry'!$BA$1=1),'Marks Entry'!AV9,""))</f>
        <v>9</v>
      </c>
      <c r="DH9" s="852">
        <f t="shared" ref="DH9:DH72" si="109">IF(AND(DE9="",DF9="",DG9=""),"",IF(AND(DE9="AB",DF9="AB",DG9="AB"),"AB",IF(AND(DE9="ML",DF9="ML",DG9="ML"),"ML",SUM(DE9:DG9))))</f>
        <v>27</v>
      </c>
      <c r="DI9" s="851">
        <f>IF('Marks Entry'!AW9="","",IF(OR('Master Sheet'!$D$19="YES",'Marks Entry'!$BA$1=1),'Marks Entry'!AW9,""))</f>
        <v>50</v>
      </c>
      <c r="DJ9" s="851" t="str">
        <f>IF('Marks Entry'!AX9="","",IF(OR('Master Sheet'!$D$19="YES",'Marks Entry'!$BA$1=1),'Marks Entry'!AX9,""))</f>
        <v/>
      </c>
      <c r="DK9" s="852">
        <f t="shared" ref="DK9:DK72" si="110">IF(AND(DI9="",DJ9=""),"",IF(AND(DI9="AB",DJ9="AB"),"AB",IF(AND(DI9="ML",DJ9="ML"),"ML",SUM(DI9:DJ9))))</f>
        <v>50</v>
      </c>
      <c r="DL9" s="852">
        <f t="shared" ref="DL9:DL72" si="111">IF(AND(DK9="",DH9=""),"",IF(AND(DK9="AB",DH9="AB"),"AB",IF(AND(DK9="ML",DH9="ML"),"ML",SUM(DH9,DK9))))</f>
        <v>77</v>
      </c>
      <c r="DM9" s="851">
        <f>IF('Marks Entry'!AY9="","",IF(OR('Master Sheet'!$D$19="YES",'Marks Entry'!$BA$1=1),'Marks Entry'!AY9,""))</f>
        <v>70</v>
      </c>
      <c r="DN9" s="851" t="str">
        <f>IF('Marks Entry'!AZ9="","",IF(OR('Master Sheet'!$D$19="YES",'Marks Entry'!$BA$1=1),'Marks Entry'!AZ9,""))</f>
        <v/>
      </c>
      <c r="DO9" s="851" t="str">
        <f>IF('Marks Entry'!BA9="","",IF(OR('Master Sheet'!$D$19="YES",'Marks Entry'!$BA$1=1),'Marks Entry'!BA9,""))</f>
        <v/>
      </c>
      <c r="DP9" s="852">
        <f t="shared" ref="DP9:DP72" si="112">IF(AND(DM9="",DN9="",DO9=""),"",IF(AND(DM9="AB",DN9="AB",DO9="AB"),"AB",IF(AND(DM9="ML",DN9="ML",DO9="ML"),"ML",SUM(DM9:DO9))))</f>
        <v>70</v>
      </c>
      <c r="DQ9" s="156">
        <f t="shared" ref="DQ9:DQ72" si="113">IF(AND(DH9="",DI9="",DM9="",DN9=""),"",SUM(DH9,DI9,DM9))</f>
        <v>147</v>
      </c>
      <c r="DR9" s="156" t="str">
        <f t="shared" ref="DR9:DR72" si="114">IF(AND(DN9=""),"",SUM(DN9))</f>
        <v/>
      </c>
      <c r="DS9" s="156" t="str">
        <f t="shared" ref="DS9:DS72" si="115">IF(AND(DJ9="",DO9=""),"",SUM(DJ9,DO9))</f>
        <v/>
      </c>
      <c r="DT9" s="191">
        <f t="shared" ref="DT9:DT72" si="116">IF(AND(DL9="",DP9=""),"",SUM(DL9,DP9))</f>
        <v>147</v>
      </c>
      <c r="DU9" s="152">
        <f t="shared" ref="DU9:DU72" si="117">COUNTIF(DE9:DG9,"NA")*10</f>
        <v>0</v>
      </c>
      <c r="DV9" s="153">
        <f t="shared" ref="DV9:DV72" si="118">IF(AND(DI9="",DM9=""),(COUNTIF(DE9:DG9,"ML")*10+(COUNTIF(DI9,"ML"))*DI$6+(COUNTIF(DM9,"ML"))*DM$6),(COUNTIF(DE9:DG9,"ML")*10+(COUNTIF(DI9,"ML"))*DI$6+(COUNTIF(DM9,"ML"))*DM$6))</f>
        <v>0</v>
      </c>
      <c r="DW9" s="153">
        <f t="shared" ref="DW9:DW72" si="119">IF(OR($B9="NSO",$B9=0,DM9=""),"",IF(AND(DO9=""),SUM($DM$7,DN$7),SUM($DM$6,DN$6)))</f>
        <v>100</v>
      </c>
      <c r="DX9" s="153" t="str">
        <f>IF(OR($B9="NSO",$B9=0,DS9=""),"",IF(AND(DJ9="",DO9=""),"",IF('Master Sheet'!$D$19="YES",$DO$6-COUNTIF(DO9,"ML")*DO$6,DS$6-(COUNTIF(DJ9,"ML")*DJ$6)-(COUNTIF(DO9,"ML")*DO$6))))</f>
        <v/>
      </c>
      <c r="DY9" s="153">
        <f>IF(OR($B9="NSO",$B9=0),"",IF(AND(DH9="",DI9="",DM9=""),"",IF(AND('Master Sheet'!$D$19="YES",'Marks Entry'!$BA$1=1),100,IF(AND(DJ9="",DO9=""),SUM(($DQ$7+$DR$7)-(DU9+DV9)),SUM(($DQ$6+$DR$6)-(DU9+DV9))))))</f>
        <v>200</v>
      </c>
      <c r="DZ9" s="152" t="str">
        <f t="shared" ref="DZ9:DZ72" si="120">IF(AND(OR(DE9="ab",DF9="ml"),OR(DI9="ab",DI9="ml")),"AB",IF(AND(OR(DE9="ab",DE9="ml"),OR(DF9="ab",DF9="ml"),OR(DH9="ab",DH9="ml")),"AB",IF(AND(OR(DI9="ab",DI9="ml"),OR(DF9="ab",DF9="ml"),OR(DG9="ab",DG9="ml")),"AB",IF(AND(OR(DKJ9="ab",DI9="ml"),OR(DM9="ab",DM9="ml"),OR(DN9="ab",DN9="ml")),"AB",""))))</f>
        <v/>
      </c>
      <c r="EA9" s="153" t="str">
        <f t="shared" ref="EA9:EA72" si="121">IF(OR($B9="NSO",$B9=0,DM9="",DT9="",DQ9=""),"",IF(OR(DM9="AB",DO9="AB",DZ9="AB"),"AB",IF(OR(DM9="ML",DP9="ML"),"RE",IF(DO9="MLP","REP",IF(DO9&lt;33%*$DO$6,"FP",IF(DJ9&lt;33%*$DJ$6,"FP",IF(AND(DT9&gt;=36%*DY9,SUM(DM9)&gt;=20%*DW9,DS9&gt;=SUM(DX9)*36%),"P",IF(AND(DQ9&gt;=34%*DY9,DV9=0,SUM(DM9)&gt;=20%*DW9,DS9&gt;=SUM(DX9)*36%),"G2",IF(AND(DQ9&gt;=31%*DY9,DV9=0,SUM(DM9)&gt;=20%*DW9,DS9&gt;=SUM(DX9)*36%),"G1",IF(AND(DQ9&gt;=25%*DY9,SUM(DM9)&gt;=20%*DW9),"S","F"))))))))))</f>
        <v>P</v>
      </c>
      <c r="EB9" s="152" t="str">
        <f t="shared" ref="EB9:EB72" si="122">IF(OR(EA9="REP",EA9="RE",EA9=0,EA9="",EA9="F",EA9="AB"),EA9,IF(AND(DT9&gt;=75%*($DT$6-DU9-DV9),EA9="P"),"D",IF(AND(DT9&gt;=60%*($DT$6-DU9-DV9),EA9="P"),"I",IF(AND(DT9&gt;=48%*($DT$6-DU9-DV9),EA9="P"),"II",IF(AND(DT9&gt;=36%*($DT$6-DU9-DV9),EA9="P"),"III",EA9)))))</f>
        <v>I</v>
      </c>
      <c r="EC9" s="584">
        <f>IF('Marks Entry'!BB9="","",'Marks Entry'!BB9)</f>
        <v>26</v>
      </c>
      <c r="ED9" s="584">
        <f>IF('Marks Entry'!BC9="","",'Marks Entry'!BC9)</f>
        <v>25</v>
      </c>
      <c r="EE9" s="584">
        <f>IF('Marks Entry'!BD9="","",'Marks Entry'!BD9)</f>
        <v>36</v>
      </c>
      <c r="EF9" s="590">
        <f t="shared" ref="EF9:EF72" si="123">IF(AND(EC9="",ED9="",EE9=""),"",SUM(EC9:EE9))</f>
        <v>87</v>
      </c>
      <c r="EG9" s="595">
        <f t="shared" ref="EG9:EG72" si="124">COUNTIF(EC9,"NA")*$EC$6</f>
        <v>0</v>
      </c>
      <c r="EH9" s="595">
        <f t="shared" ref="EH9:EH72" si="125">(COUNTIF(EC9,"ML")*$EC$6)+(COUNTIF(ED9,"ML")*$ED$6)</f>
        <v>0</v>
      </c>
      <c r="EI9" s="192">
        <f t="shared" ref="EI9:EI72" si="126">IF(OR($B9="NSO",$B9=0),"",IF(AND(EC9="",ED9="",EE9=""),"",IF(AND(EC9="",ED9=""),30-EG9-EH9,IF(AND(ED9="",EE9=""),60-EG9-EH9,100-EG9-EH9))))</f>
        <v>100</v>
      </c>
      <c r="EJ9" s="595" t="str">
        <f t="shared" ref="EJ9:EJ72" si="127">IF(OR(EE9="ab",EE9="ml"),EE9,"")</f>
        <v/>
      </c>
      <c r="EK9" s="595" t="str">
        <f t="shared" ref="EK9:EK72" si="128">IF(OR($B9="NSO",$B9=0,EF9=""),"",IF(OR(EJ9="AB",EE9="ab"),"AB",IF(AND(EX9="FAIL",(OR(EF9="ml",EF9&lt;20%*$EF$6,EF9&lt;36%*EI9))),"F",IF(OR(EE9="ML",EE9&lt;20%*$EE$6,EF9&lt;36%*EI9),"RE",IF(EF9&gt;80%*EI9,"A",IF(EF9&gt;60%*EI9,"B",IF(EF9&gt;40%*EI9,"C","D")))))))</f>
        <v>A</v>
      </c>
      <c r="EL9" s="193" t="str">
        <f t="shared" ref="EL9:EL72" si="129">W9</f>
        <v>II</v>
      </c>
      <c r="EM9" s="193" t="str">
        <f t="shared" ref="EM9:EM72" si="130">AK9</f>
        <v>I</v>
      </c>
      <c r="EN9" s="193" t="str">
        <f t="shared" ref="EN9:EN72" si="131">BH9</f>
        <v>I</v>
      </c>
      <c r="EO9" s="193" t="str">
        <f t="shared" ref="EO9:EO72" si="132">CE9</f>
        <v>D</v>
      </c>
      <c r="EP9" s="193" t="str">
        <f t="shared" ref="EP9:EP72" si="133">DB9</f>
        <v>II</v>
      </c>
      <c r="EQ9" s="193" t="str">
        <f t="shared" ref="EQ9:EQ72" si="134">EB9</f>
        <v>I</v>
      </c>
      <c r="ER9" s="194">
        <f t="shared" ref="ER9:ER72" si="135">COUNTIF(EL9:EP9,"F")+COUNTIF(EL9:EP9,"AB")+COUNTIF(EN9:EP9,"FP")</f>
        <v>0</v>
      </c>
      <c r="ES9" s="194">
        <f t="shared" ref="ES9:ES72" si="136">COUNTIF(EL9:EP9,"S")</f>
        <v>0</v>
      </c>
      <c r="ET9" s="194">
        <f t="shared" ref="ET9:ET72" si="137">COUNTIF(EL9:EP9,"G1")</f>
        <v>0</v>
      </c>
      <c r="EU9" s="194">
        <f t="shared" ref="EU9:EU72" si="138">COUNTIF(EL9:EP9,"G2")</f>
        <v>0</v>
      </c>
      <c r="EV9" s="194">
        <f t="shared" ref="EV9:EV72" si="139">COUNTIF(EL9:EP9,"RE")+COUNTIF(EL9:EP9,"REP")</f>
        <v>0</v>
      </c>
      <c r="EW9" s="194" t="str">
        <f t="shared" ref="EW9:EW72" si="140">IF(OR(EK9="AB",EK9="F"),"D",IF(OR(EK9="RE"),"D",""))</f>
        <v/>
      </c>
      <c r="EX9" s="195" t="str">
        <f t="shared" ref="EX9:EX72" si="141">IF(B9="NSO","NSO",IF(OR(B9="",B9=0,P9="",AD9="",AW9="",BT9=""),"",IF(OR(ER9&gt;0,(ES9+ET9+EU9)&gt;2),"FAIL",IF(EV9&gt;0,"RE-EXAM",IF(OR(ES9&gt;0,ET9&gt;1),"SUPPLEMENTARY",IF(AND(ET9&gt;0,EU9&gt;0),"SUPPLEMENTARY",IF((ET9+EU9)&gt;0,"BY GRACE PASS","PASS")))))))</f>
        <v>PASS</v>
      </c>
      <c r="EY9" s="196">
        <f>IF('Marks Entry'!BE9="","",'Marks Entry'!BE9)</f>
        <v>8</v>
      </c>
      <c r="EZ9" s="196">
        <f>IF('Marks Entry'!BF9="","",'Marks Entry'!BF9)</f>
        <v>8</v>
      </c>
      <c r="FA9" s="196">
        <f>IF('Marks Entry'!BG9="","",'Marks Entry'!BG9)</f>
        <v>8</v>
      </c>
      <c r="FB9" s="596">
        <f t="shared" ref="FB9:FB72" si="142">IF(AND(EY9="",EZ9="",FA9=""),"",IF(AND(EY9="AB",EZ9="AB",FA9="AB"),"AB",IF(AND(EY9="ML",EZ9="ML",FA9="ML"),"ML",SUM(EY9:FA9))))</f>
        <v>24</v>
      </c>
      <c r="FC9" s="196">
        <f>IF('Marks Entry'!BH9="","",'Marks Entry'!BH9)</f>
        <v>50</v>
      </c>
      <c r="FD9" s="196">
        <f>IF('Marks Entry'!BI9="","",'Marks Entry'!BI9)</f>
        <v>80</v>
      </c>
      <c r="FE9" s="197">
        <f t="shared" ref="FE9:FE72" si="143">IF(AND(EY9="",EZ9="",FA9="",FC9="",FD9=""),"",SUM(EY9,EZ9,FA9,FC9,FD9))</f>
        <v>154</v>
      </c>
      <c r="FF9" s="198" t="str">
        <f t="shared" ref="FF9:FF72" si="144">IF(OR($B9="NSO",$B9=0,FE9=""),"",IF(OR(FE9="AB",FD9="ab"),"AB",IF(AND(EX9="FAIL",(OR(FE9&lt;36%*$FE$6))),"F",IF(OR(FD9="ML",FD9&lt;20%*$FD$6,FE9&lt;36%*$FE$6),"RE",IF(FE9&gt;80%*$FE$6,"A",IF(FE9&gt;60%*$FE$6,"B",IF(FE9&gt;40%*$FE$6,"C","D")))))))</f>
        <v>B</v>
      </c>
      <c r="FG9" s="199">
        <f>IF(AND(E9=""),"",IF('Student DATA Entry'!L5="","",'Student DATA Entry'!L5))</f>
        <v>360</v>
      </c>
      <c r="FH9" s="200">
        <f>IF(AND(E9=""),"",IF('Student DATA Entry'!M5="","",'Student DATA Entry'!M5))</f>
        <v>344</v>
      </c>
      <c r="FI9" s="201">
        <f t="shared" ref="FI9:FI72" si="145">IF(OR(FG9=0,FH9=0,FG9="",FH9=""),"",FH9/FG9*100)</f>
        <v>95.555555555555557</v>
      </c>
      <c r="FJ9" s="188" t="str">
        <f t="shared" ref="FJ9:FJ72" si="146">IF(AND(EX9="FAIL",(OR(EL9="G1",EL9="G2",EL9="S",EL9="RE"))),"F",IF(AND(EX9="RE-EXAM",(OR(EL9="G1",EL9="G2",EL9="S"))),"S",IF(AND(EX9="SUPPLEMENTARY",(OR(EL9="G1",EL9="G2"))),"S",IF(AND(EX9="BY GRACE PASS",(OR(EL9="G1",EL9="G2"))),"G",EL9))))</f>
        <v>II</v>
      </c>
      <c r="FK9" s="188" t="str">
        <f t="shared" ref="FK9:FK72" si="147">IF(FJ9="G",",+","")</f>
        <v/>
      </c>
      <c r="FL9" s="202" t="str">
        <f t="shared" si="19"/>
        <v/>
      </c>
      <c r="FM9" s="188" t="str">
        <f t="shared" ref="FM9:FM72" si="148">IF(AND(EX9="vuqRrh.kZ",(OR(EM9="G1",EM9="G2",EM9="S",EM9="RE"))),"F",IF(AND(EX9="iqu% ijh{kk",(OR(EM9="G1",EM9="G2",EM9="S"))),"S",IF(AND(EX9="iwjd",(OR(EM9="G1",EM9="G2"))),"S",IF(AND(EX9="lk- mRrh.kZ",(OR(EM9="G1",EM9="G2"))),"G",EM9))))</f>
        <v>I</v>
      </c>
      <c r="FN9" s="203" t="str">
        <f t="shared" ref="FN9:FN72" si="149">IF(FM9="G",",+","")</f>
        <v/>
      </c>
      <c r="FO9" s="202" t="str">
        <f t="shared" si="20"/>
        <v/>
      </c>
      <c r="FP9" s="204" t="str">
        <f t="shared" ref="FP9:FP72" si="150">IF(AND(EX9="FAIL",(OR(EN9="G1",EN9="G2",EN9="S",EN9="RE"))),"F",IF(AND(EX9="RE-EXAM",(OR(EN9="G1",EN9="G2",EN9="S"))),"S",IF(AND(EX9="SUPPLEMENTARY",(OR(EN9="G1",EN9="G2"))),"S",IF(AND(EX9="BY GRACE PASS",(OR(EN9="G1",EN9="G2"))),"G",EN9))))</f>
        <v>I</v>
      </c>
      <c r="FQ9" s="188" t="str">
        <f t="shared" si="21"/>
        <v/>
      </c>
      <c r="FR9" s="188" t="str">
        <f t="shared" si="22"/>
        <v>I</v>
      </c>
      <c r="FS9" s="188" t="str">
        <f t="shared" si="23"/>
        <v/>
      </c>
      <c r="FT9" s="188" t="str">
        <f t="shared" si="24"/>
        <v/>
      </c>
      <c r="FU9" s="188" t="str">
        <f t="shared" ref="FU9:FU72" si="151">IF(FP9="G",",+","")</f>
        <v/>
      </c>
      <c r="FV9" s="205" t="str">
        <f t="shared" si="25"/>
        <v/>
      </c>
      <c r="FW9" s="204" t="str">
        <f t="shared" ref="FW9:FW72" si="152">IF(AND(EX9="FAIL",(OR(EO9="G1",EO9="G2",EO9="S",EO9="RE",))),"F",IF(AND(EX9="RE-EXAM",(OR(EO9="G1",EO9="G2",EO9="S"))),"S",IF(AND(EX9="SUPPLEMENTARY",(OR(EO9="G1",EO9="G2"))),"S",IF(AND(EX9="BY GRACE PASS",(OR(EO9="G1",EO9="G2"))),"G",EO9))))</f>
        <v>D</v>
      </c>
      <c r="FX9" s="188" t="str">
        <f t="shared" si="26"/>
        <v/>
      </c>
      <c r="FY9" s="188" t="str">
        <f t="shared" si="27"/>
        <v>D</v>
      </c>
      <c r="FZ9" s="188" t="str">
        <f t="shared" si="28"/>
        <v/>
      </c>
      <c r="GA9" s="188" t="str">
        <f t="shared" si="29"/>
        <v/>
      </c>
      <c r="GB9" s="188" t="str">
        <f t="shared" ref="GB9:GB72" si="153">IF(FW9="G",",+","")</f>
        <v/>
      </c>
      <c r="GC9" s="205" t="str">
        <f t="shared" si="30"/>
        <v/>
      </c>
      <c r="GD9" s="204" t="str">
        <f t="shared" ref="GD9:GD72" si="154">IF(AND(EX9="FAIL",(OR(EP9="G1",EP9="G2",EP9="S",EP9="RE"))),"F",IF(AND(EX9="RE-EXAM",(OR(EP9="G1",EP9="G2",EP9="S"))),"S",IF(AND(EX9="SUPPLEMENTARY",(OR(EP9="G1",EP9="G2"))),"S",IF(AND(EX9="BY GRACE PASS",(OR(EP9="G1",EP9="G2"))),"G",EP9))))</f>
        <v>II</v>
      </c>
      <c r="GE9" s="188" t="str">
        <f t="shared" si="31"/>
        <v/>
      </c>
      <c r="GF9" s="188" t="str">
        <f t="shared" si="32"/>
        <v>II</v>
      </c>
      <c r="GG9" s="188" t="str">
        <f t="shared" si="33"/>
        <v/>
      </c>
      <c r="GH9" s="188" t="str">
        <f t="shared" si="34"/>
        <v/>
      </c>
      <c r="GI9" s="188" t="str">
        <f t="shared" ref="GI9:GI72" si="155">IF(GD9="G",",+","")</f>
        <v/>
      </c>
      <c r="GJ9" s="205" t="str">
        <f t="shared" si="35"/>
        <v/>
      </c>
      <c r="GK9" s="204" t="str">
        <f t="shared" ref="GK9:GK72" si="156">IF(AND(EX9="FAIL",(OR(EQ9="G1",EQ9="G2",EQ9="S",EQ9="RE"))),"F",IF(AND(EX9="RE-EXAM",(OR(EQ9="G1",EQ9="G2",EQ9="S"))),"S",IF(AND(EX9="SUPPLEMENTARY",(OR(EQ9="G1",EQ9="G2"))),"S",IF(AND(EX9="BY GRACE PASS",(OR(EQ9="G1",EQ9="G2"))),"G",EQ9))))</f>
        <v>I</v>
      </c>
      <c r="GL9" s="188" t="str">
        <f t="shared" si="36"/>
        <v>I</v>
      </c>
      <c r="GM9" s="188" t="str">
        <f t="shared" si="37"/>
        <v/>
      </c>
      <c r="GN9" s="188" t="str">
        <f t="shared" si="38"/>
        <v/>
      </c>
      <c r="GO9" s="188" t="str">
        <f t="shared" si="39"/>
        <v/>
      </c>
      <c r="GP9" s="188" t="str">
        <f t="shared" ref="GP9:GP72" si="157">IF(GK9="G",",+","")</f>
        <v/>
      </c>
      <c r="GQ9" s="205" t="str">
        <f t="shared" si="40"/>
        <v/>
      </c>
      <c r="GR9" s="188" t="str">
        <f t="shared" ref="GR9:GR72" si="158">IF(AND(EX9="FAIL",EK9="RE"),"F",EK9)</f>
        <v>A</v>
      </c>
      <c r="GS9" s="188" t="str">
        <f t="shared" ref="GS9:GS72" si="159">IF(AND(EX9="FAIL",FF9="RE"),"F",FF9)</f>
        <v>B</v>
      </c>
      <c r="GT9" s="206" t="str">
        <f>CONCATENATE(IF(FJ9="F",$FJ$5,IF(FJ9="AB",$FJ$5,""))," ",IF(FM9="F",$FM$5,IF(FM9="AB",$FM$5,""))," ",IF(FQ9="F",$FQ$5,IF(FR9="F",$FR$5,IF(FS9="F",$FS$5,IF(FQ9="AB",$FQ$5,IF(FR9="AB",$FR$5,IF(FS9="AB",$FS$5,IF(FQ9="FP",$FQ$5,IF(FR9="FP",$FR$5,IF(FS9="FP",$FS$5,"")))))))))," ",IF(FX9="F",$FX$5,IF(FY9="F",$FY$5,IF(FZ9="F",$FZ$5,IF(FX9="AB",$FX$5,IF(FY9="AB",$FY$5,IF(FZ9="AB",$FZ$5,IF(FX9="FP",$FX$5,IF(FY9="FP",$FY$5,IF(FZ9="FP",$FZ$5,"")))))))))," ",IF(GE9="F",$GE$5,IF(GF9="F",$GF$5,IF(GG9="F",$GG$5,IF(GE9="AB",$GE$5,IF(GF9="AB",$GF$5,IF(GG9="AB",$GG$5,IF(GE9="FP",$GE$5,IF(GF9="FP",$GF$5,IF(GG9="FP",$GG$5,""))))))))),"",IF(GL9="F",$GL$5,IF(GM9="F",$GM$5,IF(GN9="F",$GN$5,IF(GL9="AB",$GL$5,IF(GM9="AB",$GM$5,IF(GN9="AB",$GN$5,IF(GL9="FP",$GL$5,IF(GM9="FP",$GM$5,IF(GN9="FP",$GN$5,""))))))))))</f>
        <v xml:space="preserve">    </v>
      </c>
      <c r="GU9" s="206" t="str">
        <f t="shared" ref="GU9:GU72" si="160">CONCATENATE(IF(FJ9="S",$FJ$5,"")," ",IF(FM9="S",$FM$5,"")," ",IF(FQ9="S",$FQ$5,IF(FR9="S",$FR$5,IF(FS9="S",$FS$5,IF(FT9="S",$FT$5,""))))," ",IF(FX9="S",$FX$5,IF(FY9="S",$FY$5,IF(FZ9="S",$FZ$5,IF(GA9="S",$GA$5,""))))," ",IF(GE9="S",$GE$5,IF(GF9="S",$GF$5,IF(GG9="S",$GG$5,IF(GH9="S",$GH$5,"")))))</f>
        <v xml:space="preserve">    </v>
      </c>
      <c r="GV9" s="206" t="str">
        <f t="shared" ref="GV9:GV72" si="161">CONCATENATE(IF(FJ9="G",$FJ$5,"")," ",IF(FM9="G",$FM$5,"")," ",IF(FQ9="G",$FQ$5,IF(FR9="G",$FR$5,IF(FS9="G",$FS$5,"")))," ",IF(FX9="G",$FX$5,IF(FY9="G",$FY$5,IF(FZ9="G",$FZ$5,"")))," ",IF(GE9="G",$GE$5,IF(GF9="G",$GF$5,IF(GG9="G",$GG$5,""))))</f>
        <v xml:space="preserve">    </v>
      </c>
      <c r="GW9" s="206" t="str">
        <f t="shared" ref="GW9:GW72" si="162">CONCATENATE(IF(FJ9="RE",$FJ$5,"")," ",IF(FM9="RE",$FM$5,"")," ",IF(OR(FQ9="RE",FQ9="REP"),$FQ$5,IF(OR(FR9="RE",FR9="REP"),$FR$5,IF(OR(FS9="RE",FS9="REP"),$FS$5,IF(OR(FT9="RE",FT9="REP"),$FT$5,""))))," ",IF(OR(FX9="RE",FX9="REP"),$FX$5,IF(OR(FY9="RE",FY9="REP"),$FY$5,IF(OR(FZ9="RE",FZ9="REP"),$FZ$5,IF(OR(GA9="RE",GA9="REP"),$GA$5,""))))," ",IF(OR(GE9="RE",GE9="REP"),$GE$5,IF(OR(GF9="RE",GF9="REP"),$GF$5,IF(OR(GG9="RE",GG9="REP"),$GG$5,IF(OR(GH9="RE",GH9="REP"),$GH$5,""))))," ",IF(GR9="RE",$GR$4," "),"",IF(GS9="RE",$GS$4," "),"",)</f>
        <v xml:space="preserve">       </v>
      </c>
      <c r="GX9" s="598" t="str">
        <f t="shared" ref="GX9:GX72" si="163">CONCATENATE(IF(FJ9="D",$FJ$5,"")," ",IF($FM9="D",$FM$5,"")," ",IF(FQ9="D",$FQ$5,IF(FR9="D",$FR$5,IF(FS9="D",$FS$5,IF(FT9="D",$FT$5,""))))," ",IF(FX9="D",$FX$5,IF(FY9="D",$FY$5,IF(FZ9="D",$FZ$5,IF(GA9="D",$GA$5,""))))," ",IF(GE9="D",$GE$5,IF(GF9="D",$GF$5,IF(GG9="D",$GG$5,IF(GH9="D",$GH$5,""))))," ",IF(GL9="D",$GL$5,IF(GM9="D",$GM$5,IF(GN9="D",$GN$5,IF(GO9="D",$GO$5,"")))))</f>
        <v xml:space="preserve">   ACCOUNTANCY  </v>
      </c>
      <c r="GY9" s="207" t="str">
        <f t="shared" ref="GY9:GY39" si="164">IF(B9="NSO","NSO",IF(AND(OR(EX9="PASS",EX9="BY GRACE PASS",EX9="RE-EXAM"),EW9="F"),"FAIL",IF(AND(OR(EX9="PASS",EX9="BY GRACE PASS"),EW9="RE"),"RE-EXAM",EX9)))</f>
        <v>PASS</v>
      </c>
      <c r="GZ9" s="606">
        <f>IF(AND(Q9="",AE9="",AZ9="",BW9="",CT9=""),"",IF(AND('Master Sheet'!$D$19="YES",'Marks Entry'!$BA$1=1),SUM(Q9,AE9,AZ9,BW9,DT9),SUM(Q9,AE9,AZ9,BW9,CT9)))</f>
        <v>642</v>
      </c>
      <c r="HA9" s="208">
        <f>IF(GZ9="","",IF(AND('Master Sheet'!$D$19="YES",'Marks Entry'!$BA$1=1),GZ9/((900)-DC9)*100,GZ9/((1000)-DC9)*100))</f>
        <v>64.2</v>
      </c>
      <c r="HB9" s="611" t="str">
        <f t="shared" ref="HB9:HB72" si="165">IF(HA9="","",IF(AND(HA9&gt;=60,(GY9="PASS")),"I",IF(AND(HA9&gt;=60,(GY9="BY GRACE PASS")),"I",IF(AND(HA9&gt;=48,(GY9="PASS")),"II",IF(AND(HA9&gt;=48,(GY9="BY GRACE PASS")),"II",IF(AND(HA9&gt;=36,(GY9="PASS")),"III",IF(AND(HA9&gt;=36,(GY9="BY GRACE PASS")),"III","")))))))</f>
        <v>I</v>
      </c>
      <c r="HC9" s="609">
        <f t="shared" ref="HC9:HC72" si="166">IF(OR(GY9="PASS",GY9="BY GRACE PASS"),HA9,"")</f>
        <v>64.2</v>
      </c>
      <c r="HD9" s="610">
        <f t="shared" ref="HD9:HD72" si="167">IF(HC9="","",SUMPRODUCT((HC9&lt;HC$8:HC$207)/COUNTIF(HC$8:HC$207,HC$8:HC$207)))</f>
        <v>4.0000000000000329</v>
      </c>
      <c r="HE9" s="209" t="str">
        <f>IFERROR(IF(OR(GY9="SUPPLEMENTARY",GY9="RE-EXAM"),'Supp. Result Entry'!AS8,""),"")</f>
        <v/>
      </c>
      <c r="HF9" s="613" t="str">
        <f t="shared" ref="HF9:HF72" si="168">IF(OR(JB9="",IS9=0),"",IF(IZ9="","",IZ9))</f>
        <v/>
      </c>
      <c r="HG9" s="598" t="str">
        <f t="shared" ref="HG9:HG72" si="169">IF(AND(JB9=""),"",IF(HE9="","",IF(AND(JB9="FAIL"),"Failed",JB9)))</f>
        <v/>
      </c>
      <c r="HH9" s="598" t="str">
        <f>IF(AND(HE9="",HF9="",HG9=""),"",IF(OR(GY9="SUPPLEMENTARY",GY9="RE-EXAM"),'Supp. Result Entry'!AS8,GY9))</f>
        <v/>
      </c>
      <c r="HI9" s="179"/>
      <c r="HY9" s="211" t="str">
        <f>IF('Supp. Result Entry'!U8="","",'Supp. Result Entry'!$U$6)</f>
        <v/>
      </c>
      <c r="HZ9" s="212" t="str">
        <f>IF('Supp. Result Entry'!X8="","",'Supp. Result Entry'!$X$6)</f>
        <v/>
      </c>
      <c r="IA9" s="212" t="str">
        <f>IF('Supp. Result Entry'!AA8="","",'Supp. Result Entry'!$AA$6)</f>
        <v/>
      </c>
      <c r="IB9" s="212" t="str">
        <f>IF('Supp. Result Entry'!AD8="","",'Supp. Result Entry'!$AD$6)</f>
        <v/>
      </c>
      <c r="IC9" s="212" t="str">
        <f>IF('Supp. Result Entry'!AG8="","",'Supp. Result Entry'!$AG$6)</f>
        <v/>
      </c>
      <c r="ID9" s="212" t="str">
        <f>IF('Supp. Result Entry'!AJ8="","",'Supp. Result Entry'!$AJ$6)</f>
        <v/>
      </c>
      <c r="IE9" s="212" t="str">
        <f>IF('Supp. Result Entry'!V8="","",'Supp. Result Entry'!V8)</f>
        <v/>
      </c>
      <c r="IF9" s="212" t="str">
        <f>IF('Supp. Result Entry'!Y8="","",'Supp. Result Entry'!Y8)</f>
        <v/>
      </c>
      <c r="IG9" s="212" t="str">
        <f>IF('Supp. Result Entry'!AB8="","",'Supp. Result Entry'!AB8)</f>
        <v/>
      </c>
      <c r="IH9" s="212" t="str">
        <f>IF('Supp. Result Entry'!AE8="","",'Supp. Result Entry'!AE8)</f>
        <v/>
      </c>
      <c r="II9" s="212" t="str">
        <f>IF('Supp. Result Entry'!AH8="","",'Supp. Result Entry'!AH8)</f>
        <v/>
      </c>
      <c r="IJ9" s="212" t="str">
        <f>IF('Supp. Result Entry'!AK8="","",'Supp. Result Entry'!AK8)</f>
        <v/>
      </c>
      <c r="IK9" s="212" t="str">
        <f>IF('Supp. Result Entry'!W8="","",'Supp. Result Entry'!W8)</f>
        <v/>
      </c>
      <c r="IL9" s="212" t="str">
        <f>IF('Supp. Result Entry'!Z8="","",'Supp. Result Entry'!Z8)</f>
        <v/>
      </c>
      <c r="IM9" s="212" t="str">
        <f>IF('Supp. Result Entry'!AC8="","",'Supp. Result Entry'!AC8)</f>
        <v/>
      </c>
      <c r="IN9" s="212" t="str">
        <f>IF('Supp. Result Entry'!AF8="","",'Supp. Result Entry'!AF8)</f>
        <v/>
      </c>
      <c r="IO9" s="212" t="str">
        <f>IF('Supp. Result Entry'!AI8="","",'Supp. Result Entry'!AI8)</f>
        <v/>
      </c>
      <c r="IP9" s="212" t="str">
        <f>IF('Supp. Result Entry'!AL8="","",'Supp. Result Entry'!AL8)</f>
        <v/>
      </c>
      <c r="IQ9" s="212">
        <f>COUNTIF('Supp. Result Entry'!K8:Q8,"S")</f>
        <v>0</v>
      </c>
      <c r="IR9" s="212">
        <f t="shared" ref="IR9:IR72" si="170">COUNTIF(FJ9:GR9,"RE")+COUNTIF(FJ9:GR9,"REP")</f>
        <v>0</v>
      </c>
      <c r="IS9" s="212">
        <f t="shared" ref="IS9:IS72" si="171">COUNTIF(IK9:IP9,"P")</f>
        <v>0</v>
      </c>
      <c r="IT9" s="212" t="str">
        <f t="shared" si="41"/>
        <v/>
      </c>
      <c r="IU9" s="212" t="str">
        <f t="shared" si="42"/>
        <v/>
      </c>
      <c r="IV9" s="212" t="str">
        <f t="shared" si="43"/>
        <v/>
      </c>
      <c r="IW9" s="212" t="str">
        <f t="shared" si="44"/>
        <v/>
      </c>
      <c r="IX9" s="212" t="str">
        <f t="shared" si="45"/>
        <v/>
      </c>
      <c r="IY9" s="212" t="str">
        <f t="shared" ref="IY9:IY72" si="172">IF(OR(IQ9=0,IQ9&lt;IS9),"",SUM(IT9:IX9))</f>
        <v/>
      </c>
      <c r="IZ9" s="212" t="str">
        <f t="shared" ref="IZ9:IZ72" si="173">IF(OR(IQ9=0,IQ9&lt;IS9),"",IY9/JA9*100)</f>
        <v/>
      </c>
      <c r="JA9" s="212" t="str">
        <f t="shared" si="46"/>
        <v/>
      </c>
      <c r="JB9" s="210" t="str">
        <f t="shared" ref="JB9:JB72" si="174">IF(IZ9="","",IF(IZ9&gt;=60,"I",IF(IZ9&gt;=48,"II",IF(IZ9&gt;=36,"III",""))))</f>
        <v/>
      </c>
    </row>
    <row r="10" spans="1:262" s="210" customFormat="1" ht="21" customHeight="1">
      <c r="A10" s="183">
        <v>3</v>
      </c>
      <c r="B10" s="184">
        <f>IF('Marks Entry'!B10="","",'Marks Entry'!B10)</f>
        <v>1103</v>
      </c>
      <c r="C10" s="185">
        <f>IF('Marks Entry'!D10="","",'Marks Entry'!D10)</f>
        <v>555</v>
      </c>
      <c r="D10" s="186">
        <f>IF('Marks Entry'!E10="","",'Marks Entry'!E10)</f>
        <v>38414</v>
      </c>
      <c r="E10" s="187" t="str">
        <f>IF('Marks Entry'!F10="","",'Marks Entry'!F10)</f>
        <v>C</v>
      </c>
      <c r="F10" s="187" t="str">
        <f>IF('Marks Entry'!G10="","",'Marks Entry'!G10)</f>
        <v>Z</v>
      </c>
      <c r="G10" s="187" t="str">
        <f>IF('Marks Entry'!H10="","",'Marks Entry'!H10)</f>
        <v>O</v>
      </c>
      <c r="H10" s="188" t="str">
        <f>IF('Marks Entry'!I10="","",'Marks Entry'!I10)</f>
        <v>SC</v>
      </c>
      <c r="I10" s="189" t="str">
        <f>IF('Marks Entry'!J10="","",'Marks Entry'!J10)</f>
        <v>F</v>
      </c>
      <c r="J10" s="545">
        <f>IF('Marks Entry'!K10="","",'Marks Entry'!K10)</f>
        <v>9</v>
      </c>
      <c r="K10" s="545">
        <f>IF('Marks Entry'!L10="","",'Marks Entry'!L10)</f>
        <v>9</v>
      </c>
      <c r="L10" s="545">
        <f>IF('Marks Entry'!M10="","",'Marks Entry'!M10)</f>
        <v>8</v>
      </c>
      <c r="M10" s="546">
        <f t="shared" si="47"/>
        <v>26</v>
      </c>
      <c r="N10" s="545">
        <f>IF('Marks Entry'!N10="","",'Marks Entry'!N10)</f>
        <v>41</v>
      </c>
      <c r="O10" s="546">
        <f t="shared" si="48"/>
        <v>67</v>
      </c>
      <c r="P10" s="545">
        <f>IF('Marks Entry'!O10="","",'Marks Entry'!O10)</f>
        <v>65</v>
      </c>
      <c r="Q10" s="547">
        <f t="shared" si="49"/>
        <v>132</v>
      </c>
      <c r="R10" s="152">
        <f t="shared" si="50"/>
        <v>0</v>
      </c>
      <c r="S10" s="152">
        <f t="shared" si="51"/>
        <v>0</v>
      </c>
      <c r="T10" s="153">
        <f t="shared" si="52"/>
        <v>200</v>
      </c>
      <c r="U10" s="152" t="str">
        <f t="shared" si="53"/>
        <v/>
      </c>
      <c r="V10" s="152" t="str">
        <f t="shared" si="54"/>
        <v>P</v>
      </c>
      <c r="W10" s="152" t="str">
        <f t="shared" si="55"/>
        <v>I</v>
      </c>
      <c r="X10" s="545">
        <f>IF('Marks Entry'!P10="","",'Marks Entry'!P10)</f>
        <v>9</v>
      </c>
      <c r="Y10" s="545">
        <f>IF('Marks Entry'!Q10="","",'Marks Entry'!Q10)</f>
        <v>6</v>
      </c>
      <c r="Z10" s="545">
        <f>IF('Marks Entry'!R10="","",'Marks Entry'!R10)</f>
        <v>9</v>
      </c>
      <c r="AA10" s="546">
        <f t="shared" si="56"/>
        <v>24</v>
      </c>
      <c r="AB10" s="545">
        <f>IF('Marks Entry'!S10="","",'Marks Entry'!S10)</f>
        <v>42</v>
      </c>
      <c r="AC10" s="546">
        <f t="shared" si="57"/>
        <v>66</v>
      </c>
      <c r="AD10" s="545">
        <f>IF('Marks Entry'!T10="","",'Marks Entry'!T10)</f>
        <v>70</v>
      </c>
      <c r="AE10" s="547">
        <f t="shared" si="58"/>
        <v>136</v>
      </c>
      <c r="AF10" s="152">
        <f t="shared" si="59"/>
        <v>0</v>
      </c>
      <c r="AG10" s="152">
        <f t="shared" si="60"/>
        <v>0</v>
      </c>
      <c r="AH10" s="153">
        <f t="shared" si="61"/>
        <v>200</v>
      </c>
      <c r="AI10" s="152" t="str">
        <f t="shared" si="62"/>
        <v/>
      </c>
      <c r="AJ10" s="152" t="str">
        <f t="shared" si="63"/>
        <v>P</v>
      </c>
      <c r="AK10" s="152" t="str">
        <f t="shared" si="64"/>
        <v>I</v>
      </c>
      <c r="AL10" s="573" t="str">
        <f>IF('Marks Entry'!U10="","",'Marks Entry'!U10)</f>
        <v>A</v>
      </c>
      <c r="AM10" s="573">
        <f>IF('Marks Entry'!V10="","",'Marks Entry'!V10)</f>
        <v>9</v>
      </c>
      <c r="AN10" s="573">
        <f>IF('Marks Entry'!W10="","",'Marks Entry'!W10)</f>
        <v>9</v>
      </c>
      <c r="AO10" s="573">
        <f>IF('Marks Entry'!X10="","",'Marks Entry'!X10)</f>
        <v>9</v>
      </c>
      <c r="AP10" s="572">
        <f t="shared" si="65"/>
        <v>27</v>
      </c>
      <c r="AQ10" s="573">
        <f>IF('Marks Entry'!Y10="","",'Marks Entry'!Y10)</f>
        <v>40</v>
      </c>
      <c r="AR10" s="573" t="str">
        <f>IF('Marks Entry'!Z10="","",'Marks Entry'!Z10)</f>
        <v/>
      </c>
      <c r="AS10" s="572">
        <f t="shared" si="66"/>
        <v>40</v>
      </c>
      <c r="AT10" s="572">
        <f t="shared" si="67"/>
        <v>67</v>
      </c>
      <c r="AU10" s="573">
        <f>IF('Marks Entry'!AA10="","",'Marks Entry'!AA10)</f>
        <v>45</v>
      </c>
      <c r="AV10" s="573" t="str">
        <f>IF('Marks Entry'!AB10="","",'Marks Entry'!AB10)</f>
        <v/>
      </c>
      <c r="AW10" s="572">
        <f t="shared" si="68"/>
        <v>45</v>
      </c>
      <c r="AX10" s="156">
        <f t="shared" si="69"/>
        <v>112</v>
      </c>
      <c r="AY10" s="156" t="str">
        <f t="shared" si="70"/>
        <v/>
      </c>
      <c r="AZ10" s="191">
        <f t="shared" si="71"/>
        <v>112</v>
      </c>
      <c r="BA10" s="152">
        <f t="shared" si="72"/>
        <v>0</v>
      </c>
      <c r="BB10" s="153">
        <f t="shared" si="73"/>
        <v>0</v>
      </c>
      <c r="BC10" s="153">
        <f t="shared" si="74"/>
        <v>100</v>
      </c>
      <c r="BD10" s="153" t="str">
        <f t="shared" si="75"/>
        <v/>
      </c>
      <c r="BE10" s="153">
        <f t="shared" si="76"/>
        <v>200</v>
      </c>
      <c r="BF10" s="152" t="str">
        <f t="shared" si="77"/>
        <v/>
      </c>
      <c r="BG10" s="153" t="str">
        <f t="shared" ref="BG10:BG72" si="175">IF(OR($B10="NSO",$B10=0,AU10="",AW10="",AZ10=""),"",IF(OR(AU10="AB",AV10="AB",BF10="AB"),"AB",IF(OR(AU10="ML",AW10="ML"),"RE",IF(AV10="MLP","REP",IF(AV10&lt;33%*$AV$6,"FP",IF(AR10&lt;33%*$AR$6,"FP",IF(AND(AX10&gt;=36%*BE10,SUM(AU10)&gt;=20%*BC10,AY10&gt;=SUM(BD10)*36%),"P",IF(AND(AX10&gt;=34%*BE10,BB10=0,SUM(AU10)&gt;=20%*BC10,AY10&gt;=SUM(BD10)*36%),"G2",IF(AND(AX10&gt;=31%*BE10,BB10=0,SUM(AU10)&gt;=20%*BC10,AY10&gt;=SUM(BD10)*36%),"G1",IF(AND(AX10&gt;=25%*BE10,SUM(AU10)&gt;=20%*BC10),"S","F"))))))))))</f>
        <v>P</v>
      </c>
      <c r="BH10" s="152" t="str">
        <f t="shared" si="78"/>
        <v>II</v>
      </c>
      <c r="BI10" s="580" t="str">
        <f>IF('Marks Entry'!AC10="","",'Marks Entry'!AC10)</f>
        <v>B</v>
      </c>
      <c r="BJ10" s="580">
        <f>IF('Marks Entry'!AD10="","",'Marks Entry'!AD10)</f>
        <v>9</v>
      </c>
      <c r="BK10" s="580">
        <f>IF('Marks Entry'!AE10="","",'Marks Entry'!AE10)</f>
        <v>10</v>
      </c>
      <c r="BL10" s="580">
        <f>IF('Marks Entry'!AF10="","",'Marks Entry'!AF10)</f>
        <v>8</v>
      </c>
      <c r="BM10" s="581">
        <f t="shared" si="79"/>
        <v>27</v>
      </c>
      <c r="BN10" s="580">
        <f>IF('Marks Entry'!AG10="","",'Marks Entry'!AG10)</f>
        <v>30</v>
      </c>
      <c r="BO10" s="580">
        <f>IF('Marks Entry'!AH10="","",'Marks Entry'!AH10)</f>
        <v>11</v>
      </c>
      <c r="BP10" s="581">
        <f t="shared" si="80"/>
        <v>41</v>
      </c>
      <c r="BQ10" s="581">
        <f t="shared" si="81"/>
        <v>68</v>
      </c>
      <c r="BR10" s="580">
        <f>IF('Marks Entry'!AI10="","",'Marks Entry'!AI10)</f>
        <v>54</v>
      </c>
      <c r="BS10" s="580">
        <f>IF('Marks Entry'!AJ10="","",'Marks Entry'!AJ10)</f>
        <v>24</v>
      </c>
      <c r="BT10" s="581">
        <f t="shared" si="82"/>
        <v>78</v>
      </c>
      <c r="BU10" s="156">
        <f t="shared" si="83"/>
        <v>111</v>
      </c>
      <c r="BV10" s="156">
        <f t="shared" si="84"/>
        <v>35</v>
      </c>
      <c r="BW10" s="191">
        <f t="shared" si="85"/>
        <v>146</v>
      </c>
      <c r="BX10" s="152">
        <f t="shared" si="86"/>
        <v>0</v>
      </c>
      <c r="BY10" s="153">
        <f t="shared" si="87"/>
        <v>0</v>
      </c>
      <c r="BZ10" s="153">
        <f t="shared" si="88"/>
        <v>70</v>
      </c>
      <c r="CA10" s="153">
        <f t="shared" si="89"/>
        <v>50</v>
      </c>
      <c r="CB10" s="153">
        <f t="shared" si="90"/>
        <v>150</v>
      </c>
      <c r="CC10" s="152" t="str">
        <f t="shared" si="91"/>
        <v/>
      </c>
      <c r="CD10" s="153" t="str">
        <f>IF(OR($B10="NSO",$B10=0,BR10="",BT10="",BW10=""),"",IF(OR(BR10="AB",BS10="AB",CC10="AB"),"AB",IF(OR(BR10="ML",BT10="ML"),"RE",IF(BS10="MLP","REP",IF(BS10&lt;33%*$AV$6,"FP",IF(BO10&lt;33%*$AR$6,"FP",IF(AND(BU10&gt;=36%*CB10,SUM(BR10)&gt;=20%*BZ10,BV10&gt;=SUM(CA10)*36%),"P",IF(AND(BU10&gt;=34%*CB10,BY10=0,SUM(BR10)&gt;=20%*BZ10,BV10&gt;=SUM(CA10)*36%),"G2",IF(AND(BU10&gt;=31%*CB10,BY10=0,SUM(BR10)&gt;=20%*BZ10,BV10&gt;=SUM(CA10)*36%),"G1",IF(AND(BU10&gt;=25%*CB10,SUM(BR10)&gt;=20%*BZ10),"S","F"))))))))))</f>
        <v>P</v>
      </c>
      <c r="CE10" s="152" t="str">
        <f t="shared" si="93"/>
        <v>I</v>
      </c>
      <c r="CF10" s="580" t="str">
        <f>IF('Marks Entry'!AK10="","",'Marks Entry'!AK10)</f>
        <v>A</v>
      </c>
      <c r="CG10" s="580">
        <f>IF('Marks Entry'!AL10="","",'Marks Entry'!AL10)</f>
        <v>6</v>
      </c>
      <c r="CH10" s="580">
        <f>IF('Marks Entry'!AM10="","",'Marks Entry'!AM10)</f>
        <v>7</v>
      </c>
      <c r="CI10" s="580">
        <f>IF('Marks Entry'!AN10="","",'Marks Entry'!AN10)</f>
        <v>8</v>
      </c>
      <c r="CJ10" s="581">
        <f t="shared" si="94"/>
        <v>21</v>
      </c>
      <c r="CK10" s="580">
        <f>IF('Marks Entry'!AO10="","",'Marks Entry'!AO10)</f>
        <v>31</v>
      </c>
      <c r="CL10" s="580">
        <f>IF('Marks Entry'!AP10="","",'Marks Entry'!AP10)</f>
        <v>11</v>
      </c>
      <c r="CM10" s="581">
        <f t="shared" si="95"/>
        <v>42</v>
      </c>
      <c r="CN10" s="581">
        <f t="shared" si="96"/>
        <v>63</v>
      </c>
      <c r="CO10" s="580">
        <f>IF('Marks Entry'!AQ10="","",'Marks Entry'!AQ10)</f>
        <v>40</v>
      </c>
      <c r="CP10" s="580">
        <f>IF('Marks Entry'!AR10="","",'Marks Entry'!AR10)</f>
        <v>12</v>
      </c>
      <c r="CQ10" s="581">
        <f t="shared" si="97"/>
        <v>52</v>
      </c>
      <c r="CR10" s="156">
        <f>IF(AND(CJ10="",CK10="",CO10=""),"",SUM(CJ10,CK10,CO10))</f>
        <v>92</v>
      </c>
      <c r="CS10" s="156">
        <f t="shared" si="99"/>
        <v>23</v>
      </c>
      <c r="CT10" s="191">
        <f t="shared" si="100"/>
        <v>115</v>
      </c>
      <c r="CU10" s="152">
        <f t="shared" si="101"/>
        <v>0</v>
      </c>
      <c r="CV10" s="153">
        <f t="shared" si="102"/>
        <v>0</v>
      </c>
      <c r="CW10" s="153">
        <f t="shared" si="103"/>
        <v>70</v>
      </c>
      <c r="CX10" s="153">
        <f t="shared" si="104"/>
        <v>50</v>
      </c>
      <c r="CY10" s="153">
        <f t="shared" ref="CY10:CY72" si="176">IF(OR($B10="NSO",$B10=0),"",IF(AND(CJ10="",CK10="",CO10=""),"",IF(AND(CL10="",CP10=""),SUM((CR$7)-(CU10+CV10)),SUM((CR$6)-(CU10+CV10)))))</f>
        <v>150</v>
      </c>
      <c r="CZ10" s="152" t="str">
        <f t="shared" si="105"/>
        <v/>
      </c>
      <c r="DA10" s="153" t="str">
        <f t="shared" si="106"/>
        <v>P</v>
      </c>
      <c r="DB10" s="152" t="str">
        <f t="shared" si="107"/>
        <v>II</v>
      </c>
      <c r="DC10" s="153">
        <f t="shared" si="108"/>
        <v>0</v>
      </c>
      <c r="DD10" s="851" t="str">
        <f>IF('Marks Entry'!AS10="","",IF(OR('Master Sheet'!$D$19="YES",'Marks Entry'!$BA$1=1),'Marks Entry'!AS10,""))</f>
        <v/>
      </c>
      <c r="DE10" s="851" t="str">
        <f>IF('Marks Entry'!AT10="","",IF(OR('Master Sheet'!$D$19="YES",'Marks Entry'!$BA$1=1),'Marks Entry'!AT10,""))</f>
        <v/>
      </c>
      <c r="DF10" s="851" t="str">
        <f>IF('Marks Entry'!AU10="","",IF(OR('Master Sheet'!$D$19="YES",'Marks Entry'!$BA$1=1),'Marks Entry'!AU10,""))</f>
        <v/>
      </c>
      <c r="DG10" s="851" t="str">
        <f>IF('Marks Entry'!AV10="","",IF(OR('Master Sheet'!$D$19="YES",'Marks Entry'!$BA$1=1),'Marks Entry'!AV10,""))</f>
        <v/>
      </c>
      <c r="DH10" s="852" t="str">
        <f t="shared" si="109"/>
        <v/>
      </c>
      <c r="DI10" s="851" t="str">
        <f>IF('Marks Entry'!AW10="","",IF(OR('Master Sheet'!$D$19="YES",'Marks Entry'!$BA$1=1),'Marks Entry'!AW10,""))</f>
        <v/>
      </c>
      <c r="DJ10" s="851" t="str">
        <f>IF('Marks Entry'!AX10="","",IF(OR('Master Sheet'!$D$19="YES",'Marks Entry'!$BA$1=1),'Marks Entry'!AX10,""))</f>
        <v/>
      </c>
      <c r="DK10" s="852" t="str">
        <f t="shared" si="110"/>
        <v/>
      </c>
      <c r="DL10" s="852" t="str">
        <f t="shared" si="111"/>
        <v/>
      </c>
      <c r="DM10" s="851" t="str">
        <f>IF('Marks Entry'!AY10="","",IF(OR('Master Sheet'!$D$19="YES",'Marks Entry'!$BA$1=1),'Marks Entry'!AY10,""))</f>
        <v/>
      </c>
      <c r="DN10" s="851" t="str">
        <f>IF('Marks Entry'!AZ10="","",IF(OR('Master Sheet'!$D$19="YES",'Marks Entry'!$BA$1=1),'Marks Entry'!AZ10,""))</f>
        <v/>
      </c>
      <c r="DO10" s="851" t="str">
        <f>IF('Marks Entry'!BA10="","",IF(OR('Master Sheet'!$D$19="YES",'Marks Entry'!$BA$1=1),'Marks Entry'!BA10,""))</f>
        <v/>
      </c>
      <c r="DP10" s="852" t="str">
        <f t="shared" si="112"/>
        <v/>
      </c>
      <c r="DQ10" s="156" t="str">
        <f t="shared" si="113"/>
        <v/>
      </c>
      <c r="DR10" s="156" t="str">
        <f t="shared" si="114"/>
        <v/>
      </c>
      <c r="DS10" s="156" t="str">
        <f t="shared" si="115"/>
        <v/>
      </c>
      <c r="DT10" s="191" t="str">
        <f t="shared" si="116"/>
        <v/>
      </c>
      <c r="DU10" s="152">
        <f t="shared" si="117"/>
        <v>0</v>
      </c>
      <c r="DV10" s="153">
        <f t="shared" si="118"/>
        <v>0</v>
      </c>
      <c r="DW10" s="153" t="str">
        <f t="shared" si="119"/>
        <v/>
      </c>
      <c r="DX10" s="153" t="str">
        <f>IF(OR($B10="NSO",$B10=0,DS10=""),"",IF(AND(DJ10="",DO10=""),"",IF('Master Sheet'!$D$19="YES",$DO$6-COUNTIF(DO10,"ML")*DO$6,DS$6-(COUNTIF(DJ10,"ML")*DJ$6)-(COUNTIF(DO10,"ML")*DO$6))))</f>
        <v/>
      </c>
      <c r="DY10" s="153" t="str">
        <f>IF(OR($B10="NSO",$B10=0),"",IF(AND(DH10="",DI10="",DM10=""),"",IF(AND('Master Sheet'!$D$19="YES",'Marks Entry'!$BA$1=1),100,IF(AND(DJ10="",DO10=""),SUM(($DQ$7+$DR$7)-(DU10+DV10)),SUM(($DQ$6+$DR$6)-(DU10+DV10))))))</f>
        <v/>
      </c>
      <c r="DZ10" s="152" t="str">
        <f t="shared" si="120"/>
        <v/>
      </c>
      <c r="EA10" s="153" t="str">
        <f t="shared" si="121"/>
        <v/>
      </c>
      <c r="EB10" s="152" t="str">
        <f t="shared" si="122"/>
        <v/>
      </c>
      <c r="EC10" s="584">
        <f>IF('Marks Entry'!BB10="","",'Marks Entry'!BB10)</f>
        <v>26</v>
      </c>
      <c r="ED10" s="584">
        <f>IF('Marks Entry'!BC10="","",'Marks Entry'!BC10)</f>
        <v>29</v>
      </c>
      <c r="EE10" s="584">
        <f>IF('Marks Entry'!BD10="","",'Marks Entry'!BD10)</f>
        <v>32</v>
      </c>
      <c r="EF10" s="590">
        <f t="shared" si="123"/>
        <v>87</v>
      </c>
      <c r="EG10" s="595">
        <f t="shared" si="124"/>
        <v>0</v>
      </c>
      <c r="EH10" s="595">
        <f t="shared" si="125"/>
        <v>0</v>
      </c>
      <c r="EI10" s="192">
        <f t="shared" si="126"/>
        <v>100</v>
      </c>
      <c r="EJ10" s="595" t="str">
        <f t="shared" si="127"/>
        <v/>
      </c>
      <c r="EK10" s="595" t="str">
        <f t="shared" si="128"/>
        <v>A</v>
      </c>
      <c r="EL10" s="193" t="str">
        <f t="shared" si="129"/>
        <v>I</v>
      </c>
      <c r="EM10" s="193" t="str">
        <f t="shared" si="130"/>
        <v>I</v>
      </c>
      <c r="EN10" s="193" t="str">
        <f t="shared" si="131"/>
        <v>II</v>
      </c>
      <c r="EO10" s="193" t="str">
        <f t="shared" si="132"/>
        <v>I</v>
      </c>
      <c r="EP10" s="193" t="str">
        <f t="shared" si="133"/>
        <v>II</v>
      </c>
      <c r="EQ10" s="193" t="str">
        <f t="shared" si="134"/>
        <v/>
      </c>
      <c r="ER10" s="194">
        <f t="shared" si="135"/>
        <v>0</v>
      </c>
      <c r="ES10" s="194">
        <f t="shared" si="136"/>
        <v>0</v>
      </c>
      <c r="ET10" s="194">
        <f t="shared" si="137"/>
        <v>0</v>
      </c>
      <c r="EU10" s="194">
        <f t="shared" si="138"/>
        <v>0</v>
      </c>
      <c r="EV10" s="194">
        <f t="shared" si="139"/>
        <v>0</v>
      </c>
      <c r="EW10" s="194" t="str">
        <f t="shared" si="140"/>
        <v/>
      </c>
      <c r="EX10" s="195" t="str">
        <f t="shared" si="141"/>
        <v>PASS</v>
      </c>
      <c r="EY10" s="196">
        <f>IF('Marks Entry'!BE10="","",'Marks Entry'!BE10)</f>
        <v>8</v>
      </c>
      <c r="EZ10" s="196">
        <f>IF('Marks Entry'!BF10="","",'Marks Entry'!BF10)</f>
        <v>8</v>
      </c>
      <c r="FA10" s="196">
        <f>IF('Marks Entry'!BG10="","",'Marks Entry'!BG10)</f>
        <v>8</v>
      </c>
      <c r="FB10" s="596">
        <f t="shared" si="142"/>
        <v>24</v>
      </c>
      <c r="FC10" s="196">
        <f>IF('Marks Entry'!BH10="","",'Marks Entry'!BH10)</f>
        <v>50</v>
      </c>
      <c r="FD10" s="196">
        <f>IF('Marks Entry'!BI10="","",'Marks Entry'!BI10)</f>
        <v>80</v>
      </c>
      <c r="FE10" s="197">
        <f t="shared" si="143"/>
        <v>154</v>
      </c>
      <c r="FF10" s="198" t="str">
        <f t="shared" si="144"/>
        <v>B</v>
      </c>
      <c r="FG10" s="199">
        <f>IF(AND(E10=""),"",IF('Student DATA Entry'!L6="","",'Student DATA Entry'!L6))</f>
        <v>370</v>
      </c>
      <c r="FH10" s="200">
        <f>IF(AND(E10=""),"",IF('Student DATA Entry'!M6="","",'Student DATA Entry'!M6))</f>
        <v>346</v>
      </c>
      <c r="FI10" s="201">
        <f t="shared" si="145"/>
        <v>93.513513513513516</v>
      </c>
      <c r="FJ10" s="188" t="str">
        <f t="shared" si="146"/>
        <v>I</v>
      </c>
      <c r="FK10" s="188" t="str">
        <f t="shared" si="147"/>
        <v/>
      </c>
      <c r="FL10" s="202" t="str">
        <f t="shared" si="19"/>
        <v/>
      </c>
      <c r="FM10" s="188" t="str">
        <f t="shared" si="148"/>
        <v>I</v>
      </c>
      <c r="FN10" s="203" t="str">
        <f t="shared" si="149"/>
        <v/>
      </c>
      <c r="FO10" s="202" t="str">
        <f t="shared" si="20"/>
        <v/>
      </c>
      <c r="FP10" s="204" t="str">
        <f t="shared" si="150"/>
        <v>II</v>
      </c>
      <c r="FQ10" s="188" t="str">
        <f t="shared" si="21"/>
        <v>II</v>
      </c>
      <c r="FR10" s="188" t="str">
        <f t="shared" si="22"/>
        <v/>
      </c>
      <c r="FS10" s="188" t="str">
        <f t="shared" si="23"/>
        <v/>
      </c>
      <c r="FT10" s="188" t="str">
        <f t="shared" si="24"/>
        <v/>
      </c>
      <c r="FU10" s="188" t="str">
        <f t="shared" si="151"/>
        <v/>
      </c>
      <c r="FV10" s="205" t="str">
        <f t="shared" si="25"/>
        <v/>
      </c>
      <c r="FW10" s="204" t="str">
        <f t="shared" si="152"/>
        <v>I</v>
      </c>
      <c r="FX10" s="188" t="str">
        <f t="shared" si="26"/>
        <v/>
      </c>
      <c r="FY10" s="188" t="str">
        <f t="shared" si="27"/>
        <v>I</v>
      </c>
      <c r="FZ10" s="188" t="str">
        <f t="shared" si="28"/>
        <v/>
      </c>
      <c r="GA10" s="188" t="str">
        <f t="shared" si="29"/>
        <v/>
      </c>
      <c r="GB10" s="188" t="str">
        <f t="shared" si="153"/>
        <v/>
      </c>
      <c r="GC10" s="205" t="str">
        <f t="shared" si="30"/>
        <v/>
      </c>
      <c r="GD10" s="204" t="str">
        <f t="shared" si="154"/>
        <v>II</v>
      </c>
      <c r="GE10" s="188" t="str">
        <f t="shared" si="31"/>
        <v>II</v>
      </c>
      <c r="GF10" s="188" t="str">
        <f t="shared" si="32"/>
        <v/>
      </c>
      <c r="GG10" s="188" t="str">
        <f t="shared" si="33"/>
        <v/>
      </c>
      <c r="GH10" s="188" t="str">
        <f t="shared" si="34"/>
        <v/>
      </c>
      <c r="GI10" s="188" t="str">
        <f t="shared" si="155"/>
        <v/>
      </c>
      <c r="GJ10" s="205" t="str">
        <f t="shared" si="35"/>
        <v/>
      </c>
      <c r="GK10" s="204" t="str">
        <f t="shared" si="156"/>
        <v/>
      </c>
      <c r="GL10" s="188" t="str">
        <f t="shared" si="36"/>
        <v/>
      </c>
      <c r="GM10" s="188" t="str">
        <f t="shared" si="37"/>
        <v/>
      </c>
      <c r="GN10" s="188" t="str">
        <f t="shared" si="38"/>
        <v/>
      </c>
      <c r="GO10" s="188" t="str">
        <f t="shared" si="39"/>
        <v/>
      </c>
      <c r="GP10" s="188" t="str">
        <f t="shared" si="157"/>
        <v/>
      </c>
      <c r="GQ10" s="205" t="str">
        <f t="shared" si="40"/>
        <v/>
      </c>
      <c r="GR10" s="188" t="str">
        <f t="shared" si="158"/>
        <v>A</v>
      </c>
      <c r="GS10" s="188" t="str">
        <f t="shared" si="159"/>
        <v>B</v>
      </c>
      <c r="GT10" s="206" t="str">
        <f t="shared" ref="GT10:GT72" si="177">CONCATENATE(IF(FJ10="F",$FJ$5,IF(FJ10="AB",$FJ$5,""))," ",IF(FM10="F",$FM$5,IF(FM10="AB",$FM$5,""))," ",IF(FQ10="F",$FQ$5,IF(FR10="F",$FR$5,IF(FS10="F",$FS$5,IF(FQ10="AB",$FQ$5,IF(FR10="AB",$FR$5,IF(FS10="AB",$FS$5,IF(FQ10="FP",$FQ$5,IF(FR10="FP",$FR$5,IF(FS10="FP",$FS$5,"")))))))))," ",IF(FX10="F",$FX$5,IF(FY10="F",$FY$5,IF(FZ10="F",$FZ$5,IF(FX10="AB",$FX$5,IF(FY10="AB",$FY$5,IF(FZ10="AB",$FZ$5,IF(FX10="FP",$FX$5,IF(FY10="FP",$FY$5,IF(FZ10="FP",$FZ$5,"")))))))))," ",IF(GE10="F",$GE$5,IF(GF10="F",$GF$5,IF(GG10="F",$GG$5,IF(GE10="AB",$GE$5,IF(GF10="AB",$GF$5,IF(GG10="AB",$GG$5,IF(GE10="FP",$GE$5,IF(GF10="FP",$GF$5,IF(GG10="FP",$GG$5,""))))))))),"",IF(GL10="F",$GL$5,IF(GM10="F",$GM$5,IF(GN10="F",$GN$5,IF(GL10="AB",$GL$5,IF(GM10="AB",$GM$5,IF(GN10="AB",$GN$5,IF(GL10="FP",$GL$5,IF(GM10="FP",$GM$5,IF(GN10="FP",$GN$5,""))))))))))</f>
        <v xml:space="preserve">    </v>
      </c>
      <c r="GU10" s="206" t="str">
        <f t="shared" si="160"/>
        <v xml:space="preserve">    </v>
      </c>
      <c r="GV10" s="206" t="str">
        <f t="shared" si="161"/>
        <v xml:space="preserve">    </v>
      </c>
      <c r="GW10" s="206" t="str">
        <f t="shared" si="162"/>
        <v xml:space="preserve">       </v>
      </c>
      <c r="GX10" s="598" t="str">
        <f t="shared" si="163"/>
        <v xml:space="preserve">     </v>
      </c>
      <c r="GY10" s="207" t="str">
        <f t="shared" si="164"/>
        <v>PASS</v>
      </c>
      <c r="GZ10" s="606">
        <f>IF(AND(Q10="",AE10="",AZ10="",BW10="",CT10=""),"",IF(AND('Master Sheet'!$D$19="YES",'Marks Entry'!$BA$1=1),SUM(Q10,AE10,AZ10,BW10,DT10),SUM(Q10,AE10,AZ10,BW10,CT10)))</f>
        <v>641</v>
      </c>
      <c r="HA10" s="208">
        <f>IF(GZ10="","",IF(AND('Master Sheet'!$D$19="YES",'Marks Entry'!$BA$1=1),GZ10/((900)-DC10)*100,GZ10/((1000)-DC10)*100))</f>
        <v>64.099999999999994</v>
      </c>
      <c r="HB10" s="611" t="str">
        <f>IF(HA10="","",IF(AND(HA10&gt;=60,(GY10="PASS")),"I",IF(AND(HA10&gt;=60,(GY10="BY GRACE PASS")),"I",IF(AND(HA10&gt;=48,(GY10="PASS")),"II",IF(AND(HA10&gt;=48,(GY10="BY GRACE PASS")),"II",IF(AND(HA10&gt;=36,(GY10="PASS")),"III",IF(AND(HA10&gt;=36,(GY10="BY GRACE PASS")),"III","")))))))</f>
        <v>I</v>
      </c>
      <c r="HC10" s="609">
        <f t="shared" si="166"/>
        <v>64.099999999999994</v>
      </c>
      <c r="HD10" s="610">
        <f t="shared" si="167"/>
        <v>5.0000000000000329</v>
      </c>
      <c r="HE10" s="209" t="str">
        <f>IFERROR(IF(OR(GY10="SUPPLEMENTARY",GY10="RE-EXAM"),'Supp. Result Entry'!AS9,""),"")</f>
        <v/>
      </c>
      <c r="HF10" s="613" t="str">
        <f t="shared" si="168"/>
        <v/>
      </c>
      <c r="HG10" s="598" t="str">
        <f t="shared" si="169"/>
        <v/>
      </c>
      <c r="HH10" s="598" t="str">
        <f>IF(AND(HE10="",HF10="",HG10=""),"",IF(OR(GY10="SUPPLEMENTARY",GY10="RE-EXAM"),'Supp. Result Entry'!AS9,GY10))</f>
        <v/>
      </c>
      <c r="HI10" s="179"/>
      <c r="HY10" s="211" t="str">
        <f>IF('Supp. Result Entry'!U9="","",'Supp. Result Entry'!$U$6)</f>
        <v/>
      </c>
      <c r="HZ10" s="212" t="str">
        <f>IF('Supp. Result Entry'!X9="","",'Supp. Result Entry'!$X$6)</f>
        <v/>
      </c>
      <c r="IA10" s="212" t="str">
        <f>IF('Supp. Result Entry'!AA9="","",'Supp. Result Entry'!$AA$6)</f>
        <v/>
      </c>
      <c r="IB10" s="212" t="str">
        <f>IF('Supp. Result Entry'!AD9="","",'Supp. Result Entry'!$AD$6)</f>
        <v/>
      </c>
      <c r="IC10" s="212" t="str">
        <f>IF('Supp. Result Entry'!AG9="","",'Supp. Result Entry'!$AG$6)</f>
        <v/>
      </c>
      <c r="ID10" s="212" t="str">
        <f>IF('Supp. Result Entry'!AJ9="","",'Supp. Result Entry'!$AJ$6)</f>
        <v/>
      </c>
      <c r="IE10" s="212" t="str">
        <f>IF('Supp. Result Entry'!V9="","",'Supp. Result Entry'!V9)</f>
        <v/>
      </c>
      <c r="IF10" s="212" t="str">
        <f>IF('Supp. Result Entry'!Y9="","",'Supp. Result Entry'!Y9)</f>
        <v/>
      </c>
      <c r="IG10" s="212" t="str">
        <f>IF('Supp. Result Entry'!AB9="","",'Supp. Result Entry'!AB9)</f>
        <v/>
      </c>
      <c r="IH10" s="212" t="str">
        <f>IF('Supp. Result Entry'!AE9="","",'Supp. Result Entry'!AE9)</f>
        <v/>
      </c>
      <c r="II10" s="212" t="str">
        <f>IF('Supp. Result Entry'!AH9="","",'Supp. Result Entry'!AH9)</f>
        <v/>
      </c>
      <c r="IJ10" s="212" t="str">
        <f>IF('Supp. Result Entry'!AK9="","",'Supp. Result Entry'!AK9)</f>
        <v/>
      </c>
      <c r="IK10" s="212" t="str">
        <f>IF('Supp. Result Entry'!W9="","",'Supp. Result Entry'!W9)</f>
        <v/>
      </c>
      <c r="IL10" s="212" t="str">
        <f>IF('Supp. Result Entry'!Z9="","",'Supp. Result Entry'!Z9)</f>
        <v/>
      </c>
      <c r="IM10" s="212" t="str">
        <f>IF('Supp. Result Entry'!AC9="","",'Supp. Result Entry'!AC9)</f>
        <v/>
      </c>
      <c r="IN10" s="212" t="str">
        <f>IF('Supp. Result Entry'!AF9="","",'Supp. Result Entry'!AF9)</f>
        <v/>
      </c>
      <c r="IO10" s="212" t="str">
        <f>IF('Supp. Result Entry'!AI9="","",'Supp. Result Entry'!AI9)</f>
        <v/>
      </c>
      <c r="IP10" s="212" t="str">
        <f>IF('Supp. Result Entry'!AL9="","",'Supp. Result Entry'!AL9)</f>
        <v/>
      </c>
      <c r="IQ10" s="212">
        <f>COUNTIF('Supp. Result Entry'!K9:Q9,"S")</f>
        <v>0</v>
      </c>
      <c r="IR10" s="212">
        <f t="shared" si="170"/>
        <v>0</v>
      </c>
      <c r="IS10" s="212">
        <f t="shared" si="171"/>
        <v>0</v>
      </c>
      <c r="IT10" s="212" t="str">
        <f t="shared" si="41"/>
        <v/>
      </c>
      <c r="IU10" s="212" t="str">
        <f t="shared" si="42"/>
        <v/>
      </c>
      <c r="IV10" s="212" t="str">
        <f t="shared" si="43"/>
        <v/>
      </c>
      <c r="IW10" s="212" t="str">
        <f t="shared" si="44"/>
        <v/>
      </c>
      <c r="IX10" s="212" t="str">
        <f t="shared" si="45"/>
        <v/>
      </c>
      <c r="IY10" s="212" t="str">
        <f t="shared" si="172"/>
        <v/>
      </c>
      <c r="IZ10" s="212" t="str">
        <f t="shared" si="173"/>
        <v/>
      </c>
      <c r="JA10" s="212" t="str">
        <f t="shared" si="46"/>
        <v/>
      </c>
      <c r="JB10" s="210" t="str">
        <f t="shared" si="174"/>
        <v/>
      </c>
    </row>
    <row r="11" spans="1:262" s="210" customFormat="1" ht="21" customHeight="1">
      <c r="A11" s="183">
        <v>4</v>
      </c>
      <c r="B11" s="184">
        <f>IF('Marks Entry'!B11="","",'Marks Entry'!B11)</f>
        <v>1104</v>
      </c>
      <c r="C11" s="185">
        <f>IF('Marks Entry'!D11="","",'Marks Entry'!D11)</f>
        <v>444</v>
      </c>
      <c r="D11" s="186">
        <f>IF('Marks Entry'!E11="","",'Marks Entry'!E11)</f>
        <v>38874</v>
      </c>
      <c r="E11" s="187" t="str">
        <f>IF('Marks Entry'!F11="","",'Marks Entry'!F11)</f>
        <v>D</v>
      </c>
      <c r="F11" s="187" t="str">
        <f>IF('Marks Entry'!G11="","",'Marks Entry'!G11)</f>
        <v>W</v>
      </c>
      <c r="G11" s="187" t="str">
        <f>IF('Marks Entry'!H11="","",'Marks Entry'!H11)</f>
        <v>P</v>
      </c>
      <c r="H11" s="188" t="str">
        <f>IF('Marks Entry'!I11="","",'Marks Entry'!I11)</f>
        <v>ST</v>
      </c>
      <c r="I11" s="189" t="str">
        <f>IF('Marks Entry'!J11="","",'Marks Entry'!J11)</f>
        <v>M</v>
      </c>
      <c r="J11" s="545">
        <f>IF('Marks Entry'!K11="","",'Marks Entry'!K11)</f>
        <v>5</v>
      </c>
      <c r="K11" s="545">
        <f>IF('Marks Entry'!L11="","",'Marks Entry'!L11)</f>
        <v>7</v>
      </c>
      <c r="L11" s="545">
        <f>IF('Marks Entry'!M11="","",'Marks Entry'!M11)</f>
        <v>8</v>
      </c>
      <c r="M11" s="546">
        <f t="shared" si="47"/>
        <v>20</v>
      </c>
      <c r="N11" s="545">
        <f>IF('Marks Entry'!N11="","",'Marks Entry'!N11)</f>
        <v>32</v>
      </c>
      <c r="O11" s="546">
        <f t="shared" si="48"/>
        <v>52</v>
      </c>
      <c r="P11" s="545">
        <f>IF('Marks Entry'!O11="","",'Marks Entry'!O11)</f>
        <v>54</v>
      </c>
      <c r="Q11" s="547">
        <f t="shared" si="49"/>
        <v>106</v>
      </c>
      <c r="R11" s="152">
        <f t="shared" si="50"/>
        <v>0</v>
      </c>
      <c r="S11" s="152">
        <f t="shared" si="51"/>
        <v>0</v>
      </c>
      <c r="T11" s="153">
        <f t="shared" si="52"/>
        <v>200</v>
      </c>
      <c r="U11" s="152" t="str">
        <f t="shared" si="53"/>
        <v/>
      </c>
      <c r="V11" s="152" t="str">
        <f t="shared" si="54"/>
        <v>P</v>
      </c>
      <c r="W11" s="152" t="str">
        <f t="shared" si="55"/>
        <v>II</v>
      </c>
      <c r="X11" s="545">
        <f>IF('Marks Entry'!P11="","",'Marks Entry'!P11)</f>
        <v>3</v>
      </c>
      <c r="Y11" s="545">
        <f>IF('Marks Entry'!Q11="","",'Marks Entry'!Q11)</f>
        <v>3</v>
      </c>
      <c r="Z11" s="545">
        <f>IF('Marks Entry'!R11="","",'Marks Entry'!R11)</f>
        <v>9</v>
      </c>
      <c r="AA11" s="546">
        <f t="shared" si="56"/>
        <v>15</v>
      </c>
      <c r="AB11" s="545">
        <f>IF('Marks Entry'!S11="","",'Marks Entry'!S11)</f>
        <v>48</v>
      </c>
      <c r="AC11" s="546">
        <f t="shared" si="57"/>
        <v>63</v>
      </c>
      <c r="AD11" s="545">
        <f>IF('Marks Entry'!T11="","",'Marks Entry'!T11)</f>
        <v>73</v>
      </c>
      <c r="AE11" s="547">
        <f t="shared" si="58"/>
        <v>136</v>
      </c>
      <c r="AF11" s="152">
        <f t="shared" si="59"/>
        <v>0</v>
      </c>
      <c r="AG11" s="152">
        <f t="shared" si="60"/>
        <v>0</v>
      </c>
      <c r="AH11" s="153">
        <f t="shared" si="61"/>
        <v>200</v>
      </c>
      <c r="AI11" s="152" t="str">
        <f t="shared" si="62"/>
        <v/>
      </c>
      <c r="AJ11" s="152" t="str">
        <f t="shared" si="63"/>
        <v>P</v>
      </c>
      <c r="AK11" s="152" t="str">
        <f t="shared" si="64"/>
        <v>I</v>
      </c>
      <c r="AL11" s="573" t="str">
        <f>IF('Marks Entry'!U11="","",'Marks Entry'!U11)</f>
        <v>B</v>
      </c>
      <c r="AM11" s="573">
        <f>IF('Marks Entry'!V11="","",'Marks Entry'!V11)</f>
        <v>8</v>
      </c>
      <c r="AN11" s="573">
        <f>IF('Marks Entry'!W11="","",'Marks Entry'!W11)</f>
        <v>9</v>
      </c>
      <c r="AO11" s="573">
        <f>IF('Marks Entry'!X11="","",'Marks Entry'!X11)</f>
        <v>7</v>
      </c>
      <c r="AP11" s="572">
        <f t="shared" si="65"/>
        <v>24</v>
      </c>
      <c r="AQ11" s="573">
        <f>IF('Marks Entry'!Y11="","",'Marks Entry'!Y11)</f>
        <v>28</v>
      </c>
      <c r="AR11" s="573">
        <f>IF('Marks Entry'!Z11="","",'Marks Entry'!Z11)</f>
        <v>10</v>
      </c>
      <c r="AS11" s="572">
        <f t="shared" si="66"/>
        <v>38</v>
      </c>
      <c r="AT11" s="572">
        <f t="shared" si="67"/>
        <v>62</v>
      </c>
      <c r="AU11" s="573">
        <f>IF('Marks Entry'!AA11="","",'Marks Entry'!AA11)</f>
        <v>47</v>
      </c>
      <c r="AV11" s="573">
        <f>IF('Marks Entry'!AB11="","",'Marks Entry'!AB11)</f>
        <v>19</v>
      </c>
      <c r="AW11" s="572">
        <f t="shared" si="68"/>
        <v>66</v>
      </c>
      <c r="AX11" s="156">
        <f t="shared" si="69"/>
        <v>99</v>
      </c>
      <c r="AY11" s="156">
        <f t="shared" si="70"/>
        <v>29</v>
      </c>
      <c r="AZ11" s="191">
        <f t="shared" si="71"/>
        <v>128</v>
      </c>
      <c r="BA11" s="152">
        <f t="shared" si="72"/>
        <v>0</v>
      </c>
      <c r="BB11" s="153">
        <f t="shared" si="73"/>
        <v>0</v>
      </c>
      <c r="BC11" s="153">
        <f t="shared" si="74"/>
        <v>70</v>
      </c>
      <c r="BD11" s="153">
        <f t="shared" si="75"/>
        <v>50</v>
      </c>
      <c r="BE11" s="153">
        <f t="shared" si="76"/>
        <v>150</v>
      </c>
      <c r="BF11" s="152" t="str">
        <f t="shared" si="77"/>
        <v/>
      </c>
      <c r="BG11" s="153" t="str">
        <f t="shared" si="175"/>
        <v>P</v>
      </c>
      <c r="BH11" s="152" t="str">
        <f t="shared" si="78"/>
        <v>I</v>
      </c>
      <c r="BI11" s="580" t="str">
        <f>IF('Marks Entry'!AC11="","",'Marks Entry'!AC11)</f>
        <v>A</v>
      </c>
      <c r="BJ11" s="580">
        <f>IF('Marks Entry'!AD11="","",'Marks Entry'!AD11)</f>
        <v>5</v>
      </c>
      <c r="BK11" s="580">
        <f>IF('Marks Entry'!AE11="","",'Marks Entry'!AE11)</f>
        <v>5</v>
      </c>
      <c r="BL11" s="580">
        <f>IF('Marks Entry'!AF11="","",'Marks Entry'!AF11)</f>
        <v>7</v>
      </c>
      <c r="BM11" s="581">
        <f t="shared" si="79"/>
        <v>17</v>
      </c>
      <c r="BN11" s="580">
        <f>IF('Marks Entry'!AG11="","",'Marks Entry'!AG11)</f>
        <v>32</v>
      </c>
      <c r="BO11" s="580" t="str">
        <f>IF('Marks Entry'!AH11="","",'Marks Entry'!AH11)</f>
        <v/>
      </c>
      <c r="BP11" s="581">
        <f t="shared" si="80"/>
        <v>32</v>
      </c>
      <c r="BQ11" s="581">
        <f t="shared" si="81"/>
        <v>49</v>
      </c>
      <c r="BR11" s="580">
        <f>IF('Marks Entry'!AI11="","",'Marks Entry'!AI11)</f>
        <v>56</v>
      </c>
      <c r="BS11" s="580" t="str">
        <f>IF('Marks Entry'!AJ11="","",'Marks Entry'!AJ11)</f>
        <v/>
      </c>
      <c r="BT11" s="581">
        <f t="shared" si="82"/>
        <v>56</v>
      </c>
      <c r="BU11" s="156">
        <f t="shared" si="83"/>
        <v>105</v>
      </c>
      <c r="BV11" s="156" t="str">
        <f t="shared" si="84"/>
        <v/>
      </c>
      <c r="BW11" s="191">
        <f t="shared" si="85"/>
        <v>105</v>
      </c>
      <c r="BX11" s="152">
        <f t="shared" si="86"/>
        <v>0</v>
      </c>
      <c r="BY11" s="153">
        <f t="shared" si="87"/>
        <v>0</v>
      </c>
      <c r="BZ11" s="153">
        <f t="shared" si="88"/>
        <v>100</v>
      </c>
      <c r="CA11" s="153" t="str">
        <f t="shared" si="89"/>
        <v/>
      </c>
      <c r="CB11" s="153">
        <f t="shared" si="90"/>
        <v>200</v>
      </c>
      <c r="CC11" s="152" t="str">
        <f t="shared" si="91"/>
        <v/>
      </c>
      <c r="CD11" s="153" t="str">
        <f>IF(OR($B11="NSO",$B11=0,BR11="",BT11="",BW11=""),"",IF(OR(BR11="AB",BS11="AB",CC11="AB"),"AB",IF(OR(BR11="ML",BT11="ML"),"RE",IF(BS11="MLP","REP",IF(BS11&lt;33%*$AV$6,"FP",IF(BO11&lt;33%*$AR$6,"FP",IF(AND(BU11&gt;=36%*CB11,SUM(BR11)&gt;=20%*BZ11,BV11&gt;=SUM(CA11)*36%),"P",IF(AND(BU11&gt;=34%*CB11,BY11=0,SUM(BR11)&gt;=20%*BZ11,BV11&gt;=SUM(CA11)*36%),"G2",IF(AND(BU11&gt;=31%*CB11,BY11=0,SUM(BR11)&gt;=20%*BZ11,BV11&gt;=SUM(CA11)*36%),"G1",IF(AND(BU11&gt;=25%*CB11,SUM(BR11)&gt;=20%*BZ11),"S","F"))))))))))</f>
        <v>P</v>
      </c>
      <c r="CE11" s="152" t="str">
        <f t="shared" si="93"/>
        <v>II</v>
      </c>
      <c r="CF11" s="580" t="str">
        <f>IF('Marks Entry'!AK11="","",'Marks Entry'!AK11)</f>
        <v>A</v>
      </c>
      <c r="CG11" s="580">
        <f>IF('Marks Entry'!AL11="","",'Marks Entry'!AL11)</f>
        <v>3</v>
      </c>
      <c r="CH11" s="580">
        <f>IF('Marks Entry'!AM11="","",'Marks Entry'!AM11)</f>
        <v>7</v>
      </c>
      <c r="CI11" s="580">
        <f>IF('Marks Entry'!AN11="","",'Marks Entry'!AN11)</f>
        <v>9</v>
      </c>
      <c r="CJ11" s="581">
        <f t="shared" si="94"/>
        <v>19</v>
      </c>
      <c r="CK11" s="580">
        <f>IF('Marks Entry'!AO11="","",'Marks Entry'!AO11)</f>
        <v>45</v>
      </c>
      <c r="CL11" s="580">
        <f>IF('Marks Entry'!AP11="","",'Marks Entry'!AP11)</f>
        <v>15</v>
      </c>
      <c r="CM11" s="581">
        <f t="shared" si="95"/>
        <v>60</v>
      </c>
      <c r="CN11" s="581">
        <f t="shared" si="96"/>
        <v>79</v>
      </c>
      <c r="CO11" s="580">
        <f>IF('Marks Entry'!AQ11="","",'Marks Entry'!AQ11)</f>
        <v>65</v>
      </c>
      <c r="CP11" s="580">
        <f>IF('Marks Entry'!AR11="","",'Marks Entry'!AR11)</f>
        <v>28</v>
      </c>
      <c r="CQ11" s="581">
        <f t="shared" si="97"/>
        <v>93</v>
      </c>
      <c r="CR11" s="156">
        <f t="shared" si="98"/>
        <v>129</v>
      </c>
      <c r="CS11" s="156">
        <f t="shared" si="99"/>
        <v>43</v>
      </c>
      <c r="CT11" s="191">
        <f t="shared" si="100"/>
        <v>172</v>
      </c>
      <c r="CU11" s="152">
        <f t="shared" si="101"/>
        <v>0</v>
      </c>
      <c r="CV11" s="153">
        <f t="shared" si="102"/>
        <v>0</v>
      </c>
      <c r="CW11" s="153">
        <f t="shared" si="103"/>
        <v>70</v>
      </c>
      <c r="CX11" s="153">
        <f t="shared" si="104"/>
        <v>50</v>
      </c>
      <c r="CY11" s="153">
        <f t="shared" si="176"/>
        <v>150</v>
      </c>
      <c r="CZ11" s="152" t="str">
        <f t="shared" si="105"/>
        <v/>
      </c>
      <c r="DA11" s="153" t="str">
        <f t="shared" si="106"/>
        <v>P</v>
      </c>
      <c r="DB11" s="152" t="str">
        <f t="shared" si="107"/>
        <v>D</v>
      </c>
      <c r="DC11" s="153">
        <f t="shared" si="108"/>
        <v>0</v>
      </c>
      <c r="DD11" s="851" t="str">
        <f>IF('Marks Entry'!AS11="","",IF(OR('Master Sheet'!$D$19="YES",'Marks Entry'!$BA$1=1),'Marks Entry'!AS11,""))</f>
        <v>B</v>
      </c>
      <c r="DE11" s="851" t="str">
        <f>IF('Marks Entry'!AT11="","",IF(OR('Master Sheet'!$D$19="YES",'Marks Entry'!$BA$1=1),'Marks Entry'!AT11,""))</f>
        <v/>
      </c>
      <c r="DF11" s="851" t="str">
        <f>IF('Marks Entry'!AU11="","",IF(OR('Master Sheet'!$D$19="YES",'Marks Entry'!$BA$1=1),'Marks Entry'!AU11,""))</f>
        <v/>
      </c>
      <c r="DG11" s="851" t="str">
        <f>IF('Marks Entry'!AV11="","",IF(OR('Master Sheet'!$D$19="YES",'Marks Entry'!$BA$1=1),'Marks Entry'!AV11,""))</f>
        <v/>
      </c>
      <c r="DH11" s="852" t="str">
        <f t="shared" si="109"/>
        <v/>
      </c>
      <c r="DI11" s="851" t="str">
        <f>IF('Marks Entry'!AW11="","",IF(OR('Master Sheet'!$D$19="YES",'Marks Entry'!$BA$1=1),'Marks Entry'!AW11,""))</f>
        <v/>
      </c>
      <c r="DJ11" s="851" t="str">
        <f>IF('Marks Entry'!AX11="","",IF(OR('Master Sheet'!$D$19="YES",'Marks Entry'!$BA$1=1),'Marks Entry'!AX11,""))</f>
        <v/>
      </c>
      <c r="DK11" s="852" t="str">
        <f t="shared" si="110"/>
        <v/>
      </c>
      <c r="DL11" s="852" t="str">
        <f t="shared" si="111"/>
        <v/>
      </c>
      <c r="DM11" s="851">
        <f>IF('Marks Entry'!AY11="","",IF(OR('Master Sheet'!$D$19="YES",'Marks Entry'!$BA$1=1),'Marks Entry'!AY11,""))</f>
        <v>25</v>
      </c>
      <c r="DN11" s="851">
        <f>IF('Marks Entry'!AZ11="","",IF(OR('Master Sheet'!$D$19="YES",'Marks Entry'!$BA$1=1),'Marks Entry'!AZ11,""))</f>
        <v>18</v>
      </c>
      <c r="DO11" s="851">
        <f>IF('Marks Entry'!BA11="","",IF(OR('Master Sheet'!$D$19="YES",'Marks Entry'!$BA$1=1),'Marks Entry'!BA11,""))</f>
        <v>45</v>
      </c>
      <c r="DP11" s="852">
        <f t="shared" si="112"/>
        <v>88</v>
      </c>
      <c r="DQ11" s="156">
        <f t="shared" si="113"/>
        <v>25</v>
      </c>
      <c r="DR11" s="156">
        <f t="shared" si="114"/>
        <v>18</v>
      </c>
      <c r="DS11" s="156">
        <f t="shared" si="115"/>
        <v>45</v>
      </c>
      <c r="DT11" s="191">
        <f t="shared" si="116"/>
        <v>88</v>
      </c>
      <c r="DU11" s="152">
        <f t="shared" si="117"/>
        <v>0</v>
      </c>
      <c r="DV11" s="153">
        <f t="shared" si="118"/>
        <v>0</v>
      </c>
      <c r="DW11" s="153">
        <f t="shared" si="119"/>
        <v>50</v>
      </c>
      <c r="DX11" s="153">
        <f>IF(OR($B11="NSO",$B11=0,DS11=""),"",IF(AND(DJ11="",DO11=""),"",IF('Master Sheet'!$D$19="YES",$DO$6-COUNTIF(DO11,"ML")*DO$6,DS$6-(COUNTIF(DJ11,"ML")*DJ$6)-(COUNTIF(DO11,"ML")*DO$6))))</f>
        <v>70</v>
      </c>
      <c r="DY11" s="153">
        <f>IF(OR($B11="NSO",$B11=0),"",IF(AND(DH11="",DI11="",DM11=""),"",IF(AND('Master Sheet'!$D$19="YES",'Marks Entry'!$BA$1=1),100,IF(AND(DJ11="",DO11=""),SUM(($DQ$7+$DR$7)-(DU11+DV11)),SUM(($DQ$6+$DR$6)-(DU11+DV11))))))</f>
        <v>130</v>
      </c>
      <c r="DZ11" s="152" t="str">
        <f t="shared" si="120"/>
        <v/>
      </c>
      <c r="EA11" s="153" t="str">
        <f t="shared" si="121"/>
        <v>P</v>
      </c>
      <c r="EB11" s="152" t="str">
        <f t="shared" si="122"/>
        <v>III</v>
      </c>
      <c r="EC11" s="584">
        <f>IF('Marks Entry'!BB11="","",'Marks Entry'!BB11)</f>
        <v>25</v>
      </c>
      <c r="ED11" s="584">
        <f>IF('Marks Entry'!BC11="","",'Marks Entry'!BC11)</f>
        <v>25</v>
      </c>
      <c r="EE11" s="584">
        <f>IF('Marks Entry'!BD11="","",'Marks Entry'!BD11)</f>
        <v>31</v>
      </c>
      <c r="EF11" s="590">
        <f t="shared" si="123"/>
        <v>81</v>
      </c>
      <c r="EG11" s="595">
        <f t="shared" si="124"/>
        <v>0</v>
      </c>
      <c r="EH11" s="595">
        <f t="shared" si="125"/>
        <v>0</v>
      </c>
      <c r="EI11" s="192">
        <f t="shared" si="126"/>
        <v>100</v>
      </c>
      <c r="EJ11" s="595" t="str">
        <f t="shared" si="127"/>
        <v/>
      </c>
      <c r="EK11" s="595" t="str">
        <f t="shared" si="128"/>
        <v>A</v>
      </c>
      <c r="EL11" s="193" t="str">
        <f t="shared" si="129"/>
        <v>II</v>
      </c>
      <c r="EM11" s="193" t="str">
        <f t="shared" si="130"/>
        <v>I</v>
      </c>
      <c r="EN11" s="193" t="str">
        <f t="shared" si="131"/>
        <v>I</v>
      </c>
      <c r="EO11" s="193" t="str">
        <f t="shared" si="132"/>
        <v>II</v>
      </c>
      <c r="EP11" s="193" t="str">
        <f t="shared" si="133"/>
        <v>D</v>
      </c>
      <c r="EQ11" s="193" t="str">
        <f t="shared" si="134"/>
        <v>III</v>
      </c>
      <c r="ER11" s="194">
        <f t="shared" si="135"/>
        <v>0</v>
      </c>
      <c r="ES11" s="194">
        <f t="shared" si="136"/>
        <v>0</v>
      </c>
      <c r="ET11" s="194">
        <f t="shared" si="137"/>
        <v>0</v>
      </c>
      <c r="EU11" s="194">
        <f t="shared" si="138"/>
        <v>0</v>
      </c>
      <c r="EV11" s="194">
        <f t="shared" si="139"/>
        <v>0</v>
      </c>
      <c r="EW11" s="194" t="str">
        <f t="shared" si="140"/>
        <v/>
      </c>
      <c r="EX11" s="195" t="str">
        <f t="shared" si="141"/>
        <v>PASS</v>
      </c>
      <c r="EY11" s="196">
        <f>IF('Marks Entry'!BE11="","",'Marks Entry'!BE11)</f>
        <v>8</v>
      </c>
      <c r="EZ11" s="196">
        <f>IF('Marks Entry'!BF11="","",'Marks Entry'!BF11)</f>
        <v>8</v>
      </c>
      <c r="FA11" s="196">
        <f>IF('Marks Entry'!BG11="","",'Marks Entry'!BG11)</f>
        <v>8</v>
      </c>
      <c r="FB11" s="596">
        <f t="shared" si="142"/>
        <v>24</v>
      </c>
      <c r="FC11" s="196">
        <f>IF('Marks Entry'!BH11="","",'Marks Entry'!BH11)</f>
        <v>50</v>
      </c>
      <c r="FD11" s="196">
        <f>IF('Marks Entry'!BI11="","",'Marks Entry'!BI11)</f>
        <v>80</v>
      </c>
      <c r="FE11" s="197">
        <f t="shared" si="143"/>
        <v>154</v>
      </c>
      <c r="FF11" s="198" t="str">
        <f t="shared" si="144"/>
        <v>B</v>
      </c>
      <c r="FG11" s="199">
        <f>IF(AND(E11=""),"",IF('Student DATA Entry'!L7="","",'Student DATA Entry'!L7))</f>
        <v>340</v>
      </c>
      <c r="FH11" s="200">
        <f>IF(AND(E11=""),"",IF('Student DATA Entry'!M7="","",'Student DATA Entry'!M7))</f>
        <v>330</v>
      </c>
      <c r="FI11" s="201">
        <f t="shared" si="145"/>
        <v>97.058823529411768</v>
      </c>
      <c r="FJ11" s="188" t="str">
        <f t="shared" si="146"/>
        <v>II</v>
      </c>
      <c r="FK11" s="188" t="str">
        <f t="shared" si="147"/>
        <v/>
      </c>
      <c r="FL11" s="202" t="str">
        <f t="shared" si="19"/>
        <v/>
      </c>
      <c r="FM11" s="188" t="str">
        <f t="shared" si="148"/>
        <v>I</v>
      </c>
      <c r="FN11" s="203" t="str">
        <f t="shared" si="149"/>
        <v/>
      </c>
      <c r="FO11" s="202" t="str">
        <f t="shared" si="20"/>
        <v/>
      </c>
      <c r="FP11" s="204" t="str">
        <f t="shared" si="150"/>
        <v>I</v>
      </c>
      <c r="FQ11" s="188" t="str">
        <f t="shared" si="21"/>
        <v/>
      </c>
      <c r="FR11" s="188" t="str">
        <f t="shared" si="22"/>
        <v>I</v>
      </c>
      <c r="FS11" s="188" t="str">
        <f t="shared" si="23"/>
        <v/>
      </c>
      <c r="FT11" s="188" t="str">
        <f t="shared" si="24"/>
        <v/>
      </c>
      <c r="FU11" s="188" t="str">
        <f t="shared" si="151"/>
        <v/>
      </c>
      <c r="FV11" s="205" t="str">
        <f t="shared" si="25"/>
        <v/>
      </c>
      <c r="FW11" s="204" t="str">
        <f t="shared" si="152"/>
        <v>II</v>
      </c>
      <c r="FX11" s="188" t="str">
        <f t="shared" si="26"/>
        <v>II</v>
      </c>
      <c r="FY11" s="188" t="str">
        <f t="shared" si="27"/>
        <v/>
      </c>
      <c r="FZ11" s="188" t="str">
        <f t="shared" si="28"/>
        <v/>
      </c>
      <c r="GA11" s="188" t="str">
        <f t="shared" si="29"/>
        <v/>
      </c>
      <c r="GB11" s="188" t="str">
        <f t="shared" si="153"/>
        <v/>
      </c>
      <c r="GC11" s="205" t="str">
        <f t="shared" si="30"/>
        <v/>
      </c>
      <c r="GD11" s="204" t="str">
        <f t="shared" si="154"/>
        <v>D</v>
      </c>
      <c r="GE11" s="188" t="str">
        <f t="shared" si="31"/>
        <v>D</v>
      </c>
      <c r="GF11" s="188" t="str">
        <f t="shared" si="32"/>
        <v/>
      </c>
      <c r="GG11" s="188" t="str">
        <f t="shared" si="33"/>
        <v/>
      </c>
      <c r="GH11" s="188" t="str">
        <f t="shared" si="34"/>
        <v/>
      </c>
      <c r="GI11" s="188" t="str">
        <f t="shared" si="155"/>
        <v/>
      </c>
      <c r="GJ11" s="205" t="str">
        <f t="shared" si="35"/>
        <v/>
      </c>
      <c r="GK11" s="204" t="str">
        <f t="shared" si="156"/>
        <v>III</v>
      </c>
      <c r="GL11" s="188" t="str">
        <f t="shared" si="36"/>
        <v/>
      </c>
      <c r="GM11" s="188" t="str">
        <f t="shared" si="37"/>
        <v>III</v>
      </c>
      <c r="GN11" s="188" t="str">
        <f t="shared" si="38"/>
        <v/>
      </c>
      <c r="GO11" s="188" t="str">
        <f t="shared" si="39"/>
        <v/>
      </c>
      <c r="GP11" s="188" t="str">
        <f t="shared" si="157"/>
        <v/>
      </c>
      <c r="GQ11" s="205" t="str">
        <f t="shared" si="40"/>
        <v/>
      </c>
      <c r="GR11" s="188" t="str">
        <f t="shared" si="158"/>
        <v>A</v>
      </c>
      <c r="GS11" s="188" t="str">
        <f t="shared" si="159"/>
        <v>B</v>
      </c>
      <c r="GT11" s="206" t="str">
        <f t="shared" si="177"/>
        <v xml:space="preserve">    </v>
      </c>
      <c r="GU11" s="206" t="str">
        <f t="shared" si="160"/>
        <v xml:space="preserve">    </v>
      </c>
      <c r="GV11" s="206" t="str">
        <f t="shared" si="161"/>
        <v xml:space="preserve">    </v>
      </c>
      <c r="GW11" s="206" t="str">
        <f t="shared" si="162"/>
        <v xml:space="preserve">       </v>
      </c>
      <c r="GX11" s="598" t="str">
        <f t="shared" si="163"/>
        <v xml:space="preserve">    GEOGRAPHY </v>
      </c>
      <c r="GY11" s="207" t="str">
        <f t="shared" si="164"/>
        <v>PASS</v>
      </c>
      <c r="GZ11" s="606">
        <f>IF(AND(Q11="",AE11="",AZ11="",BW11="",CT11=""),"",IF(AND('Master Sheet'!$D$19="YES",'Marks Entry'!$BA$1=1),SUM(Q11,AE11,AZ11,BW11,DT11),SUM(Q11,AE11,AZ11,BW11,CT11)))</f>
        <v>647</v>
      </c>
      <c r="HA11" s="208">
        <f>IF(GZ11="","",IF(AND('Master Sheet'!$D$19="YES",'Marks Entry'!$BA$1=1),GZ11/((900)-DC11)*100,GZ11/((1000)-DC11)*100))</f>
        <v>64.7</v>
      </c>
      <c r="HB11" s="611" t="str">
        <f t="shared" si="165"/>
        <v>I</v>
      </c>
      <c r="HC11" s="609">
        <f t="shared" si="166"/>
        <v>64.7</v>
      </c>
      <c r="HD11" s="610">
        <f t="shared" si="167"/>
        <v>3.0000000000000329</v>
      </c>
      <c r="HE11" s="209" t="str">
        <f>IFERROR(IF(OR(GY11="SUPPLEMENTARY",GY11="RE-EXAM"),'Supp. Result Entry'!AS10,""),"")</f>
        <v/>
      </c>
      <c r="HF11" s="613" t="str">
        <f t="shared" si="168"/>
        <v/>
      </c>
      <c r="HG11" s="598" t="str">
        <f t="shared" si="169"/>
        <v/>
      </c>
      <c r="HH11" s="598" t="str">
        <f>IF(AND(HE11="",HF11="",HG11=""),"",IF(OR(GY11="SUPPLEMENTARY",GY11="RE-EXAM"),'Supp. Result Entry'!AS10,GY11))</f>
        <v/>
      </c>
      <c r="HI11" s="179"/>
      <c r="HY11" s="211" t="str">
        <f>IF('Supp. Result Entry'!U10="","",'Supp. Result Entry'!$U$6)</f>
        <v/>
      </c>
      <c r="HZ11" s="212" t="str">
        <f>IF('Supp. Result Entry'!X10="","",'Supp. Result Entry'!$X$6)</f>
        <v/>
      </c>
      <c r="IA11" s="212" t="str">
        <f>IF('Supp. Result Entry'!AA10="","",'Supp. Result Entry'!$AA$6)</f>
        <v/>
      </c>
      <c r="IB11" s="212" t="str">
        <f>IF('Supp. Result Entry'!AD10="","",'Supp. Result Entry'!$AD$6)</f>
        <v/>
      </c>
      <c r="IC11" s="212" t="str">
        <f>IF('Supp. Result Entry'!AG10="","",'Supp. Result Entry'!$AG$6)</f>
        <v/>
      </c>
      <c r="ID11" s="212" t="str">
        <f>IF('Supp. Result Entry'!AJ10="","",'Supp. Result Entry'!$AJ$6)</f>
        <v/>
      </c>
      <c r="IE11" s="212" t="str">
        <f>IF('Supp. Result Entry'!V10="","",'Supp. Result Entry'!V10)</f>
        <v/>
      </c>
      <c r="IF11" s="212" t="str">
        <f>IF('Supp. Result Entry'!Y10="","",'Supp. Result Entry'!Y10)</f>
        <v/>
      </c>
      <c r="IG11" s="212" t="str">
        <f>IF('Supp. Result Entry'!AB10="","",'Supp. Result Entry'!AB10)</f>
        <v/>
      </c>
      <c r="IH11" s="212" t="str">
        <f>IF('Supp. Result Entry'!AE10="","",'Supp. Result Entry'!AE10)</f>
        <v/>
      </c>
      <c r="II11" s="212" t="str">
        <f>IF('Supp. Result Entry'!AH10="","",'Supp. Result Entry'!AH10)</f>
        <v/>
      </c>
      <c r="IJ11" s="212" t="str">
        <f>IF('Supp. Result Entry'!AK10="","",'Supp. Result Entry'!AK10)</f>
        <v/>
      </c>
      <c r="IK11" s="212" t="str">
        <f>IF('Supp. Result Entry'!W10="","",'Supp. Result Entry'!W10)</f>
        <v/>
      </c>
      <c r="IL11" s="212" t="str">
        <f>IF('Supp. Result Entry'!Z10="","",'Supp. Result Entry'!Z10)</f>
        <v/>
      </c>
      <c r="IM11" s="212" t="str">
        <f>IF('Supp. Result Entry'!AC10="","",'Supp. Result Entry'!AC10)</f>
        <v/>
      </c>
      <c r="IN11" s="212" t="str">
        <f>IF('Supp. Result Entry'!AF10="","",'Supp. Result Entry'!AF10)</f>
        <v/>
      </c>
      <c r="IO11" s="212" t="str">
        <f>IF('Supp. Result Entry'!AI10="","",'Supp. Result Entry'!AI10)</f>
        <v/>
      </c>
      <c r="IP11" s="212" t="str">
        <f>IF('Supp. Result Entry'!AL10="","",'Supp. Result Entry'!AL10)</f>
        <v/>
      </c>
      <c r="IQ11" s="212">
        <f>COUNTIF('Supp. Result Entry'!K10:Q10,"S")</f>
        <v>0</v>
      </c>
      <c r="IR11" s="212">
        <f t="shared" si="170"/>
        <v>0</v>
      </c>
      <c r="IS11" s="212">
        <f t="shared" si="171"/>
        <v>0</v>
      </c>
      <c r="IT11" s="212" t="str">
        <f t="shared" si="41"/>
        <v/>
      </c>
      <c r="IU11" s="212" t="str">
        <f t="shared" si="42"/>
        <v/>
      </c>
      <c r="IV11" s="212" t="str">
        <f t="shared" si="43"/>
        <v/>
      </c>
      <c r="IW11" s="212" t="str">
        <f t="shared" si="44"/>
        <v/>
      </c>
      <c r="IX11" s="212" t="str">
        <f t="shared" si="45"/>
        <v/>
      </c>
      <c r="IY11" s="212" t="str">
        <f t="shared" si="172"/>
        <v/>
      </c>
      <c r="IZ11" s="212" t="str">
        <f t="shared" si="173"/>
        <v/>
      </c>
      <c r="JA11" s="212" t="str">
        <f t="shared" si="46"/>
        <v/>
      </c>
      <c r="JB11" s="210" t="str">
        <f t="shared" si="174"/>
        <v/>
      </c>
    </row>
    <row r="12" spans="1:262" s="210" customFormat="1" ht="21" customHeight="1">
      <c r="A12" s="183">
        <v>5</v>
      </c>
      <c r="B12" s="184">
        <f>IF('Marks Entry'!B12="","",'Marks Entry'!B12)</f>
        <v>1105</v>
      </c>
      <c r="C12" s="185">
        <f>IF('Marks Entry'!D12="","",'Marks Entry'!D12)</f>
        <v>333</v>
      </c>
      <c r="D12" s="186">
        <f>IF('Marks Entry'!E12="","",'Marks Entry'!E12)</f>
        <v>39270</v>
      </c>
      <c r="E12" s="187" t="str">
        <f>IF('Marks Entry'!F12="","",'Marks Entry'!F12)</f>
        <v>E</v>
      </c>
      <c r="F12" s="187" t="str">
        <f>IF('Marks Entry'!G12="","",'Marks Entry'!G12)</f>
        <v>V</v>
      </c>
      <c r="G12" s="187" t="str">
        <f>IF('Marks Entry'!H12="","",'Marks Entry'!H12)</f>
        <v>Q</v>
      </c>
      <c r="H12" s="188" t="str">
        <f>IF('Marks Entry'!I12="","",'Marks Entry'!I12)</f>
        <v>SBC</v>
      </c>
      <c r="I12" s="189" t="str">
        <f>IF('Marks Entry'!J12="","",'Marks Entry'!J12)</f>
        <v>F</v>
      </c>
      <c r="J12" s="545">
        <f>IF('Marks Entry'!K12="","",'Marks Entry'!K12)</f>
        <v>7</v>
      </c>
      <c r="K12" s="545">
        <f>IF('Marks Entry'!L12="","",'Marks Entry'!L12)</f>
        <v>9</v>
      </c>
      <c r="L12" s="545">
        <f>IF('Marks Entry'!M12="","",'Marks Entry'!M12)</f>
        <v>8</v>
      </c>
      <c r="M12" s="546">
        <f t="shared" si="47"/>
        <v>24</v>
      </c>
      <c r="N12" s="545">
        <f>IF('Marks Entry'!N12="","",'Marks Entry'!N12)</f>
        <v>36</v>
      </c>
      <c r="O12" s="546">
        <f t="shared" si="48"/>
        <v>60</v>
      </c>
      <c r="P12" s="545">
        <f>IF('Marks Entry'!O12="","",'Marks Entry'!O12)</f>
        <v>63</v>
      </c>
      <c r="Q12" s="547">
        <f t="shared" si="49"/>
        <v>123</v>
      </c>
      <c r="R12" s="152">
        <f t="shared" si="50"/>
        <v>0</v>
      </c>
      <c r="S12" s="152">
        <f t="shared" si="51"/>
        <v>0</v>
      </c>
      <c r="T12" s="153">
        <f t="shared" si="52"/>
        <v>200</v>
      </c>
      <c r="U12" s="152" t="str">
        <f t="shared" si="53"/>
        <v/>
      </c>
      <c r="V12" s="152" t="str">
        <f t="shared" si="54"/>
        <v>P</v>
      </c>
      <c r="W12" s="152" t="str">
        <f t="shared" si="55"/>
        <v>I</v>
      </c>
      <c r="X12" s="545">
        <f>IF('Marks Entry'!P12="","",'Marks Entry'!P12)</f>
        <v>9</v>
      </c>
      <c r="Y12" s="545">
        <f>IF('Marks Entry'!Q12="","",'Marks Entry'!Q12)</f>
        <v>5</v>
      </c>
      <c r="Z12" s="545">
        <f>IF('Marks Entry'!R12="","",'Marks Entry'!R12)</f>
        <v>9</v>
      </c>
      <c r="AA12" s="546">
        <f t="shared" si="56"/>
        <v>23</v>
      </c>
      <c r="AB12" s="545">
        <f>IF('Marks Entry'!S12="","",'Marks Entry'!S12)</f>
        <v>47</v>
      </c>
      <c r="AC12" s="546">
        <f t="shared" si="57"/>
        <v>70</v>
      </c>
      <c r="AD12" s="545">
        <f>IF('Marks Entry'!T12="","",'Marks Entry'!T12)</f>
        <v>63</v>
      </c>
      <c r="AE12" s="547">
        <f t="shared" si="58"/>
        <v>133</v>
      </c>
      <c r="AF12" s="152">
        <f t="shared" si="59"/>
        <v>0</v>
      </c>
      <c r="AG12" s="152">
        <f t="shared" si="60"/>
        <v>0</v>
      </c>
      <c r="AH12" s="153">
        <f t="shared" si="61"/>
        <v>200</v>
      </c>
      <c r="AI12" s="152" t="str">
        <f t="shared" si="62"/>
        <v/>
      </c>
      <c r="AJ12" s="152" t="str">
        <f t="shared" si="63"/>
        <v>P</v>
      </c>
      <c r="AK12" s="152" t="str">
        <f t="shared" si="64"/>
        <v>I</v>
      </c>
      <c r="AL12" s="573" t="str">
        <f>IF('Marks Entry'!U12="","",'Marks Entry'!U12)</f>
        <v>B</v>
      </c>
      <c r="AM12" s="573">
        <f>IF('Marks Entry'!V12="","",'Marks Entry'!V12)</f>
        <v>7</v>
      </c>
      <c r="AN12" s="573">
        <f>IF('Marks Entry'!W12="","",'Marks Entry'!W12)</f>
        <v>9</v>
      </c>
      <c r="AO12" s="573">
        <f>IF('Marks Entry'!X12="","",'Marks Entry'!X12)</f>
        <v>7</v>
      </c>
      <c r="AP12" s="572">
        <f t="shared" si="65"/>
        <v>23</v>
      </c>
      <c r="AQ12" s="573">
        <f>IF('Marks Entry'!Y12="","",'Marks Entry'!Y12)</f>
        <v>22</v>
      </c>
      <c r="AR12" s="573">
        <f>IF('Marks Entry'!Z12="","",'Marks Entry'!Z12)</f>
        <v>9</v>
      </c>
      <c r="AS12" s="572">
        <f t="shared" si="66"/>
        <v>31</v>
      </c>
      <c r="AT12" s="572">
        <f t="shared" si="67"/>
        <v>54</v>
      </c>
      <c r="AU12" s="573">
        <f>IF('Marks Entry'!AA12="","",'Marks Entry'!AA12)</f>
        <v>56</v>
      </c>
      <c r="AV12" s="573">
        <f>IF('Marks Entry'!AB12="","",'Marks Entry'!AB12)</f>
        <v>18</v>
      </c>
      <c r="AW12" s="572">
        <f t="shared" si="68"/>
        <v>74</v>
      </c>
      <c r="AX12" s="156">
        <f t="shared" si="69"/>
        <v>101</v>
      </c>
      <c r="AY12" s="156">
        <f t="shared" si="70"/>
        <v>27</v>
      </c>
      <c r="AZ12" s="191">
        <f t="shared" si="71"/>
        <v>128</v>
      </c>
      <c r="BA12" s="152">
        <f t="shared" si="72"/>
        <v>0</v>
      </c>
      <c r="BB12" s="153">
        <f t="shared" si="73"/>
        <v>0</v>
      </c>
      <c r="BC12" s="153">
        <f t="shared" si="74"/>
        <v>70</v>
      </c>
      <c r="BD12" s="153">
        <f t="shared" si="75"/>
        <v>50</v>
      </c>
      <c r="BE12" s="153">
        <f t="shared" si="76"/>
        <v>150</v>
      </c>
      <c r="BF12" s="152" t="str">
        <f t="shared" si="77"/>
        <v/>
      </c>
      <c r="BG12" s="153" t="str">
        <f t="shared" si="175"/>
        <v>P</v>
      </c>
      <c r="BH12" s="152" t="str">
        <f t="shared" si="78"/>
        <v>I</v>
      </c>
      <c r="BI12" s="580" t="str">
        <f>IF('Marks Entry'!AC12="","",'Marks Entry'!AC12)</f>
        <v>B</v>
      </c>
      <c r="BJ12" s="580">
        <f>IF('Marks Entry'!AD12="","",'Marks Entry'!AD12)</f>
        <v>7</v>
      </c>
      <c r="BK12" s="580">
        <f>IF('Marks Entry'!AE12="","",'Marks Entry'!AE12)</f>
        <v>9</v>
      </c>
      <c r="BL12" s="580">
        <f>IF('Marks Entry'!AF12="","",'Marks Entry'!AF12)</f>
        <v>4</v>
      </c>
      <c r="BM12" s="581">
        <f t="shared" si="79"/>
        <v>20</v>
      </c>
      <c r="BN12" s="580">
        <f>IF('Marks Entry'!AG12="","",'Marks Entry'!AG12)</f>
        <v>30</v>
      </c>
      <c r="BO12" s="580">
        <f>IF('Marks Entry'!AH12="","",'Marks Entry'!AH12)</f>
        <v>12</v>
      </c>
      <c r="BP12" s="581">
        <f t="shared" si="80"/>
        <v>42</v>
      </c>
      <c r="BQ12" s="581">
        <f t="shared" si="81"/>
        <v>62</v>
      </c>
      <c r="BR12" s="580">
        <f>IF('Marks Entry'!AI12="","",'Marks Entry'!AI12)</f>
        <v>58</v>
      </c>
      <c r="BS12" s="580">
        <f>IF('Marks Entry'!AJ12="","",'Marks Entry'!AJ12)</f>
        <v>16</v>
      </c>
      <c r="BT12" s="581">
        <f t="shared" si="82"/>
        <v>74</v>
      </c>
      <c r="BU12" s="156">
        <f t="shared" si="83"/>
        <v>108</v>
      </c>
      <c r="BV12" s="156">
        <f t="shared" si="84"/>
        <v>28</v>
      </c>
      <c r="BW12" s="191">
        <f t="shared" si="85"/>
        <v>136</v>
      </c>
      <c r="BX12" s="152">
        <f t="shared" si="86"/>
        <v>0</v>
      </c>
      <c r="BY12" s="153">
        <f t="shared" si="87"/>
        <v>0</v>
      </c>
      <c r="BZ12" s="153">
        <f t="shared" si="88"/>
        <v>70</v>
      </c>
      <c r="CA12" s="153">
        <f t="shared" si="89"/>
        <v>50</v>
      </c>
      <c r="CB12" s="153">
        <f t="shared" si="90"/>
        <v>150</v>
      </c>
      <c r="CC12" s="152" t="str">
        <f t="shared" si="91"/>
        <v/>
      </c>
      <c r="CD12" s="153" t="str">
        <f t="shared" si="92"/>
        <v>P</v>
      </c>
      <c r="CE12" s="152" t="str">
        <f t="shared" si="93"/>
        <v>I</v>
      </c>
      <c r="CF12" s="580" t="str">
        <f>IF('Marks Entry'!AK12="","",'Marks Entry'!AK12)</f>
        <v>A</v>
      </c>
      <c r="CG12" s="580">
        <f>IF('Marks Entry'!AL12="","",'Marks Entry'!AL12)</f>
        <v>8</v>
      </c>
      <c r="CH12" s="580">
        <f>IF('Marks Entry'!AM12="","",'Marks Entry'!AM12)</f>
        <v>8</v>
      </c>
      <c r="CI12" s="580">
        <f>IF('Marks Entry'!AN12="","",'Marks Entry'!AN12)</f>
        <v>8</v>
      </c>
      <c r="CJ12" s="581">
        <f t="shared" si="94"/>
        <v>24</v>
      </c>
      <c r="CK12" s="580">
        <f>IF('Marks Entry'!AO12="","",'Marks Entry'!AO12)</f>
        <v>44</v>
      </c>
      <c r="CL12" s="580">
        <f>IF('Marks Entry'!AP12="","",'Marks Entry'!AP12)</f>
        <v>16</v>
      </c>
      <c r="CM12" s="581">
        <f t="shared" si="95"/>
        <v>60</v>
      </c>
      <c r="CN12" s="581">
        <f t="shared" si="96"/>
        <v>84</v>
      </c>
      <c r="CO12" s="580">
        <f>IF('Marks Entry'!AQ12="","",'Marks Entry'!AQ12)</f>
        <v>60</v>
      </c>
      <c r="CP12" s="580">
        <f>IF('Marks Entry'!AR12="","",'Marks Entry'!AR12)</f>
        <v>22</v>
      </c>
      <c r="CQ12" s="581">
        <f t="shared" si="97"/>
        <v>82</v>
      </c>
      <c r="CR12" s="156">
        <f t="shared" si="98"/>
        <v>128</v>
      </c>
      <c r="CS12" s="156">
        <f t="shared" si="99"/>
        <v>38</v>
      </c>
      <c r="CT12" s="191">
        <f t="shared" si="100"/>
        <v>166</v>
      </c>
      <c r="CU12" s="152">
        <f t="shared" si="101"/>
        <v>0</v>
      </c>
      <c r="CV12" s="153">
        <f t="shared" si="102"/>
        <v>0</v>
      </c>
      <c r="CW12" s="153">
        <f t="shared" si="103"/>
        <v>70</v>
      </c>
      <c r="CX12" s="153">
        <f t="shared" si="104"/>
        <v>50</v>
      </c>
      <c r="CY12" s="153">
        <f t="shared" si="176"/>
        <v>150</v>
      </c>
      <c r="CZ12" s="152" t="str">
        <f t="shared" si="105"/>
        <v/>
      </c>
      <c r="DA12" s="153" t="str">
        <f t="shared" si="106"/>
        <v>P</v>
      </c>
      <c r="DB12" s="152" t="str">
        <f t="shared" si="107"/>
        <v>D</v>
      </c>
      <c r="DC12" s="153">
        <f t="shared" si="108"/>
        <v>0</v>
      </c>
      <c r="DD12" s="851" t="str">
        <f>IF('Marks Entry'!AS12="","",IF(OR('Master Sheet'!$D$19="YES",'Marks Entry'!$BA$1=1),'Marks Entry'!AS12,""))</f>
        <v>B</v>
      </c>
      <c r="DE12" s="851" t="str">
        <f>IF('Marks Entry'!AT12="","",IF(OR('Master Sheet'!$D$19="YES",'Marks Entry'!$BA$1=1),'Marks Entry'!AT12,""))</f>
        <v/>
      </c>
      <c r="DF12" s="851" t="str">
        <f>IF('Marks Entry'!AU12="","",IF(OR('Master Sheet'!$D$19="YES",'Marks Entry'!$BA$1=1),'Marks Entry'!AU12,""))</f>
        <v/>
      </c>
      <c r="DG12" s="851" t="str">
        <f>IF('Marks Entry'!AV12="","",IF(OR('Master Sheet'!$D$19="YES",'Marks Entry'!$BA$1=1),'Marks Entry'!AV12,""))</f>
        <v/>
      </c>
      <c r="DH12" s="852" t="str">
        <f t="shared" si="109"/>
        <v/>
      </c>
      <c r="DI12" s="851" t="str">
        <f>IF('Marks Entry'!AW12="","",IF(OR('Master Sheet'!$D$19="YES",'Marks Entry'!$BA$1=1),'Marks Entry'!AW12,""))</f>
        <v/>
      </c>
      <c r="DJ12" s="851" t="str">
        <f>IF('Marks Entry'!AX12="","",IF(OR('Master Sheet'!$D$19="YES",'Marks Entry'!$BA$1=1),'Marks Entry'!AX12,""))</f>
        <v/>
      </c>
      <c r="DK12" s="852" t="str">
        <f t="shared" si="110"/>
        <v/>
      </c>
      <c r="DL12" s="852" t="str">
        <f t="shared" si="111"/>
        <v/>
      </c>
      <c r="DM12" s="851">
        <f>IF('Marks Entry'!AY12="","",IF(OR('Master Sheet'!$D$19="YES",'Marks Entry'!$BA$1=1),'Marks Entry'!AY12,""))</f>
        <v>27</v>
      </c>
      <c r="DN12" s="851">
        <f>IF('Marks Entry'!AZ12="","",IF(OR('Master Sheet'!$D$19="YES",'Marks Entry'!$BA$1=1),'Marks Entry'!AZ12,""))</f>
        <v>18</v>
      </c>
      <c r="DO12" s="851">
        <f>IF('Marks Entry'!BA12="","",IF(OR('Master Sheet'!$D$19="YES",'Marks Entry'!$BA$1=1),'Marks Entry'!BA12,""))</f>
        <v>46</v>
      </c>
      <c r="DP12" s="852">
        <f t="shared" si="112"/>
        <v>91</v>
      </c>
      <c r="DQ12" s="156">
        <f t="shared" si="113"/>
        <v>27</v>
      </c>
      <c r="DR12" s="156">
        <f t="shared" si="114"/>
        <v>18</v>
      </c>
      <c r="DS12" s="156">
        <f t="shared" si="115"/>
        <v>46</v>
      </c>
      <c r="DT12" s="191">
        <f t="shared" si="116"/>
        <v>91</v>
      </c>
      <c r="DU12" s="152">
        <f t="shared" si="117"/>
        <v>0</v>
      </c>
      <c r="DV12" s="153">
        <f t="shared" si="118"/>
        <v>0</v>
      </c>
      <c r="DW12" s="153">
        <f t="shared" si="119"/>
        <v>50</v>
      </c>
      <c r="DX12" s="153">
        <f>IF(OR($B12="NSO",$B12=0,DS12=""),"",IF(AND(DJ12="",DO12=""),"",IF('Master Sheet'!$D$19="YES",$DO$6-COUNTIF(DO12,"ML")*DO$6,DS$6-(COUNTIF(DJ12,"ML")*DJ$6)-(COUNTIF(DO12,"ML")*DO$6))))</f>
        <v>70</v>
      </c>
      <c r="DY12" s="153">
        <f>IF(OR($B12="NSO",$B12=0),"",IF(AND(DH12="",DI12="",DM12=""),"",IF(AND('Master Sheet'!$D$19="YES",'Marks Entry'!$BA$1=1),100,IF(AND(DJ12="",DO12=""),SUM(($DQ$7+$DR$7)-(DU12+DV12)),SUM(($DQ$6+$DR$6)-(DU12+DV12))))))</f>
        <v>130</v>
      </c>
      <c r="DZ12" s="152" t="str">
        <f t="shared" si="120"/>
        <v/>
      </c>
      <c r="EA12" s="153" t="str">
        <f t="shared" si="121"/>
        <v>P</v>
      </c>
      <c r="EB12" s="152" t="str">
        <f t="shared" si="122"/>
        <v>III</v>
      </c>
      <c r="EC12" s="584">
        <f>IF('Marks Entry'!BB12="","",'Marks Entry'!BB12)</f>
        <v>26</v>
      </c>
      <c r="ED12" s="584">
        <f>IF('Marks Entry'!BC12="","",'Marks Entry'!BC12)</f>
        <v>27</v>
      </c>
      <c r="EE12" s="584">
        <f>IF('Marks Entry'!BD12="","",'Marks Entry'!BD12)</f>
        <v>30</v>
      </c>
      <c r="EF12" s="590">
        <f t="shared" si="123"/>
        <v>83</v>
      </c>
      <c r="EG12" s="595">
        <f t="shared" si="124"/>
        <v>0</v>
      </c>
      <c r="EH12" s="595">
        <f t="shared" si="125"/>
        <v>0</v>
      </c>
      <c r="EI12" s="192">
        <f t="shared" si="126"/>
        <v>100</v>
      </c>
      <c r="EJ12" s="595" t="str">
        <f t="shared" si="127"/>
        <v/>
      </c>
      <c r="EK12" s="595" t="str">
        <f t="shared" si="128"/>
        <v>A</v>
      </c>
      <c r="EL12" s="193" t="str">
        <f t="shared" si="129"/>
        <v>I</v>
      </c>
      <c r="EM12" s="193" t="str">
        <f t="shared" si="130"/>
        <v>I</v>
      </c>
      <c r="EN12" s="193" t="str">
        <f t="shared" si="131"/>
        <v>I</v>
      </c>
      <c r="EO12" s="193" t="str">
        <f t="shared" si="132"/>
        <v>I</v>
      </c>
      <c r="EP12" s="193" t="str">
        <f t="shared" si="133"/>
        <v>D</v>
      </c>
      <c r="EQ12" s="193" t="str">
        <f t="shared" si="134"/>
        <v>III</v>
      </c>
      <c r="ER12" s="194">
        <f t="shared" si="135"/>
        <v>0</v>
      </c>
      <c r="ES12" s="194">
        <f t="shared" si="136"/>
        <v>0</v>
      </c>
      <c r="ET12" s="194">
        <f t="shared" si="137"/>
        <v>0</v>
      </c>
      <c r="EU12" s="194">
        <f t="shared" si="138"/>
        <v>0</v>
      </c>
      <c r="EV12" s="194">
        <f t="shared" si="139"/>
        <v>0</v>
      </c>
      <c r="EW12" s="194" t="str">
        <f t="shared" si="140"/>
        <v/>
      </c>
      <c r="EX12" s="195" t="str">
        <f t="shared" si="141"/>
        <v>PASS</v>
      </c>
      <c r="EY12" s="196">
        <f>IF('Marks Entry'!BE12="","",'Marks Entry'!BE12)</f>
        <v>8</v>
      </c>
      <c r="EZ12" s="196">
        <f>IF('Marks Entry'!BF12="","",'Marks Entry'!BF12)</f>
        <v>8</v>
      </c>
      <c r="FA12" s="196">
        <f>IF('Marks Entry'!BG12="","",'Marks Entry'!BG12)</f>
        <v>8</v>
      </c>
      <c r="FB12" s="596">
        <f t="shared" si="142"/>
        <v>24</v>
      </c>
      <c r="FC12" s="196">
        <f>IF('Marks Entry'!BH12="","",'Marks Entry'!BH12)</f>
        <v>50</v>
      </c>
      <c r="FD12" s="196">
        <f>IF('Marks Entry'!BI12="","",'Marks Entry'!BI12)</f>
        <v>80</v>
      </c>
      <c r="FE12" s="197">
        <f t="shared" si="143"/>
        <v>154</v>
      </c>
      <c r="FF12" s="198" t="str">
        <f t="shared" si="144"/>
        <v>B</v>
      </c>
      <c r="FG12" s="199">
        <f>IF(AND(E12=""),"",IF('Student DATA Entry'!L8="","",'Student DATA Entry'!L8))</f>
        <v>320</v>
      </c>
      <c r="FH12" s="200">
        <f>IF(AND(E12=""),"",IF('Student DATA Entry'!M8="","",'Student DATA Entry'!M8))</f>
        <v>318</v>
      </c>
      <c r="FI12" s="201">
        <f t="shared" si="145"/>
        <v>99.375</v>
      </c>
      <c r="FJ12" s="188" t="str">
        <f t="shared" si="146"/>
        <v>I</v>
      </c>
      <c r="FK12" s="188" t="str">
        <f t="shared" si="147"/>
        <v/>
      </c>
      <c r="FL12" s="202" t="str">
        <f t="shared" si="19"/>
        <v/>
      </c>
      <c r="FM12" s="188" t="str">
        <f t="shared" si="148"/>
        <v>I</v>
      </c>
      <c r="FN12" s="203" t="str">
        <f t="shared" si="149"/>
        <v/>
      </c>
      <c r="FO12" s="202" t="str">
        <f t="shared" si="20"/>
        <v/>
      </c>
      <c r="FP12" s="204" t="str">
        <f t="shared" si="150"/>
        <v>I</v>
      </c>
      <c r="FQ12" s="188" t="str">
        <f t="shared" si="21"/>
        <v/>
      </c>
      <c r="FR12" s="188" t="str">
        <f t="shared" si="22"/>
        <v>I</v>
      </c>
      <c r="FS12" s="188" t="str">
        <f t="shared" si="23"/>
        <v/>
      </c>
      <c r="FT12" s="188" t="str">
        <f t="shared" si="24"/>
        <v/>
      </c>
      <c r="FU12" s="188" t="str">
        <f t="shared" si="151"/>
        <v/>
      </c>
      <c r="FV12" s="205" t="str">
        <f t="shared" si="25"/>
        <v/>
      </c>
      <c r="FW12" s="204" t="str">
        <f t="shared" si="152"/>
        <v>I</v>
      </c>
      <c r="FX12" s="188" t="str">
        <f t="shared" si="26"/>
        <v/>
      </c>
      <c r="FY12" s="188" t="str">
        <f t="shared" si="27"/>
        <v>I</v>
      </c>
      <c r="FZ12" s="188" t="str">
        <f t="shared" si="28"/>
        <v/>
      </c>
      <c r="GA12" s="188" t="str">
        <f t="shared" si="29"/>
        <v/>
      </c>
      <c r="GB12" s="188" t="str">
        <f t="shared" si="153"/>
        <v/>
      </c>
      <c r="GC12" s="205" t="str">
        <f t="shared" si="30"/>
        <v/>
      </c>
      <c r="GD12" s="204" t="str">
        <f t="shared" si="154"/>
        <v>D</v>
      </c>
      <c r="GE12" s="188" t="str">
        <f t="shared" si="31"/>
        <v>D</v>
      </c>
      <c r="GF12" s="188" t="str">
        <f t="shared" si="32"/>
        <v/>
      </c>
      <c r="GG12" s="188" t="str">
        <f t="shared" si="33"/>
        <v/>
      </c>
      <c r="GH12" s="188" t="str">
        <f t="shared" si="34"/>
        <v/>
      </c>
      <c r="GI12" s="188" t="str">
        <f t="shared" si="155"/>
        <v/>
      </c>
      <c r="GJ12" s="205" t="str">
        <f t="shared" si="35"/>
        <v/>
      </c>
      <c r="GK12" s="204" t="str">
        <f t="shared" si="156"/>
        <v>III</v>
      </c>
      <c r="GL12" s="188" t="str">
        <f t="shared" si="36"/>
        <v/>
      </c>
      <c r="GM12" s="188" t="str">
        <f t="shared" si="37"/>
        <v>III</v>
      </c>
      <c r="GN12" s="188" t="str">
        <f t="shared" si="38"/>
        <v/>
      </c>
      <c r="GO12" s="188" t="str">
        <f t="shared" si="39"/>
        <v/>
      </c>
      <c r="GP12" s="188" t="str">
        <f t="shared" si="157"/>
        <v/>
      </c>
      <c r="GQ12" s="205" t="str">
        <f t="shared" si="40"/>
        <v/>
      </c>
      <c r="GR12" s="188" t="str">
        <f t="shared" si="158"/>
        <v>A</v>
      </c>
      <c r="GS12" s="188" t="str">
        <f t="shared" si="159"/>
        <v>B</v>
      </c>
      <c r="GT12" s="206" t="str">
        <f t="shared" si="177"/>
        <v xml:space="preserve">    </v>
      </c>
      <c r="GU12" s="206" t="str">
        <f t="shared" si="160"/>
        <v xml:space="preserve">    </v>
      </c>
      <c r="GV12" s="206" t="str">
        <f t="shared" si="161"/>
        <v xml:space="preserve">    </v>
      </c>
      <c r="GW12" s="206" t="str">
        <f t="shared" si="162"/>
        <v xml:space="preserve">       </v>
      </c>
      <c r="GX12" s="598" t="str">
        <f t="shared" si="163"/>
        <v xml:space="preserve">    GEOGRAPHY </v>
      </c>
      <c r="GY12" s="207" t="str">
        <f t="shared" si="164"/>
        <v>PASS</v>
      </c>
      <c r="GZ12" s="606">
        <f>IF(AND(Q12="",AE12="",AZ12="",BW12="",CT12=""),"",IF(AND('Master Sheet'!$D$19="YES",'Marks Entry'!$BA$1=1),SUM(Q12,AE12,AZ12,BW12,DT12),SUM(Q12,AE12,AZ12,BW12,CT12)))</f>
        <v>686</v>
      </c>
      <c r="HA12" s="208">
        <f>IF(GZ12="","",IF(AND('Master Sheet'!$D$19="YES",'Marks Entry'!$BA$1=1),GZ12/((900)-DC12)*100,GZ12/((1000)-DC12)*100))</f>
        <v>68.600000000000009</v>
      </c>
      <c r="HB12" s="611" t="str">
        <f t="shared" si="165"/>
        <v>I</v>
      </c>
      <c r="HC12" s="609">
        <f t="shared" si="166"/>
        <v>68.600000000000009</v>
      </c>
      <c r="HD12" s="610">
        <f t="shared" si="167"/>
        <v>1.9999999999999905</v>
      </c>
      <c r="HE12" s="209" t="str">
        <f>IFERROR(IF(OR(GY12="SUPPLEMENTARY",GY12="RE-EXAM"),'Supp. Result Entry'!AS11,""),"")</f>
        <v/>
      </c>
      <c r="HF12" s="613" t="str">
        <f t="shared" si="168"/>
        <v/>
      </c>
      <c r="HG12" s="598" t="str">
        <f t="shared" si="169"/>
        <v/>
      </c>
      <c r="HH12" s="598" t="str">
        <f>IF(AND(HE12="",HF12="",HG12=""),"",IF(OR(GY12="SUPPLEMENTARY",GY12="RE-EXAM"),'Supp. Result Entry'!AS11,GY12))</f>
        <v/>
      </c>
      <c r="HI12" s="179"/>
      <c r="HY12" s="211" t="str">
        <f>IF('Supp. Result Entry'!U11="","",'Supp. Result Entry'!$U$6)</f>
        <v/>
      </c>
      <c r="HZ12" s="212" t="str">
        <f>IF('Supp. Result Entry'!X11="","",'Supp. Result Entry'!$X$6)</f>
        <v/>
      </c>
      <c r="IA12" s="212" t="str">
        <f>IF('Supp. Result Entry'!AA11="","",'Supp. Result Entry'!$AA$6)</f>
        <v/>
      </c>
      <c r="IB12" s="212" t="str">
        <f>IF('Supp. Result Entry'!AD11="","",'Supp. Result Entry'!$AD$6)</f>
        <v/>
      </c>
      <c r="IC12" s="212" t="str">
        <f>IF('Supp. Result Entry'!AG11="","",'Supp. Result Entry'!$AG$6)</f>
        <v/>
      </c>
      <c r="ID12" s="212" t="str">
        <f>IF('Supp. Result Entry'!AJ11="","",'Supp. Result Entry'!$AJ$6)</f>
        <v/>
      </c>
      <c r="IE12" s="212" t="str">
        <f>IF('Supp. Result Entry'!V11="","",'Supp. Result Entry'!V11)</f>
        <v/>
      </c>
      <c r="IF12" s="212" t="str">
        <f>IF('Supp. Result Entry'!Y11="","",'Supp. Result Entry'!Y11)</f>
        <v/>
      </c>
      <c r="IG12" s="212" t="str">
        <f>IF('Supp. Result Entry'!AB11="","",'Supp. Result Entry'!AB11)</f>
        <v/>
      </c>
      <c r="IH12" s="212" t="str">
        <f>IF('Supp. Result Entry'!AE11="","",'Supp. Result Entry'!AE11)</f>
        <v/>
      </c>
      <c r="II12" s="212" t="str">
        <f>IF('Supp. Result Entry'!AH11="","",'Supp. Result Entry'!AH11)</f>
        <v/>
      </c>
      <c r="IJ12" s="212" t="str">
        <f>IF('Supp. Result Entry'!AK11="","",'Supp. Result Entry'!AK11)</f>
        <v/>
      </c>
      <c r="IK12" s="212" t="str">
        <f>IF('Supp. Result Entry'!W11="","",'Supp. Result Entry'!W11)</f>
        <v/>
      </c>
      <c r="IL12" s="212" t="str">
        <f>IF('Supp. Result Entry'!Z11="","",'Supp. Result Entry'!Z11)</f>
        <v/>
      </c>
      <c r="IM12" s="212" t="str">
        <f>IF('Supp. Result Entry'!AC11="","",'Supp. Result Entry'!AC11)</f>
        <v/>
      </c>
      <c r="IN12" s="212" t="str">
        <f>IF('Supp. Result Entry'!AF11="","",'Supp. Result Entry'!AF11)</f>
        <v/>
      </c>
      <c r="IO12" s="212" t="str">
        <f>IF('Supp. Result Entry'!AI11="","",'Supp. Result Entry'!AI11)</f>
        <v/>
      </c>
      <c r="IP12" s="212" t="str">
        <f>IF('Supp. Result Entry'!AL11="","",'Supp. Result Entry'!AL11)</f>
        <v/>
      </c>
      <c r="IQ12" s="212">
        <f>COUNTIF('Supp. Result Entry'!K11:Q11,"S")</f>
        <v>0</v>
      </c>
      <c r="IR12" s="212">
        <f t="shared" si="170"/>
        <v>0</v>
      </c>
      <c r="IS12" s="212">
        <f t="shared" si="171"/>
        <v>0</v>
      </c>
      <c r="IT12" s="212" t="str">
        <f t="shared" si="41"/>
        <v/>
      </c>
      <c r="IU12" s="212" t="str">
        <f t="shared" si="42"/>
        <v/>
      </c>
      <c r="IV12" s="212" t="str">
        <f t="shared" si="43"/>
        <v/>
      </c>
      <c r="IW12" s="212" t="str">
        <f t="shared" si="44"/>
        <v/>
      </c>
      <c r="IX12" s="212" t="str">
        <f t="shared" si="45"/>
        <v/>
      </c>
      <c r="IY12" s="212" t="str">
        <f t="shared" si="172"/>
        <v/>
      </c>
      <c r="IZ12" s="212" t="str">
        <f t="shared" si="173"/>
        <v/>
      </c>
      <c r="JA12" s="212" t="str">
        <f t="shared" si="46"/>
        <v/>
      </c>
      <c r="JB12" s="210" t="str">
        <f t="shared" si="174"/>
        <v/>
      </c>
    </row>
    <row r="13" spans="1:262" s="210" customFormat="1" ht="21" customHeight="1">
      <c r="A13" s="183">
        <v>6</v>
      </c>
      <c r="B13" s="184">
        <f>IF('Marks Entry'!B13="","",'Marks Entry'!B13)</f>
        <v>1106</v>
      </c>
      <c r="C13" s="185">
        <f>IF('Marks Entry'!D13="","",'Marks Entry'!D13)</f>
        <v>666</v>
      </c>
      <c r="D13" s="186">
        <f>IF('Marks Entry'!E13="","",'Marks Entry'!E13)</f>
        <v>39668</v>
      </c>
      <c r="E13" s="187" t="str">
        <f>IF('Marks Entry'!F13="","",'Marks Entry'!F13)</f>
        <v>F</v>
      </c>
      <c r="F13" s="187" t="str">
        <f>IF('Marks Entry'!G13="","",'Marks Entry'!G13)</f>
        <v>U</v>
      </c>
      <c r="G13" s="187" t="str">
        <f>IF('Marks Entry'!H13="","",'Marks Entry'!H13)</f>
        <v>R</v>
      </c>
      <c r="H13" s="188" t="str">
        <f>IF('Marks Entry'!I13="","",'Marks Entry'!I13)</f>
        <v>OBC</v>
      </c>
      <c r="I13" s="189" t="str">
        <f>IF('Marks Entry'!J13="","",'Marks Entry'!J13)</f>
        <v>M</v>
      </c>
      <c r="J13" s="545">
        <f>IF('Marks Entry'!K13="","",'Marks Entry'!K13)</f>
        <v>10</v>
      </c>
      <c r="K13" s="545">
        <f>IF('Marks Entry'!L13="","",'Marks Entry'!L13)</f>
        <v>9</v>
      </c>
      <c r="L13" s="545">
        <f>IF('Marks Entry'!M13="","",'Marks Entry'!M13)</f>
        <v>8</v>
      </c>
      <c r="M13" s="546">
        <f t="shared" si="47"/>
        <v>27</v>
      </c>
      <c r="N13" s="545">
        <f>IF('Marks Entry'!N13="","",'Marks Entry'!N13)</f>
        <v>42</v>
      </c>
      <c r="O13" s="546">
        <f t="shared" si="48"/>
        <v>69</v>
      </c>
      <c r="P13" s="545">
        <f>IF('Marks Entry'!O13="","",'Marks Entry'!O13)</f>
        <v>45</v>
      </c>
      <c r="Q13" s="547">
        <f t="shared" si="49"/>
        <v>114</v>
      </c>
      <c r="R13" s="152">
        <f t="shared" si="50"/>
        <v>0</v>
      </c>
      <c r="S13" s="152">
        <f t="shared" si="51"/>
        <v>0</v>
      </c>
      <c r="T13" s="153">
        <f t="shared" si="52"/>
        <v>200</v>
      </c>
      <c r="U13" s="152" t="str">
        <f t="shared" si="53"/>
        <v/>
      </c>
      <c r="V13" s="152" t="str">
        <f t="shared" si="54"/>
        <v>P</v>
      </c>
      <c r="W13" s="152" t="str">
        <f t="shared" si="55"/>
        <v>II</v>
      </c>
      <c r="X13" s="545">
        <f>IF('Marks Entry'!P13="","",'Marks Entry'!P13)</f>
        <v>10</v>
      </c>
      <c r="Y13" s="545">
        <f>IF('Marks Entry'!Q13="","",'Marks Entry'!Q13)</f>
        <v>9</v>
      </c>
      <c r="Z13" s="545">
        <f>IF('Marks Entry'!R13="","",'Marks Entry'!R13)</f>
        <v>9</v>
      </c>
      <c r="AA13" s="546">
        <f t="shared" si="56"/>
        <v>28</v>
      </c>
      <c r="AB13" s="545">
        <f>IF('Marks Entry'!S13="","",'Marks Entry'!S13)</f>
        <v>46</v>
      </c>
      <c r="AC13" s="546">
        <f t="shared" si="57"/>
        <v>74</v>
      </c>
      <c r="AD13" s="545">
        <f>IF('Marks Entry'!T13="","",'Marks Entry'!T13)</f>
        <v>65</v>
      </c>
      <c r="AE13" s="547">
        <f t="shared" si="58"/>
        <v>139</v>
      </c>
      <c r="AF13" s="152">
        <f t="shared" si="59"/>
        <v>0</v>
      </c>
      <c r="AG13" s="152">
        <f t="shared" si="60"/>
        <v>0</v>
      </c>
      <c r="AH13" s="153">
        <f t="shared" si="61"/>
        <v>200</v>
      </c>
      <c r="AI13" s="152" t="str">
        <f t="shared" si="62"/>
        <v/>
      </c>
      <c r="AJ13" s="152" t="str">
        <f t="shared" si="63"/>
        <v>P</v>
      </c>
      <c r="AK13" s="152" t="str">
        <f t="shared" si="64"/>
        <v>I</v>
      </c>
      <c r="AL13" s="573" t="str">
        <f>IF('Marks Entry'!U13="","",'Marks Entry'!U13)</f>
        <v>A</v>
      </c>
      <c r="AM13" s="573">
        <f>IF('Marks Entry'!V13="","",'Marks Entry'!V13)</f>
        <v>10</v>
      </c>
      <c r="AN13" s="573">
        <f>IF('Marks Entry'!W13="","",'Marks Entry'!W13)</f>
        <v>10</v>
      </c>
      <c r="AO13" s="573">
        <f>IF('Marks Entry'!X13="","",'Marks Entry'!X13)</f>
        <v>7</v>
      </c>
      <c r="AP13" s="572">
        <f t="shared" si="65"/>
        <v>27</v>
      </c>
      <c r="AQ13" s="573">
        <f>IF('Marks Entry'!Y13="","",'Marks Entry'!Y13)</f>
        <v>20</v>
      </c>
      <c r="AR13" s="573" t="str">
        <f>IF('Marks Entry'!Z13="","",'Marks Entry'!Z13)</f>
        <v/>
      </c>
      <c r="AS13" s="572">
        <f t="shared" si="66"/>
        <v>20</v>
      </c>
      <c r="AT13" s="572">
        <f t="shared" si="67"/>
        <v>47</v>
      </c>
      <c r="AU13" s="573">
        <f>IF('Marks Entry'!AA13="","",'Marks Entry'!AA13)</f>
        <v>25</v>
      </c>
      <c r="AV13" s="573" t="str">
        <f>IF('Marks Entry'!AB13="","",'Marks Entry'!AB13)</f>
        <v/>
      </c>
      <c r="AW13" s="572">
        <f t="shared" si="68"/>
        <v>25</v>
      </c>
      <c r="AX13" s="156">
        <f t="shared" si="69"/>
        <v>72</v>
      </c>
      <c r="AY13" s="156" t="str">
        <f t="shared" si="70"/>
        <v/>
      </c>
      <c r="AZ13" s="191">
        <f t="shared" si="71"/>
        <v>72</v>
      </c>
      <c r="BA13" s="152">
        <f t="shared" si="72"/>
        <v>0</v>
      </c>
      <c r="BB13" s="153">
        <f t="shared" si="73"/>
        <v>0</v>
      </c>
      <c r="BC13" s="153">
        <f t="shared" si="74"/>
        <v>100</v>
      </c>
      <c r="BD13" s="153" t="str">
        <f t="shared" si="75"/>
        <v/>
      </c>
      <c r="BE13" s="153">
        <f t="shared" si="76"/>
        <v>200</v>
      </c>
      <c r="BF13" s="152" t="str">
        <f t="shared" si="77"/>
        <v/>
      </c>
      <c r="BG13" s="153" t="str">
        <f t="shared" si="175"/>
        <v>P</v>
      </c>
      <c r="BH13" s="152" t="str">
        <f t="shared" si="78"/>
        <v>III</v>
      </c>
      <c r="BI13" s="580" t="str">
        <f>IF('Marks Entry'!AC13="","",'Marks Entry'!AC13)</f>
        <v>C</v>
      </c>
      <c r="BJ13" s="580">
        <f>IF('Marks Entry'!AD13="","",'Marks Entry'!AD13)</f>
        <v>10</v>
      </c>
      <c r="BK13" s="580">
        <f>IF('Marks Entry'!AE13="","",'Marks Entry'!AE13)</f>
        <v>10</v>
      </c>
      <c r="BL13" s="580">
        <f>IF('Marks Entry'!AF13="","",'Marks Entry'!AF13)</f>
        <v>5</v>
      </c>
      <c r="BM13" s="581">
        <f t="shared" si="79"/>
        <v>25</v>
      </c>
      <c r="BN13" s="580">
        <f>IF('Marks Entry'!AG13="","",'Marks Entry'!AG13)</f>
        <v>41</v>
      </c>
      <c r="BO13" s="580" t="str">
        <f>IF('Marks Entry'!AH13="","",'Marks Entry'!AH13)</f>
        <v/>
      </c>
      <c r="BP13" s="581">
        <f t="shared" si="80"/>
        <v>41</v>
      </c>
      <c r="BQ13" s="581">
        <f t="shared" si="81"/>
        <v>66</v>
      </c>
      <c r="BR13" s="580">
        <f>IF('Marks Entry'!AI13="","",'Marks Entry'!AI13)</f>
        <v>60</v>
      </c>
      <c r="BS13" s="580" t="str">
        <f>IF('Marks Entry'!AJ13="","",'Marks Entry'!AJ13)</f>
        <v/>
      </c>
      <c r="BT13" s="581">
        <f t="shared" si="82"/>
        <v>60</v>
      </c>
      <c r="BU13" s="156">
        <f t="shared" si="83"/>
        <v>126</v>
      </c>
      <c r="BV13" s="156" t="str">
        <f t="shared" si="84"/>
        <v/>
      </c>
      <c r="BW13" s="191">
        <f t="shared" si="85"/>
        <v>126</v>
      </c>
      <c r="BX13" s="152">
        <f t="shared" si="86"/>
        <v>0</v>
      </c>
      <c r="BY13" s="153">
        <f t="shared" si="87"/>
        <v>0</v>
      </c>
      <c r="BZ13" s="153">
        <f t="shared" si="88"/>
        <v>100</v>
      </c>
      <c r="CA13" s="153" t="str">
        <f t="shared" si="89"/>
        <v/>
      </c>
      <c r="CB13" s="153">
        <f t="shared" si="90"/>
        <v>200</v>
      </c>
      <c r="CC13" s="152" t="str">
        <f t="shared" si="91"/>
        <v/>
      </c>
      <c r="CD13" s="153" t="str">
        <f t="shared" si="92"/>
        <v>P</v>
      </c>
      <c r="CE13" s="152" t="str">
        <f t="shared" si="93"/>
        <v>I</v>
      </c>
      <c r="CF13" s="580" t="str">
        <f>IF('Marks Entry'!AK13="","",'Marks Entry'!AK13)</f>
        <v>A</v>
      </c>
      <c r="CG13" s="580">
        <f>IF('Marks Entry'!AL13="","",'Marks Entry'!AL13)</f>
        <v>5</v>
      </c>
      <c r="CH13" s="580">
        <f>IF('Marks Entry'!AM13="","",'Marks Entry'!AM13)</f>
        <v>5</v>
      </c>
      <c r="CI13" s="580">
        <f>IF('Marks Entry'!AN13="","",'Marks Entry'!AN13)</f>
        <v>5</v>
      </c>
      <c r="CJ13" s="581">
        <f t="shared" si="94"/>
        <v>15</v>
      </c>
      <c r="CK13" s="580">
        <f>IF('Marks Entry'!AO13="","",'Marks Entry'!AO13)</f>
        <v>25</v>
      </c>
      <c r="CL13" s="580">
        <f>IF('Marks Entry'!AP13="","",'Marks Entry'!AP13)</f>
        <v>15</v>
      </c>
      <c r="CM13" s="581">
        <f t="shared" si="95"/>
        <v>40</v>
      </c>
      <c r="CN13" s="581">
        <f t="shared" si="96"/>
        <v>55</v>
      </c>
      <c r="CO13" s="580">
        <f>IF('Marks Entry'!AQ13="","",'Marks Entry'!AQ13)</f>
        <v>35</v>
      </c>
      <c r="CP13" s="580">
        <f>IF('Marks Entry'!AR13="","",'Marks Entry'!AR13)</f>
        <v>20</v>
      </c>
      <c r="CQ13" s="581">
        <f t="shared" si="97"/>
        <v>55</v>
      </c>
      <c r="CR13" s="156">
        <f t="shared" si="98"/>
        <v>75</v>
      </c>
      <c r="CS13" s="156">
        <f t="shared" si="99"/>
        <v>35</v>
      </c>
      <c r="CT13" s="191">
        <f t="shared" si="100"/>
        <v>110</v>
      </c>
      <c r="CU13" s="152">
        <f t="shared" si="101"/>
        <v>0</v>
      </c>
      <c r="CV13" s="153">
        <f t="shared" si="102"/>
        <v>0</v>
      </c>
      <c r="CW13" s="153">
        <f t="shared" si="103"/>
        <v>70</v>
      </c>
      <c r="CX13" s="153">
        <f t="shared" si="104"/>
        <v>50</v>
      </c>
      <c r="CY13" s="153">
        <f t="shared" si="176"/>
        <v>150</v>
      </c>
      <c r="CZ13" s="152" t="str">
        <f t="shared" si="105"/>
        <v/>
      </c>
      <c r="DA13" s="153" t="str">
        <f t="shared" si="106"/>
        <v>P</v>
      </c>
      <c r="DB13" s="152" t="str">
        <f t="shared" si="107"/>
        <v>II</v>
      </c>
      <c r="DC13" s="153">
        <f t="shared" si="108"/>
        <v>0</v>
      </c>
      <c r="DD13" s="851" t="str">
        <f>IF('Marks Entry'!AS13="","",IF(OR('Master Sheet'!$D$19="YES",'Marks Entry'!$BA$1=1),'Marks Entry'!AS13,""))</f>
        <v>B</v>
      </c>
      <c r="DE13" s="851" t="str">
        <f>IF('Marks Entry'!AT13="","",IF(OR('Master Sheet'!$D$19="YES",'Marks Entry'!$BA$1=1),'Marks Entry'!AT13,""))</f>
        <v/>
      </c>
      <c r="DF13" s="851" t="str">
        <f>IF('Marks Entry'!AU13="","",IF(OR('Master Sheet'!$D$19="YES",'Marks Entry'!$BA$1=1),'Marks Entry'!AU13,""))</f>
        <v/>
      </c>
      <c r="DG13" s="851" t="str">
        <f>IF('Marks Entry'!AV13="","",IF(OR('Master Sheet'!$D$19="YES",'Marks Entry'!$BA$1=1),'Marks Entry'!AV13,""))</f>
        <v/>
      </c>
      <c r="DH13" s="852" t="str">
        <f t="shared" si="109"/>
        <v/>
      </c>
      <c r="DI13" s="851" t="str">
        <f>IF('Marks Entry'!AW13="","",IF(OR('Master Sheet'!$D$19="YES",'Marks Entry'!$BA$1=1),'Marks Entry'!AW13,""))</f>
        <v/>
      </c>
      <c r="DJ13" s="851" t="str">
        <f>IF('Marks Entry'!AX13="","",IF(OR('Master Sheet'!$D$19="YES",'Marks Entry'!$BA$1=1),'Marks Entry'!AX13,""))</f>
        <v/>
      </c>
      <c r="DK13" s="852" t="str">
        <f t="shared" si="110"/>
        <v/>
      </c>
      <c r="DL13" s="852" t="str">
        <f t="shared" si="111"/>
        <v/>
      </c>
      <c r="DM13" s="851">
        <f>IF('Marks Entry'!AY13="","",IF(OR('Master Sheet'!$D$19="YES",'Marks Entry'!$BA$1=1),'Marks Entry'!AY13,""))</f>
        <v>25</v>
      </c>
      <c r="DN13" s="851">
        <f>IF('Marks Entry'!AZ13="","",IF(OR('Master Sheet'!$D$19="YES",'Marks Entry'!$BA$1=1),'Marks Entry'!AZ13,""))</f>
        <v>15</v>
      </c>
      <c r="DO13" s="851">
        <f>IF('Marks Entry'!BA13="","",IF(OR('Master Sheet'!$D$19="YES",'Marks Entry'!$BA$1=1),'Marks Entry'!BA13,""))</f>
        <v>40</v>
      </c>
      <c r="DP13" s="852">
        <f t="shared" si="112"/>
        <v>80</v>
      </c>
      <c r="DQ13" s="156">
        <f t="shared" si="113"/>
        <v>25</v>
      </c>
      <c r="DR13" s="156">
        <f t="shared" si="114"/>
        <v>15</v>
      </c>
      <c r="DS13" s="156">
        <f t="shared" si="115"/>
        <v>40</v>
      </c>
      <c r="DT13" s="191">
        <f t="shared" si="116"/>
        <v>80</v>
      </c>
      <c r="DU13" s="152">
        <f t="shared" si="117"/>
        <v>0</v>
      </c>
      <c r="DV13" s="153">
        <f t="shared" si="118"/>
        <v>0</v>
      </c>
      <c r="DW13" s="153">
        <f t="shared" si="119"/>
        <v>50</v>
      </c>
      <c r="DX13" s="153">
        <f>IF(OR($B13="NSO",$B13=0,DS13=""),"",IF(AND(DJ13="",DO13=""),"",IF('Master Sheet'!$D$19="YES",$DO$6-COUNTIF(DO13,"ML")*DO$6,DS$6-(COUNTIF(DJ13,"ML")*DJ$6)-(COUNTIF(DO13,"ML")*DO$6))))</f>
        <v>70</v>
      </c>
      <c r="DY13" s="153">
        <f>IF(OR($B13="NSO",$B13=0),"",IF(AND(DH13="",DI13="",DM13=""),"",IF(AND('Master Sheet'!$D$19="YES",'Marks Entry'!$BA$1=1),100,IF(AND(DJ13="",DO13=""),SUM(($DQ$7+$DR$7)-(DU13+DV13)),SUM(($DQ$6+$DR$6)-(DU13+DV13))))))</f>
        <v>130</v>
      </c>
      <c r="DZ13" s="152" t="str">
        <f t="shared" si="120"/>
        <v/>
      </c>
      <c r="EA13" s="153" t="str">
        <f t="shared" si="121"/>
        <v>P</v>
      </c>
      <c r="EB13" s="152" t="str">
        <f t="shared" si="122"/>
        <v>III</v>
      </c>
      <c r="EC13" s="584">
        <f>IF('Marks Entry'!BB13="","",'Marks Entry'!BB13)</f>
        <v>26</v>
      </c>
      <c r="ED13" s="584">
        <f>IF('Marks Entry'!BC13="","",'Marks Entry'!BC13)</f>
        <v>27</v>
      </c>
      <c r="EE13" s="584">
        <f>IF('Marks Entry'!BD13="","",'Marks Entry'!BD13)</f>
        <v>32</v>
      </c>
      <c r="EF13" s="590">
        <f t="shared" si="123"/>
        <v>85</v>
      </c>
      <c r="EG13" s="595">
        <f t="shared" si="124"/>
        <v>0</v>
      </c>
      <c r="EH13" s="595">
        <f t="shared" si="125"/>
        <v>0</v>
      </c>
      <c r="EI13" s="192">
        <f t="shared" si="126"/>
        <v>100</v>
      </c>
      <c r="EJ13" s="595" t="str">
        <f t="shared" si="127"/>
        <v/>
      </c>
      <c r="EK13" s="595" t="str">
        <f t="shared" si="128"/>
        <v>A</v>
      </c>
      <c r="EL13" s="193" t="str">
        <f t="shared" si="129"/>
        <v>II</v>
      </c>
      <c r="EM13" s="193" t="str">
        <f t="shared" si="130"/>
        <v>I</v>
      </c>
      <c r="EN13" s="193" t="str">
        <f t="shared" si="131"/>
        <v>III</v>
      </c>
      <c r="EO13" s="193" t="str">
        <f t="shared" si="132"/>
        <v>I</v>
      </c>
      <c r="EP13" s="193" t="str">
        <f t="shared" si="133"/>
        <v>II</v>
      </c>
      <c r="EQ13" s="193" t="str">
        <f t="shared" si="134"/>
        <v>III</v>
      </c>
      <c r="ER13" s="194">
        <f t="shared" si="135"/>
        <v>0</v>
      </c>
      <c r="ES13" s="194">
        <f t="shared" si="136"/>
        <v>0</v>
      </c>
      <c r="ET13" s="194">
        <f t="shared" si="137"/>
        <v>0</v>
      </c>
      <c r="EU13" s="194">
        <f t="shared" si="138"/>
        <v>0</v>
      </c>
      <c r="EV13" s="194">
        <f t="shared" si="139"/>
        <v>0</v>
      </c>
      <c r="EW13" s="194" t="str">
        <f t="shared" si="140"/>
        <v/>
      </c>
      <c r="EX13" s="195" t="str">
        <f t="shared" si="141"/>
        <v>PASS</v>
      </c>
      <c r="EY13" s="196">
        <f>IF('Marks Entry'!BE13="","",'Marks Entry'!BE13)</f>
        <v>8</v>
      </c>
      <c r="EZ13" s="196">
        <f>IF('Marks Entry'!BF13="","",'Marks Entry'!BF13)</f>
        <v>8</v>
      </c>
      <c r="FA13" s="196">
        <f>IF('Marks Entry'!BG13="","",'Marks Entry'!BG13)</f>
        <v>8</v>
      </c>
      <c r="FB13" s="596">
        <f t="shared" si="142"/>
        <v>24</v>
      </c>
      <c r="FC13" s="196">
        <f>IF('Marks Entry'!BH13="","",'Marks Entry'!BH13)</f>
        <v>52</v>
      </c>
      <c r="FD13" s="196">
        <f>IF('Marks Entry'!BI13="","",'Marks Entry'!BI13)</f>
        <v>72</v>
      </c>
      <c r="FE13" s="197">
        <f t="shared" si="143"/>
        <v>148</v>
      </c>
      <c r="FF13" s="198" t="str">
        <f t="shared" si="144"/>
        <v>B</v>
      </c>
      <c r="FG13" s="199">
        <f>IF(AND(E13=""),"",IF('Student DATA Entry'!L9="","",'Student DATA Entry'!L9))</f>
        <v>320</v>
      </c>
      <c r="FH13" s="200">
        <f>IF(AND(E13=""),"",IF('Student DATA Entry'!M9="","",'Student DATA Entry'!M9))</f>
        <v>310</v>
      </c>
      <c r="FI13" s="201">
        <f t="shared" si="145"/>
        <v>96.875</v>
      </c>
      <c r="FJ13" s="188" t="str">
        <f t="shared" si="146"/>
        <v>II</v>
      </c>
      <c r="FK13" s="188" t="str">
        <f t="shared" si="147"/>
        <v/>
      </c>
      <c r="FL13" s="202" t="str">
        <f t="shared" si="19"/>
        <v/>
      </c>
      <c r="FM13" s="188" t="str">
        <f t="shared" si="148"/>
        <v>I</v>
      </c>
      <c r="FN13" s="203" t="str">
        <f t="shared" si="149"/>
        <v/>
      </c>
      <c r="FO13" s="202" t="str">
        <f t="shared" si="20"/>
        <v/>
      </c>
      <c r="FP13" s="204" t="str">
        <f t="shared" si="150"/>
        <v>III</v>
      </c>
      <c r="FQ13" s="188" t="str">
        <f t="shared" si="21"/>
        <v>III</v>
      </c>
      <c r="FR13" s="188" t="str">
        <f t="shared" si="22"/>
        <v/>
      </c>
      <c r="FS13" s="188" t="str">
        <f t="shared" si="23"/>
        <v/>
      </c>
      <c r="FT13" s="188" t="str">
        <f t="shared" si="24"/>
        <v/>
      </c>
      <c r="FU13" s="188" t="str">
        <f t="shared" si="151"/>
        <v/>
      </c>
      <c r="FV13" s="205" t="str">
        <f t="shared" si="25"/>
        <v/>
      </c>
      <c r="FW13" s="204" t="str">
        <f t="shared" si="152"/>
        <v>I</v>
      </c>
      <c r="FX13" s="188" t="str">
        <f t="shared" si="26"/>
        <v/>
      </c>
      <c r="FY13" s="188" t="str">
        <f t="shared" si="27"/>
        <v/>
      </c>
      <c r="FZ13" s="188" t="str">
        <f t="shared" si="28"/>
        <v>I</v>
      </c>
      <c r="GA13" s="188" t="str">
        <f t="shared" si="29"/>
        <v/>
      </c>
      <c r="GB13" s="188" t="str">
        <f t="shared" si="153"/>
        <v/>
      </c>
      <c r="GC13" s="205" t="str">
        <f t="shared" si="30"/>
        <v/>
      </c>
      <c r="GD13" s="204" t="str">
        <f t="shared" si="154"/>
        <v>II</v>
      </c>
      <c r="GE13" s="188" t="str">
        <f t="shared" si="31"/>
        <v>II</v>
      </c>
      <c r="GF13" s="188" t="str">
        <f t="shared" si="32"/>
        <v/>
      </c>
      <c r="GG13" s="188" t="str">
        <f t="shared" si="33"/>
        <v/>
      </c>
      <c r="GH13" s="188" t="str">
        <f t="shared" si="34"/>
        <v/>
      </c>
      <c r="GI13" s="188" t="str">
        <f t="shared" si="155"/>
        <v/>
      </c>
      <c r="GJ13" s="205" t="str">
        <f t="shared" si="35"/>
        <v/>
      </c>
      <c r="GK13" s="204" t="str">
        <f t="shared" si="156"/>
        <v>III</v>
      </c>
      <c r="GL13" s="188" t="str">
        <f t="shared" si="36"/>
        <v/>
      </c>
      <c r="GM13" s="188" t="str">
        <f t="shared" si="37"/>
        <v>III</v>
      </c>
      <c r="GN13" s="188" t="str">
        <f t="shared" si="38"/>
        <v/>
      </c>
      <c r="GO13" s="188" t="str">
        <f t="shared" si="39"/>
        <v/>
      </c>
      <c r="GP13" s="188" t="str">
        <f t="shared" si="157"/>
        <v/>
      </c>
      <c r="GQ13" s="205" t="str">
        <f t="shared" si="40"/>
        <v/>
      </c>
      <c r="GR13" s="188" t="str">
        <f t="shared" si="158"/>
        <v>A</v>
      </c>
      <c r="GS13" s="188" t="str">
        <f t="shared" si="159"/>
        <v>B</v>
      </c>
      <c r="GT13" s="206" t="str">
        <f t="shared" si="177"/>
        <v xml:space="preserve">    </v>
      </c>
      <c r="GU13" s="206" t="str">
        <f t="shared" si="160"/>
        <v xml:space="preserve">    </v>
      </c>
      <c r="GV13" s="206" t="str">
        <f t="shared" si="161"/>
        <v xml:space="preserve">    </v>
      </c>
      <c r="GW13" s="206" t="str">
        <f t="shared" si="162"/>
        <v xml:space="preserve">       </v>
      </c>
      <c r="GX13" s="598" t="str">
        <f t="shared" si="163"/>
        <v xml:space="preserve">     </v>
      </c>
      <c r="GY13" s="207" t="str">
        <f t="shared" si="164"/>
        <v>PASS</v>
      </c>
      <c r="GZ13" s="606">
        <f>IF(AND(Q13="",AE13="",AZ13="",BW13="",CT13=""),"",IF(AND('Master Sheet'!$D$19="YES",'Marks Entry'!$BA$1=1),SUM(Q13,AE13,AZ13,BW13,DT13),SUM(Q13,AE13,AZ13,BW13,CT13)))</f>
        <v>561</v>
      </c>
      <c r="HA13" s="208">
        <f>IF(GZ13="","",IF(AND('Master Sheet'!$D$19="YES",'Marks Entry'!$BA$1=1),GZ13/((900)-DC13)*100,GZ13/((1000)-DC13)*100))</f>
        <v>56.100000000000009</v>
      </c>
      <c r="HB13" s="611" t="str">
        <f t="shared" si="165"/>
        <v>II</v>
      </c>
      <c r="HC13" s="609">
        <f t="shared" si="166"/>
        <v>56.100000000000009</v>
      </c>
      <c r="HD13" s="610">
        <f t="shared" si="167"/>
        <v>6.0000000000000329</v>
      </c>
      <c r="HE13" s="209" t="str">
        <f>IFERROR(IF(OR(GY13="SUPPLEMENTARY",GY13="RE-EXAM"),'Supp. Result Entry'!AS12,""),"")</f>
        <v/>
      </c>
      <c r="HF13" s="613" t="str">
        <f t="shared" si="168"/>
        <v/>
      </c>
      <c r="HG13" s="598" t="str">
        <f t="shared" si="169"/>
        <v/>
      </c>
      <c r="HH13" s="598" t="str">
        <f>IF(AND(HE13="",HF13="",HG13=""),"",IF(OR(GY13="SUPPLEMENTARY",GY13="RE-EXAM"),'Supp. Result Entry'!AS12,GY13))</f>
        <v/>
      </c>
      <c r="HI13" s="179"/>
      <c r="HY13" s="211" t="str">
        <f>IF('Supp. Result Entry'!U12="","",'Supp. Result Entry'!$U$6)</f>
        <v/>
      </c>
      <c r="HZ13" s="212" t="str">
        <f>IF('Supp. Result Entry'!X12="","",'Supp. Result Entry'!$X$6)</f>
        <v/>
      </c>
      <c r="IA13" s="212" t="str">
        <f>IF('Supp. Result Entry'!AA12="","",'Supp. Result Entry'!$AA$6)</f>
        <v/>
      </c>
      <c r="IB13" s="212" t="str">
        <f>IF('Supp. Result Entry'!AD12="","",'Supp. Result Entry'!$AD$6)</f>
        <v/>
      </c>
      <c r="IC13" s="212" t="str">
        <f>IF('Supp. Result Entry'!AG12="","",'Supp. Result Entry'!$AG$6)</f>
        <v/>
      </c>
      <c r="ID13" s="212" t="str">
        <f>IF('Supp. Result Entry'!AJ12="","",'Supp. Result Entry'!$AJ$6)</f>
        <v/>
      </c>
      <c r="IE13" s="212" t="str">
        <f>IF('Supp. Result Entry'!V12="","",'Supp. Result Entry'!V12)</f>
        <v/>
      </c>
      <c r="IF13" s="212" t="str">
        <f>IF('Supp. Result Entry'!Y12="","",'Supp. Result Entry'!Y12)</f>
        <v/>
      </c>
      <c r="IG13" s="212" t="str">
        <f>IF('Supp. Result Entry'!AB12="","",'Supp. Result Entry'!AB12)</f>
        <v/>
      </c>
      <c r="IH13" s="212" t="str">
        <f>IF('Supp. Result Entry'!AE12="","",'Supp. Result Entry'!AE12)</f>
        <v/>
      </c>
      <c r="II13" s="212" t="str">
        <f>IF('Supp. Result Entry'!AH12="","",'Supp. Result Entry'!AH12)</f>
        <v/>
      </c>
      <c r="IJ13" s="212" t="str">
        <f>IF('Supp. Result Entry'!AK12="","",'Supp. Result Entry'!AK12)</f>
        <v/>
      </c>
      <c r="IK13" s="212" t="str">
        <f>IF('Supp. Result Entry'!W12="","",'Supp. Result Entry'!W12)</f>
        <v/>
      </c>
      <c r="IL13" s="212" t="str">
        <f>IF('Supp. Result Entry'!Z12="","",'Supp. Result Entry'!Z12)</f>
        <v/>
      </c>
      <c r="IM13" s="212" t="str">
        <f>IF('Supp. Result Entry'!AC12="","",'Supp. Result Entry'!AC12)</f>
        <v/>
      </c>
      <c r="IN13" s="212" t="str">
        <f>IF('Supp. Result Entry'!AF12="","",'Supp. Result Entry'!AF12)</f>
        <v/>
      </c>
      <c r="IO13" s="212" t="str">
        <f>IF('Supp. Result Entry'!AI12="","",'Supp. Result Entry'!AI12)</f>
        <v/>
      </c>
      <c r="IP13" s="212" t="str">
        <f>IF('Supp. Result Entry'!AL12="","",'Supp. Result Entry'!AL12)</f>
        <v/>
      </c>
      <c r="IQ13" s="212">
        <f>COUNTIF('Supp. Result Entry'!K12:Q12,"S")</f>
        <v>0</v>
      </c>
      <c r="IR13" s="212">
        <f t="shared" si="170"/>
        <v>0</v>
      </c>
      <c r="IS13" s="212">
        <f t="shared" si="171"/>
        <v>0</v>
      </c>
      <c r="IT13" s="212" t="str">
        <f t="shared" si="41"/>
        <v/>
      </c>
      <c r="IU13" s="212" t="str">
        <f t="shared" si="42"/>
        <v/>
      </c>
      <c r="IV13" s="212" t="str">
        <f t="shared" si="43"/>
        <v/>
      </c>
      <c r="IW13" s="212" t="str">
        <f t="shared" si="44"/>
        <v/>
      </c>
      <c r="IX13" s="212" t="str">
        <f t="shared" si="45"/>
        <v/>
      </c>
      <c r="IY13" s="212" t="str">
        <f t="shared" si="172"/>
        <v/>
      </c>
      <c r="IZ13" s="212" t="str">
        <f t="shared" si="173"/>
        <v/>
      </c>
      <c r="JA13" s="212" t="str">
        <f t="shared" si="46"/>
        <v/>
      </c>
      <c r="JB13" s="210" t="str">
        <f t="shared" si="174"/>
        <v/>
      </c>
    </row>
    <row r="14" spans="1:262" s="210" customFormat="1" ht="21" customHeight="1">
      <c r="A14" s="183">
        <v>7</v>
      </c>
      <c r="B14" s="184">
        <f>IF('Marks Entry'!B14="","",'Marks Entry'!B14)</f>
        <v>1107</v>
      </c>
      <c r="C14" s="185">
        <f>IF('Marks Entry'!D14="","",'Marks Entry'!D14)</f>
        <v>222</v>
      </c>
      <c r="D14" s="186">
        <f>IF('Marks Entry'!E14="","",'Marks Entry'!E14)</f>
        <v>40065</v>
      </c>
      <c r="E14" s="187" t="str">
        <f>IF('Marks Entry'!F14="","",'Marks Entry'!F14)</f>
        <v>G</v>
      </c>
      <c r="F14" s="187" t="str">
        <f>IF('Marks Entry'!G14="","",'Marks Entry'!G14)</f>
        <v>T</v>
      </c>
      <c r="G14" s="187" t="str">
        <f>IF('Marks Entry'!H14="","",'Marks Entry'!H14)</f>
        <v>S</v>
      </c>
      <c r="H14" s="188" t="str">
        <f>IF('Marks Entry'!I14="","",'Marks Entry'!I14)</f>
        <v>GEN</v>
      </c>
      <c r="I14" s="189" t="str">
        <f>IF('Marks Entry'!J14="","",'Marks Entry'!J14)</f>
        <v>M</v>
      </c>
      <c r="J14" s="545">
        <f>IF('Marks Entry'!K14="","",'Marks Entry'!K14)</f>
        <v>7</v>
      </c>
      <c r="K14" s="545">
        <f>IF('Marks Entry'!L14="","",'Marks Entry'!L14)</f>
        <v>9</v>
      </c>
      <c r="L14" s="545">
        <f>IF('Marks Entry'!M14="","",'Marks Entry'!M14)</f>
        <v>8</v>
      </c>
      <c r="M14" s="546">
        <f t="shared" si="47"/>
        <v>24</v>
      </c>
      <c r="N14" s="545">
        <f>IF('Marks Entry'!N14="","",'Marks Entry'!N14)</f>
        <v>43</v>
      </c>
      <c r="O14" s="546">
        <f t="shared" si="48"/>
        <v>67</v>
      </c>
      <c r="P14" s="545">
        <f>IF('Marks Entry'!O14="","",'Marks Entry'!O14)</f>
        <v>43</v>
      </c>
      <c r="Q14" s="547">
        <f t="shared" si="49"/>
        <v>110</v>
      </c>
      <c r="R14" s="152">
        <f t="shared" si="50"/>
        <v>0</v>
      </c>
      <c r="S14" s="152">
        <f t="shared" si="51"/>
        <v>0</v>
      </c>
      <c r="T14" s="153">
        <f t="shared" si="52"/>
        <v>200</v>
      </c>
      <c r="U14" s="152" t="str">
        <f t="shared" si="53"/>
        <v/>
      </c>
      <c r="V14" s="152" t="str">
        <f t="shared" si="54"/>
        <v>P</v>
      </c>
      <c r="W14" s="152" t="str">
        <f t="shared" si="55"/>
        <v>II</v>
      </c>
      <c r="X14" s="545">
        <f>IF('Marks Entry'!P14="","",'Marks Entry'!P14)</f>
        <v>10</v>
      </c>
      <c r="Y14" s="545">
        <f>IF('Marks Entry'!Q14="","",'Marks Entry'!Q14)</f>
        <v>6</v>
      </c>
      <c r="Z14" s="545">
        <f>IF('Marks Entry'!R14="","",'Marks Entry'!R14)</f>
        <v>9</v>
      </c>
      <c r="AA14" s="546">
        <f t="shared" si="56"/>
        <v>25</v>
      </c>
      <c r="AB14" s="545">
        <f>IF('Marks Entry'!S14="","",'Marks Entry'!S14)</f>
        <v>41</v>
      </c>
      <c r="AC14" s="546">
        <f t="shared" si="57"/>
        <v>66</v>
      </c>
      <c r="AD14" s="545">
        <f>IF('Marks Entry'!T14="","",'Marks Entry'!T14)</f>
        <v>64</v>
      </c>
      <c r="AE14" s="547">
        <f t="shared" si="58"/>
        <v>130</v>
      </c>
      <c r="AF14" s="152">
        <f t="shared" si="59"/>
        <v>0</v>
      </c>
      <c r="AG14" s="152">
        <f t="shared" si="60"/>
        <v>0</v>
      </c>
      <c r="AH14" s="153">
        <f t="shared" si="61"/>
        <v>200</v>
      </c>
      <c r="AI14" s="152" t="str">
        <f t="shared" si="62"/>
        <v/>
      </c>
      <c r="AJ14" s="152" t="str">
        <f t="shared" si="63"/>
        <v>P</v>
      </c>
      <c r="AK14" s="152" t="str">
        <f t="shared" si="64"/>
        <v>I</v>
      </c>
      <c r="AL14" s="573" t="str">
        <f>IF('Marks Entry'!U14="","",'Marks Entry'!U14)</f>
        <v>A</v>
      </c>
      <c r="AM14" s="573">
        <f>IF('Marks Entry'!V14="","",'Marks Entry'!V14)</f>
        <v>7</v>
      </c>
      <c r="AN14" s="573">
        <f>IF('Marks Entry'!W14="","",'Marks Entry'!W14)</f>
        <v>4</v>
      </c>
      <c r="AO14" s="573">
        <f>IF('Marks Entry'!X14="","",'Marks Entry'!X14)</f>
        <v>6</v>
      </c>
      <c r="AP14" s="572">
        <f t="shared" si="65"/>
        <v>17</v>
      </c>
      <c r="AQ14" s="573">
        <f>IF('Marks Entry'!Y14="","",'Marks Entry'!Y14)</f>
        <v>14</v>
      </c>
      <c r="AR14" s="573" t="str">
        <f>IF('Marks Entry'!Z14="","",'Marks Entry'!Z14)</f>
        <v/>
      </c>
      <c r="AS14" s="572">
        <f t="shared" si="66"/>
        <v>14</v>
      </c>
      <c r="AT14" s="572">
        <f t="shared" si="67"/>
        <v>31</v>
      </c>
      <c r="AU14" s="573">
        <f>IF('Marks Entry'!AA14="","",'Marks Entry'!AA14)</f>
        <v>30</v>
      </c>
      <c r="AV14" s="573" t="str">
        <f>IF('Marks Entry'!AB14="","",'Marks Entry'!AB14)</f>
        <v/>
      </c>
      <c r="AW14" s="572">
        <f t="shared" si="68"/>
        <v>30</v>
      </c>
      <c r="AX14" s="156">
        <f t="shared" si="69"/>
        <v>61</v>
      </c>
      <c r="AY14" s="156" t="str">
        <f t="shared" si="70"/>
        <v/>
      </c>
      <c r="AZ14" s="191">
        <f t="shared" si="71"/>
        <v>61</v>
      </c>
      <c r="BA14" s="152">
        <f t="shared" si="72"/>
        <v>0</v>
      </c>
      <c r="BB14" s="153">
        <f t="shared" si="73"/>
        <v>0</v>
      </c>
      <c r="BC14" s="153">
        <f t="shared" si="74"/>
        <v>100</v>
      </c>
      <c r="BD14" s="153" t="str">
        <f t="shared" si="75"/>
        <v/>
      </c>
      <c r="BE14" s="153">
        <f t="shared" si="76"/>
        <v>200</v>
      </c>
      <c r="BF14" s="152" t="str">
        <f t="shared" si="77"/>
        <v/>
      </c>
      <c r="BG14" s="153" t="str">
        <f t="shared" si="175"/>
        <v>S</v>
      </c>
      <c r="BH14" s="152" t="str">
        <f t="shared" si="78"/>
        <v>S</v>
      </c>
      <c r="BI14" s="580" t="str">
        <f>IF('Marks Entry'!AC14="","",'Marks Entry'!AC14)</f>
        <v>A</v>
      </c>
      <c r="BJ14" s="580">
        <f>IF('Marks Entry'!AD14="","",'Marks Entry'!AD14)</f>
        <v>8</v>
      </c>
      <c r="BK14" s="580">
        <f>IF('Marks Entry'!AE14="","",'Marks Entry'!AE14)</f>
        <v>10</v>
      </c>
      <c r="BL14" s="580">
        <f>IF('Marks Entry'!AF14="","",'Marks Entry'!AF14)</f>
        <v>8</v>
      </c>
      <c r="BM14" s="581">
        <f t="shared" si="79"/>
        <v>26</v>
      </c>
      <c r="BN14" s="580">
        <f>IF('Marks Entry'!AG14="","",'Marks Entry'!AG14)</f>
        <v>45</v>
      </c>
      <c r="BO14" s="580" t="str">
        <f>IF('Marks Entry'!AH14="","",'Marks Entry'!AH14)</f>
        <v/>
      </c>
      <c r="BP14" s="581">
        <f t="shared" si="80"/>
        <v>45</v>
      </c>
      <c r="BQ14" s="581">
        <f t="shared" si="81"/>
        <v>71</v>
      </c>
      <c r="BR14" s="580">
        <f>IF('Marks Entry'!AI14="","",'Marks Entry'!AI14)</f>
        <v>54</v>
      </c>
      <c r="BS14" s="580" t="str">
        <f>IF('Marks Entry'!AJ14="","",'Marks Entry'!AJ14)</f>
        <v/>
      </c>
      <c r="BT14" s="581">
        <f t="shared" si="82"/>
        <v>54</v>
      </c>
      <c r="BU14" s="156">
        <f t="shared" si="83"/>
        <v>125</v>
      </c>
      <c r="BV14" s="156" t="str">
        <f t="shared" si="84"/>
        <v/>
      </c>
      <c r="BW14" s="191">
        <f t="shared" si="85"/>
        <v>125</v>
      </c>
      <c r="BX14" s="152">
        <f t="shared" si="86"/>
        <v>0</v>
      </c>
      <c r="BY14" s="153">
        <f t="shared" si="87"/>
        <v>0</v>
      </c>
      <c r="BZ14" s="153">
        <f t="shared" si="88"/>
        <v>100</v>
      </c>
      <c r="CA14" s="153" t="str">
        <f t="shared" si="89"/>
        <v/>
      </c>
      <c r="CB14" s="153">
        <f t="shared" si="90"/>
        <v>200</v>
      </c>
      <c r="CC14" s="152" t="str">
        <f t="shared" si="91"/>
        <v/>
      </c>
      <c r="CD14" s="153" t="str">
        <f t="shared" si="92"/>
        <v>P</v>
      </c>
      <c r="CE14" s="152" t="str">
        <f t="shared" si="93"/>
        <v>I</v>
      </c>
      <c r="CF14" s="580" t="str">
        <f>IF('Marks Entry'!AK14="","",'Marks Entry'!AK14)</f>
        <v>B</v>
      </c>
      <c r="CG14" s="580">
        <f>IF('Marks Entry'!AL14="","",'Marks Entry'!AL14)</f>
        <v>4</v>
      </c>
      <c r="CH14" s="580">
        <f>IF('Marks Entry'!AM14="","",'Marks Entry'!AM14)</f>
        <v>4</v>
      </c>
      <c r="CI14" s="580">
        <f>IF('Marks Entry'!AN14="","",'Marks Entry'!AN14)</f>
        <v>9</v>
      </c>
      <c r="CJ14" s="581">
        <f t="shared" si="94"/>
        <v>17</v>
      </c>
      <c r="CK14" s="580">
        <f>IF('Marks Entry'!AO14="","",'Marks Entry'!AO14)</f>
        <v>32</v>
      </c>
      <c r="CL14" s="580" t="str">
        <f>IF('Marks Entry'!AP14="","",'Marks Entry'!AP14)</f>
        <v/>
      </c>
      <c r="CM14" s="581">
        <f t="shared" si="95"/>
        <v>32</v>
      </c>
      <c r="CN14" s="581">
        <f t="shared" si="96"/>
        <v>49</v>
      </c>
      <c r="CO14" s="580" t="str">
        <f>IF('Marks Entry'!AQ14="","",'Marks Entry'!AQ14)</f>
        <v/>
      </c>
      <c r="CP14" s="580" t="str">
        <f>IF('Marks Entry'!AR14="","",'Marks Entry'!AR14)</f>
        <v/>
      </c>
      <c r="CQ14" s="581" t="str">
        <f t="shared" si="97"/>
        <v/>
      </c>
      <c r="CR14" s="156">
        <f t="shared" si="98"/>
        <v>49</v>
      </c>
      <c r="CS14" s="156" t="str">
        <f t="shared" si="99"/>
        <v/>
      </c>
      <c r="CT14" s="191">
        <f t="shared" si="100"/>
        <v>49</v>
      </c>
      <c r="CU14" s="152">
        <f t="shared" si="101"/>
        <v>0</v>
      </c>
      <c r="CV14" s="153">
        <f t="shared" si="102"/>
        <v>0</v>
      </c>
      <c r="CW14" s="153">
        <f t="shared" si="103"/>
        <v>100</v>
      </c>
      <c r="CX14" s="153" t="str">
        <f t="shared" si="104"/>
        <v/>
      </c>
      <c r="CY14" s="153">
        <f t="shared" si="176"/>
        <v>200</v>
      </c>
      <c r="CZ14" s="152" t="str">
        <f t="shared" si="105"/>
        <v/>
      </c>
      <c r="DA14" s="153" t="str">
        <f t="shared" si="106"/>
        <v/>
      </c>
      <c r="DB14" s="152" t="str">
        <f t="shared" si="107"/>
        <v/>
      </c>
      <c r="DC14" s="153">
        <f t="shared" si="108"/>
        <v>0</v>
      </c>
      <c r="DD14" s="851" t="str">
        <f>IF('Marks Entry'!AS14="","",IF(OR('Master Sheet'!$D$19="YES",'Marks Entry'!$BA$1=1),'Marks Entry'!AS14,""))</f>
        <v/>
      </c>
      <c r="DE14" s="851" t="str">
        <f>IF('Marks Entry'!AT14="","",IF(OR('Master Sheet'!$D$19="YES",'Marks Entry'!$BA$1=1),'Marks Entry'!AT14,""))</f>
        <v/>
      </c>
      <c r="DF14" s="851" t="str">
        <f>IF('Marks Entry'!AU14="","",IF(OR('Master Sheet'!$D$19="YES",'Marks Entry'!$BA$1=1),'Marks Entry'!AU14,""))</f>
        <v/>
      </c>
      <c r="DG14" s="851" t="str">
        <f>IF('Marks Entry'!AV14="","",IF(OR('Master Sheet'!$D$19="YES",'Marks Entry'!$BA$1=1),'Marks Entry'!AV14,""))</f>
        <v/>
      </c>
      <c r="DH14" s="852" t="str">
        <f t="shared" si="109"/>
        <v/>
      </c>
      <c r="DI14" s="851" t="str">
        <f>IF('Marks Entry'!AW14="","",IF(OR('Master Sheet'!$D$19="YES",'Marks Entry'!$BA$1=1),'Marks Entry'!AW14,""))</f>
        <v/>
      </c>
      <c r="DJ14" s="851" t="str">
        <f>IF('Marks Entry'!AX14="","",IF(OR('Master Sheet'!$D$19="YES",'Marks Entry'!$BA$1=1),'Marks Entry'!AX14,""))</f>
        <v/>
      </c>
      <c r="DK14" s="852" t="str">
        <f t="shared" si="110"/>
        <v/>
      </c>
      <c r="DL14" s="852" t="str">
        <f t="shared" si="111"/>
        <v/>
      </c>
      <c r="DM14" s="851" t="str">
        <f>IF('Marks Entry'!AY14="","",IF(OR('Master Sheet'!$D$19="YES",'Marks Entry'!$BA$1=1),'Marks Entry'!AY14,""))</f>
        <v/>
      </c>
      <c r="DN14" s="851" t="str">
        <f>IF('Marks Entry'!AZ14="","",IF(OR('Master Sheet'!$D$19="YES",'Marks Entry'!$BA$1=1),'Marks Entry'!AZ14,""))</f>
        <v/>
      </c>
      <c r="DO14" s="851" t="str">
        <f>IF('Marks Entry'!BA14="","",IF(OR('Master Sheet'!$D$19="YES",'Marks Entry'!$BA$1=1),'Marks Entry'!BA14,""))</f>
        <v/>
      </c>
      <c r="DP14" s="852" t="str">
        <f t="shared" si="112"/>
        <v/>
      </c>
      <c r="DQ14" s="156" t="str">
        <f t="shared" si="113"/>
        <v/>
      </c>
      <c r="DR14" s="156" t="str">
        <f t="shared" si="114"/>
        <v/>
      </c>
      <c r="DS14" s="156" t="str">
        <f t="shared" si="115"/>
        <v/>
      </c>
      <c r="DT14" s="191" t="str">
        <f t="shared" si="116"/>
        <v/>
      </c>
      <c r="DU14" s="152">
        <f t="shared" si="117"/>
        <v>0</v>
      </c>
      <c r="DV14" s="153">
        <f t="shared" si="118"/>
        <v>0</v>
      </c>
      <c r="DW14" s="153" t="str">
        <f t="shared" si="119"/>
        <v/>
      </c>
      <c r="DX14" s="153" t="str">
        <f>IF(OR($B14="NSO",$B14=0,DS14=""),"",IF(AND(DJ14="",DO14=""),"",IF('Master Sheet'!$D$19="YES",$DO$6-COUNTIF(DO14,"ML")*DO$6,DS$6-(COUNTIF(DJ14,"ML")*DJ$6)-(COUNTIF(DO14,"ML")*DO$6))))</f>
        <v/>
      </c>
      <c r="DY14" s="153" t="str">
        <f>IF(OR($B14="NSO",$B14=0),"",IF(AND(DH14="",DI14="",DM14=""),"",IF(AND('Master Sheet'!$D$19="YES",'Marks Entry'!$BA$1=1),100,IF(AND(DJ14="",DO14=""),SUM(($DQ$7+$DR$7)-(DU14+DV14)),SUM(($DQ$6+$DR$6)-(DU14+DV14))))))</f>
        <v/>
      </c>
      <c r="DZ14" s="152" t="str">
        <f t="shared" si="120"/>
        <v/>
      </c>
      <c r="EA14" s="153" t="str">
        <f t="shared" si="121"/>
        <v/>
      </c>
      <c r="EB14" s="152" t="str">
        <f t="shared" si="122"/>
        <v/>
      </c>
      <c r="EC14" s="584">
        <f>IF('Marks Entry'!BB14="","",'Marks Entry'!BB14)</f>
        <v>26</v>
      </c>
      <c r="ED14" s="584">
        <f>IF('Marks Entry'!BC14="","",'Marks Entry'!BC14)</f>
        <v>27</v>
      </c>
      <c r="EE14" s="584">
        <f>IF('Marks Entry'!BD14="","",'Marks Entry'!BD14)</f>
        <v>32</v>
      </c>
      <c r="EF14" s="590">
        <f t="shared" si="123"/>
        <v>85</v>
      </c>
      <c r="EG14" s="595">
        <f t="shared" si="124"/>
        <v>0</v>
      </c>
      <c r="EH14" s="595">
        <f t="shared" si="125"/>
        <v>0</v>
      </c>
      <c r="EI14" s="192">
        <f t="shared" si="126"/>
        <v>100</v>
      </c>
      <c r="EJ14" s="595" t="str">
        <f t="shared" si="127"/>
        <v/>
      </c>
      <c r="EK14" s="595" t="str">
        <f t="shared" si="128"/>
        <v>A</v>
      </c>
      <c r="EL14" s="193" t="str">
        <f t="shared" si="129"/>
        <v>II</v>
      </c>
      <c r="EM14" s="193" t="str">
        <f t="shared" si="130"/>
        <v>I</v>
      </c>
      <c r="EN14" s="193" t="str">
        <f t="shared" si="131"/>
        <v>S</v>
      </c>
      <c r="EO14" s="193" t="str">
        <f t="shared" si="132"/>
        <v>I</v>
      </c>
      <c r="EP14" s="193" t="str">
        <f t="shared" si="133"/>
        <v/>
      </c>
      <c r="EQ14" s="193" t="str">
        <f t="shared" si="134"/>
        <v/>
      </c>
      <c r="ER14" s="194">
        <f t="shared" si="135"/>
        <v>0</v>
      </c>
      <c r="ES14" s="194">
        <f t="shared" si="136"/>
        <v>1</v>
      </c>
      <c r="ET14" s="194">
        <f t="shared" si="137"/>
        <v>0</v>
      </c>
      <c r="EU14" s="194">
        <f t="shared" si="138"/>
        <v>0</v>
      </c>
      <c r="EV14" s="194">
        <f t="shared" si="139"/>
        <v>0</v>
      </c>
      <c r="EW14" s="194" t="str">
        <f t="shared" si="140"/>
        <v/>
      </c>
      <c r="EX14" s="195" t="str">
        <f t="shared" si="141"/>
        <v>SUPPLEMENTARY</v>
      </c>
      <c r="EY14" s="196">
        <f>IF('Marks Entry'!BE14="","",'Marks Entry'!BE14)</f>
        <v>8</v>
      </c>
      <c r="EZ14" s="196">
        <f>IF('Marks Entry'!BF14="","",'Marks Entry'!BF14)</f>
        <v>8</v>
      </c>
      <c r="FA14" s="196">
        <f>IF('Marks Entry'!BG14="","",'Marks Entry'!BG14)</f>
        <v>8</v>
      </c>
      <c r="FB14" s="596">
        <f t="shared" si="142"/>
        <v>24</v>
      </c>
      <c r="FC14" s="196">
        <f>IF('Marks Entry'!BH14="","",'Marks Entry'!BH14)</f>
        <v>52</v>
      </c>
      <c r="FD14" s="196">
        <f>IF('Marks Entry'!BI14="","",'Marks Entry'!BI14)</f>
        <v>73</v>
      </c>
      <c r="FE14" s="197">
        <f t="shared" si="143"/>
        <v>149</v>
      </c>
      <c r="FF14" s="198" t="str">
        <f t="shared" si="144"/>
        <v>B</v>
      </c>
      <c r="FG14" s="199">
        <f>IF(AND(E14=""),"",IF('Student DATA Entry'!L10="","",'Student DATA Entry'!L10))</f>
        <v>380</v>
      </c>
      <c r="FH14" s="200">
        <f>IF(AND(E14=""),"",IF('Student DATA Entry'!M10="","",'Student DATA Entry'!M10))</f>
        <v>370</v>
      </c>
      <c r="FI14" s="201">
        <f t="shared" si="145"/>
        <v>97.368421052631575</v>
      </c>
      <c r="FJ14" s="188" t="str">
        <f t="shared" si="146"/>
        <v>II</v>
      </c>
      <c r="FK14" s="188" t="str">
        <f t="shared" si="147"/>
        <v/>
      </c>
      <c r="FL14" s="202" t="str">
        <f t="shared" si="19"/>
        <v/>
      </c>
      <c r="FM14" s="188" t="str">
        <f t="shared" si="148"/>
        <v>I</v>
      </c>
      <c r="FN14" s="203" t="str">
        <f t="shared" si="149"/>
        <v/>
      </c>
      <c r="FO14" s="202" t="str">
        <f t="shared" si="20"/>
        <v/>
      </c>
      <c r="FP14" s="204" t="str">
        <f t="shared" si="150"/>
        <v>S</v>
      </c>
      <c r="FQ14" s="188" t="str">
        <f t="shared" si="21"/>
        <v>S</v>
      </c>
      <c r="FR14" s="188" t="str">
        <f t="shared" si="22"/>
        <v/>
      </c>
      <c r="FS14" s="188" t="str">
        <f t="shared" si="23"/>
        <v/>
      </c>
      <c r="FT14" s="188" t="str">
        <f t="shared" si="24"/>
        <v/>
      </c>
      <c r="FU14" s="188" t="str">
        <f t="shared" si="151"/>
        <v/>
      </c>
      <c r="FV14" s="205" t="str">
        <f t="shared" si="25"/>
        <v/>
      </c>
      <c r="FW14" s="204" t="str">
        <f t="shared" si="152"/>
        <v>I</v>
      </c>
      <c r="FX14" s="188" t="str">
        <f t="shared" si="26"/>
        <v>I</v>
      </c>
      <c r="FY14" s="188" t="str">
        <f t="shared" si="27"/>
        <v/>
      </c>
      <c r="FZ14" s="188" t="str">
        <f t="shared" si="28"/>
        <v/>
      </c>
      <c r="GA14" s="188" t="str">
        <f t="shared" si="29"/>
        <v/>
      </c>
      <c r="GB14" s="188" t="str">
        <f t="shared" si="153"/>
        <v/>
      </c>
      <c r="GC14" s="205" t="str">
        <f t="shared" si="30"/>
        <v/>
      </c>
      <c r="GD14" s="204" t="str">
        <f t="shared" si="154"/>
        <v/>
      </c>
      <c r="GE14" s="188" t="str">
        <f t="shared" si="31"/>
        <v/>
      </c>
      <c r="GF14" s="188" t="str">
        <f t="shared" si="32"/>
        <v/>
      </c>
      <c r="GG14" s="188" t="str">
        <f t="shared" si="33"/>
        <v/>
      </c>
      <c r="GH14" s="188" t="str">
        <f t="shared" si="34"/>
        <v/>
      </c>
      <c r="GI14" s="188" t="str">
        <f t="shared" si="155"/>
        <v/>
      </c>
      <c r="GJ14" s="205" t="str">
        <f t="shared" si="35"/>
        <v/>
      </c>
      <c r="GK14" s="204" t="str">
        <f t="shared" si="156"/>
        <v/>
      </c>
      <c r="GL14" s="188" t="str">
        <f t="shared" si="36"/>
        <v/>
      </c>
      <c r="GM14" s="188" t="str">
        <f t="shared" si="37"/>
        <v/>
      </c>
      <c r="GN14" s="188" t="str">
        <f t="shared" si="38"/>
        <v/>
      </c>
      <c r="GO14" s="188" t="str">
        <f t="shared" si="39"/>
        <v/>
      </c>
      <c r="GP14" s="188" t="str">
        <f t="shared" si="157"/>
        <v/>
      </c>
      <c r="GQ14" s="205" t="str">
        <f t="shared" si="40"/>
        <v/>
      </c>
      <c r="GR14" s="188" t="str">
        <f t="shared" si="158"/>
        <v>A</v>
      </c>
      <c r="GS14" s="188" t="str">
        <f t="shared" si="159"/>
        <v>B</v>
      </c>
      <c r="GT14" s="206" t="str">
        <f t="shared" si="177"/>
        <v xml:space="preserve">    </v>
      </c>
      <c r="GU14" s="206" t="str">
        <f t="shared" si="160"/>
        <v xml:space="preserve">  POLITICAL SCIENCE  </v>
      </c>
      <c r="GV14" s="206" t="str">
        <f t="shared" si="161"/>
        <v xml:space="preserve">    </v>
      </c>
      <c r="GW14" s="206" t="str">
        <f t="shared" si="162"/>
        <v xml:space="preserve">       </v>
      </c>
      <c r="GX14" s="598" t="str">
        <f t="shared" si="163"/>
        <v xml:space="preserve">     </v>
      </c>
      <c r="GY14" s="207" t="str">
        <f t="shared" si="164"/>
        <v>SUPPLEMENTARY</v>
      </c>
      <c r="GZ14" s="606">
        <f>IF(AND(Q14="",AE14="",AZ14="",BW14="",CT14=""),"",IF(AND('Master Sheet'!$D$19="YES",'Marks Entry'!$BA$1=1),SUM(Q14,AE14,AZ14,BW14,DT14),SUM(Q14,AE14,AZ14,BW14,CT14)))</f>
        <v>475</v>
      </c>
      <c r="HA14" s="208">
        <f>IF(GZ14="","",IF(AND('Master Sheet'!$D$19="YES",'Marks Entry'!$BA$1=1),GZ14/((900)-DC14)*100,GZ14/((1000)-DC14)*100))</f>
        <v>47.5</v>
      </c>
      <c r="HB14" s="611" t="str">
        <f t="shared" si="165"/>
        <v/>
      </c>
      <c r="HC14" s="609" t="str">
        <f t="shared" si="166"/>
        <v/>
      </c>
      <c r="HD14" s="610" t="str">
        <f t="shared" si="167"/>
        <v/>
      </c>
      <c r="HE14" s="209" t="str">
        <f>IFERROR(IF(OR(GY14="SUPPLEMENTARY",GY14="RE-EXAM"),'Supp. Result Entry'!AS13,""),"")</f>
        <v>PASS</v>
      </c>
      <c r="HF14" s="613">
        <f t="shared" si="168"/>
        <v>45</v>
      </c>
      <c r="HG14" s="598" t="str">
        <f t="shared" si="169"/>
        <v>III</v>
      </c>
      <c r="HH14" s="598" t="str">
        <f>IF(AND(HE14="",HF14="",HG14=""),"",IF(OR(GY14="SUPPLEMENTARY",GY14="RE-EXAM"),'Supp. Result Entry'!AS13,GY14))</f>
        <v>PASS</v>
      </c>
      <c r="HI14" s="179"/>
      <c r="HY14" s="211" t="str">
        <f>IF('Supp. Result Entry'!U13="","",'Supp. Result Entry'!$U$6)</f>
        <v/>
      </c>
      <c r="HZ14" s="212" t="str">
        <f>IF('Supp. Result Entry'!X13="","",'Supp. Result Entry'!$X$6)</f>
        <v/>
      </c>
      <c r="IA14" s="212">
        <f>IF('Supp. Result Entry'!AA13="","",'Supp. Result Entry'!$AA$6)</f>
        <v>100</v>
      </c>
      <c r="IB14" s="212" t="str">
        <f>IF('Supp. Result Entry'!AD13="","",'Supp. Result Entry'!$AD$6)</f>
        <v/>
      </c>
      <c r="IC14" s="212" t="str">
        <f>IF('Supp. Result Entry'!AG13="","",'Supp. Result Entry'!$AG$6)</f>
        <v/>
      </c>
      <c r="ID14" s="212" t="str">
        <f>IF('Supp. Result Entry'!AJ13="","",'Supp. Result Entry'!$AJ$6)</f>
        <v/>
      </c>
      <c r="IE14" s="212" t="str">
        <f>IF('Supp. Result Entry'!V13="","",'Supp. Result Entry'!V13)</f>
        <v/>
      </c>
      <c r="IF14" s="212" t="str">
        <f>IF('Supp. Result Entry'!Y13="","",'Supp. Result Entry'!Y13)</f>
        <v/>
      </c>
      <c r="IG14" s="212">
        <f>IF('Supp. Result Entry'!AB13="","",'Supp. Result Entry'!AB13)</f>
        <v>36</v>
      </c>
      <c r="IH14" s="212" t="str">
        <f>IF('Supp. Result Entry'!AE13="","",'Supp. Result Entry'!AE13)</f>
        <v/>
      </c>
      <c r="II14" s="212" t="str">
        <f>IF('Supp. Result Entry'!AH13="","",'Supp. Result Entry'!AH13)</f>
        <v/>
      </c>
      <c r="IJ14" s="212" t="str">
        <f>IF('Supp. Result Entry'!AK13="","",'Supp. Result Entry'!AK13)</f>
        <v/>
      </c>
      <c r="IK14" s="212" t="str">
        <f>IF('Supp. Result Entry'!W13="","",'Supp. Result Entry'!W13)</f>
        <v/>
      </c>
      <c r="IL14" s="212" t="str">
        <f>IF('Supp. Result Entry'!Z13="","",'Supp. Result Entry'!Z13)</f>
        <v/>
      </c>
      <c r="IM14" s="212" t="str">
        <f>IF('Supp. Result Entry'!AC13="","",'Supp. Result Entry'!AC13)</f>
        <v>P</v>
      </c>
      <c r="IN14" s="212" t="str">
        <f>IF('Supp. Result Entry'!AF13="","",'Supp. Result Entry'!AF13)</f>
        <v/>
      </c>
      <c r="IO14" s="212" t="str">
        <f>IF('Supp. Result Entry'!AI13="","",'Supp. Result Entry'!AI13)</f>
        <v/>
      </c>
      <c r="IP14" s="212" t="str">
        <f>IF('Supp. Result Entry'!AL13="","",'Supp. Result Entry'!AL13)</f>
        <v/>
      </c>
      <c r="IQ14" s="212">
        <f>COUNTIF('Supp. Result Entry'!K13:Q13,"S")</f>
        <v>1</v>
      </c>
      <c r="IR14" s="212">
        <f t="shared" si="170"/>
        <v>0</v>
      </c>
      <c r="IS14" s="212">
        <f t="shared" si="171"/>
        <v>1</v>
      </c>
      <c r="IT14" s="212">
        <f t="shared" si="41"/>
        <v>110</v>
      </c>
      <c r="IU14" s="212">
        <f t="shared" si="42"/>
        <v>130</v>
      </c>
      <c r="IV14" s="212">
        <f t="shared" si="43"/>
        <v>36</v>
      </c>
      <c r="IW14" s="212">
        <f t="shared" si="44"/>
        <v>125</v>
      </c>
      <c r="IX14" s="212">
        <f t="shared" si="45"/>
        <v>49</v>
      </c>
      <c r="IY14" s="212">
        <f t="shared" si="172"/>
        <v>450</v>
      </c>
      <c r="IZ14" s="212">
        <f t="shared" si="173"/>
        <v>45</v>
      </c>
      <c r="JA14" s="212">
        <f t="shared" si="46"/>
        <v>1000</v>
      </c>
      <c r="JB14" s="210" t="str">
        <f t="shared" si="174"/>
        <v>III</v>
      </c>
    </row>
    <row r="15" spans="1:262" s="210" customFormat="1" ht="21" customHeight="1">
      <c r="A15" s="183">
        <v>8</v>
      </c>
      <c r="B15" s="184">
        <f>IF('Marks Entry'!B15="","",'Marks Entry'!B15)</f>
        <v>1108</v>
      </c>
      <c r="C15" s="185">
        <f>IF('Marks Entry'!D15="","",'Marks Entry'!D15)</f>
        <v>123</v>
      </c>
      <c r="D15" s="186">
        <f>IF('Marks Entry'!E15="","",'Marks Entry'!E15)</f>
        <v>39763</v>
      </c>
      <c r="E15" s="187" t="str">
        <f>IF('Marks Entry'!F15="","",'Marks Entry'!F15)</f>
        <v>O</v>
      </c>
      <c r="F15" s="187" t="str">
        <f>IF('Marks Entry'!G15="","",'Marks Entry'!G15)</f>
        <v>R</v>
      </c>
      <c r="G15" s="187" t="str">
        <f>IF('Marks Entry'!H15="","",'Marks Entry'!H15)</f>
        <v>I</v>
      </c>
      <c r="H15" s="188" t="str">
        <f>IF('Marks Entry'!I15="","",'Marks Entry'!I15)</f>
        <v>OBC</v>
      </c>
      <c r="I15" s="189" t="str">
        <f>IF('Marks Entry'!J15="","",'Marks Entry'!J15)</f>
        <v>M</v>
      </c>
      <c r="J15" s="545">
        <f>IF('Marks Entry'!K15="","",'Marks Entry'!K15)</f>
        <v>10</v>
      </c>
      <c r="K15" s="545">
        <f>IF('Marks Entry'!L15="","",'Marks Entry'!L15)</f>
        <v>10</v>
      </c>
      <c r="L15" s="545">
        <f>IF('Marks Entry'!M15="","",'Marks Entry'!M15)</f>
        <v>8</v>
      </c>
      <c r="M15" s="546">
        <f t="shared" si="47"/>
        <v>28</v>
      </c>
      <c r="N15" s="545">
        <f>IF('Marks Entry'!N15="","",'Marks Entry'!N15)</f>
        <v>46</v>
      </c>
      <c r="O15" s="546">
        <f t="shared" si="48"/>
        <v>74</v>
      </c>
      <c r="P15" s="545">
        <f>IF('Marks Entry'!O15="","",'Marks Entry'!O15)</f>
        <v>25</v>
      </c>
      <c r="Q15" s="547">
        <f t="shared" si="49"/>
        <v>99</v>
      </c>
      <c r="R15" s="152">
        <f t="shared" si="50"/>
        <v>0</v>
      </c>
      <c r="S15" s="152">
        <f t="shared" si="51"/>
        <v>0</v>
      </c>
      <c r="T15" s="153">
        <f t="shared" si="52"/>
        <v>200</v>
      </c>
      <c r="U15" s="152" t="str">
        <f t="shared" si="53"/>
        <v/>
      </c>
      <c r="V15" s="152" t="str">
        <f t="shared" si="54"/>
        <v>P</v>
      </c>
      <c r="W15" s="152" t="str">
        <f t="shared" si="55"/>
        <v>II</v>
      </c>
      <c r="X15" s="545">
        <f>IF('Marks Entry'!P15="","",'Marks Entry'!P15)</f>
        <v>8</v>
      </c>
      <c r="Y15" s="545">
        <f>IF('Marks Entry'!Q15="","",'Marks Entry'!Q15)</f>
        <v>5</v>
      </c>
      <c r="Z15" s="545">
        <f>IF('Marks Entry'!R15="","",'Marks Entry'!R15)</f>
        <v>9</v>
      </c>
      <c r="AA15" s="546">
        <f t="shared" si="56"/>
        <v>22</v>
      </c>
      <c r="AB15" s="545">
        <f>IF('Marks Entry'!S15="","",'Marks Entry'!S15)</f>
        <v>42</v>
      </c>
      <c r="AC15" s="546">
        <f t="shared" si="57"/>
        <v>64</v>
      </c>
      <c r="AD15" s="545">
        <f>IF('Marks Entry'!T15="","",'Marks Entry'!T15)</f>
        <v>61</v>
      </c>
      <c r="AE15" s="547">
        <f t="shared" si="58"/>
        <v>125</v>
      </c>
      <c r="AF15" s="152">
        <f t="shared" si="59"/>
        <v>0</v>
      </c>
      <c r="AG15" s="152">
        <f t="shared" si="60"/>
        <v>0</v>
      </c>
      <c r="AH15" s="153">
        <f t="shared" si="61"/>
        <v>200</v>
      </c>
      <c r="AI15" s="152" t="str">
        <f t="shared" si="62"/>
        <v/>
      </c>
      <c r="AJ15" s="152" t="str">
        <f t="shared" si="63"/>
        <v>P</v>
      </c>
      <c r="AK15" s="152" t="str">
        <f t="shared" si="64"/>
        <v>I</v>
      </c>
      <c r="AL15" s="573" t="str">
        <f>IF('Marks Entry'!U15="","",'Marks Entry'!U15)</f>
        <v>A</v>
      </c>
      <c r="AM15" s="573">
        <f>IF('Marks Entry'!V15="","",'Marks Entry'!V15)</f>
        <v>10</v>
      </c>
      <c r="AN15" s="573">
        <f>IF('Marks Entry'!W15="","",'Marks Entry'!W15)</f>
        <v>5</v>
      </c>
      <c r="AO15" s="573">
        <f>IF('Marks Entry'!X15="","",'Marks Entry'!X15)</f>
        <v>7</v>
      </c>
      <c r="AP15" s="572">
        <f t="shared" si="65"/>
        <v>22</v>
      </c>
      <c r="AQ15" s="573">
        <f>IF('Marks Entry'!Y15="","",'Marks Entry'!Y15)</f>
        <v>17</v>
      </c>
      <c r="AR15" s="573" t="str">
        <f>IF('Marks Entry'!Z15="","",'Marks Entry'!Z15)</f>
        <v/>
      </c>
      <c r="AS15" s="572">
        <f t="shared" si="66"/>
        <v>17</v>
      </c>
      <c r="AT15" s="572">
        <f t="shared" si="67"/>
        <v>39</v>
      </c>
      <c r="AU15" s="573">
        <f>IF('Marks Entry'!AA15="","",'Marks Entry'!AA15)</f>
        <v>27</v>
      </c>
      <c r="AV15" s="573" t="str">
        <f>IF('Marks Entry'!AB15="","",'Marks Entry'!AB15)</f>
        <v/>
      </c>
      <c r="AW15" s="572">
        <f t="shared" si="68"/>
        <v>27</v>
      </c>
      <c r="AX15" s="156">
        <f t="shared" si="69"/>
        <v>66</v>
      </c>
      <c r="AY15" s="156" t="str">
        <f t="shared" si="70"/>
        <v/>
      </c>
      <c r="AZ15" s="191">
        <f t="shared" si="71"/>
        <v>66</v>
      </c>
      <c r="BA15" s="152">
        <f t="shared" si="72"/>
        <v>0</v>
      </c>
      <c r="BB15" s="153">
        <f t="shared" si="73"/>
        <v>0</v>
      </c>
      <c r="BC15" s="153">
        <f t="shared" si="74"/>
        <v>100</v>
      </c>
      <c r="BD15" s="153" t="str">
        <f t="shared" si="75"/>
        <v/>
      </c>
      <c r="BE15" s="153">
        <f t="shared" si="76"/>
        <v>200</v>
      </c>
      <c r="BF15" s="152" t="str">
        <f t="shared" si="77"/>
        <v/>
      </c>
      <c r="BG15" s="153" t="str">
        <f t="shared" si="175"/>
        <v>G1</v>
      </c>
      <c r="BH15" s="152" t="str">
        <f t="shared" si="78"/>
        <v>G1</v>
      </c>
      <c r="BI15" s="580" t="str">
        <f>IF('Marks Entry'!AC15="","",'Marks Entry'!AC15)</f>
        <v>A</v>
      </c>
      <c r="BJ15" s="580">
        <f>IF('Marks Entry'!AD15="","",'Marks Entry'!AD15)</f>
        <v>10</v>
      </c>
      <c r="BK15" s="580">
        <f>IF('Marks Entry'!AE15="","",'Marks Entry'!AE15)</f>
        <v>10</v>
      </c>
      <c r="BL15" s="580">
        <f>IF('Marks Entry'!AF15="","",'Marks Entry'!AF15)</f>
        <v>7</v>
      </c>
      <c r="BM15" s="581">
        <f t="shared" si="79"/>
        <v>27</v>
      </c>
      <c r="BN15" s="580">
        <f>IF('Marks Entry'!AG15="","",'Marks Entry'!AG15)</f>
        <v>32</v>
      </c>
      <c r="BO15" s="580" t="str">
        <f>IF('Marks Entry'!AH15="","",'Marks Entry'!AH15)</f>
        <v/>
      </c>
      <c r="BP15" s="581">
        <f t="shared" si="80"/>
        <v>32</v>
      </c>
      <c r="BQ15" s="581">
        <f t="shared" si="81"/>
        <v>59</v>
      </c>
      <c r="BR15" s="580">
        <f>IF('Marks Entry'!AI15="","",'Marks Entry'!AI15)</f>
        <v>65</v>
      </c>
      <c r="BS15" s="580" t="str">
        <f>IF('Marks Entry'!AJ15="","",'Marks Entry'!AJ15)</f>
        <v/>
      </c>
      <c r="BT15" s="581">
        <f t="shared" si="82"/>
        <v>65</v>
      </c>
      <c r="BU15" s="156">
        <f t="shared" si="83"/>
        <v>124</v>
      </c>
      <c r="BV15" s="156" t="str">
        <f t="shared" si="84"/>
        <v/>
      </c>
      <c r="BW15" s="191">
        <f t="shared" si="85"/>
        <v>124</v>
      </c>
      <c r="BX15" s="152">
        <f t="shared" si="86"/>
        <v>0</v>
      </c>
      <c r="BY15" s="153">
        <f t="shared" si="87"/>
        <v>0</v>
      </c>
      <c r="BZ15" s="153">
        <f t="shared" si="88"/>
        <v>100</v>
      </c>
      <c r="CA15" s="153" t="str">
        <f t="shared" si="89"/>
        <v/>
      </c>
      <c r="CB15" s="153">
        <f t="shared" si="90"/>
        <v>200</v>
      </c>
      <c r="CC15" s="152" t="str">
        <f t="shared" si="91"/>
        <v/>
      </c>
      <c r="CD15" s="153" t="str">
        <f t="shared" si="92"/>
        <v>P</v>
      </c>
      <c r="CE15" s="152" t="str">
        <f t="shared" si="93"/>
        <v>I</v>
      </c>
      <c r="CF15" s="580" t="str">
        <f>IF('Marks Entry'!AK15="","",'Marks Entry'!AK15)</f>
        <v>B</v>
      </c>
      <c r="CG15" s="580">
        <f>IF('Marks Entry'!AL15="","",'Marks Entry'!AL15)</f>
        <v>3</v>
      </c>
      <c r="CH15" s="580">
        <f>IF('Marks Entry'!AM15="","",'Marks Entry'!AM15)</f>
        <v>3</v>
      </c>
      <c r="CI15" s="580">
        <f>IF('Marks Entry'!AN15="","",'Marks Entry'!AN15)</f>
        <v>7</v>
      </c>
      <c r="CJ15" s="581">
        <f t="shared" si="94"/>
        <v>13</v>
      </c>
      <c r="CK15" s="580">
        <f>IF('Marks Entry'!AO15="","",'Marks Entry'!AO15)</f>
        <v>10</v>
      </c>
      <c r="CL15" s="580" t="str">
        <f>IF('Marks Entry'!AP15="","",'Marks Entry'!AP15)</f>
        <v/>
      </c>
      <c r="CM15" s="581">
        <f t="shared" si="95"/>
        <v>10</v>
      </c>
      <c r="CN15" s="581">
        <f t="shared" si="96"/>
        <v>23</v>
      </c>
      <c r="CO15" s="580" t="str">
        <f>IF('Marks Entry'!AQ15="","",'Marks Entry'!AQ15)</f>
        <v/>
      </c>
      <c r="CP15" s="580" t="str">
        <f>IF('Marks Entry'!AR15="","",'Marks Entry'!AR15)</f>
        <v/>
      </c>
      <c r="CQ15" s="581" t="str">
        <f t="shared" si="97"/>
        <v/>
      </c>
      <c r="CR15" s="156">
        <f t="shared" si="98"/>
        <v>23</v>
      </c>
      <c r="CS15" s="156" t="str">
        <f t="shared" si="99"/>
        <v/>
      </c>
      <c r="CT15" s="191">
        <f t="shared" si="100"/>
        <v>23</v>
      </c>
      <c r="CU15" s="152">
        <f t="shared" si="101"/>
        <v>0</v>
      </c>
      <c r="CV15" s="153">
        <f t="shared" si="102"/>
        <v>0</v>
      </c>
      <c r="CW15" s="153">
        <f t="shared" si="103"/>
        <v>100</v>
      </c>
      <c r="CX15" s="153" t="str">
        <f t="shared" si="104"/>
        <v/>
      </c>
      <c r="CY15" s="153">
        <f t="shared" si="176"/>
        <v>200</v>
      </c>
      <c r="CZ15" s="152" t="str">
        <f t="shared" si="105"/>
        <v/>
      </c>
      <c r="DA15" s="153" t="str">
        <f t="shared" si="106"/>
        <v/>
      </c>
      <c r="DB15" s="152" t="str">
        <f t="shared" si="107"/>
        <v/>
      </c>
      <c r="DC15" s="153">
        <f t="shared" si="108"/>
        <v>0</v>
      </c>
      <c r="DD15" s="851" t="str">
        <f>IF('Marks Entry'!AS15="","",IF(OR('Master Sheet'!$D$19="YES",'Marks Entry'!$BA$1=1),'Marks Entry'!AS15,""))</f>
        <v/>
      </c>
      <c r="DE15" s="851" t="str">
        <f>IF('Marks Entry'!AT15="","",IF(OR('Master Sheet'!$D$19="YES",'Marks Entry'!$BA$1=1),'Marks Entry'!AT15,""))</f>
        <v/>
      </c>
      <c r="DF15" s="851" t="str">
        <f>IF('Marks Entry'!AU15="","",IF(OR('Master Sheet'!$D$19="YES",'Marks Entry'!$BA$1=1),'Marks Entry'!AU15,""))</f>
        <v/>
      </c>
      <c r="DG15" s="851" t="str">
        <f>IF('Marks Entry'!AV15="","",IF(OR('Master Sheet'!$D$19="YES",'Marks Entry'!$BA$1=1),'Marks Entry'!AV15,""))</f>
        <v/>
      </c>
      <c r="DH15" s="852" t="str">
        <f t="shared" si="109"/>
        <v/>
      </c>
      <c r="DI15" s="851" t="str">
        <f>IF('Marks Entry'!AW15="","",IF(OR('Master Sheet'!$D$19="YES",'Marks Entry'!$BA$1=1),'Marks Entry'!AW15,""))</f>
        <v/>
      </c>
      <c r="DJ15" s="851" t="str">
        <f>IF('Marks Entry'!AX15="","",IF(OR('Master Sheet'!$D$19="YES",'Marks Entry'!$BA$1=1),'Marks Entry'!AX15,""))</f>
        <v/>
      </c>
      <c r="DK15" s="852" t="str">
        <f t="shared" si="110"/>
        <v/>
      </c>
      <c r="DL15" s="852" t="str">
        <f t="shared" si="111"/>
        <v/>
      </c>
      <c r="DM15" s="851" t="str">
        <f>IF('Marks Entry'!AY15="","",IF(OR('Master Sheet'!$D$19="YES",'Marks Entry'!$BA$1=1),'Marks Entry'!AY15,""))</f>
        <v/>
      </c>
      <c r="DN15" s="851" t="str">
        <f>IF('Marks Entry'!AZ15="","",IF(OR('Master Sheet'!$D$19="YES",'Marks Entry'!$BA$1=1),'Marks Entry'!AZ15,""))</f>
        <v/>
      </c>
      <c r="DO15" s="851" t="str">
        <f>IF('Marks Entry'!BA15="","",IF(OR('Master Sheet'!$D$19="YES",'Marks Entry'!$BA$1=1),'Marks Entry'!BA15,""))</f>
        <v/>
      </c>
      <c r="DP15" s="852" t="str">
        <f t="shared" si="112"/>
        <v/>
      </c>
      <c r="DQ15" s="156" t="str">
        <f t="shared" si="113"/>
        <v/>
      </c>
      <c r="DR15" s="156" t="str">
        <f t="shared" si="114"/>
        <v/>
      </c>
      <c r="DS15" s="156" t="str">
        <f t="shared" si="115"/>
        <v/>
      </c>
      <c r="DT15" s="191" t="str">
        <f t="shared" si="116"/>
        <v/>
      </c>
      <c r="DU15" s="152">
        <f t="shared" si="117"/>
        <v>0</v>
      </c>
      <c r="DV15" s="153">
        <f t="shared" si="118"/>
        <v>0</v>
      </c>
      <c r="DW15" s="153" t="str">
        <f t="shared" si="119"/>
        <v/>
      </c>
      <c r="DX15" s="153" t="str">
        <f>IF(OR($B15="NSO",$B15=0,DS15=""),"",IF(AND(DJ15="",DO15=""),"",IF('Master Sheet'!$D$19="YES",$DO$6-COUNTIF(DO15,"ML")*DO$6,DS$6-(COUNTIF(DJ15,"ML")*DJ$6)-(COUNTIF(DO15,"ML")*DO$6))))</f>
        <v/>
      </c>
      <c r="DY15" s="153" t="str">
        <f>IF(OR($B15="NSO",$B15=0),"",IF(AND(DH15="",DI15="",DM15=""),"",IF(AND('Master Sheet'!$D$19="YES",'Marks Entry'!$BA$1=1),100,IF(AND(DJ15="",DO15=""),SUM(($DQ$7+$DR$7)-(DU15+DV15)),SUM(($DQ$6+$DR$6)-(DU15+DV15))))))</f>
        <v/>
      </c>
      <c r="DZ15" s="152" t="str">
        <f t="shared" si="120"/>
        <v/>
      </c>
      <c r="EA15" s="153" t="str">
        <f t="shared" si="121"/>
        <v/>
      </c>
      <c r="EB15" s="152" t="str">
        <f t="shared" si="122"/>
        <v/>
      </c>
      <c r="EC15" s="584">
        <f>IF('Marks Entry'!BB15="","",'Marks Entry'!BB15)</f>
        <v>26</v>
      </c>
      <c r="ED15" s="584">
        <f>IF('Marks Entry'!BC15="","",'Marks Entry'!BC15)</f>
        <v>27</v>
      </c>
      <c r="EE15" s="584">
        <f>IF('Marks Entry'!BD15="","",'Marks Entry'!BD15)</f>
        <v>32</v>
      </c>
      <c r="EF15" s="590">
        <f t="shared" si="123"/>
        <v>85</v>
      </c>
      <c r="EG15" s="595">
        <f t="shared" si="124"/>
        <v>0</v>
      </c>
      <c r="EH15" s="595">
        <f t="shared" si="125"/>
        <v>0</v>
      </c>
      <c r="EI15" s="192">
        <f t="shared" si="126"/>
        <v>100</v>
      </c>
      <c r="EJ15" s="595" t="str">
        <f t="shared" si="127"/>
        <v/>
      </c>
      <c r="EK15" s="595" t="str">
        <f t="shared" si="128"/>
        <v>A</v>
      </c>
      <c r="EL15" s="193" t="str">
        <f t="shared" si="129"/>
        <v>II</v>
      </c>
      <c r="EM15" s="193" t="str">
        <f t="shared" si="130"/>
        <v>I</v>
      </c>
      <c r="EN15" s="193" t="str">
        <f t="shared" si="131"/>
        <v>G1</v>
      </c>
      <c r="EO15" s="193" t="str">
        <f t="shared" si="132"/>
        <v>I</v>
      </c>
      <c r="EP15" s="193" t="str">
        <f t="shared" si="133"/>
        <v/>
      </c>
      <c r="EQ15" s="193" t="str">
        <f t="shared" si="134"/>
        <v/>
      </c>
      <c r="ER15" s="194">
        <f t="shared" si="135"/>
        <v>0</v>
      </c>
      <c r="ES15" s="194">
        <f t="shared" si="136"/>
        <v>0</v>
      </c>
      <c r="ET15" s="194">
        <f t="shared" si="137"/>
        <v>1</v>
      </c>
      <c r="EU15" s="194">
        <f t="shared" si="138"/>
        <v>0</v>
      </c>
      <c r="EV15" s="194">
        <f t="shared" si="139"/>
        <v>0</v>
      </c>
      <c r="EW15" s="194" t="str">
        <f t="shared" si="140"/>
        <v/>
      </c>
      <c r="EX15" s="195" t="str">
        <f t="shared" si="141"/>
        <v>BY GRACE PASS</v>
      </c>
      <c r="EY15" s="196">
        <f>IF('Marks Entry'!BE15="","",'Marks Entry'!BE15)</f>
        <v>8</v>
      </c>
      <c r="EZ15" s="196">
        <f>IF('Marks Entry'!BF15="","",'Marks Entry'!BF15)</f>
        <v>8</v>
      </c>
      <c r="FA15" s="196">
        <f>IF('Marks Entry'!BG15="","",'Marks Entry'!BG15)</f>
        <v>8</v>
      </c>
      <c r="FB15" s="596">
        <f t="shared" si="142"/>
        <v>24</v>
      </c>
      <c r="FC15" s="196">
        <f>IF('Marks Entry'!BH15="","",'Marks Entry'!BH15)</f>
        <v>52</v>
      </c>
      <c r="FD15" s="196">
        <f>IF('Marks Entry'!BI15="","",'Marks Entry'!BI15)</f>
        <v>65</v>
      </c>
      <c r="FE15" s="197">
        <f t="shared" si="143"/>
        <v>141</v>
      </c>
      <c r="FF15" s="198" t="str">
        <f t="shared" si="144"/>
        <v>B</v>
      </c>
      <c r="FG15" s="199">
        <f>IF(AND(E15=""),"",IF('Student DATA Entry'!L11="","",'Student DATA Entry'!L11))</f>
        <v>360</v>
      </c>
      <c r="FH15" s="200">
        <f>IF(AND(E15=""),"",IF('Student DATA Entry'!M11="","",'Student DATA Entry'!M11))</f>
        <v>330</v>
      </c>
      <c r="FI15" s="201">
        <f t="shared" si="145"/>
        <v>91.666666666666657</v>
      </c>
      <c r="FJ15" s="188" t="str">
        <f t="shared" si="146"/>
        <v>II</v>
      </c>
      <c r="FK15" s="188" t="str">
        <f t="shared" si="147"/>
        <v/>
      </c>
      <c r="FL15" s="202" t="str">
        <f t="shared" si="19"/>
        <v/>
      </c>
      <c r="FM15" s="188" t="str">
        <f t="shared" si="148"/>
        <v>I</v>
      </c>
      <c r="FN15" s="203" t="str">
        <f t="shared" si="149"/>
        <v/>
      </c>
      <c r="FO15" s="202" t="str">
        <f t="shared" si="20"/>
        <v/>
      </c>
      <c r="FP15" s="204" t="str">
        <f t="shared" si="150"/>
        <v>G</v>
      </c>
      <c r="FQ15" s="188" t="str">
        <f t="shared" si="21"/>
        <v>G</v>
      </c>
      <c r="FR15" s="188" t="str">
        <f t="shared" si="22"/>
        <v/>
      </c>
      <c r="FS15" s="188" t="str">
        <f t="shared" si="23"/>
        <v/>
      </c>
      <c r="FT15" s="188" t="str">
        <f t="shared" si="24"/>
        <v/>
      </c>
      <c r="FU15" s="188" t="str">
        <f t="shared" si="151"/>
        <v>,+</v>
      </c>
      <c r="FV15" s="205">
        <f t="shared" si="25"/>
        <v>6</v>
      </c>
      <c r="FW15" s="204" t="str">
        <f t="shared" si="152"/>
        <v>I</v>
      </c>
      <c r="FX15" s="188" t="str">
        <f t="shared" si="26"/>
        <v>I</v>
      </c>
      <c r="FY15" s="188" t="str">
        <f t="shared" si="27"/>
        <v/>
      </c>
      <c r="FZ15" s="188" t="str">
        <f t="shared" si="28"/>
        <v/>
      </c>
      <c r="GA15" s="188" t="str">
        <f t="shared" si="29"/>
        <v/>
      </c>
      <c r="GB15" s="188" t="str">
        <f t="shared" si="153"/>
        <v/>
      </c>
      <c r="GC15" s="205" t="str">
        <f t="shared" si="30"/>
        <v/>
      </c>
      <c r="GD15" s="204" t="str">
        <f t="shared" si="154"/>
        <v/>
      </c>
      <c r="GE15" s="188" t="str">
        <f t="shared" si="31"/>
        <v/>
      </c>
      <c r="GF15" s="188" t="str">
        <f t="shared" si="32"/>
        <v/>
      </c>
      <c r="GG15" s="188" t="str">
        <f t="shared" si="33"/>
        <v/>
      </c>
      <c r="GH15" s="188" t="str">
        <f t="shared" si="34"/>
        <v/>
      </c>
      <c r="GI15" s="188" t="str">
        <f t="shared" si="155"/>
        <v/>
      </c>
      <c r="GJ15" s="205" t="str">
        <f t="shared" si="35"/>
        <v/>
      </c>
      <c r="GK15" s="204" t="str">
        <f t="shared" si="156"/>
        <v/>
      </c>
      <c r="GL15" s="188" t="str">
        <f t="shared" si="36"/>
        <v/>
      </c>
      <c r="GM15" s="188" t="str">
        <f t="shared" si="37"/>
        <v/>
      </c>
      <c r="GN15" s="188" t="str">
        <f t="shared" si="38"/>
        <v/>
      </c>
      <c r="GO15" s="188" t="str">
        <f t="shared" si="39"/>
        <v/>
      </c>
      <c r="GP15" s="188" t="str">
        <f t="shared" si="157"/>
        <v/>
      </c>
      <c r="GQ15" s="205" t="str">
        <f t="shared" si="40"/>
        <v/>
      </c>
      <c r="GR15" s="188" t="str">
        <f t="shared" si="158"/>
        <v>A</v>
      </c>
      <c r="GS15" s="188" t="str">
        <f t="shared" si="159"/>
        <v>B</v>
      </c>
      <c r="GT15" s="206" t="str">
        <f t="shared" si="177"/>
        <v xml:space="preserve">    </v>
      </c>
      <c r="GU15" s="206" t="str">
        <f t="shared" si="160"/>
        <v xml:space="preserve">    </v>
      </c>
      <c r="GV15" s="206" t="str">
        <f t="shared" si="161"/>
        <v xml:space="preserve">  POLITICAL SCIENCE  </v>
      </c>
      <c r="GW15" s="206" t="str">
        <f t="shared" si="162"/>
        <v xml:space="preserve">       </v>
      </c>
      <c r="GX15" s="598" t="str">
        <f t="shared" si="163"/>
        <v xml:space="preserve">     </v>
      </c>
      <c r="GY15" s="207" t="str">
        <f t="shared" si="164"/>
        <v>BY GRACE PASS</v>
      </c>
      <c r="GZ15" s="606">
        <f>IF(AND(Q15="",AE15="",AZ15="",BW15="",CT15=""),"",IF(AND('Master Sheet'!$D$19="YES",'Marks Entry'!$BA$1=1),SUM(Q15,AE15,AZ15,BW15,DT15),SUM(Q15,AE15,AZ15,BW15,CT15)))</f>
        <v>437</v>
      </c>
      <c r="HA15" s="208">
        <f>IF(GZ15="","",IF(AND('Master Sheet'!$D$19="YES",'Marks Entry'!$BA$1=1),GZ15/((900)-DC15)*100,GZ15/((1000)-DC15)*100))</f>
        <v>43.7</v>
      </c>
      <c r="HB15" s="611" t="str">
        <f t="shared" si="165"/>
        <v>III</v>
      </c>
      <c r="HC15" s="609">
        <f t="shared" si="166"/>
        <v>43.7</v>
      </c>
      <c r="HD15" s="610">
        <f t="shared" si="167"/>
        <v>8.000000000000032</v>
      </c>
      <c r="HE15" s="209" t="str">
        <f>IFERROR(IF(OR(GY15="SUPPLEMENTARY",GY15="RE-EXAM"),'Supp. Result Entry'!AS14,""),"")</f>
        <v/>
      </c>
      <c r="HF15" s="613" t="str">
        <f t="shared" si="168"/>
        <v/>
      </c>
      <c r="HG15" s="598" t="str">
        <f t="shared" si="169"/>
        <v/>
      </c>
      <c r="HH15" s="598" t="str">
        <f>IF(AND(HE15="",HF15="",HG15=""),"",IF(OR(GY15="SUPPLEMENTARY",GY15="RE-EXAM"),'Supp. Result Entry'!AS14,GY15))</f>
        <v/>
      </c>
      <c r="HI15" s="179"/>
      <c r="HY15" s="211" t="str">
        <f>IF('Supp. Result Entry'!U14="","",'Supp. Result Entry'!$U$6)</f>
        <v/>
      </c>
      <c r="HZ15" s="212" t="str">
        <f>IF('Supp. Result Entry'!X14="","",'Supp. Result Entry'!$X$6)</f>
        <v/>
      </c>
      <c r="IA15" s="212">
        <f>IF('Supp. Result Entry'!AA14="","",'Supp. Result Entry'!$AA$6)</f>
        <v>100</v>
      </c>
      <c r="IB15" s="212" t="str">
        <f>IF('Supp. Result Entry'!AD14="","",'Supp. Result Entry'!$AD$6)</f>
        <v/>
      </c>
      <c r="IC15" s="212">
        <f>IF('Supp. Result Entry'!AG14="","",'Supp. Result Entry'!$AG$6)</f>
        <v>100</v>
      </c>
      <c r="ID15" s="212" t="str">
        <f>IF('Supp. Result Entry'!AJ14="","",'Supp. Result Entry'!$AJ$6)</f>
        <v/>
      </c>
      <c r="IE15" s="212" t="str">
        <f>IF('Supp. Result Entry'!V14="","",'Supp. Result Entry'!V14)</f>
        <v/>
      </c>
      <c r="IF15" s="212" t="str">
        <f>IF('Supp. Result Entry'!Y14="","",'Supp. Result Entry'!Y14)</f>
        <v/>
      </c>
      <c r="IG15" s="212">
        <f>IF('Supp. Result Entry'!AB14="","",'Supp. Result Entry'!AB14)</f>
        <v>0</v>
      </c>
      <c r="IH15" s="212" t="str">
        <f>IF('Supp. Result Entry'!AE14="","",'Supp. Result Entry'!AE14)</f>
        <v/>
      </c>
      <c r="II15" s="212">
        <f>IF('Supp. Result Entry'!AH14="","",'Supp. Result Entry'!AH14)</f>
        <v>0</v>
      </c>
      <c r="IJ15" s="212" t="str">
        <f>IF('Supp. Result Entry'!AK14="","",'Supp. Result Entry'!AK14)</f>
        <v/>
      </c>
      <c r="IK15" s="212" t="str">
        <f>IF('Supp. Result Entry'!W14="","",'Supp. Result Entry'!W14)</f>
        <v/>
      </c>
      <c r="IL15" s="212" t="str">
        <f>IF('Supp. Result Entry'!Z14="","",'Supp. Result Entry'!Z14)</f>
        <v/>
      </c>
      <c r="IM15" s="212" t="str">
        <f>IF('Supp. Result Entry'!AC14="","",'Supp. Result Entry'!AC14)</f>
        <v>P</v>
      </c>
      <c r="IN15" s="212" t="str">
        <f>IF('Supp. Result Entry'!AF14="","",'Supp. Result Entry'!AF14)</f>
        <v/>
      </c>
      <c r="IO15" s="212" t="str">
        <f>IF('Supp. Result Entry'!AI14="","",'Supp. Result Entry'!AI14)</f>
        <v>P</v>
      </c>
      <c r="IP15" s="212" t="str">
        <f>IF('Supp. Result Entry'!AL14="","",'Supp. Result Entry'!AL14)</f>
        <v/>
      </c>
      <c r="IQ15" s="212">
        <f>COUNTIF('Supp. Result Entry'!K14:Q14,"S")</f>
        <v>0</v>
      </c>
      <c r="IR15" s="212">
        <f t="shared" si="170"/>
        <v>0</v>
      </c>
      <c r="IS15" s="212">
        <f t="shared" si="171"/>
        <v>2</v>
      </c>
      <c r="IT15" s="212" t="str">
        <f t="shared" si="41"/>
        <v/>
      </c>
      <c r="IU15" s="212" t="str">
        <f t="shared" si="42"/>
        <v/>
      </c>
      <c r="IV15" s="212" t="str">
        <f t="shared" si="43"/>
        <v/>
      </c>
      <c r="IW15" s="212" t="str">
        <f t="shared" si="44"/>
        <v/>
      </c>
      <c r="IX15" s="212" t="str">
        <f t="shared" si="45"/>
        <v/>
      </c>
      <c r="IY15" s="212" t="str">
        <f t="shared" si="172"/>
        <v/>
      </c>
      <c r="IZ15" s="212" t="str">
        <f t="shared" si="173"/>
        <v/>
      </c>
      <c r="JA15" s="212" t="str">
        <f t="shared" si="46"/>
        <v/>
      </c>
      <c r="JB15" s="210" t="str">
        <f t="shared" si="174"/>
        <v/>
      </c>
    </row>
    <row r="16" spans="1:262" s="210" customFormat="1" ht="21" customHeight="1">
      <c r="A16" s="183">
        <v>9</v>
      </c>
      <c r="B16" s="184">
        <f>IF('Marks Entry'!B16="","",'Marks Entry'!B16)</f>
        <v>1109</v>
      </c>
      <c r="C16" s="185">
        <f>IF('Marks Entry'!D16="","",'Marks Entry'!D16)</f>
        <v>345</v>
      </c>
      <c r="D16" s="186">
        <f>IF('Marks Entry'!E16="","",'Marks Entry'!E16)</f>
        <v>40795</v>
      </c>
      <c r="E16" s="187" t="str">
        <f>IF('Marks Entry'!F16="","",'Marks Entry'!F16)</f>
        <v>P</v>
      </c>
      <c r="F16" s="187" t="str">
        <f>IF('Marks Entry'!G16="","",'Marks Entry'!G16)</f>
        <v>P</v>
      </c>
      <c r="G16" s="187" t="str">
        <f>IF('Marks Entry'!H16="","",'Marks Entry'!H16)</f>
        <v>N</v>
      </c>
      <c r="H16" s="188" t="str">
        <f>IF('Marks Entry'!I16="","",'Marks Entry'!I16)</f>
        <v>SC</v>
      </c>
      <c r="I16" s="189" t="str">
        <f>IF('Marks Entry'!J16="","",'Marks Entry'!J16)</f>
        <v>F</v>
      </c>
      <c r="J16" s="545">
        <f>IF('Marks Entry'!K16="","",'Marks Entry'!K16)</f>
        <v>9</v>
      </c>
      <c r="K16" s="545">
        <f>IF('Marks Entry'!L16="","",'Marks Entry'!L16)</f>
        <v>9</v>
      </c>
      <c r="L16" s="545">
        <f>IF('Marks Entry'!M16="","",'Marks Entry'!M16)</f>
        <v>8</v>
      </c>
      <c r="M16" s="546">
        <f t="shared" si="47"/>
        <v>26</v>
      </c>
      <c r="N16" s="545">
        <f>IF('Marks Entry'!N16="","",'Marks Entry'!N16)</f>
        <v>37</v>
      </c>
      <c r="O16" s="546">
        <f t="shared" si="48"/>
        <v>63</v>
      </c>
      <c r="P16" s="545">
        <f>IF('Marks Entry'!O16="","",'Marks Entry'!O16)</f>
        <v>35</v>
      </c>
      <c r="Q16" s="547">
        <f t="shared" si="49"/>
        <v>98</v>
      </c>
      <c r="R16" s="152">
        <f t="shared" si="50"/>
        <v>0</v>
      </c>
      <c r="S16" s="152">
        <f t="shared" si="51"/>
        <v>0</v>
      </c>
      <c r="T16" s="153">
        <f t="shared" si="52"/>
        <v>200</v>
      </c>
      <c r="U16" s="152" t="str">
        <f t="shared" si="53"/>
        <v/>
      </c>
      <c r="V16" s="152" t="str">
        <f t="shared" si="54"/>
        <v>P</v>
      </c>
      <c r="W16" s="152" t="str">
        <f t="shared" si="55"/>
        <v>II</v>
      </c>
      <c r="X16" s="545">
        <f>IF('Marks Entry'!P16="","",'Marks Entry'!P16)</f>
        <v>8</v>
      </c>
      <c r="Y16" s="545">
        <f>IF('Marks Entry'!Q16="","",'Marks Entry'!Q16)</f>
        <v>4</v>
      </c>
      <c r="Z16" s="545">
        <f>IF('Marks Entry'!R16="","",'Marks Entry'!R16)</f>
        <v>9</v>
      </c>
      <c r="AA16" s="546">
        <f t="shared" si="56"/>
        <v>21</v>
      </c>
      <c r="AB16" s="545">
        <f>IF('Marks Entry'!S16="","",'Marks Entry'!S16)</f>
        <v>38</v>
      </c>
      <c r="AC16" s="546">
        <f t="shared" si="57"/>
        <v>59</v>
      </c>
      <c r="AD16" s="545">
        <f>IF('Marks Entry'!T16="","",'Marks Entry'!T16)</f>
        <v>45</v>
      </c>
      <c r="AE16" s="547">
        <f t="shared" si="58"/>
        <v>104</v>
      </c>
      <c r="AF16" s="152">
        <f t="shared" si="59"/>
        <v>0</v>
      </c>
      <c r="AG16" s="152">
        <f t="shared" si="60"/>
        <v>0</v>
      </c>
      <c r="AH16" s="153">
        <f t="shared" si="61"/>
        <v>200</v>
      </c>
      <c r="AI16" s="152" t="str">
        <f t="shared" si="62"/>
        <v/>
      </c>
      <c r="AJ16" s="152" t="str">
        <f t="shared" si="63"/>
        <v>P</v>
      </c>
      <c r="AK16" s="152" t="str">
        <f t="shared" si="64"/>
        <v>II</v>
      </c>
      <c r="AL16" s="573" t="str">
        <f>IF('Marks Entry'!U16="","",'Marks Entry'!U16)</f>
        <v>A</v>
      </c>
      <c r="AM16" s="573">
        <f>IF('Marks Entry'!V16="","",'Marks Entry'!V16)</f>
        <v>7</v>
      </c>
      <c r="AN16" s="573">
        <f>IF('Marks Entry'!W16="","",'Marks Entry'!W16)</f>
        <v>9</v>
      </c>
      <c r="AO16" s="573">
        <f>IF('Marks Entry'!X16="","",'Marks Entry'!X16)</f>
        <v>7</v>
      </c>
      <c r="AP16" s="572">
        <f t="shared" si="65"/>
        <v>23</v>
      </c>
      <c r="AQ16" s="573">
        <f>IF('Marks Entry'!Y16="","",'Marks Entry'!Y16)</f>
        <v>10</v>
      </c>
      <c r="AR16" s="573" t="str">
        <f>IF('Marks Entry'!Z16="","",'Marks Entry'!Z16)</f>
        <v/>
      </c>
      <c r="AS16" s="572">
        <f t="shared" si="66"/>
        <v>10</v>
      </c>
      <c r="AT16" s="572">
        <f t="shared" si="67"/>
        <v>33</v>
      </c>
      <c r="AU16" s="573">
        <f>IF('Marks Entry'!AA16="","",'Marks Entry'!AA16)</f>
        <v>10</v>
      </c>
      <c r="AV16" s="573" t="str">
        <f>IF('Marks Entry'!AB16="","",'Marks Entry'!AB16)</f>
        <v/>
      </c>
      <c r="AW16" s="572">
        <f t="shared" si="68"/>
        <v>10</v>
      </c>
      <c r="AX16" s="156">
        <f t="shared" si="69"/>
        <v>43</v>
      </c>
      <c r="AY16" s="156" t="str">
        <f t="shared" si="70"/>
        <v/>
      </c>
      <c r="AZ16" s="191">
        <f t="shared" si="71"/>
        <v>43</v>
      </c>
      <c r="BA16" s="152">
        <f t="shared" si="72"/>
        <v>0</v>
      </c>
      <c r="BB16" s="153">
        <f t="shared" si="73"/>
        <v>0</v>
      </c>
      <c r="BC16" s="153">
        <f t="shared" si="74"/>
        <v>100</v>
      </c>
      <c r="BD16" s="153" t="str">
        <f t="shared" si="75"/>
        <v/>
      </c>
      <c r="BE16" s="153">
        <f t="shared" si="76"/>
        <v>200</v>
      </c>
      <c r="BF16" s="152" t="str">
        <f t="shared" si="77"/>
        <v/>
      </c>
      <c r="BG16" s="153" t="str">
        <f t="shared" si="175"/>
        <v>F</v>
      </c>
      <c r="BH16" s="152" t="str">
        <f t="shared" si="78"/>
        <v>F</v>
      </c>
      <c r="BI16" s="580" t="str">
        <f>IF('Marks Entry'!AC16="","",'Marks Entry'!AC16)</f>
        <v>A</v>
      </c>
      <c r="BJ16" s="580">
        <f>IF('Marks Entry'!AD16="","",'Marks Entry'!AD16)</f>
        <v>5</v>
      </c>
      <c r="BK16" s="580">
        <f>IF('Marks Entry'!AE16="","",'Marks Entry'!AE16)</f>
        <v>2</v>
      </c>
      <c r="BL16" s="580" t="str">
        <f>IF('Marks Entry'!AF16="","",'Marks Entry'!AF16)</f>
        <v/>
      </c>
      <c r="BM16" s="581">
        <f t="shared" si="79"/>
        <v>7</v>
      </c>
      <c r="BN16" s="580">
        <f>IF('Marks Entry'!AG16="","",'Marks Entry'!AG16)</f>
        <v>37</v>
      </c>
      <c r="BO16" s="580" t="str">
        <f>IF('Marks Entry'!AH16="","",'Marks Entry'!AH16)</f>
        <v/>
      </c>
      <c r="BP16" s="581">
        <f t="shared" si="80"/>
        <v>37</v>
      </c>
      <c r="BQ16" s="581">
        <f t="shared" si="81"/>
        <v>44</v>
      </c>
      <c r="BR16" s="580">
        <f>IF('Marks Entry'!AI16="","",'Marks Entry'!AI16)</f>
        <v>69</v>
      </c>
      <c r="BS16" s="580" t="str">
        <f>IF('Marks Entry'!AJ16="","",'Marks Entry'!AJ16)</f>
        <v/>
      </c>
      <c r="BT16" s="581">
        <f t="shared" si="82"/>
        <v>69</v>
      </c>
      <c r="BU16" s="156">
        <f t="shared" si="83"/>
        <v>113</v>
      </c>
      <c r="BV16" s="156" t="str">
        <f t="shared" si="84"/>
        <v/>
      </c>
      <c r="BW16" s="191">
        <f t="shared" si="85"/>
        <v>113</v>
      </c>
      <c r="BX16" s="152">
        <f t="shared" si="86"/>
        <v>0</v>
      </c>
      <c r="BY16" s="153">
        <f t="shared" si="87"/>
        <v>0</v>
      </c>
      <c r="BZ16" s="153">
        <f t="shared" si="88"/>
        <v>100</v>
      </c>
      <c r="CA16" s="153" t="str">
        <f t="shared" si="89"/>
        <v/>
      </c>
      <c r="CB16" s="153">
        <f t="shared" si="90"/>
        <v>200</v>
      </c>
      <c r="CC16" s="152" t="str">
        <f t="shared" si="91"/>
        <v/>
      </c>
      <c r="CD16" s="153" t="str">
        <f t="shared" si="92"/>
        <v>P</v>
      </c>
      <c r="CE16" s="152" t="str">
        <f t="shared" si="93"/>
        <v>II</v>
      </c>
      <c r="CF16" s="580" t="str">
        <f>IF('Marks Entry'!AK16="","",'Marks Entry'!AK16)</f>
        <v>B</v>
      </c>
      <c r="CG16" s="580">
        <f>IF('Marks Entry'!AL16="","",'Marks Entry'!AL16)</f>
        <v>3</v>
      </c>
      <c r="CH16" s="580">
        <f>IF('Marks Entry'!AM16="","",'Marks Entry'!AM16)</f>
        <v>3</v>
      </c>
      <c r="CI16" s="580">
        <f>IF('Marks Entry'!AN16="","",'Marks Entry'!AN16)</f>
        <v>7</v>
      </c>
      <c r="CJ16" s="581">
        <f t="shared" si="94"/>
        <v>13</v>
      </c>
      <c r="CK16" s="580">
        <f>IF('Marks Entry'!AO16="","",'Marks Entry'!AO16)</f>
        <v>47</v>
      </c>
      <c r="CL16" s="580" t="str">
        <f>IF('Marks Entry'!AP16="","",'Marks Entry'!AP16)</f>
        <v/>
      </c>
      <c r="CM16" s="581">
        <f t="shared" si="95"/>
        <v>47</v>
      </c>
      <c r="CN16" s="581">
        <f t="shared" si="96"/>
        <v>60</v>
      </c>
      <c r="CO16" s="580" t="str">
        <f>IF('Marks Entry'!AQ16="","",'Marks Entry'!AQ16)</f>
        <v/>
      </c>
      <c r="CP16" s="580" t="str">
        <f>IF('Marks Entry'!AR16="","",'Marks Entry'!AR16)</f>
        <v/>
      </c>
      <c r="CQ16" s="581" t="str">
        <f t="shared" si="97"/>
        <v/>
      </c>
      <c r="CR16" s="156">
        <f t="shared" si="98"/>
        <v>60</v>
      </c>
      <c r="CS16" s="156" t="str">
        <f t="shared" si="99"/>
        <v/>
      </c>
      <c r="CT16" s="191">
        <f t="shared" si="100"/>
        <v>60</v>
      </c>
      <c r="CU16" s="152">
        <f t="shared" si="101"/>
        <v>0</v>
      </c>
      <c r="CV16" s="153">
        <f t="shared" si="102"/>
        <v>0</v>
      </c>
      <c r="CW16" s="153">
        <f t="shared" si="103"/>
        <v>100</v>
      </c>
      <c r="CX16" s="153" t="str">
        <f t="shared" si="104"/>
        <v/>
      </c>
      <c r="CY16" s="153">
        <f t="shared" si="176"/>
        <v>200</v>
      </c>
      <c r="CZ16" s="152" t="str">
        <f t="shared" si="105"/>
        <v/>
      </c>
      <c r="DA16" s="153" t="str">
        <f t="shared" si="106"/>
        <v/>
      </c>
      <c r="DB16" s="152" t="str">
        <f t="shared" si="107"/>
        <v/>
      </c>
      <c r="DC16" s="153">
        <f t="shared" si="108"/>
        <v>0</v>
      </c>
      <c r="DD16" s="851" t="str">
        <f>IF('Marks Entry'!AS16="","",IF(OR('Master Sheet'!$D$19="YES",'Marks Entry'!$BA$1=1),'Marks Entry'!AS16,""))</f>
        <v/>
      </c>
      <c r="DE16" s="851" t="str">
        <f>IF('Marks Entry'!AT16="","",IF(OR('Master Sheet'!$D$19="YES",'Marks Entry'!$BA$1=1),'Marks Entry'!AT16,""))</f>
        <v/>
      </c>
      <c r="DF16" s="851" t="str">
        <f>IF('Marks Entry'!AU16="","",IF(OR('Master Sheet'!$D$19="YES",'Marks Entry'!$BA$1=1),'Marks Entry'!AU16,""))</f>
        <v/>
      </c>
      <c r="DG16" s="851" t="str">
        <f>IF('Marks Entry'!AV16="","",IF(OR('Master Sheet'!$D$19="YES",'Marks Entry'!$BA$1=1),'Marks Entry'!AV16,""))</f>
        <v/>
      </c>
      <c r="DH16" s="852" t="str">
        <f t="shared" si="109"/>
        <v/>
      </c>
      <c r="DI16" s="851" t="str">
        <f>IF('Marks Entry'!AW16="","",IF(OR('Master Sheet'!$D$19="YES",'Marks Entry'!$BA$1=1),'Marks Entry'!AW16,""))</f>
        <v/>
      </c>
      <c r="DJ16" s="851" t="str">
        <f>IF('Marks Entry'!AX16="","",IF(OR('Master Sheet'!$D$19="YES",'Marks Entry'!$BA$1=1),'Marks Entry'!AX16,""))</f>
        <v/>
      </c>
      <c r="DK16" s="852" t="str">
        <f t="shared" si="110"/>
        <v/>
      </c>
      <c r="DL16" s="852" t="str">
        <f t="shared" si="111"/>
        <v/>
      </c>
      <c r="DM16" s="851" t="str">
        <f>IF('Marks Entry'!AY16="","",IF(OR('Master Sheet'!$D$19="YES",'Marks Entry'!$BA$1=1),'Marks Entry'!AY16,""))</f>
        <v/>
      </c>
      <c r="DN16" s="851" t="str">
        <f>IF('Marks Entry'!AZ16="","",IF(OR('Master Sheet'!$D$19="YES",'Marks Entry'!$BA$1=1),'Marks Entry'!AZ16,""))</f>
        <v/>
      </c>
      <c r="DO16" s="851" t="str">
        <f>IF('Marks Entry'!BA16="","",IF(OR('Master Sheet'!$D$19="YES",'Marks Entry'!$BA$1=1),'Marks Entry'!BA16,""))</f>
        <v/>
      </c>
      <c r="DP16" s="852" t="str">
        <f t="shared" si="112"/>
        <v/>
      </c>
      <c r="DQ16" s="156" t="str">
        <f t="shared" si="113"/>
        <v/>
      </c>
      <c r="DR16" s="156" t="str">
        <f t="shared" si="114"/>
        <v/>
      </c>
      <c r="DS16" s="156" t="str">
        <f t="shared" si="115"/>
        <v/>
      </c>
      <c r="DT16" s="191" t="str">
        <f t="shared" si="116"/>
        <v/>
      </c>
      <c r="DU16" s="152">
        <f t="shared" si="117"/>
        <v>0</v>
      </c>
      <c r="DV16" s="153">
        <f t="shared" si="118"/>
        <v>0</v>
      </c>
      <c r="DW16" s="153" t="str">
        <f t="shared" si="119"/>
        <v/>
      </c>
      <c r="DX16" s="153" t="str">
        <f>IF(OR($B16="NSO",$B16=0,DS16=""),"",IF(AND(DJ16="",DO16=""),"",IF('Master Sheet'!$D$19="YES",$DO$6-COUNTIF(DO16,"ML")*DO$6,DS$6-(COUNTIF(DJ16,"ML")*DJ$6)-(COUNTIF(DO16,"ML")*DO$6))))</f>
        <v/>
      </c>
      <c r="DY16" s="153" t="str">
        <f>IF(OR($B16="NSO",$B16=0),"",IF(AND(DH16="",DI16="",DM16=""),"",IF(AND('Master Sheet'!$D$19="YES",'Marks Entry'!$BA$1=1),100,IF(AND(DJ16="",DO16=""),SUM(($DQ$7+$DR$7)-(DU16+DV16)),SUM(($DQ$6+$DR$6)-(DU16+DV16))))))</f>
        <v/>
      </c>
      <c r="DZ16" s="152" t="str">
        <f t="shared" si="120"/>
        <v/>
      </c>
      <c r="EA16" s="153" t="str">
        <f t="shared" si="121"/>
        <v/>
      </c>
      <c r="EB16" s="152" t="str">
        <f t="shared" si="122"/>
        <v/>
      </c>
      <c r="EC16" s="584">
        <f>IF('Marks Entry'!BB16="","",'Marks Entry'!BB16)</f>
        <v>26</v>
      </c>
      <c r="ED16" s="584">
        <f>IF('Marks Entry'!BC16="","",'Marks Entry'!BC16)</f>
        <v>27</v>
      </c>
      <c r="EE16" s="584">
        <f>IF('Marks Entry'!BD16="","",'Marks Entry'!BD16)</f>
        <v>32</v>
      </c>
      <c r="EF16" s="590">
        <f t="shared" si="123"/>
        <v>85</v>
      </c>
      <c r="EG16" s="595">
        <f t="shared" si="124"/>
        <v>0</v>
      </c>
      <c r="EH16" s="595">
        <f t="shared" si="125"/>
        <v>0</v>
      </c>
      <c r="EI16" s="192">
        <f t="shared" si="126"/>
        <v>100</v>
      </c>
      <c r="EJ16" s="595" t="str">
        <f t="shared" si="127"/>
        <v/>
      </c>
      <c r="EK16" s="595" t="str">
        <f t="shared" si="128"/>
        <v>A</v>
      </c>
      <c r="EL16" s="193" t="str">
        <f t="shared" si="129"/>
        <v>II</v>
      </c>
      <c r="EM16" s="193" t="str">
        <f t="shared" si="130"/>
        <v>II</v>
      </c>
      <c r="EN16" s="193" t="str">
        <f t="shared" si="131"/>
        <v>F</v>
      </c>
      <c r="EO16" s="193" t="str">
        <f t="shared" si="132"/>
        <v>II</v>
      </c>
      <c r="EP16" s="193" t="str">
        <f t="shared" si="133"/>
        <v/>
      </c>
      <c r="EQ16" s="193" t="str">
        <f t="shared" si="134"/>
        <v/>
      </c>
      <c r="ER16" s="194">
        <f t="shared" si="135"/>
        <v>1</v>
      </c>
      <c r="ES16" s="194">
        <f t="shared" si="136"/>
        <v>0</v>
      </c>
      <c r="ET16" s="194">
        <f t="shared" si="137"/>
        <v>0</v>
      </c>
      <c r="EU16" s="194">
        <f t="shared" si="138"/>
        <v>0</v>
      </c>
      <c r="EV16" s="194">
        <f t="shared" si="139"/>
        <v>0</v>
      </c>
      <c r="EW16" s="194" t="str">
        <f t="shared" si="140"/>
        <v/>
      </c>
      <c r="EX16" s="195" t="str">
        <f t="shared" si="141"/>
        <v>FAIL</v>
      </c>
      <c r="EY16" s="196">
        <f>IF('Marks Entry'!BE16="","",'Marks Entry'!BE16)</f>
        <v>8</v>
      </c>
      <c r="EZ16" s="196">
        <f>IF('Marks Entry'!BF16="","",'Marks Entry'!BF16)</f>
        <v>8</v>
      </c>
      <c r="FA16" s="196">
        <f>IF('Marks Entry'!BG16="","",'Marks Entry'!BG16)</f>
        <v>8</v>
      </c>
      <c r="FB16" s="596">
        <f t="shared" si="142"/>
        <v>24</v>
      </c>
      <c r="FC16" s="196">
        <f>IF('Marks Entry'!BH16="","",'Marks Entry'!BH16)</f>
        <v>52</v>
      </c>
      <c r="FD16" s="196">
        <f>IF('Marks Entry'!BI16="","",'Marks Entry'!BI16)</f>
        <v>69</v>
      </c>
      <c r="FE16" s="197">
        <f t="shared" si="143"/>
        <v>145</v>
      </c>
      <c r="FF16" s="198" t="str">
        <f t="shared" si="144"/>
        <v>B</v>
      </c>
      <c r="FG16" s="199">
        <f>IF(AND(E16=""),"",IF('Student DATA Entry'!L12="","",'Student DATA Entry'!L12))</f>
        <v>340</v>
      </c>
      <c r="FH16" s="200">
        <f>IF(AND(E16=""),"",IF('Student DATA Entry'!M12="","",'Student DATA Entry'!M12))</f>
        <v>330</v>
      </c>
      <c r="FI16" s="201">
        <f t="shared" si="145"/>
        <v>97.058823529411768</v>
      </c>
      <c r="FJ16" s="188" t="str">
        <f t="shared" si="146"/>
        <v>II</v>
      </c>
      <c r="FK16" s="188" t="str">
        <f t="shared" si="147"/>
        <v/>
      </c>
      <c r="FL16" s="202" t="str">
        <f t="shared" si="19"/>
        <v/>
      </c>
      <c r="FM16" s="188" t="str">
        <f t="shared" si="148"/>
        <v>II</v>
      </c>
      <c r="FN16" s="203" t="str">
        <f t="shared" si="149"/>
        <v/>
      </c>
      <c r="FO16" s="202" t="str">
        <f t="shared" si="20"/>
        <v/>
      </c>
      <c r="FP16" s="204" t="str">
        <f t="shared" si="150"/>
        <v>F</v>
      </c>
      <c r="FQ16" s="188" t="str">
        <f t="shared" si="21"/>
        <v>F</v>
      </c>
      <c r="FR16" s="188" t="str">
        <f t="shared" si="22"/>
        <v/>
      </c>
      <c r="FS16" s="188" t="str">
        <f t="shared" si="23"/>
        <v/>
      </c>
      <c r="FT16" s="188" t="str">
        <f t="shared" si="24"/>
        <v/>
      </c>
      <c r="FU16" s="188" t="str">
        <f t="shared" si="151"/>
        <v/>
      </c>
      <c r="FV16" s="205" t="str">
        <f t="shared" si="25"/>
        <v/>
      </c>
      <c r="FW16" s="204" t="str">
        <f t="shared" si="152"/>
        <v>II</v>
      </c>
      <c r="FX16" s="188" t="str">
        <f t="shared" si="26"/>
        <v>II</v>
      </c>
      <c r="FY16" s="188" t="str">
        <f t="shared" si="27"/>
        <v/>
      </c>
      <c r="FZ16" s="188" t="str">
        <f t="shared" si="28"/>
        <v/>
      </c>
      <c r="GA16" s="188" t="str">
        <f t="shared" si="29"/>
        <v/>
      </c>
      <c r="GB16" s="188" t="str">
        <f t="shared" si="153"/>
        <v/>
      </c>
      <c r="GC16" s="205" t="str">
        <f t="shared" si="30"/>
        <v/>
      </c>
      <c r="GD16" s="204" t="str">
        <f t="shared" si="154"/>
        <v/>
      </c>
      <c r="GE16" s="188" t="str">
        <f t="shared" si="31"/>
        <v/>
      </c>
      <c r="GF16" s="188" t="str">
        <f t="shared" si="32"/>
        <v/>
      </c>
      <c r="GG16" s="188" t="str">
        <f t="shared" si="33"/>
        <v/>
      </c>
      <c r="GH16" s="188" t="str">
        <f t="shared" si="34"/>
        <v/>
      </c>
      <c r="GI16" s="188" t="str">
        <f t="shared" si="155"/>
        <v/>
      </c>
      <c r="GJ16" s="205" t="str">
        <f t="shared" si="35"/>
        <v/>
      </c>
      <c r="GK16" s="204" t="str">
        <f t="shared" si="156"/>
        <v/>
      </c>
      <c r="GL16" s="188" t="str">
        <f t="shared" si="36"/>
        <v/>
      </c>
      <c r="GM16" s="188" t="str">
        <f t="shared" si="37"/>
        <v/>
      </c>
      <c r="GN16" s="188" t="str">
        <f t="shared" si="38"/>
        <v/>
      </c>
      <c r="GO16" s="188" t="str">
        <f t="shared" si="39"/>
        <v/>
      </c>
      <c r="GP16" s="188" t="str">
        <f t="shared" si="157"/>
        <v/>
      </c>
      <c r="GQ16" s="205" t="str">
        <f t="shared" si="40"/>
        <v/>
      </c>
      <c r="GR16" s="188" t="str">
        <f t="shared" si="158"/>
        <v>A</v>
      </c>
      <c r="GS16" s="188" t="str">
        <f t="shared" si="159"/>
        <v>B</v>
      </c>
      <c r="GT16" s="206" t="str">
        <f t="shared" si="177"/>
        <v xml:space="preserve">  POLITICAL SCIENCE  </v>
      </c>
      <c r="GU16" s="206" t="str">
        <f t="shared" si="160"/>
        <v xml:space="preserve">    </v>
      </c>
      <c r="GV16" s="206" t="str">
        <f t="shared" si="161"/>
        <v xml:space="preserve">    </v>
      </c>
      <c r="GW16" s="206" t="str">
        <f t="shared" si="162"/>
        <v xml:space="preserve">       </v>
      </c>
      <c r="GX16" s="598" t="str">
        <f t="shared" si="163"/>
        <v xml:space="preserve">     </v>
      </c>
      <c r="GY16" s="207" t="str">
        <f t="shared" si="164"/>
        <v>FAIL</v>
      </c>
      <c r="GZ16" s="606">
        <f>IF(AND(Q16="",AE16="",AZ16="",BW16="",CT16=""),"",IF(AND('Master Sheet'!$D$19="YES",'Marks Entry'!$BA$1=1),SUM(Q16,AE16,AZ16,BW16,DT16),SUM(Q16,AE16,AZ16,BW16,CT16)))</f>
        <v>418</v>
      </c>
      <c r="HA16" s="208">
        <f>IF(GZ16="","",IF(AND('Master Sheet'!$D$19="YES",'Marks Entry'!$BA$1=1),GZ16/((900)-DC16)*100,GZ16/((1000)-DC16)*100))</f>
        <v>41.8</v>
      </c>
      <c r="HB16" s="611" t="str">
        <f t="shared" si="165"/>
        <v/>
      </c>
      <c r="HC16" s="609" t="str">
        <f t="shared" si="166"/>
        <v/>
      </c>
      <c r="HD16" s="610" t="str">
        <f t="shared" si="167"/>
        <v/>
      </c>
      <c r="HE16" s="209" t="str">
        <f>IFERROR(IF(OR(GY16="SUPPLEMENTARY",GY16="RE-EXAM"),'Supp. Result Entry'!AS15,""),"")</f>
        <v/>
      </c>
      <c r="HF16" s="613" t="str">
        <f t="shared" si="168"/>
        <v/>
      </c>
      <c r="HG16" s="598" t="str">
        <f t="shared" si="169"/>
        <v/>
      </c>
      <c r="HH16" s="598" t="str">
        <f>IF(AND(HE16="",HF16="",HG16=""),"",IF(OR(GY16="SUPPLEMENTARY",GY16="RE-EXAM"),'Supp. Result Entry'!AS15,GY16))</f>
        <v/>
      </c>
      <c r="HI16" s="179"/>
      <c r="HY16" s="211" t="str">
        <f>IF('Supp. Result Entry'!U15="","",'Supp. Result Entry'!$U$6)</f>
        <v/>
      </c>
      <c r="HZ16" s="212" t="str">
        <f>IF('Supp. Result Entry'!X15="","",'Supp. Result Entry'!$X$6)</f>
        <v/>
      </c>
      <c r="IA16" s="212" t="str">
        <f>IF('Supp. Result Entry'!AA15="","",'Supp. Result Entry'!$AA$6)</f>
        <v/>
      </c>
      <c r="IB16" s="212" t="str">
        <f>IF('Supp. Result Entry'!AD15="","",'Supp. Result Entry'!$AD$6)</f>
        <v/>
      </c>
      <c r="IC16" s="212" t="str">
        <f>IF('Supp. Result Entry'!AG15="","",'Supp. Result Entry'!$AG$6)</f>
        <v/>
      </c>
      <c r="ID16" s="212" t="str">
        <f>IF('Supp. Result Entry'!AJ15="","",'Supp. Result Entry'!$AJ$6)</f>
        <v/>
      </c>
      <c r="IE16" s="212" t="str">
        <f>IF('Supp. Result Entry'!V15="","",'Supp. Result Entry'!V15)</f>
        <v/>
      </c>
      <c r="IF16" s="212" t="str">
        <f>IF('Supp. Result Entry'!Y15="","",'Supp. Result Entry'!Y15)</f>
        <v/>
      </c>
      <c r="IG16" s="212" t="str">
        <f>IF('Supp. Result Entry'!AB15="","",'Supp. Result Entry'!AB15)</f>
        <v/>
      </c>
      <c r="IH16" s="212" t="str">
        <f>IF('Supp. Result Entry'!AE15="","",'Supp. Result Entry'!AE15)</f>
        <v/>
      </c>
      <c r="II16" s="212" t="str">
        <f>IF('Supp. Result Entry'!AH15="","",'Supp. Result Entry'!AH15)</f>
        <v/>
      </c>
      <c r="IJ16" s="212" t="str">
        <f>IF('Supp. Result Entry'!AK15="","",'Supp. Result Entry'!AK15)</f>
        <v/>
      </c>
      <c r="IK16" s="212" t="str">
        <f>IF('Supp. Result Entry'!W15="","",'Supp. Result Entry'!W15)</f>
        <v/>
      </c>
      <c r="IL16" s="212" t="str">
        <f>IF('Supp. Result Entry'!Z15="","",'Supp. Result Entry'!Z15)</f>
        <v/>
      </c>
      <c r="IM16" s="212" t="str">
        <f>IF('Supp. Result Entry'!AC15="","",'Supp. Result Entry'!AC15)</f>
        <v/>
      </c>
      <c r="IN16" s="212" t="str">
        <f>IF('Supp. Result Entry'!AF15="","",'Supp. Result Entry'!AF15)</f>
        <v/>
      </c>
      <c r="IO16" s="212" t="str">
        <f>IF('Supp. Result Entry'!AI15="","",'Supp. Result Entry'!AI15)</f>
        <v/>
      </c>
      <c r="IP16" s="212" t="str">
        <f>IF('Supp. Result Entry'!AL15="","",'Supp. Result Entry'!AL15)</f>
        <v/>
      </c>
      <c r="IQ16" s="212">
        <f>COUNTIF('Supp. Result Entry'!K15:Q15,"S")</f>
        <v>0</v>
      </c>
      <c r="IR16" s="212">
        <f t="shared" si="170"/>
        <v>0</v>
      </c>
      <c r="IS16" s="212">
        <f t="shared" si="171"/>
        <v>0</v>
      </c>
      <c r="IT16" s="212" t="str">
        <f t="shared" si="41"/>
        <v/>
      </c>
      <c r="IU16" s="212" t="str">
        <f t="shared" si="42"/>
        <v/>
      </c>
      <c r="IV16" s="212" t="str">
        <f t="shared" si="43"/>
        <v/>
      </c>
      <c r="IW16" s="212" t="str">
        <f t="shared" si="44"/>
        <v/>
      </c>
      <c r="IX16" s="212" t="str">
        <f t="shared" si="45"/>
        <v/>
      </c>
      <c r="IY16" s="212" t="str">
        <f t="shared" si="172"/>
        <v/>
      </c>
      <c r="IZ16" s="212" t="str">
        <f t="shared" si="173"/>
        <v/>
      </c>
      <c r="JA16" s="212" t="str">
        <f t="shared" si="46"/>
        <v/>
      </c>
      <c r="JB16" s="210" t="str">
        <f t="shared" si="174"/>
        <v/>
      </c>
    </row>
    <row r="17" spans="1:262" s="210" customFormat="1" ht="21" customHeight="1">
      <c r="A17" s="183">
        <v>10</v>
      </c>
      <c r="B17" s="184">
        <f>IF('Marks Entry'!B17="","",'Marks Entry'!B17)</f>
        <v>1110</v>
      </c>
      <c r="C17" s="185">
        <f>IF('Marks Entry'!D17="","",'Marks Entry'!D17)</f>
        <v>678</v>
      </c>
      <c r="D17" s="186">
        <f>IF('Marks Entry'!E17="","",'Marks Entry'!E17)</f>
        <v>38841</v>
      </c>
      <c r="E17" s="187" t="str">
        <f>IF('Marks Entry'!F17="","",'Marks Entry'!F17)</f>
        <v>S</v>
      </c>
      <c r="F17" s="187" t="str">
        <f>IF('Marks Entry'!G17="","",'Marks Entry'!G17)</f>
        <v>M</v>
      </c>
      <c r="G17" s="187" t="str">
        <f>IF('Marks Entry'!H17="","",'Marks Entry'!H17)</f>
        <v>B</v>
      </c>
      <c r="H17" s="188" t="str">
        <f>IF('Marks Entry'!I17="","",'Marks Entry'!I17)</f>
        <v>MIN</v>
      </c>
      <c r="I17" s="189" t="str">
        <f>IF('Marks Entry'!J17="","",'Marks Entry'!J17)</f>
        <v>M</v>
      </c>
      <c r="J17" s="545">
        <f>IF('Marks Entry'!K17="","",'Marks Entry'!K17)</f>
        <v>7</v>
      </c>
      <c r="K17" s="545">
        <f>IF('Marks Entry'!L17="","",'Marks Entry'!L17)</f>
        <v>10</v>
      </c>
      <c r="L17" s="545">
        <f>IF('Marks Entry'!M17="","",'Marks Entry'!M17)</f>
        <v>8</v>
      </c>
      <c r="M17" s="546">
        <f t="shared" si="47"/>
        <v>25</v>
      </c>
      <c r="N17" s="545">
        <f>IF('Marks Entry'!N17="","",'Marks Entry'!N17)</f>
        <v>44</v>
      </c>
      <c r="O17" s="546">
        <f t="shared" si="48"/>
        <v>69</v>
      </c>
      <c r="P17" s="545">
        <f>IF('Marks Entry'!O17="","",'Marks Entry'!O17)</f>
        <v>30</v>
      </c>
      <c r="Q17" s="547">
        <f t="shared" si="49"/>
        <v>99</v>
      </c>
      <c r="R17" s="152">
        <f t="shared" si="50"/>
        <v>0</v>
      </c>
      <c r="S17" s="152">
        <f t="shared" si="51"/>
        <v>0</v>
      </c>
      <c r="T17" s="153">
        <f t="shared" si="52"/>
        <v>200</v>
      </c>
      <c r="U17" s="152" t="str">
        <f t="shared" si="53"/>
        <v/>
      </c>
      <c r="V17" s="152" t="str">
        <f t="shared" si="54"/>
        <v>P</v>
      </c>
      <c r="W17" s="152" t="str">
        <f t="shared" si="55"/>
        <v>II</v>
      </c>
      <c r="X17" s="545">
        <f>IF('Marks Entry'!P17="","",'Marks Entry'!P17)</f>
        <v>8</v>
      </c>
      <c r="Y17" s="545">
        <f>IF('Marks Entry'!Q17="","",'Marks Entry'!Q17)</f>
        <v>4</v>
      </c>
      <c r="Z17" s="545">
        <f>IF('Marks Entry'!R17="","",'Marks Entry'!R17)</f>
        <v>9</v>
      </c>
      <c r="AA17" s="546">
        <f t="shared" si="56"/>
        <v>21</v>
      </c>
      <c r="AB17" s="545">
        <f>IF('Marks Entry'!S17="","",'Marks Entry'!S17)</f>
        <v>35</v>
      </c>
      <c r="AC17" s="546">
        <f t="shared" si="57"/>
        <v>56</v>
      </c>
      <c r="AD17" s="545">
        <f>IF('Marks Entry'!T17="","",'Marks Entry'!T17)</f>
        <v>46</v>
      </c>
      <c r="AE17" s="547">
        <f t="shared" si="58"/>
        <v>102</v>
      </c>
      <c r="AF17" s="152">
        <f t="shared" si="59"/>
        <v>0</v>
      </c>
      <c r="AG17" s="152">
        <f t="shared" si="60"/>
        <v>0</v>
      </c>
      <c r="AH17" s="153">
        <f t="shared" si="61"/>
        <v>200</v>
      </c>
      <c r="AI17" s="152" t="str">
        <f t="shared" si="62"/>
        <v/>
      </c>
      <c r="AJ17" s="152" t="str">
        <f t="shared" si="63"/>
        <v>P</v>
      </c>
      <c r="AK17" s="152" t="str">
        <f t="shared" si="64"/>
        <v>II</v>
      </c>
      <c r="AL17" s="573" t="str">
        <f>IF('Marks Entry'!U17="","",'Marks Entry'!U17)</f>
        <v>A</v>
      </c>
      <c r="AM17" s="573" t="str">
        <f>IF('Marks Entry'!V17="","",'Marks Entry'!V17)</f>
        <v>na</v>
      </c>
      <c r="AN17" s="573">
        <f>IF('Marks Entry'!W17="","",'Marks Entry'!W17)</f>
        <v>7</v>
      </c>
      <c r="AO17" s="573">
        <f>IF('Marks Entry'!X17="","",'Marks Entry'!X17)</f>
        <v>7</v>
      </c>
      <c r="AP17" s="572">
        <f t="shared" si="65"/>
        <v>14</v>
      </c>
      <c r="AQ17" s="573">
        <f>IF('Marks Entry'!Y17="","",'Marks Entry'!Y17)</f>
        <v>15</v>
      </c>
      <c r="AR17" s="573" t="str">
        <f>IF('Marks Entry'!Z17="","",'Marks Entry'!Z17)</f>
        <v/>
      </c>
      <c r="AS17" s="572">
        <f t="shared" si="66"/>
        <v>15</v>
      </c>
      <c r="AT17" s="572">
        <f t="shared" si="67"/>
        <v>29</v>
      </c>
      <c r="AU17" s="573">
        <f>IF('Marks Entry'!AA17="","",'Marks Entry'!AA17)</f>
        <v>36</v>
      </c>
      <c r="AV17" s="573" t="str">
        <f>IF('Marks Entry'!AB17="","",'Marks Entry'!AB17)</f>
        <v/>
      </c>
      <c r="AW17" s="572">
        <f t="shared" si="68"/>
        <v>36</v>
      </c>
      <c r="AX17" s="156">
        <f t="shared" si="69"/>
        <v>65</v>
      </c>
      <c r="AY17" s="156" t="str">
        <f t="shared" si="70"/>
        <v/>
      </c>
      <c r="AZ17" s="191">
        <f t="shared" si="71"/>
        <v>65</v>
      </c>
      <c r="BA17" s="152">
        <f t="shared" si="72"/>
        <v>10</v>
      </c>
      <c r="BB17" s="153">
        <f t="shared" si="73"/>
        <v>0</v>
      </c>
      <c r="BC17" s="153">
        <f t="shared" si="74"/>
        <v>100</v>
      </c>
      <c r="BD17" s="153" t="str">
        <f t="shared" si="75"/>
        <v/>
      </c>
      <c r="BE17" s="153">
        <f t="shared" si="76"/>
        <v>190</v>
      </c>
      <c r="BF17" s="152" t="str">
        <f t="shared" si="77"/>
        <v/>
      </c>
      <c r="BG17" s="153" t="str">
        <f t="shared" si="175"/>
        <v>G2</v>
      </c>
      <c r="BH17" s="152" t="str">
        <f t="shared" si="78"/>
        <v>G2</v>
      </c>
      <c r="BI17" s="580" t="str">
        <f>IF('Marks Entry'!AC17="","",'Marks Entry'!AC17)</f>
        <v>A</v>
      </c>
      <c r="BJ17" s="580">
        <f>IF('Marks Entry'!AD17="","",'Marks Entry'!AD17)</f>
        <v>9</v>
      </c>
      <c r="BK17" s="580">
        <f>IF('Marks Entry'!AE17="","",'Marks Entry'!AE17)</f>
        <v>7</v>
      </c>
      <c r="BL17" s="580" t="str">
        <f>IF('Marks Entry'!AF17="","",'Marks Entry'!AF17)</f>
        <v/>
      </c>
      <c r="BM17" s="581">
        <f t="shared" si="79"/>
        <v>16</v>
      </c>
      <c r="BN17" s="580">
        <f>IF('Marks Entry'!AG17="","",'Marks Entry'!AG17)</f>
        <v>35</v>
      </c>
      <c r="BO17" s="580" t="str">
        <f>IF('Marks Entry'!AH17="","",'Marks Entry'!AH17)</f>
        <v/>
      </c>
      <c r="BP17" s="581">
        <f t="shared" si="80"/>
        <v>35</v>
      </c>
      <c r="BQ17" s="581">
        <f t="shared" si="81"/>
        <v>51</v>
      </c>
      <c r="BR17" s="580">
        <f>IF('Marks Entry'!AI17="","",'Marks Entry'!AI17)</f>
        <v>35</v>
      </c>
      <c r="BS17" s="580" t="str">
        <f>IF('Marks Entry'!AJ17="","",'Marks Entry'!AJ17)</f>
        <v/>
      </c>
      <c r="BT17" s="581">
        <f t="shared" si="82"/>
        <v>35</v>
      </c>
      <c r="BU17" s="156">
        <f t="shared" si="83"/>
        <v>86</v>
      </c>
      <c r="BV17" s="156" t="str">
        <f t="shared" si="84"/>
        <v/>
      </c>
      <c r="BW17" s="191">
        <f t="shared" si="85"/>
        <v>86</v>
      </c>
      <c r="BX17" s="152">
        <f t="shared" si="86"/>
        <v>0</v>
      </c>
      <c r="BY17" s="153">
        <f t="shared" si="87"/>
        <v>0</v>
      </c>
      <c r="BZ17" s="153">
        <f t="shared" si="88"/>
        <v>100</v>
      </c>
      <c r="CA17" s="153" t="str">
        <f t="shared" si="89"/>
        <v/>
      </c>
      <c r="CB17" s="153">
        <f t="shared" si="90"/>
        <v>200</v>
      </c>
      <c r="CC17" s="152" t="str">
        <f t="shared" si="91"/>
        <v/>
      </c>
      <c r="CD17" s="153" t="str">
        <f t="shared" si="92"/>
        <v>P</v>
      </c>
      <c r="CE17" s="152" t="str">
        <f t="shared" si="93"/>
        <v>III</v>
      </c>
      <c r="CF17" s="580" t="str">
        <f>IF('Marks Entry'!AK17="","",'Marks Entry'!AK17)</f>
        <v>C</v>
      </c>
      <c r="CG17" s="580">
        <f>IF('Marks Entry'!AL17="","",'Marks Entry'!AL17)</f>
        <v>3</v>
      </c>
      <c r="CH17" s="580">
        <f>IF('Marks Entry'!AM17="","",'Marks Entry'!AM17)</f>
        <v>5</v>
      </c>
      <c r="CI17" s="580">
        <f>IF('Marks Entry'!AN17="","",'Marks Entry'!AN17)</f>
        <v>7</v>
      </c>
      <c r="CJ17" s="581">
        <f t="shared" si="94"/>
        <v>15</v>
      </c>
      <c r="CK17" s="580">
        <f>IF('Marks Entry'!AO17="","",'Marks Entry'!AO17)</f>
        <v>45</v>
      </c>
      <c r="CL17" s="580" t="str">
        <f>IF('Marks Entry'!AP17="","",'Marks Entry'!AP17)</f>
        <v/>
      </c>
      <c r="CM17" s="581">
        <f t="shared" si="95"/>
        <v>45</v>
      </c>
      <c r="CN17" s="581">
        <f t="shared" si="96"/>
        <v>60</v>
      </c>
      <c r="CO17" s="580" t="str">
        <f>IF('Marks Entry'!AQ17="","",'Marks Entry'!AQ17)</f>
        <v/>
      </c>
      <c r="CP17" s="580" t="str">
        <f>IF('Marks Entry'!AR17="","",'Marks Entry'!AR17)</f>
        <v/>
      </c>
      <c r="CQ17" s="581" t="str">
        <f t="shared" si="97"/>
        <v/>
      </c>
      <c r="CR17" s="156">
        <f t="shared" si="98"/>
        <v>60</v>
      </c>
      <c r="CS17" s="156" t="str">
        <f t="shared" si="99"/>
        <v/>
      </c>
      <c r="CT17" s="191">
        <f t="shared" si="100"/>
        <v>60</v>
      </c>
      <c r="CU17" s="152">
        <f t="shared" si="101"/>
        <v>0</v>
      </c>
      <c r="CV17" s="153">
        <f t="shared" si="102"/>
        <v>0</v>
      </c>
      <c r="CW17" s="153">
        <f t="shared" si="103"/>
        <v>100</v>
      </c>
      <c r="CX17" s="153" t="str">
        <f t="shared" si="104"/>
        <v/>
      </c>
      <c r="CY17" s="153">
        <f t="shared" si="176"/>
        <v>200</v>
      </c>
      <c r="CZ17" s="152" t="str">
        <f t="shared" si="105"/>
        <v/>
      </c>
      <c r="DA17" s="153" t="str">
        <f t="shared" si="106"/>
        <v/>
      </c>
      <c r="DB17" s="152" t="str">
        <f t="shared" si="107"/>
        <v/>
      </c>
      <c r="DC17" s="153">
        <f t="shared" si="108"/>
        <v>10</v>
      </c>
      <c r="DD17" s="851" t="str">
        <f>IF('Marks Entry'!AS17="","",IF(OR('Master Sheet'!$D$19="YES",'Marks Entry'!$BA$1=1),'Marks Entry'!AS17,""))</f>
        <v/>
      </c>
      <c r="DE17" s="851" t="str">
        <f>IF('Marks Entry'!AT17="","",IF(OR('Master Sheet'!$D$19="YES",'Marks Entry'!$BA$1=1),'Marks Entry'!AT17,""))</f>
        <v/>
      </c>
      <c r="DF17" s="851" t="str">
        <f>IF('Marks Entry'!AU17="","",IF(OR('Master Sheet'!$D$19="YES",'Marks Entry'!$BA$1=1),'Marks Entry'!AU17,""))</f>
        <v/>
      </c>
      <c r="DG17" s="851" t="str">
        <f>IF('Marks Entry'!AV17="","",IF(OR('Master Sheet'!$D$19="YES",'Marks Entry'!$BA$1=1),'Marks Entry'!AV17,""))</f>
        <v/>
      </c>
      <c r="DH17" s="852" t="str">
        <f t="shared" si="109"/>
        <v/>
      </c>
      <c r="DI17" s="851" t="str">
        <f>IF('Marks Entry'!AW17="","",IF(OR('Master Sheet'!$D$19="YES",'Marks Entry'!$BA$1=1),'Marks Entry'!AW17,""))</f>
        <v/>
      </c>
      <c r="DJ17" s="851" t="str">
        <f>IF('Marks Entry'!AX17="","",IF(OR('Master Sheet'!$D$19="YES",'Marks Entry'!$BA$1=1),'Marks Entry'!AX17,""))</f>
        <v/>
      </c>
      <c r="DK17" s="852" t="str">
        <f t="shared" si="110"/>
        <v/>
      </c>
      <c r="DL17" s="852" t="str">
        <f t="shared" si="111"/>
        <v/>
      </c>
      <c r="DM17" s="851" t="str">
        <f>IF('Marks Entry'!AY17="","",IF(OR('Master Sheet'!$D$19="YES",'Marks Entry'!$BA$1=1),'Marks Entry'!AY17,""))</f>
        <v/>
      </c>
      <c r="DN17" s="851" t="str">
        <f>IF('Marks Entry'!AZ17="","",IF(OR('Master Sheet'!$D$19="YES",'Marks Entry'!$BA$1=1),'Marks Entry'!AZ17,""))</f>
        <v/>
      </c>
      <c r="DO17" s="851" t="str">
        <f>IF('Marks Entry'!BA17="","",IF(OR('Master Sheet'!$D$19="YES",'Marks Entry'!$BA$1=1),'Marks Entry'!BA17,""))</f>
        <v/>
      </c>
      <c r="DP17" s="852" t="str">
        <f t="shared" si="112"/>
        <v/>
      </c>
      <c r="DQ17" s="156" t="str">
        <f t="shared" si="113"/>
        <v/>
      </c>
      <c r="DR17" s="156" t="str">
        <f t="shared" si="114"/>
        <v/>
      </c>
      <c r="DS17" s="156" t="str">
        <f t="shared" si="115"/>
        <v/>
      </c>
      <c r="DT17" s="191" t="str">
        <f t="shared" si="116"/>
        <v/>
      </c>
      <c r="DU17" s="152">
        <f t="shared" si="117"/>
        <v>0</v>
      </c>
      <c r="DV17" s="153">
        <f t="shared" si="118"/>
        <v>0</v>
      </c>
      <c r="DW17" s="153" t="str">
        <f t="shared" si="119"/>
        <v/>
      </c>
      <c r="DX17" s="153" t="str">
        <f>IF(OR($B17="NSO",$B17=0,DS17=""),"",IF(AND(DJ17="",DO17=""),"",IF('Master Sheet'!$D$19="YES",$DO$6-COUNTIF(DO17,"ML")*DO$6,DS$6-(COUNTIF(DJ17,"ML")*DJ$6)-(COUNTIF(DO17,"ML")*DO$6))))</f>
        <v/>
      </c>
      <c r="DY17" s="153" t="str">
        <f>IF(OR($B17="NSO",$B17=0),"",IF(AND(DH17="",DI17="",DM17=""),"",IF(AND('Master Sheet'!$D$19="YES",'Marks Entry'!$BA$1=1),100,IF(AND(DJ17="",DO17=""),SUM(($DQ$7+$DR$7)-(DU17+DV17)),SUM(($DQ$6+$DR$6)-(DU17+DV17))))))</f>
        <v/>
      </c>
      <c r="DZ17" s="152" t="str">
        <f t="shared" si="120"/>
        <v/>
      </c>
      <c r="EA17" s="153" t="str">
        <f t="shared" si="121"/>
        <v/>
      </c>
      <c r="EB17" s="152" t="str">
        <f t="shared" si="122"/>
        <v/>
      </c>
      <c r="EC17" s="584">
        <f>IF('Marks Entry'!BB17="","",'Marks Entry'!BB17)</f>
        <v>26</v>
      </c>
      <c r="ED17" s="584">
        <f>IF('Marks Entry'!BC17="","",'Marks Entry'!BC17)</f>
        <v>27</v>
      </c>
      <c r="EE17" s="584">
        <f>IF('Marks Entry'!BD17="","",'Marks Entry'!BD17)</f>
        <v>32</v>
      </c>
      <c r="EF17" s="590">
        <f t="shared" si="123"/>
        <v>85</v>
      </c>
      <c r="EG17" s="595">
        <f t="shared" si="124"/>
        <v>0</v>
      </c>
      <c r="EH17" s="595">
        <f t="shared" si="125"/>
        <v>0</v>
      </c>
      <c r="EI17" s="192">
        <f t="shared" si="126"/>
        <v>100</v>
      </c>
      <c r="EJ17" s="595" t="str">
        <f t="shared" si="127"/>
        <v/>
      </c>
      <c r="EK17" s="595" t="str">
        <f t="shared" si="128"/>
        <v>A</v>
      </c>
      <c r="EL17" s="193" t="str">
        <f t="shared" si="129"/>
        <v>II</v>
      </c>
      <c r="EM17" s="193" t="str">
        <f t="shared" si="130"/>
        <v>II</v>
      </c>
      <c r="EN17" s="193" t="str">
        <f t="shared" si="131"/>
        <v>G2</v>
      </c>
      <c r="EO17" s="193" t="str">
        <f t="shared" si="132"/>
        <v>III</v>
      </c>
      <c r="EP17" s="193" t="str">
        <f t="shared" si="133"/>
        <v/>
      </c>
      <c r="EQ17" s="193" t="str">
        <f t="shared" si="134"/>
        <v/>
      </c>
      <c r="ER17" s="194">
        <f t="shared" si="135"/>
        <v>0</v>
      </c>
      <c r="ES17" s="194">
        <f t="shared" si="136"/>
        <v>0</v>
      </c>
      <c r="ET17" s="194">
        <f t="shared" si="137"/>
        <v>0</v>
      </c>
      <c r="EU17" s="194">
        <f t="shared" si="138"/>
        <v>1</v>
      </c>
      <c r="EV17" s="194">
        <f t="shared" si="139"/>
        <v>0</v>
      </c>
      <c r="EW17" s="194" t="str">
        <f t="shared" si="140"/>
        <v/>
      </c>
      <c r="EX17" s="195" t="str">
        <f t="shared" si="141"/>
        <v>BY GRACE PASS</v>
      </c>
      <c r="EY17" s="196">
        <f>IF('Marks Entry'!BE17="","",'Marks Entry'!BE17)</f>
        <v>8</v>
      </c>
      <c r="EZ17" s="196">
        <f>IF('Marks Entry'!BF17="","",'Marks Entry'!BF17)</f>
        <v>8</v>
      </c>
      <c r="FA17" s="196">
        <f>IF('Marks Entry'!BG17="","",'Marks Entry'!BG17)</f>
        <v>8</v>
      </c>
      <c r="FB17" s="596">
        <f t="shared" si="142"/>
        <v>24</v>
      </c>
      <c r="FC17" s="196">
        <f>IF('Marks Entry'!BH17="","",'Marks Entry'!BH17)</f>
        <v>52</v>
      </c>
      <c r="FD17" s="196">
        <f>IF('Marks Entry'!BI17="","",'Marks Entry'!BI17)</f>
        <v>68</v>
      </c>
      <c r="FE17" s="197">
        <f t="shared" si="143"/>
        <v>144</v>
      </c>
      <c r="FF17" s="198" t="str">
        <f t="shared" si="144"/>
        <v>B</v>
      </c>
      <c r="FG17" s="199">
        <f>IF(AND(E17=""),"",IF('Student DATA Entry'!L13="","",'Student DATA Entry'!L13))</f>
        <v>330</v>
      </c>
      <c r="FH17" s="200">
        <f>IF(AND(E17=""),"",IF('Student DATA Entry'!M13="","",'Student DATA Entry'!M13))</f>
        <v>310</v>
      </c>
      <c r="FI17" s="201">
        <f t="shared" si="145"/>
        <v>93.939393939393938</v>
      </c>
      <c r="FJ17" s="188" t="str">
        <f t="shared" si="146"/>
        <v>II</v>
      </c>
      <c r="FK17" s="188" t="str">
        <f t="shared" si="147"/>
        <v/>
      </c>
      <c r="FL17" s="202" t="str">
        <f t="shared" si="19"/>
        <v/>
      </c>
      <c r="FM17" s="188" t="str">
        <f t="shared" si="148"/>
        <v>II</v>
      </c>
      <c r="FN17" s="203" t="str">
        <f t="shared" si="149"/>
        <v/>
      </c>
      <c r="FO17" s="202" t="str">
        <f t="shared" si="20"/>
        <v/>
      </c>
      <c r="FP17" s="204" t="str">
        <f t="shared" si="150"/>
        <v>G</v>
      </c>
      <c r="FQ17" s="188" t="str">
        <f t="shared" si="21"/>
        <v>G</v>
      </c>
      <c r="FR17" s="188" t="str">
        <f t="shared" si="22"/>
        <v/>
      </c>
      <c r="FS17" s="188" t="str">
        <f t="shared" si="23"/>
        <v/>
      </c>
      <c r="FT17" s="188" t="str">
        <f t="shared" si="24"/>
        <v/>
      </c>
      <c r="FU17" s="188" t="str">
        <f t="shared" si="151"/>
        <v>,+</v>
      </c>
      <c r="FV17" s="205">
        <f t="shared" si="25"/>
        <v>4</v>
      </c>
      <c r="FW17" s="204" t="str">
        <f t="shared" si="152"/>
        <v>III</v>
      </c>
      <c r="FX17" s="188" t="str">
        <f t="shared" si="26"/>
        <v>III</v>
      </c>
      <c r="FY17" s="188" t="str">
        <f t="shared" si="27"/>
        <v/>
      </c>
      <c r="FZ17" s="188" t="str">
        <f t="shared" si="28"/>
        <v/>
      </c>
      <c r="GA17" s="188" t="str">
        <f t="shared" si="29"/>
        <v/>
      </c>
      <c r="GB17" s="188" t="str">
        <f t="shared" si="153"/>
        <v/>
      </c>
      <c r="GC17" s="205" t="str">
        <f t="shared" si="30"/>
        <v/>
      </c>
      <c r="GD17" s="204" t="str">
        <f t="shared" si="154"/>
        <v/>
      </c>
      <c r="GE17" s="188" t="str">
        <f t="shared" si="31"/>
        <v/>
      </c>
      <c r="GF17" s="188" t="str">
        <f t="shared" si="32"/>
        <v/>
      </c>
      <c r="GG17" s="188" t="str">
        <f t="shared" si="33"/>
        <v/>
      </c>
      <c r="GH17" s="188" t="str">
        <f t="shared" si="34"/>
        <v/>
      </c>
      <c r="GI17" s="188" t="str">
        <f t="shared" si="155"/>
        <v/>
      </c>
      <c r="GJ17" s="205" t="str">
        <f t="shared" si="35"/>
        <v/>
      </c>
      <c r="GK17" s="204" t="str">
        <f t="shared" si="156"/>
        <v/>
      </c>
      <c r="GL17" s="188" t="str">
        <f t="shared" si="36"/>
        <v/>
      </c>
      <c r="GM17" s="188" t="str">
        <f t="shared" si="37"/>
        <v/>
      </c>
      <c r="GN17" s="188" t="str">
        <f t="shared" si="38"/>
        <v/>
      </c>
      <c r="GO17" s="188" t="str">
        <f t="shared" si="39"/>
        <v/>
      </c>
      <c r="GP17" s="188" t="str">
        <f t="shared" si="157"/>
        <v/>
      </c>
      <c r="GQ17" s="205" t="str">
        <f t="shared" si="40"/>
        <v/>
      </c>
      <c r="GR17" s="188" t="str">
        <f t="shared" si="158"/>
        <v>A</v>
      </c>
      <c r="GS17" s="188" t="str">
        <f t="shared" si="159"/>
        <v>B</v>
      </c>
      <c r="GT17" s="206" t="str">
        <f t="shared" si="177"/>
        <v xml:space="preserve">    </v>
      </c>
      <c r="GU17" s="206" t="str">
        <f t="shared" si="160"/>
        <v xml:space="preserve">    </v>
      </c>
      <c r="GV17" s="206" t="str">
        <f t="shared" si="161"/>
        <v xml:space="preserve">  POLITICAL SCIENCE  </v>
      </c>
      <c r="GW17" s="206" t="str">
        <f t="shared" si="162"/>
        <v xml:space="preserve">       </v>
      </c>
      <c r="GX17" s="598" t="str">
        <f t="shared" si="163"/>
        <v xml:space="preserve">     </v>
      </c>
      <c r="GY17" s="207" t="str">
        <f t="shared" si="164"/>
        <v>BY GRACE PASS</v>
      </c>
      <c r="GZ17" s="606">
        <f>IF(AND(Q17="",AE17="",AZ17="",BW17="",CT17=""),"",IF(AND('Master Sheet'!$D$19="YES",'Marks Entry'!$BA$1=1),SUM(Q17,AE17,AZ17,BW17,DT17),SUM(Q17,AE17,AZ17,BW17,CT17)))</f>
        <v>412</v>
      </c>
      <c r="HA17" s="208">
        <f>IF(GZ17="","",IF(AND('Master Sheet'!$D$19="YES",'Marks Entry'!$BA$1=1),GZ17/((900)-DC17)*100,GZ17/((1000)-DC17)*100))</f>
        <v>41.616161616161619</v>
      </c>
      <c r="HB17" s="611" t="str">
        <f t="shared" si="165"/>
        <v>III</v>
      </c>
      <c r="HC17" s="609">
        <f t="shared" si="166"/>
        <v>41.616161616161619</v>
      </c>
      <c r="HD17" s="610">
        <f t="shared" si="167"/>
        <v>8.999999999999865</v>
      </c>
      <c r="HE17" s="209" t="str">
        <f>IFERROR(IF(OR(GY17="SUPPLEMENTARY",GY17="RE-EXAM"),'Supp. Result Entry'!AS16,""),"")</f>
        <v/>
      </c>
      <c r="HF17" s="613" t="str">
        <f t="shared" si="168"/>
        <v/>
      </c>
      <c r="HG17" s="598" t="str">
        <f t="shared" si="169"/>
        <v/>
      </c>
      <c r="HH17" s="598" t="str">
        <f>IF(AND(HE17="",HF17="",HG17=""),"",IF(OR(GY17="SUPPLEMENTARY",GY17="RE-EXAM"),'Supp. Result Entry'!AS16,GY17))</f>
        <v/>
      </c>
      <c r="HI17" s="179"/>
      <c r="HY17" s="211" t="str">
        <f>IF('Supp. Result Entry'!U16="","",'Supp. Result Entry'!$U$6)</f>
        <v/>
      </c>
      <c r="HZ17" s="212" t="str">
        <f>IF('Supp. Result Entry'!X16="","",'Supp. Result Entry'!$X$6)</f>
        <v/>
      </c>
      <c r="IA17" s="212" t="str">
        <f>IF('Supp. Result Entry'!AA16="","",'Supp. Result Entry'!$AA$6)</f>
        <v/>
      </c>
      <c r="IB17" s="212" t="str">
        <f>IF('Supp. Result Entry'!AD16="","",'Supp. Result Entry'!$AD$6)</f>
        <v/>
      </c>
      <c r="IC17" s="212" t="str">
        <f>IF('Supp. Result Entry'!AG16="","",'Supp. Result Entry'!$AG$6)</f>
        <v/>
      </c>
      <c r="ID17" s="212" t="str">
        <f>IF('Supp. Result Entry'!AJ16="","",'Supp. Result Entry'!$AJ$6)</f>
        <v/>
      </c>
      <c r="IE17" s="212" t="str">
        <f>IF('Supp. Result Entry'!V16="","",'Supp. Result Entry'!V16)</f>
        <v/>
      </c>
      <c r="IF17" s="212" t="str">
        <f>IF('Supp. Result Entry'!Y16="","",'Supp. Result Entry'!Y16)</f>
        <v/>
      </c>
      <c r="IG17" s="212" t="str">
        <f>IF('Supp. Result Entry'!AB16="","",'Supp. Result Entry'!AB16)</f>
        <v/>
      </c>
      <c r="IH17" s="212" t="str">
        <f>IF('Supp. Result Entry'!AE16="","",'Supp. Result Entry'!AE16)</f>
        <v/>
      </c>
      <c r="II17" s="212" t="str">
        <f>IF('Supp. Result Entry'!AH16="","",'Supp. Result Entry'!AH16)</f>
        <v/>
      </c>
      <c r="IJ17" s="212" t="str">
        <f>IF('Supp. Result Entry'!AK16="","",'Supp. Result Entry'!AK16)</f>
        <v/>
      </c>
      <c r="IK17" s="212" t="str">
        <f>IF('Supp. Result Entry'!W16="","",'Supp. Result Entry'!W16)</f>
        <v/>
      </c>
      <c r="IL17" s="212" t="str">
        <f>IF('Supp. Result Entry'!Z16="","",'Supp. Result Entry'!Z16)</f>
        <v/>
      </c>
      <c r="IM17" s="212" t="str">
        <f>IF('Supp. Result Entry'!AC16="","",'Supp. Result Entry'!AC16)</f>
        <v/>
      </c>
      <c r="IN17" s="212" t="str">
        <f>IF('Supp. Result Entry'!AF16="","",'Supp. Result Entry'!AF16)</f>
        <v/>
      </c>
      <c r="IO17" s="212" t="str">
        <f>IF('Supp. Result Entry'!AI16="","",'Supp. Result Entry'!AI16)</f>
        <v/>
      </c>
      <c r="IP17" s="212" t="str">
        <f>IF('Supp. Result Entry'!AL16="","",'Supp. Result Entry'!AL16)</f>
        <v/>
      </c>
      <c r="IQ17" s="212">
        <f>COUNTIF('Supp. Result Entry'!K16:Q16,"S")</f>
        <v>0</v>
      </c>
      <c r="IR17" s="212">
        <f t="shared" si="170"/>
        <v>0</v>
      </c>
      <c r="IS17" s="212">
        <f t="shared" si="171"/>
        <v>0</v>
      </c>
      <c r="IT17" s="212" t="str">
        <f t="shared" si="41"/>
        <v/>
      </c>
      <c r="IU17" s="212" t="str">
        <f t="shared" si="42"/>
        <v/>
      </c>
      <c r="IV17" s="212" t="str">
        <f t="shared" si="43"/>
        <v/>
      </c>
      <c r="IW17" s="212" t="str">
        <f t="shared" si="44"/>
        <v/>
      </c>
      <c r="IX17" s="212" t="str">
        <f t="shared" si="45"/>
        <v/>
      </c>
      <c r="IY17" s="212" t="str">
        <f t="shared" si="172"/>
        <v/>
      </c>
      <c r="IZ17" s="212" t="str">
        <f t="shared" si="173"/>
        <v/>
      </c>
      <c r="JA17" s="212" t="str">
        <f t="shared" si="46"/>
        <v/>
      </c>
      <c r="JB17" s="210" t="str">
        <f t="shared" si="174"/>
        <v/>
      </c>
    </row>
    <row r="18" spans="1:262" s="210" customFormat="1" ht="21" customHeight="1">
      <c r="A18" s="183">
        <v>11</v>
      </c>
      <c r="B18" s="184">
        <f>IF('Marks Entry'!B18="","",'Marks Entry'!B18)</f>
        <v>1111</v>
      </c>
      <c r="C18" s="185">
        <f>IF('Marks Entry'!D18="","",'Marks Entry'!D18)</f>
        <v>654</v>
      </c>
      <c r="D18" s="186">
        <f>IF('Marks Entry'!E18="","",'Marks Entry'!E18)</f>
        <v>39635</v>
      </c>
      <c r="E18" s="187" t="str">
        <f>IF('Marks Entry'!F18="","",'Marks Entry'!F18)</f>
        <v>M</v>
      </c>
      <c r="F18" s="187" t="str">
        <f>IF('Marks Entry'!G18="","",'Marks Entry'!G18)</f>
        <v>N</v>
      </c>
      <c r="G18" s="187" t="str">
        <f>IF('Marks Entry'!H18="","",'Marks Entry'!H18)</f>
        <v>A</v>
      </c>
      <c r="H18" s="188" t="str">
        <f>IF('Marks Entry'!I18="","",'Marks Entry'!I18)</f>
        <v>SBC</v>
      </c>
      <c r="I18" s="189" t="str">
        <f>IF('Marks Entry'!J18="","",'Marks Entry'!J18)</f>
        <v>M</v>
      </c>
      <c r="J18" s="545" t="str">
        <f>IF('Marks Entry'!K18="","",'Marks Entry'!K18)</f>
        <v>na</v>
      </c>
      <c r="K18" s="545" t="str">
        <f>IF('Marks Entry'!L18="","",'Marks Entry'!L18)</f>
        <v>na</v>
      </c>
      <c r="L18" s="545">
        <f>IF('Marks Entry'!M18="","",'Marks Entry'!M18)</f>
        <v>8</v>
      </c>
      <c r="M18" s="546">
        <f t="shared" si="47"/>
        <v>8</v>
      </c>
      <c r="N18" s="545">
        <f>IF('Marks Entry'!N18="","",'Marks Entry'!N18)</f>
        <v>30</v>
      </c>
      <c r="O18" s="546">
        <f t="shared" si="48"/>
        <v>38</v>
      </c>
      <c r="P18" s="545">
        <f>IF('Marks Entry'!O18="","",'Marks Entry'!O18)</f>
        <v>32</v>
      </c>
      <c r="Q18" s="547">
        <f t="shared" si="49"/>
        <v>70</v>
      </c>
      <c r="R18" s="152">
        <f t="shared" si="50"/>
        <v>20</v>
      </c>
      <c r="S18" s="152">
        <f t="shared" si="51"/>
        <v>0</v>
      </c>
      <c r="T18" s="153">
        <f t="shared" si="52"/>
        <v>180</v>
      </c>
      <c r="U18" s="152" t="str">
        <f t="shared" si="53"/>
        <v/>
      </c>
      <c r="V18" s="152" t="str">
        <f t="shared" si="54"/>
        <v>P</v>
      </c>
      <c r="W18" s="152" t="str">
        <f t="shared" si="55"/>
        <v>III</v>
      </c>
      <c r="X18" s="545">
        <f>IF('Marks Entry'!P18="","",'Marks Entry'!P18)</f>
        <v>5</v>
      </c>
      <c r="Y18" s="545">
        <f>IF('Marks Entry'!Q18="","",'Marks Entry'!Q18)</f>
        <v>4</v>
      </c>
      <c r="Z18" s="545">
        <f>IF('Marks Entry'!R18="","",'Marks Entry'!R18)</f>
        <v>9</v>
      </c>
      <c r="AA18" s="546">
        <f t="shared" si="56"/>
        <v>18</v>
      </c>
      <c r="AB18" s="545">
        <f>IF('Marks Entry'!S18="","",'Marks Entry'!S18)</f>
        <v>34</v>
      </c>
      <c r="AC18" s="546">
        <f t="shared" si="57"/>
        <v>52</v>
      </c>
      <c r="AD18" s="545">
        <f>IF('Marks Entry'!T18="","",'Marks Entry'!T18)</f>
        <v>46</v>
      </c>
      <c r="AE18" s="547">
        <f t="shared" si="58"/>
        <v>98</v>
      </c>
      <c r="AF18" s="152">
        <f t="shared" si="59"/>
        <v>0</v>
      </c>
      <c r="AG18" s="152">
        <f t="shared" si="60"/>
        <v>0</v>
      </c>
      <c r="AH18" s="153">
        <f t="shared" si="61"/>
        <v>200</v>
      </c>
      <c r="AI18" s="152" t="str">
        <f t="shared" si="62"/>
        <v/>
      </c>
      <c r="AJ18" s="152" t="str">
        <f t="shared" si="63"/>
        <v>P</v>
      </c>
      <c r="AK18" s="152" t="str">
        <f t="shared" si="64"/>
        <v>II</v>
      </c>
      <c r="AL18" s="573" t="str">
        <f>IF('Marks Entry'!U18="","",'Marks Entry'!U18)</f>
        <v>A</v>
      </c>
      <c r="AM18" s="573" t="str">
        <f>IF('Marks Entry'!V18="","",'Marks Entry'!V18)</f>
        <v>ab</v>
      </c>
      <c r="AN18" s="573">
        <f>IF('Marks Entry'!W18="","",'Marks Entry'!W18)</f>
        <v>9</v>
      </c>
      <c r="AO18" s="573">
        <f>IF('Marks Entry'!X18="","",'Marks Entry'!X18)</f>
        <v>7</v>
      </c>
      <c r="AP18" s="572">
        <f t="shared" si="65"/>
        <v>16</v>
      </c>
      <c r="AQ18" s="573">
        <f>IF('Marks Entry'!Y18="","",'Marks Entry'!Y18)</f>
        <v>35</v>
      </c>
      <c r="AR18" s="573" t="str">
        <f>IF('Marks Entry'!Z18="","",'Marks Entry'!Z18)</f>
        <v/>
      </c>
      <c r="AS18" s="572">
        <f t="shared" si="66"/>
        <v>35</v>
      </c>
      <c r="AT18" s="572">
        <f t="shared" si="67"/>
        <v>51</v>
      </c>
      <c r="AU18" s="573">
        <f>IF('Marks Entry'!AA18="","",'Marks Entry'!AA18)</f>
        <v>38</v>
      </c>
      <c r="AV18" s="573" t="str">
        <f>IF('Marks Entry'!AB18="","",'Marks Entry'!AB18)</f>
        <v/>
      </c>
      <c r="AW18" s="572">
        <f t="shared" si="68"/>
        <v>38</v>
      </c>
      <c r="AX18" s="156">
        <f t="shared" si="69"/>
        <v>89</v>
      </c>
      <c r="AY18" s="156" t="str">
        <f t="shared" si="70"/>
        <v/>
      </c>
      <c r="AZ18" s="191">
        <f t="shared" si="71"/>
        <v>89</v>
      </c>
      <c r="BA18" s="152">
        <f t="shared" si="72"/>
        <v>0</v>
      </c>
      <c r="BB18" s="153">
        <f t="shared" si="73"/>
        <v>0</v>
      </c>
      <c r="BC18" s="153">
        <f t="shared" si="74"/>
        <v>100</v>
      </c>
      <c r="BD18" s="153" t="str">
        <f t="shared" si="75"/>
        <v/>
      </c>
      <c r="BE18" s="153">
        <f t="shared" si="76"/>
        <v>200</v>
      </c>
      <c r="BF18" s="152" t="str">
        <f t="shared" si="77"/>
        <v/>
      </c>
      <c r="BG18" s="153" t="str">
        <f t="shared" si="175"/>
        <v>P</v>
      </c>
      <c r="BH18" s="152" t="str">
        <f t="shared" si="78"/>
        <v>III</v>
      </c>
      <c r="BI18" s="580" t="str">
        <f>IF('Marks Entry'!AC18="","",'Marks Entry'!AC18)</f>
        <v>A</v>
      </c>
      <c r="BJ18" s="580">
        <f>IF('Marks Entry'!AD18="","",'Marks Entry'!AD18)</f>
        <v>8</v>
      </c>
      <c r="BK18" s="580">
        <f>IF('Marks Entry'!AE18="","",'Marks Entry'!AE18)</f>
        <v>6</v>
      </c>
      <c r="BL18" s="580" t="str">
        <f>IF('Marks Entry'!AF18="","",'Marks Entry'!AF18)</f>
        <v/>
      </c>
      <c r="BM18" s="581">
        <f t="shared" si="79"/>
        <v>14</v>
      </c>
      <c r="BN18" s="580">
        <f>IF('Marks Entry'!AG18="","",'Marks Entry'!AG18)</f>
        <v>43</v>
      </c>
      <c r="BO18" s="580" t="str">
        <f>IF('Marks Entry'!AH18="","",'Marks Entry'!AH18)</f>
        <v/>
      </c>
      <c r="BP18" s="581">
        <f t="shared" si="80"/>
        <v>43</v>
      </c>
      <c r="BQ18" s="581">
        <f t="shared" si="81"/>
        <v>57</v>
      </c>
      <c r="BR18" s="580">
        <f>IF('Marks Entry'!AI18="","",'Marks Entry'!AI18)</f>
        <v>36</v>
      </c>
      <c r="BS18" s="580" t="str">
        <f>IF('Marks Entry'!AJ18="","",'Marks Entry'!AJ18)</f>
        <v/>
      </c>
      <c r="BT18" s="581">
        <f t="shared" si="82"/>
        <v>36</v>
      </c>
      <c r="BU18" s="156">
        <f t="shared" si="83"/>
        <v>93</v>
      </c>
      <c r="BV18" s="156" t="str">
        <f t="shared" si="84"/>
        <v/>
      </c>
      <c r="BW18" s="191">
        <f t="shared" si="85"/>
        <v>93</v>
      </c>
      <c r="BX18" s="152">
        <f t="shared" si="86"/>
        <v>0</v>
      </c>
      <c r="BY18" s="153">
        <f t="shared" si="87"/>
        <v>0</v>
      </c>
      <c r="BZ18" s="153">
        <f t="shared" si="88"/>
        <v>100</v>
      </c>
      <c r="CA18" s="153" t="str">
        <f t="shared" si="89"/>
        <v/>
      </c>
      <c r="CB18" s="153">
        <f t="shared" si="90"/>
        <v>200</v>
      </c>
      <c r="CC18" s="152" t="str">
        <f t="shared" si="91"/>
        <v/>
      </c>
      <c r="CD18" s="153" t="str">
        <f t="shared" si="92"/>
        <v>P</v>
      </c>
      <c r="CE18" s="152" t="str">
        <f t="shared" si="93"/>
        <v>III</v>
      </c>
      <c r="CF18" s="580" t="str">
        <f>IF('Marks Entry'!AK18="","",'Marks Entry'!AK18)</f>
        <v>A</v>
      </c>
      <c r="CG18" s="580">
        <f>IF('Marks Entry'!AL18="","",'Marks Entry'!AL18)</f>
        <v>3</v>
      </c>
      <c r="CH18" s="580">
        <f>IF('Marks Entry'!AM18="","",'Marks Entry'!AM18)</f>
        <v>6</v>
      </c>
      <c r="CI18" s="580">
        <f>IF('Marks Entry'!AN18="","",'Marks Entry'!AN18)</f>
        <v>7</v>
      </c>
      <c r="CJ18" s="581">
        <f t="shared" si="94"/>
        <v>16</v>
      </c>
      <c r="CK18" s="580">
        <f>IF('Marks Entry'!AO18="","",'Marks Entry'!AO18)</f>
        <v>19</v>
      </c>
      <c r="CL18" s="580">
        <f>IF('Marks Entry'!AP18="","",'Marks Entry'!AP18)</f>
        <v>10</v>
      </c>
      <c r="CM18" s="581">
        <f t="shared" si="95"/>
        <v>29</v>
      </c>
      <c r="CN18" s="581">
        <f t="shared" si="96"/>
        <v>45</v>
      </c>
      <c r="CO18" s="580">
        <f>IF('Marks Entry'!AQ18="","",'Marks Entry'!AQ18)</f>
        <v>47</v>
      </c>
      <c r="CP18" s="580">
        <f>IF('Marks Entry'!AR18="","",'Marks Entry'!AR18)</f>
        <v>15</v>
      </c>
      <c r="CQ18" s="581">
        <f t="shared" si="97"/>
        <v>62</v>
      </c>
      <c r="CR18" s="156">
        <f t="shared" si="98"/>
        <v>82</v>
      </c>
      <c r="CS18" s="156">
        <f t="shared" si="99"/>
        <v>25</v>
      </c>
      <c r="CT18" s="191">
        <f t="shared" si="100"/>
        <v>107</v>
      </c>
      <c r="CU18" s="152">
        <f t="shared" si="101"/>
        <v>0</v>
      </c>
      <c r="CV18" s="153">
        <f t="shared" si="102"/>
        <v>0</v>
      </c>
      <c r="CW18" s="153">
        <f t="shared" si="103"/>
        <v>70</v>
      </c>
      <c r="CX18" s="153">
        <f t="shared" si="104"/>
        <v>50</v>
      </c>
      <c r="CY18" s="153">
        <f t="shared" si="176"/>
        <v>150</v>
      </c>
      <c r="CZ18" s="152" t="str">
        <f t="shared" si="105"/>
        <v/>
      </c>
      <c r="DA18" s="153" t="str">
        <f t="shared" si="106"/>
        <v>P</v>
      </c>
      <c r="DB18" s="152" t="str">
        <f t="shared" si="107"/>
        <v>II</v>
      </c>
      <c r="DC18" s="153">
        <f t="shared" si="108"/>
        <v>20</v>
      </c>
      <c r="DD18" s="851" t="str">
        <f>IF('Marks Entry'!AS18="","",IF(OR('Master Sheet'!$D$19="YES",'Marks Entry'!$BA$1=1),'Marks Entry'!AS18,""))</f>
        <v/>
      </c>
      <c r="DE18" s="851" t="str">
        <f>IF('Marks Entry'!AT18="","",IF(OR('Master Sheet'!$D$19="YES",'Marks Entry'!$BA$1=1),'Marks Entry'!AT18,""))</f>
        <v/>
      </c>
      <c r="DF18" s="851" t="str">
        <f>IF('Marks Entry'!AU18="","",IF(OR('Master Sheet'!$D$19="YES",'Marks Entry'!$BA$1=1),'Marks Entry'!AU18,""))</f>
        <v/>
      </c>
      <c r="DG18" s="851" t="str">
        <f>IF('Marks Entry'!AV18="","",IF(OR('Master Sheet'!$D$19="YES",'Marks Entry'!$BA$1=1),'Marks Entry'!AV18,""))</f>
        <v/>
      </c>
      <c r="DH18" s="852" t="str">
        <f t="shared" si="109"/>
        <v/>
      </c>
      <c r="DI18" s="851" t="str">
        <f>IF('Marks Entry'!AW18="","",IF(OR('Master Sheet'!$D$19="YES",'Marks Entry'!$BA$1=1),'Marks Entry'!AW18,""))</f>
        <v/>
      </c>
      <c r="DJ18" s="851" t="str">
        <f>IF('Marks Entry'!AX18="","",IF(OR('Master Sheet'!$D$19="YES",'Marks Entry'!$BA$1=1),'Marks Entry'!AX18,""))</f>
        <v/>
      </c>
      <c r="DK18" s="852" t="str">
        <f t="shared" si="110"/>
        <v/>
      </c>
      <c r="DL18" s="852" t="str">
        <f t="shared" si="111"/>
        <v/>
      </c>
      <c r="DM18" s="851" t="str">
        <f>IF('Marks Entry'!AY18="","",IF(OR('Master Sheet'!$D$19="YES",'Marks Entry'!$BA$1=1),'Marks Entry'!AY18,""))</f>
        <v/>
      </c>
      <c r="DN18" s="851" t="str">
        <f>IF('Marks Entry'!AZ18="","",IF(OR('Master Sheet'!$D$19="YES",'Marks Entry'!$BA$1=1),'Marks Entry'!AZ18,""))</f>
        <v/>
      </c>
      <c r="DO18" s="851" t="str">
        <f>IF('Marks Entry'!BA18="","",IF(OR('Master Sheet'!$D$19="YES",'Marks Entry'!$BA$1=1),'Marks Entry'!BA18,""))</f>
        <v/>
      </c>
      <c r="DP18" s="852" t="str">
        <f t="shared" si="112"/>
        <v/>
      </c>
      <c r="DQ18" s="156" t="str">
        <f t="shared" si="113"/>
        <v/>
      </c>
      <c r="DR18" s="156" t="str">
        <f t="shared" si="114"/>
        <v/>
      </c>
      <c r="DS18" s="156" t="str">
        <f t="shared" si="115"/>
        <v/>
      </c>
      <c r="DT18" s="191" t="str">
        <f t="shared" si="116"/>
        <v/>
      </c>
      <c r="DU18" s="152">
        <f t="shared" si="117"/>
        <v>0</v>
      </c>
      <c r="DV18" s="153">
        <f t="shared" si="118"/>
        <v>0</v>
      </c>
      <c r="DW18" s="153" t="str">
        <f t="shared" si="119"/>
        <v/>
      </c>
      <c r="DX18" s="153" t="str">
        <f>IF(OR($B18="NSO",$B18=0,DS18=""),"",IF(AND(DJ18="",DO18=""),"",IF('Master Sheet'!$D$19="YES",$DO$6-COUNTIF(DO18,"ML")*DO$6,DS$6-(COUNTIF(DJ18,"ML")*DJ$6)-(COUNTIF(DO18,"ML")*DO$6))))</f>
        <v/>
      </c>
      <c r="DY18" s="153" t="str">
        <f>IF(OR($B18="NSO",$B18=0),"",IF(AND(DH18="",DI18="",DM18=""),"",IF(AND('Master Sheet'!$D$19="YES",'Marks Entry'!$BA$1=1),100,IF(AND(DJ18="",DO18=""),SUM(($DQ$7+$DR$7)-(DU18+DV18)),SUM(($DQ$6+$DR$6)-(DU18+DV18))))))</f>
        <v/>
      </c>
      <c r="DZ18" s="152" t="str">
        <f t="shared" si="120"/>
        <v/>
      </c>
      <c r="EA18" s="153" t="str">
        <f t="shared" si="121"/>
        <v/>
      </c>
      <c r="EB18" s="152" t="str">
        <f t="shared" si="122"/>
        <v/>
      </c>
      <c r="EC18" s="584">
        <f>IF('Marks Entry'!BB18="","",'Marks Entry'!BB18)</f>
        <v>26</v>
      </c>
      <c r="ED18" s="584">
        <f>IF('Marks Entry'!BC18="","",'Marks Entry'!BC18)</f>
        <v>27</v>
      </c>
      <c r="EE18" s="584">
        <f>IF('Marks Entry'!BD18="","",'Marks Entry'!BD18)</f>
        <v>32</v>
      </c>
      <c r="EF18" s="590">
        <f t="shared" si="123"/>
        <v>85</v>
      </c>
      <c r="EG18" s="595">
        <f t="shared" si="124"/>
        <v>0</v>
      </c>
      <c r="EH18" s="595">
        <f t="shared" si="125"/>
        <v>0</v>
      </c>
      <c r="EI18" s="192">
        <f t="shared" si="126"/>
        <v>100</v>
      </c>
      <c r="EJ18" s="595" t="str">
        <f t="shared" si="127"/>
        <v/>
      </c>
      <c r="EK18" s="595" t="str">
        <f t="shared" si="128"/>
        <v>A</v>
      </c>
      <c r="EL18" s="193" t="str">
        <f t="shared" si="129"/>
        <v>III</v>
      </c>
      <c r="EM18" s="193" t="str">
        <f t="shared" si="130"/>
        <v>II</v>
      </c>
      <c r="EN18" s="193" t="str">
        <f t="shared" si="131"/>
        <v>III</v>
      </c>
      <c r="EO18" s="193" t="str">
        <f t="shared" si="132"/>
        <v>III</v>
      </c>
      <c r="EP18" s="193" t="str">
        <f t="shared" si="133"/>
        <v>II</v>
      </c>
      <c r="EQ18" s="193" t="str">
        <f t="shared" si="134"/>
        <v/>
      </c>
      <c r="ER18" s="194">
        <f t="shared" si="135"/>
        <v>0</v>
      </c>
      <c r="ES18" s="194">
        <f t="shared" si="136"/>
        <v>0</v>
      </c>
      <c r="ET18" s="194">
        <f t="shared" si="137"/>
        <v>0</v>
      </c>
      <c r="EU18" s="194">
        <f t="shared" si="138"/>
        <v>0</v>
      </c>
      <c r="EV18" s="194">
        <f t="shared" si="139"/>
        <v>0</v>
      </c>
      <c r="EW18" s="194" t="str">
        <f t="shared" si="140"/>
        <v/>
      </c>
      <c r="EX18" s="195" t="str">
        <f t="shared" si="141"/>
        <v>PASS</v>
      </c>
      <c r="EY18" s="196">
        <f>IF('Marks Entry'!BE18="","",'Marks Entry'!BE18)</f>
        <v>8</v>
      </c>
      <c r="EZ18" s="196">
        <f>IF('Marks Entry'!BF18="","",'Marks Entry'!BF18)</f>
        <v>8</v>
      </c>
      <c r="FA18" s="196">
        <f>IF('Marks Entry'!BG18="","",'Marks Entry'!BG18)</f>
        <v>8</v>
      </c>
      <c r="FB18" s="596">
        <f t="shared" si="142"/>
        <v>24</v>
      </c>
      <c r="FC18" s="196">
        <f>IF('Marks Entry'!BH18="","",'Marks Entry'!BH18)</f>
        <v>52</v>
      </c>
      <c r="FD18" s="196">
        <f>IF('Marks Entry'!BI18="","",'Marks Entry'!BI18)</f>
        <v>68</v>
      </c>
      <c r="FE18" s="197">
        <f t="shared" si="143"/>
        <v>144</v>
      </c>
      <c r="FF18" s="198" t="str">
        <f t="shared" si="144"/>
        <v>B</v>
      </c>
      <c r="FG18" s="199">
        <f>IF(AND(E18=""),"",IF('Student DATA Entry'!L14="","",'Student DATA Entry'!L14))</f>
        <v>370</v>
      </c>
      <c r="FH18" s="200">
        <f>IF(AND(E18=""),"",IF('Student DATA Entry'!M14="","",'Student DATA Entry'!M14))</f>
        <v>360</v>
      </c>
      <c r="FI18" s="201">
        <f t="shared" si="145"/>
        <v>97.297297297297305</v>
      </c>
      <c r="FJ18" s="188" t="str">
        <f t="shared" si="146"/>
        <v>III</v>
      </c>
      <c r="FK18" s="188" t="str">
        <f t="shared" si="147"/>
        <v/>
      </c>
      <c r="FL18" s="202" t="str">
        <f t="shared" si="19"/>
        <v/>
      </c>
      <c r="FM18" s="188" t="str">
        <f t="shared" si="148"/>
        <v>II</v>
      </c>
      <c r="FN18" s="203" t="str">
        <f t="shared" si="149"/>
        <v/>
      </c>
      <c r="FO18" s="202" t="str">
        <f t="shared" si="20"/>
        <v/>
      </c>
      <c r="FP18" s="204" t="str">
        <f t="shared" si="150"/>
        <v>III</v>
      </c>
      <c r="FQ18" s="188" t="str">
        <f t="shared" si="21"/>
        <v>III</v>
      </c>
      <c r="FR18" s="188" t="str">
        <f t="shared" si="22"/>
        <v/>
      </c>
      <c r="FS18" s="188" t="str">
        <f t="shared" si="23"/>
        <v/>
      </c>
      <c r="FT18" s="188" t="str">
        <f t="shared" si="24"/>
        <v/>
      </c>
      <c r="FU18" s="188" t="str">
        <f t="shared" si="151"/>
        <v/>
      </c>
      <c r="FV18" s="205" t="str">
        <f t="shared" si="25"/>
        <v/>
      </c>
      <c r="FW18" s="204" t="str">
        <f t="shared" si="152"/>
        <v>III</v>
      </c>
      <c r="FX18" s="188" t="str">
        <f t="shared" si="26"/>
        <v>III</v>
      </c>
      <c r="FY18" s="188" t="str">
        <f t="shared" si="27"/>
        <v/>
      </c>
      <c r="FZ18" s="188" t="str">
        <f t="shared" si="28"/>
        <v/>
      </c>
      <c r="GA18" s="188" t="str">
        <f t="shared" si="29"/>
        <v/>
      </c>
      <c r="GB18" s="188" t="str">
        <f t="shared" si="153"/>
        <v/>
      </c>
      <c r="GC18" s="205" t="str">
        <f t="shared" si="30"/>
        <v/>
      </c>
      <c r="GD18" s="204" t="str">
        <f t="shared" si="154"/>
        <v>II</v>
      </c>
      <c r="GE18" s="188" t="str">
        <f t="shared" si="31"/>
        <v>II</v>
      </c>
      <c r="GF18" s="188" t="str">
        <f t="shared" si="32"/>
        <v/>
      </c>
      <c r="GG18" s="188" t="str">
        <f t="shared" si="33"/>
        <v/>
      </c>
      <c r="GH18" s="188" t="str">
        <f t="shared" si="34"/>
        <v/>
      </c>
      <c r="GI18" s="188" t="str">
        <f t="shared" si="155"/>
        <v/>
      </c>
      <c r="GJ18" s="205" t="str">
        <f t="shared" si="35"/>
        <v/>
      </c>
      <c r="GK18" s="204" t="str">
        <f t="shared" si="156"/>
        <v/>
      </c>
      <c r="GL18" s="188" t="str">
        <f t="shared" si="36"/>
        <v/>
      </c>
      <c r="GM18" s="188" t="str">
        <f t="shared" si="37"/>
        <v/>
      </c>
      <c r="GN18" s="188" t="str">
        <f t="shared" si="38"/>
        <v/>
      </c>
      <c r="GO18" s="188" t="str">
        <f t="shared" si="39"/>
        <v/>
      </c>
      <c r="GP18" s="188" t="str">
        <f t="shared" si="157"/>
        <v/>
      </c>
      <c r="GQ18" s="205" t="str">
        <f t="shared" si="40"/>
        <v/>
      </c>
      <c r="GR18" s="188" t="str">
        <f t="shared" si="158"/>
        <v>A</v>
      </c>
      <c r="GS18" s="188" t="str">
        <f t="shared" si="159"/>
        <v>B</v>
      </c>
      <c r="GT18" s="206" t="str">
        <f t="shared" si="177"/>
        <v xml:space="preserve">    </v>
      </c>
      <c r="GU18" s="206" t="str">
        <f t="shared" si="160"/>
        <v xml:space="preserve">    </v>
      </c>
      <c r="GV18" s="206" t="str">
        <f t="shared" si="161"/>
        <v xml:space="preserve">    </v>
      </c>
      <c r="GW18" s="206" t="str">
        <f t="shared" si="162"/>
        <v xml:space="preserve">       </v>
      </c>
      <c r="GX18" s="598" t="str">
        <f t="shared" si="163"/>
        <v xml:space="preserve">     </v>
      </c>
      <c r="GY18" s="207" t="str">
        <f t="shared" si="164"/>
        <v>PASS</v>
      </c>
      <c r="GZ18" s="606">
        <f>IF(AND(Q18="",AE18="",AZ18="",BW18="",CT18=""),"",IF(AND('Master Sheet'!$D$19="YES",'Marks Entry'!$BA$1=1),SUM(Q18,AE18,AZ18,BW18,DT18),SUM(Q18,AE18,AZ18,BW18,CT18)))</f>
        <v>457</v>
      </c>
      <c r="HA18" s="208">
        <f>IF(GZ18="","",IF(AND('Master Sheet'!$D$19="YES",'Marks Entry'!$BA$1=1),GZ18/((900)-DC18)*100,GZ18/((1000)-DC18)*100))</f>
        <v>46.632653061224488</v>
      </c>
      <c r="HB18" s="611" t="str">
        <f t="shared" si="165"/>
        <v>III</v>
      </c>
      <c r="HC18" s="609">
        <f t="shared" si="166"/>
        <v>46.632653061224488</v>
      </c>
      <c r="HD18" s="610">
        <f t="shared" si="167"/>
        <v>7.0000000000000329</v>
      </c>
      <c r="HE18" s="209" t="str">
        <f>IFERROR(IF(OR(GY18="SUPPLEMENTARY",GY18="RE-EXAM"),'Supp. Result Entry'!AS17,""),"")</f>
        <v/>
      </c>
      <c r="HF18" s="613" t="str">
        <f t="shared" si="168"/>
        <v/>
      </c>
      <c r="HG18" s="598" t="str">
        <f t="shared" si="169"/>
        <v/>
      </c>
      <c r="HH18" s="598" t="str">
        <f>IF(AND(HE18="",HF18="",HG18=""),"",IF(OR(GY18="SUPPLEMENTARY",GY18="RE-EXAM"),'Supp. Result Entry'!AS17,GY18))</f>
        <v/>
      </c>
      <c r="HI18" s="179"/>
      <c r="HY18" s="211" t="str">
        <f>IF('Supp. Result Entry'!U17="","",'Supp. Result Entry'!$U$6)</f>
        <v/>
      </c>
      <c r="HZ18" s="212" t="str">
        <f>IF('Supp. Result Entry'!X17="","",'Supp. Result Entry'!$X$6)</f>
        <v/>
      </c>
      <c r="IA18" s="212" t="str">
        <f>IF('Supp. Result Entry'!AA17="","",'Supp. Result Entry'!$AA$6)</f>
        <v/>
      </c>
      <c r="IB18" s="212" t="str">
        <f>IF('Supp. Result Entry'!AD17="","",'Supp. Result Entry'!$AD$6)</f>
        <v/>
      </c>
      <c r="IC18" s="212" t="str">
        <f>IF('Supp. Result Entry'!AG17="","",'Supp. Result Entry'!$AG$6)</f>
        <v/>
      </c>
      <c r="ID18" s="212" t="str">
        <f>IF('Supp. Result Entry'!AJ17="","",'Supp. Result Entry'!$AJ$6)</f>
        <v/>
      </c>
      <c r="IE18" s="212" t="str">
        <f>IF('Supp. Result Entry'!V17="","",'Supp. Result Entry'!V17)</f>
        <v/>
      </c>
      <c r="IF18" s="212" t="str">
        <f>IF('Supp. Result Entry'!Y17="","",'Supp. Result Entry'!Y17)</f>
        <v/>
      </c>
      <c r="IG18" s="212" t="str">
        <f>IF('Supp. Result Entry'!AB17="","",'Supp. Result Entry'!AB17)</f>
        <v/>
      </c>
      <c r="IH18" s="212" t="str">
        <f>IF('Supp. Result Entry'!AE17="","",'Supp. Result Entry'!AE17)</f>
        <v/>
      </c>
      <c r="II18" s="212" t="str">
        <f>IF('Supp. Result Entry'!AH17="","",'Supp. Result Entry'!AH17)</f>
        <v/>
      </c>
      <c r="IJ18" s="212" t="str">
        <f>IF('Supp. Result Entry'!AK17="","",'Supp. Result Entry'!AK17)</f>
        <v/>
      </c>
      <c r="IK18" s="212" t="str">
        <f>IF('Supp. Result Entry'!W17="","",'Supp. Result Entry'!W17)</f>
        <v/>
      </c>
      <c r="IL18" s="212" t="str">
        <f>IF('Supp. Result Entry'!Z17="","",'Supp. Result Entry'!Z17)</f>
        <v/>
      </c>
      <c r="IM18" s="212" t="str">
        <f>IF('Supp. Result Entry'!AC17="","",'Supp. Result Entry'!AC17)</f>
        <v/>
      </c>
      <c r="IN18" s="212" t="str">
        <f>IF('Supp. Result Entry'!AF17="","",'Supp. Result Entry'!AF17)</f>
        <v/>
      </c>
      <c r="IO18" s="212" t="str">
        <f>IF('Supp. Result Entry'!AI17="","",'Supp. Result Entry'!AI17)</f>
        <v/>
      </c>
      <c r="IP18" s="212" t="str">
        <f>IF('Supp. Result Entry'!AL17="","",'Supp. Result Entry'!AL17)</f>
        <v/>
      </c>
      <c r="IQ18" s="212">
        <f>COUNTIF('Supp. Result Entry'!K17:Q17,"S")</f>
        <v>0</v>
      </c>
      <c r="IR18" s="212">
        <f t="shared" si="170"/>
        <v>0</v>
      </c>
      <c r="IS18" s="212">
        <f t="shared" si="171"/>
        <v>0</v>
      </c>
      <c r="IT18" s="212" t="str">
        <f t="shared" si="41"/>
        <v/>
      </c>
      <c r="IU18" s="212" t="str">
        <f t="shared" si="42"/>
        <v/>
      </c>
      <c r="IV18" s="212" t="str">
        <f t="shared" si="43"/>
        <v/>
      </c>
      <c r="IW18" s="212" t="str">
        <f t="shared" si="44"/>
        <v/>
      </c>
      <c r="IX18" s="212" t="str">
        <f t="shared" si="45"/>
        <v/>
      </c>
      <c r="IY18" s="212" t="str">
        <f t="shared" si="172"/>
        <v/>
      </c>
      <c r="IZ18" s="212" t="str">
        <f t="shared" si="173"/>
        <v/>
      </c>
      <c r="JA18" s="212" t="str">
        <f t="shared" si="46"/>
        <v/>
      </c>
      <c r="JB18" s="210" t="str">
        <f t="shared" si="174"/>
        <v/>
      </c>
    </row>
    <row r="19" spans="1:262" s="210" customFormat="1" ht="21" customHeight="1">
      <c r="A19" s="183">
        <v>12</v>
      </c>
      <c r="B19" s="184" t="str">
        <f>IF('Marks Entry'!B19="","",'Marks Entry'!B19)</f>
        <v/>
      </c>
      <c r="C19" s="185" t="str">
        <f>IF('Marks Entry'!D19="","",'Marks Entry'!D19)</f>
        <v/>
      </c>
      <c r="D19" s="186" t="str">
        <f>IF('Marks Entry'!E19="","",'Marks Entry'!E19)</f>
        <v/>
      </c>
      <c r="E19" s="187" t="str">
        <f>IF('Marks Entry'!F19="","",'Marks Entry'!F19)</f>
        <v/>
      </c>
      <c r="F19" s="187" t="str">
        <f>IF('Marks Entry'!G19="","",'Marks Entry'!G19)</f>
        <v/>
      </c>
      <c r="G19" s="187" t="str">
        <f>IF('Marks Entry'!H19="","",'Marks Entry'!H19)</f>
        <v/>
      </c>
      <c r="H19" s="188" t="str">
        <f>IF('Marks Entry'!I19="","",'Marks Entry'!I19)</f>
        <v/>
      </c>
      <c r="I19" s="189" t="str">
        <f>IF('Marks Entry'!J19="","",'Marks Entry'!J19)</f>
        <v/>
      </c>
      <c r="J19" s="545" t="str">
        <f>IF('Marks Entry'!K19="","",'Marks Entry'!K19)</f>
        <v>na</v>
      </c>
      <c r="K19" s="545">
        <f>IF('Marks Entry'!L19="","",'Marks Entry'!L19)</f>
        <v>8</v>
      </c>
      <c r="L19" s="545">
        <f>IF('Marks Entry'!M19="","",'Marks Entry'!M19)</f>
        <v>8</v>
      </c>
      <c r="M19" s="546">
        <f t="shared" si="47"/>
        <v>16</v>
      </c>
      <c r="N19" s="545">
        <f>IF('Marks Entry'!N19="","",'Marks Entry'!N19)</f>
        <v>43</v>
      </c>
      <c r="O19" s="546">
        <f t="shared" si="48"/>
        <v>59</v>
      </c>
      <c r="P19" s="545">
        <f>IF('Marks Entry'!O19="","",'Marks Entry'!O19)</f>
        <v>46</v>
      </c>
      <c r="Q19" s="547">
        <f t="shared" si="49"/>
        <v>105</v>
      </c>
      <c r="R19" s="152">
        <f t="shared" si="50"/>
        <v>10</v>
      </c>
      <c r="S19" s="152">
        <f t="shared" si="51"/>
        <v>0</v>
      </c>
      <c r="T19" s="153">
        <f t="shared" si="52"/>
        <v>190</v>
      </c>
      <c r="U19" s="152" t="str">
        <f t="shared" si="53"/>
        <v/>
      </c>
      <c r="V19" s="152" t="str">
        <f t="shared" si="54"/>
        <v/>
      </c>
      <c r="W19" s="152" t="str">
        <f t="shared" si="55"/>
        <v/>
      </c>
      <c r="X19" s="545">
        <f>IF('Marks Entry'!P19="","",'Marks Entry'!P19)</f>
        <v>7</v>
      </c>
      <c r="Y19" s="545">
        <f>IF('Marks Entry'!Q19="","",'Marks Entry'!Q19)</f>
        <v>5</v>
      </c>
      <c r="Z19" s="545">
        <f>IF('Marks Entry'!R19="","",'Marks Entry'!R19)</f>
        <v>9</v>
      </c>
      <c r="AA19" s="546">
        <f t="shared" si="56"/>
        <v>21</v>
      </c>
      <c r="AB19" s="545">
        <f>IF('Marks Entry'!S19="","",'Marks Entry'!S19)</f>
        <v>36</v>
      </c>
      <c r="AC19" s="546">
        <f t="shared" si="57"/>
        <v>57</v>
      </c>
      <c r="AD19" s="545">
        <f>IF('Marks Entry'!T19="","",'Marks Entry'!T19)</f>
        <v>48</v>
      </c>
      <c r="AE19" s="547">
        <f t="shared" si="58"/>
        <v>105</v>
      </c>
      <c r="AF19" s="152">
        <f t="shared" si="59"/>
        <v>0</v>
      </c>
      <c r="AG19" s="152">
        <f t="shared" si="60"/>
        <v>0</v>
      </c>
      <c r="AH19" s="153">
        <f t="shared" si="61"/>
        <v>200</v>
      </c>
      <c r="AI19" s="152" t="str">
        <f t="shared" si="62"/>
        <v/>
      </c>
      <c r="AJ19" s="152" t="str">
        <f t="shared" si="63"/>
        <v/>
      </c>
      <c r="AK19" s="152" t="str">
        <f t="shared" si="64"/>
        <v/>
      </c>
      <c r="AL19" s="573" t="str">
        <f>IF('Marks Entry'!U19="","",'Marks Entry'!U19)</f>
        <v>A</v>
      </c>
      <c r="AM19" s="573" t="str">
        <f>IF('Marks Entry'!V19="","",'Marks Entry'!V19)</f>
        <v>na</v>
      </c>
      <c r="AN19" s="573">
        <f>IF('Marks Entry'!W19="","",'Marks Entry'!W19)</f>
        <v>8</v>
      </c>
      <c r="AO19" s="573">
        <f>IF('Marks Entry'!X19="","",'Marks Entry'!X19)</f>
        <v>7</v>
      </c>
      <c r="AP19" s="572">
        <f t="shared" si="65"/>
        <v>15</v>
      </c>
      <c r="AQ19" s="573">
        <f>IF('Marks Entry'!Y19="","",'Marks Entry'!Y19)</f>
        <v>25</v>
      </c>
      <c r="AR19" s="573" t="str">
        <f>IF('Marks Entry'!Z19="","",'Marks Entry'!Z19)</f>
        <v/>
      </c>
      <c r="AS19" s="572">
        <f t="shared" si="66"/>
        <v>25</v>
      </c>
      <c r="AT19" s="572">
        <f t="shared" si="67"/>
        <v>40</v>
      </c>
      <c r="AU19" s="573">
        <f>IF('Marks Entry'!AA19="","",'Marks Entry'!AA19)</f>
        <v>39</v>
      </c>
      <c r="AV19" s="573" t="str">
        <f>IF('Marks Entry'!AB19="","",'Marks Entry'!AB19)</f>
        <v/>
      </c>
      <c r="AW19" s="572">
        <f t="shared" si="68"/>
        <v>39</v>
      </c>
      <c r="AX19" s="156">
        <f t="shared" si="69"/>
        <v>79</v>
      </c>
      <c r="AY19" s="156" t="str">
        <f t="shared" si="70"/>
        <v/>
      </c>
      <c r="AZ19" s="191">
        <f t="shared" si="71"/>
        <v>79</v>
      </c>
      <c r="BA19" s="152">
        <f t="shared" si="72"/>
        <v>10</v>
      </c>
      <c r="BB19" s="153">
        <f t="shared" si="73"/>
        <v>0</v>
      </c>
      <c r="BC19" s="153">
        <f t="shared" si="74"/>
        <v>100</v>
      </c>
      <c r="BD19" s="153" t="str">
        <f t="shared" si="75"/>
        <v/>
      </c>
      <c r="BE19" s="153">
        <f t="shared" si="76"/>
        <v>190</v>
      </c>
      <c r="BF19" s="152" t="str">
        <f t="shared" si="77"/>
        <v/>
      </c>
      <c r="BG19" s="153" t="str">
        <f t="shared" si="175"/>
        <v>P</v>
      </c>
      <c r="BH19" s="152" t="str">
        <f t="shared" si="78"/>
        <v>III</v>
      </c>
      <c r="BI19" s="580" t="str">
        <f>IF('Marks Entry'!AC19="","",'Marks Entry'!AC19)</f>
        <v>A</v>
      </c>
      <c r="BJ19" s="580">
        <f>IF('Marks Entry'!AD19="","",'Marks Entry'!AD19)</f>
        <v>7</v>
      </c>
      <c r="BK19" s="580">
        <f>IF('Marks Entry'!AE19="","",'Marks Entry'!AE19)</f>
        <v>10</v>
      </c>
      <c r="BL19" s="580" t="str">
        <f>IF('Marks Entry'!AF19="","",'Marks Entry'!AF19)</f>
        <v/>
      </c>
      <c r="BM19" s="581">
        <f t="shared" si="79"/>
        <v>17</v>
      </c>
      <c r="BN19" s="580">
        <f>IF('Marks Entry'!AG19="","",'Marks Entry'!AG19)</f>
        <v>46</v>
      </c>
      <c r="BO19" s="580" t="str">
        <f>IF('Marks Entry'!AH19="","",'Marks Entry'!AH19)</f>
        <v/>
      </c>
      <c r="BP19" s="581">
        <f t="shared" si="80"/>
        <v>46</v>
      </c>
      <c r="BQ19" s="581">
        <f t="shared" si="81"/>
        <v>63</v>
      </c>
      <c r="BR19" s="580">
        <f>IF('Marks Entry'!AI19="","",'Marks Entry'!AI19)</f>
        <v>37</v>
      </c>
      <c r="BS19" s="580" t="str">
        <f>IF('Marks Entry'!AJ19="","",'Marks Entry'!AJ19)</f>
        <v/>
      </c>
      <c r="BT19" s="581">
        <f t="shared" si="82"/>
        <v>37</v>
      </c>
      <c r="BU19" s="156">
        <f t="shared" si="83"/>
        <v>100</v>
      </c>
      <c r="BV19" s="156" t="str">
        <f t="shared" si="84"/>
        <v/>
      </c>
      <c r="BW19" s="191">
        <f t="shared" si="85"/>
        <v>100</v>
      </c>
      <c r="BX19" s="152">
        <f t="shared" si="86"/>
        <v>0</v>
      </c>
      <c r="BY19" s="153">
        <f t="shared" si="87"/>
        <v>0</v>
      </c>
      <c r="BZ19" s="153">
        <f t="shared" si="88"/>
        <v>100</v>
      </c>
      <c r="CA19" s="153" t="str">
        <f t="shared" si="89"/>
        <v/>
      </c>
      <c r="CB19" s="153">
        <f t="shared" si="90"/>
        <v>200</v>
      </c>
      <c r="CC19" s="152" t="str">
        <f t="shared" si="91"/>
        <v/>
      </c>
      <c r="CD19" s="153" t="str">
        <f t="shared" si="92"/>
        <v>P</v>
      </c>
      <c r="CE19" s="152" t="str">
        <f t="shared" si="93"/>
        <v>II</v>
      </c>
      <c r="CF19" s="580" t="str">
        <f>IF('Marks Entry'!AK19="","",'Marks Entry'!AK19)</f>
        <v>A</v>
      </c>
      <c r="CG19" s="580">
        <f>IF('Marks Entry'!AL19="","",'Marks Entry'!AL19)</f>
        <v>4</v>
      </c>
      <c r="CH19" s="580">
        <f>IF('Marks Entry'!AM19="","",'Marks Entry'!AM19)</f>
        <v>5</v>
      </c>
      <c r="CI19" s="580">
        <f>IF('Marks Entry'!AN19="","",'Marks Entry'!AN19)</f>
        <v>8</v>
      </c>
      <c r="CJ19" s="581">
        <f t="shared" si="94"/>
        <v>17</v>
      </c>
      <c r="CK19" s="580">
        <f>IF('Marks Entry'!AO19="","",'Marks Entry'!AO19)</f>
        <v>33</v>
      </c>
      <c r="CL19" s="580">
        <f>IF('Marks Entry'!AP19="","",'Marks Entry'!AP19)</f>
        <v>10</v>
      </c>
      <c r="CM19" s="581">
        <f t="shared" si="95"/>
        <v>43</v>
      </c>
      <c r="CN19" s="581">
        <f t="shared" si="96"/>
        <v>60</v>
      </c>
      <c r="CO19" s="580">
        <f>IF('Marks Entry'!AQ19="","",'Marks Entry'!AQ19)</f>
        <v>53</v>
      </c>
      <c r="CP19" s="580">
        <f>IF('Marks Entry'!AR19="","",'Marks Entry'!AR19)</f>
        <v>18</v>
      </c>
      <c r="CQ19" s="581">
        <f t="shared" si="97"/>
        <v>71</v>
      </c>
      <c r="CR19" s="156">
        <f t="shared" si="98"/>
        <v>103</v>
      </c>
      <c r="CS19" s="156">
        <f t="shared" si="99"/>
        <v>28</v>
      </c>
      <c r="CT19" s="191">
        <f t="shared" si="100"/>
        <v>131</v>
      </c>
      <c r="CU19" s="152">
        <f t="shared" si="101"/>
        <v>0</v>
      </c>
      <c r="CV19" s="153">
        <f t="shared" si="102"/>
        <v>0</v>
      </c>
      <c r="CW19" s="153">
        <f t="shared" si="103"/>
        <v>70</v>
      </c>
      <c r="CX19" s="153">
        <f t="shared" si="104"/>
        <v>50</v>
      </c>
      <c r="CY19" s="153">
        <f t="shared" si="176"/>
        <v>150</v>
      </c>
      <c r="CZ19" s="152" t="str">
        <f t="shared" si="105"/>
        <v/>
      </c>
      <c r="DA19" s="153" t="str">
        <f t="shared" si="106"/>
        <v>P</v>
      </c>
      <c r="DB19" s="152" t="str">
        <f t="shared" si="107"/>
        <v>I</v>
      </c>
      <c r="DC19" s="153">
        <f t="shared" si="108"/>
        <v>20</v>
      </c>
      <c r="DD19" s="851" t="str">
        <f>IF('Marks Entry'!AS19="","",IF(OR('Master Sheet'!$D$19="YES",'Marks Entry'!$BA$1=1),'Marks Entry'!AS19,""))</f>
        <v/>
      </c>
      <c r="DE19" s="851" t="str">
        <f>IF('Marks Entry'!AT19="","",IF(OR('Master Sheet'!$D$19="YES",'Marks Entry'!$BA$1=1),'Marks Entry'!AT19,""))</f>
        <v/>
      </c>
      <c r="DF19" s="851" t="str">
        <f>IF('Marks Entry'!AU19="","",IF(OR('Master Sheet'!$D$19="YES",'Marks Entry'!$BA$1=1),'Marks Entry'!AU19,""))</f>
        <v/>
      </c>
      <c r="DG19" s="851" t="str">
        <f>IF('Marks Entry'!AV19="","",IF(OR('Master Sheet'!$D$19="YES",'Marks Entry'!$BA$1=1),'Marks Entry'!AV19,""))</f>
        <v/>
      </c>
      <c r="DH19" s="852" t="str">
        <f t="shared" si="109"/>
        <v/>
      </c>
      <c r="DI19" s="851" t="str">
        <f>IF('Marks Entry'!AW19="","",IF(OR('Master Sheet'!$D$19="YES",'Marks Entry'!$BA$1=1),'Marks Entry'!AW19,""))</f>
        <v/>
      </c>
      <c r="DJ19" s="851" t="str">
        <f>IF('Marks Entry'!AX19="","",IF(OR('Master Sheet'!$D$19="YES",'Marks Entry'!$BA$1=1),'Marks Entry'!AX19,""))</f>
        <v/>
      </c>
      <c r="DK19" s="852" t="str">
        <f t="shared" si="110"/>
        <v/>
      </c>
      <c r="DL19" s="852" t="str">
        <f t="shared" si="111"/>
        <v/>
      </c>
      <c r="DM19" s="851" t="str">
        <f>IF('Marks Entry'!AY19="","",IF(OR('Master Sheet'!$D$19="YES",'Marks Entry'!$BA$1=1),'Marks Entry'!AY19,""))</f>
        <v/>
      </c>
      <c r="DN19" s="851" t="str">
        <f>IF('Marks Entry'!AZ19="","",IF(OR('Master Sheet'!$D$19="YES",'Marks Entry'!$BA$1=1),'Marks Entry'!AZ19,""))</f>
        <v/>
      </c>
      <c r="DO19" s="851" t="str">
        <f>IF('Marks Entry'!BA19="","",IF(OR('Master Sheet'!$D$19="YES",'Marks Entry'!$BA$1=1),'Marks Entry'!BA19,""))</f>
        <v/>
      </c>
      <c r="DP19" s="852" t="str">
        <f t="shared" si="112"/>
        <v/>
      </c>
      <c r="DQ19" s="156" t="str">
        <f t="shared" si="113"/>
        <v/>
      </c>
      <c r="DR19" s="156" t="str">
        <f t="shared" si="114"/>
        <v/>
      </c>
      <c r="DS19" s="156" t="str">
        <f t="shared" si="115"/>
        <v/>
      </c>
      <c r="DT19" s="191" t="str">
        <f t="shared" si="116"/>
        <v/>
      </c>
      <c r="DU19" s="152">
        <f t="shared" si="117"/>
        <v>0</v>
      </c>
      <c r="DV19" s="153">
        <f t="shared" si="118"/>
        <v>0</v>
      </c>
      <c r="DW19" s="153" t="str">
        <f t="shared" si="119"/>
        <v/>
      </c>
      <c r="DX19" s="153" t="str">
        <f>IF(OR($B19="NSO",$B19=0,DS19=""),"",IF(AND(DJ19="",DO19=""),"",IF('Master Sheet'!$D$19="YES",$DO$6-COUNTIF(DO19,"ML")*DO$6,DS$6-(COUNTIF(DJ19,"ML")*DJ$6)-(COUNTIF(DO19,"ML")*DO$6))))</f>
        <v/>
      </c>
      <c r="DY19" s="153" t="str">
        <f>IF(OR($B19="NSO",$B19=0),"",IF(AND(DH19="",DI19="",DM19=""),"",IF(AND('Master Sheet'!$D$19="YES",'Marks Entry'!$BA$1=1),100,IF(AND(DJ19="",DO19=""),SUM(($DQ$7+$DR$7)-(DU19+DV19)),SUM(($DQ$6+$DR$6)-(DU19+DV19))))))</f>
        <v/>
      </c>
      <c r="DZ19" s="152" t="str">
        <f t="shared" si="120"/>
        <v/>
      </c>
      <c r="EA19" s="153" t="str">
        <f t="shared" si="121"/>
        <v/>
      </c>
      <c r="EB19" s="152" t="str">
        <f t="shared" si="122"/>
        <v/>
      </c>
      <c r="EC19" s="584">
        <f>IF('Marks Entry'!BB19="","",'Marks Entry'!BB19)</f>
        <v>26</v>
      </c>
      <c r="ED19" s="584">
        <f>IF('Marks Entry'!BC19="","",'Marks Entry'!BC19)</f>
        <v>27</v>
      </c>
      <c r="EE19" s="584">
        <f>IF('Marks Entry'!BD19="","",'Marks Entry'!BD19)</f>
        <v>32</v>
      </c>
      <c r="EF19" s="590">
        <f t="shared" si="123"/>
        <v>85</v>
      </c>
      <c r="EG19" s="595">
        <f t="shared" si="124"/>
        <v>0</v>
      </c>
      <c r="EH19" s="595">
        <f t="shared" si="125"/>
        <v>0</v>
      </c>
      <c r="EI19" s="192">
        <f t="shared" si="126"/>
        <v>100</v>
      </c>
      <c r="EJ19" s="595" t="str">
        <f t="shared" si="127"/>
        <v/>
      </c>
      <c r="EK19" s="595" t="str">
        <f t="shared" si="128"/>
        <v>A</v>
      </c>
      <c r="EL19" s="193" t="str">
        <f t="shared" si="129"/>
        <v/>
      </c>
      <c r="EM19" s="193" t="str">
        <f t="shared" si="130"/>
        <v/>
      </c>
      <c r="EN19" s="193" t="str">
        <f t="shared" si="131"/>
        <v>III</v>
      </c>
      <c r="EO19" s="193" t="str">
        <f t="shared" si="132"/>
        <v>II</v>
      </c>
      <c r="EP19" s="193" t="str">
        <f t="shared" si="133"/>
        <v>I</v>
      </c>
      <c r="EQ19" s="193" t="str">
        <f t="shared" si="134"/>
        <v/>
      </c>
      <c r="ER19" s="194">
        <f t="shared" si="135"/>
        <v>0</v>
      </c>
      <c r="ES19" s="194">
        <f t="shared" si="136"/>
        <v>0</v>
      </c>
      <c r="ET19" s="194">
        <f t="shared" si="137"/>
        <v>0</v>
      </c>
      <c r="EU19" s="194">
        <f t="shared" si="138"/>
        <v>0</v>
      </c>
      <c r="EV19" s="194">
        <f t="shared" si="139"/>
        <v>0</v>
      </c>
      <c r="EW19" s="194" t="str">
        <f t="shared" si="140"/>
        <v/>
      </c>
      <c r="EX19" s="195" t="str">
        <f t="shared" si="141"/>
        <v/>
      </c>
      <c r="EY19" s="196">
        <f>IF('Marks Entry'!BE19="","",'Marks Entry'!BE19)</f>
        <v>8</v>
      </c>
      <c r="EZ19" s="196">
        <f>IF('Marks Entry'!BF19="","",'Marks Entry'!BF19)</f>
        <v>8</v>
      </c>
      <c r="FA19" s="196">
        <f>IF('Marks Entry'!BG19="","",'Marks Entry'!BG19)</f>
        <v>8</v>
      </c>
      <c r="FB19" s="596">
        <f t="shared" si="142"/>
        <v>24</v>
      </c>
      <c r="FC19" s="196">
        <f>IF('Marks Entry'!BH19="","",'Marks Entry'!BH19)</f>
        <v>50</v>
      </c>
      <c r="FD19" s="196">
        <f>IF('Marks Entry'!BI19="","",'Marks Entry'!BI19)</f>
        <v>68</v>
      </c>
      <c r="FE19" s="197">
        <f t="shared" si="143"/>
        <v>142</v>
      </c>
      <c r="FF19" s="198" t="str">
        <f t="shared" si="144"/>
        <v>B</v>
      </c>
      <c r="FG19" s="199" t="str">
        <f>IF(AND(E19=""),"",IF('Student DATA Entry'!L15="","",'Student DATA Entry'!L15))</f>
        <v/>
      </c>
      <c r="FH19" s="200" t="str">
        <f>IF(AND(E19=""),"",IF('Student DATA Entry'!M15="","",'Student DATA Entry'!M15))</f>
        <v/>
      </c>
      <c r="FI19" s="201" t="str">
        <f t="shared" si="145"/>
        <v/>
      </c>
      <c r="FJ19" s="188" t="str">
        <f t="shared" si="146"/>
        <v/>
      </c>
      <c r="FK19" s="188" t="str">
        <f t="shared" si="147"/>
        <v/>
      </c>
      <c r="FL19" s="202" t="str">
        <f t="shared" si="19"/>
        <v/>
      </c>
      <c r="FM19" s="188" t="str">
        <f t="shared" si="148"/>
        <v/>
      </c>
      <c r="FN19" s="203" t="str">
        <f t="shared" si="149"/>
        <v/>
      </c>
      <c r="FO19" s="202" t="str">
        <f t="shared" si="20"/>
        <v/>
      </c>
      <c r="FP19" s="204" t="str">
        <f t="shared" si="150"/>
        <v>III</v>
      </c>
      <c r="FQ19" s="188" t="str">
        <f t="shared" si="21"/>
        <v>III</v>
      </c>
      <c r="FR19" s="188" t="str">
        <f t="shared" si="22"/>
        <v/>
      </c>
      <c r="FS19" s="188" t="str">
        <f t="shared" si="23"/>
        <v/>
      </c>
      <c r="FT19" s="188" t="str">
        <f t="shared" si="24"/>
        <v/>
      </c>
      <c r="FU19" s="188" t="str">
        <f t="shared" si="151"/>
        <v/>
      </c>
      <c r="FV19" s="205" t="str">
        <f t="shared" si="25"/>
        <v/>
      </c>
      <c r="FW19" s="204" t="str">
        <f t="shared" si="152"/>
        <v>II</v>
      </c>
      <c r="FX19" s="188" t="str">
        <f t="shared" si="26"/>
        <v>II</v>
      </c>
      <c r="FY19" s="188" t="str">
        <f t="shared" si="27"/>
        <v/>
      </c>
      <c r="FZ19" s="188" t="str">
        <f t="shared" si="28"/>
        <v/>
      </c>
      <c r="GA19" s="188" t="str">
        <f t="shared" si="29"/>
        <v/>
      </c>
      <c r="GB19" s="188" t="str">
        <f t="shared" si="153"/>
        <v/>
      </c>
      <c r="GC19" s="205" t="str">
        <f t="shared" si="30"/>
        <v/>
      </c>
      <c r="GD19" s="204" t="str">
        <f t="shared" si="154"/>
        <v>I</v>
      </c>
      <c r="GE19" s="188" t="str">
        <f t="shared" si="31"/>
        <v>I</v>
      </c>
      <c r="GF19" s="188" t="str">
        <f t="shared" si="32"/>
        <v/>
      </c>
      <c r="GG19" s="188" t="str">
        <f t="shared" si="33"/>
        <v/>
      </c>
      <c r="GH19" s="188" t="str">
        <f t="shared" si="34"/>
        <v/>
      </c>
      <c r="GI19" s="188" t="str">
        <f t="shared" si="155"/>
        <v/>
      </c>
      <c r="GJ19" s="205" t="str">
        <f t="shared" si="35"/>
        <v/>
      </c>
      <c r="GK19" s="204" t="str">
        <f t="shared" si="156"/>
        <v/>
      </c>
      <c r="GL19" s="188" t="str">
        <f t="shared" si="36"/>
        <v/>
      </c>
      <c r="GM19" s="188" t="str">
        <f t="shared" si="37"/>
        <v/>
      </c>
      <c r="GN19" s="188" t="str">
        <f t="shared" si="38"/>
        <v/>
      </c>
      <c r="GO19" s="188" t="str">
        <f t="shared" si="39"/>
        <v/>
      </c>
      <c r="GP19" s="188" t="str">
        <f t="shared" si="157"/>
        <v/>
      </c>
      <c r="GQ19" s="205" t="str">
        <f t="shared" si="40"/>
        <v/>
      </c>
      <c r="GR19" s="188" t="str">
        <f t="shared" si="158"/>
        <v>A</v>
      </c>
      <c r="GS19" s="188" t="str">
        <f t="shared" si="159"/>
        <v>B</v>
      </c>
      <c r="GT19" s="206" t="str">
        <f t="shared" si="177"/>
        <v xml:space="preserve">    </v>
      </c>
      <c r="GU19" s="206" t="str">
        <f t="shared" si="160"/>
        <v xml:space="preserve">    </v>
      </c>
      <c r="GV19" s="206" t="str">
        <f t="shared" si="161"/>
        <v xml:space="preserve">    </v>
      </c>
      <c r="GW19" s="206" t="str">
        <f t="shared" si="162"/>
        <v xml:space="preserve">       </v>
      </c>
      <c r="GX19" s="598" t="str">
        <f t="shared" si="163"/>
        <v xml:space="preserve">     </v>
      </c>
      <c r="GY19" s="207" t="str">
        <f t="shared" si="164"/>
        <v/>
      </c>
      <c r="GZ19" s="606">
        <f>IF(AND(Q19="",AE19="",AZ19="",BW19="",CT19=""),"",IF(AND('Master Sheet'!$D$19="YES",'Marks Entry'!$BA$1=1),SUM(Q19,AE19,AZ19,BW19,DT19),SUM(Q19,AE19,AZ19,BW19,CT19)))</f>
        <v>520</v>
      </c>
      <c r="HA19" s="208">
        <f>IF(GZ19="","",IF(AND('Master Sheet'!$D$19="YES",'Marks Entry'!$BA$1=1),GZ19/((900)-DC19)*100,GZ19/((1000)-DC19)*100))</f>
        <v>53.061224489795919</v>
      </c>
      <c r="HB19" s="611" t="str">
        <f t="shared" si="165"/>
        <v/>
      </c>
      <c r="HC19" s="609" t="str">
        <f t="shared" si="166"/>
        <v/>
      </c>
      <c r="HD19" s="610" t="str">
        <f t="shared" si="167"/>
        <v/>
      </c>
      <c r="HE19" s="209" t="str">
        <f>IFERROR(IF(OR(GY19="SUPPLEMENTARY",GY19="RE-EXAM"),'Supp. Result Entry'!AS18,""),"")</f>
        <v/>
      </c>
      <c r="HF19" s="613" t="str">
        <f t="shared" si="168"/>
        <v/>
      </c>
      <c r="HG19" s="598" t="str">
        <f t="shared" si="169"/>
        <v/>
      </c>
      <c r="HH19" s="598" t="str">
        <f>IF(AND(HE19="",HF19="",HG19=""),"",IF(OR(GY19="SUPPLEMENTARY",GY19="RE-EXAM"),'Supp. Result Entry'!AS18,GY19))</f>
        <v/>
      </c>
      <c r="HI19" s="179"/>
      <c r="HY19" s="211" t="str">
        <f>IF('Supp. Result Entry'!U18="","",'Supp. Result Entry'!$U$6)</f>
        <v/>
      </c>
      <c r="HZ19" s="212" t="str">
        <f>IF('Supp. Result Entry'!X18="","",'Supp. Result Entry'!$X$6)</f>
        <v/>
      </c>
      <c r="IA19" s="212" t="str">
        <f>IF('Supp. Result Entry'!AA18="","",'Supp. Result Entry'!$AA$6)</f>
        <v/>
      </c>
      <c r="IB19" s="212" t="str">
        <f>IF('Supp. Result Entry'!AD18="","",'Supp. Result Entry'!$AD$6)</f>
        <v/>
      </c>
      <c r="IC19" s="212" t="str">
        <f>IF('Supp. Result Entry'!AG18="","",'Supp. Result Entry'!$AG$6)</f>
        <v/>
      </c>
      <c r="ID19" s="212" t="str">
        <f>IF('Supp. Result Entry'!AJ18="","",'Supp. Result Entry'!$AJ$6)</f>
        <v/>
      </c>
      <c r="IE19" s="212" t="str">
        <f>IF('Supp. Result Entry'!V18="","",'Supp. Result Entry'!V18)</f>
        <v/>
      </c>
      <c r="IF19" s="212" t="str">
        <f>IF('Supp. Result Entry'!Y18="","",'Supp. Result Entry'!Y18)</f>
        <v/>
      </c>
      <c r="IG19" s="212" t="str">
        <f>IF('Supp. Result Entry'!AB18="","",'Supp. Result Entry'!AB18)</f>
        <v/>
      </c>
      <c r="IH19" s="212" t="str">
        <f>IF('Supp. Result Entry'!AE18="","",'Supp. Result Entry'!AE18)</f>
        <v/>
      </c>
      <c r="II19" s="212" t="str">
        <f>IF('Supp. Result Entry'!AH18="","",'Supp. Result Entry'!AH18)</f>
        <v/>
      </c>
      <c r="IJ19" s="212" t="str">
        <f>IF('Supp. Result Entry'!AK18="","",'Supp. Result Entry'!AK18)</f>
        <v/>
      </c>
      <c r="IK19" s="212" t="str">
        <f>IF('Supp. Result Entry'!W18="","",'Supp. Result Entry'!W18)</f>
        <v/>
      </c>
      <c r="IL19" s="212" t="str">
        <f>IF('Supp. Result Entry'!Z18="","",'Supp. Result Entry'!Z18)</f>
        <v/>
      </c>
      <c r="IM19" s="212" t="str">
        <f>IF('Supp. Result Entry'!AC18="","",'Supp. Result Entry'!AC18)</f>
        <v/>
      </c>
      <c r="IN19" s="212" t="str">
        <f>IF('Supp. Result Entry'!AF18="","",'Supp. Result Entry'!AF18)</f>
        <v/>
      </c>
      <c r="IO19" s="212" t="str">
        <f>IF('Supp. Result Entry'!AI18="","",'Supp. Result Entry'!AI18)</f>
        <v/>
      </c>
      <c r="IP19" s="212" t="str">
        <f>IF('Supp. Result Entry'!AL18="","",'Supp. Result Entry'!AL18)</f>
        <v/>
      </c>
      <c r="IQ19" s="212">
        <f>COUNTIF('Supp. Result Entry'!K18:Q18,"S")</f>
        <v>0</v>
      </c>
      <c r="IR19" s="212">
        <f t="shared" si="170"/>
        <v>0</v>
      </c>
      <c r="IS19" s="212">
        <f t="shared" si="171"/>
        <v>0</v>
      </c>
      <c r="IT19" s="212" t="str">
        <f t="shared" si="41"/>
        <v/>
      </c>
      <c r="IU19" s="212" t="str">
        <f t="shared" si="42"/>
        <v/>
      </c>
      <c r="IV19" s="212" t="str">
        <f t="shared" si="43"/>
        <v/>
      </c>
      <c r="IW19" s="212" t="str">
        <f t="shared" si="44"/>
        <v/>
      </c>
      <c r="IX19" s="212" t="str">
        <f t="shared" si="45"/>
        <v/>
      </c>
      <c r="IY19" s="212" t="str">
        <f t="shared" si="172"/>
        <v/>
      </c>
      <c r="IZ19" s="212" t="str">
        <f t="shared" si="173"/>
        <v/>
      </c>
      <c r="JA19" s="212" t="str">
        <f t="shared" si="46"/>
        <v/>
      </c>
      <c r="JB19" s="210" t="str">
        <f t="shared" si="174"/>
        <v/>
      </c>
    </row>
    <row r="20" spans="1:262" s="210" customFormat="1" ht="21" customHeight="1">
      <c r="A20" s="183">
        <v>13</v>
      </c>
      <c r="B20" s="184" t="str">
        <f>IF('Marks Entry'!B20="","",'Marks Entry'!B20)</f>
        <v/>
      </c>
      <c r="C20" s="185" t="str">
        <f>IF('Marks Entry'!D20="","",'Marks Entry'!D20)</f>
        <v/>
      </c>
      <c r="D20" s="186" t="str">
        <f>IF('Marks Entry'!E20="","",'Marks Entry'!E20)</f>
        <v/>
      </c>
      <c r="E20" s="187" t="str">
        <f>IF('Marks Entry'!F20="","",'Marks Entry'!F20)</f>
        <v/>
      </c>
      <c r="F20" s="187" t="str">
        <f>IF('Marks Entry'!G20="","",'Marks Entry'!G20)</f>
        <v/>
      </c>
      <c r="G20" s="187" t="str">
        <f>IF('Marks Entry'!H20="","",'Marks Entry'!H20)</f>
        <v/>
      </c>
      <c r="H20" s="188" t="str">
        <f>IF('Marks Entry'!I20="","",'Marks Entry'!I20)</f>
        <v/>
      </c>
      <c r="I20" s="189" t="str">
        <f>IF('Marks Entry'!J20="","",'Marks Entry'!J20)</f>
        <v/>
      </c>
      <c r="J20" s="545" t="str">
        <f>IF('Marks Entry'!K20="","",'Marks Entry'!K20)</f>
        <v>ab</v>
      </c>
      <c r="K20" s="545" t="str">
        <f>IF('Marks Entry'!L20="","",'Marks Entry'!L20)</f>
        <v>ml</v>
      </c>
      <c r="L20" s="545">
        <f>IF('Marks Entry'!M20="","",'Marks Entry'!M20)</f>
        <v>8</v>
      </c>
      <c r="M20" s="546">
        <f t="shared" si="47"/>
        <v>8</v>
      </c>
      <c r="N20" s="545">
        <f>IF('Marks Entry'!N20="","",'Marks Entry'!N20)</f>
        <v>25</v>
      </c>
      <c r="O20" s="546">
        <f t="shared" si="48"/>
        <v>33</v>
      </c>
      <c r="P20" s="545">
        <f>IF('Marks Entry'!O20="","",'Marks Entry'!O20)</f>
        <v>70</v>
      </c>
      <c r="Q20" s="547">
        <f t="shared" si="49"/>
        <v>103</v>
      </c>
      <c r="R20" s="152">
        <f t="shared" si="50"/>
        <v>0</v>
      </c>
      <c r="S20" s="152">
        <f t="shared" si="51"/>
        <v>10</v>
      </c>
      <c r="T20" s="153">
        <f t="shared" si="52"/>
        <v>190</v>
      </c>
      <c r="U20" s="152" t="str">
        <f t="shared" si="53"/>
        <v/>
      </c>
      <c r="V20" s="152" t="str">
        <f t="shared" si="54"/>
        <v/>
      </c>
      <c r="W20" s="152" t="str">
        <f t="shared" si="55"/>
        <v/>
      </c>
      <c r="X20" s="545">
        <f>IF('Marks Entry'!P20="","",'Marks Entry'!P20)</f>
        <v>7</v>
      </c>
      <c r="Y20" s="545">
        <f>IF('Marks Entry'!Q20="","",'Marks Entry'!Q20)</f>
        <v>5</v>
      </c>
      <c r="Z20" s="545">
        <f>IF('Marks Entry'!R20="","",'Marks Entry'!R20)</f>
        <v>9</v>
      </c>
      <c r="AA20" s="546">
        <f t="shared" si="56"/>
        <v>21</v>
      </c>
      <c r="AB20" s="545">
        <f>IF('Marks Entry'!S20="","",'Marks Entry'!S20)</f>
        <v>38</v>
      </c>
      <c r="AC20" s="546">
        <f t="shared" si="57"/>
        <v>59</v>
      </c>
      <c r="AD20" s="545">
        <f>IF('Marks Entry'!T20="","",'Marks Entry'!T20)</f>
        <v>47</v>
      </c>
      <c r="AE20" s="547">
        <f t="shared" si="58"/>
        <v>106</v>
      </c>
      <c r="AF20" s="152">
        <f t="shared" si="59"/>
        <v>0</v>
      </c>
      <c r="AG20" s="152">
        <f t="shared" si="60"/>
        <v>0</v>
      </c>
      <c r="AH20" s="153">
        <f t="shared" si="61"/>
        <v>200</v>
      </c>
      <c r="AI20" s="152" t="str">
        <f t="shared" si="62"/>
        <v/>
      </c>
      <c r="AJ20" s="152" t="str">
        <f t="shared" si="63"/>
        <v/>
      </c>
      <c r="AK20" s="152" t="str">
        <f t="shared" si="64"/>
        <v/>
      </c>
      <c r="AL20" s="573" t="str">
        <f>IF('Marks Entry'!U20="","",'Marks Entry'!U20)</f>
        <v>A</v>
      </c>
      <c r="AM20" s="573">
        <f>IF('Marks Entry'!V20="","",'Marks Entry'!V20)</f>
        <v>9</v>
      </c>
      <c r="AN20" s="573">
        <f>IF('Marks Entry'!W20="","",'Marks Entry'!W20)</f>
        <v>8</v>
      </c>
      <c r="AO20" s="573">
        <f>IF('Marks Entry'!X20="","",'Marks Entry'!X20)</f>
        <v>7</v>
      </c>
      <c r="AP20" s="572">
        <f t="shared" si="65"/>
        <v>24</v>
      </c>
      <c r="AQ20" s="573">
        <f>IF('Marks Entry'!Y20="","",'Marks Entry'!Y20)</f>
        <v>47</v>
      </c>
      <c r="AR20" s="573" t="str">
        <f>IF('Marks Entry'!Z20="","",'Marks Entry'!Z20)</f>
        <v/>
      </c>
      <c r="AS20" s="572">
        <f t="shared" si="66"/>
        <v>47</v>
      </c>
      <c r="AT20" s="572">
        <f t="shared" si="67"/>
        <v>71</v>
      </c>
      <c r="AU20" s="573">
        <f>IF('Marks Entry'!AA20="","",'Marks Entry'!AA20)</f>
        <v>78</v>
      </c>
      <c r="AV20" s="573" t="str">
        <f>IF('Marks Entry'!AB20="","",'Marks Entry'!AB20)</f>
        <v/>
      </c>
      <c r="AW20" s="572">
        <f t="shared" si="68"/>
        <v>78</v>
      </c>
      <c r="AX20" s="156">
        <f t="shared" si="69"/>
        <v>149</v>
      </c>
      <c r="AY20" s="156" t="str">
        <f t="shared" si="70"/>
        <v/>
      </c>
      <c r="AZ20" s="191">
        <f t="shared" si="71"/>
        <v>149</v>
      </c>
      <c r="BA20" s="152">
        <f t="shared" si="72"/>
        <v>0</v>
      </c>
      <c r="BB20" s="153">
        <f t="shared" si="73"/>
        <v>0</v>
      </c>
      <c r="BC20" s="153">
        <f t="shared" si="74"/>
        <v>100</v>
      </c>
      <c r="BD20" s="153" t="str">
        <f t="shared" si="75"/>
        <v/>
      </c>
      <c r="BE20" s="153">
        <f t="shared" si="76"/>
        <v>200</v>
      </c>
      <c r="BF20" s="152" t="str">
        <f t="shared" si="77"/>
        <v/>
      </c>
      <c r="BG20" s="153" t="str">
        <f t="shared" si="175"/>
        <v>P</v>
      </c>
      <c r="BH20" s="152" t="str">
        <f t="shared" si="78"/>
        <v>I</v>
      </c>
      <c r="BI20" s="580" t="str">
        <f>IF('Marks Entry'!AC20="","",'Marks Entry'!AC20)</f>
        <v>A</v>
      </c>
      <c r="BJ20" s="580">
        <f>IF('Marks Entry'!AD20="","",'Marks Entry'!AD20)</f>
        <v>20</v>
      </c>
      <c r="BK20" s="580">
        <f>IF('Marks Entry'!AE20="","",'Marks Entry'!AE20)</f>
        <v>20</v>
      </c>
      <c r="BL20" s="580" t="str">
        <f>IF('Marks Entry'!AF20="","",'Marks Entry'!AF20)</f>
        <v/>
      </c>
      <c r="BM20" s="581">
        <f t="shared" si="79"/>
        <v>40</v>
      </c>
      <c r="BN20" s="580">
        <f>IF('Marks Entry'!AG20="","",'Marks Entry'!AG20)</f>
        <v>45</v>
      </c>
      <c r="BO20" s="580" t="str">
        <f>IF('Marks Entry'!AH20="","",'Marks Entry'!AH20)</f>
        <v/>
      </c>
      <c r="BP20" s="581">
        <f t="shared" si="80"/>
        <v>45</v>
      </c>
      <c r="BQ20" s="581">
        <f t="shared" si="81"/>
        <v>85</v>
      </c>
      <c r="BR20" s="580">
        <f>IF('Marks Entry'!AI20="","",'Marks Entry'!AI20)</f>
        <v>78</v>
      </c>
      <c r="BS20" s="580" t="str">
        <f>IF('Marks Entry'!AJ20="","",'Marks Entry'!AJ20)</f>
        <v/>
      </c>
      <c r="BT20" s="581">
        <f t="shared" si="82"/>
        <v>78</v>
      </c>
      <c r="BU20" s="156">
        <f t="shared" si="83"/>
        <v>163</v>
      </c>
      <c r="BV20" s="156" t="str">
        <f t="shared" si="84"/>
        <v/>
      </c>
      <c r="BW20" s="191">
        <f t="shared" si="85"/>
        <v>163</v>
      </c>
      <c r="BX20" s="152">
        <f t="shared" si="86"/>
        <v>0</v>
      </c>
      <c r="BY20" s="153">
        <f t="shared" si="87"/>
        <v>0</v>
      </c>
      <c r="BZ20" s="153">
        <f t="shared" si="88"/>
        <v>100</v>
      </c>
      <c r="CA20" s="153" t="str">
        <f t="shared" si="89"/>
        <v/>
      </c>
      <c r="CB20" s="153">
        <f t="shared" si="90"/>
        <v>200</v>
      </c>
      <c r="CC20" s="152" t="str">
        <f t="shared" si="91"/>
        <v/>
      </c>
      <c r="CD20" s="153" t="str">
        <f t="shared" si="92"/>
        <v>P</v>
      </c>
      <c r="CE20" s="152" t="str">
        <f t="shared" si="93"/>
        <v>D</v>
      </c>
      <c r="CF20" s="580" t="str">
        <f>IF('Marks Entry'!AK20="","",'Marks Entry'!AK20)</f>
        <v>A</v>
      </c>
      <c r="CG20" s="580">
        <f>IF('Marks Entry'!AL20="","",'Marks Entry'!AL20)</f>
        <v>20</v>
      </c>
      <c r="CH20" s="580">
        <f>IF('Marks Entry'!AM20="","",'Marks Entry'!AM20)</f>
        <v>20</v>
      </c>
      <c r="CI20" s="580">
        <f>IF('Marks Entry'!AN20="","",'Marks Entry'!AN20)</f>
        <v>8</v>
      </c>
      <c r="CJ20" s="581">
        <f t="shared" si="94"/>
        <v>48</v>
      </c>
      <c r="CK20" s="580">
        <f>IF('Marks Entry'!AO20="","",'Marks Entry'!AO20)</f>
        <v>32</v>
      </c>
      <c r="CL20" s="580">
        <f>IF('Marks Entry'!AP20="","",'Marks Entry'!AP20)</f>
        <v>12</v>
      </c>
      <c r="CM20" s="581">
        <f t="shared" si="95"/>
        <v>44</v>
      </c>
      <c r="CN20" s="581">
        <f t="shared" si="96"/>
        <v>92</v>
      </c>
      <c r="CO20" s="580">
        <f>IF('Marks Entry'!AQ20="","",'Marks Entry'!AQ20)</f>
        <v>50</v>
      </c>
      <c r="CP20" s="580">
        <f>IF('Marks Entry'!AR20="","",'Marks Entry'!AR20)</f>
        <v>19</v>
      </c>
      <c r="CQ20" s="581">
        <f t="shared" si="97"/>
        <v>69</v>
      </c>
      <c r="CR20" s="156">
        <f t="shared" si="98"/>
        <v>130</v>
      </c>
      <c r="CS20" s="156">
        <f t="shared" si="99"/>
        <v>31</v>
      </c>
      <c r="CT20" s="191">
        <f t="shared" si="100"/>
        <v>161</v>
      </c>
      <c r="CU20" s="152">
        <f t="shared" si="101"/>
        <v>0</v>
      </c>
      <c r="CV20" s="153">
        <f t="shared" si="102"/>
        <v>0</v>
      </c>
      <c r="CW20" s="153">
        <f t="shared" si="103"/>
        <v>70</v>
      </c>
      <c r="CX20" s="153">
        <f t="shared" si="104"/>
        <v>50</v>
      </c>
      <c r="CY20" s="153">
        <f t="shared" si="176"/>
        <v>150</v>
      </c>
      <c r="CZ20" s="152" t="str">
        <f t="shared" si="105"/>
        <v/>
      </c>
      <c r="DA20" s="153" t="str">
        <f t="shared" si="106"/>
        <v>P</v>
      </c>
      <c r="DB20" s="152" t="str">
        <f t="shared" si="107"/>
        <v>D</v>
      </c>
      <c r="DC20" s="153">
        <f t="shared" si="108"/>
        <v>10</v>
      </c>
      <c r="DD20" s="851" t="str">
        <f>IF('Marks Entry'!AS20="","",IF(OR('Master Sheet'!$D$19="YES",'Marks Entry'!$BA$1=1),'Marks Entry'!AS20,""))</f>
        <v/>
      </c>
      <c r="DE20" s="851" t="str">
        <f>IF('Marks Entry'!AT20="","",IF(OR('Master Sheet'!$D$19="YES",'Marks Entry'!$BA$1=1),'Marks Entry'!AT20,""))</f>
        <v/>
      </c>
      <c r="DF20" s="851" t="str">
        <f>IF('Marks Entry'!AU20="","",IF(OR('Master Sheet'!$D$19="YES",'Marks Entry'!$BA$1=1),'Marks Entry'!AU20,""))</f>
        <v/>
      </c>
      <c r="DG20" s="851" t="str">
        <f>IF('Marks Entry'!AV20="","",IF(OR('Master Sheet'!$D$19="YES",'Marks Entry'!$BA$1=1),'Marks Entry'!AV20,""))</f>
        <v/>
      </c>
      <c r="DH20" s="852" t="str">
        <f t="shared" si="109"/>
        <v/>
      </c>
      <c r="DI20" s="851" t="str">
        <f>IF('Marks Entry'!AW20="","",IF(OR('Master Sheet'!$D$19="YES",'Marks Entry'!$BA$1=1),'Marks Entry'!AW20,""))</f>
        <v/>
      </c>
      <c r="DJ20" s="851" t="str">
        <f>IF('Marks Entry'!AX20="","",IF(OR('Master Sheet'!$D$19="YES",'Marks Entry'!$BA$1=1),'Marks Entry'!AX20,""))</f>
        <v/>
      </c>
      <c r="DK20" s="852" t="str">
        <f t="shared" si="110"/>
        <v/>
      </c>
      <c r="DL20" s="852" t="str">
        <f t="shared" si="111"/>
        <v/>
      </c>
      <c r="DM20" s="851" t="str">
        <f>IF('Marks Entry'!AY20="","",IF(OR('Master Sheet'!$D$19="YES",'Marks Entry'!$BA$1=1),'Marks Entry'!AY20,""))</f>
        <v/>
      </c>
      <c r="DN20" s="851" t="str">
        <f>IF('Marks Entry'!AZ20="","",IF(OR('Master Sheet'!$D$19="YES",'Marks Entry'!$BA$1=1),'Marks Entry'!AZ20,""))</f>
        <v/>
      </c>
      <c r="DO20" s="851" t="str">
        <f>IF('Marks Entry'!BA20="","",IF(OR('Master Sheet'!$D$19="YES",'Marks Entry'!$BA$1=1),'Marks Entry'!BA20,""))</f>
        <v/>
      </c>
      <c r="DP20" s="852" t="str">
        <f t="shared" si="112"/>
        <v/>
      </c>
      <c r="DQ20" s="156" t="str">
        <f t="shared" si="113"/>
        <v/>
      </c>
      <c r="DR20" s="156" t="str">
        <f t="shared" si="114"/>
        <v/>
      </c>
      <c r="DS20" s="156" t="str">
        <f t="shared" si="115"/>
        <v/>
      </c>
      <c r="DT20" s="191" t="str">
        <f t="shared" si="116"/>
        <v/>
      </c>
      <c r="DU20" s="152">
        <f t="shared" si="117"/>
        <v>0</v>
      </c>
      <c r="DV20" s="153">
        <f t="shared" si="118"/>
        <v>0</v>
      </c>
      <c r="DW20" s="153" t="str">
        <f t="shared" si="119"/>
        <v/>
      </c>
      <c r="DX20" s="153" t="str">
        <f>IF(OR($B20="NSO",$B20=0,DS20=""),"",IF(AND(DJ20="",DO20=""),"",IF('Master Sheet'!$D$19="YES",$DO$6-COUNTIF(DO20,"ML")*DO$6,DS$6-(COUNTIF(DJ20,"ML")*DJ$6)-(COUNTIF(DO20,"ML")*DO$6))))</f>
        <v/>
      </c>
      <c r="DY20" s="153" t="str">
        <f>IF(OR($B20="NSO",$B20=0),"",IF(AND(DH20="",DI20="",DM20=""),"",IF(AND('Master Sheet'!$D$19="YES",'Marks Entry'!$BA$1=1),100,IF(AND(DJ20="",DO20=""),SUM(($DQ$7+$DR$7)-(DU20+DV20)),SUM(($DQ$6+$DR$6)-(DU20+DV20))))))</f>
        <v/>
      </c>
      <c r="DZ20" s="152" t="str">
        <f t="shared" si="120"/>
        <v/>
      </c>
      <c r="EA20" s="153" t="str">
        <f t="shared" si="121"/>
        <v/>
      </c>
      <c r="EB20" s="152" t="str">
        <f t="shared" si="122"/>
        <v/>
      </c>
      <c r="EC20" s="584">
        <f>IF('Marks Entry'!BB20="","",'Marks Entry'!BB20)</f>
        <v>24</v>
      </c>
      <c r="ED20" s="584">
        <f>IF('Marks Entry'!BC20="","",'Marks Entry'!BC20)</f>
        <v>25</v>
      </c>
      <c r="EE20" s="584">
        <f>IF('Marks Entry'!BD20="","",'Marks Entry'!BD20)</f>
        <v>32</v>
      </c>
      <c r="EF20" s="590">
        <f t="shared" si="123"/>
        <v>81</v>
      </c>
      <c r="EG20" s="595">
        <f t="shared" si="124"/>
        <v>0</v>
      </c>
      <c r="EH20" s="595">
        <f t="shared" si="125"/>
        <v>0</v>
      </c>
      <c r="EI20" s="192">
        <f t="shared" si="126"/>
        <v>100</v>
      </c>
      <c r="EJ20" s="595" t="str">
        <f t="shared" si="127"/>
        <v/>
      </c>
      <c r="EK20" s="595" t="str">
        <f t="shared" si="128"/>
        <v>A</v>
      </c>
      <c r="EL20" s="193" t="str">
        <f t="shared" si="129"/>
        <v/>
      </c>
      <c r="EM20" s="193" t="str">
        <f t="shared" si="130"/>
        <v/>
      </c>
      <c r="EN20" s="193" t="str">
        <f t="shared" si="131"/>
        <v>I</v>
      </c>
      <c r="EO20" s="193" t="str">
        <f t="shared" si="132"/>
        <v>D</v>
      </c>
      <c r="EP20" s="193" t="str">
        <f t="shared" si="133"/>
        <v>D</v>
      </c>
      <c r="EQ20" s="193" t="str">
        <f t="shared" si="134"/>
        <v/>
      </c>
      <c r="ER20" s="194">
        <f t="shared" si="135"/>
        <v>0</v>
      </c>
      <c r="ES20" s="194">
        <f t="shared" si="136"/>
        <v>0</v>
      </c>
      <c r="ET20" s="194">
        <f t="shared" si="137"/>
        <v>0</v>
      </c>
      <c r="EU20" s="194">
        <f t="shared" si="138"/>
        <v>0</v>
      </c>
      <c r="EV20" s="194">
        <f t="shared" si="139"/>
        <v>0</v>
      </c>
      <c r="EW20" s="194" t="str">
        <f t="shared" si="140"/>
        <v/>
      </c>
      <c r="EX20" s="195" t="str">
        <f t="shared" si="141"/>
        <v/>
      </c>
      <c r="EY20" s="196">
        <f>IF('Marks Entry'!BE20="","",'Marks Entry'!BE20)</f>
        <v>8</v>
      </c>
      <c r="EZ20" s="196">
        <f>IF('Marks Entry'!BF20="","",'Marks Entry'!BF20)</f>
        <v>8</v>
      </c>
      <c r="FA20" s="196">
        <f>IF('Marks Entry'!BG20="","",'Marks Entry'!BG20)</f>
        <v>8</v>
      </c>
      <c r="FB20" s="596">
        <f t="shared" si="142"/>
        <v>24</v>
      </c>
      <c r="FC20" s="196">
        <f>IF('Marks Entry'!BH20="","",'Marks Entry'!BH20)</f>
        <v>50</v>
      </c>
      <c r="FD20" s="196">
        <f>IF('Marks Entry'!BI20="","",'Marks Entry'!BI20)</f>
        <v>68</v>
      </c>
      <c r="FE20" s="197">
        <f t="shared" si="143"/>
        <v>142</v>
      </c>
      <c r="FF20" s="198" t="str">
        <f t="shared" si="144"/>
        <v>B</v>
      </c>
      <c r="FG20" s="199" t="str">
        <f>IF(AND(E20=""),"",IF('Student DATA Entry'!L16="","",'Student DATA Entry'!L16))</f>
        <v/>
      </c>
      <c r="FH20" s="200" t="str">
        <f>IF(AND(E20=""),"",IF('Student DATA Entry'!M16="","",'Student DATA Entry'!M16))</f>
        <v/>
      </c>
      <c r="FI20" s="201" t="str">
        <f t="shared" si="145"/>
        <v/>
      </c>
      <c r="FJ20" s="188" t="str">
        <f t="shared" si="146"/>
        <v/>
      </c>
      <c r="FK20" s="188" t="str">
        <f t="shared" si="147"/>
        <v/>
      </c>
      <c r="FL20" s="202" t="str">
        <f t="shared" si="19"/>
        <v/>
      </c>
      <c r="FM20" s="188" t="str">
        <f t="shared" si="148"/>
        <v/>
      </c>
      <c r="FN20" s="203" t="str">
        <f t="shared" si="149"/>
        <v/>
      </c>
      <c r="FO20" s="202" t="str">
        <f t="shared" si="20"/>
        <v/>
      </c>
      <c r="FP20" s="204" t="str">
        <f t="shared" si="150"/>
        <v>I</v>
      </c>
      <c r="FQ20" s="188" t="str">
        <f t="shared" si="21"/>
        <v>I</v>
      </c>
      <c r="FR20" s="188" t="str">
        <f t="shared" si="22"/>
        <v/>
      </c>
      <c r="FS20" s="188" t="str">
        <f t="shared" si="23"/>
        <v/>
      </c>
      <c r="FT20" s="188" t="str">
        <f t="shared" si="24"/>
        <v/>
      </c>
      <c r="FU20" s="188" t="str">
        <f t="shared" si="151"/>
        <v/>
      </c>
      <c r="FV20" s="205" t="str">
        <f t="shared" si="25"/>
        <v/>
      </c>
      <c r="FW20" s="204" t="str">
        <f t="shared" si="152"/>
        <v>D</v>
      </c>
      <c r="FX20" s="188" t="str">
        <f t="shared" si="26"/>
        <v>D</v>
      </c>
      <c r="FY20" s="188" t="str">
        <f t="shared" si="27"/>
        <v/>
      </c>
      <c r="FZ20" s="188" t="str">
        <f t="shared" si="28"/>
        <v/>
      </c>
      <c r="GA20" s="188" t="str">
        <f t="shared" si="29"/>
        <v/>
      </c>
      <c r="GB20" s="188" t="str">
        <f t="shared" si="153"/>
        <v/>
      </c>
      <c r="GC20" s="205" t="str">
        <f t="shared" si="30"/>
        <v/>
      </c>
      <c r="GD20" s="204" t="str">
        <f t="shared" si="154"/>
        <v>D</v>
      </c>
      <c r="GE20" s="188" t="str">
        <f t="shared" si="31"/>
        <v>D</v>
      </c>
      <c r="GF20" s="188" t="str">
        <f t="shared" si="32"/>
        <v/>
      </c>
      <c r="GG20" s="188" t="str">
        <f t="shared" si="33"/>
        <v/>
      </c>
      <c r="GH20" s="188" t="str">
        <f t="shared" si="34"/>
        <v/>
      </c>
      <c r="GI20" s="188" t="str">
        <f t="shared" si="155"/>
        <v/>
      </c>
      <c r="GJ20" s="205" t="str">
        <f t="shared" si="35"/>
        <v/>
      </c>
      <c r="GK20" s="204" t="str">
        <f t="shared" si="156"/>
        <v/>
      </c>
      <c r="GL20" s="188" t="str">
        <f t="shared" si="36"/>
        <v/>
      </c>
      <c r="GM20" s="188" t="str">
        <f t="shared" si="37"/>
        <v/>
      </c>
      <c r="GN20" s="188" t="str">
        <f t="shared" si="38"/>
        <v/>
      </c>
      <c r="GO20" s="188" t="str">
        <f t="shared" si="39"/>
        <v/>
      </c>
      <c r="GP20" s="188" t="str">
        <f t="shared" si="157"/>
        <v/>
      </c>
      <c r="GQ20" s="205" t="str">
        <f t="shared" si="40"/>
        <v/>
      </c>
      <c r="GR20" s="188" t="str">
        <f t="shared" si="158"/>
        <v>A</v>
      </c>
      <c r="GS20" s="188" t="str">
        <f t="shared" si="159"/>
        <v>B</v>
      </c>
      <c r="GT20" s="206" t="str">
        <f t="shared" si="177"/>
        <v xml:space="preserve">    </v>
      </c>
      <c r="GU20" s="206" t="str">
        <f t="shared" si="160"/>
        <v xml:space="preserve">    </v>
      </c>
      <c r="GV20" s="206" t="str">
        <f t="shared" si="161"/>
        <v xml:space="preserve">    </v>
      </c>
      <c r="GW20" s="206" t="str">
        <f t="shared" si="162"/>
        <v xml:space="preserve">       </v>
      </c>
      <c r="GX20" s="598" t="str">
        <f t="shared" si="163"/>
        <v xml:space="preserve">   HISTORY GEOGRAPHY </v>
      </c>
      <c r="GY20" s="207" t="str">
        <f t="shared" si="164"/>
        <v/>
      </c>
      <c r="GZ20" s="606">
        <f>IF(AND(Q20="",AE20="",AZ20="",BW20="",CT20=""),"",IF(AND('Master Sheet'!$D$19="YES",'Marks Entry'!$BA$1=1),SUM(Q20,AE20,AZ20,BW20,DT20),SUM(Q20,AE20,AZ20,BW20,CT20)))</f>
        <v>682</v>
      </c>
      <c r="HA20" s="208">
        <f>IF(GZ20="","",IF(AND('Master Sheet'!$D$19="YES",'Marks Entry'!$BA$1=1),GZ20/((900)-DC20)*100,GZ20/((1000)-DC20)*100))</f>
        <v>68.888888888888886</v>
      </c>
      <c r="HB20" s="611" t="str">
        <f t="shared" si="165"/>
        <v/>
      </c>
      <c r="HC20" s="609" t="str">
        <f t="shared" si="166"/>
        <v/>
      </c>
      <c r="HD20" s="610" t="str">
        <f t="shared" si="167"/>
        <v/>
      </c>
      <c r="HE20" s="209" t="str">
        <f>IFERROR(IF(OR(GY20="SUPPLEMENTARY",GY20="RE-EXAM"),'Supp. Result Entry'!AS19,""),"")</f>
        <v/>
      </c>
      <c r="HF20" s="613" t="str">
        <f t="shared" si="168"/>
        <v/>
      </c>
      <c r="HG20" s="598" t="str">
        <f t="shared" si="169"/>
        <v/>
      </c>
      <c r="HH20" s="598" t="str">
        <f>IF(AND(HE20="",HF20="",HG20=""),"",IF(OR(GY20="SUPPLEMENTARY",GY20="RE-EXAM"),'Supp. Result Entry'!AS19,GY20))</f>
        <v/>
      </c>
      <c r="HI20" s="179"/>
      <c r="HY20" s="211" t="str">
        <f>IF('Supp. Result Entry'!U19="","",'Supp. Result Entry'!$U$6)</f>
        <v/>
      </c>
      <c r="HZ20" s="212" t="str">
        <f>IF('Supp. Result Entry'!X19="","",'Supp. Result Entry'!$X$6)</f>
        <v/>
      </c>
      <c r="IA20" s="212" t="str">
        <f>IF('Supp. Result Entry'!AA19="","",'Supp. Result Entry'!$AA$6)</f>
        <v/>
      </c>
      <c r="IB20" s="212" t="str">
        <f>IF('Supp. Result Entry'!AD19="","",'Supp. Result Entry'!$AD$6)</f>
        <v/>
      </c>
      <c r="IC20" s="212" t="str">
        <f>IF('Supp. Result Entry'!AG19="","",'Supp. Result Entry'!$AG$6)</f>
        <v/>
      </c>
      <c r="ID20" s="212" t="str">
        <f>IF('Supp. Result Entry'!AJ19="","",'Supp. Result Entry'!$AJ$6)</f>
        <v/>
      </c>
      <c r="IE20" s="212" t="str">
        <f>IF('Supp. Result Entry'!V19="","",'Supp. Result Entry'!V19)</f>
        <v/>
      </c>
      <c r="IF20" s="212" t="str">
        <f>IF('Supp. Result Entry'!Y19="","",'Supp. Result Entry'!Y19)</f>
        <v/>
      </c>
      <c r="IG20" s="212" t="str">
        <f>IF('Supp. Result Entry'!AB19="","",'Supp. Result Entry'!AB19)</f>
        <v/>
      </c>
      <c r="IH20" s="212" t="str">
        <f>IF('Supp. Result Entry'!AE19="","",'Supp. Result Entry'!AE19)</f>
        <v/>
      </c>
      <c r="II20" s="212" t="str">
        <f>IF('Supp. Result Entry'!AH19="","",'Supp. Result Entry'!AH19)</f>
        <v/>
      </c>
      <c r="IJ20" s="212" t="str">
        <f>IF('Supp. Result Entry'!AK19="","",'Supp. Result Entry'!AK19)</f>
        <v/>
      </c>
      <c r="IK20" s="212" t="str">
        <f>IF('Supp. Result Entry'!W19="","",'Supp. Result Entry'!W19)</f>
        <v/>
      </c>
      <c r="IL20" s="212" t="str">
        <f>IF('Supp. Result Entry'!Z19="","",'Supp. Result Entry'!Z19)</f>
        <v/>
      </c>
      <c r="IM20" s="212" t="str">
        <f>IF('Supp. Result Entry'!AC19="","",'Supp. Result Entry'!AC19)</f>
        <v/>
      </c>
      <c r="IN20" s="212" t="str">
        <f>IF('Supp. Result Entry'!AF19="","",'Supp. Result Entry'!AF19)</f>
        <v/>
      </c>
      <c r="IO20" s="212" t="str">
        <f>IF('Supp. Result Entry'!AI19="","",'Supp. Result Entry'!AI19)</f>
        <v/>
      </c>
      <c r="IP20" s="212" t="str">
        <f>IF('Supp. Result Entry'!AL19="","",'Supp. Result Entry'!AL19)</f>
        <v/>
      </c>
      <c r="IQ20" s="212">
        <f>COUNTIF('Supp. Result Entry'!K19:Q19,"S")</f>
        <v>0</v>
      </c>
      <c r="IR20" s="212">
        <f t="shared" si="170"/>
        <v>0</v>
      </c>
      <c r="IS20" s="212">
        <f t="shared" si="171"/>
        <v>0</v>
      </c>
      <c r="IT20" s="212" t="str">
        <f t="shared" si="41"/>
        <v/>
      </c>
      <c r="IU20" s="212" t="str">
        <f t="shared" si="42"/>
        <v/>
      </c>
      <c r="IV20" s="212" t="str">
        <f t="shared" si="43"/>
        <v/>
      </c>
      <c r="IW20" s="212" t="str">
        <f t="shared" si="44"/>
        <v/>
      </c>
      <c r="IX20" s="212" t="str">
        <f t="shared" si="45"/>
        <v/>
      </c>
      <c r="IY20" s="212" t="str">
        <f t="shared" si="172"/>
        <v/>
      </c>
      <c r="IZ20" s="212" t="str">
        <f t="shared" si="173"/>
        <v/>
      </c>
      <c r="JA20" s="212" t="str">
        <f t="shared" si="46"/>
        <v/>
      </c>
      <c r="JB20" s="210" t="str">
        <f t="shared" si="174"/>
        <v/>
      </c>
    </row>
    <row r="21" spans="1:262" s="210" customFormat="1" ht="21" customHeight="1">
      <c r="A21" s="183">
        <v>14</v>
      </c>
      <c r="B21" s="184" t="str">
        <f>IF('Marks Entry'!B21="","",'Marks Entry'!B21)</f>
        <v/>
      </c>
      <c r="C21" s="185" t="str">
        <f>IF('Marks Entry'!D21="","",'Marks Entry'!D21)</f>
        <v/>
      </c>
      <c r="D21" s="186" t="str">
        <f>IF('Marks Entry'!E21="","",'Marks Entry'!E21)</f>
        <v/>
      </c>
      <c r="E21" s="187" t="str">
        <f>IF('Marks Entry'!F21="","",'Marks Entry'!F21)</f>
        <v/>
      </c>
      <c r="F21" s="187" t="str">
        <f>IF('Marks Entry'!G21="","",'Marks Entry'!G21)</f>
        <v/>
      </c>
      <c r="G21" s="187" t="str">
        <f>IF('Marks Entry'!H21="","",'Marks Entry'!H21)</f>
        <v/>
      </c>
      <c r="H21" s="188" t="str">
        <f>IF('Marks Entry'!I21="","",'Marks Entry'!I21)</f>
        <v/>
      </c>
      <c r="I21" s="189" t="str">
        <f>IF('Marks Entry'!J21="","",'Marks Entry'!J21)</f>
        <v/>
      </c>
      <c r="J21" s="545" t="str">
        <f>IF('Marks Entry'!K21="","",'Marks Entry'!K21)</f>
        <v>ml</v>
      </c>
      <c r="K21" s="545" t="str">
        <f>IF('Marks Entry'!L21="","",'Marks Entry'!L21)</f>
        <v>ml</v>
      </c>
      <c r="L21" s="545">
        <f>IF('Marks Entry'!M21="","",'Marks Entry'!M21)</f>
        <v>8</v>
      </c>
      <c r="M21" s="546">
        <f t="shared" si="47"/>
        <v>8</v>
      </c>
      <c r="N21" s="545">
        <f>IF('Marks Entry'!N21="","",'Marks Entry'!N21)</f>
        <v>30</v>
      </c>
      <c r="O21" s="546">
        <f t="shared" si="48"/>
        <v>38</v>
      </c>
      <c r="P21" s="545">
        <f>IF('Marks Entry'!O21="","",'Marks Entry'!O21)</f>
        <v>60</v>
      </c>
      <c r="Q21" s="547">
        <f t="shared" si="49"/>
        <v>98</v>
      </c>
      <c r="R21" s="152">
        <f t="shared" si="50"/>
        <v>0</v>
      </c>
      <c r="S21" s="152">
        <f t="shared" si="51"/>
        <v>20</v>
      </c>
      <c r="T21" s="153">
        <f t="shared" si="52"/>
        <v>180</v>
      </c>
      <c r="U21" s="152" t="str">
        <f t="shared" si="53"/>
        <v/>
      </c>
      <c r="V21" s="152" t="str">
        <f t="shared" si="54"/>
        <v/>
      </c>
      <c r="W21" s="152" t="str">
        <f t="shared" si="55"/>
        <v/>
      </c>
      <c r="X21" s="545">
        <f>IF('Marks Entry'!P21="","",'Marks Entry'!P21)</f>
        <v>8</v>
      </c>
      <c r="Y21" s="545">
        <f>IF('Marks Entry'!Q21="","",'Marks Entry'!Q21)</f>
        <v>5</v>
      </c>
      <c r="Z21" s="545">
        <f>IF('Marks Entry'!R21="","",'Marks Entry'!R21)</f>
        <v>9</v>
      </c>
      <c r="AA21" s="546">
        <f t="shared" si="56"/>
        <v>22</v>
      </c>
      <c r="AB21" s="545" t="str">
        <f>IF('Marks Entry'!S21="","",'Marks Entry'!S21)</f>
        <v>AB</v>
      </c>
      <c r="AC21" s="546">
        <f t="shared" si="57"/>
        <v>22</v>
      </c>
      <c r="AD21" s="545">
        <f>IF('Marks Entry'!T21="","",'Marks Entry'!T21)</f>
        <v>56</v>
      </c>
      <c r="AE21" s="547">
        <f t="shared" si="58"/>
        <v>78</v>
      </c>
      <c r="AF21" s="152">
        <f t="shared" si="59"/>
        <v>0</v>
      </c>
      <c r="AG21" s="152">
        <f t="shared" si="60"/>
        <v>0</v>
      </c>
      <c r="AH21" s="153">
        <f t="shared" si="61"/>
        <v>200</v>
      </c>
      <c r="AI21" s="152" t="str">
        <f t="shared" si="62"/>
        <v/>
      </c>
      <c r="AJ21" s="152" t="str">
        <f t="shared" si="63"/>
        <v/>
      </c>
      <c r="AK21" s="152" t="str">
        <f t="shared" si="64"/>
        <v/>
      </c>
      <c r="AL21" s="573" t="str">
        <f>IF('Marks Entry'!U21="","",'Marks Entry'!U21)</f>
        <v>A</v>
      </c>
      <c r="AM21" s="573">
        <f>IF('Marks Entry'!V21="","",'Marks Entry'!V21)</f>
        <v>8</v>
      </c>
      <c r="AN21" s="573">
        <f>IF('Marks Entry'!W21="","",'Marks Entry'!W21)</f>
        <v>8</v>
      </c>
      <c r="AO21" s="573">
        <f>IF('Marks Entry'!X21="","",'Marks Entry'!X21)</f>
        <v>7</v>
      </c>
      <c r="AP21" s="572">
        <f t="shared" si="65"/>
        <v>23</v>
      </c>
      <c r="AQ21" s="573">
        <f>IF('Marks Entry'!Y21="","",'Marks Entry'!Y21)</f>
        <v>32</v>
      </c>
      <c r="AR21" s="573" t="str">
        <f>IF('Marks Entry'!Z21="","",'Marks Entry'!Z21)</f>
        <v/>
      </c>
      <c r="AS21" s="572">
        <f t="shared" si="66"/>
        <v>32</v>
      </c>
      <c r="AT21" s="572">
        <f t="shared" si="67"/>
        <v>55</v>
      </c>
      <c r="AU21" s="573">
        <f>IF('Marks Entry'!AA21="","",'Marks Entry'!AA21)</f>
        <v>41</v>
      </c>
      <c r="AV21" s="573" t="str">
        <f>IF('Marks Entry'!AB21="","",'Marks Entry'!AB21)</f>
        <v/>
      </c>
      <c r="AW21" s="572">
        <f t="shared" si="68"/>
        <v>41</v>
      </c>
      <c r="AX21" s="156">
        <f t="shared" si="69"/>
        <v>96</v>
      </c>
      <c r="AY21" s="156" t="str">
        <f t="shared" si="70"/>
        <v/>
      </c>
      <c r="AZ21" s="191">
        <f t="shared" si="71"/>
        <v>96</v>
      </c>
      <c r="BA21" s="152">
        <f t="shared" si="72"/>
        <v>0</v>
      </c>
      <c r="BB21" s="153">
        <f t="shared" si="73"/>
        <v>0</v>
      </c>
      <c r="BC21" s="153">
        <f t="shared" si="74"/>
        <v>100</v>
      </c>
      <c r="BD21" s="153" t="str">
        <f t="shared" si="75"/>
        <v/>
      </c>
      <c r="BE21" s="153">
        <f t="shared" si="76"/>
        <v>200</v>
      </c>
      <c r="BF21" s="152" t="str">
        <f t="shared" si="77"/>
        <v/>
      </c>
      <c r="BG21" s="153" t="str">
        <f t="shared" si="175"/>
        <v>P</v>
      </c>
      <c r="BH21" s="152" t="str">
        <f t="shared" si="78"/>
        <v>II</v>
      </c>
      <c r="BI21" s="580" t="str">
        <f>IF('Marks Entry'!AC21="","",'Marks Entry'!AC21)</f>
        <v>A</v>
      </c>
      <c r="BJ21" s="580">
        <f>IF('Marks Entry'!AD21="","",'Marks Entry'!AD21)</f>
        <v>6</v>
      </c>
      <c r="BK21" s="580">
        <f>IF('Marks Entry'!AE21="","",'Marks Entry'!AE21)</f>
        <v>8</v>
      </c>
      <c r="BL21" s="580" t="str">
        <f>IF('Marks Entry'!AF21="","",'Marks Entry'!AF21)</f>
        <v/>
      </c>
      <c r="BM21" s="581">
        <f t="shared" si="79"/>
        <v>14</v>
      </c>
      <c r="BN21" s="580">
        <f>IF('Marks Entry'!AG21="","",'Marks Entry'!AG21)</f>
        <v>44</v>
      </c>
      <c r="BO21" s="580" t="str">
        <f>IF('Marks Entry'!AH21="","",'Marks Entry'!AH21)</f>
        <v/>
      </c>
      <c r="BP21" s="581">
        <f t="shared" si="80"/>
        <v>44</v>
      </c>
      <c r="BQ21" s="581">
        <f t="shared" si="81"/>
        <v>58</v>
      </c>
      <c r="BR21" s="580">
        <f>IF('Marks Entry'!AI21="","",'Marks Entry'!AI21)</f>
        <v>39</v>
      </c>
      <c r="BS21" s="580" t="str">
        <f>IF('Marks Entry'!AJ21="","",'Marks Entry'!AJ21)</f>
        <v/>
      </c>
      <c r="BT21" s="581">
        <f t="shared" si="82"/>
        <v>39</v>
      </c>
      <c r="BU21" s="156">
        <f t="shared" si="83"/>
        <v>97</v>
      </c>
      <c r="BV21" s="156" t="str">
        <f t="shared" si="84"/>
        <v/>
      </c>
      <c r="BW21" s="191">
        <f t="shared" si="85"/>
        <v>97</v>
      </c>
      <c r="BX21" s="152">
        <f t="shared" si="86"/>
        <v>0</v>
      </c>
      <c r="BY21" s="153">
        <f t="shared" si="87"/>
        <v>0</v>
      </c>
      <c r="BZ21" s="153">
        <f t="shared" si="88"/>
        <v>100</v>
      </c>
      <c r="CA21" s="153" t="str">
        <f t="shared" si="89"/>
        <v/>
      </c>
      <c r="CB21" s="153">
        <f t="shared" si="90"/>
        <v>200</v>
      </c>
      <c r="CC21" s="152" t="str">
        <f t="shared" si="91"/>
        <v/>
      </c>
      <c r="CD21" s="153" t="str">
        <f t="shared" si="92"/>
        <v>P</v>
      </c>
      <c r="CE21" s="152" t="str">
        <f t="shared" si="93"/>
        <v>II</v>
      </c>
      <c r="CF21" s="580" t="str">
        <f>IF('Marks Entry'!AK21="","",'Marks Entry'!AK21)</f>
        <v>A</v>
      </c>
      <c r="CG21" s="580">
        <f>IF('Marks Entry'!AL21="","",'Marks Entry'!AL21)</f>
        <v>4</v>
      </c>
      <c r="CH21" s="580">
        <f>IF('Marks Entry'!AM21="","",'Marks Entry'!AM21)</f>
        <v>4</v>
      </c>
      <c r="CI21" s="580">
        <f>IF('Marks Entry'!AN21="","",'Marks Entry'!AN21)</f>
        <v>8</v>
      </c>
      <c r="CJ21" s="581">
        <f t="shared" si="94"/>
        <v>16</v>
      </c>
      <c r="CK21" s="580">
        <f>IF('Marks Entry'!AO21="","",'Marks Entry'!AO21)</f>
        <v>30</v>
      </c>
      <c r="CL21" s="580">
        <f>IF('Marks Entry'!AP21="","",'Marks Entry'!AP21)</f>
        <v>13</v>
      </c>
      <c r="CM21" s="581">
        <f t="shared" si="95"/>
        <v>43</v>
      </c>
      <c r="CN21" s="581">
        <f t="shared" si="96"/>
        <v>59</v>
      </c>
      <c r="CO21" s="580">
        <f>IF('Marks Entry'!AQ21="","",'Marks Entry'!AQ21)</f>
        <v>56</v>
      </c>
      <c r="CP21" s="580">
        <f>IF('Marks Entry'!AR21="","",'Marks Entry'!AR21)</f>
        <v>18</v>
      </c>
      <c r="CQ21" s="581">
        <f t="shared" si="97"/>
        <v>74</v>
      </c>
      <c r="CR21" s="156">
        <f t="shared" si="98"/>
        <v>102</v>
      </c>
      <c r="CS21" s="156">
        <f t="shared" si="99"/>
        <v>31</v>
      </c>
      <c r="CT21" s="191">
        <f t="shared" si="100"/>
        <v>133</v>
      </c>
      <c r="CU21" s="152">
        <f t="shared" si="101"/>
        <v>0</v>
      </c>
      <c r="CV21" s="153">
        <f t="shared" si="102"/>
        <v>0</v>
      </c>
      <c r="CW21" s="153">
        <f t="shared" si="103"/>
        <v>70</v>
      </c>
      <c r="CX21" s="153">
        <f t="shared" si="104"/>
        <v>50</v>
      </c>
      <c r="CY21" s="153">
        <f t="shared" si="176"/>
        <v>150</v>
      </c>
      <c r="CZ21" s="152" t="str">
        <f t="shared" si="105"/>
        <v/>
      </c>
      <c r="DA21" s="153" t="str">
        <f t="shared" si="106"/>
        <v>P</v>
      </c>
      <c r="DB21" s="152" t="str">
        <f t="shared" si="107"/>
        <v>I</v>
      </c>
      <c r="DC21" s="153">
        <f t="shared" si="108"/>
        <v>20</v>
      </c>
      <c r="DD21" s="851" t="str">
        <f>IF('Marks Entry'!AS21="","",IF(OR('Master Sheet'!$D$19="YES",'Marks Entry'!$BA$1=1),'Marks Entry'!AS21,""))</f>
        <v/>
      </c>
      <c r="DE21" s="851" t="str">
        <f>IF('Marks Entry'!AT21="","",IF(OR('Master Sheet'!$D$19="YES",'Marks Entry'!$BA$1=1),'Marks Entry'!AT21,""))</f>
        <v/>
      </c>
      <c r="DF21" s="851" t="str">
        <f>IF('Marks Entry'!AU21="","",IF(OR('Master Sheet'!$D$19="YES",'Marks Entry'!$BA$1=1),'Marks Entry'!AU21,""))</f>
        <v/>
      </c>
      <c r="DG21" s="851" t="str">
        <f>IF('Marks Entry'!AV21="","",IF(OR('Master Sheet'!$D$19="YES",'Marks Entry'!$BA$1=1),'Marks Entry'!AV21,""))</f>
        <v/>
      </c>
      <c r="DH21" s="852" t="str">
        <f t="shared" si="109"/>
        <v/>
      </c>
      <c r="DI21" s="851" t="str">
        <f>IF('Marks Entry'!AW21="","",IF(OR('Master Sheet'!$D$19="YES",'Marks Entry'!$BA$1=1),'Marks Entry'!AW21,""))</f>
        <v/>
      </c>
      <c r="DJ21" s="851" t="str">
        <f>IF('Marks Entry'!AX21="","",IF(OR('Master Sheet'!$D$19="YES",'Marks Entry'!$BA$1=1),'Marks Entry'!AX21,""))</f>
        <v/>
      </c>
      <c r="DK21" s="852" t="str">
        <f t="shared" si="110"/>
        <v/>
      </c>
      <c r="DL21" s="852" t="str">
        <f t="shared" si="111"/>
        <v/>
      </c>
      <c r="DM21" s="851" t="str">
        <f>IF('Marks Entry'!AY21="","",IF(OR('Master Sheet'!$D$19="YES",'Marks Entry'!$BA$1=1),'Marks Entry'!AY21,""))</f>
        <v/>
      </c>
      <c r="DN21" s="851" t="str">
        <f>IF('Marks Entry'!AZ21="","",IF(OR('Master Sheet'!$D$19="YES",'Marks Entry'!$BA$1=1),'Marks Entry'!AZ21,""))</f>
        <v/>
      </c>
      <c r="DO21" s="851" t="str">
        <f>IF('Marks Entry'!BA21="","",IF(OR('Master Sheet'!$D$19="YES",'Marks Entry'!$BA$1=1),'Marks Entry'!BA21,""))</f>
        <v/>
      </c>
      <c r="DP21" s="852" t="str">
        <f t="shared" si="112"/>
        <v/>
      </c>
      <c r="DQ21" s="156" t="str">
        <f t="shared" si="113"/>
        <v/>
      </c>
      <c r="DR21" s="156" t="str">
        <f t="shared" si="114"/>
        <v/>
      </c>
      <c r="DS21" s="156" t="str">
        <f t="shared" si="115"/>
        <v/>
      </c>
      <c r="DT21" s="191" t="str">
        <f t="shared" si="116"/>
        <v/>
      </c>
      <c r="DU21" s="152">
        <f t="shared" si="117"/>
        <v>0</v>
      </c>
      <c r="DV21" s="153">
        <f t="shared" si="118"/>
        <v>0</v>
      </c>
      <c r="DW21" s="153" t="str">
        <f t="shared" si="119"/>
        <v/>
      </c>
      <c r="DX21" s="153" t="str">
        <f>IF(OR($B21="NSO",$B21=0,DS21=""),"",IF(AND(DJ21="",DO21=""),"",IF('Master Sheet'!$D$19="YES",$DO$6-COUNTIF(DO21,"ML")*DO$6,DS$6-(COUNTIF(DJ21,"ML")*DJ$6)-(COUNTIF(DO21,"ML")*DO$6))))</f>
        <v/>
      </c>
      <c r="DY21" s="153" t="str">
        <f>IF(OR($B21="NSO",$B21=0),"",IF(AND(DH21="",DI21="",DM21=""),"",IF(AND('Master Sheet'!$D$19="YES",'Marks Entry'!$BA$1=1),100,IF(AND(DJ21="",DO21=""),SUM(($DQ$7+$DR$7)-(DU21+DV21)),SUM(($DQ$6+$DR$6)-(DU21+DV21))))))</f>
        <v/>
      </c>
      <c r="DZ21" s="152" t="str">
        <f t="shared" si="120"/>
        <v/>
      </c>
      <c r="EA21" s="153" t="str">
        <f t="shared" si="121"/>
        <v/>
      </c>
      <c r="EB21" s="152" t="str">
        <f t="shared" si="122"/>
        <v/>
      </c>
      <c r="EC21" s="584">
        <f>IF('Marks Entry'!BB21="","",'Marks Entry'!BB21)</f>
        <v>24</v>
      </c>
      <c r="ED21" s="584">
        <f>IF('Marks Entry'!BC21="","",'Marks Entry'!BC21)</f>
        <v>25</v>
      </c>
      <c r="EE21" s="584">
        <f>IF('Marks Entry'!BD21="","",'Marks Entry'!BD21)</f>
        <v>32</v>
      </c>
      <c r="EF21" s="590">
        <f t="shared" si="123"/>
        <v>81</v>
      </c>
      <c r="EG21" s="595">
        <f t="shared" si="124"/>
        <v>0</v>
      </c>
      <c r="EH21" s="595">
        <f t="shared" si="125"/>
        <v>0</v>
      </c>
      <c r="EI21" s="192">
        <f t="shared" si="126"/>
        <v>100</v>
      </c>
      <c r="EJ21" s="595" t="str">
        <f t="shared" si="127"/>
        <v/>
      </c>
      <c r="EK21" s="595" t="str">
        <f t="shared" si="128"/>
        <v>A</v>
      </c>
      <c r="EL21" s="193" t="str">
        <f t="shared" si="129"/>
        <v/>
      </c>
      <c r="EM21" s="193" t="str">
        <f t="shared" si="130"/>
        <v/>
      </c>
      <c r="EN21" s="193" t="str">
        <f t="shared" si="131"/>
        <v>II</v>
      </c>
      <c r="EO21" s="193" t="str">
        <f t="shared" si="132"/>
        <v>II</v>
      </c>
      <c r="EP21" s="193" t="str">
        <f t="shared" si="133"/>
        <v>I</v>
      </c>
      <c r="EQ21" s="193" t="str">
        <f t="shared" si="134"/>
        <v/>
      </c>
      <c r="ER21" s="194">
        <f t="shared" si="135"/>
        <v>0</v>
      </c>
      <c r="ES21" s="194">
        <f t="shared" si="136"/>
        <v>0</v>
      </c>
      <c r="ET21" s="194">
        <f t="shared" si="137"/>
        <v>0</v>
      </c>
      <c r="EU21" s="194">
        <f t="shared" si="138"/>
        <v>0</v>
      </c>
      <c r="EV21" s="194">
        <f t="shared" si="139"/>
        <v>0</v>
      </c>
      <c r="EW21" s="194" t="str">
        <f t="shared" si="140"/>
        <v/>
      </c>
      <c r="EX21" s="195" t="str">
        <f t="shared" si="141"/>
        <v/>
      </c>
      <c r="EY21" s="196">
        <f>IF('Marks Entry'!BE21="","",'Marks Entry'!BE21)</f>
        <v>8</v>
      </c>
      <c r="EZ21" s="196">
        <f>IF('Marks Entry'!BF21="","",'Marks Entry'!BF21)</f>
        <v>8</v>
      </c>
      <c r="FA21" s="196">
        <f>IF('Marks Entry'!BG21="","",'Marks Entry'!BG21)</f>
        <v>8</v>
      </c>
      <c r="FB21" s="596">
        <f t="shared" si="142"/>
        <v>24</v>
      </c>
      <c r="FC21" s="196">
        <f>IF('Marks Entry'!BH21="","",'Marks Entry'!BH21)</f>
        <v>50</v>
      </c>
      <c r="FD21" s="196">
        <f>IF('Marks Entry'!BI21="","",'Marks Entry'!BI21)</f>
        <v>68</v>
      </c>
      <c r="FE21" s="197">
        <f t="shared" si="143"/>
        <v>142</v>
      </c>
      <c r="FF21" s="198" t="str">
        <f t="shared" si="144"/>
        <v>B</v>
      </c>
      <c r="FG21" s="199" t="str">
        <f>IF(AND(E21=""),"",IF('Student DATA Entry'!L17="","",'Student DATA Entry'!L17))</f>
        <v/>
      </c>
      <c r="FH21" s="200" t="str">
        <f>IF(AND(E21=""),"",IF('Student DATA Entry'!M17="","",'Student DATA Entry'!M17))</f>
        <v/>
      </c>
      <c r="FI21" s="201" t="str">
        <f t="shared" si="145"/>
        <v/>
      </c>
      <c r="FJ21" s="188" t="str">
        <f t="shared" si="146"/>
        <v/>
      </c>
      <c r="FK21" s="188" t="str">
        <f t="shared" si="147"/>
        <v/>
      </c>
      <c r="FL21" s="202" t="str">
        <f t="shared" si="19"/>
        <v/>
      </c>
      <c r="FM21" s="188" t="str">
        <f t="shared" si="148"/>
        <v/>
      </c>
      <c r="FN21" s="203" t="str">
        <f t="shared" si="149"/>
        <v/>
      </c>
      <c r="FO21" s="202" t="str">
        <f t="shared" si="20"/>
        <v/>
      </c>
      <c r="FP21" s="204" t="str">
        <f t="shared" si="150"/>
        <v>II</v>
      </c>
      <c r="FQ21" s="188" t="str">
        <f t="shared" si="21"/>
        <v>II</v>
      </c>
      <c r="FR21" s="188" t="str">
        <f t="shared" si="22"/>
        <v/>
      </c>
      <c r="FS21" s="188" t="str">
        <f t="shared" si="23"/>
        <v/>
      </c>
      <c r="FT21" s="188" t="str">
        <f t="shared" si="24"/>
        <v/>
      </c>
      <c r="FU21" s="188" t="str">
        <f t="shared" si="151"/>
        <v/>
      </c>
      <c r="FV21" s="205" t="str">
        <f t="shared" si="25"/>
        <v/>
      </c>
      <c r="FW21" s="204" t="str">
        <f t="shared" si="152"/>
        <v>II</v>
      </c>
      <c r="FX21" s="188" t="str">
        <f t="shared" si="26"/>
        <v>II</v>
      </c>
      <c r="FY21" s="188" t="str">
        <f t="shared" si="27"/>
        <v/>
      </c>
      <c r="FZ21" s="188" t="str">
        <f t="shared" si="28"/>
        <v/>
      </c>
      <c r="GA21" s="188" t="str">
        <f t="shared" si="29"/>
        <v/>
      </c>
      <c r="GB21" s="188" t="str">
        <f t="shared" si="153"/>
        <v/>
      </c>
      <c r="GC21" s="205" t="str">
        <f t="shared" si="30"/>
        <v/>
      </c>
      <c r="GD21" s="204" t="str">
        <f t="shared" si="154"/>
        <v>I</v>
      </c>
      <c r="GE21" s="188" t="str">
        <f t="shared" si="31"/>
        <v>I</v>
      </c>
      <c r="GF21" s="188" t="str">
        <f t="shared" si="32"/>
        <v/>
      </c>
      <c r="GG21" s="188" t="str">
        <f t="shared" si="33"/>
        <v/>
      </c>
      <c r="GH21" s="188" t="str">
        <f t="shared" si="34"/>
        <v/>
      </c>
      <c r="GI21" s="188" t="str">
        <f t="shared" si="155"/>
        <v/>
      </c>
      <c r="GJ21" s="205" t="str">
        <f t="shared" si="35"/>
        <v/>
      </c>
      <c r="GK21" s="204" t="str">
        <f t="shared" si="156"/>
        <v/>
      </c>
      <c r="GL21" s="188" t="str">
        <f t="shared" si="36"/>
        <v/>
      </c>
      <c r="GM21" s="188" t="str">
        <f t="shared" si="37"/>
        <v/>
      </c>
      <c r="GN21" s="188" t="str">
        <f t="shared" si="38"/>
        <v/>
      </c>
      <c r="GO21" s="188" t="str">
        <f t="shared" si="39"/>
        <v/>
      </c>
      <c r="GP21" s="188" t="str">
        <f t="shared" si="157"/>
        <v/>
      </c>
      <c r="GQ21" s="205" t="str">
        <f t="shared" si="40"/>
        <v/>
      </c>
      <c r="GR21" s="188" t="str">
        <f t="shared" si="158"/>
        <v>A</v>
      </c>
      <c r="GS21" s="188" t="str">
        <f t="shared" si="159"/>
        <v>B</v>
      </c>
      <c r="GT21" s="206" t="str">
        <f t="shared" si="177"/>
        <v xml:space="preserve">    </v>
      </c>
      <c r="GU21" s="206" t="str">
        <f t="shared" si="160"/>
        <v xml:space="preserve">    </v>
      </c>
      <c r="GV21" s="206" t="str">
        <f t="shared" si="161"/>
        <v xml:space="preserve">    </v>
      </c>
      <c r="GW21" s="206" t="str">
        <f t="shared" si="162"/>
        <v xml:space="preserve">       </v>
      </c>
      <c r="GX21" s="598" t="str">
        <f t="shared" si="163"/>
        <v xml:space="preserve">     </v>
      </c>
      <c r="GY21" s="207" t="str">
        <f t="shared" si="164"/>
        <v/>
      </c>
      <c r="GZ21" s="606">
        <f>IF(AND(Q21="",AE21="",AZ21="",BW21="",CT21=""),"",IF(AND('Master Sheet'!$D$19="YES",'Marks Entry'!$BA$1=1),SUM(Q21,AE21,AZ21,BW21,DT21),SUM(Q21,AE21,AZ21,BW21,CT21)))</f>
        <v>502</v>
      </c>
      <c r="HA21" s="208">
        <f>IF(GZ21="","",IF(AND('Master Sheet'!$D$19="YES",'Marks Entry'!$BA$1=1),GZ21/((900)-DC21)*100,GZ21/((1000)-DC21)*100))</f>
        <v>51.224489795918373</v>
      </c>
      <c r="HB21" s="611" t="str">
        <f t="shared" si="165"/>
        <v/>
      </c>
      <c r="HC21" s="609" t="str">
        <f t="shared" si="166"/>
        <v/>
      </c>
      <c r="HD21" s="610" t="str">
        <f t="shared" si="167"/>
        <v/>
      </c>
      <c r="HE21" s="209" t="str">
        <f>IFERROR(IF(OR(GY21="SUPPLEMENTARY",GY21="RE-EXAM"),'Supp. Result Entry'!AS20,""),"")</f>
        <v/>
      </c>
      <c r="HF21" s="613" t="str">
        <f t="shared" si="168"/>
        <v/>
      </c>
      <c r="HG21" s="598" t="str">
        <f t="shared" si="169"/>
        <v/>
      </c>
      <c r="HH21" s="598" t="str">
        <f>IF(AND(HE21="",HF21="",HG21=""),"",IF(OR(GY21="SUPPLEMENTARY",GY21="RE-EXAM"),'Supp. Result Entry'!AS20,GY21))</f>
        <v/>
      </c>
      <c r="HI21" s="179"/>
      <c r="HY21" s="211" t="str">
        <f>IF('Supp. Result Entry'!U20="","",'Supp. Result Entry'!$U$6)</f>
        <v/>
      </c>
      <c r="HZ21" s="212" t="str">
        <f>IF('Supp. Result Entry'!X20="","",'Supp. Result Entry'!$X$6)</f>
        <v/>
      </c>
      <c r="IA21" s="212" t="str">
        <f>IF('Supp. Result Entry'!AA20="","",'Supp. Result Entry'!$AA$6)</f>
        <v/>
      </c>
      <c r="IB21" s="212" t="str">
        <f>IF('Supp. Result Entry'!AD20="","",'Supp. Result Entry'!$AD$6)</f>
        <v/>
      </c>
      <c r="IC21" s="212" t="str">
        <f>IF('Supp. Result Entry'!AG20="","",'Supp. Result Entry'!$AG$6)</f>
        <v/>
      </c>
      <c r="ID21" s="212" t="str">
        <f>IF('Supp. Result Entry'!AJ20="","",'Supp. Result Entry'!$AJ$6)</f>
        <v/>
      </c>
      <c r="IE21" s="212" t="str">
        <f>IF('Supp. Result Entry'!V20="","",'Supp. Result Entry'!V20)</f>
        <v/>
      </c>
      <c r="IF21" s="212" t="str">
        <f>IF('Supp. Result Entry'!Y20="","",'Supp. Result Entry'!Y20)</f>
        <v/>
      </c>
      <c r="IG21" s="212" t="str">
        <f>IF('Supp. Result Entry'!AB20="","",'Supp. Result Entry'!AB20)</f>
        <v/>
      </c>
      <c r="IH21" s="212" t="str">
        <f>IF('Supp. Result Entry'!AE20="","",'Supp. Result Entry'!AE20)</f>
        <v/>
      </c>
      <c r="II21" s="212" t="str">
        <f>IF('Supp. Result Entry'!AH20="","",'Supp. Result Entry'!AH20)</f>
        <v/>
      </c>
      <c r="IJ21" s="212" t="str">
        <f>IF('Supp. Result Entry'!AK20="","",'Supp. Result Entry'!AK20)</f>
        <v/>
      </c>
      <c r="IK21" s="212" t="str">
        <f>IF('Supp. Result Entry'!W20="","",'Supp. Result Entry'!W20)</f>
        <v/>
      </c>
      <c r="IL21" s="212" t="str">
        <f>IF('Supp. Result Entry'!Z20="","",'Supp. Result Entry'!Z20)</f>
        <v/>
      </c>
      <c r="IM21" s="212" t="str">
        <f>IF('Supp. Result Entry'!AC20="","",'Supp. Result Entry'!AC20)</f>
        <v/>
      </c>
      <c r="IN21" s="212" t="str">
        <f>IF('Supp. Result Entry'!AF20="","",'Supp. Result Entry'!AF20)</f>
        <v/>
      </c>
      <c r="IO21" s="212" t="str">
        <f>IF('Supp. Result Entry'!AI20="","",'Supp. Result Entry'!AI20)</f>
        <v/>
      </c>
      <c r="IP21" s="212" t="str">
        <f>IF('Supp. Result Entry'!AL20="","",'Supp. Result Entry'!AL20)</f>
        <v/>
      </c>
      <c r="IQ21" s="212">
        <f>COUNTIF('Supp. Result Entry'!K20:Q20,"S")</f>
        <v>0</v>
      </c>
      <c r="IR21" s="212">
        <f t="shared" si="170"/>
        <v>0</v>
      </c>
      <c r="IS21" s="212">
        <f t="shared" si="171"/>
        <v>0</v>
      </c>
      <c r="IT21" s="212" t="str">
        <f t="shared" si="41"/>
        <v/>
      </c>
      <c r="IU21" s="212" t="str">
        <f t="shared" si="42"/>
        <v/>
      </c>
      <c r="IV21" s="212" t="str">
        <f t="shared" si="43"/>
        <v/>
      </c>
      <c r="IW21" s="212" t="str">
        <f t="shared" si="44"/>
        <v/>
      </c>
      <c r="IX21" s="212" t="str">
        <f t="shared" si="45"/>
        <v/>
      </c>
      <c r="IY21" s="212" t="str">
        <f t="shared" si="172"/>
        <v/>
      </c>
      <c r="IZ21" s="212" t="str">
        <f t="shared" si="173"/>
        <v/>
      </c>
      <c r="JA21" s="212" t="str">
        <f t="shared" si="46"/>
        <v/>
      </c>
      <c r="JB21" s="210" t="str">
        <f t="shared" si="174"/>
        <v/>
      </c>
    </row>
    <row r="22" spans="1:262" s="210" customFormat="1" ht="21" customHeight="1">
      <c r="A22" s="183">
        <v>15</v>
      </c>
      <c r="B22" s="184" t="str">
        <f>IF('Marks Entry'!B22="","",'Marks Entry'!B22)</f>
        <v/>
      </c>
      <c r="C22" s="185" t="str">
        <f>IF('Marks Entry'!D22="","",'Marks Entry'!D22)</f>
        <v/>
      </c>
      <c r="D22" s="186" t="str">
        <f>IF('Marks Entry'!E22="","",'Marks Entry'!E22)</f>
        <v/>
      </c>
      <c r="E22" s="187" t="str">
        <f>IF('Marks Entry'!F22="","",'Marks Entry'!F22)</f>
        <v/>
      </c>
      <c r="F22" s="187" t="str">
        <f>IF('Marks Entry'!G22="","",'Marks Entry'!G22)</f>
        <v/>
      </c>
      <c r="G22" s="187" t="str">
        <f>IF('Marks Entry'!H22="","",'Marks Entry'!H22)</f>
        <v/>
      </c>
      <c r="H22" s="188" t="str">
        <f>IF('Marks Entry'!I22="","",'Marks Entry'!I22)</f>
        <v/>
      </c>
      <c r="I22" s="189" t="str">
        <f>IF('Marks Entry'!J22="","",'Marks Entry'!J22)</f>
        <v/>
      </c>
      <c r="J22" s="545">
        <f>IF('Marks Entry'!K22="","",'Marks Entry'!K22)</f>
        <v>20</v>
      </c>
      <c r="K22" s="545">
        <f>IF('Marks Entry'!L22="","",'Marks Entry'!L22)</f>
        <v>20</v>
      </c>
      <c r="L22" s="545">
        <f>IF('Marks Entry'!M22="","",'Marks Entry'!M22)</f>
        <v>8</v>
      </c>
      <c r="M22" s="546">
        <f t="shared" si="47"/>
        <v>48</v>
      </c>
      <c r="N22" s="545">
        <f>IF('Marks Entry'!N22="","",'Marks Entry'!N22)</f>
        <v>25</v>
      </c>
      <c r="O22" s="546">
        <f t="shared" si="48"/>
        <v>73</v>
      </c>
      <c r="P22" s="545">
        <f>IF('Marks Entry'!O22="","",'Marks Entry'!O22)</f>
        <v>50</v>
      </c>
      <c r="Q22" s="547">
        <f t="shared" si="49"/>
        <v>123</v>
      </c>
      <c r="R22" s="152">
        <f t="shared" si="50"/>
        <v>0</v>
      </c>
      <c r="S22" s="152">
        <f t="shared" si="51"/>
        <v>0</v>
      </c>
      <c r="T22" s="153">
        <f t="shared" si="52"/>
        <v>200</v>
      </c>
      <c r="U22" s="152" t="str">
        <f t="shared" si="53"/>
        <v/>
      </c>
      <c r="V22" s="152" t="str">
        <f t="shared" si="54"/>
        <v/>
      </c>
      <c r="W22" s="152" t="str">
        <f t="shared" si="55"/>
        <v/>
      </c>
      <c r="X22" s="545">
        <f>IF('Marks Entry'!P22="","",'Marks Entry'!P22)</f>
        <v>9</v>
      </c>
      <c r="Y22" s="545">
        <f>IF('Marks Entry'!Q22="","",'Marks Entry'!Q22)</f>
        <v>9</v>
      </c>
      <c r="Z22" s="545">
        <f>IF('Marks Entry'!R22="","",'Marks Entry'!R22)</f>
        <v>9</v>
      </c>
      <c r="AA22" s="546">
        <f t="shared" si="56"/>
        <v>27</v>
      </c>
      <c r="AB22" s="545">
        <f>IF('Marks Entry'!S22="","",'Marks Entry'!S22)</f>
        <v>20</v>
      </c>
      <c r="AC22" s="546">
        <f t="shared" si="57"/>
        <v>47</v>
      </c>
      <c r="AD22" s="545">
        <f>IF('Marks Entry'!T22="","",'Marks Entry'!T22)</f>
        <v>54</v>
      </c>
      <c r="AE22" s="547">
        <f t="shared" si="58"/>
        <v>101</v>
      </c>
      <c r="AF22" s="152">
        <f t="shared" si="59"/>
        <v>0</v>
      </c>
      <c r="AG22" s="152">
        <f t="shared" si="60"/>
        <v>0</v>
      </c>
      <c r="AH22" s="153">
        <f t="shared" si="61"/>
        <v>200</v>
      </c>
      <c r="AI22" s="152" t="str">
        <f t="shared" si="62"/>
        <v/>
      </c>
      <c r="AJ22" s="152" t="str">
        <f t="shared" si="63"/>
        <v/>
      </c>
      <c r="AK22" s="152" t="str">
        <f t="shared" si="64"/>
        <v/>
      </c>
      <c r="AL22" s="573" t="str">
        <f>IF('Marks Entry'!U22="","",'Marks Entry'!U22)</f>
        <v>A</v>
      </c>
      <c r="AM22" s="573">
        <f>IF('Marks Entry'!V22="","",'Marks Entry'!V22)</f>
        <v>10</v>
      </c>
      <c r="AN22" s="573">
        <f>IF('Marks Entry'!W22="","",'Marks Entry'!W22)</f>
        <v>7</v>
      </c>
      <c r="AO22" s="573">
        <f>IF('Marks Entry'!X22="","",'Marks Entry'!X22)</f>
        <v>7</v>
      </c>
      <c r="AP22" s="572">
        <f t="shared" si="65"/>
        <v>24</v>
      </c>
      <c r="AQ22" s="573">
        <f>IF('Marks Entry'!Y22="","",'Marks Entry'!Y22)</f>
        <v>65</v>
      </c>
      <c r="AR22" s="573" t="str">
        <f>IF('Marks Entry'!Z22="","",'Marks Entry'!Z22)</f>
        <v/>
      </c>
      <c r="AS22" s="572">
        <f t="shared" si="66"/>
        <v>65</v>
      </c>
      <c r="AT22" s="572">
        <f t="shared" si="67"/>
        <v>89</v>
      </c>
      <c r="AU22" s="573">
        <f>IF('Marks Entry'!AA22="","",'Marks Entry'!AA22)</f>
        <v>42</v>
      </c>
      <c r="AV22" s="573" t="str">
        <f>IF('Marks Entry'!AB22="","",'Marks Entry'!AB22)</f>
        <v/>
      </c>
      <c r="AW22" s="572">
        <f t="shared" si="68"/>
        <v>42</v>
      </c>
      <c r="AX22" s="156">
        <f t="shared" si="69"/>
        <v>131</v>
      </c>
      <c r="AY22" s="156" t="str">
        <f t="shared" si="70"/>
        <v/>
      </c>
      <c r="AZ22" s="191">
        <f t="shared" si="71"/>
        <v>131</v>
      </c>
      <c r="BA22" s="152">
        <f t="shared" si="72"/>
        <v>0</v>
      </c>
      <c r="BB22" s="153">
        <f t="shared" si="73"/>
        <v>0</v>
      </c>
      <c r="BC22" s="153">
        <f t="shared" si="74"/>
        <v>100</v>
      </c>
      <c r="BD22" s="153" t="str">
        <f t="shared" si="75"/>
        <v/>
      </c>
      <c r="BE22" s="153">
        <f t="shared" si="76"/>
        <v>200</v>
      </c>
      <c r="BF22" s="152" t="str">
        <f t="shared" si="77"/>
        <v/>
      </c>
      <c r="BG22" s="153" t="str">
        <f t="shared" si="175"/>
        <v>P</v>
      </c>
      <c r="BH22" s="152" t="str">
        <f t="shared" si="78"/>
        <v>I</v>
      </c>
      <c r="BI22" s="580" t="str">
        <f>IF('Marks Entry'!AC22="","",'Marks Entry'!AC22)</f>
        <v>A</v>
      </c>
      <c r="BJ22" s="580">
        <f>IF('Marks Entry'!AD22="","",'Marks Entry'!AD22)</f>
        <v>10</v>
      </c>
      <c r="BK22" s="580">
        <f>IF('Marks Entry'!AE22="","",'Marks Entry'!AE22)</f>
        <v>10</v>
      </c>
      <c r="BL22" s="580" t="str">
        <f>IF('Marks Entry'!AF22="","",'Marks Entry'!AF22)</f>
        <v/>
      </c>
      <c r="BM22" s="581">
        <f t="shared" si="79"/>
        <v>20</v>
      </c>
      <c r="BN22" s="580">
        <f>IF('Marks Entry'!AG22="","",'Marks Entry'!AG22)</f>
        <v>37</v>
      </c>
      <c r="BO22" s="580" t="str">
        <f>IF('Marks Entry'!AH22="","",'Marks Entry'!AH22)</f>
        <v/>
      </c>
      <c r="BP22" s="581">
        <f t="shared" si="80"/>
        <v>37</v>
      </c>
      <c r="BQ22" s="581">
        <f t="shared" si="81"/>
        <v>57</v>
      </c>
      <c r="BR22" s="580">
        <f>IF('Marks Entry'!AI22="","",'Marks Entry'!AI22)</f>
        <v>54</v>
      </c>
      <c r="BS22" s="580" t="str">
        <f>IF('Marks Entry'!AJ22="","",'Marks Entry'!AJ22)</f>
        <v/>
      </c>
      <c r="BT22" s="581">
        <f t="shared" si="82"/>
        <v>54</v>
      </c>
      <c r="BU22" s="156">
        <f t="shared" si="83"/>
        <v>111</v>
      </c>
      <c r="BV22" s="156" t="str">
        <f t="shared" si="84"/>
        <v/>
      </c>
      <c r="BW22" s="191">
        <f t="shared" si="85"/>
        <v>111</v>
      </c>
      <c r="BX22" s="152">
        <f t="shared" si="86"/>
        <v>0</v>
      </c>
      <c r="BY22" s="153">
        <f t="shared" si="87"/>
        <v>0</v>
      </c>
      <c r="BZ22" s="153">
        <f t="shared" si="88"/>
        <v>100</v>
      </c>
      <c r="CA22" s="153" t="str">
        <f t="shared" si="89"/>
        <v/>
      </c>
      <c r="CB22" s="153">
        <f t="shared" si="90"/>
        <v>200</v>
      </c>
      <c r="CC22" s="152" t="str">
        <f t="shared" si="91"/>
        <v/>
      </c>
      <c r="CD22" s="153" t="str">
        <f t="shared" si="92"/>
        <v>P</v>
      </c>
      <c r="CE22" s="152" t="str">
        <f t="shared" si="93"/>
        <v>II</v>
      </c>
      <c r="CF22" s="580" t="str">
        <f>IF('Marks Entry'!AK22="","",'Marks Entry'!AK22)</f>
        <v>A</v>
      </c>
      <c r="CG22" s="580">
        <f>IF('Marks Entry'!AL22="","",'Marks Entry'!AL22)</f>
        <v>9</v>
      </c>
      <c r="CH22" s="580">
        <f>IF('Marks Entry'!AM22="","",'Marks Entry'!AM22)</f>
        <v>9</v>
      </c>
      <c r="CI22" s="580">
        <f>IF('Marks Entry'!AN22="","",'Marks Entry'!AN22)</f>
        <v>8</v>
      </c>
      <c r="CJ22" s="581">
        <f t="shared" si="94"/>
        <v>26</v>
      </c>
      <c r="CK22" s="580">
        <f>IF('Marks Entry'!AO22="","",'Marks Entry'!AO22)</f>
        <v>28</v>
      </c>
      <c r="CL22" s="580">
        <f>IF('Marks Entry'!AP22="","",'Marks Entry'!AP22)</f>
        <v>14</v>
      </c>
      <c r="CM22" s="581">
        <f t="shared" si="95"/>
        <v>42</v>
      </c>
      <c r="CN22" s="581">
        <f t="shared" si="96"/>
        <v>68</v>
      </c>
      <c r="CO22" s="580">
        <f>IF('Marks Entry'!AQ22="","",'Marks Entry'!AQ22)</f>
        <v>35</v>
      </c>
      <c r="CP22" s="580">
        <f>IF('Marks Entry'!AR22="","",'Marks Entry'!AR22)</f>
        <v>30</v>
      </c>
      <c r="CQ22" s="581">
        <f t="shared" si="97"/>
        <v>65</v>
      </c>
      <c r="CR22" s="156">
        <f t="shared" si="98"/>
        <v>89</v>
      </c>
      <c r="CS22" s="156">
        <f t="shared" si="99"/>
        <v>44</v>
      </c>
      <c r="CT22" s="191">
        <f t="shared" si="100"/>
        <v>133</v>
      </c>
      <c r="CU22" s="152">
        <f t="shared" si="101"/>
        <v>0</v>
      </c>
      <c r="CV22" s="153">
        <f t="shared" si="102"/>
        <v>0</v>
      </c>
      <c r="CW22" s="153">
        <f t="shared" si="103"/>
        <v>70</v>
      </c>
      <c r="CX22" s="153">
        <f t="shared" si="104"/>
        <v>50</v>
      </c>
      <c r="CY22" s="153">
        <f t="shared" si="176"/>
        <v>150</v>
      </c>
      <c r="CZ22" s="152" t="str">
        <f t="shared" si="105"/>
        <v/>
      </c>
      <c r="DA22" s="153" t="str">
        <f t="shared" si="106"/>
        <v>P</v>
      </c>
      <c r="DB22" s="152" t="str">
        <f t="shared" si="107"/>
        <v>I</v>
      </c>
      <c r="DC22" s="153">
        <f t="shared" si="108"/>
        <v>0</v>
      </c>
      <c r="DD22" s="851" t="str">
        <f>IF('Marks Entry'!AS22="","",IF(OR('Master Sheet'!$D$19="YES",'Marks Entry'!$BA$1=1),'Marks Entry'!AS22,""))</f>
        <v/>
      </c>
      <c r="DE22" s="851" t="str">
        <f>IF('Marks Entry'!AT22="","",IF(OR('Master Sheet'!$D$19="YES",'Marks Entry'!$BA$1=1),'Marks Entry'!AT22,""))</f>
        <v/>
      </c>
      <c r="DF22" s="851" t="str">
        <f>IF('Marks Entry'!AU22="","",IF(OR('Master Sheet'!$D$19="YES",'Marks Entry'!$BA$1=1),'Marks Entry'!AU22,""))</f>
        <v/>
      </c>
      <c r="DG22" s="851" t="str">
        <f>IF('Marks Entry'!AV22="","",IF(OR('Master Sheet'!$D$19="YES",'Marks Entry'!$BA$1=1),'Marks Entry'!AV22,""))</f>
        <v/>
      </c>
      <c r="DH22" s="852" t="str">
        <f t="shared" si="109"/>
        <v/>
      </c>
      <c r="DI22" s="851" t="str">
        <f>IF('Marks Entry'!AW22="","",IF(OR('Master Sheet'!$D$19="YES",'Marks Entry'!$BA$1=1),'Marks Entry'!AW22,""))</f>
        <v/>
      </c>
      <c r="DJ22" s="851" t="str">
        <f>IF('Marks Entry'!AX22="","",IF(OR('Master Sheet'!$D$19="YES",'Marks Entry'!$BA$1=1),'Marks Entry'!AX22,""))</f>
        <v/>
      </c>
      <c r="DK22" s="852" t="str">
        <f t="shared" si="110"/>
        <v/>
      </c>
      <c r="DL22" s="852" t="str">
        <f t="shared" si="111"/>
        <v/>
      </c>
      <c r="DM22" s="851" t="str">
        <f>IF('Marks Entry'!AY22="","",IF(OR('Master Sheet'!$D$19="YES",'Marks Entry'!$BA$1=1),'Marks Entry'!AY22,""))</f>
        <v/>
      </c>
      <c r="DN22" s="851" t="str">
        <f>IF('Marks Entry'!AZ22="","",IF(OR('Master Sheet'!$D$19="YES",'Marks Entry'!$BA$1=1),'Marks Entry'!AZ22,""))</f>
        <v/>
      </c>
      <c r="DO22" s="851" t="str">
        <f>IF('Marks Entry'!BA22="","",IF(OR('Master Sheet'!$D$19="YES",'Marks Entry'!$BA$1=1),'Marks Entry'!BA22,""))</f>
        <v/>
      </c>
      <c r="DP22" s="852" t="str">
        <f t="shared" si="112"/>
        <v/>
      </c>
      <c r="DQ22" s="156" t="str">
        <f t="shared" si="113"/>
        <v/>
      </c>
      <c r="DR22" s="156" t="str">
        <f t="shared" si="114"/>
        <v/>
      </c>
      <c r="DS22" s="156" t="str">
        <f t="shared" si="115"/>
        <v/>
      </c>
      <c r="DT22" s="191" t="str">
        <f t="shared" si="116"/>
        <v/>
      </c>
      <c r="DU22" s="152">
        <f t="shared" si="117"/>
        <v>0</v>
      </c>
      <c r="DV22" s="153">
        <f t="shared" si="118"/>
        <v>0</v>
      </c>
      <c r="DW22" s="153" t="str">
        <f t="shared" si="119"/>
        <v/>
      </c>
      <c r="DX22" s="153" t="str">
        <f>IF(OR($B22="NSO",$B22=0,DS22=""),"",IF(AND(DJ22="",DO22=""),"",IF('Master Sheet'!$D$19="YES",$DO$6-COUNTIF(DO22,"ML")*DO$6,DS$6-(COUNTIF(DJ22,"ML")*DJ$6)-(COUNTIF(DO22,"ML")*DO$6))))</f>
        <v/>
      </c>
      <c r="DY22" s="153" t="str">
        <f>IF(OR($B22="NSO",$B22=0),"",IF(AND(DH22="",DI22="",DM22=""),"",IF(AND('Master Sheet'!$D$19="YES",'Marks Entry'!$BA$1=1),100,IF(AND(DJ22="",DO22=""),SUM(($DQ$7+$DR$7)-(DU22+DV22)),SUM(($DQ$6+$DR$6)-(DU22+DV22))))))</f>
        <v/>
      </c>
      <c r="DZ22" s="152" t="str">
        <f t="shared" si="120"/>
        <v/>
      </c>
      <c r="EA22" s="153" t="str">
        <f t="shared" si="121"/>
        <v/>
      </c>
      <c r="EB22" s="152" t="str">
        <f t="shared" si="122"/>
        <v/>
      </c>
      <c r="EC22" s="584">
        <f>IF('Marks Entry'!BB22="","",'Marks Entry'!BB22)</f>
        <v>24</v>
      </c>
      <c r="ED22" s="584">
        <f>IF('Marks Entry'!BC22="","",'Marks Entry'!BC22)</f>
        <v>25</v>
      </c>
      <c r="EE22" s="584">
        <f>IF('Marks Entry'!BD22="","",'Marks Entry'!BD22)</f>
        <v>32</v>
      </c>
      <c r="EF22" s="590">
        <f t="shared" si="123"/>
        <v>81</v>
      </c>
      <c r="EG22" s="595">
        <f t="shared" si="124"/>
        <v>0</v>
      </c>
      <c r="EH22" s="595">
        <f t="shared" si="125"/>
        <v>0</v>
      </c>
      <c r="EI22" s="192">
        <f t="shared" si="126"/>
        <v>100</v>
      </c>
      <c r="EJ22" s="595" t="str">
        <f t="shared" si="127"/>
        <v/>
      </c>
      <c r="EK22" s="595" t="str">
        <f t="shared" si="128"/>
        <v>A</v>
      </c>
      <c r="EL22" s="193" t="str">
        <f t="shared" si="129"/>
        <v/>
      </c>
      <c r="EM22" s="193" t="str">
        <f t="shared" si="130"/>
        <v/>
      </c>
      <c r="EN22" s="193" t="str">
        <f t="shared" si="131"/>
        <v>I</v>
      </c>
      <c r="EO22" s="193" t="str">
        <f t="shared" si="132"/>
        <v>II</v>
      </c>
      <c r="EP22" s="193" t="str">
        <f t="shared" si="133"/>
        <v>I</v>
      </c>
      <c r="EQ22" s="193" t="str">
        <f t="shared" si="134"/>
        <v/>
      </c>
      <c r="ER22" s="194">
        <f t="shared" si="135"/>
        <v>0</v>
      </c>
      <c r="ES22" s="194">
        <f t="shared" si="136"/>
        <v>0</v>
      </c>
      <c r="ET22" s="194">
        <f t="shared" si="137"/>
        <v>0</v>
      </c>
      <c r="EU22" s="194">
        <f t="shared" si="138"/>
        <v>0</v>
      </c>
      <c r="EV22" s="194">
        <f t="shared" si="139"/>
        <v>0</v>
      </c>
      <c r="EW22" s="194" t="str">
        <f t="shared" si="140"/>
        <v/>
      </c>
      <c r="EX22" s="195" t="str">
        <f t="shared" si="141"/>
        <v/>
      </c>
      <c r="EY22" s="196">
        <f>IF('Marks Entry'!BE22="","",'Marks Entry'!BE22)</f>
        <v>8</v>
      </c>
      <c r="EZ22" s="196">
        <f>IF('Marks Entry'!BF22="","",'Marks Entry'!BF22)</f>
        <v>8</v>
      </c>
      <c r="FA22" s="196">
        <f>IF('Marks Entry'!BG22="","",'Marks Entry'!BG22)</f>
        <v>8</v>
      </c>
      <c r="FB22" s="596">
        <f t="shared" si="142"/>
        <v>24</v>
      </c>
      <c r="FC22" s="196">
        <f>IF('Marks Entry'!BH22="","",'Marks Entry'!BH22)</f>
        <v>50</v>
      </c>
      <c r="FD22" s="196">
        <f>IF('Marks Entry'!BI22="","",'Marks Entry'!BI22)</f>
        <v>68</v>
      </c>
      <c r="FE22" s="197">
        <f t="shared" si="143"/>
        <v>142</v>
      </c>
      <c r="FF22" s="198" t="str">
        <f t="shared" si="144"/>
        <v>B</v>
      </c>
      <c r="FG22" s="199" t="str">
        <f>IF(AND(E22=""),"",IF('Student DATA Entry'!L18="","",'Student DATA Entry'!L18))</f>
        <v/>
      </c>
      <c r="FH22" s="200" t="str">
        <f>IF(AND(E22=""),"",IF('Student DATA Entry'!M18="","",'Student DATA Entry'!M18))</f>
        <v/>
      </c>
      <c r="FI22" s="201" t="str">
        <f t="shared" si="145"/>
        <v/>
      </c>
      <c r="FJ22" s="188" t="str">
        <f t="shared" si="146"/>
        <v/>
      </c>
      <c r="FK22" s="188" t="str">
        <f t="shared" si="147"/>
        <v/>
      </c>
      <c r="FL22" s="202" t="str">
        <f t="shared" si="19"/>
        <v/>
      </c>
      <c r="FM22" s="188" t="str">
        <f t="shared" si="148"/>
        <v/>
      </c>
      <c r="FN22" s="203" t="str">
        <f t="shared" si="149"/>
        <v/>
      </c>
      <c r="FO22" s="202" t="str">
        <f t="shared" si="20"/>
        <v/>
      </c>
      <c r="FP22" s="204" t="str">
        <f t="shared" si="150"/>
        <v>I</v>
      </c>
      <c r="FQ22" s="188" t="str">
        <f t="shared" si="21"/>
        <v>I</v>
      </c>
      <c r="FR22" s="188" t="str">
        <f t="shared" si="22"/>
        <v/>
      </c>
      <c r="FS22" s="188" t="str">
        <f t="shared" si="23"/>
        <v/>
      </c>
      <c r="FT22" s="188" t="str">
        <f t="shared" si="24"/>
        <v/>
      </c>
      <c r="FU22" s="188" t="str">
        <f t="shared" si="151"/>
        <v/>
      </c>
      <c r="FV22" s="205" t="str">
        <f t="shared" si="25"/>
        <v/>
      </c>
      <c r="FW22" s="204" t="str">
        <f t="shared" si="152"/>
        <v>II</v>
      </c>
      <c r="FX22" s="188" t="str">
        <f t="shared" si="26"/>
        <v>II</v>
      </c>
      <c r="FY22" s="188" t="str">
        <f t="shared" si="27"/>
        <v/>
      </c>
      <c r="FZ22" s="188" t="str">
        <f t="shared" si="28"/>
        <v/>
      </c>
      <c r="GA22" s="188" t="str">
        <f t="shared" si="29"/>
        <v/>
      </c>
      <c r="GB22" s="188" t="str">
        <f t="shared" si="153"/>
        <v/>
      </c>
      <c r="GC22" s="205" t="str">
        <f t="shared" si="30"/>
        <v/>
      </c>
      <c r="GD22" s="204" t="str">
        <f t="shared" si="154"/>
        <v>I</v>
      </c>
      <c r="GE22" s="188" t="str">
        <f t="shared" si="31"/>
        <v>I</v>
      </c>
      <c r="GF22" s="188" t="str">
        <f t="shared" si="32"/>
        <v/>
      </c>
      <c r="GG22" s="188" t="str">
        <f t="shared" si="33"/>
        <v/>
      </c>
      <c r="GH22" s="188" t="str">
        <f t="shared" si="34"/>
        <v/>
      </c>
      <c r="GI22" s="188" t="str">
        <f t="shared" si="155"/>
        <v/>
      </c>
      <c r="GJ22" s="205" t="str">
        <f t="shared" si="35"/>
        <v/>
      </c>
      <c r="GK22" s="204" t="str">
        <f t="shared" si="156"/>
        <v/>
      </c>
      <c r="GL22" s="188" t="str">
        <f t="shared" si="36"/>
        <v/>
      </c>
      <c r="GM22" s="188" t="str">
        <f t="shared" si="37"/>
        <v/>
      </c>
      <c r="GN22" s="188" t="str">
        <f t="shared" si="38"/>
        <v/>
      </c>
      <c r="GO22" s="188" t="str">
        <f t="shared" si="39"/>
        <v/>
      </c>
      <c r="GP22" s="188" t="str">
        <f t="shared" si="157"/>
        <v/>
      </c>
      <c r="GQ22" s="205" t="str">
        <f t="shared" si="40"/>
        <v/>
      </c>
      <c r="GR22" s="188" t="str">
        <f t="shared" si="158"/>
        <v>A</v>
      </c>
      <c r="GS22" s="188" t="str">
        <f t="shared" si="159"/>
        <v>B</v>
      </c>
      <c r="GT22" s="206" t="str">
        <f t="shared" si="177"/>
        <v xml:space="preserve">    </v>
      </c>
      <c r="GU22" s="206" t="str">
        <f t="shared" si="160"/>
        <v xml:space="preserve">    </v>
      </c>
      <c r="GV22" s="206" t="str">
        <f t="shared" si="161"/>
        <v xml:space="preserve">    </v>
      </c>
      <c r="GW22" s="206" t="str">
        <f t="shared" si="162"/>
        <v xml:space="preserve">       </v>
      </c>
      <c r="GX22" s="598" t="str">
        <f t="shared" si="163"/>
        <v xml:space="preserve">     </v>
      </c>
      <c r="GY22" s="207" t="str">
        <f t="shared" si="164"/>
        <v/>
      </c>
      <c r="GZ22" s="606">
        <f>IF(AND(Q22="",AE22="",AZ22="",BW22="",CT22=""),"",IF(AND('Master Sheet'!$D$19="YES",'Marks Entry'!$BA$1=1),SUM(Q22,AE22,AZ22,BW22,DT22),SUM(Q22,AE22,AZ22,BW22,CT22)))</f>
        <v>599</v>
      </c>
      <c r="HA22" s="208">
        <f>IF(GZ22="","",IF(AND('Master Sheet'!$D$19="YES",'Marks Entry'!$BA$1=1),GZ22/((900)-DC22)*100,GZ22/((1000)-DC22)*100))</f>
        <v>59.9</v>
      </c>
      <c r="HB22" s="611" t="str">
        <f t="shared" si="165"/>
        <v/>
      </c>
      <c r="HC22" s="609" t="str">
        <f t="shared" si="166"/>
        <v/>
      </c>
      <c r="HD22" s="610" t="str">
        <f t="shared" si="167"/>
        <v/>
      </c>
      <c r="HE22" s="209" t="str">
        <f>IFERROR(IF(OR(GY22="SUPPLEMENTARY",GY22="RE-EXAM"),'Supp. Result Entry'!AS21,""),"")</f>
        <v/>
      </c>
      <c r="HF22" s="613" t="str">
        <f t="shared" si="168"/>
        <v/>
      </c>
      <c r="HG22" s="598" t="str">
        <f t="shared" si="169"/>
        <v/>
      </c>
      <c r="HH22" s="598" t="str">
        <f>IF(AND(HE22="",HF22="",HG22=""),"",IF(OR(GY22="SUPPLEMENTARY",GY22="RE-EXAM"),'Supp. Result Entry'!AS21,GY22))</f>
        <v/>
      </c>
      <c r="HI22" s="179"/>
      <c r="HY22" s="211" t="str">
        <f>IF('Supp. Result Entry'!U21="","",'Supp. Result Entry'!$U$6)</f>
        <v/>
      </c>
      <c r="HZ22" s="212" t="str">
        <f>IF('Supp. Result Entry'!X21="","",'Supp. Result Entry'!$X$6)</f>
        <v/>
      </c>
      <c r="IA22" s="212" t="str">
        <f>IF('Supp. Result Entry'!AA21="","",'Supp. Result Entry'!$AA$6)</f>
        <v/>
      </c>
      <c r="IB22" s="212" t="str">
        <f>IF('Supp. Result Entry'!AD21="","",'Supp. Result Entry'!$AD$6)</f>
        <v/>
      </c>
      <c r="IC22" s="212" t="str">
        <f>IF('Supp. Result Entry'!AG21="","",'Supp. Result Entry'!$AG$6)</f>
        <v/>
      </c>
      <c r="ID22" s="212" t="str">
        <f>IF('Supp. Result Entry'!AJ21="","",'Supp. Result Entry'!$AJ$6)</f>
        <v/>
      </c>
      <c r="IE22" s="212" t="str">
        <f>IF('Supp. Result Entry'!V21="","",'Supp. Result Entry'!V21)</f>
        <v/>
      </c>
      <c r="IF22" s="212" t="str">
        <f>IF('Supp. Result Entry'!Y21="","",'Supp. Result Entry'!Y21)</f>
        <v/>
      </c>
      <c r="IG22" s="212" t="str">
        <f>IF('Supp. Result Entry'!AB21="","",'Supp. Result Entry'!AB21)</f>
        <v/>
      </c>
      <c r="IH22" s="212" t="str">
        <f>IF('Supp. Result Entry'!AE21="","",'Supp. Result Entry'!AE21)</f>
        <v/>
      </c>
      <c r="II22" s="212" t="str">
        <f>IF('Supp. Result Entry'!AH21="","",'Supp. Result Entry'!AH21)</f>
        <v/>
      </c>
      <c r="IJ22" s="212" t="str">
        <f>IF('Supp. Result Entry'!AK21="","",'Supp. Result Entry'!AK21)</f>
        <v/>
      </c>
      <c r="IK22" s="212" t="str">
        <f>IF('Supp. Result Entry'!W21="","",'Supp. Result Entry'!W21)</f>
        <v/>
      </c>
      <c r="IL22" s="212" t="str">
        <f>IF('Supp. Result Entry'!Z21="","",'Supp. Result Entry'!Z21)</f>
        <v/>
      </c>
      <c r="IM22" s="212" t="str">
        <f>IF('Supp. Result Entry'!AC21="","",'Supp. Result Entry'!AC21)</f>
        <v/>
      </c>
      <c r="IN22" s="212" t="str">
        <f>IF('Supp. Result Entry'!AF21="","",'Supp. Result Entry'!AF21)</f>
        <v/>
      </c>
      <c r="IO22" s="212" t="str">
        <f>IF('Supp. Result Entry'!AI21="","",'Supp. Result Entry'!AI21)</f>
        <v/>
      </c>
      <c r="IP22" s="212" t="str">
        <f>IF('Supp. Result Entry'!AL21="","",'Supp. Result Entry'!AL21)</f>
        <v/>
      </c>
      <c r="IQ22" s="212">
        <f>COUNTIF('Supp. Result Entry'!K21:Q21,"S")</f>
        <v>0</v>
      </c>
      <c r="IR22" s="212">
        <f t="shared" si="170"/>
        <v>0</v>
      </c>
      <c r="IS22" s="212">
        <f t="shared" si="171"/>
        <v>0</v>
      </c>
      <c r="IT22" s="212" t="str">
        <f t="shared" si="41"/>
        <v/>
      </c>
      <c r="IU22" s="212" t="str">
        <f t="shared" si="42"/>
        <v/>
      </c>
      <c r="IV22" s="212" t="str">
        <f t="shared" si="43"/>
        <v/>
      </c>
      <c r="IW22" s="212" t="str">
        <f t="shared" si="44"/>
        <v/>
      </c>
      <c r="IX22" s="212" t="str">
        <f t="shared" si="45"/>
        <v/>
      </c>
      <c r="IY22" s="212" t="str">
        <f t="shared" si="172"/>
        <v/>
      </c>
      <c r="IZ22" s="212" t="str">
        <f t="shared" si="173"/>
        <v/>
      </c>
      <c r="JA22" s="212" t="str">
        <f t="shared" si="46"/>
        <v/>
      </c>
      <c r="JB22" s="210" t="str">
        <f t="shared" si="174"/>
        <v/>
      </c>
    </row>
    <row r="23" spans="1:262" s="210" customFormat="1" ht="21" customHeight="1">
      <c r="A23" s="183">
        <v>16</v>
      </c>
      <c r="B23" s="184" t="str">
        <f>IF('Marks Entry'!B23="","",'Marks Entry'!B23)</f>
        <v/>
      </c>
      <c r="C23" s="185" t="str">
        <f>IF('Marks Entry'!D23="","",'Marks Entry'!D23)</f>
        <v/>
      </c>
      <c r="D23" s="186" t="str">
        <f>IF('Marks Entry'!E23="","",'Marks Entry'!E23)</f>
        <v/>
      </c>
      <c r="E23" s="187" t="str">
        <f>IF('Marks Entry'!F23="","",'Marks Entry'!F23)</f>
        <v/>
      </c>
      <c r="F23" s="187" t="str">
        <f>IF('Marks Entry'!G23="","",'Marks Entry'!G23)</f>
        <v/>
      </c>
      <c r="G23" s="187" t="str">
        <f>IF('Marks Entry'!H23="","",'Marks Entry'!H23)</f>
        <v/>
      </c>
      <c r="H23" s="188" t="str">
        <f>IF('Marks Entry'!I23="","",'Marks Entry'!I23)</f>
        <v/>
      </c>
      <c r="I23" s="189" t="str">
        <f>IF('Marks Entry'!J23="","",'Marks Entry'!J23)</f>
        <v/>
      </c>
      <c r="J23" s="545">
        <f>IF('Marks Entry'!K23="","",'Marks Entry'!K23)</f>
        <v>10</v>
      </c>
      <c r="K23" s="545">
        <f>IF('Marks Entry'!L23="","",'Marks Entry'!L23)</f>
        <v>9</v>
      </c>
      <c r="L23" s="545">
        <f>IF('Marks Entry'!M23="","",'Marks Entry'!M23)</f>
        <v>8</v>
      </c>
      <c r="M23" s="546">
        <f t="shared" si="47"/>
        <v>27</v>
      </c>
      <c r="N23" s="545">
        <f>IF('Marks Entry'!N23="","",'Marks Entry'!N23)</f>
        <v>26</v>
      </c>
      <c r="O23" s="546">
        <f t="shared" si="48"/>
        <v>53</v>
      </c>
      <c r="P23" s="545">
        <f>IF('Marks Entry'!O23="","",'Marks Entry'!O23)</f>
        <v>54</v>
      </c>
      <c r="Q23" s="547">
        <f t="shared" si="49"/>
        <v>107</v>
      </c>
      <c r="R23" s="152">
        <f t="shared" si="50"/>
        <v>0</v>
      </c>
      <c r="S23" s="152">
        <f t="shared" si="51"/>
        <v>0</v>
      </c>
      <c r="T23" s="153">
        <f t="shared" si="52"/>
        <v>200</v>
      </c>
      <c r="U23" s="152" t="str">
        <f t="shared" si="53"/>
        <v/>
      </c>
      <c r="V23" s="152" t="str">
        <f t="shared" si="54"/>
        <v/>
      </c>
      <c r="W23" s="152" t="str">
        <f t="shared" si="55"/>
        <v/>
      </c>
      <c r="X23" s="545">
        <f>IF('Marks Entry'!P23="","",'Marks Entry'!P23)</f>
        <v>8</v>
      </c>
      <c r="Y23" s="545">
        <f>IF('Marks Entry'!Q23="","",'Marks Entry'!Q23)</f>
        <v>10</v>
      </c>
      <c r="Z23" s="545">
        <f>IF('Marks Entry'!R23="","",'Marks Entry'!R23)</f>
        <v>9</v>
      </c>
      <c r="AA23" s="546">
        <f t="shared" si="56"/>
        <v>27</v>
      </c>
      <c r="AB23" s="545">
        <f>IF('Marks Entry'!S23="","",'Marks Entry'!S23)</f>
        <v>15</v>
      </c>
      <c r="AC23" s="546">
        <f t="shared" si="57"/>
        <v>42</v>
      </c>
      <c r="AD23" s="545">
        <f>IF('Marks Entry'!T23="","",'Marks Entry'!T23)</f>
        <v>65</v>
      </c>
      <c r="AE23" s="547">
        <f t="shared" si="58"/>
        <v>107</v>
      </c>
      <c r="AF23" s="152">
        <f t="shared" si="59"/>
        <v>0</v>
      </c>
      <c r="AG23" s="152">
        <f t="shared" si="60"/>
        <v>0</v>
      </c>
      <c r="AH23" s="153">
        <f t="shared" si="61"/>
        <v>200</v>
      </c>
      <c r="AI23" s="152" t="str">
        <f t="shared" si="62"/>
        <v/>
      </c>
      <c r="AJ23" s="152" t="str">
        <f t="shared" si="63"/>
        <v/>
      </c>
      <c r="AK23" s="152" t="str">
        <f t="shared" si="64"/>
        <v/>
      </c>
      <c r="AL23" s="573" t="str">
        <f>IF('Marks Entry'!U23="","",'Marks Entry'!U23)</f>
        <v>B</v>
      </c>
      <c r="AM23" s="573">
        <f>IF('Marks Entry'!V23="","",'Marks Entry'!V23)</f>
        <v>7</v>
      </c>
      <c r="AN23" s="573">
        <f>IF('Marks Entry'!W23="","",'Marks Entry'!W23)</f>
        <v>8</v>
      </c>
      <c r="AO23" s="573">
        <f>IF('Marks Entry'!X23="","",'Marks Entry'!X23)</f>
        <v>7</v>
      </c>
      <c r="AP23" s="572">
        <f t="shared" si="65"/>
        <v>22</v>
      </c>
      <c r="AQ23" s="573">
        <f>IF('Marks Entry'!Y23="","",'Marks Entry'!Y23)</f>
        <v>30</v>
      </c>
      <c r="AR23" s="573">
        <f>IF('Marks Entry'!Z23="","",'Marks Entry'!Z23)</f>
        <v>10</v>
      </c>
      <c r="AS23" s="572">
        <f t="shared" si="66"/>
        <v>40</v>
      </c>
      <c r="AT23" s="572">
        <f t="shared" si="67"/>
        <v>62</v>
      </c>
      <c r="AU23" s="573">
        <f>IF('Marks Entry'!AA23="","",'Marks Entry'!AA23)</f>
        <v>25</v>
      </c>
      <c r="AV23" s="573">
        <f>IF('Marks Entry'!AB23="","",'Marks Entry'!AB23)</f>
        <v>29</v>
      </c>
      <c r="AW23" s="572">
        <f t="shared" si="68"/>
        <v>54</v>
      </c>
      <c r="AX23" s="156">
        <f t="shared" si="69"/>
        <v>77</v>
      </c>
      <c r="AY23" s="156">
        <f t="shared" si="70"/>
        <v>39</v>
      </c>
      <c r="AZ23" s="191">
        <f t="shared" si="71"/>
        <v>116</v>
      </c>
      <c r="BA23" s="152">
        <f t="shared" si="72"/>
        <v>0</v>
      </c>
      <c r="BB23" s="153">
        <f t="shared" si="73"/>
        <v>0</v>
      </c>
      <c r="BC23" s="153">
        <f t="shared" si="74"/>
        <v>70</v>
      </c>
      <c r="BD23" s="153">
        <f t="shared" si="75"/>
        <v>50</v>
      </c>
      <c r="BE23" s="153">
        <f t="shared" si="76"/>
        <v>150</v>
      </c>
      <c r="BF23" s="152" t="str">
        <f t="shared" si="77"/>
        <v/>
      </c>
      <c r="BG23" s="153" t="str">
        <f t="shared" si="175"/>
        <v>P</v>
      </c>
      <c r="BH23" s="152" t="str">
        <f t="shared" si="78"/>
        <v>II</v>
      </c>
      <c r="BI23" s="580" t="str">
        <f>IF('Marks Entry'!AC23="","",'Marks Entry'!AC23)</f>
        <v>A</v>
      </c>
      <c r="BJ23" s="580">
        <f>IF('Marks Entry'!AD23="","",'Marks Entry'!AD23)</f>
        <v>11</v>
      </c>
      <c r="BK23" s="580">
        <f>IF('Marks Entry'!AE23="","",'Marks Entry'!AE23)</f>
        <v>12</v>
      </c>
      <c r="BL23" s="580" t="str">
        <f>IF('Marks Entry'!AF23="","",'Marks Entry'!AF23)</f>
        <v/>
      </c>
      <c r="BM23" s="581">
        <f t="shared" si="79"/>
        <v>23</v>
      </c>
      <c r="BN23" s="580">
        <f>IF('Marks Entry'!AG23="","",'Marks Entry'!AG23)</f>
        <v>45</v>
      </c>
      <c r="BO23" s="580" t="str">
        <f>IF('Marks Entry'!AH23="","",'Marks Entry'!AH23)</f>
        <v/>
      </c>
      <c r="BP23" s="581">
        <f t="shared" si="80"/>
        <v>45</v>
      </c>
      <c r="BQ23" s="581">
        <f t="shared" si="81"/>
        <v>68</v>
      </c>
      <c r="BR23" s="580">
        <f>IF('Marks Entry'!AI23="","",'Marks Entry'!AI23)</f>
        <v>45</v>
      </c>
      <c r="BS23" s="580" t="str">
        <f>IF('Marks Entry'!AJ23="","",'Marks Entry'!AJ23)</f>
        <v/>
      </c>
      <c r="BT23" s="581">
        <f t="shared" si="82"/>
        <v>45</v>
      </c>
      <c r="BU23" s="156">
        <f t="shared" si="83"/>
        <v>113</v>
      </c>
      <c r="BV23" s="156" t="str">
        <f t="shared" si="84"/>
        <v/>
      </c>
      <c r="BW23" s="191">
        <f t="shared" si="85"/>
        <v>113</v>
      </c>
      <c r="BX23" s="152">
        <f t="shared" si="86"/>
        <v>0</v>
      </c>
      <c r="BY23" s="153">
        <f t="shared" si="87"/>
        <v>0</v>
      </c>
      <c r="BZ23" s="153">
        <f t="shared" si="88"/>
        <v>100</v>
      </c>
      <c r="CA23" s="153" t="str">
        <f t="shared" si="89"/>
        <v/>
      </c>
      <c r="CB23" s="153">
        <f t="shared" si="90"/>
        <v>200</v>
      </c>
      <c r="CC23" s="152" t="str">
        <f t="shared" si="91"/>
        <v/>
      </c>
      <c r="CD23" s="153" t="str">
        <f t="shared" si="92"/>
        <v>P</v>
      </c>
      <c r="CE23" s="152" t="str">
        <f t="shared" si="93"/>
        <v>II</v>
      </c>
      <c r="CF23" s="580" t="str">
        <f>IF('Marks Entry'!AK23="","",'Marks Entry'!AK23)</f>
        <v>A</v>
      </c>
      <c r="CG23" s="580">
        <f>IF('Marks Entry'!AL23="","",'Marks Entry'!AL23)</f>
        <v>10</v>
      </c>
      <c r="CH23" s="580">
        <f>IF('Marks Entry'!AM23="","",'Marks Entry'!AM23)</f>
        <v>8</v>
      </c>
      <c r="CI23" s="580">
        <f>IF('Marks Entry'!AN23="","",'Marks Entry'!AN23)</f>
        <v>9</v>
      </c>
      <c r="CJ23" s="581">
        <f t="shared" si="94"/>
        <v>27</v>
      </c>
      <c r="CK23" s="580">
        <f>IF('Marks Entry'!AO23="","",'Marks Entry'!AO23)</f>
        <v>31</v>
      </c>
      <c r="CL23" s="580">
        <f>IF('Marks Entry'!AP23="","",'Marks Entry'!AP23)</f>
        <v>12</v>
      </c>
      <c r="CM23" s="581">
        <f t="shared" si="95"/>
        <v>43</v>
      </c>
      <c r="CN23" s="581">
        <f t="shared" si="96"/>
        <v>70</v>
      </c>
      <c r="CO23" s="580">
        <f>IF('Marks Entry'!AQ23="","",'Marks Entry'!AQ23)</f>
        <v>40</v>
      </c>
      <c r="CP23" s="580">
        <f>IF('Marks Entry'!AR23="","",'Marks Entry'!AR23)</f>
        <v>25</v>
      </c>
      <c r="CQ23" s="581">
        <f t="shared" si="97"/>
        <v>65</v>
      </c>
      <c r="CR23" s="156">
        <f t="shared" si="98"/>
        <v>98</v>
      </c>
      <c r="CS23" s="156">
        <f t="shared" si="99"/>
        <v>37</v>
      </c>
      <c r="CT23" s="191">
        <f t="shared" si="100"/>
        <v>135</v>
      </c>
      <c r="CU23" s="152">
        <f t="shared" si="101"/>
        <v>0</v>
      </c>
      <c r="CV23" s="153">
        <f t="shared" si="102"/>
        <v>0</v>
      </c>
      <c r="CW23" s="153">
        <f t="shared" si="103"/>
        <v>70</v>
      </c>
      <c r="CX23" s="153">
        <f t="shared" si="104"/>
        <v>50</v>
      </c>
      <c r="CY23" s="153">
        <f t="shared" si="176"/>
        <v>150</v>
      </c>
      <c r="CZ23" s="152" t="str">
        <f t="shared" si="105"/>
        <v/>
      </c>
      <c r="DA23" s="153" t="str">
        <f t="shared" si="106"/>
        <v>P</v>
      </c>
      <c r="DB23" s="152" t="str">
        <f t="shared" si="107"/>
        <v>I</v>
      </c>
      <c r="DC23" s="153">
        <f t="shared" si="108"/>
        <v>0</v>
      </c>
      <c r="DD23" s="851" t="str">
        <f>IF('Marks Entry'!AS23="","",IF(OR('Master Sheet'!$D$19="YES",'Marks Entry'!$BA$1=1),'Marks Entry'!AS23,""))</f>
        <v/>
      </c>
      <c r="DE23" s="851" t="str">
        <f>IF('Marks Entry'!AT23="","",IF(OR('Master Sheet'!$D$19="YES",'Marks Entry'!$BA$1=1),'Marks Entry'!AT23,""))</f>
        <v/>
      </c>
      <c r="DF23" s="851" t="str">
        <f>IF('Marks Entry'!AU23="","",IF(OR('Master Sheet'!$D$19="YES",'Marks Entry'!$BA$1=1),'Marks Entry'!AU23,""))</f>
        <v/>
      </c>
      <c r="DG23" s="851" t="str">
        <f>IF('Marks Entry'!AV23="","",IF(OR('Master Sheet'!$D$19="YES",'Marks Entry'!$BA$1=1),'Marks Entry'!AV23,""))</f>
        <v/>
      </c>
      <c r="DH23" s="852" t="str">
        <f t="shared" si="109"/>
        <v/>
      </c>
      <c r="DI23" s="851" t="str">
        <f>IF('Marks Entry'!AW23="","",IF(OR('Master Sheet'!$D$19="YES",'Marks Entry'!$BA$1=1),'Marks Entry'!AW23,""))</f>
        <v/>
      </c>
      <c r="DJ23" s="851" t="str">
        <f>IF('Marks Entry'!AX23="","",IF(OR('Master Sheet'!$D$19="YES",'Marks Entry'!$BA$1=1),'Marks Entry'!AX23,""))</f>
        <v/>
      </c>
      <c r="DK23" s="852" t="str">
        <f t="shared" si="110"/>
        <v/>
      </c>
      <c r="DL23" s="852" t="str">
        <f t="shared" si="111"/>
        <v/>
      </c>
      <c r="DM23" s="851" t="str">
        <f>IF('Marks Entry'!AY23="","",IF(OR('Master Sheet'!$D$19="YES",'Marks Entry'!$BA$1=1),'Marks Entry'!AY23,""))</f>
        <v/>
      </c>
      <c r="DN23" s="851" t="str">
        <f>IF('Marks Entry'!AZ23="","",IF(OR('Master Sheet'!$D$19="YES",'Marks Entry'!$BA$1=1),'Marks Entry'!AZ23,""))</f>
        <v/>
      </c>
      <c r="DO23" s="851" t="str">
        <f>IF('Marks Entry'!BA23="","",IF(OR('Master Sheet'!$D$19="YES",'Marks Entry'!$BA$1=1),'Marks Entry'!BA23,""))</f>
        <v/>
      </c>
      <c r="DP23" s="852" t="str">
        <f t="shared" si="112"/>
        <v/>
      </c>
      <c r="DQ23" s="156" t="str">
        <f t="shared" si="113"/>
        <v/>
      </c>
      <c r="DR23" s="156" t="str">
        <f t="shared" si="114"/>
        <v/>
      </c>
      <c r="DS23" s="156" t="str">
        <f t="shared" si="115"/>
        <v/>
      </c>
      <c r="DT23" s="191" t="str">
        <f t="shared" si="116"/>
        <v/>
      </c>
      <c r="DU23" s="152">
        <f t="shared" si="117"/>
        <v>0</v>
      </c>
      <c r="DV23" s="153">
        <f t="shared" si="118"/>
        <v>0</v>
      </c>
      <c r="DW23" s="153" t="str">
        <f t="shared" si="119"/>
        <v/>
      </c>
      <c r="DX23" s="153" t="str">
        <f>IF(OR($B23="NSO",$B23=0,DS23=""),"",IF(AND(DJ23="",DO23=""),"",IF('Master Sheet'!$D$19="YES",$DO$6-COUNTIF(DO23,"ML")*DO$6,DS$6-(COUNTIF(DJ23,"ML")*DJ$6)-(COUNTIF(DO23,"ML")*DO$6))))</f>
        <v/>
      </c>
      <c r="DY23" s="153" t="str">
        <f>IF(OR($B23="NSO",$B23=0),"",IF(AND(DH23="",DI23="",DM23=""),"",IF(AND('Master Sheet'!$D$19="YES",'Marks Entry'!$BA$1=1),100,IF(AND(DJ23="",DO23=""),SUM(($DQ$7+$DR$7)-(DU23+DV23)),SUM(($DQ$6+$DR$6)-(DU23+DV23))))))</f>
        <v/>
      </c>
      <c r="DZ23" s="152" t="str">
        <f t="shared" si="120"/>
        <v/>
      </c>
      <c r="EA23" s="153" t="str">
        <f t="shared" si="121"/>
        <v/>
      </c>
      <c r="EB23" s="152" t="str">
        <f t="shared" si="122"/>
        <v/>
      </c>
      <c r="EC23" s="584">
        <f>IF('Marks Entry'!BB23="","",'Marks Entry'!BB23)</f>
        <v>24</v>
      </c>
      <c r="ED23" s="584">
        <f>IF('Marks Entry'!BC23="","",'Marks Entry'!BC23)</f>
        <v>25</v>
      </c>
      <c r="EE23" s="584">
        <f>IF('Marks Entry'!BD23="","",'Marks Entry'!BD23)</f>
        <v>32</v>
      </c>
      <c r="EF23" s="590">
        <f t="shared" si="123"/>
        <v>81</v>
      </c>
      <c r="EG23" s="595">
        <f t="shared" si="124"/>
        <v>0</v>
      </c>
      <c r="EH23" s="595">
        <f t="shared" si="125"/>
        <v>0</v>
      </c>
      <c r="EI23" s="192">
        <f t="shared" si="126"/>
        <v>100</v>
      </c>
      <c r="EJ23" s="595" t="str">
        <f t="shared" si="127"/>
        <v/>
      </c>
      <c r="EK23" s="595" t="str">
        <f t="shared" si="128"/>
        <v>A</v>
      </c>
      <c r="EL23" s="193" t="str">
        <f t="shared" si="129"/>
        <v/>
      </c>
      <c r="EM23" s="193" t="str">
        <f t="shared" si="130"/>
        <v/>
      </c>
      <c r="EN23" s="193" t="str">
        <f t="shared" si="131"/>
        <v>II</v>
      </c>
      <c r="EO23" s="193" t="str">
        <f t="shared" si="132"/>
        <v>II</v>
      </c>
      <c r="EP23" s="193" t="str">
        <f t="shared" si="133"/>
        <v>I</v>
      </c>
      <c r="EQ23" s="193" t="str">
        <f t="shared" si="134"/>
        <v/>
      </c>
      <c r="ER23" s="194">
        <f t="shared" si="135"/>
        <v>0</v>
      </c>
      <c r="ES23" s="194">
        <f t="shared" si="136"/>
        <v>0</v>
      </c>
      <c r="ET23" s="194">
        <f t="shared" si="137"/>
        <v>0</v>
      </c>
      <c r="EU23" s="194">
        <f t="shared" si="138"/>
        <v>0</v>
      </c>
      <c r="EV23" s="194">
        <f t="shared" si="139"/>
        <v>0</v>
      </c>
      <c r="EW23" s="194" t="str">
        <f t="shared" si="140"/>
        <v/>
      </c>
      <c r="EX23" s="195" t="str">
        <f t="shared" si="141"/>
        <v/>
      </c>
      <c r="EY23" s="196">
        <f>IF('Marks Entry'!BE23="","",'Marks Entry'!BE23)</f>
        <v>8</v>
      </c>
      <c r="EZ23" s="196">
        <f>IF('Marks Entry'!BF23="","",'Marks Entry'!BF23)</f>
        <v>8</v>
      </c>
      <c r="FA23" s="196">
        <f>IF('Marks Entry'!BG23="","",'Marks Entry'!BG23)</f>
        <v>8</v>
      </c>
      <c r="FB23" s="596">
        <f t="shared" si="142"/>
        <v>24</v>
      </c>
      <c r="FC23" s="196">
        <f>IF('Marks Entry'!BH23="","",'Marks Entry'!BH23)</f>
        <v>50</v>
      </c>
      <c r="FD23" s="196">
        <f>IF('Marks Entry'!BI23="","",'Marks Entry'!BI23)</f>
        <v>68</v>
      </c>
      <c r="FE23" s="197">
        <f t="shared" si="143"/>
        <v>142</v>
      </c>
      <c r="FF23" s="198" t="str">
        <f t="shared" si="144"/>
        <v>B</v>
      </c>
      <c r="FG23" s="199" t="str">
        <f>IF(AND(E23=""),"",IF('Student DATA Entry'!L19="","",'Student DATA Entry'!L19))</f>
        <v/>
      </c>
      <c r="FH23" s="200" t="str">
        <f>IF(AND(E23=""),"",IF('Student DATA Entry'!M19="","",'Student DATA Entry'!M19))</f>
        <v/>
      </c>
      <c r="FI23" s="201" t="str">
        <f t="shared" si="145"/>
        <v/>
      </c>
      <c r="FJ23" s="188" t="str">
        <f t="shared" si="146"/>
        <v/>
      </c>
      <c r="FK23" s="188" t="str">
        <f t="shared" si="147"/>
        <v/>
      </c>
      <c r="FL23" s="202" t="str">
        <f t="shared" si="19"/>
        <v/>
      </c>
      <c r="FM23" s="188" t="str">
        <f t="shared" si="148"/>
        <v/>
      </c>
      <c r="FN23" s="203" t="str">
        <f t="shared" si="149"/>
        <v/>
      </c>
      <c r="FO23" s="202" t="str">
        <f t="shared" si="20"/>
        <v/>
      </c>
      <c r="FP23" s="204" t="str">
        <f t="shared" si="150"/>
        <v>II</v>
      </c>
      <c r="FQ23" s="188" t="str">
        <f t="shared" si="21"/>
        <v/>
      </c>
      <c r="FR23" s="188" t="str">
        <f t="shared" si="22"/>
        <v>II</v>
      </c>
      <c r="FS23" s="188" t="str">
        <f t="shared" si="23"/>
        <v/>
      </c>
      <c r="FT23" s="188" t="str">
        <f t="shared" si="24"/>
        <v/>
      </c>
      <c r="FU23" s="188" t="str">
        <f t="shared" si="151"/>
        <v/>
      </c>
      <c r="FV23" s="205" t="str">
        <f t="shared" si="25"/>
        <v/>
      </c>
      <c r="FW23" s="204" t="str">
        <f t="shared" si="152"/>
        <v>II</v>
      </c>
      <c r="FX23" s="188" t="str">
        <f t="shared" si="26"/>
        <v>II</v>
      </c>
      <c r="FY23" s="188" t="str">
        <f t="shared" si="27"/>
        <v/>
      </c>
      <c r="FZ23" s="188" t="str">
        <f t="shared" si="28"/>
        <v/>
      </c>
      <c r="GA23" s="188" t="str">
        <f t="shared" si="29"/>
        <v/>
      </c>
      <c r="GB23" s="188" t="str">
        <f t="shared" si="153"/>
        <v/>
      </c>
      <c r="GC23" s="205" t="str">
        <f t="shared" si="30"/>
        <v/>
      </c>
      <c r="GD23" s="204" t="str">
        <f t="shared" si="154"/>
        <v>I</v>
      </c>
      <c r="GE23" s="188" t="str">
        <f t="shared" si="31"/>
        <v>I</v>
      </c>
      <c r="GF23" s="188" t="str">
        <f t="shared" si="32"/>
        <v/>
      </c>
      <c r="GG23" s="188" t="str">
        <f t="shared" si="33"/>
        <v/>
      </c>
      <c r="GH23" s="188" t="str">
        <f t="shared" si="34"/>
        <v/>
      </c>
      <c r="GI23" s="188" t="str">
        <f t="shared" si="155"/>
        <v/>
      </c>
      <c r="GJ23" s="205" t="str">
        <f t="shared" si="35"/>
        <v/>
      </c>
      <c r="GK23" s="204" t="str">
        <f t="shared" si="156"/>
        <v/>
      </c>
      <c r="GL23" s="188" t="str">
        <f t="shared" si="36"/>
        <v/>
      </c>
      <c r="GM23" s="188" t="str">
        <f t="shared" si="37"/>
        <v/>
      </c>
      <c r="GN23" s="188" t="str">
        <f t="shared" si="38"/>
        <v/>
      </c>
      <c r="GO23" s="188" t="str">
        <f t="shared" si="39"/>
        <v/>
      </c>
      <c r="GP23" s="188" t="str">
        <f t="shared" si="157"/>
        <v/>
      </c>
      <c r="GQ23" s="205" t="str">
        <f t="shared" si="40"/>
        <v/>
      </c>
      <c r="GR23" s="188" t="str">
        <f t="shared" si="158"/>
        <v>A</v>
      </c>
      <c r="GS23" s="188" t="str">
        <f t="shared" si="159"/>
        <v>B</v>
      </c>
      <c r="GT23" s="206" t="str">
        <f t="shared" si="177"/>
        <v xml:space="preserve">    </v>
      </c>
      <c r="GU23" s="206" t="str">
        <f t="shared" si="160"/>
        <v xml:space="preserve">    </v>
      </c>
      <c r="GV23" s="206" t="str">
        <f t="shared" si="161"/>
        <v xml:space="preserve">    </v>
      </c>
      <c r="GW23" s="206" t="str">
        <f t="shared" si="162"/>
        <v xml:space="preserve">       </v>
      </c>
      <c r="GX23" s="598" t="str">
        <f t="shared" si="163"/>
        <v xml:space="preserve">     </v>
      </c>
      <c r="GY23" s="207" t="str">
        <f t="shared" si="164"/>
        <v/>
      </c>
      <c r="GZ23" s="606">
        <f>IF(AND(Q23="",AE23="",AZ23="",BW23="",CT23=""),"",IF(AND('Master Sheet'!$D$19="YES",'Marks Entry'!$BA$1=1),SUM(Q23,AE23,AZ23,BW23,DT23),SUM(Q23,AE23,AZ23,BW23,CT23)))</f>
        <v>578</v>
      </c>
      <c r="HA23" s="208">
        <f>IF(GZ23="","",IF(AND('Master Sheet'!$D$19="YES",'Marks Entry'!$BA$1=1),GZ23/((900)-DC23)*100,GZ23/((1000)-DC23)*100))</f>
        <v>57.8</v>
      </c>
      <c r="HB23" s="611" t="str">
        <f t="shared" si="165"/>
        <v/>
      </c>
      <c r="HC23" s="609" t="str">
        <f t="shared" si="166"/>
        <v/>
      </c>
      <c r="HD23" s="610" t="str">
        <f t="shared" si="167"/>
        <v/>
      </c>
      <c r="HE23" s="209" t="str">
        <f>IFERROR(IF(OR(GY23="SUPPLEMENTARY",GY23="RE-EXAM"),'Supp. Result Entry'!AS22,""),"")</f>
        <v/>
      </c>
      <c r="HF23" s="613" t="str">
        <f t="shared" si="168"/>
        <v/>
      </c>
      <c r="HG23" s="598" t="str">
        <f t="shared" si="169"/>
        <v/>
      </c>
      <c r="HH23" s="598" t="str">
        <f>IF(AND(HE23="",HF23="",HG23=""),"",IF(OR(GY23="SUPPLEMENTARY",GY23="RE-EXAM"),'Supp. Result Entry'!AS22,GY23))</f>
        <v/>
      </c>
      <c r="HI23" s="179"/>
      <c r="HY23" s="211" t="str">
        <f>IF('Supp. Result Entry'!U22="","",'Supp. Result Entry'!$U$6)</f>
        <v/>
      </c>
      <c r="HZ23" s="212" t="str">
        <f>IF('Supp. Result Entry'!X22="","",'Supp. Result Entry'!$X$6)</f>
        <v/>
      </c>
      <c r="IA23" s="212" t="str">
        <f>IF('Supp. Result Entry'!AA22="","",'Supp. Result Entry'!$AA$6)</f>
        <v/>
      </c>
      <c r="IB23" s="212" t="str">
        <f>IF('Supp. Result Entry'!AD22="","",'Supp. Result Entry'!$AD$6)</f>
        <v/>
      </c>
      <c r="IC23" s="212" t="str">
        <f>IF('Supp. Result Entry'!AG22="","",'Supp. Result Entry'!$AG$6)</f>
        <v/>
      </c>
      <c r="ID23" s="212" t="str">
        <f>IF('Supp. Result Entry'!AJ22="","",'Supp. Result Entry'!$AJ$6)</f>
        <v/>
      </c>
      <c r="IE23" s="212" t="str">
        <f>IF('Supp. Result Entry'!V22="","",'Supp. Result Entry'!V22)</f>
        <v/>
      </c>
      <c r="IF23" s="212" t="str">
        <f>IF('Supp. Result Entry'!Y22="","",'Supp. Result Entry'!Y22)</f>
        <v/>
      </c>
      <c r="IG23" s="212" t="str">
        <f>IF('Supp. Result Entry'!AB22="","",'Supp. Result Entry'!AB22)</f>
        <v/>
      </c>
      <c r="IH23" s="212" t="str">
        <f>IF('Supp. Result Entry'!AE22="","",'Supp. Result Entry'!AE22)</f>
        <v/>
      </c>
      <c r="II23" s="212" t="str">
        <f>IF('Supp. Result Entry'!AH22="","",'Supp. Result Entry'!AH22)</f>
        <v/>
      </c>
      <c r="IJ23" s="212" t="str">
        <f>IF('Supp. Result Entry'!AK22="","",'Supp. Result Entry'!AK22)</f>
        <v/>
      </c>
      <c r="IK23" s="212" t="str">
        <f>IF('Supp. Result Entry'!W22="","",'Supp. Result Entry'!W22)</f>
        <v/>
      </c>
      <c r="IL23" s="212" t="str">
        <f>IF('Supp. Result Entry'!Z22="","",'Supp. Result Entry'!Z22)</f>
        <v/>
      </c>
      <c r="IM23" s="212" t="str">
        <f>IF('Supp. Result Entry'!AC22="","",'Supp. Result Entry'!AC22)</f>
        <v/>
      </c>
      <c r="IN23" s="212" t="str">
        <f>IF('Supp. Result Entry'!AF22="","",'Supp. Result Entry'!AF22)</f>
        <v/>
      </c>
      <c r="IO23" s="212" t="str">
        <f>IF('Supp. Result Entry'!AI22="","",'Supp. Result Entry'!AI22)</f>
        <v/>
      </c>
      <c r="IP23" s="212" t="str">
        <f>IF('Supp. Result Entry'!AL22="","",'Supp. Result Entry'!AL22)</f>
        <v/>
      </c>
      <c r="IQ23" s="212">
        <f>COUNTIF('Supp. Result Entry'!K22:Q22,"S")</f>
        <v>0</v>
      </c>
      <c r="IR23" s="212">
        <f t="shared" si="170"/>
        <v>0</v>
      </c>
      <c r="IS23" s="212">
        <f t="shared" si="171"/>
        <v>0</v>
      </c>
      <c r="IT23" s="212" t="str">
        <f t="shared" si="41"/>
        <v/>
      </c>
      <c r="IU23" s="212" t="str">
        <f t="shared" si="42"/>
        <v/>
      </c>
      <c r="IV23" s="212" t="str">
        <f t="shared" si="43"/>
        <v/>
      </c>
      <c r="IW23" s="212" t="str">
        <f t="shared" si="44"/>
        <v/>
      </c>
      <c r="IX23" s="212" t="str">
        <f t="shared" si="45"/>
        <v/>
      </c>
      <c r="IY23" s="212" t="str">
        <f t="shared" si="172"/>
        <v/>
      </c>
      <c r="IZ23" s="212" t="str">
        <f t="shared" si="173"/>
        <v/>
      </c>
      <c r="JA23" s="212" t="str">
        <f t="shared" si="46"/>
        <v/>
      </c>
      <c r="JB23" s="210" t="str">
        <f t="shared" si="174"/>
        <v/>
      </c>
    </row>
    <row r="24" spans="1:262" s="210" customFormat="1" ht="21" customHeight="1">
      <c r="A24" s="183">
        <v>17</v>
      </c>
      <c r="B24" s="184" t="str">
        <f>IF('Marks Entry'!B24="","",'Marks Entry'!B24)</f>
        <v/>
      </c>
      <c r="C24" s="185" t="str">
        <f>IF('Marks Entry'!D24="","",'Marks Entry'!D24)</f>
        <v/>
      </c>
      <c r="D24" s="186" t="str">
        <f>IF('Marks Entry'!E24="","",'Marks Entry'!E24)</f>
        <v/>
      </c>
      <c r="E24" s="187" t="str">
        <f>IF('Marks Entry'!F24="","",'Marks Entry'!F24)</f>
        <v/>
      </c>
      <c r="F24" s="187" t="str">
        <f>IF('Marks Entry'!G24="","",'Marks Entry'!G24)</f>
        <v/>
      </c>
      <c r="G24" s="187" t="str">
        <f>IF('Marks Entry'!H24="","",'Marks Entry'!H24)</f>
        <v/>
      </c>
      <c r="H24" s="188" t="str">
        <f>IF('Marks Entry'!I24="","",'Marks Entry'!I24)</f>
        <v/>
      </c>
      <c r="I24" s="189" t="str">
        <f>IF('Marks Entry'!J24="","",'Marks Entry'!J24)</f>
        <v/>
      </c>
      <c r="J24" s="545">
        <f>IF('Marks Entry'!K24="","",'Marks Entry'!K24)</f>
        <v>10</v>
      </c>
      <c r="K24" s="545">
        <f>IF('Marks Entry'!L24="","",'Marks Entry'!L24)</f>
        <v>8</v>
      </c>
      <c r="L24" s="545">
        <f>IF('Marks Entry'!M24="","",'Marks Entry'!M24)</f>
        <v>8</v>
      </c>
      <c r="M24" s="546">
        <f t="shared" si="47"/>
        <v>26</v>
      </c>
      <c r="N24" s="545">
        <f>IF('Marks Entry'!N24="","",'Marks Entry'!N24)</f>
        <v>24</v>
      </c>
      <c r="O24" s="546">
        <f t="shared" si="48"/>
        <v>50</v>
      </c>
      <c r="P24" s="545">
        <f>IF('Marks Entry'!O24="","",'Marks Entry'!O24)</f>
        <v>52</v>
      </c>
      <c r="Q24" s="547">
        <f t="shared" si="49"/>
        <v>102</v>
      </c>
      <c r="R24" s="152">
        <f t="shared" si="50"/>
        <v>0</v>
      </c>
      <c r="S24" s="152">
        <f t="shared" si="51"/>
        <v>0</v>
      </c>
      <c r="T24" s="153">
        <f t="shared" si="52"/>
        <v>200</v>
      </c>
      <c r="U24" s="152" t="str">
        <f t="shared" si="53"/>
        <v/>
      </c>
      <c r="V24" s="152" t="str">
        <f t="shared" si="54"/>
        <v/>
      </c>
      <c r="W24" s="152" t="str">
        <f t="shared" si="55"/>
        <v/>
      </c>
      <c r="X24" s="545">
        <f>IF('Marks Entry'!P24="","",'Marks Entry'!P24)</f>
        <v>7</v>
      </c>
      <c r="Y24" s="545">
        <f>IF('Marks Entry'!Q24="","",'Marks Entry'!Q24)</f>
        <v>10</v>
      </c>
      <c r="Z24" s="545">
        <f>IF('Marks Entry'!R24="","",'Marks Entry'!R24)</f>
        <v>9</v>
      </c>
      <c r="AA24" s="546">
        <f t="shared" si="56"/>
        <v>26</v>
      </c>
      <c r="AB24" s="545">
        <f>IF('Marks Entry'!S24="","",'Marks Entry'!S24)</f>
        <v>14</v>
      </c>
      <c r="AC24" s="546">
        <f t="shared" si="57"/>
        <v>40</v>
      </c>
      <c r="AD24" s="545">
        <f>IF('Marks Entry'!T24="","",'Marks Entry'!T24)</f>
        <v>64</v>
      </c>
      <c r="AE24" s="547">
        <f t="shared" si="58"/>
        <v>104</v>
      </c>
      <c r="AF24" s="152">
        <f t="shared" si="59"/>
        <v>0</v>
      </c>
      <c r="AG24" s="152">
        <f t="shared" si="60"/>
        <v>0</v>
      </c>
      <c r="AH24" s="153">
        <f t="shared" si="61"/>
        <v>200</v>
      </c>
      <c r="AI24" s="152" t="str">
        <f t="shared" si="62"/>
        <v/>
      </c>
      <c r="AJ24" s="152" t="str">
        <f t="shared" si="63"/>
        <v/>
      </c>
      <c r="AK24" s="152" t="str">
        <f t="shared" si="64"/>
        <v/>
      </c>
      <c r="AL24" s="573" t="str">
        <f>IF('Marks Entry'!U24="","",'Marks Entry'!U24)</f>
        <v>B</v>
      </c>
      <c r="AM24" s="573">
        <f>IF('Marks Entry'!V24="","",'Marks Entry'!V24)</f>
        <v>6</v>
      </c>
      <c r="AN24" s="573">
        <f>IF('Marks Entry'!W24="","",'Marks Entry'!W24)</f>
        <v>9</v>
      </c>
      <c r="AO24" s="573">
        <f>IF('Marks Entry'!X24="","",'Marks Entry'!X24)</f>
        <v>7</v>
      </c>
      <c r="AP24" s="572">
        <f t="shared" si="65"/>
        <v>22</v>
      </c>
      <c r="AQ24" s="573">
        <f>IF('Marks Entry'!Y24="","",'Marks Entry'!Y24)</f>
        <v>22</v>
      </c>
      <c r="AR24" s="573">
        <f>IF('Marks Entry'!Z24="","",'Marks Entry'!Z24)</f>
        <v>10</v>
      </c>
      <c r="AS24" s="572">
        <f t="shared" si="66"/>
        <v>32</v>
      </c>
      <c r="AT24" s="572">
        <f t="shared" si="67"/>
        <v>54</v>
      </c>
      <c r="AU24" s="573">
        <f>IF('Marks Entry'!AA24="","",'Marks Entry'!AA24)</f>
        <v>26</v>
      </c>
      <c r="AV24" s="573">
        <f>IF('Marks Entry'!AB24="","",'Marks Entry'!AB24)</f>
        <v>27</v>
      </c>
      <c r="AW24" s="572">
        <f t="shared" si="68"/>
        <v>53</v>
      </c>
      <c r="AX24" s="156">
        <f t="shared" si="69"/>
        <v>70</v>
      </c>
      <c r="AY24" s="156">
        <f t="shared" si="70"/>
        <v>37</v>
      </c>
      <c r="AZ24" s="191">
        <f t="shared" si="71"/>
        <v>107</v>
      </c>
      <c r="BA24" s="152">
        <f t="shared" si="72"/>
        <v>0</v>
      </c>
      <c r="BB24" s="153">
        <f t="shared" si="73"/>
        <v>0</v>
      </c>
      <c r="BC24" s="153">
        <f t="shared" si="74"/>
        <v>70</v>
      </c>
      <c r="BD24" s="153">
        <f t="shared" si="75"/>
        <v>50</v>
      </c>
      <c r="BE24" s="153">
        <f t="shared" si="76"/>
        <v>150</v>
      </c>
      <c r="BF24" s="152" t="str">
        <f t="shared" si="77"/>
        <v/>
      </c>
      <c r="BG24" s="153" t="str">
        <f t="shared" si="175"/>
        <v>P</v>
      </c>
      <c r="BH24" s="152" t="str">
        <f t="shared" si="78"/>
        <v>II</v>
      </c>
      <c r="BI24" s="580" t="str">
        <f>IF('Marks Entry'!AC24="","",'Marks Entry'!AC24)</f>
        <v>A</v>
      </c>
      <c r="BJ24" s="580">
        <f>IF('Marks Entry'!AD24="","",'Marks Entry'!AD24)</f>
        <v>12</v>
      </c>
      <c r="BK24" s="580">
        <f>IF('Marks Entry'!AE24="","",'Marks Entry'!AE24)</f>
        <v>13</v>
      </c>
      <c r="BL24" s="580" t="str">
        <f>IF('Marks Entry'!AF24="","",'Marks Entry'!AF24)</f>
        <v/>
      </c>
      <c r="BM24" s="581">
        <f t="shared" si="79"/>
        <v>25</v>
      </c>
      <c r="BN24" s="580">
        <f>IF('Marks Entry'!AG24="","",'Marks Entry'!AG24)</f>
        <v>41</v>
      </c>
      <c r="BO24" s="580" t="str">
        <f>IF('Marks Entry'!AH24="","",'Marks Entry'!AH24)</f>
        <v/>
      </c>
      <c r="BP24" s="581">
        <f t="shared" si="80"/>
        <v>41</v>
      </c>
      <c r="BQ24" s="581">
        <f t="shared" si="81"/>
        <v>66</v>
      </c>
      <c r="BR24" s="580">
        <f>IF('Marks Entry'!AI24="","",'Marks Entry'!AI24)</f>
        <v>46</v>
      </c>
      <c r="BS24" s="580" t="str">
        <f>IF('Marks Entry'!AJ24="","",'Marks Entry'!AJ24)</f>
        <v/>
      </c>
      <c r="BT24" s="581">
        <f t="shared" si="82"/>
        <v>46</v>
      </c>
      <c r="BU24" s="156">
        <f t="shared" si="83"/>
        <v>112</v>
      </c>
      <c r="BV24" s="156" t="str">
        <f t="shared" si="84"/>
        <v/>
      </c>
      <c r="BW24" s="191">
        <f t="shared" si="85"/>
        <v>112</v>
      </c>
      <c r="BX24" s="152">
        <f t="shared" si="86"/>
        <v>0</v>
      </c>
      <c r="BY24" s="153">
        <f t="shared" si="87"/>
        <v>0</v>
      </c>
      <c r="BZ24" s="153">
        <f t="shared" si="88"/>
        <v>100</v>
      </c>
      <c r="CA24" s="153" t="str">
        <f t="shared" si="89"/>
        <v/>
      </c>
      <c r="CB24" s="153">
        <f t="shared" si="90"/>
        <v>200</v>
      </c>
      <c r="CC24" s="152" t="str">
        <f t="shared" si="91"/>
        <v/>
      </c>
      <c r="CD24" s="153" t="str">
        <f t="shared" si="92"/>
        <v>P</v>
      </c>
      <c r="CE24" s="152" t="str">
        <f t="shared" si="93"/>
        <v>II</v>
      </c>
      <c r="CF24" s="580" t="str">
        <f>IF('Marks Entry'!AK24="","",'Marks Entry'!AK24)</f>
        <v>A</v>
      </c>
      <c r="CG24" s="580">
        <f>IF('Marks Entry'!AL24="","",'Marks Entry'!AL24)</f>
        <v>11</v>
      </c>
      <c r="CH24" s="580">
        <f>IF('Marks Entry'!AM24="","",'Marks Entry'!AM24)</f>
        <v>9</v>
      </c>
      <c r="CI24" s="580">
        <f>IF('Marks Entry'!AN24="","",'Marks Entry'!AN24)</f>
        <v>9</v>
      </c>
      <c r="CJ24" s="581">
        <f t="shared" si="94"/>
        <v>29</v>
      </c>
      <c r="CK24" s="580">
        <f>IF('Marks Entry'!AO24="","",'Marks Entry'!AO24)</f>
        <v>30</v>
      </c>
      <c r="CL24" s="580">
        <f>IF('Marks Entry'!AP24="","",'Marks Entry'!AP24)</f>
        <v>10</v>
      </c>
      <c r="CM24" s="581">
        <f t="shared" si="95"/>
        <v>40</v>
      </c>
      <c r="CN24" s="581">
        <f t="shared" si="96"/>
        <v>69</v>
      </c>
      <c r="CO24" s="580">
        <f>IF('Marks Entry'!AQ24="","",'Marks Entry'!AQ24)</f>
        <v>41</v>
      </c>
      <c r="CP24" s="580">
        <f>IF('Marks Entry'!AR24="","",'Marks Entry'!AR24)</f>
        <v>25</v>
      </c>
      <c r="CQ24" s="581">
        <f t="shared" si="97"/>
        <v>66</v>
      </c>
      <c r="CR24" s="156">
        <f t="shared" si="98"/>
        <v>100</v>
      </c>
      <c r="CS24" s="156">
        <f t="shared" si="99"/>
        <v>35</v>
      </c>
      <c r="CT24" s="191">
        <f t="shared" si="100"/>
        <v>135</v>
      </c>
      <c r="CU24" s="152">
        <f t="shared" si="101"/>
        <v>0</v>
      </c>
      <c r="CV24" s="153">
        <f t="shared" si="102"/>
        <v>0</v>
      </c>
      <c r="CW24" s="153">
        <f t="shared" si="103"/>
        <v>70</v>
      </c>
      <c r="CX24" s="153">
        <f t="shared" si="104"/>
        <v>50</v>
      </c>
      <c r="CY24" s="153">
        <f t="shared" si="176"/>
        <v>150</v>
      </c>
      <c r="CZ24" s="152" t="str">
        <f t="shared" si="105"/>
        <v/>
      </c>
      <c r="DA24" s="153" t="str">
        <f t="shared" si="106"/>
        <v>P</v>
      </c>
      <c r="DB24" s="152" t="str">
        <f t="shared" si="107"/>
        <v>I</v>
      </c>
      <c r="DC24" s="153">
        <f t="shared" si="108"/>
        <v>0</v>
      </c>
      <c r="DD24" s="851" t="str">
        <f>IF('Marks Entry'!AS24="","",IF(OR('Master Sheet'!$D$19="YES",'Marks Entry'!$BA$1=1),'Marks Entry'!AS24,""))</f>
        <v/>
      </c>
      <c r="DE24" s="851" t="str">
        <f>IF('Marks Entry'!AT24="","",IF(OR('Master Sheet'!$D$19="YES",'Marks Entry'!$BA$1=1),'Marks Entry'!AT24,""))</f>
        <v/>
      </c>
      <c r="DF24" s="851" t="str">
        <f>IF('Marks Entry'!AU24="","",IF(OR('Master Sheet'!$D$19="YES",'Marks Entry'!$BA$1=1),'Marks Entry'!AU24,""))</f>
        <v/>
      </c>
      <c r="DG24" s="851" t="str">
        <f>IF('Marks Entry'!AV24="","",IF(OR('Master Sheet'!$D$19="YES",'Marks Entry'!$BA$1=1),'Marks Entry'!AV24,""))</f>
        <v/>
      </c>
      <c r="DH24" s="852" t="str">
        <f t="shared" si="109"/>
        <v/>
      </c>
      <c r="DI24" s="851" t="str">
        <f>IF('Marks Entry'!AW24="","",IF(OR('Master Sheet'!$D$19="YES",'Marks Entry'!$BA$1=1),'Marks Entry'!AW24,""))</f>
        <v/>
      </c>
      <c r="DJ24" s="851" t="str">
        <f>IF('Marks Entry'!AX24="","",IF(OR('Master Sheet'!$D$19="YES",'Marks Entry'!$BA$1=1),'Marks Entry'!AX24,""))</f>
        <v/>
      </c>
      <c r="DK24" s="852" t="str">
        <f t="shared" si="110"/>
        <v/>
      </c>
      <c r="DL24" s="852" t="str">
        <f t="shared" si="111"/>
        <v/>
      </c>
      <c r="DM24" s="851" t="str">
        <f>IF('Marks Entry'!AY24="","",IF(OR('Master Sheet'!$D$19="YES",'Marks Entry'!$BA$1=1),'Marks Entry'!AY24,""))</f>
        <v/>
      </c>
      <c r="DN24" s="851" t="str">
        <f>IF('Marks Entry'!AZ24="","",IF(OR('Master Sheet'!$D$19="YES",'Marks Entry'!$BA$1=1),'Marks Entry'!AZ24,""))</f>
        <v/>
      </c>
      <c r="DO24" s="851" t="str">
        <f>IF('Marks Entry'!BA24="","",IF(OR('Master Sheet'!$D$19="YES",'Marks Entry'!$BA$1=1),'Marks Entry'!BA24,""))</f>
        <v/>
      </c>
      <c r="DP24" s="852" t="str">
        <f t="shared" si="112"/>
        <v/>
      </c>
      <c r="DQ24" s="156" t="str">
        <f t="shared" si="113"/>
        <v/>
      </c>
      <c r="DR24" s="156" t="str">
        <f t="shared" si="114"/>
        <v/>
      </c>
      <c r="DS24" s="156" t="str">
        <f t="shared" si="115"/>
        <v/>
      </c>
      <c r="DT24" s="191" t="str">
        <f t="shared" si="116"/>
        <v/>
      </c>
      <c r="DU24" s="152">
        <f t="shared" si="117"/>
        <v>0</v>
      </c>
      <c r="DV24" s="153">
        <f t="shared" si="118"/>
        <v>0</v>
      </c>
      <c r="DW24" s="153" t="str">
        <f t="shared" si="119"/>
        <v/>
      </c>
      <c r="DX24" s="153" t="str">
        <f>IF(OR($B24="NSO",$B24=0,DS24=""),"",IF(AND(DJ24="",DO24=""),"",IF('Master Sheet'!$D$19="YES",$DO$6-COUNTIF(DO24,"ML")*DO$6,DS$6-(COUNTIF(DJ24,"ML")*DJ$6)-(COUNTIF(DO24,"ML")*DO$6))))</f>
        <v/>
      </c>
      <c r="DY24" s="153" t="str">
        <f>IF(OR($B24="NSO",$B24=0),"",IF(AND(DH24="",DI24="",DM24=""),"",IF(AND('Master Sheet'!$D$19="YES",'Marks Entry'!$BA$1=1),100,IF(AND(DJ24="",DO24=""),SUM(($DQ$7+$DR$7)-(DU24+DV24)),SUM(($DQ$6+$DR$6)-(DU24+DV24))))))</f>
        <v/>
      </c>
      <c r="DZ24" s="152" t="str">
        <f t="shared" si="120"/>
        <v/>
      </c>
      <c r="EA24" s="153" t="str">
        <f t="shared" si="121"/>
        <v/>
      </c>
      <c r="EB24" s="152" t="str">
        <f t="shared" si="122"/>
        <v/>
      </c>
      <c r="EC24" s="584">
        <f>IF('Marks Entry'!BB24="","",'Marks Entry'!BB24)</f>
        <v>24</v>
      </c>
      <c r="ED24" s="584">
        <f>IF('Marks Entry'!BC24="","",'Marks Entry'!BC24)</f>
        <v>25</v>
      </c>
      <c r="EE24" s="584">
        <f>IF('Marks Entry'!BD24="","",'Marks Entry'!BD24)</f>
        <v>32</v>
      </c>
      <c r="EF24" s="590">
        <f t="shared" si="123"/>
        <v>81</v>
      </c>
      <c r="EG24" s="595">
        <f t="shared" si="124"/>
        <v>0</v>
      </c>
      <c r="EH24" s="595">
        <f t="shared" si="125"/>
        <v>0</v>
      </c>
      <c r="EI24" s="192">
        <f t="shared" si="126"/>
        <v>100</v>
      </c>
      <c r="EJ24" s="595" t="str">
        <f t="shared" si="127"/>
        <v/>
      </c>
      <c r="EK24" s="595" t="str">
        <f t="shared" si="128"/>
        <v>A</v>
      </c>
      <c r="EL24" s="193" t="str">
        <f t="shared" si="129"/>
        <v/>
      </c>
      <c r="EM24" s="193" t="str">
        <f t="shared" si="130"/>
        <v/>
      </c>
      <c r="EN24" s="193" t="str">
        <f t="shared" si="131"/>
        <v>II</v>
      </c>
      <c r="EO24" s="193" t="str">
        <f t="shared" si="132"/>
        <v>II</v>
      </c>
      <c r="EP24" s="193" t="str">
        <f t="shared" si="133"/>
        <v>I</v>
      </c>
      <c r="EQ24" s="193" t="str">
        <f t="shared" si="134"/>
        <v/>
      </c>
      <c r="ER24" s="194">
        <f t="shared" si="135"/>
        <v>0</v>
      </c>
      <c r="ES24" s="194">
        <f t="shared" si="136"/>
        <v>0</v>
      </c>
      <c r="ET24" s="194">
        <f t="shared" si="137"/>
        <v>0</v>
      </c>
      <c r="EU24" s="194">
        <f t="shared" si="138"/>
        <v>0</v>
      </c>
      <c r="EV24" s="194">
        <f t="shared" si="139"/>
        <v>0</v>
      </c>
      <c r="EW24" s="194" t="str">
        <f t="shared" si="140"/>
        <v/>
      </c>
      <c r="EX24" s="195" t="str">
        <f t="shared" si="141"/>
        <v/>
      </c>
      <c r="EY24" s="196">
        <f>IF('Marks Entry'!BE24="","",'Marks Entry'!BE24)</f>
        <v>8</v>
      </c>
      <c r="EZ24" s="196">
        <f>IF('Marks Entry'!BF24="","",'Marks Entry'!BF24)</f>
        <v>8</v>
      </c>
      <c r="FA24" s="196">
        <f>IF('Marks Entry'!BG24="","",'Marks Entry'!BG24)</f>
        <v>8</v>
      </c>
      <c r="FB24" s="596">
        <f t="shared" si="142"/>
        <v>24</v>
      </c>
      <c r="FC24" s="196">
        <f>IF('Marks Entry'!BH24="","",'Marks Entry'!BH24)</f>
        <v>50</v>
      </c>
      <c r="FD24" s="196">
        <f>IF('Marks Entry'!BI24="","",'Marks Entry'!BI24)</f>
        <v>68</v>
      </c>
      <c r="FE24" s="197">
        <f t="shared" si="143"/>
        <v>142</v>
      </c>
      <c r="FF24" s="198" t="str">
        <f t="shared" si="144"/>
        <v>B</v>
      </c>
      <c r="FG24" s="199" t="str">
        <f>IF(AND(E24=""),"",IF('Student DATA Entry'!L20="","",'Student DATA Entry'!L20))</f>
        <v/>
      </c>
      <c r="FH24" s="200" t="str">
        <f>IF(AND(E24=""),"",IF('Student DATA Entry'!M20="","",'Student DATA Entry'!M20))</f>
        <v/>
      </c>
      <c r="FI24" s="201" t="str">
        <f t="shared" si="145"/>
        <v/>
      </c>
      <c r="FJ24" s="188" t="str">
        <f t="shared" si="146"/>
        <v/>
      </c>
      <c r="FK24" s="188" t="str">
        <f t="shared" si="147"/>
        <v/>
      </c>
      <c r="FL24" s="202" t="str">
        <f t="shared" si="19"/>
        <v/>
      </c>
      <c r="FM24" s="188" t="str">
        <f t="shared" si="148"/>
        <v/>
      </c>
      <c r="FN24" s="203" t="str">
        <f t="shared" si="149"/>
        <v/>
      </c>
      <c r="FO24" s="202" t="str">
        <f t="shared" si="20"/>
        <v/>
      </c>
      <c r="FP24" s="204" t="str">
        <f t="shared" si="150"/>
        <v>II</v>
      </c>
      <c r="FQ24" s="188" t="str">
        <f t="shared" si="21"/>
        <v/>
      </c>
      <c r="FR24" s="188" t="str">
        <f t="shared" si="22"/>
        <v>II</v>
      </c>
      <c r="FS24" s="188" t="str">
        <f t="shared" si="23"/>
        <v/>
      </c>
      <c r="FT24" s="188" t="str">
        <f t="shared" si="24"/>
        <v/>
      </c>
      <c r="FU24" s="188" t="str">
        <f t="shared" si="151"/>
        <v/>
      </c>
      <c r="FV24" s="205" t="str">
        <f t="shared" si="25"/>
        <v/>
      </c>
      <c r="FW24" s="204" t="str">
        <f t="shared" si="152"/>
        <v>II</v>
      </c>
      <c r="FX24" s="188" t="str">
        <f t="shared" si="26"/>
        <v>II</v>
      </c>
      <c r="FY24" s="188" t="str">
        <f t="shared" si="27"/>
        <v/>
      </c>
      <c r="FZ24" s="188" t="str">
        <f t="shared" si="28"/>
        <v/>
      </c>
      <c r="GA24" s="188" t="str">
        <f t="shared" si="29"/>
        <v/>
      </c>
      <c r="GB24" s="188" t="str">
        <f t="shared" si="153"/>
        <v/>
      </c>
      <c r="GC24" s="205" t="str">
        <f t="shared" si="30"/>
        <v/>
      </c>
      <c r="GD24" s="204" t="str">
        <f t="shared" si="154"/>
        <v>I</v>
      </c>
      <c r="GE24" s="188" t="str">
        <f t="shared" si="31"/>
        <v>I</v>
      </c>
      <c r="GF24" s="188" t="str">
        <f t="shared" si="32"/>
        <v/>
      </c>
      <c r="GG24" s="188" t="str">
        <f t="shared" si="33"/>
        <v/>
      </c>
      <c r="GH24" s="188" t="str">
        <f t="shared" si="34"/>
        <v/>
      </c>
      <c r="GI24" s="188" t="str">
        <f t="shared" si="155"/>
        <v/>
      </c>
      <c r="GJ24" s="205" t="str">
        <f t="shared" si="35"/>
        <v/>
      </c>
      <c r="GK24" s="204" t="str">
        <f t="shared" si="156"/>
        <v/>
      </c>
      <c r="GL24" s="188" t="str">
        <f t="shared" si="36"/>
        <v/>
      </c>
      <c r="GM24" s="188" t="str">
        <f t="shared" si="37"/>
        <v/>
      </c>
      <c r="GN24" s="188" t="str">
        <f t="shared" si="38"/>
        <v/>
      </c>
      <c r="GO24" s="188" t="str">
        <f t="shared" si="39"/>
        <v/>
      </c>
      <c r="GP24" s="188" t="str">
        <f t="shared" si="157"/>
        <v/>
      </c>
      <c r="GQ24" s="205" t="str">
        <f t="shared" si="40"/>
        <v/>
      </c>
      <c r="GR24" s="188" t="str">
        <f t="shared" si="158"/>
        <v>A</v>
      </c>
      <c r="GS24" s="188" t="str">
        <f t="shared" si="159"/>
        <v>B</v>
      </c>
      <c r="GT24" s="206" t="str">
        <f t="shared" si="177"/>
        <v xml:space="preserve">    </v>
      </c>
      <c r="GU24" s="206" t="str">
        <f t="shared" si="160"/>
        <v xml:space="preserve">    </v>
      </c>
      <c r="GV24" s="206" t="str">
        <f t="shared" si="161"/>
        <v xml:space="preserve">    </v>
      </c>
      <c r="GW24" s="206" t="str">
        <f t="shared" si="162"/>
        <v xml:space="preserve">       </v>
      </c>
      <c r="GX24" s="598" t="str">
        <f t="shared" si="163"/>
        <v xml:space="preserve">     </v>
      </c>
      <c r="GY24" s="207" t="str">
        <f t="shared" si="164"/>
        <v/>
      </c>
      <c r="GZ24" s="606">
        <f>IF(AND(Q24="",AE24="",AZ24="",BW24="",CT24=""),"",IF(AND('Master Sheet'!$D$19="YES",'Marks Entry'!$BA$1=1),SUM(Q24,AE24,AZ24,BW24,DT24),SUM(Q24,AE24,AZ24,BW24,CT24)))</f>
        <v>560</v>
      </c>
      <c r="HA24" s="208">
        <f>IF(GZ24="","",IF(AND('Master Sheet'!$D$19="YES",'Marks Entry'!$BA$1=1),GZ24/((900)-DC24)*100,GZ24/((1000)-DC24)*100))</f>
        <v>56.000000000000007</v>
      </c>
      <c r="HB24" s="611" t="str">
        <f t="shared" si="165"/>
        <v/>
      </c>
      <c r="HC24" s="609" t="str">
        <f t="shared" si="166"/>
        <v/>
      </c>
      <c r="HD24" s="610" t="str">
        <f t="shared" si="167"/>
        <v/>
      </c>
      <c r="HE24" s="209" t="str">
        <f>IFERROR(IF(OR(GY24="SUPPLEMENTARY",GY24="RE-EXAM"),'Supp. Result Entry'!AS23,""),"")</f>
        <v/>
      </c>
      <c r="HF24" s="613" t="str">
        <f t="shared" si="168"/>
        <v/>
      </c>
      <c r="HG24" s="598" t="str">
        <f t="shared" si="169"/>
        <v/>
      </c>
      <c r="HH24" s="598" t="str">
        <f>IF(AND(HE24="",HF24="",HG24=""),"",IF(OR(GY24="SUPPLEMENTARY",GY24="RE-EXAM"),'Supp. Result Entry'!AS23,GY24))</f>
        <v/>
      </c>
      <c r="HI24" s="179"/>
      <c r="HY24" s="211" t="str">
        <f>IF('Supp. Result Entry'!U23="","",'Supp. Result Entry'!$U$6)</f>
        <v/>
      </c>
      <c r="HZ24" s="212" t="str">
        <f>IF('Supp. Result Entry'!X23="","",'Supp. Result Entry'!$X$6)</f>
        <v/>
      </c>
      <c r="IA24" s="212" t="str">
        <f>IF('Supp. Result Entry'!AA23="","",'Supp. Result Entry'!$AA$6)</f>
        <v/>
      </c>
      <c r="IB24" s="212" t="str">
        <f>IF('Supp. Result Entry'!AD23="","",'Supp. Result Entry'!$AD$6)</f>
        <v/>
      </c>
      <c r="IC24" s="212" t="str">
        <f>IF('Supp. Result Entry'!AG23="","",'Supp. Result Entry'!$AG$6)</f>
        <v/>
      </c>
      <c r="ID24" s="212" t="str">
        <f>IF('Supp. Result Entry'!AJ23="","",'Supp. Result Entry'!$AJ$6)</f>
        <v/>
      </c>
      <c r="IE24" s="212" t="str">
        <f>IF('Supp. Result Entry'!V23="","",'Supp. Result Entry'!V23)</f>
        <v/>
      </c>
      <c r="IF24" s="212" t="str">
        <f>IF('Supp. Result Entry'!Y23="","",'Supp. Result Entry'!Y23)</f>
        <v/>
      </c>
      <c r="IG24" s="212" t="str">
        <f>IF('Supp. Result Entry'!AB23="","",'Supp. Result Entry'!AB23)</f>
        <v/>
      </c>
      <c r="IH24" s="212" t="str">
        <f>IF('Supp. Result Entry'!AE23="","",'Supp. Result Entry'!AE23)</f>
        <v/>
      </c>
      <c r="II24" s="212" t="str">
        <f>IF('Supp. Result Entry'!AH23="","",'Supp. Result Entry'!AH23)</f>
        <v/>
      </c>
      <c r="IJ24" s="212" t="str">
        <f>IF('Supp. Result Entry'!AK23="","",'Supp. Result Entry'!AK23)</f>
        <v/>
      </c>
      <c r="IK24" s="212" t="str">
        <f>IF('Supp. Result Entry'!W23="","",'Supp. Result Entry'!W23)</f>
        <v/>
      </c>
      <c r="IL24" s="212" t="str">
        <f>IF('Supp. Result Entry'!Z23="","",'Supp. Result Entry'!Z23)</f>
        <v/>
      </c>
      <c r="IM24" s="212" t="str">
        <f>IF('Supp. Result Entry'!AC23="","",'Supp. Result Entry'!AC23)</f>
        <v/>
      </c>
      <c r="IN24" s="212" t="str">
        <f>IF('Supp. Result Entry'!AF23="","",'Supp. Result Entry'!AF23)</f>
        <v/>
      </c>
      <c r="IO24" s="212" t="str">
        <f>IF('Supp. Result Entry'!AI23="","",'Supp. Result Entry'!AI23)</f>
        <v/>
      </c>
      <c r="IP24" s="212" t="str">
        <f>IF('Supp. Result Entry'!AL23="","",'Supp. Result Entry'!AL23)</f>
        <v/>
      </c>
      <c r="IQ24" s="212">
        <f>COUNTIF('Supp. Result Entry'!K23:Q23,"S")</f>
        <v>0</v>
      </c>
      <c r="IR24" s="212">
        <f t="shared" si="170"/>
        <v>0</v>
      </c>
      <c r="IS24" s="212">
        <f t="shared" si="171"/>
        <v>0</v>
      </c>
      <c r="IT24" s="212" t="str">
        <f t="shared" si="41"/>
        <v/>
      </c>
      <c r="IU24" s="212" t="str">
        <f t="shared" si="42"/>
        <v/>
      </c>
      <c r="IV24" s="212" t="str">
        <f t="shared" si="43"/>
        <v/>
      </c>
      <c r="IW24" s="212" t="str">
        <f t="shared" si="44"/>
        <v/>
      </c>
      <c r="IX24" s="212" t="str">
        <f t="shared" si="45"/>
        <v/>
      </c>
      <c r="IY24" s="212" t="str">
        <f t="shared" si="172"/>
        <v/>
      </c>
      <c r="IZ24" s="212" t="str">
        <f t="shared" si="173"/>
        <v/>
      </c>
      <c r="JA24" s="212" t="str">
        <f t="shared" si="46"/>
        <v/>
      </c>
      <c r="JB24" s="210" t="str">
        <f t="shared" si="174"/>
        <v/>
      </c>
    </row>
    <row r="25" spans="1:262" s="210" customFormat="1" ht="21" customHeight="1">
      <c r="A25" s="183">
        <v>18</v>
      </c>
      <c r="B25" s="184" t="str">
        <f>IF('Marks Entry'!B25="","",'Marks Entry'!B25)</f>
        <v/>
      </c>
      <c r="C25" s="185" t="str">
        <f>IF('Marks Entry'!D25="","",'Marks Entry'!D25)</f>
        <v/>
      </c>
      <c r="D25" s="186" t="str">
        <f>IF('Marks Entry'!E25="","",'Marks Entry'!E25)</f>
        <v/>
      </c>
      <c r="E25" s="187" t="str">
        <f>IF('Marks Entry'!F25="","",'Marks Entry'!F25)</f>
        <v/>
      </c>
      <c r="F25" s="187" t="str">
        <f>IF('Marks Entry'!G25="","",'Marks Entry'!G25)</f>
        <v/>
      </c>
      <c r="G25" s="187" t="str">
        <f>IF('Marks Entry'!H25="","",'Marks Entry'!H25)</f>
        <v/>
      </c>
      <c r="H25" s="188" t="str">
        <f>IF('Marks Entry'!I25="","",'Marks Entry'!I25)</f>
        <v/>
      </c>
      <c r="I25" s="189" t="str">
        <f>IF('Marks Entry'!J25="","",'Marks Entry'!J25)</f>
        <v/>
      </c>
      <c r="J25" s="545">
        <f>IF('Marks Entry'!K25="","",'Marks Entry'!K25)</f>
        <v>10</v>
      </c>
      <c r="K25" s="545">
        <f>IF('Marks Entry'!L25="","",'Marks Entry'!L25)</f>
        <v>9</v>
      </c>
      <c r="L25" s="545">
        <f>IF('Marks Entry'!M25="","",'Marks Entry'!M25)</f>
        <v>8</v>
      </c>
      <c r="M25" s="546">
        <f t="shared" si="47"/>
        <v>27</v>
      </c>
      <c r="N25" s="545">
        <f>IF('Marks Entry'!N25="","",'Marks Entry'!N25)</f>
        <v>26</v>
      </c>
      <c r="O25" s="546">
        <f t="shared" si="48"/>
        <v>53</v>
      </c>
      <c r="P25" s="545">
        <f>IF('Marks Entry'!O25="","",'Marks Entry'!O25)</f>
        <v>54</v>
      </c>
      <c r="Q25" s="547">
        <f t="shared" si="49"/>
        <v>107</v>
      </c>
      <c r="R25" s="152">
        <f t="shared" si="50"/>
        <v>0</v>
      </c>
      <c r="S25" s="152">
        <f t="shared" si="51"/>
        <v>0</v>
      </c>
      <c r="T25" s="153">
        <f t="shared" si="52"/>
        <v>200</v>
      </c>
      <c r="U25" s="152" t="str">
        <f t="shared" si="53"/>
        <v/>
      </c>
      <c r="V25" s="152" t="str">
        <f t="shared" si="54"/>
        <v/>
      </c>
      <c r="W25" s="152" t="str">
        <f t="shared" si="55"/>
        <v/>
      </c>
      <c r="X25" s="545">
        <f>IF('Marks Entry'!P25="","",'Marks Entry'!P25)</f>
        <v>8</v>
      </c>
      <c r="Y25" s="545">
        <f>IF('Marks Entry'!Q25="","",'Marks Entry'!Q25)</f>
        <v>10</v>
      </c>
      <c r="Z25" s="545">
        <f>IF('Marks Entry'!R25="","",'Marks Entry'!R25)</f>
        <v>9</v>
      </c>
      <c r="AA25" s="546">
        <f t="shared" si="56"/>
        <v>27</v>
      </c>
      <c r="AB25" s="545">
        <f>IF('Marks Entry'!S25="","",'Marks Entry'!S25)</f>
        <v>18</v>
      </c>
      <c r="AC25" s="546">
        <f t="shared" si="57"/>
        <v>45</v>
      </c>
      <c r="AD25" s="545">
        <f>IF('Marks Entry'!T25="","",'Marks Entry'!T25)</f>
        <v>61</v>
      </c>
      <c r="AE25" s="547">
        <f t="shared" si="58"/>
        <v>106</v>
      </c>
      <c r="AF25" s="152">
        <f t="shared" si="59"/>
        <v>0</v>
      </c>
      <c r="AG25" s="152">
        <f t="shared" si="60"/>
        <v>0</v>
      </c>
      <c r="AH25" s="153">
        <f t="shared" si="61"/>
        <v>200</v>
      </c>
      <c r="AI25" s="152" t="str">
        <f t="shared" si="62"/>
        <v/>
      </c>
      <c r="AJ25" s="152" t="str">
        <f t="shared" si="63"/>
        <v/>
      </c>
      <c r="AK25" s="152" t="str">
        <f t="shared" si="64"/>
        <v/>
      </c>
      <c r="AL25" s="573" t="str">
        <f>IF('Marks Entry'!U25="","",'Marks Entry'!U25)</f>
        <v>B</v>
      </c>
      <c r="AM25" s="573">
        <f>IF('Marks Entry'!V25="","",'Marks Entry'!V25)</f>
        <v>5</v>
      </c>
      <c r="AN25" s="573">
        <f>IF('Marks Entry'!W25="","",'Marks Entry'!W25)</f>
        <v>4</v>
      </c>
      <c r="AO25" s="573">
        <f>IF('Marks Entry'!X25="","",'Marks Entry'!X25)</f>
        <v>7</v>
      </c>
      <c r="AP25" s="572">
        <f t="shared" si="65"/>
        <v>16</v>
      </c>
      <c r="AQ25" s="573">
        <f>IF('Marks Entry'!Y25="","",'Marks Entry'!Y25)</f>
        <v>22</v>
      </c>
      <c r="AR25" s="573">
        <f>IF('Marks Entry'!Z25="","",'Marks Entry'!Z25)</f>
        <v>10</v>
      </c>
      <c r="AS25" s="572">
        <f t="shared" si="66"/>
        <v>32</v>
      </c>
      <c r="AT25" s="572">
        <f t="shared" si="67"/>
        <v>48</v>
      </c>
      <c r="AU25" s="573">
        <f>IF('Marks Entry'!AA25="","",'Marks Entry'!AA25)</f>
        <v>28</v>
      </c>
      <c r="AV25" s="573">
        <f>IF('Marks Entry'!AB25="","",'Marks Entry'!AB25)</f>
        <v>28</v>
      </c>
      <c r="AW25" s="572">
        <f t="shared" si="68"/>
        <v>56</v>
      </c>
      <c r="AX25" s="156">
        <f t="shared" si="69"/>
        <v>66</v>
      </c>
      <c r="AY25" s="156">
        <f t="shared" si="70"/>
        <v>38</v>
      </c>
      <c r="AZ25" s="191">
        <f t="shared" si="71"/>
        <v>104</v>
      </c>
      <c r="BA25" s="152">
        <f t="shared" si="72"/>
        <v>0</v>
      </c>
      <c r="BB25" s="153">
        <f t="shared" si="73"/>
        <v>0</v>
      </c>
      <c r="BC25" s="153">
        <f t="shared" si="74"/>
        <v>70</v>
      </c>
      <c r="BD25" s="153">
        <f t="shared" si="75"/>
        <v>50</v>
      </c>
      <c r="BE25" s="153">
        <f t="shared" si="76"/>
        <v>150</v>
      </c>
      <c r="BF25" s="152" t="str">
        <f t="shared" si="77"/>
        <v/>
      </c>
      <c r="BG25" s="153" t="str">
        <f t="shared" si="175"/>
        <v>P</v>
      </c>
      <c r="BH25" s="152" t="str">
        <f t="shared" si="78"/>
        <v>II</v>
      </c>
      <c r="BI25" s="580" t="str">
        <f>IF('Marks Entry'!AC25="","",'Marks Entry'!AC25)</f>
        <v>A</v>
      </c>
      <c r="BJ25" s="580">
        <f>IF('Marks Entry'!AD25="","",'Marks Entry'!AD25)</f>
        <v>13</v>
      </c>
      <c r="BK25" s="580">
        <f>IF('Marks Entry'!AE25="","",'Marks Entry'!AE25)</f>
        <v>14</v>
      </c>
      <c r="BL25" s="580" t="str">
        <f>IF('Marks Entry'!AF25="","",'Marks Entry'!AF25)</f>
        <v/>
      </c>
      <c r="BM25" s="581">
        <f t="shared" si="79"/>
        <v>27</v>
      </c>
      <c r="BN25" s="580">
        <f>IF('Marks Entry'!AG25="","",'Marks Entry'!AG25)</f>
        <v>42</v>
      </c>
      <c r="BO25" s="580" t="str">
        <f>IF('Marks Entry'!AH25="","",'Marks Entry'!AH25)</f>
        <v/>
      </c>
      <c r="BP25" s="581">
        <f t="shared" si="80"/>
        <v>42</v>
      </c>
      <c r="BQ25" s="581">
        <f t="shared" si="81"/>
        <v>69</v>
      </c>
      <c r="BR25" s="580">
        <f>IF('Marks Entry'!AI25="","",'Marks Entry'!AI25)</f>
        <v>48</v>
      </c>
      <c r="BS25" s="580" t="str">
        <f>IF('Marks Entry'!AJ25="","",'Marks Entry'!AJ25)</f>
        <v/>
      </c>
      <c r="BT25" s="581">
        <f t="shared" si="82"/>
        <v>48</v>
      </c>
      <c r="BU25" s="156">
        <f t="shared" si="83"/>
        <v>117</v>
      </c>
      <c r="BV25" s="156" t="str">
        <f t="shared" si="84"/>
        <v/>
      </c>
      <c r="BW25" s="191">
        <f t="shared" si="85"/>
        <v>117</v>
      </c>
      <c r="BX25" s="152">
        <f t="shared" si="86"/>
        <v>0</v>
      </c>
      <c r="BY25" s="153">
        <f t="shared" si="87"/>
        <v>0</v>
      </c>
      <c r="BZ25" s="153">
        <f t="shared" si="88"/>
        <v>100</v>
      </c>
      <c r="CA25" s="153" t="str">
        <f t="shared" si="89"/>
        <v/>
      </c>
      <c r="CB25" s="153">
        <f t="shared" si="90"/>
        <v>200</v>
      </c>
      <c r="CC25" s="152" t="str">
        <f t="shared" si="91"/>
        <v/>
      </c>
      <c r="CD25" s="153" t="str">
        <f t="shared" si="92"/>
        <v>P</v>
      </c>
      <c r="CE25" s="152" t="str">
        <f t="shared" si="93"/>
        <v>II</v>
      </c>
      <c r="CF25" s="580" t="str">
        <f>IF('Marks Entry'!AK25="","",'Marks Entry'!AK25)</f>
        <v>A</v>
      </c>
      <c r="CG25" s="580">
        <f>IF('Marks Entry'!AL25="","",'Marks Entry'!AL25)</f>
        <v>12</v>
      </c>
      <c r="CH25" s="580">
        <f>IF('Marks Entry'!AM25="","",'Marks Entry'!AM25)</f>
        <v>5</v>
      </c>
      <c r="CI25" s="580">
        <f>IF('Marks Entry'!AN25="","",'Marks Entry'!AN25)</f>
        <v>9</v>
      </c>
      <c r="CJ25" s="581">
        <f t="shared" si="94"/>
        <v>26</v>
      </c>
      <c r="CK25" s="580">
        <f>IF('Marks Entry'!AO25="","",'Marks Entry'!AO25)</f>
        <v>25</v>
      </c>
      <c r="CL25" s="580">
        <f>IF('Marks Entry'!AP25="","",'Marks Entry'!AP25)</f>
        <v>12</v>
      </c>
      <c r="CM25" s="581">
        <f t="shared" si="95"/>
        <v>37</v>
      </c>
      <c r="CN25" s="581">
        <f t="shared" si="96"/>
        <v>63</v>
      </c>
      <c r="CO25" s="580">
        <f>IF('Marks Entry'!AQ25="","",'Marks Entry'!AQ25)</f>
        <v>45</v>
      </c>
      <c r="CP25" s="580">
        <f>IF('Marks Entry'!AR25="","",'Marks Entry'!AR25)</f>
        <v>26</v>
      </c>
      <c r="CQ25" s="581">
        <f t="shared" si="97"/>
        <v>71</v>
      </c>
      <c r="CR25" s="156">
        <f t="shared" si="98"/>
        <v>96</v>
      </c>
      <c r="CS25" s="156">
        <f t="shared" si="99"/>
        <v>38</v>
      </c>
      <c r="CT25" s="191">
        <f t="shared" si="100"/>
        <v>134</v>
      </c>
      <c r="CU25" s="152">
        <f t="shared" si="101"/>
        <v>0</v>
      </c>
      <c r="CV25" s="153">
        <f t="shared" si="102"/>
        <v>0</v>
      </c>
      <c r="CW25" s="153">
        <f t="shared" si="103"/>
        <v>70</v>
      </c>
      <c r="CX25" s="153">
        <f t="shared" si="104"/>
        <v>50</v>
      </c>
      <c r="CY25" s="153">
        <f t="shared" si="176"/>
        <v>150</v>
      </c>
      <c r="CZ25" s="152" t="str">
        <f t="shared" si="105"/>
        <v/>
      </c>
      <c r="DA25" s="153" t="str">
        <f t="shared" si="106"/>
        <v>P</v>
      </c>
      <c r="DB25" s="152" t="str">
        <f t="shared" si="107"/>
        <v>I</v>
      </c>
      <c r="DC25" s="153">
        <f t="shared" si="108"/>
        <v>0</v>
      </c>
      <c r="DD25" s="851" t="str">
        <f>IF('Marks Entry'!AS25="","",IF(OR('Master Sheet'!$D$19="YES",'Marks Entry'!$BA$1=1),'Marks Entry'!AS25,""))</f>
        <v/>
      </c>
      <c r="DE25" s="851" t="str">
        <f>IF('Marks Entry'!AT25="","",IF(OR('Master Sheet'!$D$19="YES",'Marks Entry'!$BA$1=1),'Marks Entry'!AT25,""))</f>
        <v/>
      </c>
      <c r="DF25" s="851" t="str">
        <f>IF('Marks Entry'!AU25="","",IF(OR('Master Sheet'!$D$19="YES",'Marks Entry'!$BA$1=1),'Marks Entry'!AU25,""))</f>
        <v/>
      </c>
      <c r="DG25" s="851" t="str">
        <f>IF('Marks Entry'!AV25="","",IF(OR('Master Sheet'!$D$19="YES",'Marks Entry'!$BA$1=1),'Marks Entry'!AV25,""))</f>
        <v/>
      </c>
      <c r="DH25" s="852" t="str">
        <f t="shared" si="109"/>
        <v/>
      </c>
      <c r="DI25" s="851" t="str">
        <f>IF('Marks Entry'!AW25="","",IF(OR('Master Sheet'!$D$19="YES",'Marks Entry'!$BA$1=1),'Marks Entry'!AW25,""))</f>
        <v/>
      </c>
      <c r="DJ25" s="851" t="str">
        <f>IF('Marks Entry'!AX25="","",IF(OR('Master Sheet'!$D$19="YES",'Marks Entry'!$BA$1=1),'Marks Entry'!AX25,""))</f>
        <v/>
      </c>
      <c r="DK25" s="852" t="str">
        <f t="shared" si="110"/>
        <v/>
      </c>
      <c r="DL25" s="852" t="str">
        <f t="shared" si="111"/>
        <v/>
      </c>
      <c r="DM25" s="851" t="str">
        <f>IF('Marks Entry'!AY25="","",IF(OR('Master Sheet'!$D$19="YES",'Marks Entry'!$BA$1=1),'Marks Entry'!AY25,""))</f>
        <v/>
      </c>
      <c r="DN25" s="851" t="str">
        <f>IF('Marks Entry'!AZ25="","",IF(OR('Master Sheet'!$D$19="YES",'Marks Entry'!$BA$1=1),'Marks Entry'!AZ25,""))</f>
        <v/>
      </c>
      <c r="DO25" s="851" t="str">
        <f>IF('Marks Entry'!BA25="","",IF(OR('Master Sheet'!$D$19="YES",'Marks Entry'!$BA$1=1),'Marks Entry'!BA25,""))</f>
        <v/>
      </c>
      <c r="DP25" s="852" t="str">
        <f t="shared" si="112"/>
        <v/>
      </c>
      <c r="DQ25" s="156" t="str">
        <f t="shared" si="113"/>
        <v/>
      </c>
      <c r="DR25" s="156" t="str">
        <f t="shared" si="114"/>
        <v/>
      </c>
      <c r="DS25" s="156" t="str">
        <f t="shared" si="115"/>
        <v/>
      </c>
      <c r="DT25" s="191" t="str">
        <f t="shared" si="116"/>
        <v/>
      </c>
      <c r="DU25" s="152">
        <f t="shared" si="117"/>
        <v>0</v>
      </c>
      <c r="DV25" s="153">
        <f t="shared" si="118"/>
        <v>0</v>
      </c>
      <c r="DW25" s="153" t="str">
        <f t="shared" si="119"/>
        <v/>
      </c>
      <c r="DX25" s="153" t="str">
        <f>IF(OR($B25="NSO",$B25=0,DS25=""),"",IF(AND(DJ25="",DO25=""),"",IF('Master Sheet'!$D$19="YES",$DO$6-COUNTIF(DO25,"ML")*DO$6,DS$6-(COUNTIF(DJ25,"ML")*DJ$6)-(COUNTIF(DO25,"ML")*DO$6))))</f>
        <v/>
      </c>
      <c r="DY25" s="153" t="str">
        <f>IF(OR($B25="NSO",$B25=0),"",IF(AND(DH25="",DI25="",DM25=""),"",IF(AND('Master Sheet'!$D$19="YES",'Marks Entry'!$BA$1=1),100,IF(AND(DJ25="",DO25=""),SUM(($DQ$7+$DR$7)-(DU25+DV25)),SUM(($DQ$6+$DR$6)-(DU25+DV25))))))</f>
        <v/>
      </c>
      <c r="DZ25" s="152" t="str">
        <f t="shared" si="120"/>
        <v/>
      </c>
      <c r="EA25" s="153" t="str">
        <f t="shared" si="121"/>
        <v/>
      </c>
      <c r="EB25" s="152" t="str">
        <f t="shared" si="122"/>
        <v/>
      </c>
      <c r="EC25" s="584">
        <f>IF('Marks Entry'!BB25="","",'Marks Entry'!BB25)</f>
        <v>24</v>
      </c>
      <c r="ED25" s="584">
        <f>IF('Marks Entry'!BC25="","",'Marks Entry'!BC25)</f>
        <v>25</v>
      </c>
      <c r="EE25" s="584">
        <f>IF('Marks Entry'!BD25="","",'Marks Entry'!BD25)</f>
        <v>32</v>
      </c>
      <c r="EF25" s="590">
        <f t="shared" si="123"/>
        <v>81</v>
      </c>
      <c r="EG25" s="595">
        <f t="shared" si="124"/>
        <v>0</v>
      </c>
      <c r="EH25" s="595">
        <f t="shared" si="125"/>
        <v>0</v>
      </c>
      <c r="EI25" s="192">
        <f t="shared" si="126"/>
        <v>100</v>
      </c>
      <c r="EJ25" s="595" t="str">
        <f t="shared" si="127"/>
        <v/>
      </c>
      <c r="EK25" s="595" t="str">
        <f t="shared" si="128"/>
        <v>A</v>
      </c>
      <c r="EL25" s="193" t="str">
        <f t="shared" si="129"/>
        <v/>
      </c>
      <c r="EM25" s="193" t="str">
        <f t="shared" si="130"/>
        <v/>
      </c>
      <c r="EN25" s="193" t="str">
        <f t="shared" si="131"/>
        <v>II</v>
      </c>
      <c r="EO25" s="193" t="str">
        <f t="shared" si="132"/>
        <v>II</v>
      </c>
      <c r="EP25" s="193" t="str">
        <f t="shared" si="133"/>
        <v>I</v>
      </c>
      <c r="EQ25" s="193" t="str">
        <f t="shared" si="134"/>
        <v/>
      </c>
      <c r="ER25" s="194">
        <f t="shared" si="135"/>
        <v>0</v>
      </c>
      <c r="ES25" s="194">
        <f t="shared" si="136"/>
        <v>0</v>
      </c>
      <c r="ET25" s="194">
        <f t="shared" si="137"/>
        <v>0</v>
      </c>
      <c r="EU25" s="194">
        <f t="shared" si="138"/>
        <v>0</v>
      </c>
      <c r="EV25" s="194">
        <f t="shared" si="139"/>
        <v>0</v>
      </c>
      <c r="EW25" s="194" t="str">
        <f t="shared" si="140"/>
        <v/>
      </c>
      <c r="EX25" s="195" t="str">
        <f t="shared" si="141"/>
        <v/>
      </c>
      <c r="EY25" s="196">
        <f>IF('Marks Entry'!BE25="","",'Marks Entry'!BE25)</f>
        <v>8</v>
      </c>
      <c r="EZ25" s="196">
        <f>IF('Marks Entry'!BF25="","",'Marks Entry'!BF25)</f>
        <v>8</v>
      </c>
      <c r="FA25" s="196">
        <f>IF('Marks Entry'!BG25="","",'Marks Entry'!BG25)</f>
        <v>8</v>
      </c>
      <c r="FB25" s="596">
        <f t="shared" si="142"/>
        <v>24</v>
      </c>
      <c r="FC25" s="196">
        <f>IF('Marks Entry'!BH25="","",'Marks Entry'!BH25)</f>
        <v>50</v>
      </c>
      <c r="FD25" s="196">
        <f>IF('Marks Entry'!BI25="","",'Marks Entry'!BI25)</f>
        <v>68</v>
      </c>
      <c r="FE25" s="197">
        <f t="shared" si="143"/>
        <v>142</v>
      </c>
      <c r="FF25" s="198" t="str">
        <f t="shared" si="144"/>
        <v>B</v>
      </c>
      <c r="FG25" s="199" t="str">
        <f>IF(AND(E25=""),"",IF('Student DATA Entry'!L21="","",'Student DATA Entry'!L21))</f>
        <v/>
      </c>
      <c r="FH25" s="200" t="str">
        <f>IF(AND(E25=""),"",IF('Student DATA Entry'!M21="","",'Student DATA Entry'!M21))</f>
        <v/>
      </c>
      <c r="FI25" s="201" t="str">
        <f t="shared" si="145"/>
        <v/>
      </c>
      <c r="FJ25" s="188" t="str">
        <f t="shared" si="146"/>
        <v/>
      </c>
      <c r="FK25" s="188" t="str">
        <f t="shared" si="147"/>
        <v/>
      </c>
      <c r="FL25" s="202" t="str">
        <f t="shared" si="19"/>
        <v/>
      </c>
      <c r="FM25" s="188" t="str">
        <f t="shared" si="148"/>
        <v/>
      </c>
      <c r="FN25" s="203" t="str">
        <f t="shared" si="149"/>
        <v/>
      </c>
      <c r="FO25" s="202" t="str">
        <f t="shared" si="20"/>
        <v/>
      </c>
      <c r="FP25" s="204" t="str">
        <f t="shared" si="150"/>
        <v>II</v>
      </c>
      <c r="FQ25" s="188" t="str">
        <f t="shared" si="21"/>
        <v/>
      </c>
      <c r="FR25" s="188" t="str">
        <f t="shared" si="22"/>
        <v>II</v>
      </c>
      <c r="FS25" s="188" t="str">
        <f t="shared" si="23"/>
        <v/>
      </c>
      <c r="FT25" s="188" t="str">
        <f t="shared" si="24"/>
        <v/>
      </c>
      <c r="FU25" s="188" t="str">
        <f t="shared" si="151"/>
        <v/>
      </c>
      <c r="FV25" s="205" t="str">
        <f t="shared" si="25"/>
        <v/>
      </c>
      <c r="FW25" s="204" t="str">
        <f t="shared" si="152"/>
        <v>II</v>
      </c>
      <c r="FX25" s="188" t="str">
        <f t="shared" si="26"/>
        <v>II</v>
      </c>
      <c r="FY25" s="188" t="str">
        <f t="shared" si="27"/>
        <v/>
      </c>
      <c r="FZ25" s="188" t="str">
        <f t="shared" si="28"/>
        <v/>
      </c>
      <c r="GA25" s="188" t="str">
        <f t="shared" si="29"/>
        <v/>
      </c>
      <c r="GB25" s="188" t="str">
        <f t="shared" si="153"/>
        <v/>
      </c>
      <c r="GC25" s="205" t="str">
        <f t="shared" si="30"/>
        <v/>
      </c>
      <c r="GD25" s="204" t="str">
        <f t="shared" si="154"/>
        <v>I</v>
      </c>
      <c r="GE25" s="188" t="str">
        <f t="shared" si="31"/>
        <v>I</v>
      </c>
      <c r="GF25" s="188" t="str">
        <f t="shared" si="32"/>
        <v/>
      </c>
      <c r="GG25" s="188" t="str">
        <f t="shared" si="33"/>
        <v/>
      </c>
      <c r="GH25" s="188" t="str">
        <f t="shared" si="34"/>
        <v/>
      </c>
      <c r="GI25" s="188" t="str">
        <f t="shared" si="155"/>
        <v/>
      </c>
      <c r="GJ25" s="205" t="str">
        <f t="shared" si="35"/>
        <v/>
      </c>
      <c r="GK25" s="204" t="str">
        <f t="shared" si="156"/>
        <v/>
      </c>
      <c r="GL25" s="188" t="str">
        <f t="shared" si="36"/>
        <v/>
      </c>
      <c r="GM25" s="188" t="str">
        <f t="shared" si="37"/>
        <v/>
      </c>
      <c r="GN25" s="188" t="str">
        <f t="shared" si="38"/>
        <v/>
      </c>
      <c r="GO25" s="188" t="str">
        <f t="shared" si="39"/>
        <v/>
      </c>
      <c r="GP25" s="188" t="str">
        <f t="shared" si="157"/>
        <v/>
      </c>
      <c r="GQ25" s="205" t="str">
        <f t="shared" si="40"/>
        <v/>
      </c>
      <c r="GR25" s="188" t="str">
        <f t="shared" si="158"/>
        <v>A</v>
      </c>
      <c r="GS25" s="188" t="str">
        <f t="shared" si="159"/>
        <v>B</v>
      </c>
      <c r="GT25" s="206" t="str">
        <f t="shared" si="177"/>
        <v xml:space="preserve">    </v>
      </c>
      <c r="GU25" s="206" t="str">
        <f t="shared" si="160"/>
        <v xml:space="preserve">    </v>
      </c>
      <c r="GV25" s="206" t="str">
        <f t="shared" si="161"/>
        <v xml:space="preserve">    </v>
      </c>
      <c r="GW25" s="206" t="str">
        <f t="shared" si="162"/>
        <v xml:space="preserve">       </v>
      </c>
      <c r="GX25" s="598" t="str">
        <f t="shared" si="163"/>
        <v xml:space="preserve">     </v>
      </c>
      <c r="GY25" s="207" t="str">
        <f t="shared" si="164"/>
        <v/>
      </c>
      <c r="GZ25" s="606">
        <f>IF(AND(Q25="",AE25="",AZ25="",BW25="",CT25=""),"",IF(AND('Master Sheet'!$D$19="YES",'Marks Entry'!$BA$1=1),SUM(Q25,AE25,AZ25,BW25,DT25),SUM(Q25,AE25,AZ25,BW25,CT25)))</f>
        <v>568</v>
      </c>
      <c r="HA25" s="208">
        <f>IF(GZ25="","",IF(AND('Master Sheet'!$D$19="YES",'Marks Entry'!$BA$1=1),GZ25/((900)-DC25)*100,GZ25/((1000)-DC25)*100))</f>
        <v>56.8</v>
      </c>
      <c r="HB25" s="611" t="str">
        <f t="shared" si="165"/>
        <v/>
      </c>
      <c r="HC25" s="609" t="str">
        <f t="shared" si="166"/>
        <v/>
      </c>
      <c r="HD25" s="610" t="str">
        <f t="shared" si="167"/>
        <v/>
      </c>
      <c r="HE25" s="209" t="str">
        <f>IFERROR(IF(OR(GY25="SUPPLEMENTARY",GY25="RE-EXAM"),'Supp. Result Entry'!AS24,""),"")</f>
        <v/>
      </c>
      <c r="HF25" s="613" t="str">
        <f t="shared" si="168"/>
        <v/>
      </c>
      <c r="HG25" s="598" t="str">
        <f t="shared" si="169"/>
        <v/>
      </c>
      <c r="HH25" s="598" t="str">
        <f>IF(AND(HE25="",HF25="",HG25=""),"",IF(OR(GY25="SUPPLEMENTARY",GY25="RE-EXAM"),'Supp. Result Entry'!AS24,GY25))</f>
        <v/>
      </c>
      <c r="HI25" s="179"/>
      <c r="HY25" s="211" t="str">
        <f>IF('Supp. Result Entry'!U24="","",'Supp. Result Entry'!$U$6)</f>
        <v/>
      </c>
      <c r="HZ25" s="212" t="str">
        <f>IF('Supp. Result Entry'!X24="","",'Supp. Result Entry'!$X$6)</f>
        <v/>
      </c>
      <c r="IA25" s="212" t="str">
        <f>IF('Supp. Result Entry'!AA24="","",'Supp. Result Entry'!$AA$6)</f>
        <v/>
      </c>
      <c r="IB25" s="212" t="str">
        <f>IF('Supp. Result Entry'!AD24="","",'Supp. Result Entry'!$AD$6)</f>
        <v/>
      </c>
      <c r="IC25" s="212" t="str">
        <f>IF('Supp. Result Entry'!AG24="","",'Supp. Result Entry'!$AG$6)</f>
        <v/>
      </c>
      <c r="ID25" s="212" t="str">
        <f>IF('Supp. Result Entry'!AJ24="","",'Supp. Result Entry'!$AJ$6)</f>
        <v/>
      </c>
      <c r="IE25" s="212" t="str">
        <f>IF('Supp. Result Entry'!V24="","",'Supp. Result Entry'!V24)</f>
        <v/>
      </c>
      <c r="IF25" s="212" t="str">
        <f>IF('Supp. Result Entry'!Y24="","",'Supp. Result Entry'!Y24)</f>
        <v/>
      </c>
      <c r="IG25" s="212" t="str">
        <f>IF('Supp. Result Entry'!AB24="","",'Supp. Result Entry'!AB24)</f>
        <v/>
      </c>
      <c r="IH25" s="212" t="str">
        <f>IF('Supp. Result Entry'!AE24="","",'Supp. Result Entry'!AE24)</f>
        <v/>
      </c>
      <c r="II25" s="212" t="str">
        <f>IF('Supp. Result Entry'!AH24="","",'Supp. Result Entry'!AH24)</f>
        <v/>
      </c>
      <c r="IJ25" s="212" t="str">
        <f>IF('Supp. Result Entry'!AK24="","",'Supp. Result Entry'!AK24)</f>
        <v/>
      </c>
      <c r="IK25" s="212" t="str">
        <f>IF('Supp. Result Entry'!W24="","",'Supp. Result Entry'!W24)</f>
        <v/>
      </c>
      <c r="IL25" s="212" t="str">
        <f>IF('Supp. Result Entry'!Z24="","",'Supp. Result Entry'!Z24)</f>
        <v/>
      </c>
      <c r="IM25" s="212" t="str">
        <f>IF('Supp. Result Entry'!AC24="","",'Supp. Result Entry'!AC24)</f>
        <v/>
      </c>
      <c r="IN25" s="212" t="str">
        <f>IF('Supp. Result Entry'!AF24="","",'Supp. Result Entry'!AF24)</f>
        <v/>
      </c>
      <c r="IO25" s="212" t="str">
        <f>IF('Supp. Result Entry'!AI24="","",'Supp. Result Entry'!AI24)</f>
        <v/>
      </c>
      <c r="IP25" s="212" t="str">
        <f>IF('Supp. Result Entry'!AL24="","",'Supp. Result Entry'!AL24)</f>
        <v/>
      </c>
      <c r="IQ25" s="212">
        <f>COUNTIF('Supp. Result Entry'!K24:Q24,"S")</f>
        <v>0</v>
      </c>
      <c r="IR25" s="212">
        <f t="shared" si="170"/>
        <v>0</v>
      </c>
      <c r="IS25" s="212">
        <f t="shared" si="171"/>
        <v>0</v>
      </c>
      <c r="IT25" s="212" t="str">
        <f t="shared" si="41"/>
        <v/>
      </c>
      <c r="IU25" s="212" t="str">
        <f t="shared" si="42"/>
        <v/>
      </c>
      <c r="IV25" s="212" t="str">
        <f t="shared" si="43"/>
        <v/>
      </c>
      <c r="IW25" s="212" t="str">
        <f t="shared" si="44"/>
        <v/>
      </c>
      <c r="IX25" s="212" t="str">
        <f t="shared" si="45"/>
        <v/>
      </c>
      <c r="IY25" s="212" t="str">
        <f t="shared" si="172"/>
        <v/>
      </c>
      <c r="IZ25" s="212" t="str">
        <f t="shared" si="173"/>
        <v/>
      </c>
      <c r="JA25" s="212" t="str">
        <f t="shared" si="46"/>
        <v/>
      </c>
      <c r="JB25" s="210" t="str">
        <f t="shared" si="174"/>
        <v/>
      </c>
    </row>
    <row r="26" spans="1:262" s="210" customFormat="1" ht="21" customHeight="1">
      <c r="A26" s="183">
        <v>19</v>
      </c>
      <c r="B26" s="184" t="str">
        <f>IF('Marks Entry'!B26="","",'Marks Entry'!B26)</f>
        <v/>
      </c>
      <c r="C26" s="185" t="str">
        <f>IF('Marks Entry'!D26="","",'Marks Entry'!D26)</f>
        <v/>
      </c>
      <c r="D26" s="186" t="str">
        <f>IF('Marks Entry'!E26="","",'Marks Entry'!E26)</f>
        <v/>
      </c>
      <c r="E26" s="187" t="str">
        <f>IF('Marks Entry'!F26="","",'Marks Entry'!F26)</f>
        <v/>
      </c>
      <c r="F26" s="187" t="str">
        <f>IF('Marks Entry'!G26="","",'Marks Entry'!G26)</f>
        <v/>
      </c>
      <c r="G26" s="187" t="str">
        <f>IF('Marks Entry'!H26="","",'Marks Entry'!H26)</f>
        <v/>
      </c>
      <c r="H26" s="188" t="str">
        <f>IF('Marks Entry'!I26="","",'Marks Entry'!I26)</f>
        <v/>
      </c>
      <c r="I26" s="189" t="str">
        <f>IF('Marks Entry'!J26="","",'Marks Entry'!J26)</f>
        <v/>
      </c>
      <c r="J26" s="545">
        <f>IF('Marks Entry'!K26="","",'Marks Entry'!K26)</f>
        <v>4</v>
      </c>
      <c r="K26" s="545">
        <f>IF('Marks Entry'!L26="","",'Marks Entry'!L26)</f>
        <v>4</v>
      </c>
      <c r="L26" s="545">
        <f>IF('Marks Entry'!M26="","",'Marks Entry'!M26)</f>
        <v>8</v>
      </c>
      <c r="M26" s="546">
        <f t="shared" si="47"/>
        <v>16</v>
      </c>
      <c r="N26" s="545">
        <f>IF('Marks Entry'!N26="","",'Marks Entry'!N26)</f>
        <v>24</v>
      </c>
      <c r="O26" s="546">
        <f t="shared" si="48"/>
        <v>40</v>
      </c>
      <c r="P26" s="545">
        <f>IF('Marks Entry'!O26="","",'Marks Entry'!O26)</f>
        <v>24</v>
      </c>
      <c r="Q26" s="547">
        <f t="shared" si="49"/>
        <v>64</v>
      </c>
      <c r="R26" s="152">
        <f t="shared" si="50"/>
        <v>0</v>
      </c>
      <c r="S26" s="152">
        <f t="shared" si="51"/>
        <v>0</v>
      </c>
      <c r="T26" s="153">
        <f t="shared" si="52"/>
        <v>200</v>
      </c>
      <c r="U26" s="152" t="str">
        <f t="shared" si="53"/>
        <v/>
      </c>
      <c r="V26" s="152" t="str">
        <f t="shared" si="54"/>
        <v/>
      </c>
      <c r="W26" s="152" t="str">
        <f t="shared" si="55"/>
        <v/>
      </c>
      <c r="X26" s="545">
        <f>IF('Marks Entry'!P26="","",'Marks Entry'!P26)</f>
        <v>7</v>
      </c>
      <c r="Y26" s="545">
        <f>IF('Marks Entry'!Q26="","",'Marks Entry'!Q26)</f>
        <v>10</v>
      </c>
      <c r="Z26" s="545">
        <f>IF('Marks Entry'!R26="","",'Marks Entry'!R26)</f>
        <v>9</v>
      </c>
      <c r="AA26" s="546">
        <f t="shared" si="56"/>
        <v>26</v>
      </c>
      <c r="AB26" s="545">
        <f>IF('Marks Entry'!S26="","",'Marks Entry'!S26)</f>
        <v>25</v>
      </c>
      <c r="AC26" s="546">
        <f t="shared" si="57"/>
        <v>51</v>
      </c>
      <c r="AD26" s="545">
        <f>IF('Marks Entry'!T26="","",'Marks Entry'!T26)</f>
        <v>61</v>
      </c>
      <c r="AE26" s="547">
        <f t="shared" si="58"/>
        <v>112</v>
      </c>
      <c r="AF26" s="152">
        <f t="shared" si="59"/>
        <v>0</v>
      </c>
      <c r="AG26" s="152">
        <f t="shared" si="60"/>
        <v>0</v>
      </c>
      <c r="AH26" s="153">
        <f t="shared" si="61"/>
        <v>200</v>
      </c>
      <c r="AI26" s="152" t="str">
        <f t="shared" si="62"/>
        <v/>
      </c>
      <c r="AJ26" s="152" t="str">
        <f t="shared" si="63"/>
        <v/>
      </c>
      <c r="AK26" s="152" t="str">
        <f t="shared" si="64"/>
        <v/>
      </c>
      <c r="AL26" s="573" t="str">
        <f>IF('Marks Entry'!U26="","",'Marks Entry'!U26)</f>
        <v>B</v>
      </c>
      <c r="AM26" s="573">
        <f>IF('Marks Entry'!V26="","",'Marks Entry'!V26)</f>
        <v>9</v>
      </c>
      <c r="AN26" s="573">
        <f>IF('Marks Entry'!W26="","",'Marks Entry'!W26)</f>
        <v>6</v>
      </c>
      <c r="AO26" s="573">
        <f>IF('Marks Entry'!X26="","",'Marks Entry'!X26)</f>
        <v>7</v>
      </c>
      <c r="AP26" s="572">
        <f t="shared" si="65"/>
        <v>22</v>
      </c>
      <c r="AQ26" s="573">
        <f>IF('Marks Entry'!Y26="","",'Marks Entry'!Y26)</f>
        <v>12</v>
      </c>
      <c r="AR26" s="573">
        <f>IF('Marks Entry'!Z26="","",'Marks Entry'!Z26)</f>
        <v>12</v>
      </c>
      <c r="AS26" s="572">
        <f t="shared" si="66"/>
        <v>24</v>
      </c>
      <c r="AT26" s="572">
        <f t="shared" si="67"/>
        <v>46</v>
      </c>
      <c r="AU26" s="573">
        <f>IF('Marks Entry'!AA26="","",'Marks Entry'!AA26)</f>
        <v>12</v>
      </c>
      <c r="AV26" s="573">
        <f>IF('Marks Entry'!AB26="","",'Marks Entry'!AB26)</f>
        <v>12</v>
      </c>
      <c r="AW26" s="572">
        <f t="shared" si="68"/>
        <v>24</v>
      </c>
      <c r="AX26" s="156">
        <f t="shared" si="69"/>
        <v>46</v>
      </c>
      <c r="AY26" s="156">
        <f t="shared" si="70"/>
        <v>24</v>
      </c>
      <c r="AZ26" s="191">
        <f t="shared" si="71"/>
        <v>70</v>
      </c>
      <c r="BA26" s="152">
        <f t="shared" si="72"/>
        <v>0</v>
      </c>
      <c r="BB26" s="153">
        <f t="shared" si="73"/>
        <v>0</v>
      </c>
      <c r="BC26" s="153">
        <f t="shared" si="74"/>
        <v>70</v>
      </c>
      <c r="BD26" s="153">
        <f t="shared" si="75"/>
        <v>50</v>
      </c>
      <c r="BE26" s="153">
        <f t="shared" si="76"/>
        <v>150</v>
      </c>
      <c r="BF26" s="152" t="str">
        <f t="shared" si="77"/>
        <v/>
      </c>
      <c r="BG26" s="153" t="str">
        <f t="shared" si="175"/>
        <v>F</v>
      </c>
      <c r="BH26" s="152" t="str">
        <f t="shared" si="78"/>
        <v>F</v>
      </c>
      <c r="BI26" s="580" t="str">
        <f>IF('Marks Entry'!AC26="","",'Marks Entry'!AC26)</f>
        <v>A</v>
      </c>
      <c r="BJ26" s="580">
        <f>IF('Marks Entry'!AD26="","",'Marks Entry'!AD26)</f>
        <v>3</v>
      </c>
      <c r="BK26" s="580">
        <f>IF('Marks Entry'!AE26="","",'Marks Entry'!AE26)</f>
        <v>4</v>
      </c>
      <c r="BL26" s="580" t="str">
        <f>IF('Marks Entry'!AF26="","",'Marks Entry'!AF26)</f>
        <v/>
      </c>
      <c r="BM26" s="581">
        <f t="shared" si="79"/>
        <v>7</v>
      </c>
      <c r="BN26" s="580">
        <f>IF('Marks Entry'!AG26="","",'Marks Entry'!AG26)</f>
        <v>20</v>
      </c>
      <c r="BO26" s="580" t="str">
        <f>IF('Marks Entry'!AH26="","",'Marks Entry'!AH26)</f>
        <v/>
      </c>
      <c r="BP26" s="581">
        <f t="shared" si="80"/>
        <v>20</v>
      </c>
      <c r="BQ26" s="581">
        <f t="shared" si="81"/>
        <v>27</v>
      </c>
      <c r="BR26" s="580">
        <f>IF('Marks Entry'!AI26="","",'Marks Entry'!AI26)</f>
        <v>22</v>
      </c>
      <c r="BS26" s="580" t="str">
        <f>IF('Marks Entry'!AJ26="","",'Marks Entry'!AJ26)</f>
        <v/>
      </c>
      <c r="BT26" s="581">
        <f t="shared" si="82"/>
        <v>22</v>
      </c>
      <c r="BU26" s="156">
        <f t="shared" si="83"/>
        <v>49</v>
      </c>
      <c r="BV26" s="156" t="str">
        <f t="shared" si="84"/>
        <v/>
      </c>
      <c r="BW26" s="191">
        <f t="shared" si="85"/>
        <v>49</v>
      </c>
      <c r="BX26" s="152">
        <f t="shared" si="86"/>
        <v>0</v>
      </c>
      <c r="BY26" s="153">
        <f t="shared" si="87"/>
        <v>0</v>
      </c>
      <c r="BZ26" s="153">
        <f t="shared" si="88"/>
        <v>100</v>
      </c>
      <c r="CA26" s="153" t="str">
        <f t="shared" si="89"/>
        <v/>
      </c>
      <c r="CB26" s="153">
        <f t="shared" si="90"/>
        <v>200</v>
      </c>
      <c r="CC26" s="152" t="str">
        <f t="shared" si="91"/>
        <v/>
      </c>
      <c r="CD26" s="153" t="str">
        <f t="shared" si="92"/>
        <v>F</v>
      </c>
      <c r="CE26" s="152" t="str">
        <f t="shared" si="93"/>
        <v>F</v>
      </c>
      <c r="CF26" s="580" t="str">
        <f>IF('Marks Entry'!AK26="","",'Marks Entry'!AK26)</f>
        <v>A</v>
      </c>
      <c r="CG26" s="580">
        <f>IF('Marks Entry'!AL26="","",'Marks Entry'!AL26)</f>
        <v>14</v>
      </c>
      <c r="CH26" s="580">
        <f>IF('Marks Entry'!AM26="","",'Marks Entry'!AM26)</f>
        <v>10</v>
      </c>
      <c r="CI26" s="580" t="str">
        <f>IF('Marks Entry'!AN26="","",'Marks Entry'!AN26)</f>
        <v/>
      </c>
      <c r="CJ26" s="581">
        <f t="shared" si="94"/>
        <v>24</v>
      </c>
      <c r="CK26" s="580">
        <f>IF('Marks Entry'!AO26="","",'Marks Entry'!AO26)</f>
        <v>26</v>
      </c>
      <c r="CL26" s="580">
        <f>IF('Marks Entry'!AP26="","",'Marks Entry'!AP26)</f>
        <v>10</v>
      </c>
      <c r="CM26" s="581">
        <f t="shared" si="95"/>
        <v>36</v>
      </c>
      <c r="CN26" s="581">
        <f t="shared" si="96"/>
        <v>60</v>
      </c>
      <c r="CO26" s="580">
        <f>IF('Marks Entry'!AQ26="","",'Marks Entry'!AQ26)</f>
        <v>35</v>
      </c>
      <c r="CP26" s="580">
        <f>IF('Marks Entry'!AR26="","",'Marks Entry'!AR26)</f>
        <v>24</v>
      </c>
      <c r="CQ26" s="581">
        <f t="shared" si="97"/>
        <v>59</v>
      </c>
      <c r="CR26" s="156">
        <f t="shared" si="98"/>
        <v>85</v>
      </c>
      <c r="CS26" s="156">
        <f t="shared" si="99"/>
        <v>34</v>
      </c>
      <c r="CT26" s="191">
        <f t="shared" si="100"/>
        <v>119</v>
      </c>
      <c r="CU26" s="152">
        <f t="shared" si="101"/>
        <v>0</v>
      </c>
      <c r="CV26" s="153">
        <f t="shared" si="102"/>
        <v>0</v>
      </c>
      <c r="CW26" s="153">
        <f t="shared" si="103"/>
        <v>70</v>
      </c>
      <c r="CX26" s="153">
        <f t="shared" si="104"/>
        <v>50</v>
      </c>
      <c r="CY26" s="153">
        <f t="shared" si="176"/>
        <v>150</v>
      </c>
      <c r="CZ26" s="152" t="str">
        <f t="shared" si="105"/>
        <v/>
      </c>
      <c r="DA26" s="153" t="str">
        <f t="shared" si="106"/>
        <v>P</v>
      </c>
      <c r="DB26" s="152" t="str">
        <f t="shared" si="107"/>
        <v>II</v>
      </c>
      <c r="DC26" s="153">
        <f t="shared" si="108"/>
        <v>0</v>
      </c>
      <c r="DD26" s="851" t="str">
        <f>IF('Marks Entry'!AS26="","",IF(OR('Master Sheet'!$D$19="YES",'Marks Entry'!$BA$1=1),'Marks Entry'!AS26,""))</f>
        <v/>
      </c>
      <c r="DE26" s="851" t="str">
        <f>IF('Marks Entry'!AT26="","",IF(OR('Master Sheet'!$D$19="YES",'Marks Entry'!$BA$1=1),'Marks Entry'!AT26,""))</f>
        <v/>
      </c>
      <c r="DF26" s="851" t="str">
        <f>IF('Marks Entry'!AU26="","",IF(OR('Master Sheet'!$D$19="YES",'Marks Entry'!$BA$1=1),'Marks Entry'!AU26,""))</f>
        <v/>
      </c>
      <c r="DG26" s="851" t="str">
        <f>IF('Marks Entry'!AV26="","",IF(OR('Master Sheet'!$D$19="YES",'Marks Entry'!$BA$1=1),'Marks Entry'!AV26,""))</f>
        <v/>
      </c>
      <c r="DH26" s="852" t="str">
        <f t="shared" si="109"/>
        <v/>
      </c>
      <c r="DI26" s="851" t="str">
        <f>IF('Marks Entry'!AW26="","",IF(OR('Master Sheet'!$D$19="YES",'Marks Entry'!$BA$1=1),'Marks Entry'!AW26,""))</f>
        <v/>
      </c>
      <c r="DJ26" s="851" t="str">
        <f>IF('Marks Entry'!AX26="","",IF(OR('Master Sheet'!$D$19="YES",'Marks Entry'!$BA$1=1),'Marks Entry'!AX26,""))</f>
        <v/>
      </c>
      <c r="DK26" s="852" t="str">
        <f t="shared" si="110"/>
        <v/>
      </c>
      <c r="DL26" s="852" t="str">
        <f t="shared" si="111"/>
        <v/>
      </c>
      <c r="DM26" s="851" t="str">
        <f>IF('Marks Entry'!AY26="","",IF(OR('Master Sheet'!$D$19="YES",'Marks Entry'!$BA$1=1),'Marks Entry'!AY26,""))</f>
        <v/>
      </c>
      <c r="DN26" s="851" t="str">
        <f>IF('Marks Entry'!AZ26="","",IF(OR('Master Sheet'!$D$19="YES",'Marks Entry'!$BA$1=1),'Marks Entry'!AZ26,""))</f>
        <v/>
      </c>
      <c r="DO26" s="851" t="str">
        <f>IF('Marks Entry'!BA26="","",IF(OR('Master Sheet'!$D$19="YES",'Marks Entry'!$BA$1=1),'Marks Entry'!BA26,""))</f>
        <v/>
      </c>
      <c r="DP26" s="852" t="str">
        <f t="shared" si="112"/>
        <v/>
      </c>
      <c r="DQ26" s="156" t="str">
        <f t="shared" si="113"/>
        <v/>
      </c>
      <c r="DR26" s="156" t="str">
        <f t="shared" si="114"/>
        <v/>
      </c>
      <c r="DS26" s="156" t="str">
        <f t="shared" si="115"/>
        <v/>
      </c>
      <c r="DT26" s="191" t="str">
        <f t="shared" si="116"/>
        <v/>
      </c>
      <c r="DU26" s="152">
        <f t="shared" si="117"/>
        <v>0</v>
      </c>
      <c r="DV26" s="153">
        <f t="shared" si="118"/>
        <v>0</v>
      </c>
      <c r="DW26" s="153" t="str">
        <f t="shared" si="119"/>
        <v/>
      </c>
      <c r="DX26" s="153" t="str">
        <f>IF(OR($B26="NSO",$B26=0,DS26=""),"",IF(AND(DJ26="",DO26=""),"",IF('Master Sheet'!$D$19="YES",$DO$6-COUNTIF(DO26,"ML")*DO$6,DS$6-(COUNTIF(DJ26,"ML")*DJ$6)-(COUNTIF(DO26,"ML")*DO$6))))</f>
        <v/>
      </c>
      <c r="DY26" s="153" t="str">
        <f>IF(OR($B26="NSO",$B26=0),"",IF(AND(DH26="",DI26="",DM26=""),"",IF(AND('Master Sheet'!$D$19="YES",'Marks Entry'!$BA$1=1),100,IF(AND(DJ26="",DO26=""),SUM(($DQ$7+$DR$7)-(DU26+DV26)),SUM(($DQ$6+$DR$6)-(DU26+DV26))))))</f>
        <v/>
      </c>
      <c r="DZ26" s="152" t="str">
        <f t="shared" si="120"/>
        <v/>
      </c>
      <c r="EA26" s="153" t="str">
        <f t="shared" si="121"/>
        <v/>
      </c>
      <c r="EB26" s="152" t="str">
        <f t="shared" si="122"/>
        <v/>
      </c>
      <c r="EC26" s="584">
        <f>IF('Marks Entry'!BB26="","",'Marks Entry'!BB26)</f>
        <v>24</v>
      </c>
      <c r="ED26" s="584">
        <f>IF('Marks Entry'!BC26="","",'Marks Entry'!BC26)</f>
        <v>25</v>
      </c>
      <c r="EE26" s="584">
        <f>IF('Marks Entry'!BD26="","",'Marks Entry'!BD26)</f>
        <v>32</v>
      </c>
      <c r="EF26" s="590">
        <f t="shared" si="123"/>
        <v>81</v>
      </c>
      <c r="EG26" s="595">
        <f t="shared" si="124"/>
        <v>0</v>
      </c>
      <c r="EH26" s="595">
        <f t="shared" si="125"/>
        <v>0</v>
      </c>
      <c r="EI26" s="192">
        <f t="shared" si="126"/>
        <v>100</v>
      </c>
      <c r="EJ26" s="595" t="str">
        <f t="shared" si="127"/>
        <v/>
      </c>
      <c r="EK26" s="595" t="str">
        <f t="shared" si="128"/>
        <v>A</v>
      </c>
      <c r="EL26" s="193" t="str">
        <f t="shared" si="129"/>
        <v/>
      </c>
      <c r="EM26" s="193" t="str">
        <f t="shared" si="130"/>
        <v/>
      </c>
      <c r="EN26" s="193" t="str">
        <f t="shared" si="131"/>
        <v>F</v>
      </c>
      <c r="EO26" s="193" t="str">
        <f t="shared" si="132"/>
        <v>F</v>
      </c>
      <c r="EP26" s="193" t="str">
        <f t="shared" si="133"/>
        <v>II</v>
      </c>
      <c r="EQ26" s="193" t="str">
        <f t="shared" si="134"/>
        <v/>
      </c>
      <c r="ER26" s="194">
        <f t="shared" si="135"/>
        <v>2</v>
      </c>
      <c r="ES26" s="194">
        <f t="shared" si="136"/>
        <v>0</v>
      </c>
      <c r="ET26" s="194">
        <f t="shared" si="137"/>
        <v>0</v>
      </c>
      <c r="EU26" s="194">
        <f t="shared" si="138"/>
        <v>0</v>
      </c>
      <c r="EV26" s="194">
        <f t="shared" si="139"/>
        <v>0</v>
      </c>
      <c r="EW26" s="194" t="str">
        <f t="shared" si="140"/>
        <v/>
      </c>
      <c r="EX26" s="195" t="str">
        <f t="shared" si="141"/>
        <v/>
      </c>
      <c r="EY26" s="196">
        <f>IF('Marks Entry'!BE26="","",'Marks Entry'!BE26)</f>
        <v>7</v>
      </c>
      <c r="EZ26" s="196">
        <f>IF('Marks Entry'!BF26="","",'Marks Entry'!BF26)</f>
        <v>7</v>
      </c>
      <c r="FA26" s="196">
        <f>IF('Marks Entry'!BG26="","",'Marks Entry'!BG26)</f>
        <v>7</v>
      </c>
      <c r="FB26" s="596">
        <f t="shared" si="142"/>
        <v>21</v>
      </c>
      <c r="FC26" s="196">
        <f>IF('Marks Entry'!BH26="","",'Marks Entry'!BH26)</f>
        <v>41</v>
      </c>
      <c r="FD26" s="196">
        <f>IF('Marks Entry'!BI26="","",'Marks Entry'!BI26)</f>
        <v>68</v>
      </c>
      <c r="FE26" s="197">
        <f t="shared" si="143"/>
        <v>130</v>
      </c>
      <c r="FF26" s="198" t="str">
        <f t="shared" si="144"/>
        <v>B</v>
      </c>
      <c r="FG26" s="199" t="str">
        <f>IF(AND(E26=""),"",IF('Student DATA Entry'!L22="","",'Student DATA Entry'!L22))</f>
        <v/>
      </c>
      <c r="FH26" s="200" t="str">
        <f>IF(AND(E26=""),"",IF('Student DATA Entry'!M22="","",'Student DATA Entry'!M22))</f>
        <v/>
      </c>
      <c r="FI26" s="201" t="str">
        <f t="shared" si="145"/>
        <v/>
      </c>
      <c r="FJ26" s="188" t="str">
        <f t="shared" si="146"/>
        <v/>
      </c>
      <c r="FK26" s="188" t="str">
        <f t="shared" si="147"/>
        <v/>
      </c>
      <c r="FL26" s="202" t="str">
        <f t="shared" si="19"/>
        <v/>
      </c>
      <c r="FM26" s="188" t="str">
        <f t="shared" si="148"/>
        <v/>
      </c>
      <c r="FN26" s="203" t="str">
        <f t="shared" si="149"/>
        <v/>
      </c>
      <c r="FO26" s="202" t="str">
        <f t="shared" si="20"/>
        <v/>
      </c>
      <c r="FP26" s="204" t="str">
        <f t="shared" si="150"/>
        <v>F</v>
      </c>
      <c r="FQ26" s="188" t="str">
        <f t="shared" si="21"/>
        <v/>
      </c>
      <c r="FR26" s="188" t="str">
        <f t="shared" si="22"/>
        <v>F</v>
      </c>
      <c r="FS26" s="188" t="str">
        <f t="shared" si="23"/>
        <v/>
      </c>
      <c r="FT26" s="188" t="str">
        <f t="shared" si="24"/>
        <v/>
      </c>
      <c r="FU26" s="188" t="str">
        <f t="shared" si="151"/>
        <v/>
      </c>
      <c r="FV26" s="205" t="str">
        <f t="shared" si="25"/>
        <v/>
      </c>
      <c r="FW26" s="204" t="str">
        <f t="shared" si="152"/>
        <v>F</v>
      </c>
      <c r="FX26" s="188" t="str">
        <f t="shared" si="26"/>
        <v>F</v>
      </c>
      <c r="FY26" s="188" t="str">
        <f t="shared" si="27"/>
        <v/>
      </c>
      <c r="FZ26" s="188" t="str">
        <f t="shared" si="28"/>
        <v/>
      </c>
      <c r="GA26" s="188" t="str">
        <f t="shared" si="29"/>
        <v/>
      </c>
      <c r="GB26" s="188" t="str">
        <f t="shared" si="153"/>
        <v/>
      </c>
      <c r="GC26" s="205" t="str">
        <f t="shared" si="30"/>
        <v/>
      </c>
      <c r="GD26" s="204" t="str">
        <f t="shared" si="154"/>
        <v>II</v>
      </c>
      <c r="GE26" s="188" t="str">
        <f t="shared" si="31"/>
        <v>II</v>
      </c>
      <c r="GF26" s="188" t="str">
        <f t="shared" si="32"/>
        <v/>
      </c>
      <c r="GG26" s="188" t="str">
        <f t="shared" si="33"/>
        <v/>
      </c>
      <c r="GH26" s="188" t="str">
        <f t="shared" si="34"/>
        <v/>
      </c>
      <c r="GI26" s="188" t="str">
        <f t="shared" si="155"/>
        <v/>
      </c>
      <c r="GJ26" s="205" t="str">
        <f t="shared" si="35"/>
        <v/>
      </c>
      <c r="GK26" s="204" t="str">
        <f t="shared" si="156"/>
        <v/>
      </c>
      <c r="GL26" s="188" t="str">
        <f t="shared" si="36"/>
        <v/>
      </c>
      <c r="GM26" s="188" t="str">
        <f t="shared" si="37"/>
        <v/>
      </c>
      <c r="GN26" s="188" t="str">
        <f t="shared" si="38"/>
        <v/>
      </c>
      <c r="GO26" s="188" t="str">
        <f t="shared" si="39"/>
        <v/>
      </c>
      <c r="GP26" s="188" t="str">
        <f t="shared" si="157"/>
        <v/>
      </c>
      <c r="GQ26" s="205" t="str">
        <f t="shared" si="40"/>
        <v/>
      </c>
      <c r="GR26" s="188" t="str">
        <f t="shared" si="158"/>
        <v>A</v>
      </c>
      <c r="GS26" s="188" t="str">
        <f t="shared" si="159"/>
        <v>B</v>
      </c>
      <c r="GT26" s="206" t="str">
        <f t="shared" si="177"/>
        <v xml:space="preserve">  BIOLOGY HISTORY </v>
      </c>
      <c r="GU26" s="206" t="str">
        <f t="shared" si="160"/>
        <v xml:space="preserve">    </v>
      </c>
      <c r="GV26" s="206" t="str">
        <f t="shared" si="161"/>
        <v xml:space="preserve">    </v>
      </c>
      <c r="GW26" s="206" t="str">
        <f t="shared" si="162"/>
        <v xml:space="preserve">       </v>
      </c>
      <c r="GX26" s="598" t="str">
        <f t="shared" si="163"/>
        <v xml:space="preserve">     </v>
      </c>
      <c r="GY26" s="207" t="str">
        <f t="shared" si="164"/>
        <v/>
      </c>
      <c r="GZ26" s="606">
        <f>IF(AND(Q26="",AE26="",AZ26="",BW26="",CT26=""),"",IF(AND('Master Sheet'!$D$19="YES",'Marks Entry'!$BA$1=1),SUM(Q26,AE26,AZ26,BW26,DT26),SUM(Q26,AE26,AZ26,BW26,CT26)))</f>
        <v>414</v>
      </c>
      <c r="HA26" s="208">
        <f>IF(GZ26="","",IF(AND('Master Sheet'!$D$19="YES",'Marks Entry'!$BA$1=1),GZ26/((900)-DC26)*100,GZ26/((1000)-DC26)*100))</f>
        <v>41.4</v>
      </c>
      <c r="HB26" s="611" t="str">
        <f t="shared" si="165"/>
        <v/>
      </c>
      <c r="HC26" s="609" t="str">
        <f t="shared" si="166"/>
        <v/>
      </c>
      <c r="HD26" s="610" t="str">
        <f t="shared" si="167"/>
        <v/>
      </c>
      <c r="HE26" s="209" t="str">
        <f>IFERROR(IF(OR(GY26="SUPPLEMENTARY",GY26="RE-EXAM"),'Supp. Result Entry'!AS25,""),"")</f>
        <v/>
      </c>
      <c r="HF26" s="613" t="str">
        <f t="shared" si="168"/>
        <v/>
      </c>
      <c r="HG26" s="598" t="str">
        <f t="shared" si="169"/>
        <v/>
      </c>
      <c r="HH26" s="598" t="str">
        <f>IF(AND(HE26="",HF26="",HG26=""),"",IF(OR(GY26="SUPPLEMENTARY",GY26="RE-EXAM"),'Supp. Result Entry'!AS25,GY26))</f>
        <v/>
      </c>
      <c r="HI26" s="179"/>
      <c r="HY26" s="211" t="str">
        <f>IF('Supp. Result Entry'!U25="","",'Supp. Result Entry'!$U$6)</f>
        <v/>
      </c>
      <c r="HZ26" s="212" t="str">
        <f>IF('Supp. Result Entry'!X25="","",'Supp. Result Entry'!$X$6)</f>
        <v/>
      </c>
      <c r="IA26" s="212" t="str">
        <f>IF('Supp. Result Entry'!AA25="","",'Supp. Result Entry'!$AA$6)</f>
        <v/>
      </c>
      <c r="IB26" s="212" t="str">
        <f>IF('Supp. Result Entry'!AD25="","",'Supp. Result Entry'!$AD$6)</f>
        <v/>
      </c>
      <c r="IC26" s="212" t="str">
        <f>IF('Supp. Result Entry'!AG25="","",'Supp. Result Entry'!$AG$6)</f>
        <v/>
      </c>
      <c r="ID26" s="212" t="str">
        <f>IF('Supp. Result Entry'!AJ25="","",'Supp. Result Entry'!$AJ$6)</f>
        <v/>
      </c>
      <c r="IE26" s="212" t="str">
        <f>IF('Supp. Result Entry'!V25="","",'Supp. Result Entry'!V25)</f>
        <v/>
      </c>
      <c r="IF26" s="212" t="str">
        <f>IF('Supp. Result Entry'!Y25="","",'Supp. Result Entry'!Y25)</f>
        <v/>
      </c>
      <c r="IG26" s="212" t="str">
        <f>IF('Supp. Result Entry'!AB25="","",'Supp. Result Entry'!AB25)</f>
        <v/>
      </c>
      <c r="IH26" s="212" t="str">
        <f>IF('Supp. Result Entry'!AE25="","",'Supp. Result Entry'!AE25)</f>
        <v/>
      </c>
      <c r="II26" s="212" t="str">
        <f>IF('Supp. Result Entry'!AH25="","",'Supp. Result Entry'!AH25)</f>
        <v/>
      </c>
      <c r="IJ26" s="212" t="str">
        <f>IF('Supp. Result Entry'!AK25="","",'Supp. Result Entry'!AK25)</f>
        <v/>
      </c>
      <c r="IK26" s="212" t="str">
        <f>IF('Supp. Result Entry'!W25="","",'Supp. Result Entry'!W25)</f>
        <v/>
      </c>
      <c r="IL26" s="212" t="str">
        <f>IF('Supp. Result Entry'!Z25="","",'Supp. Result Entry'!Z25)</f>
        <v/>
      </c>
      <c r="IM26" s="212" t="str">
        <f>IF('Supp. Result Entry'!AC25="","",'Supp. Result Entry'!AC25)</f>
        <v/>
      </c>
      <c r="IN26" s="212" t="str">
        <f>IF('Supp. Result Entry'!AF25="","",'Supp. Result Entry'!AF25)</f>
        <v/>
      </c>
      <c r="IO26" s="212" t="str">
        <f>IF('Supp. Result Entry'!AI25="","",'Supp. Result Entry'!AI25)</f>
        <v/>
      </c>
      <c r="IP26" s="212" t="str">
        <f>IF('Supp. Result Entry'!AL25="","",'Supp. Result Entry'!AL25)</f>
        <v/>
      </c>
      <c r="IQ26" s="212">
        <f>COUNTIF('Supp. Result Entry'!K25:Q25,"S")</f>
        <v>0</v>
      </c>
      <c r="IR26" s="212">
        <f t="shared" si="170"/>
        <v>0</v>
      </c>
      <c r="IS26" s="212">
        <f t="shared" si="171"/>
        <v>0</v>
      </c>
      <c r="IT26" s="212" t="str">
        <f t="shared" si="41"/>
        <v/>
      </c>
      <c r="IU26" s="212" t="str">
        <f t="shared" si="42"/>
        <v/>
      </c>
      <c r="IV26" s="212" t="str">
        <f t="shared" si="43"/>
        <v/>
      </c>
      <c r="IW26" s="212" t="str">
        <f t="shared" si="44"/>
        <v/>
      </c>
      <c r="IX26" s="212" t="str">
        <f t="shared" si="45"/>
        <v/>
      </c>
      <c r="IY26" s="212" t="str">
        <f t="shared" si="172"/>
        <v/>
      </c>
      <c r="IZ26" s="212" t="str">
        <f t="shared" si="173"/>
        <v/>
      </c>
      <c r="JA26" s="212" t="str">
        <f t="shared" si="46"/>
        <v/>
      </c>
      <c r="JB26" s="210" t="str">
        <f t="shared" si="174"/>
        <v/>
      </c>
    </row>
    <row r="27" spans="1:262" s="210" customFormat="1" ht="21" customHeight="1">
      <c r="A27" s="183">
        <v>20</v>
      </c>
      <c r="B27" s="184" t="str">
        <f>IF('Marks Entry'!B27="","",'Marks Entry'!B27)</f>
        <v/>
      </c>
      <c r="C27" s="185" t="str">
        <f>IF('Marks Entry'!D27="","",'Marks Entry'!D27)</f>
        <v/>
      </c>
      <c r="D27" s="186" t="str">
        <f>IF('Marks Entry'!E27="","",'Marks Entry'!E27)</f>
        <v/>
      </c>
      <c r="E27" s="187" t="str">
        <f>IF('Marks Entry'!F27="","",'Marks Entry'!F27)</f>
        <v/>
      </c>
      <c r="F27" s="187" t="str">
        <f>IF('Marks Entry'!G27="","",'Marks Entry'!G27)</f>
        <v/>
      </c>
      <c r="G27" s="187" t="str">
        <f>IF('Marks Entry'!H27="","",'Marks Entry'!H27)</f>
        <v/>
      </c>
      <c r="H27" s="188" t="str">
        <f>IF('Marks Entry'!I27="","",'Marks Entry'!I27)</f>
        <v/>
      </c>
      <c r="I27" s="189" t="str">
        <f>IF('Marks Entry'!J27="","",'Marks Entry'!J27)</f>
        <v/>
      </c>
      <c r="J27" s="545">
        <f>IF('Marks Entry'!K27="","",'Marks Entry'!K27)</f>
        <v>15</v>
      </c>
      <c r="K27" s="545">
        <f>IF('Marks Entry'!L27="","",'Marks Entry'!L27)</f>
        <v>9</v>
      </c>
      <c r="L27" s="545">
        <f>IF('Marks Entry'!M27="","",'Marks Entry'!M27)</f>
        <v>8</v>
      </c>
      <c r="M27" s="546">
        <f t="shared" si="47"/>
        <v>32</v>
      </c>
      <c r="N27" s="545">
        <f>IF('Marks Entry'!N27="","",'Marks Entry'!N27)</f>
        <v>28</v>
      </c>
      <c r="O27" s="546">
        <f t="shared" si="48"/>
        <v>60</v>
      </c>
      <c r="P27" s="545">
        <f>IF('Marks Entry'!O27="","",'Marks Entry'!O27)</f>
        <v>52</v>
      </c>
      <c r="Q27" s="547">
        <f t="shared" si="49"/>
        <v>112</v>
      </c>
      <c r="R27" s="152">
        <f t="shared" si="50"/>
        <v>0</v>
      </c>
      <c r="S27" s="152">
        <f t="shared" si="51"/>
        <v>0</v>
      </c>
      <c r="T27" s="153">
        <f t="shared" si="52"/>
        <v>200</v>
      </c>
      <c r="U27" s="152" t="str">
        <f t="shared" si="53"/>
        <v/>
      </c>
      <c r="V27" s="152" t="str">
        <f t="shared" si="54"/>
        <v/>
      </c>
      <c r="W27" s="152" t="str">
        <f t="shared" si="55"/>
        <v/>
      </c>
      <c r="X27" s="545">
        <f>IF('Marks Entry'!P27="","",'Marks Entry'!P27)</f>
        <v>8</v>
      </c>
      <c r="Y27" s="545">
        <f>IF('Marks Entry'!Q27="","",'Marks Entry'!Q27)</f>
        <v>10</v>
      </c>
      <c r="Z27" s="545">
        <f>IF('Marks Entry'!R27="","",'Marks Entry'!R27)</f>
        <v>9</v>
      </c>
      <c r="AA27" s="546">
        <f t="shared" si="56"/>
        <v>27</v>
      </c>
      <c r="AB27" s="545">
        <f>IF('Marks Entry'!S27="","",'Marks Entry'!S27)</f>
        <v>24</v>
      </c>
      <c r="AC27" s="546">
        <f t="shared" si="57"/>
        <v>51</v>
      </c>
      <c r="AD27" s="545">
        <f>IF('Marks Entry'!T27="","",'Marks Entry'!T27)</f>
        <v>62</v>
      </c>
      <c r="AE27" s="547">
        <f t="shared" si="58"/>
        <v>113</v>
      </c>
      <c r="AF27" s="152">
        <f t="shared" si="59"/>
        <v>0</v>
      </c>
      <c r="AG27" s="152">
        <f t="shared" si="60"/>
        <v>0</v>
      </c>
      <c r="AH27" s="153">
        <f t="shared" si="61"/>
        <v>200</v>
      </c>
      <c r="AI27" s="152" t="str">
        <f t="shared" si="62"/>
        <v/>
      </c>
      <c r="AJ27" s="152" t="str">
        <f t="shared" si="63"/>
        <v/>
      </c>
      <c r="AK27" s="152" t="str">
        <f t="shared" si="64"/>
        <v/>
      </c>
      <c r="AL27" s="573" t="str">
        <f>IF('Marks Entry'!U27="","",'Marks Entry'!U27)</f>
        <v>A</v>
      </c>
      <c r="AM27" s="573">
        <f>IF('Marks Entry'!V27="","",'Marks Entry'!V27)</f>
        <v>8</v>
      </c>
      <c r="AN27" s="573">
        <f>IF('Marks Entry'!W27="","",'Marks Entry'!W27)</f>
        <v>5</v>
      </c>
      <c r="AO27" s="573">
        <f>IF('Marks Entry'!X27="","",'Marks Entry'!X27)</f>
        <v>7</v>
      </c>
      <c r="AP27" s="572">
        <f t="shared" si="65"/>
        <v>20</v>
      </c>
      <c r="AQ27" s="573">
        <f>IF('Marks Entry'!Y27="","",'Marks Entry'!Y27)</f>
        <v>40</v>
      </c>
      <c r="AR27" s="573" t="str">
        <f>IF('Marks Entry'!Z27="","",'Marks Entry'!Z27)</f>
        <v/>
      </c>
      <c r="AS27" s="572">
        <f t="shared" si="66"/>
        <v>40</v>
      </c>
      <c r="AT27" s="572">
        <f t="shared" si="67"/>
        <v>60</v>
      </c>
      <c r="AU27" s="573">
        <f>IF('Marks Entry'!AA27="","",'Marks Entry'!AA27)</f>
        <v>45</v>
      </c>
      <c r="AV27" s="573" t="str">
        <f>IF('Marks Entry'!AB27="","",'Marks Entry'!AB27)</f>
        <v/>
      </c>
      <c r="AW27" s="572">
        <f t="shared" si="68"/>
        <v>45</v>
      </c>
      <c r="AX27" s="156">
        <f t="shared" si="69"/>
        <v>105</v>
      </c>
      <c r="AY27" s="156" t="str">
        <f t="shared" si="70"/>
        <v/>
      </c>
      <c r="AZ27" s="191">
        <f t="shared" si="71"/>
        <v>105</v>
      </c>
      <c r="BA27" s="152">
        <f t="shared" si="72"/>
        <v>0</v>
      </c>
      <c r="BB27" s="153">
        <f t="shared" si="73"/>
        <v>0</v>
      </c>
      <c r="BC27" s="153">
        <f t="shared" si="74"/>
        <v>100</v>
      </c>
      <c r="BD27" s="153" t="str">
        <f t="shared" si="75"/>
        <v/>
      </c>
      <c r="BE27" s="153">
        <f t="shared" si="76"/>
        <v>200</v>
      </c>
      <c r="BF27" s="152" t="str">
        <f t="shared" si="77"/>
        <v/>
      </c>
      <c r="BG27" s="153" t="str">
        <f t="shared" si="175"/>
        <v>P</v>
      </c>
      <c r="BH27" s="152" t="str">
        <f t="shared" si="78"/>
        <v>II</v>
      </c>
      <c r="BI27" s="580" t="str">
        <f>IF('Marks Entry'!AC27="","",'Marks Entry'!AC27)</f>
        <v>B</v>
      </c>
      <c r="BJ27" s="580">
        <f>IF('Marks Entry'!AD27="","",'Marks Entry'!AD27)</f>
        <v>15</v>
      </c>
      <c r="BK27" s="580">
        <f>IF('Marks Entry'!AE27="","",'Marks Entry'!AE27)</f>
        <v>10</v>
      </c>
      <c r="BL27" s="580" t="str">
        <f>IF('Marks Entry'!AF27="","",'Marks Entry'!AF27)</f>
        <v/>
      </c>
      <c r="BM27" s="581">
        <f t="shared" si="79"/>
        <v>25</v>
      </c>
      <c r="BN27" s="580">
        <f>IF('Marks Entry'!AG27="","",'Marks Entry'!AG27)</f>
        <v>40</v>
      </c>
      <c r="BO27" s="580" t="str">
        <f>IF('Marks Entry'!AH27="","",'Marks Entry'!AH27)</f>
        <v/>
      </c>
      <c r="BP27" s="581">
        <f t="shared" si="80"/>
        <v>40</v>
      </c>
      <c r="BQ27" s="581">
        <f t="shared" si="81"/>
        <v>65</v>
      </c>
      <c r="BR27" s="580">
        <f>IF('Marks Entry'!AI27="","",'Marks Entry'!AI27)</f>
        <v>50</v>
      </c>
      <c r="BS27" s="580" t="str">
        <f>IF('Marks Entry'!AJ27="","",'Marks Entry'!AJ27)</f>
        <v/>
      </c>
      <c r="BT27" s="581">
        <f t="shared" si="82"/>
        <v>50</v>
      </c>
      <c r="BU27" s="156">
        <f t="shared" si="83"/>
        <v>115</v>
      </c>
      <c r="BV27" s="156" t="str">
        <f t="shared" si="84"/>
        <v/>
      </c>
      <c r="BW27" s="191">
        <f t="shared" si="85"/>
        <v>115</v>
      </c>
      <c r="BX27" s="152">
        <f t="shared" si="86"/>
        <v>0</v>
      </c>
      <c r="BY27" s="153">
        <f t="shared" si="87"/>
        <v>0</v>
      </c>
      <c r="BZ27" s="153">
        <f t="shared" si="88"/>
        <v>100</v>
      </c>
      <c r="CA27" s="153" t="str">
        <f t="shared" si="89"/>
        <v/>
      </c>
      <c r="CB27" s="153">
        <f t="shared" si="90"/>
        <v>200</v>
      </c>
      <c r="CC27" s="152" t="str">
        <f t="shared" si="91"/>
        <v/>
      </c>
      <c r="CD27" s="153" t="str">
        <f t="shared" si="92"/>
        <v>P</v>
      </c>
      <c r="CE27" s="152" t="str">
        <f t="shared" si="93"/>
        <v>II</v>
      </c>
      <c r="CF27" s="580" t="str">
        <f>IF('Marks Entry'!AK27="","",'Marks Entry'!AK27)</f>
        <v>A</v>
      </c>
      <c r="CG27" s="580">
        <f>IF('Marks Entry'!AL27="","",'Marks Entry'!AL27)</f>
        <v>15</v>
      </c>
      <c r="CH27" s="580">
        <f>IF('Marks Entry'!AM27="","",'Marks Entry'!AM27)</f>
        <v>10</v>
      </c>
      <c r="CI27" s="580" t="str">
        <f>IF('Marks Entry'!AN27="","",'Marks Entry'!AN27)</f>
        <v/>
      </c>
      <c r="CJ27" s="581">
        <f t="shared" si="94"/>
        <v>25</v>
      </c>
      <c r="CK27" s="580">
        <f>IF('Marks Entry'!AO27="","",'Marks Entry'!AO27)</f>
        <v>24</v>
      </c>
      <c r="CL27" s="580">
        <f>IF('Marks Entry'!AP27="","",'Marks Entry'!AP27)</f>
        <v>12</v>
      </c>
      <c r="CM27" s="581">
        <f t="shared" si="95"/>
        <v>36</v>
      </c>
      <c r="CN27" s="581">
        <f t="shared" si="96"/>
        <v>61</v>
      </c>
      <c r="CO27" s="580">
        <f>IF('Marks Entry'!AQ27="","",'Marks Entry'!AQ27)</f>
        <v>50</v>
      </c>
      <c r="CP27" s="580">
        <f>IF('Marks Entry'!AR27="","",'Marks Entry'!AR27)</f>
        <v>28</v>
      </c>
      <c r="CQ27" s="581">
        <f t="shared" si="97"/>
        <v>78</v>
      </c>
      <c r="CR27" s="156">
        <f t="shared" si="98"/>
        <v>99</v>
      </c>
      <c r="CS27" s="156">
        <f t="shared" si="99"/>
        <v>40</v>
      </c>
      <c r="CT27" s="191">
        <f t="shared" si="100"/>
        <v>139</v>
      </c>
      <c r="CU27" s="152">
        <f t="shared" si="101"/>
        <v>0</v>
      </c>
      <c r="CV27" s="153">
        <f t="shared" si="102"/>
        <v>0</v>
      </c>
      <c r="CW27" s="153">
        <f t="shared" si="103"/>
        <v>70</v>
      </c>
      <c r="CX27" s="153">
        <f t="shared" si="104"/>
        <v>50</v>
      </c>
      <c r="CY27" s="153">
        <f t="shared" si="176"/>
        <v>150</v>
      </c>
      <c r="CZ27" s="152" t="str">
        <f t="shared" si="105"/>
        <v/>
      </c>
      <c r="DA27" s="153" t="str">
        <f t="shared" si="106"/>
        <v>P</v>
      </c>
      <c r="DB27" s="152" t="str">
        <f t="shared" si="107"/>
        <v>I</v>
      </c>
      <c r="DC27" s="153">
        <f t="shared" si="108"/>
        <v>0</v>
      </c>
      <c r="DD27" s="851" t="str">
        <f>IF('Marks Entry'!AS27="","",IF(OR('Master Sheet'!$D$19="YES",'Marks Entry'!$BA$1=1),'Marks Entry'!AS27,""))</f>
        <v/>
      </c>
      <c r="DE27" s="851" t="str">
        <f>IF('Marks Entry'!AT27="","",IF(OR('Master Sheet'!$D$19="YES",'Marks Entry'!$BA$1=1),'Marks Entry'!AT27,""))</f>
        <v/>
      </c>
      <c r="DF27" s="851" t="str">
        <f>IF('Marks Entry'!AU27="","",IF(OR('Master Sheet'!$D$19="YES",'Marks Entry'!$BA$1=1),'Marks Entry'!AU27,""))</f>
        <v/>
      </c>
      <c r="DG27" s="851" t="str">
        <f>IF('Marks Entry'!AV27="","",IF(OR('Master Sheet'!$D$19="YES",'Marks Entry'!$BA$1=1),'Marks Entry'!AV27,""))</f>
        <v/>
      </c>
      <c r="DH27" s="852" t="str">
        <f t="shared" si="109"/>
        <v/>
      </c>
      <c r="DI27" s="851" t="str">
        <f>IF('Marks Entry'!AW27="","",IF(OR('Master Sheet'!$D$19="YES",'Marks Entry'!$BA$1=1),'Marks Entry'!AW27,""))</f>
        <v/>
      </c>
      <c r="DJ27" s="851" t="str">
        <f>IF('Marks Entry'!AX27="","",IF(OR('Master Sheet'!$D$19="YES",'Marks Entry'!$BA$1=1),'Marks Entry'!AX27,""))</f>
        <v/>
      </c>
      <c r="DK27" s="852" t="str">
        <f t="shared" si="110"/>
        <v/>
      </c>
      <c r="DL27" s="852" t="str">
        <f t="shared" si="111"/>
        <v/>
      </c>
      <c r="DM27" s="851" t="str">
        <f>IF('Marks Entry'!AY27="","",IF(OR('Master Sheet'!$D$19="YES",'Marks Entry'!$BA$1=1),'Marks Entry'!AY27,""))</f>
        <v/>
      </c>
      <c r="DN27" s="851" t="str">
        <f>IF('Marks Entry'!AZ27="","",IF(OR('Master Sheet'!$D$19="YES",'Marks Entry'!$BA$1=1),'Marks Entry'!AZ27,""))</f>
        <v/>
      </c>
      <c r="DO27" s="851" t="str">
        <f>IF('Marks Entry'!BA27="","",IF(OR('Master Sheet'!$D$19="YES",'Marks Entry'!$BA$1=1),'Marks Entry'!BA27,""))</f>
        <v/>
      </c>
      <c r="DP27" s="852" t="str">
        <f t="shared" si="112"/>
        <v/>
      </c>
      <c r="DQ27" s="156" t="str">
        <f t="shared" si="113"/>
        <v/>
      </c>
      <c r="DR27" s="156" t="str">
        <f t="shared" si="114"/>
        <v/>
      </c>
      <c r="DS27" s="156" t="str">
        <f t="shared" si="115"/>
        <v/>
      </c>
      <c r="DT27" s="191" t="str">
        <f t="shared" si="116"/>
        <v/>
      </c>
      <c r="DU27" s="152">
        <f t="shared" si="117"/>
        <v>0</v>
      </c>
      <c r="DV27" s="153">
        <f t="shared" si="118"/>
        <v>0</v>
      </c>
      <c r="DW27" s="153" t="str">
        <f t="shared" si="119"/>
        <v/>
      </c>
      <c r="DX27" s="153" t="str">
        <f>IF(OR($B27="NSO",$B27=0,DS27=""),"",IF(AND(DJ27="",DO27=""),"",IF('Master Sheet'!$D$19="YES",$DO$6-COUNTIF(DO27,"ML")*DO$6,DS$6-(COUNTIF(DJ27,"ML")*DJ$6)-(COUNTIF(DO27,"ML")*DO$6))))</f>
        <v/>
      </c>
      <c r="DY27" s="153" t="str">
        <f>IF(OR($B27="NSO",$B27=0),"",IF(AND(DH27="",DI27="",DM27=""),"",IF(AND('Master Sheet'!$D$19="YES",'Marks Entry'!$BA$1=1),100,IF(AND(DJ27="",DO27=""),SUM(($DQ$7+$DR$7)-(DU27+DV27)),SUM(($DQ$6+$DR$6)-(DU27+DV27))))))</f>
        <v/>
      </c>
      <c r="DZ27" s="152" t="str">
        <f t="shared" si="120"/>
        <v/>
      </c>
      <c r="EA27" s="153" t="str">
        <f t="shared" si="121"/>
        <v/>
      </c>
      <c r="EB27" s="152" t="str">
        <f t="shared" si="122"/>
        <v/>
      </c>
      <c r="EC27" s="584">
        <f>IF('Marks Entry'!BB27="","",'Marks Entry'!BB27)</f>
        <v>24</v>
      </c>
      <c r="ED27" s="584">
        <f>IF('Marks Entry'!BC27="","",'Marks Entry'!BC27)</f>
        <v>25</v>
      </c>
      <c r="EE27" s="584">
        <f>IF('Marks Entry'!BD27="","",'Marks Entry'!BD27)</f>
        <v>32</v>
      </c>
      <c r="EF27" s="590">
        <f t="shared" si="123"/>
        <v>81</v>
      </c>
      <c r="EG27" s="595">
        <f t="shared" si="124"/>
        <v>0</v>
      </c>
      <c r="EH27" s="595">
        <f t="shared" si="125"/>
        <v>0</v>
      </c>
      <c r="EI27" s="192">
        <f t="shared" si="126"/>
        <v>100</v>
      </c>
      <c r="EJ27" s="595" t="str">
        <f t="shared" si="127"/>
        <v/>
      </c>
      <c r="EK27" s="595" t="str">
        <f t="shared" si="128"/>
        <v>A</v>
      </c>
      <c r="EL27" s="193" t="str">
        <f t="shared" si="129"/>
        <v/>
      </c>
      <c r="EM27" s="193" t="str">
        <f t="shared" si="130"/>
        <v/>
      </c>
      <c r="EN27" s="193" t="str">
        <f t="shared" si="131"/>
        <v>II</v>
      </c>
      <c r="EO27" s="193" t="str">
        <f t="shared" si="132"/>
        <v>II</v>
      </c>
      <c r="EP27" s="193" t="str">
        <f t="shared" si="133"/>
        <v>I</v>
      </c>
      <c r="EQ27" s="193" t="str">
        <f t="shared" si="134"/>
        <v/>
      </c>
      <c r="ER27" s="194">
        <f t="shared" si="135"/>
        <v>0</v>
      </c>
      <c r="ES27" s="194">
        <f t="shared" si="136"/>
        <v>0</v>
      </c>
      <c r="ET27" s="194">
        <f t="shared" si="137"/>
        <v>0</v>
      </c>
      <c r="EU27" s="194">
        <f t="shared" si="138"/>
        <v>0</v>
      </c>
      <c r="EV27" s="194">
        <f t="shared" si="139"/>
        <v>0</v>
      </c>
      <c r="EW27" s="194" t="str">
        <f t="shared" si="140"/>
        <v/>
      </c>
      <c r="EX27" s="195" t="str">
        <f t="shared" si="141"/>
        <v/>
      </c>
      <c r="EY27" s="196">
        <f>IF('Marks Entry'!BE27="","",'Marks Entry'!BE27)</f>
        <v>7</v>
      </c>
      <c r="EZ27" s="196">
        <f>IF('Marks Entry'!BF27="","",'Marks Entry'!BF27)</f>
        <v>7</v>
      </c>
      <c r="FA27" s="196">
        <f>IF('Marks Entry'!BG27="","",'Marks Entry'!BG27)</f>
        <v>7</v>
      </c>
      <c r="FB27" s="596">
        <f t="shared" si="142"/>
        <v>21</v>
      </c>
      <c r="FC27" s="196">
        <f>IF('Marks Entry'!BH27="","",'Marks Entry'!BH27)</f>
        <v>41</v>
      </c>
      <c r="FD27" s="196">
        <f>IF('Marks Entry'!BI27="","",'Marks Entry'!BI27)</f>
        <v>68</v>
      </c>
      <c r="FE27" s="197">
        <f t="shared" si="143"/>
        <v>130</v>
      </c>
      <c r="FF27" s="198" t="str">
        <f t="shared" si="144"/>
        <v>B</v>
      </c>
      <c r="FG27" s="199" t="str">
        <f>IF(AND(E27=""),"",IF('Student DATA Entry'!L23="","",'Student DATA Entry'!L23))</f>
        <v/>
      </c>
      <c r="FH27" s="200" t="str">
        <f>IF(AND(E27=""),"",IF('Student DATA Entry'!M23="","",'Student DATA Entry'!M23))</f>
        <v/>
      </c>
      <c r="FI27" s="201" t="str">
        <f t="shared" si="145"/>
        <v/>
      </c>
      <c r="FJ27" s="188" t="str">
        <f t="shared" si="146"/>
        <v/>
      </c>
      <c r="FK27" s="188" t="str">
        <f t="shared" si="147"/>
        <v/>
      </c>
      <c r="FL27" s="202" t="str">
        <f t="shared" si="19"/>
        <v/>
      </c>
      <c r="FM27" s="188" t="str">
        <f t="shared" si="148"/>
        <v/>
      </c>
      <c r="FN27" s="203" t="str">
        <f t="shared" si="149"/>
        <v/>
      </c>
      <c r="FO27" s="202" t="str">
        <f t="shared" si="20"/>
        <v/>
      </c>
      <c r="FP27" s="204" t="str">
        <f t="shared" si="150"/>
        <v>II</v>
      </c>
      <c r="FQ27" s="188" t="str">
        <f t="shared" si="21"/>
        <v>II</v>
      </c>
      <c r="FR27" s="188" t="str">
        <f t="shared" si="22"/>
        <v/>
      </c>
      <c r="FS27" s="188" t="str">
        <f t="shared" si="23"/>
        <v/>
      </c>
      <c r="FT27" s="188" t="str">
        <f t="shared" si="24"/>
        <v/>
      </c>
      <c r="FU27" s="188" t="str">
        <f t="shared" si="151"/>
        <v/>
      </c>
      <c r="FV27" s="205" t="str">
        <f t="shared" si="25"/>
        <v/>
      </c>
      <c r="FW27" s="204" t="str">
        <f t="shared" si="152"/>
        <v>II</v>
      </c>
      <c r="FX27" s="188" t="str">
        <f t="shared" si="26"/>
        <v/>
      </c>
      <c r="FY27" s="188" t="str">
        <f t="shared" si="27"/>
        <v>II</v>
      </c>
      <c r="FZ27" s="188" t="str">
        <f t="shared" si="28"/>
        <v/>
      </c>
      <c r="GA27" s="188" t="str">
        <f t="shared" si="29"/>
        <v/>
      </c>
      <c r="GB27" s="188" t="str">
        <f t="shared" si="153"/>
        <v/>
      </c>
      <c r="GC27" s="205" t="str">
        <f t="shared" si="30"/>
        <v/>
      </c>
      <c r="GD27" s="204" t="str">
        <f t="shared" si="154"/>
        <v>I</v>
      </c>
      <c r="GE27" s="188" t="str">
        <f t="shared" si="31"/>
        <v>I</v>
      </c>
      <c r="GF27" s="188" t="str">
        <f t="shared" si="32"/>
        <v/>
      </c>
      <c r="GG27" s="188" t="str">
        <f t="shared" si="33"/>
        <v/>
      </c>
      <c r="GH27" s="188" t="str">
        <f t="shared" si="34"/>
        <v/>
      </c>
      <c r="GI27" s="188" t="str">
        <f t="shared" si="155"/>
        <v/>
      </c>
      <c r="GJ27" s="205" t="str">
        <f t="shared" si="35"/>
        <v/>
      </c>
      <c r="GK27" s="204" t="str">
        <f t="shared" si="156"/>
        <v/>
      </c>
      <c r="GL27" s="188" t="str">
        <f t="shared" si="36"/>
        <v/>
      </c>
      <c r="GM27" s="188" t="str">
        <f t="shared" si="37"/>
        <v/>
      </c>
      <c r="GN27" s="188" t="str">
        <f t="shared" si="38"/>
        <v/>
      </c>
      <c r="GO27" s="188" t="str">
        <f t="shared" si="39"/>
        <v/>
      </c>
      <c r="GP27" s="188" t="str">
        <f t="shared" si="157"/>
        <v/>
      </c>
      <c r="GQ27" s="205" t="str">
        <f t="shared" si="40"/>
        <v/>
      </c>
      <c r="GR27" s="188" t="str">
        <f t="shared" si="158"/>
        <v>A</v>
      </c>
      <c r="GS27" s="188" t="str">
        <f t="shared" si="159"/>
        <v>B</v>
      </c>
      <c r="GT27" s="206" t="str">
        <f t="shared" si="177"/>
        <v xml:space="preserve">    </v>
      </c>
      <c r="GU27" s="206" t="str">
        <f t="shared" si="160"/>
        <v xml:space="preserve">    </v>
      </c>
      <c r="GV27" s="206" t="str">
        <f t="shared" si="161"/>
        <v xml:space="preserve">    </v>
      </c>
      <c r="GW27" s="206" t="str">
        <f t="shared" si="162"/>
        <v xml:space="preserve">       </v>
      </c>
      <c r="GX27" s="598" t="str">
        <f t="shared" si="163"/>
        <v xml:space="preserve">     </v>
      </c>
      <c r="GY27" s="207" t="str">
        <f t="shared" si="164"/>
        <v/>
      </c>
      <c r="GZ27" s="606">
        <f>IF(AND(Q27="",AE27="",AZ27="",BW27="",CT27=""),"",IF(AND('Master Sheet'!$D$19="YES",'Marks Entry'!$BA$1=1),SUM(Q27,AE27,AZ27,BW27,DT27),SUM(Q27,AE27,AZ27,BW27,CT27)))</f>
        <v>584</v>
      </c>
      <c r="HA27" s="208">
        <f>IF(GZ27="","",IF(AND('Master Sheet'!$D$19="YES",'Marks Entry'!$BA$1=1),GZ27/((900)-DC27)*100,GZ27/((1000)-DC27)*100))</f>
        <v>58.4</v>
      </c>
      <c r="HB27" s="611" t="str">
        <f t="shared" si="165"/>
        <v/>
      </c>
      <c r="HC27" s="609" t="str">
        <f t="shared" si="166"/>
        <v/>
      </c>
      <c r="HD27" s="610" t="str">
        <f t="shared" si="167"/>
        <v/>
      </c>
      <c r="HE27" s="209" t="str">
        <f>IFERROR(IF(OR(GY27="SUPPLEMENTARY",GY27="RE-EXAM"),'Supp. Result Entry'!AS26,""),"")</f>
        <v/>
      </c>
      <c r="HF27" s="613" t="str">
        <f t="shared" si="168"/>
        <v/>
      </c>
      <c r="HG27" s="598" t="str">
        <f t="shared" si="169"/>
        <v/>
      </c>
      <c r="HH27" s="598" t="str">
        <f>IF(AND(HE27="",HF27="",HG27=""),"",IF(OR(GY27="SUPPLEMENTARY",GY27="RE-EXAM"),'Supp. Result Entry'!AS26,GY27))</f>
        <v/>
      </c>
      <c r="HI27" s="179"/>
      <c r="HY27" s="211" t="str">
        <f>IF('Supp. Result Entry'!U26="","",'Supp. Result Entry'!$U$6)</f>
        <v/>
      </c>
      <c r="HZ27" s="212" t="str">
        <f>IF('Supp. Result Entry'!X26="","",'Supp. Result Entry'!$X$6)</f>
        <v/>
      </c>
      <c r="IA27" s="212" t="str">
        <f>IF('Supp. Result Entry'!AA26="","",'Supp. Result Entry'!$AA$6)</f>
        <v/>
      </c>
      <c r="IB27" s="212" t="str">
        <f>IF('Supp. Result Entry'!AD26="","",'Supp. Result Entry'!$AD$6)</f>
        <v/>
      </c>
      <c r="IC27" s="212" t="str">
        <f>IF('Supp. Result Entry'!AG26="","",'Supp. Result Entry'!$AG$6)</f>
        <v/>
      </c>
      <c r="ID27" s="212" t="str">
        <f>IF('Supp. Result Entry'!AJ26="","",'Supp. Result Entry'!$AJ$6)</f>
        <v/>
      </c>
      <c r="IE27" s="212" t="str">
        <f>IF('Supp. Result Entry'!V26="","",'Supp. Result Entry'!V26)</f>
        <v/>
      </c>
      <c r="IF27" s="212" t="str">
        <f>IF('Supp. Result Entry'!Y26="","",'Supp. Result Entry'!Y26)</f>
        <v/>
      </c>
      <c r="IG27" s="212" t="str">
        <f>IF('Supp. Result Entry'!AB26="","",'Supp. Result Entry'!AB26)</f>
        <v/>
      </c>
      <c r="IH27" s="212" t="str">
        <f>IF('Supp. Result Entry'!AE26="","",'Supp. Result Entry'!AE26)</f>
        <v/>
      </c>
      <c r="II27" s="212" t="str">
        <f>IF('Supp. Result Entry'!AH26="","",'Supp. Result Entry'!AH26)</f>
        <v/>
      </c>
      <c r="IJ27" s="212" t="str">
        <f>IF('Supp. Result Entry'!AK26="","",'Supp. Result Entry'!AK26)</f>
        <v/>
      </c>
      <c r="IK27" s="212" t="str">
        <f>IF('Supp. Result Entry'!W26="","",'Supp. Result Entry'!W26)</f>
        <v/>
      </c>
      <c r="IL27" s="212" t="str">
        <f>IF('Supp. Result Entry'!Z26="","",'Supp. Result Entry'!Z26)</f>
        <v/>
      </c>
      <c r="IM27" s="212" t="str">
        <f>IF('Supp. Result Entry'!AC26="","",'Supp. Result Entry'!AC26)</f>
        <v/>
      </c>
      <c r="IN27" s="212" t="str">
        <f>IF('Supp. Result Entry'!AF26="","",'Supp. Result Entry'!AF26)</f>
        <v/>
      </c>
      <c r="IO27" s="212" t="str">
        <f>IF('Supp. Result Entry'!AI26="","",'Supp. Result Entry'!AI26)</f>
        <v/>
      </c>
      <c r="IP27" s="212" t="str">
        <f>IF('Supp. Result Entry'!AL26="","",'Supp. Result Entry'!AL26)</f>
        <v/>
      </c>
      <c r="IQ27" s="212">
        <f>COUNTIF('Supp. Result Entry'!K26:Q26,"S")</f>
        <v>0</v>
      </c>
      <c r="IR27" s="212">
        <f t="shared" si="170"/>
        <v>0</v>
      </c>
      <c r="IS27" s="212">
        <f t="shared" si="171"/>
        <v>0</v>
      </c>
      <c r="IT27" s="212" t="str">
        <f t="shared" si="41"/>
        <v/>
      </c>
      <c r="IU27" s="212" t="str">
        <f t="shared" si="42"/>
        <v/>
      </c>
      <c r="IV27" s="212" t="str">
        <f t="shared" si="43"/>
        <v/>
      </c>
      <c r="IW27" s="212" t="str">
        <f t="shared" si="44"/>
        <v/>
      </c>
      <c r="IX27" s="212" t="str">
        <f t="shared" si="45"/>
        <v/>
      </c>
      <c r="IY27" s="212" t="str">
        <f t="shared" si="172"/>
        <v/>
      </c>
      <c r="IZ27" s="212" t="str">
        <f t="shared" si="173"/>
        <v/>
      </c>
      <c r="JA27" s="212" t="str">
        <f t="shared" si="46"/>
        <v/>
      </c>
      <c r="JB27" s="210" t="str">
        <f t="shared" si="174"/>
        <v/>
      </c>
    </row>
    <row r="28" spans="1:262" s="210" customFormat="1" ht="21" customHeight="1">
      <c r="A28" s="183">
        <v>21</v>
      </c>
      <c r="B28" s="184" t="str">
        <f>IF('Marks Entry'!B28="","",'Marks Entry'!B28)</f>
        <v/>
      </c>
      <c r="C28" s="185" t="str">
        <f>IF('Marks Entry'!D28="","",'Marks Entry'!D28)</f>
        <v/>
      </c>
      <c r="D28" s="186" t="str">
        <f>IF('Marks Entry'!E28="","",'Marks Entry'!E28)</f>
        <v/>
      </c>
      <c r="E28" s="187" t="str">
        <f>IF('Marks Entry'!F28="","",'Marks Entry'!F28)</f>
        <v/>
      </c>
      <c r="F28" s="187" t="str">
        <f>IF('Marks Entry'!G28="","",'Marks Entry'!G28)</f>
        <v/>
      </c>
      <c r="G28" s="187" t="str">
        <f>IF('Marks Entry'!H28="","",'Marks Entry'!H28)</f>
        <v/>
      </c>
      <c r="H28" s="188" t="str">
        <f>IF('Marks Entry'!I28="","",'Marks Entry'!I28)</f>
        <v/>
      </c>
      <c r="I28" s="189" t="str">
        <f>IF('Marks Entry'!J28="","",'Marks Entry'!J28)</f>
        <v/>
      </c>
      <c r="J28" s="545">
        <f>IF('Marks Entry'!K28="","",'Marks Entry'!K28)</f>
        <v>12</v>
      </c>
      <c r="K28" s="545">
        <f>IF('Marks Entry'!L28="","",'Marks Entry'!L28)</f>
        <v>8</v>
      </c>
      <c r="L28" s="545">
        <f>IF('Marks Entry'!M28="","",'Marks Entry'!M28)</f>
        <v>8</v>
      </c>
      <c r="M28" s="546">
        <f t="shared" si="47"/>
        <v>28</v>
      </c>
      <c r="N28" s="545">
        <f>IF('Marks Entry'!N28="","",'Marks Entry'!N28)</f>
        <v>29</v>
      </c>
      <c r="O28" s="546">
        <f t="shared" si="48"/>
        <v>57</v>
      </c>
      <c r="P28" s="545">
        <f>IF('Marks Entry'!O28="","",'Marks Entry'!O28)</f>
        <v>51</v>
      </c>
      <c r="Q28" s="547">
        <f t="shared" si="49"/>
        <v>108</v>
      </c>
      <c r="R28" s="152">
        <f t="shared" si="50"/>
        <v>0</v>
      </c>
      <c r="S28" s="152">
        <f t="shared" si="51"/>
        <v>0</v>
      </c>
      <c r="T28" s="153">
        <f t="shared" si="52"/>
        <v>200</v>
      </c>
      <c r="U28" s="152" t="str">
        <f t="shared" si="53"/>
        <v/>
      </c>
      <c r="V28" s="152" t="str">
        <f t="shared" si="54"/>
        <v/>
      </c>
      <c r="W28" s="152" t="str">
        <f t="shared" si="55"/>
        <v/>
      </c>
      <c r="X28" s="545">
        <f>IF('Marks Entry'!P28="","",'Marks Entry'!P28)</f>
        <v>9</v>
      </c>
      <c r="Y28" s="545">
        <f>IF('Marks Entry'!Q28="","",'Marks Entry'!Q28)</f>
        <v>10</v>
      </c>
      <c r="Z28" s="545">
        <f>IF('Marks Entry'!R28="","",'Marks Entry'!R28)</f>
        <v>9</v>
      </c>
      <c r="AA28" s="546">
        <f t="shared" si="56"/>
        <v>28</v>
      </c>
      <c r="AB28" s="545">
        <f>IF('Marks Entry'!S28="","",'Marks Entry'!S28)</f>
        <v>28</v>
      </c>
      <c r="AC28" s="546">
        <f t="shared" si="57"/>
        <v>56</v>
      </c>
      <c r="AD28" s="545">
        <f>IF('Marks Entry'!T28="","",'Marks Entry'!T28)</f>
        <v>65</v>
      </c>
      <c r="AE28" s="547">
        <f t="shared" si="58"/>
        <v>121</v>
      </c>
      <c r="AF28" s="152">
        <f t="shared" si="59"/>
        <v>0</v>
      </c>
      <c r="AG28" s="152">
        <f t="shared" si="60"/>
        <v>0</v>
      </c>
      <c r="AH28" s="153">
        <f t="shared" si="61"/>
        <v>200</v>
      </c>
      <c r="AI28" s="152" t="str">
        <f t="shared" si="62"/>
        <v/>
      </c>
      <c r="AJ28" s="152" t="str">
        <f t="shared" si="63"/>
        <v/>
      </c>
      <c r="AK28" s="152" t="str">
        <f t="shared" si="64"/>
        <v/>
      </c>
      <c r="AL28" s="573" t="str">
        <f>IF('Marks Entry'!U28="","",'Marks Entry'!U28)</f>
        <v>A</v>
      </c>
      <c r="AM28" s="573">
        <f>IF('Marks Entry'!V28="","",'Marks Entry'!V28)</f>
        <v>7</v>
      </c>
      <c r="AN28" s="573">
        <f>IF('Marks Entry'!W28="","",'Marks Entry'!W28)</f>
        <v>6</v>
      </c>
      <c r="AO28" s="573">
        <f>IF('Marks Entry'!X28="","",'Marks Entry'!X28)</f>
        <v>7</v>
      </c>
      <c r="AP28" s="572">
        <f t="shared" si="65"/>
        <v>20</v>
      </c>
      <c r="AQ28" s="573">
        <f>IF('Marks Entry'!Y28="","",'Marks Entry'!Y28)</f>
        <v>41</v>
      </c>
      <c r="AR28" s="573" t="str">
        <f>IF('Marks Entry'!Z28="","",'Marks Entry'!Z28)</f>
        <v/>
      </c>
      <c r="AS28" s="572">
        <f t="shared" si="66"/>
        <v>41</v>
      </c>
      <c r="AT28" s="572">
        <f t="shared" si="67"/>
        <v>61</v>
      </c>
      <c r="AU28" s="573">
        <f>IF('Marks Entry'!AA28="","",'Marks Entry'!AA28)</f>
        <v>48</v>
      </c>
      <c r="AV28" s="573" t="str">
        <f>IF('Marks Entry'!AB28="","",'Marks Entry'!AB28)</f>
        <v/>
      </c>
      <c r="AW28" s="572">
        <f t="shared" si="68"/>
        <v>48</v>
      </c>
      <c r="AX28" s="156">
        <f t="shared" si="69"/>
        <v>109</v>
      </c>
      <c r="AY28" s="156" t="str">
        <f t="shared" si="70"/>
        <v/>
      </c>
      <c r="AZ28" s="191">
        <f t="shared" si="71"/>
        <v>109</v>
      </c>
      <c r="BA28" s="152">
        <f t="shared" si="72"/>
        <v>0</v>
      </c>
      <c r="BB28" s="153">
        <f t="shared" si="73"/>
        <v>0</v>
      </c>
      <c r="BC28" s="153">
        <f t="shared" si="74"/>
        <v>100</v>
      </c>
      <c r="BD28" s="153" t="str">
        <f t="shared" si="75"/>
        <v/>
      </c>
      <c r="BE28" s="153">
        <f t="shared" si="76"/>
        <v>200</v>
      </c>
      <c r="BF28" s="152" t="str">
        <f t="shared" si="77"/>
        <v/>
      </c>
      <c r="BG28" s="153" t="str">
        <f t="shared" si="175"/>
        <v>P</v>
      </c>
      <c r="BH28" s="152" t="str">
        <f t="shared" si="78"/>
        <v>II</v>
      </c>
      <c r="BI28" s="580" t="str">
        <f>IF('Marks Entry'!AC28="","",'Marks Entry'!AC28)</f>
        <v>B</v>
      </c>
      <c r="BJ28" s="580">
        <f>IF('Marks Entry'!AD28="","",'Marks Entry'!AD28)</f>
        <v>12</v>
      </c>
      <c r="BK28" s="580">
        <f>IF('Marks Entry'!AE28="","",'Marks Entry'!AE28)</f>
        <v>12</v>
      </c>
      <c r="BL28" s="580" t="str">
        <f>IF('Marks Entry'!AF28="","",'Marks Entry'!AF28)</f>
        <v/>
      </c>
      <c r="BM28" s="581">
        <f t="shared" si="79"/>
        <v>24</v>
      </c>
      <c r="BN28" s="580">
        <f>IF('Marks Entry'!AG28="","",'Marks Entry'!AG28)</f>
        <v>45</v>
      </c>
      <c r="BO28" s="580" t="str">
        <f>IF('Marks Entry'!AH28="","",'Marks Entry'!AH28)</f>
        <v/>
      </c>
      <c r="BP28" s="581">
        <f t="shared" si="80"/>
        <v>45</v>
      </c>
      <c r="BQ28" s="581">
        <f t="shared" si="81"/>
        <v>69</v>
      </c>
      <c r="BR28" s="580">
        <f>IF('Marks Entry'!AI28="","",'Marks Entry'!AI28)</f>
        <v>52</v>
      </c>
      <c r="BS28" s="580" t="str">
        <f>IF('Marks Entry'!AJ28="","",'Marks Entry'!AJ28)</f>
        <v/>
      </c>
      <c r="BT28" s="581">
        <f t="shared" si="82"/>
        <v>52</v>
      </c>
      <c r="BU28" s="156">
        <f t="shared" si="83"/>
        <v>121</v>
      </c>
      <c r="BV28" s="156" t="str">
        <f t="shared" si="84"/>
        <v/>
      </c>
      <c r="BW28" s="191">
        <f t="shared" si="85"/>
        <v>121</v>
      </c>
      <c r="BX28" s="152">
        <f t="shared" si="86"/>
        <v>0</v>
      </c>
      <c r="BY28" s="153">
        <f t="shared" si="87"/>
        <v>0</v>
      </c>
      <c r="BZ28" s="153">
        <f t="shared" si="88"/>
        <v>100</v>
      </c>
      <c r="CA28" s="153" t="str">
        <f t="shared" si="89"/>
        <v/>
      </c>
      <c r="CB28" s="153">
        <f t="shared" si="90"/>
        <v>200</v>
      </c>
      <c r="CC28" s="152" t="str">
        <f t="shared" si="91"/>
        <v/>
      </c>
      <c r="CD28" s="153" t="str">
        <f t="shared" si="92"/>
        <v>P</v>
      </c>
      <c r="CE28" s="152" t="str">
        <f t="shared" si="93"/>
        <v>I</v>
      </c>
      <c r="CF28" s="580" t="str">
        <f>IF('Marks Entry'!AK28="","",'Marks Entry'!AK28)</f>
        <v>A</v>
      </c>
      <c r="CG28" s="580">
        <f>IF('Marks Entry'!AL28="","",'Marks Entry'!AL28)</f>
        <v>17</v>
      </c>
      <c r="CH28" s="580">
        <f>IF('Marks Entry'!AM28="","",'Marks Entry'!AM28)</f>
        <v>10</v>
      </c>
      <c r="CI28" s="580" t="str">
        <f>IF('Marks Entry'!AN28="","",'Marks Entry'!AN28)</f>
        <v/>
      </c>
      <c r="CJ28" s="581">
        <f t="shared" si="94"/>
        <v>27</v>
      </c>
      <c r="CK28" s="580">
        <f>IF('Marks Entry'!AO28="","",'Marks Entry'!AO28)</f>
        <v>28</v>
      </c>
      <c r="CL28" s="580">
        <f>IF('Marks Entry'!AP28="","",'Marks Entry'!AP28)</f>
        <v>10</v>
      </c>
      <c r="CM28" s="581">
        <f t="shared" si="95"/>
        <v>38</v>
      </c>
      <c r="CN28" s="581">
        <f t="shared" si="96"/>
        <v>65</v>
      </c>
      <c r="CO28" s="580">
        <f>IF('Marks Entry'!AQ28="","",'Marks Entry'!AQ28)</f>
        <v>42</v>
      </c>
      <c r="CP28" s="580">
        <f>IF('Marks Entry'!AR28="","",'Marks Entry'!AR28)</f>
        <v>26</v>
      </c>
      <c r="CQ28" s="581">
        <f t="shared" si="97"/>
        <v>68</v>
      </c>
      <c r="CR28" s="156">
        <f t="shared" si="98"/>
        <v>97</v>
      </c>
      <c r="CS28" s="156">
        <f t="shared" si="99"/>
        <v>36</v>
      </c>
      <c r="CT28" s="191">
        <f t="shared" si="100"/>
        <v>133</v>
      </c>
      <c r="CU28" s="152">
        <f t="shared" si="101"/>
        <v>0</v>
      </c>
      <c r="CV28" s="153">
        <f t="shared" si="102"/>
        <v>0</v>
      </c>
      <c r="CW28" s="153">
        <f t="shared" si="103"/>
        <v>70</v>
      </c>
      <c r="CX28" s="153">
        <f t="shared" si="104"/>
        <v>50</v>
      </c>
      <c r="CY28" s="153">
        <f t="shared" si="176"/>
        <v>150</v>
      </c>
      <c r="CZ28" s="152" t="str">
        <f t="shared" si="105"/>
        <v/>
      </c>
      <c r="DA28" s="153" t="str">
        <f t="shared" si="106"/>
        <v>P</v>
      </c>
      <c r="DB28" s="152" t="str">
        <f t="shared" si="107"/>
        <v>I</v>
      </c>
      <c r="DC28" s="153">
        <f t="shared" si="108"/>
        <v>0</v>
      </c>
      <c r="DD28" s="851" t="str">
        <f>IF('Marks Entry'!AS28="","",IF(OR('Master Sheet'!$D$19="YES",'Marks Entry'!$BA$1=1),'Marks Entry'!AS28,""))</f>
        <v/>
      </c>
      <c r="DE28" s="851" t="str">
        <f>IF('Marks Entry'!AT28="","",IF(OR('Master Sheet'!$D$19="YES",'Marks Entry'!$BA$1=1),'Marks Entry'!AT28,""))</f>
        <v/>
      </c>
      <c r="DF28" s="851" t="str">
        <f>IF('Marks Entry'!AU28="","",IF(OR('Master Sheet'!$D$19="YES",'Marks Entry'!$BA$1=1),'Marks Entry'!AU28,""))</f>
        <v/>
      </c>
      <c r="DG28" s="851" t="str">
        <f>IF('Marks Entry'!AV28="","",IF(OR('Master Sheet'!$D$19="YES",'Marks Entry'!$BA$1=1),'Marks Entry'!AV28,""))</f>
        <v/>
      </c>
      <c r="DH28" s="852" t="str">
        <f t="shared" si="109"/>
        <v/>
      </c>
      <c r="DI28" s="851" t="str">
        <f>IF('Marks Entry'!AW28="","",IF(OR('Master Sheet'!$D$19="YES",'Marks Entry'!$BA$1=1),'Marks Entry'!AW28,""))</f>
        <v/>
      </c>
      <c r="DJ28" s="851" t="str">
        <f>IF('Marks Entry'!AX28="","",IF(OR('Master Sheet'!$D$19="YES",'Marks Entry'!$BA$1=1),'Marks Entry'!AX28,""))</f>
        <v/>
      </c>
      <c r="DK28" s="852" t="str">
        <f t="shared" si="110"/>
        <v/>
      </c>
      <c r="DL28" s="852" t="str">
        <f t="shared" si="111"/>
        <v/>
      </c>
      <c r="DM28" s="851" t="str">
        <f>IF('Marks Entry'!AY28="","",IF(OR('Master Sheet'!$D$19="YES",'Marks Entry'!$BA$1=1),'Marks Entry'!AY28,""))</f>
        <v/>
      </c>
      <c r="DN28" s="851" t="str">
        <f>IF('Marks Entry'!AZ28="","",IF(OR('Master Sheet'!$D$19="YES",'Marks Entry'!$BA$1=1),'Marks Entry'!AZ28,""))</f>
        <v/>
      </c>
      <c r="DO28" s="851" t="str">
        <f>IF('Marks Entry'!BA28="","",IF(OR('Master Sheet'!$D$19="YES",'Marks Entry'!$BA$1=1),'Marks Entry'!BA28,""))</f>
        <v/>
      </c>
      <c r="DP28" s="852" t="str">
        <f t="shared" si="112"/>
        <v/>
      </c>
      <c r="DQ28" s="156" t="str">
        <f t="shared" si="113"/>
        <v/>
      </c>
      <c r="DR28" s="156" t="str">
        <f t="shared" si="114"/>
        <v/>
      </c>
      <c r="DS28" s="156" t="str">
        <f t="shared" si="115"/>
        <v/>
      </c>
      <c r="DT28" s="191" t="str">
        <f t="shared" si="116"/>
        <v/>
      </c>
      <c r="DU28" s="152">
        <f t="shared" si="117"/>
        <v>0</v>
      </c>
      <c r="DV28" s="153">
        <f t="shared" si="118"/>
        <v>0</v>
      </c>
      <c r="DW28" s="153" t="str">
        <f t="shared" si="119"/>
        <v/>
      </c>
      <c r="DX28" s="153" t="str">
        <f>IF(OR($B28="NSO",$B28=0,DS28=""),"",IF(AND(DJ28="",DO28=""),"",IF('Master Sheet'!$D$19="YES",$DO$6-COUNTIF(DO28,"ML")*DO$6,DS$6-(COUNTIF(DJ28,"ML")*DJ$6)-(COUNTIF(DO28,"ML")*DO$6))))</f>
        <v/>
      </c>
      <c r="DY28" s="153" t="str">
        <f>IF(OR($B28="NSO",$B28=0),"",IF(AND(DH28="",DI28="",DM28=""),"",IF(AND('Master Sheet'!$D$19="YES",'Marks Entry'!$BA$1=1),100,IF(AND(DJ28="",DO28=""),SUM(($DQ$7+$DR$7)-(DU28+DV28)),SUM(($DQ$6+$DR$6)-(DU28+DV28))))))</f>
        <v/>
      </c>
      <c r="DZ28" s="152" t="str">
        <f t="shared" si="120"/>
        <v/>
      </c>
      <c r="EA28" s="153" t="str">
        <f t="shared" si="121"/>
        <v/>
      </c>
      <c r="EB28" s="152" t="str">
        <f t="shared" si="122"/>
        <v/>
      </c>
      <c r="EC28" s="584">
        <f>IF('Marks Entry'!BB28="","",'Marks Entry'!BB28)</f>
        <v>24</v>
      </c>
      <c r="ED28" s="584">
        <f>IF('Marks Entry'!BC28="","",'Marks Entry'!BC28)</f>
        <v>25</v>
      </c>
      <c r="EE28" s="584">
        <f>IF('Marks Entry'!BD28="","",'Marks Entry'!BD28)</f>
        <v>32</v>
      </c>
      <c r="EF28" s="590">
        <f t="shared" si="123"/>
        <v>81</v>
      </c>
      <c r="EG28" s="595">
        <f t="shared" si="124"/>
        <v>0</v>
      </c>
      <c r="EH28" s="595">
        <f t="shared" si="125"/>
        <v>0</v>
      </c>
      <c r="EI28" s="192">
        <f t="shared" si="126"/>
        <v>100</v>
      </c>
      <c r="EJ28" s="595" t="str">
        <f t="shared" si="127"/>
        <v/>
      </c>
      <c r="EK28" s="595" t="str">
        <f t="shared" si="128"/>
        <v>A</v>
      </c>
      <c r="EL28" s="193" t="str">
        <f t="shared" si="129"/>
        <v/>
      </c>
      <c r="EM28" s="193" t="str">
        <f t="shared" si="130"/>
        <v/>
      </c>
      <c r="EN28" s="193" t="str">
        <f t="shared" si="131"/>
        <v>II</v>
      </c>
      <c r="EO28" s="193" t="str">
        <f t="shared" si="132"/>
        <v>I</v>
      </c>
      <c r="EP28" s="193" t="str">
        <f t="shared" si="133"/>
        <v>I</v>
      </c>
      <c r="EQ28" s="193" t="str">
        <f t="shared" si="134"/>
        <v/>
      </c>
      <c r="ER28" s="194">
        <f t="shared" si="135"/>
        <v>0</v>
      </c>
      <c r="ES28" s="194">
        <f t="shared" si="136"/>
        <v>0</v>
      </c>
      <c r="ET28" s="194">
        <f t="shared" si="137"/>
        <v>0</v>
      </c>
      <c r="EU28" s="194">
        <f t="shared" si="138"/>
        <v>0</v>
      </c>
      <c r="EV28" s="194">
        <f t="shared" si="139"/>
        <v>0</v>
      </c>
      <c r="EW28" s="194" t="str">
        <f t="shared" si="140"/>
        <v/>
      </c>
      <c r="EX28" s="195" t="str">
        <f t="shared" si="141"/>
        <v/>
      </c>
      <c r="EY28" s="196">
        <f>IF('Marks Entry'!BE28="","",'Marks Entry'!BE28)</f>
        <v>7</v>
      </c>
      <c r="EZ28" s="196">
        <f>IF('Marks Entry'!BF28="","",'Marks Entry'!BF28)</f>
        <v>7</v>
      </c>
      <c r="FA28" s="196">
        <f>IF('Marks Entry'!BG28="","",'Marks Entry'!BG28)</f>
        <v>7</v>
      </c>
      <c r="FB28" s="596">
        <f t="shared" si="142"/>
        <v>21</v>
      </c>
      <c r="FC28" s="196">
        <f>IF('Marks Entry'!BH28="","",'Marks Entry'!BH28)</f>
        <v>41</v>
      </c>
      <c r="FD28" s="196">
        <f>IF('Marks Entry'!BI28="","",'Marks Entry'!BI28)</f>
        <v>68</v>
      </c>
      <c r="FE28" s="197">
        <f t="shared" si="143"/>
        <v>130</v>
      </c>
      <c r="FF28" s="198" t="str">
        <f t="shared" si="144"/>
        <v>B</v>
      </c>
      <c r="FG28" s="199" t="str">
        <f>IF(AND(E28=""),"",IF('Student DATA Entry'!L24="","",'Student DATA Entry'!L24))</f>
        <v/>
      </c>
      <c r="FH28" s="200" t="str">
        <f>IF(AND(E28=""),"",IF('Student DATA Entry'!M24="","",'Student DATA Entry'!M24))</f>
        <v/>
      </c>
      <c r="FI28" s="201" t="str">
        <f t="shared" si="145"/>
        <v/>
      </c>
      <c r="FJ28" s="188" t="str">
        <f t="shared" si="146"/>
        <v/>
      </c>
      <c r="FK28" s="188" t="str">
        <f t="shared" si="147"/>
        <v/>
      </c>
      <c r="FL28" s="202" t="str">
        <f t="shared" si="19"/>
        <v/>
      </c>
      <c r="FM28" s="188" t="str">
        <f t="shared" si="148"/>
        <v/>
      </c>
      <c r="FN28" s="203" t="str">
        <f t="shared" si="149"/>
        <v/>
      </c>
      <c r="FO28" s="202" t="str">
        <f t="shared" si="20"/>
        <v/>
      </c>
      <c r="FP28" s="204" t="str">
        <f t="shared" si="150"/>
        <v>II</v>
      </c>
      <c r="FQ28" s="188" t="str">
        <f t="shared" si="21"/>
        <v>II</v>
      </c>
      <c r="FR28" s="188" t="str">
        <f t="shared" si="22"/>
        <v/>
      </c>
      <c r="FS28" s="188" t="str">
        <f t="shared" si="23"/>
        <v/>
      </c>
      <c r="FT28" s="188" t="str">
        <f t="shared" si="24"/>
        <v/>
      </c>
      <c r="FU28" s="188" t="str">
        <f t="shared" si="151"/>
        <v/>
      </c>
      <c r="FV28" s="205" t="str">
        <f t="shared" si="25"/>
        <v/>
      </c>
      <c r="FW28" s="204" t="str">
        <f t="shared" si="152"/>
        <v>I</v>
      </c>
      <c r="FX28" s="188" t="str">
        <f t="shared" si="26"/>
        <v/>
      </c>
      <c r="FY28" s="188" t="str">
        <f t="shared" si="27"/>
        <v>I</v>
      </c>
      <c r="FZ28" s="188" t="str">
        <f t="shared" si="28"/>
        <v/>
      </c>
      <c r="GA28" s="188" t="str">
        <f t="shared" si="29"/>
        <v/>
      </c>
      <c r="GB28" s="188" t="str">
        <f t="shared" si="153"/>
        <v/>
      </c>
      <c r="GC28" s="205" t="str">
        <f t="shared" si="30"/>
        <v/>
      </c>
      <c r="GD28" s="204" t="str">
        <f t="shared" si="154"/>
        <v>I</v>
      </c>
      <c r="GE28" s="188" t="str">
        <f t="shared" si="31"/>
        <v>I</v>
      </c>
      <c r="GF28" s="188" t="str">
        <f t="shared" si="32"/>
        <v/>
      </c>
      <c r="GG28" s="188" t="str">
        <f t="shared" si="33"/>
        <v/>
      </c>
      <c r="GH28" s="188" t="str">
        <f t="shared" si="34"/>
        <v/>
      </c>
      <c r="GI28" s="188" t="str">
        <f t="shared" si="155"/>
        <v/>
      </c>
      <c r="GJ28" s="205" t="str">
        <f t="shared" si="35"/>
        <v/>
      </c>
      <c r="GK28" s="204" t="str">
        <f t="shared" si="156"/>
        <v/>
      </c>
      <c r="GL28" s="188" t="str">
        <f t="shared" si="36"/>
        <v/>
      </c>
      <c r="GM28" s="188" t="str">
        <f t="shared" si="37"/>
        <v/>
      </c>
      <c r="GN28" s="188" t="str">
        <f t="shared" si="38"/>
        <v/>
      </c>
      <c r="GO28" s="188" t="str">
        <f t="shared" si="39"/>
        <v/>
      </c>
      <c r="GP28" s="188" t="str">
        <f t="shared" si="157"/>
        <v/>
      </c>
      <c r="GQ28" s="205" t="str">
        <f t="shared" si="40"/>
        <v/>
      </c>
      <c r="GR28" s="188" t="str">
        <f t="shared" si="158"/>
        <v>A</v>
      </c>
      <c r="GS28" s="188" t="str">
        <f t="shared" si="159"/>
        <v>B</v>
      </c>
      <c r="GT28" s="206" t="str">
        <f t="shared" si="177"/>
        <v xml:space="preserve">    </v>
      </c>
      <c r="GU28" s="206" t="str">
        <f t="shared" si="160"/>
        <v xml:space="preserve">    </v>
      </c>
      <c r="GV28" s="206" t="str">
        <f t="shared" si="161"/>
        <v xml:space="preserve">    </v>
      </c>
      <c r="GW28" s="206" t="str">
        <f t="shared" si="162"/>
        <v xml:space="preserve">       </v>
      </c>
      <c r="GX28" s="598" t="str">
        <f t="shared" si="163"/>
        <v xml:space="preserve">     </v>
      </c>
      <c r="GY28" s="207" t="str">
        <f t="shared" si="164"/>
        <v/>
      </c>
      <c r="GZ28" s="606">
        <f>IF(AND(Q28="",AE28="",AZ28="",BW28="",CT28=""),"",IF(AND('Master Sheet'!$D$19="YES",'Marks Entry'!$BA$1=1),SUM(Q28,AE28,AZ28,BW28,DT28),SUM(Q28,AE28,AZ28,BW28,CT28)))</f>
        <v>592</v>
      </c>
      <c r="HA28" s="208">
        <f>IF(GZ28="","",IF(AND('Master Sheet'!$D$19="YES",'Marks Entry'!$BA$1=1),GZ28/((900)-DC28)*100,GZ28/((1000)-DC28)*100))</f>
        <v>59.199999999999996</v>
      </c>
      <c r="HB28" s="611" t="str">
        <f t="shared" si="165"/>
        <v/>
      </c>
      <c r="HC28" s="609" t="str">
        <f t="shared" si="166"/>
        <v/>
      </c>
      <c r="HD28" s="610" t="str">
        <f t="shared" si="167"/>
        <v/>
      </c>
      <c r="HE28" s="209" t="str">
        <f>IFERROR(IF(OR(GY28="SUPPLEMENTARY",GY28="RE-EXAM"),'Supp. Result Entry'!AS27,""),"")</f>
        <v/>
      </c>
      <c r="HF28" s="613" t="str">
        <f t="shared" si="168"/>
        <v/>
      </c>
      <c r="HG28" s="598" t="str">
        <f t="shared" si="169"/>
        <v/>
      </c>
      <c r="HH28" s="598" t="str">
        <f>IF(AND(HE28="",HF28="",HG28=""),"",IF(OR(GY28="SUPPLEMENTARY",GY28="RE-EXAM"),'Supp. Result Entry'!AS27,GY28))</f>
        <v/>
      </c>
      <c r="HI28" s="179"/>
      <c r="HY28" s="211" t="str">
        <f>IF('Supp. Result Entry'!U27="","",'Supp. Result Entry'!$U$6)</f>
        <v/>
      </c>
      <c r="HZ28" s="212" t="str">
        <f>IF('Supp. Result Entry'!X27="","",'Supp. Result Entry'!$X$6)</f>
        <v/>
      </c>
      <c r="IA28" s="212" t="str">
        <f>IF('Supp. Result Entry'!AA27="","",'Supp. Result Entry'!$AA$6)</f>
        <v/>
      </c>
      <c r="IB28" s="212" t="str">
        <f>IF('Supp. Result Entry'!AD27="","",'Supp. Result Entry'!$AD$6)</f>
        <v/>
      </c>
      <c r="IC28" s="212" t="str">
        <f>IF('Supp. Result Entry'!AG27="","",'Supp. Result Entry'!$AG$6)</f>
        <v/>
      </c>
      <c r="ID28" s="212" t="str">
        <f>IF('Supp. Result Entry'!AJ27="","",'Supp. Result Entry'!$AJ$6)</f>
        <v/>
      </c>
      <c r="IE28" s="212" t="str">
        <f>IF('Supp. Result Entry'!V27="","",'Supp. Result Entry'!V27)</f>
        <v/>
      </c>
      <c r="IF28" s="212" t="str">
        <f>IF('Supp. Result Entry'!Y27="","",'Supp. Result Entry'!Y27)</f>
        <v/>
      </c>
      <c r="IG28" s="212" t="str">
        <f>IF('Supp. Result Entry'!AB27="","",'Supp. Result Entry'!AB27)</f>
        <v/>
      </c>
      <c r="IH28" s="212" t="str">
        <f>IF('Supp. Result Entry'!AE27="","",'Supp. Result Entry'!AE27)</f>
        <v/>
      </c>
      <c r="II28" s="212" t="str">
        <f>IF('Supp. Result Entry'!AH27="","",'Supp. Result Entry'!AH27)</f>
        <v/>
      </c>
      <c r="IJ28" s="212" t="str">
        <f>IF('Supp. Result Entry'!AK27="","",'Supp. Result Entry'!AK27)</f>
        <v/>
      </c>
      <c r="IK28" s="212" t="str">
        <f>IF('Supp. Result Entry'!W27="","",'Supp. Result Entry'!W27)</f>
        <v/>
      </c>
      <c r="IL28" s="212" t="str">
        <f>IF('Supp. Result Entry'!Z27="","",'Supp. Result Entry'!Z27)</f>
        <v/>
      </c>
      <c r="IM28" s="212" t="str">
        <f>IF('Supp. Result Entry'!AC27="","",'Supp. Result Entry'!AC27)</f>
        <v/>
      </c>
      <c r="IN28" s="212" t="str">
        <f>IF('Supp. Result Entry'!AF27="","",'Supp. Result Entry'!AF27)</f>
        <v/>
      </c>
      <c r="IO28" s="212" t="str">
        <f>IF('Supp. Result Entry'!AI27="","",'Supp. Result Entry'!AI27)</f>
        <v/>
      </c>
      <c r="IP28" s="212" t="str">
        <f>IF('Supp. Result Entry'!AL27="","",'Supp. Result Entry'!AL27)</f>
        <v/>
      </c>
      <c r="IQ28" s="212">
        <f>COUNTIF('Supp. Result Entry'!K27:Q27,"S")</f>
        <v>0</v>
      </c>
      <c r="IR28" s="212">
        <f t="shared" si="170"/>
        <v>0</v>
      </c>
      <c r="IS28" s="212">
        <f t="shared" si="171"/>
        <v>0</v>
      </c>
      <c r="IT28" s="212" t="str">
        <f t="shared" si="41"/>
        <v/>
      </c>
      <c r="IU28" s="212" t="str">
        <f t="shared" si="42"/>
        <v/>
      </c>
      <c r="IV28" s="212" t="str">
        <f t="shared" si="43"/>
        <v/>
      </c>
      <c r="IW28" s="212" t="str">
        <f t="shared" si="44"/>
        <v/>
      </c>
      <c r="IX28" s="212" t="str">
        <f t="shared" si="45"/>
        <v/>
      </c>
      <c r="IY28" s="212" t="str">
        <f t="shared" si="172"/>
        <v/>
      </c>
      <c r="IZ28" s="212" t="str">
        <f t="shared" si="173"/>
        <v/>
      </c>
      <c r="JA28" s="212" t="str">
        <f t="shared" si="46"/>
        <v/>
      </c>
      <c r="JB28" s="210" t="str">
        <f t="shared" si="174"/>
        <v/>
      </c>
    </row>
    <row r="29" spans="1:262" s="210" customFormat="1" ht="21" customHeight="1">
      <c r="A29" s="183">
        <v>22</v>
      </c>
      <c r="B29" s="184" t="str">
        <f>IF('Marks Entry'!B29="","",'Marks Entry'!B29)</f>
        <v/>
      </c>
      <c r="C29" s="185" t="str">
        <f>IF('Marks Entry'!D29="","",'Marks Entry'!D29)</f>
        <v/>
      </c>
      <c r="D29" s="186" t="str">
        <f>IF('Marks Entry'!E29="","",'Marks Entry'!E29)</f>
        <v/>
      </c>
      <c r="E29" s="187" t="str">
        <f>IF('Marks Entry'!F29="","",'Marks Entry'!F29)</f>
        <v/>
      </c>
      <c r="F29" s="187" t="str">
        <f>IF('Marks Entry'!G29="","",'Marks Entry'!G29)</f>
        <v/>
      </c>
      <c r="G29" s="187" t="str">
        <f>IF('Marks Entry'!H29="","",'Marks Entry'!H29)</f>
        <v/>
      </c>
      <c r="H29" s="188" t="str">
        <f>IF('Marks Entry'!I29="","",'Marks Entry'!I29)</f>
        <v/>
      </c>
      <c r="I29" s="189" t="str">
        <f>IF('Marks Entry'!J29="","",'Marks Entry'!J29)</f>
        <v/>
      </c>
      <c r="J29" s="545">
        <f>IF('Marks Entry'!K29="","",'Marks Entry'!K29)</f>
        <v>13</v>
      </c>
      <c r="K29" s="545">
        <f>IF('Marks Entry'!L29="","",'Marks Entry'!L29)</f>
        <v>7</v>
      </c>
      <c r="L29" s="545">
        <f>IF('Marks Entry'!M29="","",'Marks Entry'!M29)</f>
        <v>8</v>
      </c>
      <c r="M29" s="546">
        <f t="shared" si="47"/>
        <v>28</v>
      </c>
      <c r="N29" s="545">
        <f>IF('Marks Entry'!N29="","",'Marks Entry'!N29)</f>
        <v>27</v>
      </c>
      <c r="O29" s="546">
        <f t="shared" si="48"/>
        <v>55</v>
      </c>
      <c r="P29" s="545">
        <f>IF('Marks Entry'!O29="","",'Marks Entry'!O29)</f>
        <v>54</v>
      </c>
      <c r="Q29" s="547">
        <f t="shared" si="49"/>
        <v>109</v>
      </c>
      <c r="R29" s="152">
        <f t="shared" si="50"/>
        <v>0</v>
      </c>
      <c r="S29" s="152">
        <f t="shared" si="51"/>
        <v>0</v>
      </c>
      <c r="T29" s="153">
        <f t="shared" si="52"/>
        <v>200</v>
      </c>
      <c r="U29" s="152" t="str">
        <f t="shared" si="53"/>
        <v/>
      </c>
      <c r="V29" s="152" t="str">
        <f t="shared" si="54"/>
        <v/>
      </c>
      <c r="W29" s="152" t="str">
        <f t="shared" si="55"/>
        <v/>
      </c>
      <c r="X29" s="545">
        <f>IF('Marks Entry'!P29="","",'Marks Entry'!P29)</f>
        <v>8</v>
      </c>
      <c r="Y29" s="545">
        <f>IF('Marks Entry'!Q29="","",'Marks Entry'!Q29)</f>
        <v>10</v>
      </c>
      <c r="Z29" s="545">
        <f>IF('Marks Entry'!R29="","",'Marks Entry'!R29)</f>
        <v>9</v>
      </c>
      <c r="AA29" s="546">
        <f t="shared" si="56"/>
        <v>27</v>
      </c>
      <c r="AB29" s="545">
        <f>IF('Marks Entry'!S29="","",'Marks Entry'!S29)</f>
        <v>29</v>
      </c>
      <c r="AC29" s="546">
        <f t="shared" si="57"/>
        <v>56</v>
      </c>
      <c r="AD29" s="545">
        <f>IF('Marks Entry'!T29="","",'Marks Entry'!T29)</f>
        <v>68</v>
      </c>
      <c r="AE29" s="547">
        <f t="shared" si="58"/>
        <v>124</v>
      </c>
      <c r="AF29" s="152">
        <f t="shared" si="59"/>
        <v>0</v>
      </c>
      <c r="AG29" s="152">
        <f t="shared" si="60"/>
        <v>0</v>
      </c>
      <c r="AH29" s="153">
        <f t="shared" si="61"/>
        <v>200</v>
      </c>
      <c r="AI29" s="152" t="str">
        <f t="shared" si="62"/>
        <v/>
      </c>
      <c r="AJ29" s="152" t="str">
        <f t="shared" si="63"/>
        <v/>
      </c>
      <c r="AK29" s="152" t="str">
        <f t="shared" si="64"/>
        <v/>
      </c>
      <c r="AL29" s="573" t="str">
        <f>IF('Marks Entry'!U29="","",'Marks Entry'!U29)</f>
        <v>A</v>
      </c>
      <c r="AM29" s="573">
        <f>IF('Marks Entry'!V29="","",'Marks Entry'!V29)</f>
        <v>9</v>
      </c>
      <c r="AN29" s="573">
        <f>IF('Marks Entry'!W29="","",'Marks Entry'!W29)</f>
        <v>8</v>
      </c>
      <c r="AO29" s="573">
        <f>IF('Marks Entry'!X29="","",'Marks Entry'!X29)</f>
        <v>7</v>
      </c>
      <c r="AP29" s="572">
        <f t="shared" si="65"/>
        <v>24</v>
      </c>
      <c r="AQ29" s="573">
        <f>IF('Marks Entry'!Y29="","",'Marks Entry'!Y29)</f>
        <v>40</v>
      </c>
      <c r="AR29" s="573" t="str">
        <f>IF('Marks Entry'!Z29="","",'Marks Entry'!Z29)</f>
        <v/>
      </c>
      <c r="AS29" s="572">
        <f t="shared" si="66"/>
        <v>40</v>
      </c>
      <c r="AT29" s="572">
        <f t="shared" si="67"/>
        <v>64</v>
      </c>
      <c r="AU29" s="573">
        <f>IF('Marks Entry'!AA29="","",'Marks Entry'!AA29)</f>
        <v>47</v>
      </c>
      <c r="AV29" s="573" t="str">
        <f>IF('Marks Entry'!AB29="","",'Marks Entry'!AB29)</f>
        <v/>
      </c>
      <c r="AW29" s="572">
        <f t="shared" si="68"/>
        <v>47</v>
      </c>
      <c r="AX29" s="156">
        <f t="shared" si="69"/>
        <v>111</v>
      </c>
      <c r="AY29" s="156" t="str">
        <f t="shared" si="70"/>
        <v/>
      </c>
      <c r="AZ29" s="191">
        <f t="shared" si="71"/>
        <v>111</v>
      </c>
      <c r="BA29" s="152">
        <f t="shared" si="72"/>
        <v>0</v>
      </c>
      <c r="BB29" s="153">
        <f t="shared" si="73"/>
        <v>0</v>
      </c>
      <c r="BC29" s="153">
        <f t="shared" si="74"/>
        <v>100</v>
      </c>
      <c r="BD29" s="153" t="str">
        <f t="shared" si="75"/>
        <v/>
      </c>
      <c r="BE29" s="153">
        <f t="shared" si="76"/>
        <v>200</v>
      </c>
      <c r="BF29" s="152" t="str">
        <f t="shared" si="77"/>
        <v/>
      </c>
      <c r="BG29" s="153" t="str">
        <f t="shared" si="175"/>
        <v>P</v>
      </c>
      <c r="BH29" s="152" t="str">
        <f t="shared" si="78"/>
        <v>II</v>
      </c>
      <c r="BI29" s="580" t="str">
        <f>IF('Marks Entry'!AC29="","",'Marks Entry'!AC29)</f>
        <v>B</v>
      </c>
      <c r="BJ29" s="580">
        <f>IF('Marks Entry'!AD29="","",'Marks Entry'!AD29)</f>
        <v>14</v>
      </c>
      <c r="BK29" s="580">
        <f>IF('Marks Entry'!AE29="","",'Marks Entry'!AE29)</f>
        <v>10</v>
      </c>
      <c r="BL29" s="580" t="str">
        <f>IF('Marks Entry'!AF29="","",'Marks Entry'!AF29)</f>
        <v/>
      </c>
      <c r="BM29" s="581">
        <f t="shared" si="79"/>
        <v>24</v>
      </c>
      <c r="BN29" s="580">
        <f>IF('Marks Entry'!AG29="","",'Marks Entry'!AG29)</f>
        <v>48</v>
      </c>
      <c r="BO29" s="580" t="str">
        <f>IF('Marks Entry'!AH29="","",'Marks Entry'!AH29)</f>
        <v/>
      </c>
      <c r="BP29" s="581">
        <f t="shared" si="80"/>
        <v>48</v>
      </c>
      <c r="BQ29" s="581">
        <f t="shared" si="81"/>
        <v>72</v>
      </c>
      <c r="BR29" s="580">
        <f>IF('Marks Entry'!AI29="","",'Marks Entry'!AI29)</f>
        <v>52</v>
      </c>
      <c r="BS29" s="580" t="str">
        <f>IF('Marks Entry'!AJ29="","",'Marks Entry'!AJ29)</f>
        <v/>
      </c>
      <c r="BT29" s="581">
        <f t="shared" si="82"/>
        <v>52</v>
      </c>
      <c r="BU29" s="156">
        <f t="shared" si="83"/>
        <v>124</v>
      </c>
      <c r="BV29" s="156" t="str">
        <f t="shared" si="84"/>
        <v/>
      </c>
      <c r="BW29" s="191">
        <f t="shared" si="85"/>
        <v>124</v>
      </c>
      <c r="BX29" s="152">
        <f t="shared" si="86"/>
        <v>0</v>
      </c>
      <c r="BY29" s="153">
        <f t="shared" si="87"/>
        <v>0</v>
      </c>
      <c r="BZ29" s="153">
        <f t="shared" si="88"/>
        <v>100</v>
      </c>
      <c r="CA29" s="153" t="str">
        <f t="shared" si="89"/>
        <v/>
      </c>
      <c r="CB29" s="153">
        <f t="shared" si="90"/>
        <v>200</v>
      </c>
      <c r="CC29" s="152" t="str">
        <f t="shared" si="91"/>
        <v/>
      </c>
      <c r="CD29" s="153" t="str">
        <f t="shared" si="92"/>
        <v>P</v>
      </c>
      <c r="CE29" s="152" t="str">
        <f t="shared" si="93"/>
        <v>I</v>
      </c>
      <c r="CF29" s="580" t="str">
        <f>IF('Marks Entry'!AK29="","",'Marks Entry'!AK29)</f>
        <v>A</v>
      </c>
      <c r="CG29" s="580">
        <f>IF('Marks Entry'!AL29="","",'Marks Entry'!AL29)</f>
        <v>10</v>
      </c>
      <c r="CH29" s="580">
        <f>IF('Marks Entry'!AM29="","",'Marks Entry'!AM29)</f>
        <v>12</v>
      </c>
      <c r="CI29" s="580" t="str">
        <f>IF('Marks Entry'!AN29="","",'Marks Entry'!AN29)</f>
        <v/>
      </c>
      <c r="CJ29" s="581">
        <f t="shared" si="94"/>
        <v>22</v>
      </c>
      <c r="CK29" s="580">
        <f>IF('Marks Entry'!AO29="","",'Marks Entry'!AO29)</f>
        <v>29</v>
      </c>
      <c r="CL29" s="580">
        <f>IF('Marks Entry'!AP29="","",'Marks Entry'!AP29)</f>
        <v>8</v>
      </c>
      <c r="CM29" s="581">
        <f t="shared" si="95"/>
        <v>37</v>
      </c>
      <c r="CN29" s="581">
        <f t="shared" si="96"/>
        <v>59</v>
      </c>
      <c r="CO29" s="580">
        <f>IF('Marks Entry'!AQ29="","",'Marks Entry'!AQ29)</f>
        <v>45</v>
      </c>
      <c r="CP29" s="580">
        <f>IF('Marks Entry'!AR29="","",'Marks Entry'!AR29)</f>
        <v>24</v>
      </c>
      <c r="CQ29" s="581">
        <f t="shared" si="97"/>
        <v>69</v>
      </c>
      <c r="CR29" s="156">
        <f t="shared" si="98"/>
        <v>96</v>
      </c>
      <c r="CS29" s="156">
        <f t="shared" si="99"/>
        <v>32</v>
      </c>
      <c r="CT29" s="191">
        <f t="shared" si="100"/>
        <v>128</v>
      </c>
      <c r="CU29" s="152">
        <f t="shared" si="101"/>
        <v>0</v>
      </c>
      <c r="CV29" s="153">
        <f t="shared" si="102"/>
        <v>0</v>
      </c>
      <c r="CW29" s="153">
        <f t="shared" si="103"/>
        <v>70</v>
      </c>
      <c r="CX29" s="153">
        <f t="shared" si="104"/>
        <v>50</v>
      </c>
      <c r="CY29" s="153">
        <f t="shared" si="176"/>
        <v>150</v>
      </c>
      <c r="CZ29" s="152" t="str">
        <f t="shared" si="105"/>
        <v/>
      </c>
      <c r="DA29" s="153" t="str">
        <f t="shared" si="106"/>
        <v>P</v>
      </c>
      <c r="DB29" s="152" t="str">
        <f t="shared" si="107"/>
        <v>I</v>
      </c>
      <c r="DC29" s="153">
        <f t="shared" si="108"/>
        <v>0</v>
      </c>
      <c r="DD29" s="851" t="str">
        <f>IF('Marks Entry'!AS29="","",IF(OR('Master Sheet'!$D$19="YES",'Marks Entry'!$BA$1=1),'Marks Entry'!AS29,""))</f>
        <v/>
      </c>
      <c r="DE29" s="851" t="str">
        <f>IF('Marks Entry'!AT29="","",IF(OR('Master Sheet'!$D$19="YES",'Marks Entry'!$BA$1=1),'Marks Entry'!AT29,""))</f>
        <v/>
      </c>
      <c r="DF29" s="851" t="str">
        <f>IF('Marks Entry'!AU29="","",IF(OR('Master Sheet'!$D$19="YES",'Marks Entry'!$BA$1=1),'Marks Entry'!AU29,""))</f>
        <v/>
      </c>
      <c r="DG29" s="851" t="str">
        <f>IF('Marks Entry'!AV29="","",IF(OR('Master Sheet'!$D$19="YES",'Marks Entry'!$BA$1=1),'Marks Entry'!AV29,""))</f>
        <v/>
      </c>
      <c r="DH29" s="852" t="str">
        <f t="shared" si="109"/>
        <v/>
      </c>
      <c r="DI29" s="851" t="str">
        <f>IF('Marks Entry'!AW29="","",IF(OR('Master Sheet'!$D$19="YES",'Marks Entry'!$BA$1=1),'Marks Entry'!AW29,""))</f>
        <v/>
      </c>
      <c r="DJ29" s="851" t="str">
        <f>IF('Marks Entry'!AX29="","",IF(OR('Master Sheet'!$D$19="YES",'Marks Entry'!$BA$1=1),'Marks Entry'!AX29,""))</f>
        <v/>
      </c>
      <c r="DK29" s="852" t="str">
        <f t="shared" si="110"/>
        <v/>
      </c>
      <c r="DL29" s="852" t="str">
        <f t="shared" si="111"/>
        <v/>
      </c>
      <c r="DM29" s="851" t="str">
        <f>IF('Marks Entry'!AY29="","",IF(OR('Master Sheet'!$D$19="YES",'Marks Entry'!$BA$1=1),'Marks Entry'!AY29,""))</f>
        <v/>
      </c>
      <c r="DN29" s="851" t="str">
        <f>IF('Marks Entry'!AZ29="","",IF(OR('Master Sheet'!$D$19="YES",'Marks Entry'!$BA$1=1),'Marks Entry'!AZ29,""))</f>
        <v/>
      </c>
      <c r="DO29" s="851" t="str">
        <f>IF('Marks Entry'!BA29="","",IF(OR('Master Sheet'!$D$19="YES",'Marks Entry'!$BA$1=1),'Marks Entry'!BA29,""))</f>
        <v/>
      </c>
      <c r="DP29" s="852" t="str">
        <f t="shared" si="112"/>
        <v/>
      </c>
      <c r="DQ29" s="156" t="str">
        <f t="shared" si="113"/>
        <v/>
      </c>
      <c r="DR29" s="156" t="str">
        <f t="shared" si="114"/>
        <v/>
      </c>
      <c r="DS29" s="156" t="str">
        <f t="shared" si="115"/>
        <v/>
      </c>
      <c r="DT29" s="191" t="str">
        <f t="shared" si="116"/>
        <v/>
      </c>
      <c r="DU29" s="152">
        <f t="shared" si="117"/>
        <v>0</v>
      </c>
      <c r="DV29" s="153">
        <f t="shared" si="118"/>
        <v>0</v>
      </c>
      <c r="DW29" s="153" t="str">
        <f t="shared" si="119"/>
        <v/>
      </c>
      <c r="DX29" s="153" t="str">
        <f>IF(OR($B29="NSO",$B29=0,DS29=""),"",IF(AND(DJ29="",DO29=""),"",IF('Master Sheet'!$D$19="YES",$DO$6-COUNTIF(DO29,"ML")*DO$6,DS$6-(COUNTIF(DJ29,"ML")*DJ$6)-(COUNTIF(DO29,"ML")*DO$6))))</f>
        <v/>
      </c>
      <c r="DY29" s="153" t="str">
        <f>IF(OR($B29="NSO",$B29=0),"",IF(AND(DH29="",DI29="",DM29=""),"",IF(AND('Master Sheet'!$D$19="YES",'Marks Entry'!$BA$1=1),100,IF(AND(DJ29="",DO29=""),SUM(($DQ$7+$DR$7)-(DU29+DV29)),SUM(($DQ$6+$DR$6)-(DU29+DV29))))))</f>
        <v/>
      </c>
      <c r="DZ29" s="152" t="str">
        <f t="shared" si="120"/>
        <v/>
      </c>
      <c r="EA29" s="153" t="str">
        <f t="shared" si="121"/>
        <v/>
      </c>
      <c r="EB29" s="152" t="str">
        <f t="shared" si="122"/>
        <v/>
      </c>
      <c r="EC29" s="584">
        <f>IF('Marks Entry'!BB29="","",'Marks Entry'!BB29)</f>
        <v>20</v>
      </c>
      <c r="ED29" s="584">
        <f>IF('Marks Entry'!BC29="","",'Marks Entry'!BC29)</f>
        <v>30</v>
      </c>
      <c r="EE29" s="584">
        <f>IF('Marks Entry'!BD29="","",'Marks Entry'!BD29)</f>
        <v>32</v>
      </c>
      <c r="EF29" s="590">
        <f t="shared" si="123"/>
        <v>82</v>
      </c>
      <c r="EG29" s="595">
        <f t="shared" si="124"/>
        <v>0</v>
      </c>
      <c r="EH29" s="595">
        <f t="shared" si="125"/>
        <v>0</v>
      </c>
      <c r="EI29" s="192">
        <f t="shared" si="126"/>
        <v>100</v>
      </c>
      <c r="EJ29" s="595" t="str">
        <f t="shared" si="127"/>
        <v/>
      </c>
      <c r="EK29" s="595" t="str">
        <f t="shared" si="128"/>
        <v>A</v>
      </c>
      <c r="EL29" s="193" t="str">
        <f t="shared" si="129"/>
        <v/>
      </c>
      <c r="EM29" s="193" t="str">
        <f t="shared" si="130"/>
        <v/>
      </c>
      <c r="EN29" s="193" t="str">
        <f t="shared" si="131"/>
        <v>II</v>
      </c>
      <c r="EO29" s="193" t="str">
        <f t="shared" si="132"/>
        <v>I</v>
      </c>
      <c r="EP29" s="193" t="str">
        <f t="shared" si="133"/>
        <v>I</v>
      </c>
      <c r="EQ29" s="193" t="str">
        <f t="shared" si="134"/>
        <v/>
      </c>
      <c r="ER29" s="194">
        <f t="shared" si="135"/>
        <v>0</v>
      </c>
      <c r="ES29" s="194">
        <f t="shared" si="136"/>
        <v>0</v>
      </c>
      <c r="ET29" s="194">
        <f t="shared" si="137"/>
        <v>0</v>
      </c>
      <c r="EU29" s="194">
        <f t="shared" si="138"/>
        <v>0</v>
      </c>
      <c r="EV29" s="194">
        <f t="shared" si="139"/>
        <v>0</v>
      </c>
      <c r="EW29" s="194" t="str">
        <f t="shared" si="140"/>
        <v/>
      </c>
      <c r="EX29" s="195" t="str">
        <f t="shared" si="141"/>
        <v/>
      </c>
      <c r="EY29" s="196">
        <f>IF('Marks Entry'!BE29="","",'Marks Entry'!BE29)</f>
        <v>7</v>
      </c>
      <c r="EZ29" s="196">
        <f>IF('Marks Entry'!BF29="","",'Marks Entry'!BF29)</f>
        <v>7</v>
      </c>
      <c r="FA29" s="196">
        <f>IF('Marks Entry'!BG29="","",'Marks Entry'!BG29)</f>
        <v>7</v>
      </c>
      <c r="FB29" s="596">
        <f t="shared" si="142"/>
        <v>21</v>
      </c>
      <c r="FC29" s="196">
        <f>IF('Marks Entry'!BH29="","",'Marks Entry'!BH29)</f>
        <v>41</v>
      </c>
      <c r="FD29" s="196">
        <f>IF('Marks Entry'!BI29="","",'Marks Entry'!BI29)</f>
        <v>68</v>
      </c>
      <c r="FE29" s="197">
        <f t="shared" si="143"/>
        <v>130</v>
      </c>
      <c r="FF29" s="198" t="str">
        <f t="shared" si="144"/>
        <v>B</v>
      </c>
      <c r="FG29" s="199" t="str">
        <f>IF(AND(E29=""),"",IF('Student DATA Entry'!L25="","",'Student DATA Entry'!L25))</f>
        <v/>
      </c>
      <c r="FH29" s="200" t="str">
        <f>IF(AND(E29=""),"",IF('Student DATA Entry'!M25="","",'Student DATA Entry'!M25))</f>
        <v/>
      </c>
      <c r="FI29" s="201" t="str">
        <f t="shared" si="145"/>
        <v/>
      </c>
      <c r="FJ29" s="188" t="str">
        <f t="shared" si="146"/>
        <v/>
      </c>
      <c r="FK29" s="188" t="str">
        <f t="shared" si="147"/>
        <v/>
      </c>
      <c r="FL29" s="202" t="str">
        <f t="shared" si="19"/>
        <v/>
      </c>
      <c r="FM29" s="188" t="str">
        <f t="shared" si="148"/>
        <v/>
      </c>
      <c r="FN29" s="203" t="str">
        <f t="shared" si="149"/>
        <v/>
      </c>
      <c r="FO29" s="202" t="str">
        <f t="shared" si="20"/>
        <v/>
      </c>
      <c r="FP29" s="204" t="str">
        <f t="shared" si="150"/>
        <v>II</v>
      </c>
      <c r="FQ29" s="188" t="str">
        <f t="shared" si="21"/>
        <v>II</v>
      </c>
      <c r="FR29" s="188" t="str">
        <f t="shared" si="22"/>
        <v/>
      </c>
      <c r="FS29" s="188" t="str">
        <f t="shared" si="23"/>
        <v/>
      </c>
      <c r="FT29" s="188" t="str">
        <f t="shared" si="24"/>
        <v/>
      </c>
      <c r="FU29" s="188" t="str">
        <f t="shared" si="151"/>
        <v/>
      </c>
      <c r="FV29" s="205" t="str">
        <f t="shared" si="25"/>
        <v/>
      </c>
      <c r="FW29" s="204" t="str">
        <f t="shared" si="152"/>
        <v>I</v>
      </c>
      <c r="FX29" s="188" t="str">
        <f t="shared" si="26"/>
        <v/>
      </c>
      <c r="FY29" s="188" t="str">
        <f t="shared" si="27"/>
        <v>I</v>
      </c>
      <c r="FZ29" s="188" t="str">
        <f t="shared" si="28"/>
        <v/>
      </c>
      <c r="GA29" s="188" t="str">
        <f t="shared" si="29"/>
        <v/>
      </c>
      <c r="GB29" s="188" t="str">
        <f t="shared" si="153"/>
        <v/>
      </c>
      <c r="GC29" s="205" t="str">
        <f t="shared" si="30"/>
        <v/>
      </c>
      <c r="GD29" s="204" t="str">
        <f t="shared" si="154"/>
        <v>I</v>
      </c>
      <c r="GE29" s="188" t="str">
        <f t="shared" si="31"/>
        <v>I</v>
      </c>
      <c r="GF29" s="188" t="str">
        <f t="shared" si="32"/>
        <v/>
      </c>
      <c r="GG29" s="188" t="str">
        <f t="shared" si="33"/>
        <v/>
      </c>
      <c r="GH29" s="188" t="str">
        <f t="shared" si="34"/>
        <v/>
      </c>
      <c r="GI29" s="188" t="str">
        <f t="shared" si="155"/>
        <v/>
      </c>
      <c r="GJ29" s="205" t="str">
        <f t="shared" si="35"/>
        <v/>
      </c>
      <c r="GK29" s="204" t="str">
        <f t="shared" si="156"/>
        <v/>
      </c>
      <c r="GL29" s="188" t="str">
        <f t="shared" si="36"/>
        <v/>
      </c>
      <c r="GM29" s="188" t="str">
        <f t="shared" si="37"/>
        <v/>
      </c>
      <c r="GN29" s="188" t="str">
        <f t="shared" si="38"/>
        <v/>
      </c>
      <c r="GO29" s="188" t="str">
        <f t="shared" si="39"/>
        <v/>
      </c>
      <c r="GP29" s="188" t="str">
        <f t="shared" si="157"/>
        <v/>
      </c>
      <c r="GQ29" s="205" t="str">
        <f t="shared" si="40"/>
        <v/>
      </c>
      <c r="GR29" s="188" t="str">
        <f t="shared" si="158"/>
        <v>A</v>
      </c>
      <c r="GS29" s="188" t="str">
        <f t="shared" si="159"/>
        <v>B</v>
      </c>
      <c r="GT29" s="206" t="str">
        <f t="shared" si="177"/>
        <v xml:space="preserve">    </v>
      </c>
      <c r="GU29" s="206" t="str">
        <f t="shared" si="160"/>
        <v xml:space="preserve">    </v>
      </c>
      <c r="GV29" s="206" t="str">
        <f t="shared" si="161"/>
        <v xml:space="preserve">    </v>
      </c>
      <c r="GW29" s="206" t="str">
        <f t="shared" si="162"/>
        <v xml:space="preserve">       </v>
      </c>
      <c r="GX29" s="598" t="str">
        <f t="shared" si="163"/>
        <v xml:space="preserve">     </v>
      </c>
      <c r="GY29" s="207" t="str">
        <f t="shared" si="164"/>
        <v/>
      </c>
      <c r="GZ29" s="606">
        <f>IF(AND(Q29="",AE29="",AZ29="",BW29="",CT29=""),"",IF(AND('Master Sheet'!$D$19="YES",'Marks Entry'!$BA$1=1),SUM(Q29,AE29,AZ29,BW29,DT29),SUM(Q29,AE29,AZ29,BW29,CT29)))</f>
        <v>596</v>
      </c>
      <c r="HA29" s="208">
        <f>IF(GZ29="","",IF(AND('Master Sheet'!$D$19="YES",'Marks Entry'!$BA$1=1),GZ29/((900)-DC29)*100,GZ29/((1000)-DC29)*100))</f>
        <v>59.599999999999994</v>
      </c>
      <c r="HB29" s="611" t="str">
        <f t="shared" si="165"/>
        <v/>
      </c>
      <c r="HC29" s="609" t="str">
        <f t="shared" si="166"/>
        <v/>
      </c>
      <c r="HD29" s="610" t="str">
        <f t="shared" si="167"/>
        <v/>
      </c>
      <c r="HE29" s="209" t="str">
        <f>IFERROR(IF(OR(GY29="SUPPLEMENTARY",GY29="RE-EXAM"),'Supp. Result Entry'!AS28,""),"")</f>
        <v/>
      </c>
      <c r="HF29" s="613" t="str">
        <f t="shared" si="168"/>
        <v/>
      </c>
      <c r="HG29" s="598" t="str">
        <f t="shared" si="169"/>
        <v/>
      </c>
      <c r="HH29" s="598" t="str">
        <f>IF(AND(HE29="",HF29="",HG29=""),"",IF(OR(GY29="SUPPLEMENTARY",GY29="RE-EXAM"),'Supp. Result Entry'!AS28,GY29))</f>
        <v/>
      </c>
      <c r="HI29" s="179"/>
      <c r="HY29" s="211" t="str">
        <f>IF('Supp. Result Entry'!U28="","",'Supp. Result Entry'!$U$6)</f>
        <v/>
      </c>
      <c r="HZ29" s="212" t="str">
        <f>IF('Supp. Result Entry'!X28="","",'Supp. Result Entry'!$X$6)</f>
        <v/>
      </c>
      <c r="IA29" s="212" t="str">
        <f>IF('Supp. Result Entry'!AA28="","",'Supp. Result Entry'!$AA$6)</f>
        <v/>
      </c>
      <c r="IB29" s="212" t="str">
        <f>IF('Supp. Result Entry'!AD28="","",'Supp. Result Entry'!$AD$6)</f>
        <v/>
      </c>
      <c r="IC29" s="212" t="str">
        <f>IF('Supp. Result Entry'!AG28="","",'Supp. Result Entry'!$AG$6)</f>
        <v/>
      </c>
      <c r="ID29" s="212" t="str">
        <f>IF('Supp. Result Entry'!AJ28="","",'Supp. Result Entry'!$AJ$6)</f>
        <v/>
      </c>
      <c r="IE29" s="212" t="str">
        <f>IF('Supp. Result Entry'!V28="","",'Supp. Result Entry'!V28)</f>
        <v/>
      </c>
      <c r="IF29" s="212" t="str">
        <f>IF('Supp. Result Entry'!Y28="","",'Supp. Result Entry'!Y28)</f>
        <v/>
      </c>
      <c r="IG29" s="212" t="str">
        <f>IF('Supp. Result Entry'!AB28="","",'Supp. Result Entry'!AB28)</f>
        <v/>
      </c>
      <c r="IH29" s="212" t="str">
        <f>IF('Supp. Result Entry'!AE28="","",'Supp. Result Entry'!AE28)</f>
        <v/>
      </c>
      <c r="II29" s="212" t="str">
        <f>IF('Supp. Result Entry'!AH28="","",'Supp. Result Entry'!AH28)</f>
        <v/>
      </c>
      <c r="IJ29" s="212" t="str">
        <f>IF('Supp. Result Entry'!AK28="","",'Supp. Result Entry'!AK28)</f>
        <v/>
      </c>
      <c r="IK29" s="212" t="str">
        <f>IF('Supp. Result Entry'!W28="","",'Supp. Result Entry'!W28)</f>
        <v/>
      </c>
      <c r="IL29" s="212" t="str">
        <f>IF('Supp. Result Entry'!Z28="","",'Supp. Result Entry'!Z28)</f>
        <v/>
      </c>
      <c r="IM29" s="212" t="str">
        <f>IF('Supp. Result Entry'!AC28="","",'Supp. Result Entry'!AC28)</f>
        <v/>
      </c>
      <c r="IN29" s="212" t="str">
        <f>IF('Supp. Result Entry'!AF28="","",'Supp. Result Entry'!AF28)</f>
        <v/>
      </c>
      <c r="IO29" s="212" t="str">
        <f>IF('Supp. Result Entry'!AI28="","",'Supp. Result Entry'!AI28)</f>
        <v/>
      </c>
      <c r="IP29" s="212" t="str">
        <f>IF('Supp. Result Entry'!AL28="","",'Supp. Result Entry'!AL28)</f>
        <v/>
      </c>
      <c r="IQ29" s="212">
        <f>COUNTIF('Supp. Result Entry'!K28:Q28,"S")</f>
        <v>0</v>
      </c>
      <c r="IR29" s="212">
        <f t="shared" si="170"/>
        <v>0</v>
      </c>
      <c r="IS29" s="212">
        <f t="shared" si="171"/>
        <v>0</v>
      </c>
      <c r="IT29" s="212" t="str">
        <f t="shared" si="41"/>
        <v/>
      </c>
      <c r="IU29" s="212" t="str">
        <f t="shared" si="42"/>
        <v/>
      </c>
      <c r="IV29" s="212" t="str">
        <f t="shared" si="43"/>
        <v/>
      </c>
      <c r="IW29" s="212" t="str">
        <f t="shared" si="44"/>
        <v/>
      </c>
      <c r="IX29" s="212" t="str">
        <f t="shared" si="45"/>
        <v/>
      </c>
      <c r="IY29" s="212" t="str">
        <f t="shared" si="172"/>
        <v/>
      </c>
      <c r="IZ29" s="212" t="str">
        <f t="shared" si="173"/>
        <v/>
      </c>
      <c r="JA29" s="212" t="str">
        <f t="shared" si="46"/>
        <v/>
      </c>
      <c r="JB29" s="210" t="str">
        <f t="shared" si="174"/>
        <v/>
      </c>
    </row>
    <row r="30" spans="1:262" s="210" customFormat="1" ht="21" customHeight="1">
      <c r="A30" s="183">
        <v>23</v>
      </c>
      <c r="B30" s="184" t="str">
        <f>IF('Marks Entry'!B30="","",'Marks Entry'!B30)</f>
        <v/>
      </c>
      <c r="C30" s="185" t="str">
        <f>IF('Marks Entry'!D30="","",'Marks Entry'!D30)</f>
        <v/>
      </c>
      <c r="D30" s="186" t="str">
        <f>IF('Marks Entry'!E30="","",'Marks Entry'!E30)</f>
        <v/>
      </c>
      <c r="E30" s="187" t="str">
        <f>IF('Marks Entry'!F30="","",'Marks Entry'!F30)</f>
        <v/>
      </c>
      <c r="F30" s="187" t="str">
        <f>IF('Marks Entry'!G30="","",'Marks Entry'!G30)</f>
        <v/>
      </c>
      <c r="G30" s="187" t="str">
        <f>IF('Marks Entry'!H30="","",'Marks Entry'!H30)</f>
        <v/>
      </c>
      <c r="H30" s="188" t="str">
        <f>IF('Marks Entry'!I30="","",'Marks Entry'!I30)</f>
        <v/>
      </c>
      <c r="I30" s="189" t="str">
        <f>IF('Marks Entry'!J30="","",'Marks Entry'!J30)</f>
        <v/>
      </c>
      <c r="J30" s="545">
        <f>IF('Marks Entry'!K30="","",'Marks Entry'!K30)</f>
        <v>14</v>
      </c>
      <c r="K30" s="545">
        <f>IF('Marks Entry'!L30="","",'Marks Entry'!L30)</f>
        <v>4</v>
      </c>
      <c r="L30" s="545">
        <f>IF('Marks Entry'!M30="","",'Marks Entry'!M30)</f>
        <v>8</v>
      </c>
      <c r="M30" s="546">
        <f t="shared" si="47"/>
        <v>26</v>
      </c>
      <c r="N30" s="545">
        <f>IF('Marks Entry'!N30="","",'Marks Entry'!N30)</f>
        <v>28</v>
      </c>
      <c r="O30" s="546">
        <f t="shared" si="48"/>
        <v>54</v>
      </c>
      <c r="P30" s="545">
        <f>IF('Marks Entry'!O30="","",'Marks Entry'!O30)</f>
        <v>52</v>
      </c>
      <c r="Q30" s="547">
        <f t="shared" si="49"/>
        <v>106</v>
      </c>
      <c r="R30" s="152">
        <f t="shared" si="50"/>
        <v>0</v>
      </c>
      <c r="S30" s="152">
        <f t="shared" si="51"/>
        <v>0</v>
      </c>
      <c r="T30" s="153">
        <f t="shared" si="52"/>
        <v>200</v>
      </c>
      <c r="U30" s="152" t="str">
        <f t="shared" si="53"/>
        <v/>
      </c>
      <c r="V30" s="152" t="str">
        <f t="shared" si="54"/>
        <v/>
      </c>
      <c r="W30" s="152" t="str">
        <f t="shared" si="55"/>
        <v/>
      </c>
      <c r="X30" s="545">
        <f>IF('Marks Entry'!P30="","",'Marks Entry'!P30)</f>
        <v>7</v>
      </c>
      <c r="Y30" s="545">
        <f>IF('Marks Entry'!Q30="","",'Marks Entry'!Q30)</f>
        <v>10</v>
      </c>
      <c r="Z30" s="545">
        <f>IF('Marks Entry'!R30="","",'Marks Entry'!R30)</f>
        <v>9</v>
      </c>
      <c r="AA30" s="546">
        <f t="shared" si="56"/>
        <v>26</v>
      </c>
      <c r="AB30" s="545">
        <f>IF('Marks Entry'!S30="","",'Marks Entry'!S30)</f>
        <v>27</v>
      </c>
      <c r="AC30" s="546">
        <f t="shared" si="57"/>
        <v>53</v>
      </c>
      <c r="AD30" s="545">
        <f>IF('Marks Entry'!T30="","",'Marks Entry'!T30)</f>
        <v>69</v>
      </c>
      <c r="AE30" s="547">
        <f t="shared" si="58"/>
        <v>122</v>
      </c>
      <c r="AF30" s="152">
        <f t="shared" si="59"/>
        <v>0</v>
      </c>
      <c r="AG30" s="152">
        <f t="shared" si="60"/>
        <v>0</v>
      </c>
      <c r="AH30" s="153">
        <f t="shared" si="61"/>
        <v>200</v>
      </c>
      <c r="AI30" s="152" t="str">
        <f t="shared" si="62"/>
        <v/>
      </c>
      <c r="AJ30" s="152" t="str">
        <f t="shared" si="63"/>
        <v/>
      </c>
      <c r="AK30" s="152" t="str">
        <f t="shared" si="64"/>
        <v/>
      </c>
      <c r="AL30" s="573" t="str">
        <f>IF('Marks Entry'!U30="","",'Marks Entry'!U30)</f>
        <v>A</v>
      </c>
      <c r="AM30" s="573">
        <f>IF('Marks Entry'!V30="","",'Marks Entry'!V30)</f>
        <v>8</v>
      </c>
      <c r="AN30" s="573">
        <f>IF('Marks Entry'!W30="","",'Marks Entry'!W30)</f>
        <v>8</v>
      </c>
      <c r="AO30" s="573">
        <f>IF('Marks Entry'!X30="","",'Marks Entry'!X30)</f>
        <v>7</v>
      </c>
      <c r="AP30" s="572">
        <f t="shared" si="65"/>
        <v>23</v>
      </c>
      <c r="AQ30" s="573">
        <f>IF('Marks Entry'!Y30="","",'Marks Entry'!Y30)</f>
        <v>40</v>
      </c>
      <c r="AR30" s="573" t="str">
        <f>IF('Marks Entry'!Z30="","",'Marks Entry'!Z30)</f>
        <v/>
      </c>
      <c r="AS30" s="572">
        <f t="shared" si="66"/>
        <v>40</v>
      </c>
      <c r="AT30" s="572">
        <f t="shared" si="67"/>
        <v>63</v>
      </c>
      <c r="AU30" s="573">
        <f>IF('Marks Entry'!AA30="","",'Marks Entry'!AA30)</f>
        <v>48</v>
      </c>
      <c r="AV30" s="573" t="str">
        <f>IF('Marks Entry'!AB30="","",'Marks Entry'!AB30)</f>
        <v/>
      </c>
      <c r="AW30" s="572">
        <f t="shared" si="68"/>
        <v>48</v>
      </c>
      <c r="AX30" s="156">
        <f t="shared" si="69"/>
        <v>111</v>
      </c>
      <c r="AY30" s="156" t="str">
        <f t="shared" si="70"/>
        <v/>
      </c>
      <c r="AZ30" s="191">
        <f t="shared" si="71"/>
        <v>111</v>
      </c>
      <c r="BA30" s="152">
        <f t="shared" si="72"/>
        <v>0</v>
      </c>
      <c r="BB30" s="153">
        <f t="shared" si="73"/>
        <v>0</v>
      </c>
      <c r="BC30" s="153">
        <f t="shared" si="74"/>
        <v>100</v>
      </c>
      <c r="BD30" s="153" t="str">
        <f t="shared" si="75"/>
        <v/>
      </c>
      <c r="BE30" s="153">
        <f t="shared" si="76"/>
        <v>200</v>
      </c>
      <c r="BF30" s="152" t="str">
        <f t="shared" si="77"/>
        <v/>
      </c>
      <c r="BG30" s="153" t="str">
        <f t="shared" si="175"/>
        <v>P</v>
      </c>
      <c r="BH30" s="152" t="str">
        <f t="shared" si="78"/>
        <v>II</v>
      </c>
      <c r="BI30" s="580" t="str">
        <f>IF('Marks Entry'!AC30="","",'Marks Entry'!AC30)</f>
        <v>B</v>
      </c>
      <c r="BJ30" s="580">
        <f>IF('Marks Entry'!AD30="","",'Marks Entry'!AD30)</f>
        <v>15</v>
      </c>
      <c r="BK30" s="580">
        <f>IF('Marks Entry'!AE30="","",'Marks Entry'!AE30)</f>
        <v>10</v>
      </c>
      <c r="BL30" s="580" t="str">
        <f>IF('Marks Entry'!AF30="","",'Marks Entry'!AF30)</f>
        <v/>
      </c>
      <c r="BM30" s="581">
        <f t="shared" si="79"/>
        <v>25</v>
      </c>
      <c r="BN30" s="580">
        <f>IF('Marks Entry'!AG30="","",'Marks Entry'!AG30)</f>
        <v>40</v>
      </c>
      <c r="BO30" s="580" t="str">
        <f>IF('Marks Entry'!AH30="","",'Marks Entry'!AH30)</f>
        <v/>
      </c>
      <c r="BP30" s="581">
        <f t="shared" si="80"/>
        <v>40</v>
      </c>
      <c r="BQ30" s="581">
        <f t="shared" si="81"/>
        <v>65</v>
      </c>
      <c r="BR30" s="580">
        <f>IF('Marks Entry'!AI30="","",'Marks Entry'!AI30)</f>
        <v>54</v>
      </c>
      <c r="BS30" s="580" t="str">
        <f>IF('Marks Entry'!AJ30="","",'Marks Entry'!AJ30)</f>
        <v/>
      </c>
      <c r="BT30" s="581">
        <f t="shared" si="82"/>
        <v>54</v>
      </c>
      <c r="BU30" s="156">
        <f t="shared" si="83"/>
        <v>119</v>
      </c>
      <c r="BV30" s="156" t="str">
        <f t="shared" si="84"/>
        <v/>
      </c>
      <c r="BW30" s="191">
        <f t="shared" si="85"/>
        <v>119</v>
      </c>
      <c r="BX30" s="152">
        <f t="shared" si="86"/>
        <v>0</v>
      </c>
      <c r="BY30" s="153">
        <f t="shared" si="87"/>
        <v>0</v>
      </c>
      <c r="BZ30" s="153">
        <f t="shared" si="88"/>
        <v>100</v>
      </c>
      <c r="CA30" s="153" t="str">
        <f t="shared" si="89"/>
        <v/>
      </c>
      <c r="CB30" s="153">
        <f t="shared" si="90"/>
        <v>200</v>
      </c>
      <c r="CC30" s="152" t="str">
        <f t="shared" si="91"/>
        <v/>
      </c>
      <c r="CD30" s="153" t="str">
        <f t="shared" si="92"/>
        <v>P</v>
      </c>
      <c r="CE30" s="152" t="str">
        <f t="shared" si="93"/>
        <v>II</v>
      </c>
      <c r="CF30" s="580" t="str">
        <f>IF('Marks Entry'!AK30="","",'Marks Entry'!AK30)</f>
        <v>A</v>
      </c>
      <c r="CG30" s="580">
        <f>IF('Marks Entry'!AL30="","",'Marks Entry'!AL30)</f>
        <v>12</v>
      </c>
      <c r="CH30" s="580">
        <f>IF('Marks Entry'!AM30="","",'Marks Entry'!AM30)</f>
        <v>14</v>
      </c>
      <c r="CI30" s="580" t="str">
        <f>IF('Marks Entry'!AN30="","",'Marks Entry'!AN30)</f>
        <v/>
      </c>
      <c r="CJ30" s="581">
        <f t="shared" si="94"/>
        <v>26</v>
      </c>
      <c r="CK30" s="580">
        <f>IF('Marks Entry'!AO30="","",'Marks Entry'!AO30)</f>
        <v>24</v>
      </c>
      <c r="CL30" s="580">
        <f>IF('Marks Entry'!AP30="","",'Marks Entry'!AP30)</f>
        <v>9</v>
      </c>
      <c r="CM30" s="581">
        <f t="shared" si="95"/>
        <v>33</v>
      </c>
      <c r="CN30" s="581">
        <f t="shared" si="96"/>
        <v>59</v>
      </c>
      <c r="CO30" s="580">
        <f>IF('Marks Entry'!AQ30="","",'Marks Entry'!AQ30)</f>
        <v>46</v>
      </c>
      <c r="CP30" s="580">
        <f>IF('Marks Entry'!AR30="","",'Marks Entry'!AR30)</f>
        <v>19</v>
      </c>
      <c r="CQ30" s="581">
        <f t="shared" si="97"/>
        <v>65</v>
      </c>
      <c r="CR30" s="156">
        <f t="shared" si="98"/>
        <v>96</v>
      </c>
      <c r="CS30" s="156">
        <f t="shared" si="99"/>
        <v>28</v>
      </c>
      <c r="CT30" s="191">
        <f t="shared" si="100"/>
        <v>124</v>
      </c>
      <c r="CU30" s="152">
        <f t="shared" si="101"/>
        <v>0</v>
      </c>
      <c r="CV30" s="153">
        <f t="shared" si="102"/>
        <v>0</v>
      </c>
      <c r="CW30" s="153">
        <f t="shared" si="103"/>
        <v>70</v>
      </c>
      <c r="CX30" s="153">
        <f t="shared" si="104"/>
        <v>50</v>
      </c>
      <c r="CY30" s="153">
        <f t="shared" si="176"/>
        <v>150</v>
      </c>
      <c r="CZ30" s="152" t="str">
        <f t="shared" si="105"/>
        <v/>
      </c>
      <c r="DA30" s="153" t="str">
        <f t="shared" si="106"/>
        <v>P</v>
      </c>
      <c r="DB30" s="152" t="str">
        <f t="shared" si="107"/>
        <v>I</v>
      </c>
      <c r="DC30" s="153">
        <f t="shared" si="108"/>
        <v>0</v>
      </c>
      <c r="DD30" s="851" t="str">
        <f>IF('Marks Entry'!AS30="","",IF(OR('Master Sheet'!$D$19="YES",'Marks Entry'!$BA$1=1),'Marks Entry'!AS30,""))</f>
        <v/>
      </c>
      <c r="DE30" s="851" t="str">
        <f>IF('Marks Entry'!AT30="","",IF(OR('Master Sheet'!$D$19="YES",'Marks Entry'!$BA$1=1),'Marks Entry'!AT30,""))</f>
        <v/>
      </c>
      <c r="DF30" s="851" t="str">
        <f>IF('Marks Entry'!AU30="","",IF(OR('Master Sheet'!$D$19="YES",'Marks Entry'!$BA$1=1),'Marks Entry'!AU30,""))</f>
        <v/>
      </c>
      <c r="DG30" s="851" t="str">
        <f>IF('Marks Entry'!AV30="","",IF(OR('Master Sheet'!$D$19="YES",'Marks Entry'!$BA$1=1),'Marks Entry'!AV30,""))</f>
        <v/>
      </c>
      <c r="DH30" s="852" t="str">
        <f t="shared" si="109"/>
        <v/>
      </c>
      <c r="DI30" s="851" t="str">
        <f>IF('Marks Entry'!AW30="","",IF(OR('Master Sheet'!$D$19="YES",'Marks Entry'!$BA$1=1),'Marks Entry'!AW30,""))</f>
        <v/>
      </c>
      <c r="DJ30" s="851" t="str">
        <f>IF('Marks Entry'!AX30="","",IF(OR('Master Sheet'!$D$19="YES",'Marks Entry'!$BA$1=1),'Marks Entry'!AX30,""))</f>
        <v/>
      </c>
      <c r="DK30" s="852" t="str">
        <f t="shared" si="110"/>
        <v/>
      </c>
      <c r="DL30" s="852" t="str">
        <f t="shared" si="111"/>
        <v/>
      </c>
      <c r="DM30" s="851" t="str">
        <f>IF('Marks Entry'!AY30="","",IF(OR('Master Sheet'!$D$19="YES",'Marks Entry'!$BA$1=1),'Marks Entry'!AY30,""))</f>
        <v/>
      </c>
      <c r="DN30" s="851" t="str">
        <f>IF('Marks Entry'!AZ30="","",IF(OR('Master Sheet'!$D$19="YES",'Marks Entry'!$BA$1=1),'Marks Entry'!AZ30,""))</f>
        <v/>
      </c>
      <c r="DO30" s="851" t="str">
        <f>IF('Marks Entry'!BA30="","",IF(OR('Master Sheet'!$D$19="YES",'Marks Entry'!$BA$1=1),'Marks Entry'!BA30,""))</f>
        <v/>
      </c>
      <c r="DP30" s="852" t="str">
        <f t="shared" si="112"/>
        <v/>
      </c>
      <c r="DQ30" s="156" t="str">
        <f t="shared" si="113"/>
        <v/>
      </c>
      <c r="DR30" s="156" t="str">
        <f t="shared" si="114"/>
        <v/>
      </c>
      <c r="DS30" s="156" t="str">
        <f t="shared" si="115"/>
        <v/>
      </c>
      <c r="DT30" s="191" t="str">
        <f t="shared" si="116"/>
        <v/>
      </c>
      <c r="DU30" s="152">
        <f t="shared" si="117"/>
        <v>0</v>
      </c>
      <c r="DV30" s="153">
        <f t="shared" si="118"/>
        <v>0</v>
      </c>
      <c r="DW30" s="153" t="str">
        <f t="shared" si="119"/>
        <v/>
      </c>
      <c r="DX30" s="153" t="str">
        <f>IF(OR($B30="NSO",$B30=0,DS30=""),"",IF(AND(DJ30="",DO30=""),"",IF('Master Sheet'!$D$19="YES",$DO$6-COUNTIF(DO30,"ML")*DO$6,DS$6-(COUNTIF(DJ30,"ML")*DJ$6)-(COUNTIF(DO30,"ML")*DO$6))))</f>
        <v/>
      </c>
      <c r="DY30" s="153" t="str">
        <f>IF(OR($B30="NSO",$B30=0),"",IF(AND(DH30="",DI30="",DM30=""),"",IF(AND('Master Sheet'!$D$19="YES",'Marks Entry'!$BA$1=1),100,IF(AND(DJ30="",DO30=""),SUM(($DQ$7+$DR$7)-(DU30+DV30)),SUM(($DQ$6+$DR$6)-(DU30+DV30))))))</f>
        <v/>
      </c>
      <c r="DZ30" s="152" t="str">
        <f t="shared" si="120"/>
        <v/>
      </c>
      <c r="EA30" s="153" t="str">
        <f t="shared" si="121"/>
        <v/>
      </c>
      <c r="EB30" s="152" t="str">
        <f t="shared" si="122"/>
        <v/>
      </c>
      <c r="EC30" s="584">
        <f>IF('Marks Entry'!BB30="","",'Marks Entry'!BB30)</f>
        <v>20</v>
      </c>
      <c r="ED30" s="584">
        <f>IF('Marks Entry'!BC30="","",'Marks Entry'!BC30)</f>
        <v>30</v>
      </c>
      <c r="EE30" s="584">
        <f>IF('Marks Entry'!BD30="","",'Marks Entry'!BD30)</f>
        <v>32</v>
      </c>
      <c r="EF30" s="590">
        <f t="shared" si="123"/>
        <v>82</v>
      </c>
      <c r="EG30" s="595">
        <f t="shared" si="124"/>
        <v>0</v>
      </c>
      <c r="EH30" s="595">
        <f t="shared" si="125"/>
        <v>0</v>
      </c>
      <c r="EI30" s="192">
        <f t="shared" si="126"/>
        <v>100</v>
      </c>
      <c r="EJ30" s="595" t="str">
        <f t="shared" si="127"/>
        <v/>
      </c>
      <c r="EK30" s="595" t="str">
        <f t="shared" si="128"/>
        <v>A</v>
      </c>
      <c r="EL30" s="193" t="str">
        <f t="shared" si="129"/>
        <v/>
      </c>
      <c r="EM30" s="193" t="str">
        <f t="shared" si="130"/>
        <v/>
      </c>
      <c r="EN30" s="193" t="str">
        <f t="shared" si="131"/>
        <v>II</v>
      </c>
      <c r="EO30" s="193" t="str">
        <f t="shared" si="132"/>
        <v>II</v>
      </c>
      <c r="EP30" s="193" t="str">
        <f t="shared" si="133"/>
        <v>I</v>
      </c>
      <c r="EQ30" s="193" t="str">
        <f t="shared" si="134"/>
        <v/>
      </c>
      <c r="ER30" s="194">
        <f t="shared" si="135"/>
        <v>0</v>
      </c>
      <c r="ES30" s="194">
        <f t="shared" si="136"/>
        <v>0</v>
      </c>
      <c r="ET30" s="194">
        <f t="shared" si="137"/>
        <v>0</v>
      </c>
      <c r="EU30" s="194">
        <f t="shared" si="138"/>
        <v>0</v>
      </c>
      <c r="EV30" s="194">
        <f t="shared" si="139"/>
        <v>0</v>
      </c>
      <c r="EW30" s="194" t="str">
        <f t="shared" si="140"/>
        <v/>
      </c>
      <c r="EX30" s="195" t="str">
        <f t="shared" si="141"/>
        <v/>
      </c>
      <c r="EY30" s="196">
        <f>IF('Marks Entry'!BE30="","",'Marks Entry'!BE30)</f>
        <v>7</v>
      </c>
      <c r="EZ30" s="196">
        <f>IF('Marks Entry'!BF30="","",'Marks Entry'!BF30)</f>
        <v>7</v>
      </c>
      <c r="FA30" s="196">
        <f>IF('Marks Entry'!BG30="","",'Marks Entry'!BG30)</f>
        <v>7</v>
      </c>
      <c r="FB30" s="596">
        <f t="shared" si="142"/>
        <v>21</v>
      </c>
      <c r="FC30" s="196">
        <f>IF('Marks Entry'!BH30="","",'Marks Entry'!BH30)</f>
        <v>41</v>
      </c>
      <c r="FD30" s="196">
        <f>IF('Marks Entry'!BI30="","",'Marks Entry'!BI30)</f>
        <v>68</v>
      </c>
      <c r="FE30" s="197">
        <f t="shared" si="143"/>
        <v>130</v>
      </c>
      <c r="FF30" s="198" t="str">
        <f t="shared" si="144"/>
        <v>B</v>
      </c>
      <c r="FG30" s="199" t="str">
        <f>IF(AND(E30=""),"",IF('Student DATA Entry'!L26="","",'Student DATA Entry'!L26))</f>
        <v/>
      </c>
      <c r="FH30" s="200" t="str">
        <f>IF(AND(E30=""),"",IF('Student DATA Entry'!M26="","",'Student DATA Entry'!M26))</f>
        <v/>
      </c>
      <c r="FI30" s="201" t="str">
        <f t="shared" si="145"/>
        <v/>
      </c>
      <c r="FJ30" s="188" t="str">
        <f t="shared" si="146"/>
        <v/>
      </c>
      <c r="FK30" s="188" t="str">
        <f t="shared" si="147"/>
        <v/>
      </c>
      <c r="FL30" s="202" t="str">
        <f t="shared" si="19"/>
        <v/>
      </c>
      <c r="FM30" s="188" t="str">
        <f t="shared" si="148"/>
        <v/>
      </c>
      <c r="FN30" s="203" t="str">
        <f t="shared" si="149"/>
        <v/>
      </c>
      <c r="FO30" s="202" t="str">
        <f t="shared" si="20"/>
        <v/>
      </c>
      <c r="FP30" s="204" t="str">
        <f t="shared" si="150"/>
        <v>II</v>
      </c>
      <c r="FQ30" s="188" t="str">
        <f t="shared" si="21"/>
        <v>II</v>
      </c>
      <c r="FR30" s="188" t="str">
        <f t="shared" si="22"/>
        <v/>
      </c>
      <c r="FS30" s="188" t="str">
        <f t="shared" si="23"/>
        <v/>
      </c>
      <c r="FT30" s="188" t="str">
        <f t="shared" si="24"/>
        <v/>
      </c>
      <c r="FU30" s="188" t="str">
        <f t="shared" si="151"/>
        <v/>
      </c>
      <c r="FV30" s="205" t="str">
        <f t="shared" si="25"/>
        <v/>
      </c>
      <c r="FW30" s="204" t="str">
        <f t="shared" si="152"/>
        <v>II</v>
      </c>
      <c r="FX30" s="188" t="str">
        <f t="shared" si="26"/>
        <v/>
      </c>
      <c r="FY30" s="188" t="str">
        <f t="shared" si="27"/>
        <v>II</v>
      </c>
      <c r="FZ30" s="188" t="str">
        <f t="shared" si="28"/>
        <v/>
      </c>
      <c r="GA30" s="188" t="str">
        <f t="shared" si="29"/>
        <v/>
      </c>
      <c r="GB30" s="188" t="str">
        <f t="shared" si="153"/>
        <v/>
      </c>
      <c r="GC30" s="205" t="str">
        <f t="shared" si="30"/>
        <v/>
      </c>
      <c r="GD30" s="204" t="str">
        <f t="shared" si="154"/>
        <v>I</v>
      </c>
      <c r="GE30" s="188" t="str">
        <f t="shared" si="31"/>
        <v>I</v>
      </c>
      <c r="GF30" s="188" t="str">
        <f t="shared" si="32"/>
        <v/>
      </c>
      <c r="GG30" s="188" t="str">
        <f t="shared" si="33"/>
        <v/>
      </c>
      <c r="GH30" s="188" t="str">
        <f t="shared" si="34"/>
        <v/>
      </c>
      <c r="GI30" s="188" t="str">
        <f t="shared" si="155"/>
        <v/>
      </c>
      <c r="GJ30" s="205" t="str">
        <f t="shared" si="35"/>
        <v/>
      </c>
      <c r="GK30" s="204" t="str">
        <f t="shared" si="156"/>
        <v/>
      </c>
      <c r="GL30" s="188" t="str">
        <f t="shared" si="36"/>
        <v/>
      </c>
      <c r="GM30" s="188" t="str">
        <f t="shared" si="37"/>
        <v/>
      </c>
      <c r="GN30" s="188" t="str">
        <f t="shared" si="38"/>
        <v/>
      </c>
      <c r="GO30" s="188" t="str">
        <f t="shared" si="39"/>
        <v/>
      </c>
      <c r="GP30" s="188" t="str">
        <f t="shared" si="157"/>
        <v/>
      </c>
      <c r="GQ30" s="205" t="str">
        <f t="shared" si="40"/>
        <v/>
      </c>
      <c r="GR30" s="188" t="str">
        <f t="shared" si="158"/>
        <v>A</v>
      </c>
      <c r="GS30" s="188" t="str">
        <f t="shared" si="159"/>
        <v>B</v>
      </c>
      <c r="GT30" s="206" t="str">
        <f t="shared" si="177"/>
        <v xml:space="preserve">    </v>
      </c>
      <c r="GU30" s="206" t="str">
        <f t="shared" si="160"/>
        <v xml:space="preserve">    </v>
      </c>
      <c r="GV30" s="206" t="str">
        <f t="shared" si="161"/>
        <v xml:space="preserve">    </v>
      </c>
      <c r="GW30" s="206" t="str">
        <f t="shared" si="162"/>
        <v xml:space="preserve">       </v>
      </c>
      <c r="GX30" s="598" t="str">
        <f t="shared" si="163"/>
        <v xml:space="preserve">     </v>
      </c>
      <c r="GY30" s="207" t="str">
        <f t="shared" si="164"/>
        <v/>
      </c>
      <c r="GZ30" s="606">
        <f>IF(AND(Q30="",AE30="",AZ30="",BW30="",CT30=""),"",IF(AND('Master Sheet'!$D$19="YES",'Marks Entry'!$BA$1=1),SUM(Q30,AE30,AZ30,BW30,DT30),SUM(Q30,AE30,AZ30,BW30,CT30)))</f>
        <v>582</v>
      </c>
      <c r="HA30" s="208">
        <f>IF(GZ30="","",IF(AND('Master Sheet'!$D$19="YES",'Marks Entry'!$BA$1=1),GZ30/((900)-DC30)*100,GZ30/((1000)-DC30)*100))</f>
        <v>58.199999999999996</v>
      </c>
      <c r="HB30" s="611" t="str">
        <f t="shared" si="165"/>
        <v/>
      </c>
      <c r="HC30" s="609" t="str">
        <f t="shared" si="166"/>
        <v/>
      </c>
      <c r="HD30" s="610" t="str">
        <f t="shared" si="167"/>
        <v/>
      </c>
      <c r="HE30" s="209" t="str">
        <f>IFERROR(IF(OR(GY30="SUPPLEMENTARY",GY30="RE-EXAM"),'Supp. Result Entry'!AS29,""),"")</f>
        <v/>
      </c>
      <c r="HF30" s="613" t="str">
        <f t="shared" si="168"/>
        <v/>
      </c>
      <c r="HG30" s="598" t="str">
        <f t="shared" si="169"/>
        <v/>
      </c>
      <c r="HH30" s="598" t="str">
        <f>IF(AND(HE30="",HF30="",HG30=""),"",IF(OR(GY30="SUPPLEMENTARY",GY30="RE-EXAM"),'Supp. Result Entry'!AS29,GY30))</f>
        <v/>
      </c>
      <c r="HI30" s="179"/>
      <c r="HY30" s="211" t="str">
        <f>IF('Supp. Result Entry'!U29="","",'Supp. Result Entry'!$U$6)</f>
        <v/>
      </c>
      <c r="HZ30" s="212" t="str">
        <f>IF('Supp. Result Entry'!X29="","",'Supp. Result Entry'!$X$6)</f>
        <v/>
      </c>
      <c r="IA30" s="212" t="str">
        <f>IF('Supp. Result Entry'!AA29="","",'Supp. Result Entry'!$AA$6)</f>
        <v/>
      </c>
      <c r="IB30" s="212" t="str">
        <f>IF('Supp. Result Entry'!AD29="","",'Supp. Result Entry'!$AD$6)</f>
        <v/>
      </c>
      <c r="IC30" s="212" t="str">
        <f>IF('Supp. Result Entry'!AG29="","",'Supp. Result Entry'!$AG$6)</f>
        <v/>
      </c>
      <c r="ID30" s="212" t="str">
        <f>IF('Supp. Result Entry'!AJ29="","",'Supp. Result Entry'!$AJ$6)</f>
        <v/>
      </c>
      <c r="IE30" s="212" t="str">
        <f>IF('Supp. Result Entry'!V29="","",'Supp. Result Entry'!V29)</f>
        <v/>
      </c>
      <c r="IF30" s="212" t="str">
        <f>IF('Supp. Result Entry'!Y29="","",'Supp. Result Entry'!Y29)</f>
        <v/>
      </c>
      <c r="IG30" s="212" t="str">
        <f>IF('Supp. Result Entry'!AB29="","",'Supp. Result Entry'!AB29)</f>
        <v/>
      </c>
      <c r="IH30" s="212" t="str">
        <f>IF('Supp. Result Entry'!AE29="","",'Supp. Result Entry'!AE29)</f>
        <v/>
      </c>
      <c r="II30" s="212" t="str">
        <f>IF('Supp. Result Entry'!AH29="","",'Supp. Result Entry'!AH29)</f>
        <v/>
      </c>
      <c r="IJ30" s="212" t="str">
        <f>IF('Supp. Result Entry'!AK29="","",'Supp. Result Entry'!AK29)</f>
        <v/>
      </c>
      <c r="IK30" s="212" t="str">
        <f>IF('Supp. Result Entry'!W29="","",'Supp. Result Entry'!W29)</f>
        <v/>
      </c>
      <c r="IL30" s="212" t="str">
        <f>IF('Supp. Result Entry'!Z29="","",'Supp. Result Entry'!Z29)</f>
        <v/>
      </c>
      <c r="IM30" s="212" t="str">
        <f>IF('Supp. Result Entry'!AC29="","",'Supp. Result Entry'!AC29)</f>
        <v/>
      </c>
      <c r="IN30" s="212" t="str">
        <f>IF('Supp. Result Entry'!AF29="","",'Supp. Result Entry'!AF29)</f>
        <v/>
      </c>
      <c r="IO30" s="212" t="str">
        <f>IF('Supp. Result Entry'!AI29="","",'Supp. Result Entry'!AI29)</f>
        <v/>
      </c>
      <c r="IP30" s="212" t="str">
        <f>IF('Supp. Result Entry'!AL29="","",'Supp. Result Entry'!AL29)</f>
        <v/>
      </c>
      <c r="IQ30" s="212">
        <f>COUNTIF('Supp. Result Entry'!K29:Q29,"S")</f>
        <v>0</v>
      </c>
      <c r="IR30" s="212">
        <f t="shared" si="170"/>
        <v>0</v>
      </c>
      <c r="IS30" s="212">
        <f t="shared" si="171"/>
        <v>0</v>
      </c>
      <c r="IT30" s="212" t="str">
        <f t="shared" si="41"/>
        <v/>
      </c>
      <c r="IU30" s="212" t="str">
        <f t="shared" si="42"/>
        <v/>
      </c>
      <c r="IV30" s="212" t="str">
        <f t="shared" si="43"/>
        <v/>
      </c>
      <c r="IW30" s="212" t="str">
        <f t="shared" si="44"/>
        <v/>
      </c>
      <c r="IX30" s="212" t="str">
        <f t="shared" si="45"/>
        <v/>
      </c>
      <c r="IY30" s="212" t="str">
        <f t="shared" si="172"/>
        <v/>
      </c>
      <c r="IZ30" s="212" t="str">
        <f t="shared" si="173"/>
        <v/>
      </c>
      <c r="JA30" s="212" t="str">
        <f t="shared" si="46"/>
        <v/>
      </c>
      <c r="JB30" s="210" t="str">
        <f t="shared" si="174"/>
        <v/>
      </c>
    </row>
    <row r="31" spans="1:262" s="210" customFormat="1" ht="21" customHeight="1">
      <c r="A31" s="183">
        <v>24</v>
      </c>
      <c r="B31" s="184" t="str">
        <f>IF('Marks Entry'!B31="","",'Marks Entry'!B31)</f>
        <v/>
      </c>
      <c r="C31" s="185" t="str">
        <f>IF('Marks Entry'!D31="","",'Marks Entry'!D31)</f>
        <v/>
      </c>
      <c r="D31" s="186" t="str">
        <f>IF('Marks Entry'!E31="","",'Marks Entry'!E31)</f>
        <v/>
      </c>
      <c r="E31" s="187" t="str">
        <f>IF('Marks Entry'!F31="","",'Marks Entry'!F31)</f>
        <v/>
      </c>
      <c r="F31" s="187" t="str">
        <f>IF('Marks Entry'!G31="","",'Marks Entry'!G31)</f>
        <v/>
      </c>
      <c r="G31" s="187" t="str">
        <f>IF('Marks Entry'!H31="","",'Marks Entry'!H31)</f>
        <v/>
      </c>
      <c r="H31" s="188" t="str">
        <f>IF('Marks Entry'!I31="","",'Marks Entry'!I31)</f>
        <v/>
      </c>
      <c r="I31" s="189" t="str">
        <f>IF('Marks Entry'!J31="","",'Marks Entry'!J31)</f>
        <v/>
      </c>
      <c r="J31" s="545">
        <f>IF('Marks Entry'!K31="","",'Marks Entry'!K31)</f>
        <v>15</v>
      </c>
      <c r="K31" s="545">
        <f>IF('Marks Entry'!L31="","",'Marks Entry'!L31)</f>
        <v>5</v>
      </c>
      <c r="L31" s="545">
        <f>IF('Marks Entry'!M31="","",'Marks Entry'!M31)</f>
        <v>8</v>
      </c>
      <c r="M31" s="546">
        <f t="shared" si="47"/>
        <v>28</v>
      </c>
      <c r="N31" s="545">
        <f>IF('Marks Entry'!N31="","",'Marks Entry'!N31)</f>
        <v>29</v>
      </c>
      <c r="O31" s="546">
        <f t="shared" si="48"/>
        <v>57</v>
      </c>
      <c r="P31" s="545">
        <f>IF('Marks Entry'!O31="","",'Marks Entry'!O31)</f>
        <v>52</v>
      </c>
      <c r="Q31" s="547">
        <f t="shared" si="49"/>
        <v>109</v>
      </c>
      <c r="R31" s="152">
        <f t="shared" si="50"/>
        <v>0</v>
      </c>
      <c r="S31" s="152">
        <f t="shared" si="51"/>
        <v>0</v>
      </c>
      <c r="T31" s="153">
        <f t="shared" si="52"/>
        <v>200</v>
      </c>
      <c r="U31" s="152" t="str">
        <f t="shared" si="53"/>
        <v/>
      </c>
      <c r="V31" s="152" t="str">
        <f t="shared" si="54"/>
        <v/>
      </c>
      <c r="W31" s="152" t="str">
        <f t="shared" si="55"/>
        <v/>
      </c>
      <c r="X31" s="545">
        <f>IF('Marks Entry'!P31="","",'Marks Entry'!P31)</f>
        <v>4</v>
      </c>
      <c r="Y31" s="545">
        <f>IF('Marks Entry'!Q31="","",'Marks Entry'!Q31)</f>
        <v>10</v>
      </c>
      <c r="Z31" s="545">
        <f>IF('Marks Entry'!R31="","",'Marks Entry'!R31)</f>
        <v>9</v>
      </c>
      <c r="AA31" s="546">
        <f t="shared" si="56"/>
        <v>23</v>
      </c>
      <c r="AB31" s="545">
        <f>IF('Marks Entry'!S31="","",'Marks Entry'!S31)</f>
        <v>36</v>
      </c>
      <c r="AC31" s="546">
        <f t="shared" si="57"/>
        <v>59</v>
      </c>
      <c r="AD31" s="545">
        <f>IF('Marks Entry'!T31="","",'Marks Entry'!T31)</f>
        <v>67</v>
      </c>
      <c r="AE31" s="547">
        <f t="shared" si="58"/>
        <v>126</v>
      </c>
      <c r="AF31" s="152">
        <f t="shared" si="59"/>
        <v>0</v>
      </c>
      <c r="AG31" s="152">
        <f t="shared" si="60"/>
        <v>0</v>
      </c>
      <c r="AH31" s="153">
        <f t="shared" si="61"/>
        <v>200</v>
      </c>
      <c r="AI31" s="152" t="str">
        <f t="shared" si="62"/>
        <v/>
      </c>
      <c r="AJ31" s="152" t="str">
        <f t="shared" si="63"/>
        <v/>
      </c>
      <c r="AK31" s="152" t="str">
        <f t="shared" si="64"/>
        <v/>
      </c>
      <c r="AL31" s="573" t="str">
        <f>IF('Marks Entry'!U31="","",'Marks Entry'!U31)</f>
        <v>A</v>
      </c>
      <c r="AM31" s="573">
        <f>IF('Marks Entry'!V31="","",'Marks Entry'!V31)</f>
        <v>5</v>
      </c>
      <c r="AN31" s="573">
        <f>IF('Marks Entry'!W31="","",'Marks Entry'!W31)</f>
        <v>8</v>
      </c>
      <c r="AO31" s="573">
        <f>IF('Marks Entry'!X31="","",'Marks Entry'!X31)</f>
        <v>7</v>
      </c>
      <c r="AP31" s="572">
        <f t="shared" si="65"/>
        <v>20</v>
      </c>
      <c r="AQ31" s="573">
        <f>IF('Marks Entry'!Y31="","",'Marks Entry'!Y31)</f>
        <v>36</v>
      </c>
      <c r="AR31" s="573" t="str">
        <f>IF('Marks Entry'!Z31="","",'Marks Entry'!Z31)</f>
        <v/>
      </c>
      <c r="AS31" s="572">
        <f t="shared" si="66"/>
        <v>36</v>
      </c>
      <c r="AT31" s="572">
        <f t="shared" si="67"/>
        <v>56</v>
      </c>
      <c r="AU31" s="573">
        <f>IF('Marks Entry'!AA31="","",'Marks Entry'!AA31)</f>
        <v>47</v>
      </c>
      <c r="AV31" s="573" t="str">
        <f>IF('Marks Entry'!AB31="","",'Marks Entry'!AB31)</f>
        <v/>
      </c>
      <c r="AW31" s="572">
        <f t="shared" si="68"/>
        <v>47</v>
      </c>
      <c r="AX31" s="156">
        <f t="shared" si="69"/>
        <v>103</v>
      </c>
      <c r="AY31" s="156" t="str">
        <f t="shared" si="70"/>
        <v/>
      </c>
      <c r="AZ31" s="191">
        <f t="shared" si="71"/>
        <v>103</v>
      </c>
      <c r="BA31" s="152">
        <f t="shared" si="72"/>
        <v>0</v>
      </c>
      <c r="BB31" s="153">
        <f t="shared" si="73"/>
        <v>0</v>
      </c>
      <c r="BC31" s="153">
        <f t="shared" si="74"/>
        <v>100</v>
      </c>
      <c r="BD31" s="153" t="str">
        <f t="shared" si="75"/>
        <v/>
      </c>
      <c r="BE31" s="153">
        <f t="shared" si="76"/>
        <v>200</v>
      </c>
      <c r="BF31" s="152" t="str">
        <f t="shared" si="77"/>
        <v/>
      </c>
      <c r="BG31" s="153" t="str">
        <f t="shared" si="175"/>
        <v>P</v>
      </c>
      <c r="BH31" s="152" t="str">
        <f t="shared" si="78"/>
        <v>II</v>
      </c>
      <c r="BI31" s="580" t="str">
        <f>IF('Marks Entry'!AC31="","",'Marks Entry'!AC31)</f>
        <v>B</v>
      </c>
      <c r="BJ31" s="580">
        <f>IF('Marks Entry'!AD31="","",'Marks Entry'!AD31)</f>
        <v>16</v>
      </c>
      <c r="BK31" s="580">
        <f>IF('Marks Entry'!AE31="","",'Marks Entry'!AE31)</f>
        <v>12</v>
      </c>
      <c r="BL31" s="580" t="str">
        <f>IF('Marks Entry'!AF31="","",'Marks Entry'!AF31)</f>
        <v/>
      </c>
      <c r="BM31" s="581">
        <f t="shared" si="79"/>
        <v>28</v>
      </c>
      <c r="BN31" s="580">
        <f>IF('Marks Entry'!AG31="","",'Marks Entry'!AG31)</f>
        <v>41</v>
      </c>
      <c r="BO31" s="580" t="str">
        <f>IF('Marks Entry'!AH31="","",'Marks Entry'!AH31)</f>
        <v/>
      </c>
      <c r="BP31" s="581">
        <f t="shared" si="80"/>
        <v>41</v>
      </c>
      <c r="BQ31" s="581">
        <f t="shared" si="81"/>
        <v>69</v>
      </c>
      <c r="BR31" s="580">
        <f>IF('Marks Entry'!AI31="","",'Marks Entry'!AI31)</f>
        <v>56</v>
      </c>
      <c r="BS31" s="580" t="str">
        <f>IF('Marks Entry'!AJ31="","",'Marks Entry'!AJ31)</f>
        <v/>
      </c>
      <c r="BT31" s="581">
        <f t="shared" si="82"/>
        <v>56</v>
      </c>
      <c r="BU31" s="156">
        <f t="shared" si="83"/>
        <v>125</v>
      </c>
      <c r="BV31" s="156" t="str">
        <f t="shared" si="84"/>
        <v/>
      </c>
      <c r="BW31" s="191">
        <f t="shared" si="85"/>
        <v>125</v>
      </c>
      <c r="BX31" s="152">
        <f t="shared" si="86"/>
        <v>0</v>
      </c>
      <c r="BY31" s="153">
        <f t="shared" si="87"/>
        <v>0</v>
      </c>
      <c r="BZ31" s="153">
        <f t="shared" si="88"/>
        <v>100</v>
      </c>
      <c r="CA31" s="153" t="str">
        <f t="shared" si="89"/>
        <v/>
      </c>
      <c r="CB31" s="153">
        <f t="shared" si="90"/>
        <v>200</v>
      </c>
      <c r="CC31" s="152" t="str">
        <f t="shared" si="91"/>
        <v/>
      </c>
      <c r="CD31" s="153" t="str">
        <f t="shared" si="92"/>
        <v>P</v>
      </c>
      <c r="CE31" s="152" t="str">
        <f t="shared" si="93"/>
        <v>I</v>
      </c>
      <c r="CF31" s="580" t="str">
        <f>IF('Marks Entry'!AK31="","",'Marks Entry'!AK31)</f>
        <v>A</v>
      </c>
      <c r="CG31" s="580">
        <f>IF('Marks Entry'!AL31="","",'Marks Entry'!AL31)</f>
        <v>15</v>
      </c>
      <c r="CH31" s="580">
        <f>IF('Marks Entry'!AM31="","",'Marks Entry'!AM31)</f>
        <v>15</v>
      </c>
      <c r="CI31" s="580" t="str">
        <f>IF('Marks Entry'!AN31="","",'Marks Entry'!AN31)</f>
        <v/>
      </c>
      <c r="CJ31" s="581">
        <f t="shared" si="94"/>
        <v>30</v>
      </c>
      <c r="CK31" s="580">
        <f>IF('Marks Entry'!AO31="","",'Marks Entry'!AO31)</f>
        <v>28</v>
      </c>
      <c r="CL31" s="580">
        <f>IF('Marks Entry'!AP31="","",'Marks Entry'!AP31)</f>
        <v>14</v>
      </c>
      <c r="CM31" s="581">
        <f t="shared" si="95"/>
        <v>42</v>
      </c>
      <c r="CN31" s="581">
        <f t="shared" si="96"/>
        <v>72</v>
      </c>
      <c r="CO31" s="580">
        <f>IF('Marks Entry'!AQ31="","",'Marks Entry'!AQ31)</f>
        <v>39</v>
      </c>
      <c r="CP31" s="580">
        <f>IF('Marks Entry'!AR31="","",'Marks Entry'!AR31)</f>
        <v>28</v>
      </c>
      <c r="CQ31" s="581">
        <f t="shared" si="97"/>
        <v>67</v>
      </c>
      <c r="CR31" s="156">
        <f t="shared" si="98"/>
        <v>97</v>
      </c>
      <c r="CS31" s="156">
        <f t="shared" si="99"/>
        <v>42</v>
      </c>
      <c r="CT31" s="191">
        <f t="shared" si="100"/>
        <v>139</v>
      </c>
      <c r="CU31" s="152">
        <f t="shared" si="101"/>
        <v>0</v>
      </c>
      <c r="CV31" s="153">
        <f t="shared" si="102"/>
        <v>0</v>
      </c>
      <c r="CW31" s="153">
        <f t="shared" si="103"/>
        <v>70</v>
      </c>
      <c r="CX31" s="153">
        <f t="shared" si="104"/>
        <v>50</v>
      </c>
      <c r="CY31" s="153">
        <f t="shared" si="176"/>
        <v>150</v>
      </c>
      <c r="CZ31" s="152" t="str">
        <f t="shared" si="105"/>
        <v/>
      </c>
      <c r="DA31" s="153" t="str">
        <f t="shared" si="106"/>
        <v>P</v>
      </c>
      <c r="DB31" s="152" t="str">
        <f t="shared" si="107"/>
        <v>I</v>
      </c>
      <c r="DC31" s="153">
        <f t="shared" si="108"/>
        <v>0</v>
      </c>
      <c r="DD31" s="851" t="str">
        <f>IF('Marks Entry'!AS31="","",IF(OR('Master Sheet'!$D$19="YES",'Marks Entry'!$BA$1=1),'Marks Entry'!AS31,""))</f>
        <v/>
      </c>
      <c r="DE31" s="851" t="str">
        <f>IF('Marks Entry'!AT31="","",IF(OR('Master Sheet'!$D$19="YES",'Marks Entry'!$BA$1=1),'Marks Entry'!AT31,""))</f>
        <v/>
      </c>
      <c r="DF31" s="851" t="str">
        <f>IF('Marks Entry'!AU31="","",IF(OR('Master Sheet'!$D$19="YES",'Marks Entry'!$BA$1=1),'Marks Entry'!AU31,""))</f>
        <v/>
      </c>
      <c r="DG31" s="851" t="str">
        <f>IF('Marks Entry'!AV31="","",IF(OR('Master Sheet'!$D$19="YES",'Marks Entry'!$BA$1=1),'Marks Entry'!AV31,""))</f>
        <v/>
      </c>
      <c r="DH31" s="852" t="str">
        <f t="shared" si="109"/>
        <v/>
      </c>
      <c r="DI31" s="851" t="str">
        <f>IF('Marks Entry'!AW31="","",IF(OR('Master Sheet'!$D$19="YES",'Marks Entry'!$BA$1=1),'Marks Entry'!AW31,""))</f>
        <v/>
      </c>
      <c r="DJ31" s="851" t="str">
        <f>IF('Marks Entry'!AX31="","",IF(OR('Master Sheet'!$D$19="YES",'Marks Entry'!$BA$1=1),'Marks Entry'!AX31,""))</f>
        <v/>
      </c>
      <c r="DK31" s="852" t="str">
        <f t="shared" si="110"/>
        <v/>
      </c>
      <c r="DL31" s="852" t="str">
        <f t="shared" si="111"/>
        <v/>
      </c>
      <c r="DM31" s="851" t="str">
        <f>IF('Marks Entry'!AY31="","",IF(OR('Master Sheet'!$D$19="YES",'Marks Entry'!$BA$1=1),'Marks Entry'!AY31,""))</f>
        <v/>
      </c>
      <c r="DN31" s="851" t="str">
        <f>IF('Marks Entry'!AZ31="","",IF(OR('Master Sheet'!$D$19="YES",'Marks Entry'!$BA$1=1),'Marks Entry'!AZ31,""))</f>
        <v/>
      </c>
      <c r="DO31" s="851" t="str">
        <f>IF('Marks Entry'!BA31="","",IF(OR('Master Sheet'!$D$19="YES",'Marks Entry'!$BA$1=1),'Marks Entry'!BA31,""))</f>
        <v/>
      </c>
      <c r="DP31" s="852" t="str">
        <f t="shared" si="112"/>
        <v/>
      </c>
      <c r="DQ31" s="156" t="str">
        <f t="shared" si="113"/>
        <v/>
      </c>
      <c r="DR31" s="156" t="str">
        <f t="shared" si="114"/>
        <v/>
      </c>
      <c r="DS31" s="156" t="str">
        <f t="shared" si="115"/>
        <v/>
      </c>
      <c r="DT31" s="191" t="str">
        <f t="shared" si="116"/>
        <v/>
      </c>
      <c r="DU31" s="152">
        <f t="shared" si="117"/>
        <v>0</v>
      </c>
      <c r="DV31" s="153">
        <f t="shared" si="118"/>
        <v>0</v>
      </c>
      <c r="DW31" s="153" t="str">
        <f t="shared" si="119"/>
        <v/>
      </c>
      <c r="DX31" s="153" t="str">
        <f>IF(OR($B31="NSO",$B31=0,DS31=""),"",IF(AND(DJ31="",DO31=""),"",IF('Master Sheet'!$D$19="YES",$DO$6-COUNTIF(DO31,"ML")*DO$6,DS$6-(COUNTIF(DJ31,"ML")*DJ$6)-(COUNTIF(DO31,"ML")*DO$6))))</f>
        <v/>
      </c>
      <c r="DY31" s="153" t="str">
        <f>IF(OR($B31="NSO",$B31=0),"",IF(AND(DH31="",DI31="",DM31=""),"",IF(AND('Master Sheet'!$D$19="YES",'Marks Entry'!$BA$1=1),100,IF(AND(DJ31="",DO31=""),SUM(($DQ$7+$DR$7)-(DU31+DV31)),SUM(($DQ$6+$DR$6)-(DU31+DV31))))))</f>
        <v/>
      </c>
      <c r="DZ31" s="152" t="str">
        <f t="shared" si="120"/>
        <v/>
      </c>
      <c r="EA31" s="153" t="str">
        <f t="shared" si="121"/>
        <v/>
      </c>
      <c r="EB31" s="152" t="str">
        <f t="shared" si="122"/>
        <v/>
      </c>
      <c r="EC31" s="584">
        <f>IF('Marks Entry'!BB31="","",'Marks Entry'!BB31)</f>
        <v>20</v>
      </c>
      <c r="ED31" s="584">
        <f>IF('Marks Entry'!BC31="","",'Marks Entry'!BC31)</f>
        <v>30</v>
      </c>
      <c r="EE31" s="584">
        <f>IF('Marks Entry'!BD31="","",'Marks Entry'!BD31)</f>
        <v>32</v>
      </c>
      <c r="EF31" s="590">
        <f t="shared" si="123"/>
        <v>82</v>
      </c>
      <c r="EG31" s="595">
        <f t="shared" si="124"/>
        <v>0</v>
      </c>
      <c r="EH31" s="595">
        <f t="shared" si="125"/>
        <v>0</v>
      </c>
      <c r="EI31" s="192">
        <f t="shared" si="126"/>
        <v>100</v>
      </c>
      <c r="EJ31" s="595" t="str">
        <f t="shared" si="127"/>
        <v/>
      </c>
      <c r="EK31" s="595" t="str">
        <f t="shared" si="128"/>
        <v>A</v>
      </c>
      <c r="EL31" s="193" t="str">
        <f t="shared" si="129"/>
        <v/>
      </c>
      <c r="EM31" s="193" t="str">
        <f t="shared" si="130"/>
        <v/>
      </c>
      <c r="EN31" s="193" t="str">
        <f t="shared" si="131"/>
        <v>II</v>
      </c>
      <c r="EO31" s="193" t="str">
        <f t="shared" si="132"/>
        <v>I</v>
      </c>
      <c r="EP31" s="193" t="str">
        <f t="shared" si="133"/>
        <v>I</v>
      </c>
      <c r="EQ31" s="193" t="str">
        <f t="shared" si="134"/>
        <v/>
      </c>
      <c r="ER31" s="194">
        <f t="shared" si="135"/>
        <v>0</v>
      </c>
      <c r="ES31" s="194">
        <f t="shared" si="136"/>
        <v>0</v>
      </c>
      <c r="ET31" s="194">
        <f t="shared" si="137"/>
        <v>0</v>
      </c>
      <c r="EU31" s="194">
        <f t="shared" si="138"/>
        <v>0</v>
      </c>
      <c r="EV31" s="194">
        <f t="shared" si="139"/>
        <v>0</v>
      </c>
      <c r="EW31" s="194" t="str">
        <f t="shared" si="140"/>
        <v/>
      </c>
      <c r="EX31" s="195" t="str">
        <f t="shared" si="141"/>
        <v/>
      </c>
      <c r="EY31" s="196">
        <f>IF('Marks Entry'!BE31="","",'Marks Entry'!BE31)</f>
        <v>7</v>
      </c>
      <c r="EZ31" s="196">
        <f>IF('Marks Entry'!BF31="","",'Marks Entry'!BF31)</f>
        <v>7</v>
      </c>
      <c r="FA31" s="196">
        <f>IF('Marks Entry'!BG31="","",'Marks Entry'!BG31)</f>
        <v>7</v>
      </c>
      <c r="FB31" s="596">
        <f t="shared" si="142"/>
        <v>21</v>
      </c>
      <c r="FC31" s="196">
        <f>IF('Marks Entry'!BH31="","",'Marks Entry'!BH31)</f>
        <v>41</v>
      </c>
      <c r="FD31" s="196">
        <f>IF('Marks Entry'!BI31="","",'Marks Entry'!BI31)</f>
        <v>68</v>
      </c>
      <c r="FE31" s="197">
        <f t="shared" si="143"/>
        <v>130</v>
      </c>
      <c r="FF31" s="198" t="str">
        <f t="shared" si="144"/>
        <v>B</v>
      </c>
      <c r="FG31" s="199" t="str">
        <f>IF(AND(E31=""),"",IF('Student DATA Entry'!L27="","",'Student DATA Entry'!L27))</f>
        <v/>
      </c>
      <c r="FH31" s="200" t="str">
        <f>IF(AND(E31=""),"",IF('Student DATA Entry'!M27="","",'Student DATA Entry'!M27))</f>
        <v/>
      </c>
      <c r="FI31" s="201" t="str">
        <f t="shared" si="145"/>
        <v/>
      </c>
      <c r="FJ31" s="188" t="str">
        <f t="shared" si="146"/>
        <v/>
      </c>
      <c r="FK31" s="188" t="str">
        <f t="shared" si="147"/>
        <v/>
      </c>
      <c r="FL31" s="202" t="str">
        <f t="shared" si="19"/>
        <v/>
      </c>
      <c r="FM31" s="188" t="str">
        <f t="shared" si="148"/>
        <v/>
      </c>
      <c r="FN31" s="203" t="str">
        <f t="shared" si="149"/>
        <v/>
      </c>
      <c r="FO31" s="202" t="str">
        <f t="shared" si="20"/>
        <v/>
      </c>
      <c r="FP31" s="204" t="str">
        <f t="shared" si="150"/>
        <v>II</v>
      </c>
      <c r="FQ31" s="188" t="str">
        <f t="shared" si="21"/>
        <v>II</v>
      </c>
      <c r="FR31" s="188" t="str">
        <f t="shared" si="22"/>
        <v/>
      </c>
      <c r="FS31" s="188" t="str">
        <f t="shared" si="23"/>
        <v/>
      </c>
      <c r="FT31" s="188" t="str">
        <f t="shared" si="24"/>
        <v/>
      </c>
      <c r="FU31" s="188" t="str">
        <f t="shared" si="151"/>
        <v/>
      </c>
      <c r="FV31" s="205" t="str">
        <f t="shared" si="25"/>
        <v/>
      </c>
      <c r="FW31" s="204" t="str">
        <f t="shared" si="152"/>
        <v>I</v>
      </c>
      <c r="FX31" s="188" t="str">
        <f t="shared" si="26"/>
        <v/>
      </c>
      <c r="FY31" s="188" t="str">
        <f t="shared" si="27"/>
        <v>I</v>
      </c>
      <c r="FZ31" s="188" t="str">
        <f t="shared" si="28"/>
        <v/>
      </c>
      <c r="GA31" s="188" t="str">
        <f t="shared" si="29"/>
        <v/>
      </c>
      <c r="GB31" s="188" t="str">
        <f t="shared" si="153"/>
        <v/>
      </c>
      <c r="GC31" s="205" t="str">
        <f t="shared" si="30"/>
        <v/>
      </c>
      <c r="GD31" s="204" t="str">
        <f t="shared" si="154"/>
        <v>I</v>
      </c>
      <c r="GE31" s="188" t="str">
        <f t="shared" si="31"/>
        <v>I</v>
      </c>
      <c r="GF31" s="188" t="str">
        <f t="shared" si="32"/>
        <v/>
      </c>
      <c r="GG31" s="188" t="str">
        <f t="shared" si="33"/>
        <v/>
      </c>
      <c r="GH31" s="188" t="str">
        <f t="shared" si="34"/>
        <v/>
      </c>
      <c r="GI31" s="188" t="str">
        <f t="shared" si="155"/>
        <v/>
      </c>
      <c r="GJ31" s="205" t="str">
        <f t="shared" si="35"/>
        <v/>
      </c>
      <c r="GK31" s="204" t="str">
        <f t="shared" si="156"/>
        <v/>
      </c>
      <c r="GL31" s="188" t="str">
        <f t="shared" si="36"/>
        <v/>
      </c>
      <c r="GM31" s="188" t="str">
        <f t="shared" si="37"/>
        <v/>
      </c>
      <c r="GN31" s="188" t="str">
        <f t="shared" si="38"/>
        <v/>
      </c>
      <c r="GO31" s="188" t="str">
        <f t="shared" si="39"/>
        <v/>
      </c>
      <c r="GP31" s="188" t="str">
        <f t="shared" si="157"/>
        <v/>
      </c>
      <c r="GQ31" s="205" t="str">
        <f t="shared" si="40"/>
        <v/>
      </c>
      <c r="GR31" s="188" t="str">
        <f t="shared" si="158"/>
        <v>A</v>
      </c>
      <c r="GS31" s="188" t="str">
        <f t="shared" si="159"/>
        <v>B</v>
      </c>
      <c r="GT31" s="206" t="str">
        <f t="shared" si="177"/>
        <v xml:space="preserve">    </v>
      </c>
      <c r="GU31" s="206" t="str">
        <f t="shared" si="160"/>
        <v xml:space="preserve">    </v>
      </c>
      <c r="GV31" s="206" t="str">
        <f t="shared" si="161"/>
        <v xml:space="preserve">    </v>
      </c>
      <c r="GW31" s="206" t="str">
        <f t="shared" si="162"/>
        <v xml:space="preserve">       </v>
      </c>
      <c r="GX31" s="598" t="str">
        <f t="shared" si="163"/>
        <v xml:space="preserve">     </v>
      </c>
      <c r="GY31" s="207" t="str">
        <f t="shared" si="164"/>
        <v/>
      </c>
      <c r="GZ31" s="606">
        <f>IF(AND(Q31="",AE31="",AZ31="",BW31="",CT31=""),"",IF(AND('Master Sheet'!$D$19="YES",'Marks Entry'!$BA$1=1),SUM(Q31,AE31,AZ31,BW31,DT31),SUM(Q31,AE31,AZ31,BW31,CT31)))</f>
        <v>602</v>
      </c>
      <c r="HA31" s="208">
        <f>IF(GZ31="","",IF(AND('Master Sheet'!$D$19="YES",'Marks Entry'!$BA$1=1),GZ31/((900)-DC31)*100,GZ31/((1000)-DC31)*100))</f>
        <v>60.199999999999996</v>
      </c>
      <c r="HB31" s="611" t="str">
        <f t="shared" si="165"/>
        <v/>
      </c>
      <c r="HC31" s="609" t="str">
        <f t="shared" si="166"/>
        <v/>
      </c>
      <c r="HD31" s="610" t="str">
        <f t="shared" si="167"/>
        <v/>
      </c>
      <c r="HE31" s="209" t="str">
        <f>IFERROR(IF(OR(GY31="SUPPLEMENTARY",GY31="RE-EXAM"),'Supp. Result Entry'!AS30,""),"")</f>
        <v/>
      </c>
      <c r="HF31" s="613" t="str">
        <f t="shared" si="168"/>
        <v/>
      </c>
      <c r="HG31" s="598" t="str">
        <f t="shared" si="169"/>
        <v/>
      </c>
      <c r="HH31" s="598" t="str">
        <f>IF(AND(HE31="",HF31="",HG31=""),"",IF(OR(GY31="SUPPLEMENTARY",GY31="RE-EXAM"),'Supp. Result Entry'!AS30,GY31))</f>
        <v/>
      </c>
      <c r="HI31" s="179"/>
      <c r="HY31" s="211" t="str">
        <f>IF('Supp. Result Entry'!U30="","",'Supp. Result Entry'!$U$6)</f>
        <v/>
      </c>
      <c r="HZ31" s="212" t="str">
        <f>IF('Supp. Result Entry'!X30="","",'Supp. Result Entry'!$X$6)</f>
        <v/>
      </c>
      <c r="IA31" s="212" t="str">
        <f>IF('Supp. Result Entry'!AA30="","",'Supp. Result Entry'!$AA$6)</f>
        <v/>
      </c>
      <c r="IB31" s="212" t="str">
        <f>IF('Supp. Result Entry'!AD30="","",'Supp. Result Entry'!$AD$6)</f>
        <v/>
      </c>
      <c r="IC31" s="212" t="str">
        <f>IF('Supp. Result Entry'!AG30="","",'Supp. Result Entry'!$AG$6)</f>
        <v/>
      </c>
      <c r="ID31" s="212" t="str">
        <f>IF('Supp. Result Entry'!AJ30="","",'Supp. Result Entry'!$AJ$6)</f>
        <v/>
      </c>
      <c r="IE31" s="212" t="str">
        <f>IF('Supp. Result Entry'!V30="","",'Supp. Result Entry'!V30)</f>
        <v/>
      </c>
      <c r="IF31" s="212" t="str">
        <f>IF('Supp. Result Entry'!Y30="","",'Supp. Result Entry'!Y30)</f>
        <v/>
      </c>
      <c r="IG31" s="212" t="str">
        <f>IF('Supp. Result Entry'!AB30="","",'Supp. Result Entry'!AB30)</f>
        <v/>
      </c>
      <c r="IH31" s="212" t="str">
        <f>IF('Supp. Result Entry'!AE30="","",'Supp. Result Entry'!AE30)</f>
        <v/>
      </c>
      <c r="II31" s="212" t="str">
        <f>IF('Supp. Result Entry'!AH30="","",'Supp. Result Entry'!AH30)</f>
        <v/>
      </c>
      <c r="IJ31" s="212" t="str">
        <f>IF('Supp. Result Entry'!AK30="","",'Supp. Result Entry'!AK30)</f>
        <v/>
      </c>
      <c r="IK31" s="212" t="str">
        <f>IF('Supp. Result Entry'!W30="","",'Supp. Result Entry'!W30)</f>
        <v/>
      </c>
      <c r="IL31" s="212" t="str">
        <f>IF('Supp. Result Entry'!Z30="","",'Supp. Result Entry'!Z30)</f>
        <v/>
      </c>
      <c r="IM31" s="212" t="str">
        <f>IF('Supp. Result Entry'!AC30="","",'Supp. Result Entry'!AC30)</f>
        <v/>
      </c>
      <c r="IN31" s="212" t="str">
        <f>IF('Supp. Result Entry'!AF30="","",'Supp. Result Entry'!AF30)</f>
        <v/>
      </c>
      <c r="IO31" s="212" t="str">
        <f>IF('Supp. Result Entry'!AI30="","",'Supp. Result Entry'!AI30)</f>
        <v/>
      </c>
      <c r="IP31" s="212" t="str">
        <f>IF('Supp. Result Entry'!AL30="","",'Supp. Result Entry'!AL30)</f>
        <v/>
      </c>
      <c r="IQ31" s="212">
        <f>COUNTIF('Supp. Result Entry'!K30:Q30,"S")</f>
        <v>0</v>
      </c>
      <c r="IR31" s="212">
        <f t="shared" si="170"/>
        <v>0</v>
      </c>
      <c r="IS31" s="212">
        <f t="shared" si="171"/>
        <v>0</v>
      </c>
      <c r="IT31" s="212" t="str">
        <f t="shared" si="41"/>
        <v/>
      </c>
      <c r="IU31" s="212" t="str">
        <f t="shared" si="42"/>
        <v/>
      </c>
      <c r="IV31" s="212" t="str">
        <f t="shared" si="43"/>
        <v/>
      </c>
      <c r="IW31" s="212" t="str">
        <f t="shared" si="44"/>
        <v/>
      </c>
      <c r="IX31" s="212" t="str">
        <f t="shared" si="45"/>
        <v/>
      </c>
      <c r="IY31" s="212" t="str">
        <f t="shared" si="172"/>
        <v/>
      </c>
      <c r="IZ31" s="212" t="str">
        <f t="shared" si="173"/>
        <v/>
      </c>
      <c r="JA31" s="212" t="str">
        <f t="shared" si="46"/>
        <v/>
      </c>
      <c r="JB31" s="210" t="str">
        <f t="shared" si="174"/>
        <v/>
      </c>
    </row>
    <row r="32" spans="1:262" s="210" customFormat="1" ht="21" customHeight="1">
      <c r="A32" s="183">
        <v>25</v>
      </c>
      <c r="B32" s="184" t="str">
        <f>IF('Marks Entry'!B32="","",'Marks Entry'!B32)</f>
        <v/>
      </c>
      <c r="C32" s="185" t="str">
        <f>IF('Marks Entry'!D32="","",'Marks Entry'!D32)</f>
        <v/>
      </c>
      <c r="D32" s="186" t="str">
        <f>IF('Marks Entry'!E32="","",'Marks Entry'!E32)</f>
        <v/>
      </c>
      <c r="E32" s="187" t="str">
        <f>IF('Marks Entry'!F32="","",'Marks Entry'!F32)</f>
        <v/>
      </c>
      <c r="F32" s="187" t="str">
        <f>IF('Marks Entry'!G32="","",'Marks Entry'!G32)</f>
        <v/>
      </c>
      <c r="G32" s="187" t="str">
        <f>IF('Marks Entry'!H32="","",'Marks Entry'!H32)</f>
        <v/>
      </c>
      <c r="H32" s="188" t="str">
        <f>IF('Marks Entry'!I32="","",'Marks Entry'!I32)</f>
        <v/>
      </c>
      <c r="I32" s="189" t="str">
        <f>IF('Marks Entry'!J32="","",'Marks Entry'!J32)</f>
        <v/>
      </c>
      <c r="J32" s="545">
        <f>IF('Marks Entry'!K32="","",'Marks Entry'!K32)</f>
        <v>16</v>
      </c>
      <c r="K32" s="545">
        <f>IF('Marks Entry'!L32="","",'Marks Entry'!L32)</f>
        <v>6</v>
      </c>
      <c r="L32" s="545">
        <f>IF('Marks Entry'!M32="","",'Marks Entry'!M32)</f>
        <v>8</v>
      </c>
      <c r="M32" s="546">
        <f t="shared" si="47"/>
        <v>30</v>
      </c>
      <c r="N32" s="545">
        <f>IF('Marks Entry'!N32="","",'Marks Entry'!N32)</f>
        <v>28</v>
      </c>
      <c r="O32" s="546">
        <f t="shared" si="48"/>
        <v>58</v>
      </c>
      <c r="P32" s="545">
        <f>IF('Marks Entry'!O32="","",'Marks Entry'!O32)</f>
        <v>51</v>
      </c>
      <c r="Q32" s="547">
        <f t="shared" si="49"/>
        <v>109</v>
      </c>
      <c r="R32" s="152">
        <f t="shared" si="50"/>
        <v>0</v>
      </c>
      <c r="S32" s="152">
        <f t="shared" si="51"/>
        <v>0</v>
      </c>
      <c r="T32" s="153">
        <f t="shared" si="52"/>
        <v>200</v>
      </c>
      <c r="U32" s="152" t="str">
        <f t="shared" si="53"/>
        <v/>
      </c>
      <c r="V32" s="152" t="str">
        <f t="shared" si="54"/>
        <v/>
      </c>
      <c r="W32" s="152" t="str">
        <f t="shared" si="55"/>
        <v/>
      </c>
      <c r="X32" s="545">
        <f>IF('Marks Entry'!P32="","",'Marks Entry'!P32)</f>
        <v>5</v>
      </c>
      <c r="Y32" s="545">
        <f>IF('Marks Entry'!Q32="","",'Marks Entry'!Q32)</f>
        <v>10</v>
      </c>
      <c r="Z32" s="545">
        <f>IF('Marks Entry'!R32="","",'Marks Entry'!R32)</f>
        <v>9</v>
      </c>
      <c r="AA32" s="546">
        <f t="shared" si="56"/>
        <v>24</v>
      </c>
      <c r="AB32" s="545">
        <f>IF('Marks Entry'!S32="","",'Marks Entry'!S32)</f>
        <v>35</v>
      </c>
      <c r="AC32" s="546">
        <f t="shared" si="57"/>
        <v>59</v>
      </c>
      <c r="AD32" s="545">
        <f>IF('Marks Entry'!T32="","",'Marks Entry'!T32)</f>
        <v>64</v>
      </c>
      <c r="AE32" s="547">
        <f t="shared" si="58"/>
        <v>123</v>
      </c>
      <c r="AF32" s="152">
        <f t="shared" si="59"/>
        <v>0</v>
      </c>
      <c r="AG32" s="152">
        <f t="shared" si="60"/>
        <v>0</v>
      </c>
      <c r="AH32" s="153">
        <f t="shared" si="61"/>
        <v>200</v>
      </c>
      <c r="AI32" s="152" t="str">
        <f t="shared" si="62"/>
        <v/>
      </c>
      <c r="AJ32" s="152" t="str">
        <f t="shared" si="63"/>
        <v/>
      </c>
      <c r="AK32" s="152" t="str">
        <f t="shared" si="64"/>
        <v/>
      </c>
      <c r="AL32" s="573" t="str">
        <f>IF('Marks Entry'!U32="","",'Marks Entry'!U32)</f>
        <v>A</v>
      </c>
      <c r="AM32" s="573">
        <f>IF('Marks Entry'!V32="","",'Marks Entry'!V32)</f>
        <v>4</v>
      </c>
      <c r="AN32" s="573">
        <f>IF('Marks Entry'!W32="","",'Marks Entry'!W32)</f>
        <v>7</v>
      </c>
      <c r="AO32" s="573">
        <f>IF('Marks Entry'!X32="","",'Marks Entry'!X32)</f>
        <v>7</v>
      </c>
      <c r="AP32" s="572">
        <f t="shared" si="65"/>
        <v>18</v>
      </c>
      <c r="AQ32" s="573">
        <f>IF('Marks Entry'!Y32="","",'Marks Entry'!Y32)</f>
        <v>35</v>
      </c>
      <c r="AR32" s="573" t="str">
        <f>IF('Marks Entry'!Z32="","",'Marks Entry'!Z32)</f>
        <v/>
      </c>
      <c r="AS32" s="572">
        <f t="shared" si="66"/>
        <v>35</v>
      </c>
      <c r="AT32" s="572">
        <f t="shared" si="67"/>
        <v>53</v>
      </c>
      <c r="AU32" s="573">
        <f>IF('Marks Entry'!AA32="","",'Marks Entry'!AA32)</f>
        <v>49</v>
      </c>
      <c r="AV32" s="573" t="str">
        <f>IF('Marks Entry'!AB32="","",'Marks Entry'!AB32)</f>
        <v/>
      </c>
      <c r="AW32" s="572">
        <f t="shared" si="68"/>
        <v>49</v>
      </c>
      <c r="AX32" s="156">
        <f t="shared" si="69"/>
        <v>102</v>
      </c>
      <c r="AY32" s="156" t="str">
        <f t="shared" si="70"/>
        <v/>
      </c>
      <c r="AZ32" s="191">
        <f t="shared" si="71"/>
        <v>102</v>
      </c>
      <c r="BA32" s="152">
        <f t="shared" si="72"/>
        <v>0</v>
      </c>
      <c r="BB32" s="153">
        <f t="shared" si="73"/>
        <v>0</v>
      </c>
      <c r="BC32" s="153">
        <f t="shared" si="74"/>
        <v>100</v>
      </c>
      <c r="BD32" s="153" t="str">
        <f t="shared" si="75"/>
        <v/>
      </c>
      <c r="BE32" s="153">
        <f t="shared" si="76"/>
        <v>200</v>
      </c>
      <c r="BF32" s="152" t="str">
        <f t="shared" si="77"/>
        <v/>
      </c>
      <c r="BG32" s="153" t="str">
        <f t="shared" si="175"/>
        <v>P</v>
      </c>
      <c r="BH32" s="152" t="str">
        <f t="shared" si="78"/>
        <v>II</v>
      </c>
      <c r="BI32" s="580" t="str">
        <f>IF('Marks Entry'!AC32="","",'Marks Entry'!AC32)</f>
        <v>B</v>
      </c>
      <c r="BJ32" s="580">
        <f>IF('Marks Entry'!AD32="","",'Marks Entry'!AD32)</f>
        <v>14</v>
      </c>
      <c r="BK32" s="580">
        <f>IF('Marks Entry'!AE32="","",'Marks Entry'!AE32)</f>
        <v>13</v>
      </c>
      <c r="BL32" s="580" t="str">
        <f>IF('Marks Entry'!AF32="","",'Marks Entry'!AF32)</f>
        <v/>
      </c>
      <c r="BM32" s="581">
        <f t="shared" si="79"/>
        <v>27</v>
      </c>
      <c r="BN32" s="580">
        <f>IF('Marks Entry'!AG32="","",'Marks Entry'!AG32)</f>
        <v>45</v>
      </c>
      <c r="BO32" s="580" t="str">
        <f>IF('Marks Entry'!AH32="","",'Marks Entry'!AH32)</f>
        <v/>
      </c>
      <c r="BP32" s="581">
        <f t="shared" si="80"/>
        <v>45</v>
      </c>
      <c r="BQ32" s="581">
        <f t="shared" si="81"/>
        <v>72</v>
      </c>
      <c r="BR32" s="580">
        <f>IF('Marks Entry'!AI32="","",'Marks Entry'!AI32)</f>
        <v>51</v>
      </c>
      <c r="BS32" s="580" t="str">
        <f>IF('Marks Entry'!AJ32="","",'Marks Entry'!AJ32)</f>
        <v/>
      </c>
      <c r="BT32" s="581">
        <f t="shared" si="82"/>
        <v>51</v>
      </c>
      <c r="BU32" s="156">
        <f t="shared" si="83"/>
        <v>123</v>
      </c>
      <c r="BV32" s="156" t="str">
        <f t="shared" si="84"/>
        <v/>
      </c>
      <c r="BW32" s="191">
        <f t="shared" si="85"/>
        <v>123</v>
      </c>
      <c r="BX32" s="152">
        <f t="shared" si="86"/>
        <v>0</v>
      </c>
      <c r="BY32" s="153">
        <f t="shared" si="87"/>
        <v>0</v>
      </c>
      <c r="BZ32" s="153">
        <f t="shared" si="88"/>
        <v>100</v>
      </c>
      <c r="CA32" s="153" t="str">
        <f t="shared" si="89"/>
        <v/>
      </c>
      <c r="CB32" s="153">
        <f t="shared" si="90"/>
        <v>200</v>
      </c>
      <c r="CC32" s="152" t="str">
        <f t="shared" si="91"/>
        <v/>
      </c>
      <c r="CD32" s="153" t="str">
        <f t="shared" si="92"/>
        <v>P</v>
      </c>
      <c r="CE32" s="152" t="str">
        <f t="shared" si="93"/>
        <v>I</v>
      </c>
      <c r="CF32" s="580" t="str">
        <f>IF('Marks Entry'!AK32="","",'Marks Entry'!AK32)</f>
        <v>A</v>
      </c>
      <c r="CG32" s="580">
        <f>IF('Marks Entry'!AL32="","",'Marks Entry'!AL32)</f>
        <v>14</v>
      </c>
      <c r="CH32" s="580">
        <f>IF('Marks Entry'!AM32="","",'Marks Entry'!AM32)</f>
        <v>14</v>
      </c>
      <c r="CI32" s="580" t="str">
        <f>IF('Marks Entry'!AN32="","",'Marks Entry'!AN32)</f>
        <v/>
      </c>
      <c r="CJ32" s="581">
        <f t="shared" si="94"/>
        <v>28</v>
      </c>
      <c r="CK32" s="580">
        <f>IF('Marks Entry'!AO32="","",'Marks Entry'!AO32)</f>
        <v>29</v>
      </c>
      <c r="CL32" s="580">
        <f>IF('Marks Entry'!AP32="","",'Marks Entry'!AP32)</f>
        <v>10</v>
      </c>
      <c r="CM32" s="581">
        <f t="shared" si="95"/>
        <v>39</v>
      </c>
      <c r="CN32" s="581">
        <f t="shared" si="96"/>
        <v>67</v>
      </c>
      <c r="CO32" s="580">
        <f>IF('Marks Entry'!AQ32="","",'Marks Entry'!AQ32)</f>
        <v>35</v>
      </c>
      <c r="CP32" s="580">
        <f>IF('Marks Entry'!AR32="","",'Marks Entry'!AR32)</f>
        <v>24</v>
      </c>
      <c r="CQ32" s="581">
        <f t="shared" si="97"/>
        <v>59</v>
      </c>
      <c r="CR32" s="156">
        <f t="shared" si="98"/>
        <v>92</v>
      </c>
      <c r="CS32" s="156">
        <f t="shared" si="99"/>
        <v>34</v>
      </c>
      <c r="CT32" s="191">
        <f t="shared" si="100"/>
        <v>126</v>
      </c>
      <c r="CU32" s="152">
        <f t="shared" si="101"/>
        <v>0</v>
      </c>
      <c r="CV32" s="153">
        <f t="shared" si="102"/>
        <v>0</v>
      </c>
      <c r="CW32" s="153">
        <f t="shared" si="103"/>
        <v>70</v>
      </c>
      <c r="CX32" s="153">
        <f t="shared" si="104"/>
        <v>50</v>
      </c>
      <c r="CY32" s="153">
        <f t="shared" si="176"/>
        <v>150</v>
      </c>
      <c r="CZ32" s="152" t="str">
        <f t="shared" si="105"/>
        <v/>
      </c>
      <c r="DA32" s="153" t="str">
        <f t="shared" si="106"/>
        <v>P</v>
      </c>
      <c r="DB32" s="152" t="str">
        <f t="shared" si="107"/>
        <v>I</v>
      </c>
      <c r="DC32" s="153">
        <f t="shared" si="108"/>
        <v>0</v>
      </c>
      <c r="DD32" s="851" t="str">
        <f>IF('Marks Entry'!AS32="","",IF(OR('Master Sheet'!$D$19="YES",'Marks Entry'!$BA$1=1),'Marks Entry'!AS32,""))</f>
        <v/>
      </c>
      <c r="DE32" s="851" t="str">
        <f>IF('Marks Entry'!AT32="","",IF(OR('Master Sheet'!$D$19="YES",'Marks Entry'!$BA$1=1),'Marks Entry'!AT32,""))</f>
        <v/>
      </c>
      <c r="DF32" s="851" t="str">
        <f>IF('Marks Entry'!AU32="","",IF(OR('Master Sheet'!$D$19="YES",'Marks Entry'!$BA$1=1),'Marks Entry'!AU32,""))</f>
        <v/>
      </c>
      <c r="DG32" s="851" t="str">
        <f>IF('Marks Entry'!AV32="","",IF(OR('Master Sheet'!$D$19="YES",'Marks Entry'!$BA$1=1),'Marks Entry'!AV32,""))</f>
        <v/>
      </c>
      <c r="DH32" s="852" t="str">
        <f t="shared" si="109"/>
        <v/>
      </c>
      <c r="DI32" s="851" t="str">
        <f>IF('Marks Entry'!AW32="","",IF(OR('Master Sheet'!$D$19="YES",'Marks Entry'!$BA$1=1),'Marks Entry'!AW32,""))</f>
        <v/>
      </c>
      <c r="DJ32" s="851" t="str">
        <f>IF('Marks Entry'!AX32="","",IF(OR('Master Sheet'!$D$19="YES",'Marks Entry'!$BA$1=1),'Marks Entry'!AX32,""))</f>
        <v/>
      </c>
      <c r="DK32" s="852" t="str">
        <f t="shared" si="110"/>
        <v/>
      </c>
      <c r="DL32" s="852" t="str">
        <f t="shared" si="111"/>
        <v/>
      </c>
      <c r="DM32" s="851" t="str">
        <f>IF('Marks Entry'!AY32="","",IF(OR('Master Sheet'!$D$19="YES",'Marks Entry'!$BA$1=1),'Marks Entry'!AY32,""))</f>
        <v/>
      </c>
      <c r="DN32" s="851" t="str">
        <f>IF('Marks Entry'!AZ32="","",IF(OR('Master Sheet'!$D$19="YES",'Marks Entry'!$BA$1=1),'Marks Entry'!AZ32,""))</f>
        <v/>
      </c>
      <c r="DO32" s="851" t="str">
        <f>IF('Marks Entry'!BA32="","",IF(OR('Master Sheet'!$D$19="YES",'Marks Entry'!$BA$1=1),'Marks Entry'!BA32,""))</f>
        <v/>
      </c>
      <c r="DP32" s="852" t="str">
        <f t="shared" si="112"/>
        <v/>
      </c>
      <c r="DQ32" s="156" t="str">
        <f t="shared" si="113"/>
        <v/>
      </c>
      <c r="DR32" s="156" t="str">
        <f t="shared" si="114"/>
        <v/>
      </c>
      <c r="DS32" s="156" t="str">
        <f t="shared" si="115"/>
        <v/>
      </c>
      <c r="DT32" s="191" t="str">
        <f t="shared" si="116"/>
        <v/>
      </c>
      <c r="DU32" s="152">
        <f t="shared" si="117"/>
        <v>0</v>
      </c>
      <c r="DV32" s="153">
        <f t="shared" si="118"/>
        <v>0</v>
      </c>
      <c r="DW32" s="153" t="str">
        <f t="shared" si="119"/>
        <v/>
      </c>
      <c r="DX32" s="153" t="str">
        <f>IF(OR($B32="NSO",$B32=0,DS32=""),"",IF(AND(DJ32="",DO32=""),"",IF('Master Sheet'!$D$19="YES",$DO$6-COUNTIF(DO32,"ML")*DO$6,DS$6-(COUNTIF(DJ32,"ML")*DJ$6)-(COUNTIF(DO32,"ML")*DO$6))))</f>
        <v/>
      </c>
      <c r="DY32" s="153" t="str">
        <f>IF(OR($B32="NSO",$B32=0),"",IF(AND(DH32="",DI32="",DM32=""),"",IF(AND('Master Sheet'!$D$19="YES",'Marks Entry'!$BA$1=1),100,IF(AND(DJ32="",DO32=""),SUM(($DQ$7+$DR$7)-(DU32+DV32)),SUM(($DQ$6+$DR$6)-(DU32+DV32))))))</f>
        <v/>
      </c>
      <c r="DZ32" s="152" t="str">
        <f t="shared" si="120"/>
        <v/>
      </c>
      <c r="EA32" s="153" t="str">
        <f t="shared" si="121"/>
        <v/>
      </c>
      <c r="EB32" s="152" t="str">
        <f t="shared" si="122"/>
        <v/>
      </c>
      <c r="EC32" s="584">
        <f>IF('Marks Entry'!BB32="","",'Marks Entry'!BB32)</f>
        <v>20</v>
      </c>
      <c r="ED32" s="584">
        <f>IF('Marks Entry'!BC32="","",'Marks Entry'!BC32)</f>
        <v>30</v>
      </c>
      <c r="EE32" s="584">
        <f>IF('Marks Entry'!BD32="","",'Marks Entry'!BD32)</f>
        <v>32</v>
      </c>
      <c r="EF32" s="590">
        <f t="shared" si="123"/>
        <v>82</v>
      </c>
      <c r="EG32" s="595">
        <f t="shared" si="124"/>
        <v>0</v>
      </c>
      <c r="EH32" s="595">
        <f t="shared" si="125"/>
        <v>0</v>
      </c>
      <c r="EI32" s="192">
        <f t="shared" si="126"/>
        <v>100</v>
      </c>
      <c r="EJ32" s="595" t="str">
        <f t="shared" si="127"/>
        <v/>
      </c>
      <c r="EK32" s="595" t="str">
        <f t="shared" si="128"/>
        <v>A</v>
      </c>
      <c r="EL32" s="193" t="str">
        <f t="shared" si="129"/>
        <v/>
      </c>
      <c r="EM32" s="193" t="str">
        <f t="shared" si="130"/>
        <v/>
      </c>
      <c r="EN32" s="193" t="str">
        <f t="shared" si="131"/>
        <v>II</v>
      </c>
      <c r="EO32" s="193" t="str">
        <f t="shared" si="132"/>
        <v>I</v>
      </c>
      <c r="EP32" s="193" t="str">
        <f t="shared" si="133"/>
        <v>I</v>
      </c>
      <c r="EQ32" s="193" t="str">
        <f t="shared" si="134"/>
        <v/>
      </c>
      <c r="ER32" s="194">
        <f t="shared" si="135"/>
        <v>0</v>
      </c>
      <c r="ES32" s="194">
        <f t="shared" si="136"/>
        <v>0</v>
      </c>
      <c r="ET32" s="194">
        <f t="shared" si="137"/>
        <v>0</v>
      </c>
      <c r="EU32" s="194">
        <f t="shared" si="138"/>
        <v>0</v>
      </c>
      <c r="EV32" s="194">
        <f t="shared" si="139"/>
        <v>0</v>
      </c>
      <c r="EW32" s="194" t="str">
        <f t="shared" si="140"/>
        <v/>
      </c>
      <c r="EX32" s="195" t="str">
        <f t="shared" si="141"/>
        <v/>
      </c>
      <c r="EY32" s="196">
        <f>IF('Marks Entry'!BE32="","",'Marks Entry'!BE32)</f>
        <v>7</v>
      </c>
      <c r="EZ32" s="196">
        <f>IF('Marks Entry'!BF32="","",'Marks Entry'!BF32)</f>
        <v>7</v>
      </c>
      <c r="FA32" s="196">
        <f>IF('Marks Entry'!BG32="","",'Marks Entry'!BG32)</f>
        <v>7</v>
      </c>
      <c r="FB32" s="596">
        <f t="shared" si="142"/>
        <v>21</v>
      </c>
      <c r="FC32" s="196">
        <f>IF('Marks Entry'!BH32="","",'Marks Entry'!BH32)</f>
        <v>41</v>
      </c>
      <c r="FD32" s="196">
        <f>IF('Marks Entry'!BI32="","",'Marks Entry'!BI32)</f>
        <v>68</v>
      </c>
      <c r="FE32" s="197">
        <f t="shared" si="143"/>
        <v>130</v>
      </c>
      <c r="FF32" s="198" t="str">
        <f t="shared" si="144"/>
        <v>B</v>
      </c>
      <c r="FG32" s="199" t="str">
        <f>IF(AND(E32=""),"",IF('Student DATA Entry'!L28="","",'Student DATA Entry'!L28))</f>
        <v/>
      </c>
      <c r="FH32" s="200" t="str">
        <f>IF(AND(E32=""),"",IF('Student DATA Entry'!M28="","",'Student DATA Entry'!M28))</f>
        <v/>
      </c>
      <c r="FI32" s="201" t="str">
        <f t="shared" si="145"/>
        <v/>
      </c>
      <c r="FJ32" s="188" t="str">
        <f t="shared" si="146"/>
        <v/>
      </c>
      <c r="FK32" s="188" t="str">
        <f t="shared" si="147"/>
        <v/>
      </c>
      <c r="FL32" s="202" t="str">
        <f t="shared" si="19"/>
        <v/>
      </c>
      <c r="FM32" s="188" t="str">
        <f t="shared" si="148"/>
        <v/>
      </c>
      <c r="FN32" s="203" t="str">
        <f t="shared" si="149"/>
        <v/>
      </c>
      <c r="FO32" s="202" t="str">
        <f t="shared" si="20"/>
        <v/>
      </c>
      <c r="FP32" s="204" t="str">
        <f t="shared" si="150"/>
        <v>II</v>
      </c>
      <c r="FQ32" s="188" t="str">
        <f t="shared" si="21"/>
        <v>II</v>
      </c>
      <c r="FR32" s="188" t="str">
        <f t="shared" si="22"/>
        <v/>
      </c>
      <c r="FS32" s="188" t="str">
        <f t="shared" si="23"/>
        <v/>
      </c>
      <c r="FT32" s="188" t="str">
        <f t="shared" si="24"/>
        <v/>
      </c>
      <c r="FU32" s="188" t="str">
        <f t="shared" si="151"/>
        <v/>
      </c>
      <c r="FV32" s="205" t="str">
        <f t="shared" si="25"/>
        <v/>
      </c>
      <c r="FW32" s="204" t="str">
        <f t="shared" si="152"/>
        <v>I</v>
      </c>
      <c r="FX32" s="188" t="str">
        <f t="shared" si="26"/>
        <v/>
      </c>
      <c r="FY32" s="188" t="str">
        <f t="shared" si="27"/>
        <v>I</v>
      </c>
      <c r="FZ32" s="188" t="str">
        <f t="shared" si="28"/>
        <v/>
      </c>
      <c r="GA32" s="188" t="str">
        <f t="shared" si="29"/>
        <v/>
      </c>
      <c r="GB32" s="188" t="str">
        <f t="shared" si="153"/>
        <v/>
      </c>
      <c r="GC32" s="205" t="str">
        <f t="shared" si="30"/>
        <v/>
      </c>
      <c r="GD32" s="204" t="str">
        <f t="shared" si="154"/>
        <v>I</v>
      </c>
      <c r="GE32" s="188" t="str">
        <f t="shared" si="31"/>
        <v>I</v>
      </c>
      <c r="GF32" s="188" t="str">
        <f t="shared" si="32"/>
        <v/>
      </c>
      <c r="GG32" s="188" t="str">
        <f t="shared" si="33"/>
        <v/>
      </c>
      <c r="GH32" s="188" t="str">
        <f t="shared" si="34"/>
        <v/>
      </c>
      <c r="GI32" s="188" t="str">
        <f t="shared" si="155"/>
        <v/>
      </c>
      <c r="GJ32" s="205" t="str">
        <f t="shared" si="35"/>
        <v/>
      </c>
      <c r="GK32" s="204" t="str">
        <f t="shared" si="156"/>
        <v/>
      </c>
      <c r="GL32" s="188" t="str">
        <f t="shared" si="36"/>
        <v/>
      </c>
      <c r="GM32" s="188" t="str">
        <f t="shared" si="37"/>
        <v/>
      </c>
      <c r="GN32" s="188" t="str">
        <f t="shared" si="38"/>
        <v/>
      </c>
      <c r="GO32" s="188" t="str">
        <f t="shared" si="39"/>
        <v/>
      </c>
      <c r="GP32" s="188" t="str">
        <f t="shared" si="157"/>
        <v/>
      </c>
      <c r="GQ32" s="205" t="str">
        <f t="shared" si="40"/>
        <v/>
      </c>
      <c r="GR32" s="188" t="str">
        <f t="shared" si="158"/>
        <v>A</v>
      </c>
      <c r="GS32" s="188" t="str">
        <f t="shared" si="159"/>
        <v>B</v>
      </c>
      <c r="GT32" s="206" t="str">
        <f t="shared" si="177"/>
        <v xml:space="preserve">    </v>
      </c>
      <c r="GU32" s="206" t="str">
        <f t="shared" si="160"/>
        <v xml:space="preserve">    </v>
      </c>
      <c r="GV32" s="206" t="str">
        <f t="shared" si="161"/>
        <v xml:space="preserve">    </v>
      </c>
      <c r="GW32" s="206" t="str">
        <f t="shared" si="162"/>
        <v xml:space="preserve">       </v>
      </c>
      <c r="GX32" s="598" t="str">
        <f t="shared" si="163"/>
        <v xml:space="preserve">     </v>
      </c>
      <c r="GY32" s="207" t="str">
        <f t="shared" si="164"/>
        <v/>
      </c>
      <c r="GZ32" s="606">
        <f>IF(AND(Q32="",AE32="",AZ32="",BW32="",CT32=""),"",IF(AND('Master Sheet'!$D$19="YES",'Marks Entry'!$BA$1=1),SUM(Q32,AE32,AZ32,BW32,DT32),SUM(Q32,AE32,AZ32,BW32,CT32)))</f>
        <v>583</v>
      </c>
      <c r="HA32" s="208">
        <f>IF(GZ32="","",IF(AND('Master Sheet'!$D$19="YES",'Marks Entry'!$BA$1=1),GZ32/((900)-DC32)*100,GZ32/((1000)-DC32)*100))</f>
        <v>58.3</v>
      </c>
      <c r="HB32" s="611" t="str">
        <f t="shared" si="165"/>
        <v/>
      </c>
      <c r="HC32" s="609" t="str">
        <f t="shared" si="166"/>
        <v/>
      </c>
      <c r="HD32" s="610" t="str">
        <f t="shared" si="167"/>
        <v/>
      </c>
      <c r="HE32" s="209" t="str">
        <f>IFERROR(IF(OR(GY32="SUPPLEMENTARY",GY32="RE-EXAM"),'Supp. Result Entry'!AS31,""),"")</f>
        <v/>
      </c>
      <c r="HF32" s="613" t="str">
        <f t="shared" si="168"/>
        <v/>
      </c>
      <c r="HG32" s="598" t="str">
        <f t="shared" si="169"/>
        <v/>
      </c>
      <c r="HH32" s="598" t="str">
        <f>IF(AND(HE32="",HF32="",HG32=""),"",IF(OR(GY32="SUPPLEMENTARY",GY32="RE-EXAM"),'Supp. Result Entry'!AS31,GY32))</f>
        <v/>
      </c>
      <c r="HI32" s="179"/>
      <c r="HY32" s="211" t="str">
        <f>IF('Supp. Result Entry'!U31="","",'Supp. Result Entry'!$U$6)</f>
        <v/>
      </c>
      <c r="HZ32" s="212" t="str">
        <f>IF('Supp. Result Entry'!X31="","",'Supp. Result Entry'!$X$6)</f>
        <v/>
      </c>
      <c r="IA32" s="212" t="str">
        <f>IF('Supp. Result Entry'!AA31="","",'Supp. Result Entry'!$AA$6)</f>
        <v/>
      </c>
      <c r="IB32" s="212" t="str">
        <f>IF('Supp. Result Entry'!AD31="","",'Supp. Result Entry'!$AD$6)</f>
        <v/>
      </c>
      <c r="IC32" s="212" t="str">
        <f>IF('Supp. Result Entry'!AG31="","",'Supp. Result Entry'!$AG$6)</f>
        <v/>
      </c>
      <c r="ID32" s="212" t="str">
        <f>IF('Supp. Result Entry'!AJ31="","",'Supp. Result Entry'!$AJ$6)</f>
        <v/>
      </c>
      <c r="IE32" s="212" t="str">
        <f>IF('Supp. Result Entry'!V31="","",'Supp. Result Entry'!V31)</f>
        <v/>
      </c>
      <c r="IF32" s="212" t="str">
        <f>IF('Supp. Result Entry'!Y31="","",'Supp. Result Entry'!Y31)</f>
        <v/>
      </c>
      <c r="IG32" s="212" t="str">
        <f>IF('Supp. Result Entry'!AB31="","",'Supp. Result Entry'!AB31)</f>
        <v/>
      </c>
      <c r="IH32" s="212" t="str">
        <f>IF('Supp. Result Entry'!AE31="","",'Supp. Result Entry'!AE31)</f>
        <v/>
      </c>
      <c r="II32" s="212" t="str">
        <f>IF('Supp. Result Entry'!AH31="","",'Supp. Result Entry'!AH31)</f>
        <v/>
      </c>
      <c r="IJ32" s="212" t="str">
        <f>IF('Supp. Result Entry'!AK31="","",'Supp. Result Entry'!AK31)</f>
        <v/>
      </c>
      <c r="IK32" s="212" t="str">
        <f>IF('Supp. Result Entry'!W31="","",'Supp. Result Entry'!W31)</f>
        <v/>
      </c>
      <c r="IL32" s="212" t="str">
        <f>IF('Supp. Result Entry'!Z31="","",'Supp. Result Entry'!Z31)</f>
        <v/>
      </c>
      <c r="IM32" s="212" t="str">
        <f>IF('Supp. Result Entry'!AC31="","",'Supp. Result Entry'!AC31)</f>
        <v/>
      </c>
      <c r="IN32" s="212" t="str">
        <f>IF('Supp. Result Entry'!AF31="","",'Supp. Result Entry'!AF31)</f>
        <v/>
      </c>
      <c r="IO32" s="212" t="str">
        <f>IF('Supp. Result Entry'!AI31="","",'Supp. Result Entry'!AI31)</f>
        <v/>
      </c>
      <c r="IP32" s="212" t="str">
        <f>IF('Supp. Result Entry'!AL31="","",'Supp. Result Entry'!AL31)</f>
        <v/>
      </c>
      <c r="IQ32" s="212">
        <f>COUNTIF('Supp. Result Entry'!K31:Q31,"S")</f>
        <v>0</v>
      </c>
      <c r="IR32" s="212">
        <f t="shared" si="170"/>
        <v>0</v>
      </c>
      <c r="IS32" s="212">
        <f t="shared" si="171"/>
        <v>0</v>
      </c>
      <c r="IT32" s="212" t="str">
        <f t="shared" si="41"/>
        <v/>
      </c>
      <c r="IU32" s="212" t="str">
        <f t="shared" si="42"/>
        <v/>
      </c>
      <c r="IV32" s="212" t="str">
        <f t="shared" si="43"/>
        <v/>
      </c>
      <c r="IW32" s="212" t="str">
        <f t="shared" si="44"/>
        <v/>
      </c>
      <c r="IX32" s="212" t="str">
        <f t="shared" si="45"/>
        <v/>
      </c>
      <c r="IY32" s="212" t="str">
        <f t="shared" si="172"/>
        <v/>
      </c>
      <c r="IZ32" s="212" t="str">
        <f t="shared" si="173"/>
        <v/>
      </c>
      <c r="JA32" s="212" t="str">
        <f t="shared" si="46"/>
        <v/>
      </c>
      <c r="JB32" s="210" t="str">
        <f t="shared" si="174"/>
        <v/>
      </c>
    </row>
    <row r="33" spans="1:262" s="210" customFormat="1" ht="21" customHeight="1">
      <c r="A33" s="183">
        <v>26</v>
      </c>
      <c r="B33" s="184" t="str">
        <f>IF('Marks Entry'!B33="","",'Marks Entry'!B33)</f>
        <v/>
      </c>
      <c r="C33" s="185" t="str">
        <f>IF('Marks Entry'!D33="","",'Marks Entry'!D33)</f>
        <v/>
      </c>
      <c r="D33" s="186" t="str">
        <f>IF('Marks Entry'!E33="","",'Marks Entry'!E33)</f>
        <v/>
      </c>
      <c r="E33" s="187" t="str">
        <f>IF('Marks Entry'!F33="","",'Marks Entry'!F33)</f>
        <v/>
      </c>
      <c r="F33" s="187" t="str">
        <f>IF('Marks Entry'!G33="","",'Marks Entry'!G33)</f>
        <v/>
      </c>
      <c r="G33" s="187" t="str">
        <f>IF('Marks Entry'!H33="","",'Marks Entry'!H33)</f>
        <v/>
      </c>
      <c r="H33" s="188" t="str">
        <f>IF('Marks Entry'!I33="","",'Marks Entry'!I33)</f>
        <v/>
      </c>
      <c r="I33" s="189" t="str">
        <f>IF('Marks Entry'!J33="","",'Marks Entry'!J33)</f>
        <v/>
      </c>
      <c r="J33" s="545">
        <f>IF('Marks Entry'!K33="","",'Marks Entry'!K33)</f>
        <v>13</v>
      </c>
      <c r="K33" s="545">
        <f>IF('Marks Entry'!L33="","",'Marks Entry'!L33)</f>
        <v>9</v>
      </c>
      <c r="L33" s="545">
        <f>IF('Marks Entry'!M33="","",'Marks Entry'!M33)</f>
        <v>8</v>
      </c>
      <c r="M33" s="546">
        <f t="shared" si="47"/>
        <v>30</v>
      </c>
      <c r="N33" s="545">
        <f>IF('Marks Entry'!N33="","",'Marks Entry'!N33)</f>
        <v>27</v>
      </c>
      <c r="O33" s="546">
        <f t="shared" si="48"/>
        <v>57</v>
      </c>
      <c r="P33" s="545">
        <f>IF('Marks Entry'!O33="","",'Marks Entry'!O33)</f>
        <v>50</v>
      </c>
      <c r="Q33" s="547">
        <f t="shared" si="49"/>
        <v>107</v>
      </c>
      <c r="R33" s="152">
        <f t="shared" si="50"/>
        <v>0</v>
      </c>
      <c r="S33" s="152">
        <f t="shared" si="51"/>
        <v>0</v>
      </c>
      <c r="T33" s="153">
        <f t="shared" si="52"/>
        <v>200</v>
      </c>
      <c r="U33" s="152" t="str">
        <f t="shared" si="53"/>
        <v/>
      </c>
      <c r="V33" s="152" t="str">
        <f t="shared" si="54"/>
        <v/>
      </c>
      <c r="W33" s="152" t="str">
        <f t="shared" si="55"/>
        <v/>
      </c>
      <c r="X33" s="545">
        <f>IF('Marks Entry'!P33="","",'Marks Entry'!P33)</f>
        <v>8</v>
      </c>
      <c r="Y33" s="545">
        <f>IF('Marks Entry'!Q33="","",'Marks Entry'!Q33)</f>
        <v>10</v>
      </c>
      <c r="Z33" s="545">
        <f>IF('Marks Entry'!R33="","",'Marks Entry'!R33)</f>
        <v>9</v>
      </c>
      <c r="AA33" s="546">
        <f t="shared" si="56"/>
        <v>27</v>
      </c>
      <c r="AB33" s="545">
        <f>IF('Marks Entry'!S33="","",'Marks Entry'!S33)</f>
        <v>32</v>
      </c>
      <c r="AC33" s="546">
        <f t="shared" si="57"/>
        <v>59</v>
      </c>
      <c r="AD33" s="545">
        <f>IF('Marks Entry'!T33="","",'Marks Entry'!T33)</f>
        <v>61</v>
      </c>
      <c r="AE33" s="547">
        <f t="shared" si="58"/>
        <v>120</v>
      </c>
      <c r="AF33" s="152">
        <f t="shared" si="59"/>
        <v>0</v>
      </c>
      <c r="AG33" s="152">
        <f t="shared" si="60"/>
        <v>0</v>
      </c>
      <c r="AH33" s="153">
        <f t="shared" si="61"/>
        <v>200</v>
      </c>
      <c r="AI33" s="152" t="str">
        <f t="shared" si="62"/>
        <v/>
      </c>
      <c r="AJ33" s="152" t="str">
        <f t="shared" si="63"/>
        <v/>
      </c>
      <c r="AK33" s="152" t="str">
        <f t="shared" si="64"/>
        <v/>
      </c>
      <c r="AL33" s="573" t="str">
        <f>IF('Marks Entry'!U33="","",'Marks Entry'!U33)</f>
        <v>A</v>
      </c>
      <c r="AM33" s="573">
        <f>IF('Marks Entry'!V33="","",'Marks Entry'!V33)</f>
        <v>8</v>
      </c>
      <c r="AN33" s="573">
        <f>IF('Marks Entry'!W33="","",'Marks Entry'!W33)</f>
        <v>8</v>
      </c>
      <c r="AO33" s="573">
        <f>IF('Marks Entry'!X33="","",'Marks Entry'!X33)</f>
        <v>7</v>
      </c>
      <c r="AP33" s="572">
        <f t="shared" si="65"/>
        <v>23</v>
      </c>
      <c r="AQ33" s="573">
        <f>IF('Marks Entry'!Y33="","",'Marks Entry'!Y33)</f>
        <v>35</v>
      </c>
      <c r="AR33" s="573" t="str">
        <f>IF('Marks Entry'!Z33="","",'Marks Entry'!Z33)</f>
        <v/>
      </c>
      <c r="AS33" s="572">
        <f t="shared" si="66"/>
        <v>35</v>
      </c>
      <c r="AT33" s="572">
        <f t="shared" si="67"/>
        <v>58</v>
      </c>
      <c r="AU33" s="573">
        <f>IF('Marks Entry'!AA33="","",'Marks Entry'!AA33)</f>
        <v>52</v>
      </c>
      <c r="AV33" s="573" t="str">
        <f>IF('Marks Entry'!AB33="","",'Marks Entry'!AB33)</f>
        <v/>
      </c>
      <c r="AW33" s="572">
        <f t="shared" si="68"/>
        <v>52</v>
      </c>
      <c r="AX33" s="156">
        <f t="shared" si="69"/>
        <v>110</v>
      </c>
      <c r="AY33" s="156" t="str">
        <f t="shared" si="70"/>
        <v/>
      </c>
      <c r="AZ33" s="191">
        <f t="shared" si="71"/>
        <v>110</v>
      </c>
      <c r="BA33" s="152">
        <f t="shared" si="72"/>
        <v>0</v>
      </c>
      <c r="BB33" s="153">
        <f t="shared" si="73"/>
        <v>0</v>
      </c>
      <c r="BC33" s="153">
        <f t="shared" si="74"/>
        <v>100</v>
      </c>
      <c r="BD33" s="153" t="str">
        <f t="shared" si="75"/>
        <v/>
      </c>
      <c r="BE33" s="153">
        <f t="shared" si="76"/>
        <v>200</v>
      </c>
      <c r="BF33" s="152" t="str">
        <f t="shared" si="77"/>
        <v/>
      </c>
      <c r="BG33" s="153" t="str">
        <f t="shared" si="175"/>
        <v>P</v>
      </c>
      <c r="BH33" s="152" t="str">
        <f t="shared" si="78"/>
        <v>II</v>
      </c>
      <c r="BI33" s="580" t="str">
        <f>IF('Marks Entry'!AC33="","",'Marks Entry'!AC33)</f>
        <v>B</v>
      </c>
      <c r="BJ33" s="580">
        <f>IF('Marks Entry'!AD33="","",'Marks Entry'!AD33)</f>
        <v>15</v>
      </c>
      <c r="BK33" s="580">
        <f>IF('Marks Entry'!AE33="","",'Marks Entry'!AE33)</f>
        <v>14</v>
      </c>
      <c r="BL33" s="580" t="str">
        <f>IF('Marks Entry'!AF33="","",'Marks Entry'!AF33)</f>
        <v/>
      </c>
      <c r="BM33" s="581">
        <f t="shared" si="79"/>
        <v>29</v>
      </c>
      <c r="BN33" s="580">
        <f>IF('Marks Entry'!AG33="","",'Marks Entry'!AG33)</f>
        <v>40</v>
      </c>
      <c r="BO33" s="580" t="str">
        <f>IF('Marks Entry'!AH33="","",'Marks Entry'!AH33)</f>
        <v/>
      </c>
      <c r="BP33" s="581">
        <f t="shared" si="80"/>
        <v>40</v>
      </c>
      <c r="BQ33" s="581">
        <f t="shared" si="81"/>
        <v>69</v>
      </c>
      <c r="BR33" s="580">
        <f>IF('Marks Entry'!AI33="","",'Marks Entry'!AI33)</f>
        <v>50</v>
      </c>
      <c r="BS33" s="580" t="str">
        <f>IF('Marks Entry'!AJ33="","",'Marks Entry'!AJ33)</f>
        <v/>
      </c>
      <c r="BT33" s="581">
        <f t="shared" si="82"/>
        <v>50</v>
      </c>
      <c r="BU33" s="156">
        <f t="shared" si="83"/>
        <v>119</v>
      </c>
      <c r="BV33" s="156" t="str">
        <f t="shared" si="84"/>
        <v/>
      </c>
      <c r="BW33" s="191">
        <f t="shared" si="85"/>
        <v>119</v>
      </c>
      <c r="BX33" s="152">
        <f t="shared" si="86"/>
        <v>0</v>
      </c>
      <c r="BY33" s="153">
        <f t="shared" si="87"/>
        <v>0</v>
      </c>
      <c r="BZ33" s="153">
        <f t="shared" si="88"/>
        <v>100</v>
      </c>
      <c r="CA33" s="153" t="str">
        <f t="shared" si="89"/>
        <v/>
      </c>
      <c r="CB33" s="153">
        <f t="shared" si="90"/>
        <v>200</v>
      </c>
      <c r="CC33" s="152" t="str">
        <f t="shared" si="91"/>
        <v/>
      </c>
      <c r="CD33" s="153" t="str">
        <f t="shared" si="92"/>
        <v>P</v>
      </c>
      <c r="CE33" s="152" t="str">
        <f t="shared" si="93"/>
        <v>II</v>
      </c>
      <c r="CF33" s="580" t="str">
        <f>IF('Marks Entry'!AK33="","",'Marks Entry'!AK33)</f>
        <v>B</v>
      </c>
      <c r="CG33" s="580">
        <f>IF('Marks Entry'!AL33="","",'Marks Entry'!AL33)</f>
        <v>16</v>
      </c>
      <c r="CH33" s="580">
        <f>IF('Marks Entry'!AM33="","",'Marks Entry'!AM33)</f>
        <v>15</v>
      </c>
      <c r="CI33" s="580" t="str">
        <f>IF('Marks Entry'!AN33="","",'Marks Entry'!AN33)</f>
        <v/>
      </c>
      <c r="CJ33" s="581">
        <f t="shared" si="94"/>
        <v>31</v>
      </c>
      <c r="CK33" s="580" t="str">
        <f>IF('Marks Entry'!AO33="","",'Marks Entry'!AO33)</f>
        <v/>
      </c>
      <c r="CL33" s="580" t="str">
        <f>IF('Marks Entry'!AP33="","",'Marks Entry'!AP33)</f>
        <v/>
      </c>
      <c r="CM33" s="581" t="str">
        <f t="shared" si="95"/>
        <v/>
      </c>
      <c r="CN33" s="581">
        <f t="shared" si="96"/>
        <v>31</v>
      </c>
      <c r="CO33" s="580" t="str">
        <f>IF('Marks Entry'!AQ33="","",'Marks Entry'!AQ33)</f>
        <v/>
      </c>
      <c r="CP33" s="580" t="str">
        <f>IF('Marks Entry'!AR33="","",'Marks Entry'!AR33)</f>
        <v/>
      </c>
      <c r="CQ33" s="581" t="str">
        <f t="shared" si="97"/>
        <v/>
      </c>
      <c r="CR33" s="156">
        <f t="shared" si="98"/>
        <v>31</v>
      </c>
      <c r="CS33" s="156" t="str">
        <f t="shared" si="99"/>
        <v/>
      </c>
      <c r="CT33" s="191">
        <f t="shared" si="100"/>
        <v>31</v>
      </c>
      <c r="CU33" s="152">
        <f t="shared" si="101"/>
        <v>0</v>
      </c>
      <c r="CV33" s="153">
        <f t="shared" si="102"/>
        <v>0</v>
      </c>
      <c r="CW33" s="153">
        <f t="shared" si="103"/>
        <v>100</v>
      </c>
      <c r="CX33" s="153" t="str">
        <f t="shared" si="104"/>
        <v/>
      </c>
      <c r="CY33" s="153">
        <f t="shared" si="176"/>
        <v>200</v>
      </c>
      <c r="CZ33" s="152" t="str">
        <f t="shared" si="105"/>
        <v/>
      </c>
      <c r="DA33" s="153" t="str">
        <f t="shared" si="106"/>
        <v/>
      </c>
      <c r="DB33" s="152" t="str">
        <f t="shared" si="107"/>
        <v/>
      </c>
      <c r="DC33" s="153">
        <f t="shared" si="108"/>
        <v>0</v>
      </c>
      <c r="DD33" s="851" t="str">
        <f>IF('Marks Entry'!AS33="","",IF(OR('Master Sheet'!$D$19="YES",'Marks Entry'!$BA$1=1),'Marks Entry'!AS33,""))</f>
        <v/>
      </c>
      <c r="DE33" s="851" t="str">
        <f>IF('Marks Entry'!AT33="","",IF(OR('Master Sheet'!$D$19="YES",'Marks Entry'!$BA$1=1),'Marks Entry'!AT33,""))</f>
        <v/>
      </c>
      <c r="DF33" s="851" t="str">
        <f>IF('Marks Entry'!AU33="","",IF(OR('Master Sheet'!$D$19="YES",'Marks Entry'!$BA$1=1),'Marks Entry'!AU33,""))</f>
        <v/>
      </c>
      <c r="DG33" s="851" t="str">
        <f>IF('Marks Entry'!AV33="","",IF(OR('Master Sheet'!$D$19="YES",'Marks Entry'!$BA$1=1),'Marks Entry'!AV33,""))</f>
        <v/>
      </c>
      <c r="DH33" s="852" t="str">
        <f t="shared" si="109"/>
        <v/>
      </c>
      <c r="DI33" s="851" t="str">
        <f>IF('Marks Entry'!AW33="","",IF(OR('Master Sheet'!$D$19="YES",'Marks Entry'!$BA$1=1),'Marks Entry'!AW33,""))</f>
        <v/>
      </c>
      <c r="DJ33" s="851" t="str">
        <f>IF('Marks Entry'!AX33="","",IF(OR('Master Sheet'!$D$19="YES",'Marks Entry'!$BA$1=1),'Marks Entry'!AX33,""))</f>
        <v/>
      </c>
      <c r="DK33" s="852" t="str">
        <f t="shared" si="110"/>
        <v/>
      </c>
      <c r="DL33" s="852" t="str">
        <f t="shared" si="111"/>
        <v/>
      </c>
      <c r="DM33" s="851" t="str">
        <f>IF('Marks Entry'!AY33="","",IF(OR('Master Sheet'!$D$19="YES",'Marks Entry'!$BA$1=1),'Marks Entry'!AY33,""))</f>
        <v/>
      </c>
      <c r="DN33" s="851" t="str">
        <f>IF('Marks Entry'!AZ33="","",IF(OR('Master Sheet'!$D$19="YES",'Marks Entry'!$BA$1=1),'Marks Entry'!AZ33,""))</f>
        <v/>
      </c>
      <c r="DO33" s="851" t="str">
        <f>IF('Marks Entry'!BA33="","",IF(OR('Master Sheet'!$D$19="YES",'Marks Entry'!$BA$1=1),'Marks Entry'!BA33,""))</f>
        <v/>
      </c>
      <c r="DP33" s="852" t="str">
        <f t="shared" si="112"/>
        <v/>
      </c>
      <c r="DQ33" s="156" t="str">
        <f t="shared" si="113"/>
        <v/>
      </c>
      <c r="DR33" s="156" t="str">
        <f t="shared" si="114"/>
        <v/>
      </c>
      <c r="DS33" s="156" t="str">
        <f t="shared" si="115"/>
        <v/>
      </c>
      <c r="DT33" s="191" t="str">
        <f t="shared" si="116"/>
        <v/>
      </c>
      <c r="DU33" s="152">
        <f t="shared" si="117"/>
        <v>0</v>
      </c>
      <c r="DV33" s="153">
        <f t="shared" si="118"/>
        <v>0</v>
      </c>
      <c r="DW33" s="153" t="str">
        <f t="shared" si="119"/>
        <v/>
      </c>
      <c r="DX33" s="153" t="str">
        <f>IF(OR($B33="NSO",$B33=0,DS33=""),"",IF(AND(DJ33="",DO33=""),"",IF('Master Sheet'!$D$19="YES",$DO$6-COUNTIF(DO33,"ML")*DO$6,DS$6-(COUNTIF(DJ33,"ML")*DJ$6)-(COUNTIF(DO33,"ML")*DO$6))))</f>
        <v/>
      </c>
      <c r="DY33" s="153" t="str">
        <f>IF(OR($B33="NSO",$B33=0),"",IF(AND(DH33="",DI33="",DM33=""),"",IF(AND('Master Sheet'!$D$19="YES",'Marks Entry'!$BA$1=1),100,IF(AND(DJ33="",DO33=""),SUM(($DQ$7+$DR$7)-(DU33+DV33)),SUM(($DQ$6+$DR$6)-(DU33+DV33))))))</f>
        <v/>
      </c>
      <c r="DZ33" s="152" t="str">
        <f t="shared" si="120"/>
        <v/>
      </c>
      <c r="EA33" s="153" t="str">
        <f t="shared" si="121"/>
        <v/>
      </c>
      <c r="EB33" s="152" t="str">
        <f t="shared" si="122"/>
        <v/>
      </c>
      <c r="EC33" s="584">
        <f>IF('Marks Entry'!BB33="","",'Marks Entry'!BB33)</f>
        <v>20</v>
      </c>
      <c r="ED33" s="584">
        <f>IF('Marks Entry'!BC33="","",'Marks Entry'!BC33)</f>
        <v>30</v>
      </c>
      <c r="EE33" s="584">
        <f>IF('Marks Entry'!BD33="","",'Marks Entry'!BD33)</f>
        <v>32</v>
      </c>
      <c r="EF33" s="590">
        <f t="shared" si="123"/>
        <v>82</v>
      </c>
      <c r="EG33" s="595">
        <f t="shared" si="124"/>
        <v>0</v>
      </c>
      <c r="EH33" s="595">
        <f t="shared" si="125"/>
        <v>0</v>
      </c>
      <c r="EI33" s="192">
        <f t="shared" si="126"/>
        <v>100</v>
      </c>
      <c r="EJ33" s="595" t="str">
        <f t="shared" si="127"/>
        <v/>
      </c>
      <c r="EK33" s="595" t="str">
        <f t="shared" si="128"/>
        <v>A</v>
      </c>
      <c r="EL33" s="193" t="str">
        <f t="shared" si="129"/>
        <v/>
      </c>
      <c r="EM33" s="193" t="str">
        <f t="shared" si="130"/>
        <v/>
      </c>
      <c r="EN33" s="193" t="str">
        <f t="shared" si="131"/>
        <v>II</v>
      </c>
      <c r="EO33" s="193" t="str">
        <f t="shared" si="132"/>
        <v>II</v>
      </c>
      <c r="EP33" s="193" t="str">
        <f t="shared" si="133"/>
        <v/>
      </c>
      <c r="EQ33" s="193" t="str">
        <f t="shared" si="134"/>
        <v/>
      </c>
      <c r="ER33" s="194">
        <f t="shared" si="135"/>
        <v>0</v>
      </c>
      <c r="ES33" s="194">
        <f t="shared" si="136"/>
        <v>0</v>
      </c>
      <c r="ET33" s="194">
        <f t="shared" si="137"/>
        <v>0</v>
      </c>
      <c r="EU33" s="194">
        <f t="shared" si="138"/>
        <v>0</v>
      </c>
      <c r="EV33" s="194">
        <f t="shared" si="139"/>
        <v>0</v>
      </c>
      <c r="EW33" s="194" t="str">
        <f t="shared" si="140"/>
        <v/>
      </c>
      <c r="EX33" s="195" t="str">
        <f t="shared" si="141"/>
        <v/>
      </c>
      <c r="EY33" s="196">
        <f>IF('Marks Entry'!BE33="","",'Marks Entry'!BE33)</f>
        <v>7</v>
      </c>
      <c r="EZ33" s="196">
        <f>IF('Marks Entry'!BF33="","",'Marks Entry'!BF33)</f>
        <v>7</v>
      </c>
      <c r="FA33" s="196">
        <f>IF('Marks Entry'!BG33="","",'Marks Entry'!BG33)</f>
        <v>7</v>
      </c>
      <c r="FB33" s="596">
        <f t="shared" si="142"/>
        <v>21</v>
      </c>
      <c r="FC33" s="196">
        <f>IF('Marks Entry'!BH33="","",'Marks Entry'!BH33)</f>
        <v>41</v>
      </c>
      <c r="FD33" s="196">
        <f>IF('Marks Entry'!BI33="","",'Marks Entry'!BI33)</f>
        <v>68</v>
      </c>
      <c r="FE33" s="197">
        <f t="shared" si="143"/>
        <v>130</v>
      </c>
      <c r="FF33" s="198" t="str">
        <f t="shared" si="144"/>
        <v>B</v>
      </c>
      <c r="FG33" s="199" t="str">
        <f>IF(AND(E33=""),"",IF('Student DATA Entry'!L29="","",'Student DATA Entry'!L29))</f>
        <v/>
      </c>
      <c r="FH33" s="200" t="str">
        <f>IF(AND(E33=""),"",IF('Student DATA Entry'!M29="","",'Student DATA Entry'!M29))</f>
        <v/>
      </c>
      <c r="FI33" s="201" t="str">
        <f t="shared" si="145"/>
        <v/>
      </c>
      <c r="FJ33" s="188" t="str">
        <f t="shared" si="146"/>
        <v/>
      </c>
      <c r="FK33" s="188" t="str">
        <f t="shared" si="147"/>
        <v/>
      </c>
      <c r="FL33" s="202" t="str">
        <f t="shared" si="19"/>
        <v/>
      </c>
      <c r="FM33" s="188" t="str">
        <f t="shared" si="148"/>
        <v/>
      </c>
      <c r="FN33" s="203" t="str">
        <f t="shared" si="149"/>
        <v/>
      </c>
      <c r="FO33" s="202" t="str">
        <f t="shared" si="20"/>
        <v/>
      </c>
      <c r="FP33" s="204" t="str">
        <f t="shared" si="150"/>
        <v>II</v>
      </c>
      <c r="FQ33" s="188" t="str">
        <f t="shared" si="21"/>
        <v>II</v>
      </c>
      <c r="FR33" s="188" t="str">
        <f t="shared" si="22"/>
        <v/>
      </c>
      <c r="FS33" s="188" t="str">
        <f t="shared" si="23"/>
        <v/>
      </c>
      <c r="FT33" s="188" t="str">
        <f t="shared" si="24"/>
        <v/>
      </c>
      <c r="FU33" s="188" t="str">
        <f t="shared" si="151"/>
        <v/>
      </c>
      <c r="FV33" s="205" t="str">
        <f t="shared" si="25"/>
        <v/>
      </c>
      <c r="FW33" s="204" t="str">
        <f t="shared" si="152"/>
        <v>II</v>
      </c>
      <c r="FX33" s="188" t="str">
        <f t="shared" si="26"/>
        <v/>
      </c>
      <c r="FY33" s="188" t="str">
        <f t="shared" si="27"/>
        <v>II</v>
      </c>
      <c r="FZ33" s="188" t="str">
        <f t="shared" si="28"/>
        <v/>
      </c>
      <c r="GA33" s="188" t="str">
        <f t="shared" si="29"/>
        <v/>
      </c>
      <c r="GB33" s="188" t="str">
        <f t="shared" si="153"/>
        <v/>
      </c>
      <c r="GC33" s="205" t="str">
        <f t="shared" si="30"/>
        <v/>
      </c>
      <c r="GD33" s="204" t="str">
        <f t="shared" si="154"/>
        <v/>
      </c>
      <c r="GE33" s="188" t="str">
        <f t="shared" si="31"/>
        <v/>
      </c>
      <c r="GF33" s="188" t="str">
        <f t="shared" si="32"/>
        <v/>
      </c>
      <c r="GG33" s="188" t="str">
        <f t="shared" si="33"/>
        <v/>
      </c>
      <c r="GH33" s="188" t="str">
        <f t="shared" si="34"/>
        <v/>
      </c>
      <c r="GI33" s="188" t="str">
        <f t="shared" si="155"/>
        <v/>
      </c>
      <c r="GJ33" s="205" t="str">
        <f t="shared" si="35"/>
        <v/>
      </c>
      <c r="GK33" s="204" t="str">
        <f t="shared" si="156"/>
        <v/>
      </c>
      <c r="GL33" s="188" t="str">
        <f t="shared" si="36"/>
        <v/>
      </c>
      <c r="GM33" s="188" t="str">
        <f t="shared" si="37"/>
        <v/>
      </c>
      <c r="GN33" s="188" t="str">
        <f t="shared" si="38"/>
        <v/>
      </c>
      <c r="GO33" s="188" t="str">
        <f t="shared" si="39"/>
        <v/>
      </c>
      <c r="GP33" s="188" t="str">
        <f t="shared" si="157"/>
        <v/>
      </c>
      <c r="GQ33" s="205" t="str">
        <f t="shared" si="40"/>
        <v/>
      </c>
      <c r="GR33" s="188" t="str">
        <f t="shared" si="158"/>
        <v>A</v>
      </c>
      <c r="GS33" s="188" t="str">
        <f t="shared" si="159"/>
        <v>B</v>
      </c>
      <c r="GT33" s="206" t="str">
        <f t="shared" si="177"/>
        <v xml:space="preserve">    </v>
      </c>
      <c r="GU33" s="206" t="str">
        <f t="shared" si="160"/>
        <v xml:space="preserve">    </v>
      </c>
      <c r="GV33" s="206" t="str">
        <f t="shared" si="161"/>
        <v xml:space="preserve">    </v>
      </c>
      <c r="GW33" s="206" t="str">
        <f t="shared" si="162"/>
        <v xml:space="preserve">       </v>
      </c>
      <c r="GX33" s="598" t="str">
        <f t="shared" si="163"/>
        <v xml:space="preserve">     </v>
      </c>
      <c r="GY33" s="207" t="str">
        <f t="shared" si="164"/>
        <v/>
      </c>
      <c r="GZ33" s="606">
        <f>IF(AND(Q33="",AE33="",AZ33="",BW33="",CT33=""),"",IF(AND('Master Sheet'!$D$19="YES",'Marks Entry'!$BA$1=1),SUM(Q33,AE33,AZ33,BW33,DT33),SUM(Q33,AE33,AZ33,BW33,CT33)))</f>
        <v>487</v>
      </c>
      <c r="HA33" s="208">
        <f>IF(GZ33="","",IF(AND('Master Sheet'!$D$19="YES",'Marks Entry'!$BA$1=1),GZ33/((900)-DC33)*100,GZ33/((1000)-DC33)*100))</f>
        <v>48.699999999999996</v>
      </c>
      <c r="HB33" s="611" t="str">
        <f t="shared" si="165"/>
        <v/>
      </c>
      <c r="HC33" s="609" t="str">
        <f t="shared" si="166"/>
        <v/>
      </c>
      <c r="HD33" s="610" t="str">
        <f t="shared" si="167"/>
        <v/>
      </c>
      <c r="HE33" s="209" t="str">
        <f>IFERROR(IF(OR(GY33="SUPPLEMENTARY",GY33="RE-EXAM"),'Supp. Result Entry'!AS32,""),"")</f>
        <v/>
      </c>
      <c r="HF33" s="613" t="str">
        <f t="shared" si="168"/>
        <v/>
      </c>
      <c r="HG33" s="598" t="str">
        <f t="shared" si="169"/>
        <v/>
      </c>
      <c r="HH33" s="598" t="str">
        <f>IF(AND(HE33="",HF33="",HG33=""),"",IF(OR(GY33="SUPPLEMENTARY",GY33="RE-EXAM"),'Supp. Result Entry'!AS32,GY33))</f>
        <v/>
      </c>
      <c r="HI33" s="179"/>
      <c r="HY33" s="211" t="str">
        <f>IF('Supp. Result Entry'!U32="","",'Supp. Result Entry'!$U$6)</f>
        <v/>
      </c>
      <c r="HZ33" s="212" t="str">
        <f>IF('Supp. Result Entry'!X32="","",'Supp. Result Entry'!$X$6)</f>
        <v/>
      </c>
      <c r="IA33" s="212" t="str">
        <f>IF('Supp. Result Entry'!AA32="","",'Supp. Result Entry'!$AA$6)</f>
        <v/>
      </c>
      <c r="IB33" s="212" t="str">
        <f>IF('Supp. Result Entry'!AD32="","",'Supp. Result Entry'!$AD$6)</f>
        <v/>
      </c>
      <c r="IC33" s="212" t="str">
        <f>IF('Supp. Result Entry'!AG32="","",'Supp. Result Entry'!$AG$6)</f>
        <v/>
      </c>
      <c r="ID33" s="212" t="str">
        <f>IF('Supp. Result Entry'!AJ32="","",'Supp. Result Entry'!$AJ$6)</f>
        <v/>
      </c>
      <c r="IE33" s="212" t="str">
        <f>IF('Supp. Result Entry'!V32="","",'Supp. Result Entry'!V32)</f>
        <v/>
      </c>
      <c r="IF33" s="212" t="str">
        <f>IF('Supp. Result Entry'!Y32="","",'Supp. Result Entry'!Y32)</f>
        <v/>
      </c>
      <c r="IG33" s="212" t="str">
        <f>IF('Supp. Result Entry'!AB32="","",'Supp. Result Entry'!AB32)</f>
        <v/>
      </c>
      <c r="IH33" s="212" t="str">
        <f>IF('Supp. Result Entry'!AE32="","",'Supp. Result Entry'!AE32)</f>
        <v/>
      </c>
      <c r="II33" s="212" t="str">
        <f>IF('Supp. Result Entry'!AH32="","",'Supp. Result Entry'!AH32)</f>
        <v/>
      </c>
      <c r="IJ33" s="212" t="str">
        <f>IF('Supp. Result Entry'!AK32="","",'Supp. Result Entry'!AK32)</f>
        <v/>
      </c>
      <c r="IK33" s="212" t="str">
        <f>IF('Supp. Result Entry'!W32="","",'Supp. Result Entry'!W32)</f>
        <v/>
      </c>
      <c r="IL33" s="212" t="str">
        <f>IF('Supp. Result Entry'!Z32="","",'Supp. Result Entry'!Z32)</f>
        <v/>
      </c>
      <c r="IM33" s="212" t="str">
        <f>IF('Supp. Result Entry'!AC32="","",'Supp. Result Entry'!AC32)</f>
        <v/>
      </c>
      <c r="IN33" s="212" t="str">
        <f>IF('Supp. Result Entry'!AF32="","",'Supp. Result Entry'!AF32)</f>
        <v/>
      </c>
      <c r="IO33" s="212" t="str">
        <f>IF('Supp. Result Entry'!AI32="","",'Supp. Result Entry'!AI32)</f>
        <v/>
      </c>
      <c r="IP33" s="212" t="str">
        <f>IF('Supp. Result Entry'!AL32="","",'Supp. Result Entry'!AL32)</f>
        <v/>
      </c>
      <c r="IQ33" s="212">
        <f>COUNTIF('Supp. Result Entry'!K32:Q32,"S")</f>
        <v>0</v>
      </c>
      <c r="IR33" s="212">
        <f t="shared" si="170"/>
        <v>0</v>
      </c>
      <c r="IS33" s="212">
        <f t="shared" si="171"/>
        <v>0</v>
      </c>
      <c r="IT33" s="212" t="str">
        <f t="shared" si="41"/>
        <v/>
      </c>
      <c r="IU33" s="212" t="str">
        <f t="shared" si="42"/>
        <v/>
      </c>
      <c r="IV33" s="212" t="str">
        <f t="shared" si="43"/>
        <v/>
      </c>
      <c r="IW33" s="212" t="str">
        <f t="shared" si="44"/>
        <v/>
      </c>
      <c r="IX33" s="212" t="str">
        <f t="shared" si="45"/>
        <v/>
      </c>
      <c r="IY33" s="212" t="str">
        <f t="shared" si="172"/>
        <v/>
      </c>
      <c r="IZ33" s="212" t="str">
        <f t="shared" si="173"/>
        <v/>
      </c>
      <c r="JA33" s="212" t="str">
        <f t="shared" si="46"/>
        <v/>
      </c>
      <c r="JB33" s="210" t="str">
        <f t="shared" si="174"/>
        <v/>
      </c>
    </row>
    <row r="34" spans="1:262" s="210" customFormat="1" ht="21" customHeight="1">
      <c r="A34" s="183">
        <v>27</v>
      </c>
      <c r="B34" s="184" t="str">
        <f>IF('Marks Entry'!B34="","",'Marks Entry'!B34)</f>
        <v/>
      </c>
      <c r="C34" s="185" t="str">
        <f>IF('Marks Entry'!D34="","",'Marks Entry'!D34)</f>
        <v/>
      </c>
      <c r="D34" s="186" t="str">
        <f>IF('Marks Entry'!E34="","",'Marks Entry'!E34)</f>
        <v/>
      </c>
      <c r="E34" s="187" t="str">
        <f>IF('Marks Entry'!F34="","",'Marks Entry'!F34)</f>
        <v/>
      </c>
      <c r="F34" s="187" t="str">
        <f>IF('Marks Entry'!G34="","",'Marks Entry'!G34)</f>
        <v/>
      </c>
      <c r="G34" s="187" t="str">
        <f>IF('Marks Entry'!H34="","",'Marks Entry'!H34)</f>
        <v/>
      </c>
      <c r="H34" s="188" t="str">
        <f>IF('Marks Entry'!I34="","",'Marks Entry'!I34)</f>
        <v/>
      </c>
      <c r="I34" s="189" t="str">
        <f>IF('Marks Entry'!J34="","",'Marks Entry'!J34)</f>
        <v/>
      </c>
      <c r="J34" s="545">
        <f>IF('Marks Entry'!K34="","",'Marks Entry'!K34)</f>
        <v>15</v>
      </c>
      <c r="K34" s="545">
        <f>IF('Marks Entry'!L34="","",'Marks Entry'!L34)</f>
        <v>8</v>
      </c>
      <c r="L34" s="545">
        <f>IF('Marks Entry'!M34="","",'Marks Entry'!M34)</f>
        <v>8</v>
      </c>
      <c r="M34" s="546">
        <f t="shared" si="47"/>
        <v>31</v>
      </c>
      <c r="N34" s="545">
        <f>IF('Marks Entry'!N34="","",'Marks Entry'!N34)</f>
        <v>28</v>
      </c>
      <c r="O34" s="546">
        <f t="shared" si="48"/>
        <v>59</v>
      </c>
      <c r="P34" s="545">
        <f>IF('Marks Entry'!O34="","",'Marks Entry'!O34)</f>
        <v>50</v>
      </c>
      <c r="Q34" s="547">
        <f t="shared" si="49"/>
        <v>109</v>
      </c>
      <c r="R34" s="152">
        <f t="shared" si="50"/>
        <v>0</v>
      </c>
      <c r="S34" s="152">
        <f t="shared" si="51"/>
        <v>0</v>
      </c>
      <c r="T34" s="153">
        <f t="shared" si="52"/>
        <v>200</v>
      </c>
      <c r="U34" s="152" t="str">
        <f t="shared" si="53"/>
        <v/>
      </c>
      <c r="V34" s="152" t="str">
        <f t="shared" si="54"/>
        <v/>
      </c>
      <c r="W34" s="152" t="str">
        <f t="shared" si="55"/>
        <v/>
      </c>
      <c r="X34" s="545">
        <f>IF('Marks Entry'!P34="","",'Marks Entry'!P34)</f>
        <v>9</v>
      </c>
      <c r="Y34" s="545">
        <f>IF('Marks Entry'!Q34="","",'Marks Entry'!Q34)</f>
        <v>10</v>
      </c>
      <c r="Z34" s="545">
        <f>IF('Marks Entry'!R34="","",'Marks Entry'!R34)</f>
        <v>9</v>
      </c>
      <c r="AA34" s="546">
        <f t="shared" si="56"/>
        <v>28</v>
      </c>
      <c r="AB34" s="545">
        <f>IF('Marks Entry'!S34="","",'Marks Entry'!S34)</f>
        <v>31</v>
      </c>
      <c r="AC34" s="546">
        <f t="shared" si="57"/>
        <v>59</v>
      </c>
      <c r="AD34" s="545">
        <f>IF('Marks Entry'!T34="","",'Marks Entry'!T34)</f>
        <v>69</v>
      </c>
      <c r="AE34" s="547">
        <f t="shared" si="58"/>
        <v>128</v>
      </c>
      <c r="AF34" s="152">
        <f t="shared" si="59"/>
        <v>0</v>
      </c>
      <c r="AG34" s="152">
        <f t="shared" si="60"/>
        <v>0</v>
      </c>
      <c r="AH34" s="153">
        <f t="shared" si="61"/>
        <v>200</v>
      </c>
      <c r="AI34" s="152" t="str">
        <f t="shared" si="62"/>
        <v/>
      </c>
      <c r="AJ34" s="152" t="str">
        <f t="shared" si="63"/>
        <v/>
      </c>
      <c r="AK34" s="152" t="str">
        <f t="shared" si="64"/>
        <v/>
      </c>
      <c r="AL34" s="573" t="str">
        <f>IF('Marks Entry'!U34="","",'Marks Entry'!U34)</f>
        <v>A</v>
      </c>
      <c r="AM34" s="573">
        <f>IF('Marks Entry'!V34="","",'Marks Entry'!V34)</f>
        <v>7</v>
      </c>
      <c r="AN34" s="573">
        <f>IF('Marks Entry'!W34="","",'Marks Entry'!W34)</f>
        <v>9</v>
      </c>
      <c r="AO34" s="573">
        <f>IF('Marks Entry'!X34="","",'Marks Entry'!X34)</f>
        <v>7</v>
      </c>
      <c r="AP34" s="572">
        <f t="shared" si="65"/>
        <v>23</v>
      </c>
      <c r="AQ34" s="573">
        <f>IF('Marks Entry'!Y34="","",'Marks Entry'!Y34)</f>
        <v>39</v>
      </c>
      <c r="AR34" s="573" t="str">
        <f>IF('Marks Entry'!Z34="","",'Marks Entry'!Z34)</f>
        <v/>
      </c>
      <c r="AS34" s="572">
        <f t="shared" si="66"/>
        <v>39</v>
      </c>
      <c r="AT34" s="572">
        <f t="shared" si="67"/>
        <v>62</v>
      </c>
      <c r="AU34" s="573">
        <f>IF('Marks Entry'!AA34="","",'Marks Entry'!AA34)</f>
        <v>58</v>
      </c>
      <c r="AV34" s="573" t="str">
        <f>IF('Marks Entry'!AB34="","",'Marks Entry'!AB34)</f>
        <v/>
      </c>
      <c r="AW34" s="572">
        <f t="shared" si="68"/>
        <v>58</v>
      </c>
      <c r="AX34" s="156">
        <f t="shared" si="69"/>
        <v>120</v>
      </c>
      <c r="AY34" s="156" t="str">
        <f t="shared" si="70"/>
        <v/>
      </c>
      <c r="AZ34" s="191">
        <f t="shared" si="71"/>
        <v>120</v>
      </c>
      <c r="BA34" s="152">
        <f t="shared" si="72"/>
        <v>0</v>
      </c>
      <c r="BB34" s="153">
        <f t="shared" si="73"/>
        <v>0</v>
      </c>
      <c r="BC34" s="153">
        <f t="shared" si="74"/>
        <v>100</v>
      </c>
      <c r="BD34" s="153" t="str">
        <f t="shared" si="75"/>
        <v/>
      </c>
      <c r="BE34" s="153">
        <f t="shared" si="76"/>
        <v>200</v>
      </c>
      <c r="BF34" s="152" t="str">
        <f t="shared" si="77"/>
        <v/>
      </c>
      <c r="BG34" s="153" t="str">
        <f t="shared" si="175"/>
        <v>P</v>
      </c>
      <c r="BH34" s="152" t="str">
        <f t="shared" si="78"/>
        <v>I</v>
      </c>
      <c r="BI34" s="580" t="str">
        <f>IF('Marks Entry'!AC34="","",'Marks Entry'!AC34)</f>
        <v>B</v>
      </c>
      <c r="BJ34" s="580">
        <f>IF('Marks Entry'!AD34="","",'Marks Entry'!AD34)</f>
        <v>16</v>
      </c>
      <c r="BK34" s="580">
        <f>IF('Marks Entry'!AE34="","",'Marks Entry'!AE34)</f>
        <v>15</v>
      </c>
      <c r="BL34" s="580" t="str">
        <f>IF('Marks Entry'!AF34="","",'Marks Entry'!AF34)</f>
        <v/>
      </c>
      <c r="BM34" s="581">
        <f t="shared" si="79"/>
        <v>31</v>
      </c>
      <c r="BN34" s="580">
        <f>IF('Marks Entry'!AG34="","",'Marks Entry'!AG34)</f>
        <v>41</v>
      </c>
      <c r="BO34" s="580" t="str">
        <f>IF('Marks Entry'!AH34="","",'Marks Entry'!AH34)</f>
        <v/>
      </c>
      <c r="BP34" s="581">
        <f t="shared" si="80"/>
        <v>41</v>
      </c>
      <c r="BQ34" s="581">
        <f t="shared" si="81"/>
        <v>72</v>
      </c>
      <c r="BR34" s="580">
        <f>IF('Marks Entry'!AI34="","",'Marks Entry'!AI34)</f>
        <v>47</v>
      </c>
      <c r="BS34" s="580" t="str">
        <f>IF('Marks Entry'!AJ34="","",'Marks Entry'!AJ34)</f>
        <v/>
      </c>
      <c r="BT34" s="581">
        <f t="shared" si="82"/>
        <v>47</v>
      </c>
      <c r="BU34" s="156">
        <f t="shared" si="83"/>
        <v>119</v>
      </c>
      <c r="BV34" s="156" t="str">
        <f t="shared" si="84"/>
        <v/>
      </c>
      <c r="BW34" s="191">
        <f t="shared" si="85"/>
        <v>119</v>
      </c>
      <c r="BX34" s="152">
        <f t="shared" si="86"/>
        <v>0</v>
      </c>
      <c r="BY34" s="153">
        <f t="shared" si="87"/>
        <v>0</v>
      </c>
      <c r="BZ34" s="153">
        <f t="shared" si="88"/>
        <v>100</v>
      </c>
      <c r="CA34" s="153" t="str">
        <f t="shared" si="89"/>
        <v/>
      </c>
      <c r="CB34" s="153">
        <f t="shared" si="90"/>
        <v>200</v>
      </c>
      <c r="CC34" s="152" t="str">
        <f t="shared" si="91"/>
        <v/>
      </c>
      <c r="CD34" s="153" t="str">
        <f t="shared" si="92"/>
        <v>P</v>
      </c>
      <c r="CE34" s="152" t="str">
        <f t="shared" si="93"/>
        <v>II</v>
      </c>
      <c r="CF34" s="580" t="str">
        <f>IF('Marks Entry'!AK34="","",'Marks Entry'!AK34)</f>
        <v>B</v>
      </c>
      <c r="CG34" s="580">
        <f>IF('Marks Entry'!AL34="","",'Marks Entry'!AL34)</f>
        <v>14</v>
      </c>
      <c r="CH34" s="580">
        <f>IF('Marks Entry'!AM34="","",'Marks Entry'!AM34)</f>
        <v>14</v>
      </c>
      <c r="CI34" s="580" t="str">
        <f>IF('Marks Entry'!AN34="","",'Marks Entry'!AN34)</f>
        <v/>
      </c>
      <c r="CJ34" s="581">
        <f t="shared" si="94"/>
        <v>28</v>
      </c>
      <c r="CK34" s="580" t="str">
        <f>IF('Marks Entry'!AO34="","",'Marks Entry'!AO34)</f>
        <v/>
      </c>
      <c r="CL34" s="580" t="str">
        <f>IF('Marks Entry'!AP34="","",'Marks Entry'!AP34)</f>
        <v/>
      </c>
      <c r="CM34" s="581" t="str">
        <f t="shared" si="95"/>
        <v/>
      </c>
      <c r="CN34" s="581">
        <f t="shared" si="96"/>
        <v>28</v>
      </c>
      <c r="CO34" s="580" t="str">
        <f>IF('Marks Entry'!AQ34="","",'Marks Entry'!AQ34)</f>
        <v/>
      </c>
      <c r="CP34" s="580" t="str">
        <f>IF('Marks Entry'!AR34="","",'Marks Entry'!AR34)</f>
        <v/>
      </c>
      <c r="CQ34" s="581" t="str">
        <f t="shared" si="97"/>
        <v/>
      </c>
      <c r="CR34" s="156">
        <f t="shared" si="98"/>
        <v>28</v>
      </c>
      <c r="CS34" s="156" t="str">
        <f t="shared" si="99"/>
        <v/>
      </c>
      <c r="CT34" s="191">
        <f t="shared" si="100"/>
        <v>28</v>
      </c>
      <c r="CU34" s="152">
        <f t="shared" si="101"/>
        <v>0</v>
      </c>
      <c r="CV34" s="153">
        <f t="shared" si="102"/>
        <v>0</v>
      </c>
      <c r="CW34" s="153">
        <f t="shared" si="103"/>
        <v>100</v>
      </c>
      <c r="CX34" s="153" t="str">
        <f t="shared" si="104"/>
        <v/>
      </c>
      <c r="CY34" s="153">
        <f t="shared" si="176"/>
        <v>200</v>
      </c>
      <c r="CZ34" s="152" t="str">
        <f t="shared" si="105"/>
        <v/>
      </c>
      <c r="DA34" s="153" t="str">
        <f t="shared" si="106"/>
        <v/>
      </c>
      <c r="DB34" s="152" t="str">
        <f t="shared" si="107"/>
        <v/>
      </c>
      <c r="DC34" s="153">
        <f t="shared" si="108"/>
        <v>0</v>
      </c>
      <c r="DD34" s="851" t="str">
        <f>IF('Marks Entry'!AS34="","",IF(OR('Master Sheet'!$D$19="YES",'Marks Entry'!$BA$1=1),'Marks Entry'!AS34,""))</f>
        <v/>
      </c>
      <c r="DE34" s="851" t="str">
        <f>IF('Marks Entry'!AT34="","",IF(OR('Master Sheet'!$D$19="YES",'Marks Entry'!$BA$1=1),'Marks Entry'!AT34,""))</f>
        <v/>
      </c>
      <c r="DF34" s="851" t="str">
        <f>IF('Marks Entry'!AU34="","",IF(OR('Master Sheet'!$D$19="YES",'Marks Entry'!$BA$1=1),'Marks Entry'!AU34,""))</f>
        <v/>
      </c>
      <c r="DG34" s="851" t="str">
        <f>IF('Marks Entry'!AV34="","",IF(OR('Master Sheet'!$D$19="YES",'Marks Entry'!$BA$1=1),'Marks Entry'!AV34,""))</f>
        <v/>
      </c>
      <c r="DH34" s="852" t="str">
        <f t="shared" si="109"/>
        <v/>
      </c>
      <c r="DI34" s="851" t="str">
        <f>IF('Marks Entry'!AW34="","",IF(OR('Master Sheet'!$D$19="YES",'Marks Entry'!$BA$1=1),'Marks Entry'!AW34,""))</f>
        <v/>
      </c>
      <c r="DJ34" s="851" t="str">
        <f>IF('Marks Entry'!AX34="","",IF(OR('Master Sheet'!$D$19="YES",'Marks Entry'!$BA$1=1),'Marks Entry'!AX34,""))</f>
        <v/>
      </c>
      <c r="DK34" s="852" t="str">
        <f t="shared" si="110"/>
        <v/>
      </c>
      <c r="DL34" s="852" t="str">
        <f t="shared" si="111"/>
        <v/>
      </c>
      <c r="DM34" s="851" t="str">
        <f>IF('Marks Entry'!AY34="","",IF(OR('Master Sheet'!$D$19="YES",'Marks Entry'!$BA$1=1),'Marks Entry'!AY34,""))</f>
        <v/>
      </c>
      <c r="DN34" s="851" t="str">
        <f>IF('Marks Entry'!AZ34="","",IF(OR('Master Sheet'!$D$19="YES",'Marks Entry'!$BA$1=1),'Marks Entry'!AZ34,""))</f>
        <v/>
      </c>
      <c r="DO34" s="851" t="str">
        <f>IF('Marks Entry'!BA34="","",IF(OR('Master Sheet'!$D$19="YES",'Marks Entry'!$BA$1=1),'Marks Entry'!BA34,""))</f>
        <v/>
      </c>
      <c r="DP34" s="852" t="str">
        <f t="shared" si="112"/>
        <v/>
      </c>
      <c r="DQ34" s="156" t="str">
        <f t="shared" si="113"/>
        <v/>
      </c>
      <c r="DR34" s="156" t="str">
        <f t="shared" si="114"/>
        <v/>
      </c>
      <c r="DS34" s="156" t="str">
        <f t="shared" si="115"/>
        <v/>
      </c>
      <c r="DT34" s="191" t="str">
        <f t="shared" si="116"/>
        <v/>
      </c>
      <c r="DU34" s="152">
        <f t="shared" si="117"/>
        <v>0</v>
      </c>
      <c r="DV34" s="153">
        <f t="shared" si="118"/>
        <v>0</v>
      </c>
      <c r="DW34" s="153" t="str">
        <f t="shared" si="119"/>
        <v/>
      </c>
      <c r="DX34" s="153" t="str">
        <f>IF(OR($B34="NSO",$B34=0,DS34=""),"",IF(AND(DJ34="",DO34=""),"",IF('Master Sheet'!$D$19="YES",$DO$6-COUNTIF(DO34,"ML")*DO$6,DS$6-(COUNTIF(DJ34,"ML")*DJ$6)-(COUNTIF(DO34,"ML")*DO$6))))</f>
        <v/>
      </c>
      <c r="DY34" s="153" t="str">
        <f>IF(OR($B34="NSO",$B34=0),"",IF(AND(DH34="",DI34="",DM34=""),"",IF(AND('Master Sheet'!$D$19="YES",'Marks Entry'!$BA$1=1),100,IF(AND(DJ34="",DO34=""),SUM(($DQ$7+$DR$7)-(DU34+DV34)),SUM(($DQ$6+$DR$6)-(DU34+DV34))))))</f>
        <v/>
      </c>
      <c r="DZ34" s="152" t="str">
        <f t="shared" si="120"/>
        <v/>
      </c>
      <c r="EA34" s="153" t="str">
        <f t="shared" si="121"/>
        <v/>
      </c>
      <c r="EB34" s="152" t="str">
        <f t="shared" si="122"/>
        <v/>
      </c>
      <c r="EC34" s="584">
        <f>IF('Marks Entry'!BB34="","",'Marks Entry'!BB34)</f>
        <v>20</v>
      </c>
      <c r="ED34" s="584">
        <f>IF('Marks Entry'!BC34="","",'Marks Entry'!BC34)</f>
        <v>30</v>
      </c>
      <c r="EE34" s="584">
        <f>IF('Marks Entry'!BD34="","",'Marks Entry'!BD34)</f>
        <v>32</v>
      </c>
      <c r="EF34" s="590">
        <f t="shared" si="123"/>
        <v>82</v>
      </c>
      <c r="EG34" s="595">
        <f t="shared" si="124"/>
        <v>0</v>
      </c>
      <c r="EH34" s="595">
        <f t="shared" si="125"/>
        <v>0</v>
      </c>
      <c r="EI34" s="192">
        <f t="shared" si="126"/>
        <v>100</v>
      </c>
      <c r="EJ34" s="595" t="str">
        <f t="shared" si="127"/>
        <v/>
      </c>
      <c r="EK34" s="595" t="str">
        <f t="shared" si="128"/>
        <v>A</v>
      </c>
      <c r="EL34" s="193" t="str">
        <f t="shared" si="129"/>
        <v/>
      </c>
      <c r="EM34" s="193" t="str">
        <f t="shared" si="130"/>
        <v/>
      </c>
      <c r="EN34" s="193" t="str">
        <f t="shared" si="131"/>
        <v>I</v>
      </c>
      <c r="EO34" s="193" t="str">
        <f t="shared" si="132"/>
        <v>II</v>
      </c>
      <c r="EP34" s="193" t="str">
        <f t="shared" si="133"/>
        <v/>
      </c>
      <c r="EQ34" s="193" t="str">
        <f t="shared" si="134"/>
        <v/>
      </c>
      <c r="ER34" s="194">
        <f t="shared" si="135"/>
        <v>0</v>
      </c>
      <c r="ES34" s="194">
        <f t="shared" si="136"/>
        <v>0</v>
      </c>
      <c r="ET34" s="194">
        <f t="shared" si="137"/>
        <v>0</v>
      </c>
      <c r="EU34" s="194">
        <f t="shared" si="138"/>
        <v>0</v>
      </c>
      <c r="EV34" s="194">
        <f t="shared" si="139"/>
        <v>0</v>
      </c>
      <c r="EW34" s="194" t="str">
        <f t="shared" si="140"/>
        <v/>
      </c>
      <c r="EX34" s="195" t="str">
        <f t="shared" si="141"/>
        <v/>
      </c>
      <c r="EY34" s="196">
        <f>IF('Marks Entry'!BE34="","",'Marks Entry'!BE34)</f>
        <v>7</v>
      </c>
      <c r="EZ34" s="196">
        <f>IF('Marks Entry'!BF34="","",'Marks Entry'!BF34)</f>
        <v>7</v>
      </c>
      <c r="FA34" s="196">
        <f>IF('Marks Entry'!BG34="","",'Marks Entry'!BG34)</f>
        <v>7</v>
      </c>
      <c r="FB34" s="596">
        <f t="shared" si="142"/>
        <v>21</v>
      </c>
      <c r="FC34" s="196">
        <f>IF('Marks Entry'!BH34="","",'Marks Entry'!BH34)</f>
        <v>41</v>
      </c>
      <c r="FD34" s="196">
        <f>IF('Marks Entry'!BI34="","",'Marks Entry'!BI34)</f>
        <v>68</v>
      </c>
      <c r="FE34" s="197">
        <f t="shared" si="143"/>
        <v>130</v>
      </c>
      <c r="FF34" s="198" t="str">
        <f t="shared" si="144"/>
        <v>B</v>
      </c>
      <c r="FG34" s="199" t="str">
        <f>IF(AND(E34=""),"",IF('Student DATA Entry'!L30="","",'Student DATA Entry'!L30))</f>
        <v/>
      </c>
      <c r="FH34" s="200" t="str">
        <f>IF(AND(E34=""),"",IF('Student DATA Entry'!M30="","",'Student DATA Entry'!M30))</f>
        <v/>
      </c>
      <c r="FI34" s="201" t="str">
        <f t="shared" si="145"/>
        <v/>
      </c>
      <c r="FJ34" s="188" t="str">
        <f t="shared" si="146"/>
        <v/>
      </c>
      <c r="FK34" s="188" t="str">
        <f t="shared" si="147"/>
        <v/>
      </c>
      <c r="FL34" s="202" t="str">
        <f t="shared" si="19"/>
        <v/>
      </c>
      <c r="FM34" s="188" t="str">
        <f t="shared" si="148"/>
        <v/>
      </c>
      <c r="FN34" s="203" t="str">
        <f t="shared" si="149"/>
        <v/>
      </c>
      <c r="FO34" s="202" t="str">
        <f t="shared" si="20"/>
        <v/>
      </c>
      <c r="FP34" s="204" t="str">
        <f t="shared" si="150"/>
        <v>I</v>
      </c>
      <c r="FQ34" s="188" t="str">
        <f t="shared" si="21"/>
        <v>I</v>
      </c>
      <c r="FR34" s="188" t="str">
        <f t="shared" si="22"/>
        <v/>
      </c>
      <c r="FS34" s="188" t="str">
        <f t="shared" si="23"/>
        <v/>
      </c>
      <c r="FT34" s="188" t="str">
        <f t="shared" si="24"/>
        <v/>
      </c>
      <c r="FU34" s="188" t="str">
        <f t="shared" si="151"/>
        <v/>
      </c>
      <c r="FV34" s="205" t="str">
        <f t="shared" si="25"/>
        <v/>
      </c>
      <c r="FW34" s="204" t="str">
        <f t="shared" si="152"/>
        <v>II</v>
      </c>
      <c r="FX34" s="188" t="str">
        <f t="shared" si="26"/>
        <v/>
      </c>
      <c r="FY34" s="188" t="str">
        <f t="shared" si="27"/>
        <v>II</v>
      </c>
      <c r="FZ34" s="188" t="str">
        <f t="shared" si="28"/>
        <v/>
      </c>
      <c r="GA34" s="188" t="str">
        <f t="shared" si="29"/>
        <v/>
      </c>
      <c r="GB34" s="188" t="str">
        <f t="shared" si="153"/>
        <v/>
      </c>
      <c r="GC34" s="205" t="str">
        <f t="shared" si="30"/>
        <v/>
      </c>
      <c r="GD34" s="204" t="str">
        <f t="shared" si="154"/>
        <v/>
      </c>
      <c r="GE34" s="188" t="str">
        <f t="shared" si="31"/>
        <v/>
      </c>
      <c r="GF34" s="188" t="str">
        <f t="shared" si="32"/>
        <v/>
      </c>
      <c r="GG34" s="188" t="str">
        <f t="shared" si="33"/>
        <v/>
      </c>
      <c r="GH34" s="188" t="str">
        <f t="shared" si="34"/>
        <v/>
      </c>
      <c r="GI34" s="188" t="str">
        <f t="shared" si="155"/>
        <v/>
      </c>
      <c r="GJ34" s="205" t="str">
        <f t="shared" si="35"/>
        <v/>
      </c>
      <c r="GK34" s="204" t="str">
        <f t="shared" si="156"/>
        <v/>
      </c>
      <c r="GL34" s="188" t="str">
        <f t="shared" si="36"/>
        <v/>
      </c>
      <c r="GM34" s="188" t="str">
        <f t="shared" si="37"/>
        <v/>
      </c>
      <c r="GN34" s="188" t="str">
        <f t="shared" si="38"/>
        <v/>
      </c>
      <c r="GO34" s="188" t="str">
        <f t="shared" si="39"/>
        <v/>
      </c>
      <c r="GP34" s="188" t="str">
        <f t="shared" si="157"/>
        <v/>
      </c>
      <c r="GQ34" s="205" t="str">
        <f t="shared" si="40"/>
        <v/>
      </c>
      <c r="GR34" s="188" t="str">
        <f t="shared" si="158"/>
        <v>A</v>
      </c>
      <c r="GS34" s="188" t="str">
        <f t="shared" si="159"/>
        <v>B</v>
      </c>
      <c r="GT34" s="206" t="str">
        <f t="shared" si="177"/>
        <v xml:space="preserve">    </v>
      </c>
      <c r="GU34" s="206" t="str">
        <f t="shared" si="160"/>
        <v xml:space="preserve">    </v>
      </c>
      <c r="GV34" s="206" t="str">
        <f t="shared" si="161"/>
        <v xml:space="preserve">    </v>
      </c>
      <c r="GW34" s="206" t="str">
        <f t="shared" si="162"/>
        <v xml:space="preserve">       </v>
      </c>
      <c r="GX34" s="598" t="str">
        <f t="shared" si="163"/>
        <v xml:space="preserve">     </v>
      </c>
      <c r="GY34" s="207" t="str">
        <f t="shared" si="164"/>
        <v/>
      </c>
      <c r="GZ34" s="606">
        <f>IF(AND(Q34="",AE34="",AZ34="",BW34="",CT34=""),"",IF(AND('Master Sheet'!$D$19="YES",'Marks Entry'!$BA$1=1),SUM(Q34,AE34,AZ34,BW34,DT34),SUM(Q34,AE34,AZ34,BW34,CT34)))</f>
        <v>504</v>
      </c>
      <c r="HA34" s="208">
        <f>IF(GZ34="","",IF(AND('Master Sheet'!$D$19="YES",'Marks Entry'!$BA$1=1),GZ34/((900)-DC34)*100,GZ34/((1000)-DC34)*100))</f>
        <v>50.4</v>
      </c>
      <c r="HB34" s="611" t="str">
        <f t="shared" si="165"/>
        <v/>
      </c>
      <c r="HC34" s="609" t="str">
        <f t="shared" si="166"/>
        <v/>
      </c>
      <c r="HD34" s="610" t="str">
        <f t="shared" si="167"/>
        <v/>
      </c>
      <c r="HE34" s="209" t="str">
        <f>IFERROR(IF(OR(GY34="SUPPLEMENTARY",GY34="RE-EXAM"),'Supp. Result Entry'!AS33,""),"")</f>
        <v/>
      </c>
      <c r="HF34" s="613" t="str">
        <f t="shared" si="168"/>
        <v/>
      </c>
      <c r="HG34" s="598" t="str">
        <f t="shared" si="169"/>
        <v/>
      </c>
      <c r="HH34" s="598" t="str">
        <f>IF(AND(HE34="",HF34="",HG34=""),"",IF(OR(GY34="SUPPLEMENTARY",GY34="RE-EXAM"),'Supp. Result Entry'!AS33,GY34))</f>
        <v/>
      </c>
      <c r="HI34" s="179"/>
      <c r="HY34" s="211" t="str">
        <f>IF('Supp. Result Entry'!U33="","",'Supp. Result Entry'!$U$6)</f>
        <v/>
      </c>
      <c r="HZ34" s="212" t="str">
        <f>IF('Supp. Result Entry'!X33="","",'Supp. Result Entry'!$X$6)</f>
        <v/>
      </c>
      <c r="IA34" s="212" t="str">
        <f>IF('Supp. Result Entry'!AA33="","",'Supp. Result Entry'!$AA$6)</f>
        <v/>
      </c>
      <c r="IB34" s="212" t="str">
        <f>IF('Supp. Result Entry'!AD33="","",'Supp. Result Entry'!$AD$6)</f>
        <v/>
      </c>
      <c r="IC34" s="212" t="str">
        <f>IF('Supp. Result Entry'!AG33="","",'Supp. Result Entry'!$AG$6)</f>
        <v/>
      </c>
      <c r="ID34" s="212" t="str">
        <f>IF('Supp. Result Entry'!AJ33="","",'Supp. Result Entry'!$AJ$6)</f>
        <v/>
      </c>
      <c r="IE34" s="212" t="str">
        <f>IF('Supp. Result Entry'!V33="","",'Supp. Result Entry'!V33)</f>
        <v/>
      </c>
      <c r="IF34" s="212" t="str">
        <f>IF('Supp. Result Entry'!Y33="","",'Supp. Result Entry'!Y33)</f>
        <v/>
      </c>
      <c r="IG34" s="212" t="str">
        <f>IF('Supp. Result Entry'!AB33="","",'Supp. Result Entry'!AB33)</f>
        <v/>
      </c>
      <c r="IH34" s="212" t="str">
        <f>IF('Supp. Result Entry'!AE33="","",'Supp. Result Entry'!AE33)</f>
        <v/>
      </c>
      <c r="II34" s="212" t="str">
        <f>IF('Supp. Result Entry'!AH33="","",'Supp. Result Entry'!AH33)</f>
        <v/>
      </c>
      <c r="IJ34" s="212" t="str">
        <f>IF('Supp. Result Entry'!AK33="","",'Supp. Result Entry'!AK33)</f>
        <v/>
      </c>
      <c r="IK34" s="212" t="str">
        <f>IF('Supp. Result Entry'!W33="","",'Supp. Result Entry'!W33)</f>
        <v/>
      </c>
      <c r="IL34" s="212" t="str">
        <f>IF('Supp. Result Entry'!Z33="","",'Supp. Result Entry'!Z33)</f>
        <v/>
      </c>
      <c r="IM34" s="212" t="str">
        <f>IF('Supp. Result Entry'!AC33="","",'Supp. Result Entry'!AC33)</f>
        <v/>
      </c>
      <c r="IN34" s="212" t="str">
        <f>IF('Supp. Result Entry'!AF33="","",'Supp. Result Entry'!AF33)</f>
        <v/>
      </c>
      <c r="IO34" s="212" t="str">
        <f>IF('Supp. Result Entry'!AI33="","",'Supp. Result Entry'!AI33)</f>
        <v/>
      </c>
      <c r="IP34" s="212" t="str">
        <f>IF('Supp. Result Entry'!AL33="","",'Supp. Result Entry'!AL33)</f>
        <v/>
      </c>
      <c r="IQ34" s="212">
        <f>COUNTIF('Supp. Result Entry'!K33:Q33,"S")</f>
        <v>0</v>
      </c>
      <c r="IR34" s="212">
        <f t="shared" si="170"/>
        <v>0</v>
      </c>
      <c r="IS34" s="212">
        <f t="shared" si="171"/>
        <v>0</v>
      </c>
      <c r="IT34" s="212" t="str">
        <f t="shared" si="41"/>
        <v/>
      </c>
      <c r="IU34" s="212" t="str">
        <f t="shared" si="42"/>
        <v/>
      </c>
      <c r="IV34" s="212" t="str">
        <f t="shared" si="43"/>
        <v/>
      </c>
      <c r="IW34" s="212" t="str">
        <f t="shared" si="44"/>
        <v/>
      </c>
      <c r="IX34" s="212" t="str">
        <f t="shared" si="45"/>
        <v/>
      </c>
      <c r="IY34" s="212" t="str">
        <f t="shared" si="172"/>
        <v/>
      </c>
      <c r="IZ34" s="212" t="str">
        <f t="shared" si="173"/>
        <v/>
      </c>
      <c r="JA34" s="212" t="str">
        <f t="shared" si="46"/>
        <v/>
      </c>
      <c r="JB34" s="210" t="str">
        <f t="shared" si="174"/>
        <v/>
      </c>
    </row>
    <row r="35" spans="1:262" s="210" customFormat="1" ht="21" customHeight="1">
      <c r="A35" s="183">
        <v>28</v>
      </c>
      <c r="B35" s="184" t="str">
        <f>IF('Marks Entry'!B35="","",'Marks Entry'!B35)</f>
        <v/>
      </c>
      <c r="C35" s="185" t="str">
        <f>IF('Marks Entry'!D35="","",'Marks Entry'!D35)</f>
        <v/>
      </c>
      <c r="D35" s="186" t="str">
        <f>IF('Marks Entry'!E35="","",'Marks Entry'!E35)</f>
        <v/>
      </c>
      <c r="E35" s="187" t="str">
        <f>IF('Marks Entry'!F35="","",'Marks Entry'!F35)</f>
        <v/>
      </c>
      <c r="F35" s="187" t="str">
        <f>IF('Marks Entry'!G35="","",'Marks Entry'!G35)</f>
        <v/>
      </c>
      <c r="G35" s="187" t="str">
        <f>IF('Marks Entry'!H35="","",'Marks Entry'!H35)</f>
        <v/>
      </c>
      <c r="H35" s="188" t="str">
        <f>IF('Marks Entry'!I35="","",'Marks Entry'!I35)</f>
        <v/>
      </c>
      <c r="I35" s="189" t="str">
        <f>IF('Marks Entry'!J35="","",'Marks Entry'!J35)</f>
        <v/>
      </c>
      <c r="J35" s="545">
        <f>IF('Marks Entry'!K35="","",'Marks Entry'!K35)</f>
        <v>14</v>
      </c>
      <c r="K35" s="545">
        <f>IF('Marks Entry'!L35="","",'Marks Entry'!L35)</f>
        <v>7</v>
      </c>
      <c r="L35" s="545">
        <f>IF('Marks Entry'!M35="","",'Marks Entry'!M35)</f>
        <v>8</v>
      </c>
      <c r="M35" s="546">
        <f t="shared" si="47"/>
        <v>29</v>
      </c>
      <c r="N35" s="545">
        <f>IF('Marks Entry'!N35="","",'Marks Entry'!N35)</f>
        <v>29</v>
      </c>
      <c r="O35" s="546">
        <f t="shared" si="48"/>
        <v>58</v>
      </c>
      <c r="P35" s="545">
        <f>IF('Marks Entry'!O35="","",'Marks Entry'!O35)</f>
        <v>50</v>
      </c>
      <c r="Q35" s="547">
        <f t="shared" si="49"/>
        <v>108</v>
      </c>
      <c r="R35" s="152">
        <f t="shared" si="50"/>
        <v>0</v>
      </c>
      <c r="S35" s="152">
        <f t="shared" si="51"/>
        <v>0</v>
      </c>
      <c r="T35" s="153">
        <f t="shared" si="52"/>
        <v>200</v>
      </c>
      <c r="U35" s="152" t="str">
        <f t="shared" si="53"/>
        <v/>
      </c>
      <c r="V35" s="152" t="str">
        <f t="shared" si="54"/>
        <v/>
      </c>
      <c r="W35" s="152" t="str">
        <f t="shared" si="55"/>
        <v/>
      </c>
      <c r="X35" s="545">
        <f>IF('Marks Entry'!P35="","",'Marks Entry'!P35)</f>
        <v>8</v>
      </c>
      <c r="Y35" s="545">
        <f>IF('Marks Entry'!Q35="","",'Marks Entry'!Q35)</f>
        <v>10</v>
      </c>
      <c r="Z35" s="545">
        <f>IF('Marks Entry'!R35="","",'Marks Entry'!R35)</f>
        <v>9</v>
      </c>
      <c r="AA35" s="546">
        <f t="shared" si="56"/>
        <v>27</v>
      </c>
      <c r="AB35" s="545">
        <f>IF('Marks Entry'!S35="","",'Marks Entry'!S35)</f>
        <v>25</v>
      </c>
      <c r="AC35" s="546">
        <f t="shared" si="57"/>
        <v>52</v>
      </c>
      <c r="AD35" s="545">
        <f>IF('Marks Entry'!T35="","",'Marks Entry'!T35)</f>
        <v>68</v>
      </c>
      <c r="AE35" s="547">
        <f t="shared" si="58"/>
        <v>120</v>
      </c>
      <c r="AF35" s="152">
        <f t="shared" si="59"/>
        <v>0</v>
      </c>
      <c r="AG35" s="152">
        <f t="shared" si="60"/>
        <v>0</v>
      </c>
      <c r="AH35" s="153">
        <f t="shared" si="61"/>
        <v>200</v>
      </c>
      <c r="AI35" s="152" t="str">
        <f t="shared" si="62"/>
        <v/>
      </c>
      <c r="AJ35" s="152" t="str">
        <f t="shared" si="63"/>
        <v/>
      </c>
      <c r="AK35" s="152" t="str">
        <f t="shared" si="64"/>
        <v/>
      </c>
      <c r="AL35" s="573" t="str">
        <f>IF('Marks Entry'!U35="","",'Marks Entry'!U35)</f>
        <v>B</v>
      </c>
      <c r="AM35" s="573">
        <f>IF('Marks Entry'!V35="","",'Marks Entry'!V35)</f>
        <v>10</v>
      </c>
      <c r="AN35" s="573">
        <f>IF('Marks Entry'!W35="","",'Marks Entry'!W35)</f>
        <v>6</v>
      </c>
      <c r="AO35" s="573">
        <f>IF('Marks Entry'!X35="","",'Marks Entry'!X35)</f>
        <v>7</v>
      </c>
      <c r="AP35" s="572">
        <f t="shared" si="65"/>
        <v>23</v>
      </c>
      <c r="AQ35" s="573">
        <f>IF('Marks Entry'!Y35="","",'Marks Entry'!Y35)</f>
        <v>25</v>
      </c>
      <c r="AR35" s="573">
        <f>IF('Marks Entry'!Z35="","",'Marks Entry'!Z35)</f>
        <v>14</v>
      </c>
      <c r="AS35" s="572">
        <f t="shared" si="66"/>
        <v>39</v>
      </c>
      <c r="AT35" s="572">
        <f t="shared" si="67"/>
        <v>62</v>
      </c>
      <c r="AU35" s="573">
        <f>IF('Marks Entry'!AA35="","",'Marks Entry'!AA35)</f>
        <v>41</v>
      </c>
      <c r="AV35" s="573">
        <f>IF('Marks Entry'!AB35="","",'Marks Entry'!AB35)</f>
        <v>26</v>
      </c>
      <c r="AW35" s="572">
        <f t="shared" si="68"/>
        <v>67</v>
      </c>
      <c r="AX35" s="156">
        <f t="shared" si="69"/>
        <v>89</v>
      </c>
      <c r="AY35" s="156">
        <f t="shared" si="70"/>
        <v>40</v>
      </c>
      <c r="AZ35" s="191">
        <f t="shared" si="71"/>
        <v>129</v>
      </c>
      <c r="BA35" s="152">
        <f t="shared" si="72"/>
        <v>0</v>
      </c>
      <c r="BB35" s="153">
        <f t="shared" si="73"/>
        <v>0</v>
      </c>
      <c r="BC35" s="153">
        <f t="shared" si="74"/>
        <v>70</v>
      </c>
      <c r="BD35" s="153">
        <f t="shared" si="75"/>
        <v>50</v>
      </c>
      <c r="BE35" s="153">
        <f t="shared" si="76"/>
        <v>150</v>
      </c>
      <c r="BF35" s="152" t="str">
        <f t="shared" si="77"/>
        <v/>
      </c>
      <c r="BG35" s="153" t="str">
        <f t="shared" si="175"/>
        <v>P</v>
      </c>
      <c r="BH35" s="152" t="str">
        <f t="shared" si="78"/>
        <v>I</v>
      </c>
      <c r="BI35" s="580" t="str">
        <f>IF('Marks Entry'!AC35="","",'Marks Entry'!AC35)</f>
        <v>B</v>
      </c>
      <c r="BJ35" s="580">
        <f>IF('Marks Entry'!AD35="","",'Marks Entry'!AD35)</f>
        <v>14</v>
      </c>
      <c r="BK35" s="580">
        <f>IF('Marks Entry'!AE35="","",'Marks Entry'!AE35)</f>
        <v>12</v>
      </c>
      <c r="BL35" s="580" t="str">
        <f>IF('Marks Entry'!AF35="","",'Marks Entry'!AF35)</f>
        <v/>
      </c>
      <c r="BM35" s="581">
        <f t="shared" si="79"/>
        <v>26</v>
      </c>
      <c r="BN35" s="580">
        <f>IF('Marks Entry'!AG35="","",'Marks Entry'!AG35)</f>
        <v>42</v>
      </c>
      <c r="BO35" s="580" t="str">
        <f>IF('Marks Entry'!AH35="","",'Marks Entry'!AH35)</f>
        <v/>
      </c>
      <c r="BP35" s="581">
        <f t="shared" si="80"/>
        <v>42</v>
      </c>
      <c r="BQ35" s="581">
        <f t="shared" si="81"/>
        <v>68</v>
      </c>
      <c r="BR35" s="580">
        <f>IF('Marks Entry'!AI35="","",'Marks Entry'!AI35)</f>
        <v>48</v>
      </c>
      <c r="BS35" s="580" t="str">
        <f>IF('Marks Entry'!AJ35="","",'Marks Entry'!AJ35)</f>
        <v/>
      </c>
      <c r="BT35" s="581">
        <f t="shared" si="82"/>
        <v>48</v>
      </c>
      <c r="BU35" s="156">
        <f t="shared" si="83"/>
        <v>116</v>
      </c>
      <c r="BV35" s="156" t="str">
        <f t="shared" si="84"/>
        <v/>
      </c>
      <c r="BW35" s="191">
        <f t="shared" si="85"/>
        <v>116</v>
      </c>
      <c r="BX35" s="152">
        <f t="shared" si="86"/>
        <v>0</v>
      </c>
      <c r="BY35" s="153">
        <f t="shared" si="87"/>
        <v>0</v>
      </c>
      <c r="BZ35" s="153">
        <f t="shared" si="88"/>
        <v>100</v>
      </c>
      <c r="CA35" s="153" t="str">
        <f t="shared" si="89"/>
        <v/>
      </c>
      <c r="CB35" s="153">
        <f t="shared" si="90"/>
        <v>200</v>
      </c>
      <c r="CC35" s="152" t="str">
        <f t="shared" si="91"/>
        <v/>
      </c>
      <c r="CD35" s="153" t="str">
        <f t="shared" si="92"/>
        <v>P</v>
      </c>
      <c r="CE35" s="152" t="str">
        <f t="shared" si="93"/>
        <v>II</v>
      </c>
      <c r="CF35" s="580" t="str">
        <f>IF('Marks Entry'!AK35="","",'Marks Entry'!AK35)</f>
        <v>A</v>
      </c>
      <c r="CG35" s="580">
        <f>IF('Marks Entry'!AL35="","",'Marks Entry'!AL35)</f>
        <v>16</v>
      </c>
      <c r="CH35" s="580">
        <f>IF('Marks Entry'!AM35="","",'Marks Entry'!AM35)</f>
        <v>10</v>
      </c>
      <c r="CI35" s="580" t="str">
        <f>IF('Marks Entry'!AN35="","",'Marks Entry'!AN35)</f>
        <v/>
      </c>
      <c r="CJ35" s="581">
        <f t="shared" si="94"/>
        <v>26</v>
      </c>
      <c r="CK35" s="580" t="str">
        <f>IF('Marks Entry'!AO35="","",'Marks Entry'!AO35)</f>
        <v/>
      </c>
      <c r="CL35" s="580" t="str">
        <f>IF('Marks Entry'!AP35="","",'Marks Entry'!AP35)</f>
        <v/>
      </c>
      <c r="CM35" s="581" t="str">
        <f t="shared" si="95"/>
        <v/>
      </c>
      <c r="CN35" s="581">
        <f t="shared" si="96"/>
        <v>26</v>
      </c>
      <c r="CO35" s="580" t="str">
        <f>IF('Marks Entry'!AQ35="","",'Marks Entry'!AQ35)</f>
        <v/>
      </c>
      <c r="CP35" s="580" t="str">
        <f>IF('Marks Entry'!AR35="","",'Marks Entry'!AR35)</f>
        <v/>
      </c>
      <c r="CQ35" s="581" t="str">
        <f t="shared" si="97"/>
        <v/>
      </c>
      <c r="CR35" s="156">
        <f t="shared" si="98"/>
        <v>26</v>
      </c>
      <c r="CS35" s="156" t="str">
        <f t="shared" si="99"/>
        <v/>
      </c>
      <c r="CT35" s="191">
        <f t="shared" si="100"/>
        <v>26</v>
      </c>
      <c r="CU35" s="152">
        <f t="shared" si="101"/>
        <v>0</v>
      </c>
      <c r="CV35" s="153">
        <f t="shared" si="102"/>
        <v>0</v>
      </c>
      <c r="CW35" s="153">
        <f t="shared" si="103"/>
        <v>100</v>
      </c>
      <c r="CX35" s="153" t="str">
        <f t="shared" si="104"/>
        <v/>
      </c>
      <c r="CY35" s="153">
        <f t="shared" si="176"/>
        <v>200</v>
      </c>
      <c r="CZ35" s="152" t="str">
        <f t="shared" si="105"/>
        <v/>
      </c>
      <c r="DA35" s="153" t="str">
        <f t="shared" si="106"/>
        <v/>
      </c>
      <c r="DB35" s="152" t="str">
        <f t="shared" si="107"/>
        <v/>
      </c>
      <c r="DC35" s="153">
        <f t="shared" si="108"/>
        <v>0</v>
      </c>
      <c r="DD35" s="851" t="str">
        <f>IF('Marks Entry'!AS35="","",IF(OR('Master Sheet'!$D$19="YES",'Marks Entry'!$BA$1=1),'Marks Entry'!AS35,""))</f>
        <v/>
      </c>
      <c r="DE35" s="851" t="str">
        <f>IF('Marks Entry'!AT35="","",IF(OR('Master Sheet'!$D$19="YES",'Marks Entry'!$BA$1=1),'Marks Entry'!AT35,""))</f>
        <v/>
      </c>
      <c r="DF35" s="851" t="str">
        <f>IF('Marks Entry'!AU35="","",IF(OR('Master Sheet'!$D$19="YES",'Marks Entry'!$BA$1=1),'Marks Entry'!AU35,""))</f>
        <v/>
      </c>
      <c r="DG35" s="851" t="str">
        <f>IF('Marks Entry'!AV35="","",IF(OR('Master Sheet'!$D$19="YES",'Marks Entry'!$BA$1=1),'Marks Entry'!AV35,""))</f>
        <v/>
      </c>
      <c r="DH35" s="852" t="str">
        <f t="shared" si="109"/>
        <v/>
      </c>
      <c r="DI35" s="851" t="str">
        <f>IF('Marks Entry'!AW35="","",IF(OR('Master Sheet'!$D$19="YES",'Marks Entry'!$BA$1=1),'Marks Entry'!AW35,""))</f>
        <v/>
      </c>
      <c r="DJ35" s="851" t="str">
        <f>IF('Marks Entry'!AX35="","",IF(OR('Master Sheet'!$D$19="YES",'Marks Entry'!$BA$1=1),'Marks Entry'!AX35,""))</f>
        <v/>
      </c>
      <c r="DK35" s="852" t="str">
        <f t="shared" si="110"/>
        <v/>
      </c>
      <c r="DL35" s="852" t="str">
        <f t="shared" si="111"/>
        <v/>
      </c>
      <c r="DM35" s="851" t="str">
        <f>IF('Marks Entry'!AY35="","",IF(OR('Master Sheet'!$D$19="YES",'Marks Entry'!$BA$1=1),'Marks Entry'!AY35,""))</f>
        <v/>
      </c>
      <c r="DN35" s="851" t="str">
        <f>IF('Marks Entry'!AZ35="","",IF(OR('Master Sheet'!$D$19="YES",'Marks Entry'!$BA$1=1),'Marks Entry'!AZ35,""))</f>
        <v/>
      </c>
      <c r="DO35" s="851" t="str">
        <f>IF('Marks Entry'!BA35="","",IF(OR('Master Sheet'!$D$19="YES",'Marks Entry'!$BA$1=1),'Marks Entry'!BA35,""))</f>
        <v/>
      </c>
      <c r="DP35" s="852" t="str">
        <f t="shared" si="112"/>
        <v/>
      </c>
      <c r="DQ35" s="156" t="str">
        <f t="shared" si="113"/>
        <v/>
      </c>
      <c r="DR35" s="156" t="str">
        <f t="shared" si="114"/>
        <v/>
      </c>
      <c r="DS35" s="156" t="str">
        <f t="shared" si="115"/>
        <v/>
      </c>
      <c r="DT35" s="191" t="str">
        <f t="shared" si="116"/>
        <v/>
      </c>
      <c r="DU35" s="152">
        <f t="shared" si="117"/>
        <v>0</v>
      </c>
      <c r="DV35" s="153">
        <f t="shared" si="118"/>
        <v>0</v>
      </c>
      <c r="DW35" s="153" t="str">
        <f t="shared" si="119"/>
        <v/>
      </c>
      <c r="DX35" s="153" t="str">
        <f>IF(OR($B35="NSO",$B35=0,DS35=""),"",IF(AND(DJ35="",DO35=""),"",IF('Master Sheet'!$D$19="YES",$DO$6-COUNTIF(DO35,"ML")*DO$6,DS$6-(COUNTIF(DJ35,"ML")*DJ$6)-(COUNTIF(DO35,"ML")*DO$6))))</f>
        <v/>
      </c>
      <c r="DY35" s="153" t="str">
        <f>IF(OR($B35="NSO",$B35=0),"",IF(AND(DH35="",DI35="",DM35=""),"",IF(AND('Master Sheet'!$D$19="YES",'Marks Entry'!$BA$1=1),100,IF(AND(DJ35="",DO35=""),SUM(($DQ$7+$DR$7)-(DU35+DV35)),SUM(($DQ$6+$DR$6)-(DU35+DV35))))))</f>
        <v/>
      </c>
      <c r="DZ35" s="152" t="str">
        <f t="shared" si="120"/>
        <v/>
      </c>
      <c r="EA35" s="153" t="str">
        <f t="shared" si="121"/>
        <v/>
      </c>
      <c r="EB35" s="152" t="str">
        <f t="shared" si="122"/>
        <v/>
      </c>
      <c r="EC35" s="584">
        <f>IF('Marks Entry'!BB35="","",'Marks Entry'!BB35)</f>
        <v>20</v>
      </c>
      <c r="ED35" s="584">
        <f>IF('Marks Entry'!BC35="","",'Marks Entry'!BC35)</f>
        <v>30</v>
      </c>
      <c r="EE35" s="584">
        <f>IF('Marks Entry'!BD35="","",'Marks Entry'!BD35)</f>
        <v>32</v>
      </c>
      <c r="EF35" s="590">
        <f t="shared" si="123"/>
        <v>82</v>
      </c>
      <c r="EG35" s="595">
        <f t="shared" si="124"/>
        <v>0</v>
      </c>
      <c r="EH35" s="595">
        <f t="shared" si="125"/>
        <v>0</v>
      </c>
      <c r="EI35" s="192">
        <f t="shared" si="126"/>
        <v>100</v>
      </c>
      <c r="EJ35" s="595" t="str">
        <f t="shared" si="127"/>
        <v/>
      </c>
      <c r="EK35" s="595" t="str">
        <f t="shared" si="128"/>
        <v>A</v>
      </c>
      <c r="EL35" s="193" t="str">
        <f t="shared" si="129"/>
        <v/>
      </c>
      <c r="EM35" s="193" t="str">
        <f t="shared" si="130"/>
        <v/>
      </c>
      <c r="EN35" s="193" t="str">
        <f t="shared" si="131"/>
        <v>I</v>
      </c>
      <c r="EO35" s="193" t="str">
        <f t="shared" si="132"/>
        <v>II</v>
      </c>
      <c r="EP35" s="193" t="str">
        <f t="shared" si="133"/>
        <v/>
      </c>
      <c r="EQ35" s="193" t="str">
        <f t="shared" si="134"/>
        <v/>
      </c>
      <c r="ER35" s="194">
        <f t="shared" si="135"/>
        <v>0</v>
      </c>
      <c r="ES35" s="194">
        <f t="shared" si="136"/>
        <v>0</v>
      </c>
      <c r="ET35" s="194">
        <f t="shared" si="137"/>
        <v>0</v>
      </c>
      <c r="EU35" s="194">
        <f t="shared" si="138"/>
        <v>0</v>
      </c>
      <c r="EV35" s="194">
        <f t="shared" si="139"/>
        <v>0</v>
      </c>
      <c r="EW35" s="194" t="str">
        <f t="shared" si="140"/>
        <v/>
      </c>
      <c r="EX35" s="195" t="str">
        <f t="shared" si="141"/>
        <v/>
      </c>
      <c r="EY35" s="196">
        <f>IF('Marks Entry'!BE35="","",'Marks Entry'!BE35)</f>
        <v>7</v>
      </c>
      <c r="EZ35" s="196">
        <f>IF('Marks Entry'!BF35="","",'Marks Entry'!BF35)</f>
        <v>7</v>
      </c>
      <c r="FA35" s="196">
        <f>IF('Marks Entry'!BG35="","",'Marks Entry'!BG35)</f>
        <v>7</v>
      </c>
      <c r="FB35" s="596">
        <f t="shared" si="142"/>
        <v>21</v>
      </c>
      <c r="FC35" s="196">
        <f>IF('Marks Entry'!BH35="","",'Marks Entry'!BH35)</f>
        <v>41</v>
      </c>
      <c r="FD35" s="196">
        <f>IF('Marks Entry'!BI35="","",'Marks Entry'!BI35)</f>
        <v>68</v>
      </c>
      <c r="FE35" s="197">
        <f t="shared" si="143"/>
        <v>130</v>
      </c>
      <c r="FF35" s="198" t="str">
        <f t="shared" si="144"/>
        <v>B</v>
      </c>
      <c r="FG35" s="199" t="str">
        <f>IF(AND(E35=""),"",IF('Student DATA Entry'!L31="","",'Student DATA Entry'!L31))</f>
        <v/>
      </c>
      <c r="FH35" s="200" t="str">
        <f>IF(AND(E35=""),"",IF('Student DATA Entry'!M31="","",'Student DATA Entry'!M31))</f>
        <v/>
      </c>
      <c r="FI35" s="201" t="str">
        <f t="shared" si="145"/>
        <v/>
      </c>
      <c r="FJ35" s="188" t="str">
        <f t="shared" si="146"/>
        <v/>
      </c>
      <c r="FK35" s="188" t="str">
        <f t="shared" si="147"/>
        <v/>
      </c>
      <c r="FL35" s="202" t="str">
        <f t="shared" si="19"/>
        <v/>
      </c>
      <c r="FM35" s="188" t="str">
        <f t="shared" si="148"/>
        <v/>
      </c>
      <c r="FN35" s="203" t="str">
        <f t="shared" si="149"/>
        <v/>
      </c>
      <c r="FO35" s="202" t="str">
        <f t="shared" si="20"/>
        <v/>
      </c>
      <c r="FP35" s="204" t="str">
        <f t="shared" si="150"/>
        <v>I</v>
      </c>
      <c r="FQ35" s="188" t="str">
        <f t="shared" si="21"/>
        <v/>
      </c>
      <c r="FR35" s="188" t="str">
        <f t="shared" si="22"/>
        <v>I</v>
      </c>
      <c r="FS35" s="188" t="str">
        <f t="shared" si="23"/>
        <v/>
      </c>
      <c r="FT35" s="188" t="str">
        <f t="shared" si="24"/>
        <v/>
      </c>
      <c r="FU35" s="188" t="str">
        <f t="shared" si="151"/>
        <v/>
      </c>
      <c r="FV35" s="205" t="str">
        <f t="shared" si="25"/>
        <v/>
      </c>
      <c r="FW35" s="204" t="str">
        <f t="shared" si="152"/>
        <v>II</v>
      </c>
      <c r="FX35" s="188" t="str">
        <f t="shared" si="26"/>
        <v/>
      </c>
      <c r="FY35" s="188" t="str">
        <f t="shared" si="27"/>
        <v>II</v>
      </c>
      <c r="FZ35" s="188" t="str">
        <f t="shared" si="28"/>
        <v/>
      </c>
      <c r="GA35" s="188" t="str">
        <f t="shared" si="29"/>
        <v/>
      </c>
      <c r="GB35" s="188" t="str">
        <f t="shared" si="153"/>
        <v/>
      </c>
      <c r="GC35" s="205" t="str">
        <f t="shared" si="30"/>
        <v/>
      </c>
      <c r="GD35" s="204" t="str">
        <f t="shared" si="154"/>
        <v/>
      </c>
      <c r="GE35" s="188" t="str">
        <f t="shared" si="31"/>
        <v/>
      </c>
      <c r="GF35" s="188" t="str">
        <f t="shared" si="32"/>
        <v/>
      </c>
      <c r="GG35" s="188" t="str">
        <f t="shared" si="33"/>
        <v/>
      </c>
      <c r="GH35" s="188" t="str">
        <f t="shared" si="34"/>
        <v/>
      </c>
      <c r="GI35" s="188" t="str">
        <f t="shared" si="155"/>
        <v/>
      </c>
      <c r="GJ35" s="205" t="str">
        <f t="shared" si="35"/>
        <v/>
      </c>
      <c r="GK35" s="204" t="str">
        <f t="shared" si="156"/>
        <v/>
      </c>
      <c r="GL35" s="188" t="str">
        <f t="shared" si="36"/>
        <v/>
      </c>
      <c r="GM35" s="188" t="str">
        <f t="shared" si="37"/>
        <v/>
      </c>
      <c r="GN35" s="188" t="str">
        <f t="shared" si="38"/>
        <v/>
      </c>
      <c r="GO35" s="188" t="str">
        <f t="shared" si="39"/>
        <v/>
      </c>
      <c r="GP35" s="188" t="str">
        <f t="shared" si="157"/>
        <v/>
      </c>
      <c r="GQ35" s="205" t="str">
        <f t="shared" si="40"/>
        <v/>
      </c>
      <c r="GR35" s="188" t="str">
        <f t="shared" si="158"/>
        <v>A</v>
      </c>
      <c r="GS35" s="188" t="str">
        <f t="shared" si="159"/>
        <v>B</v>
      </c>
      <c r="GT35" s="206" t="str">
        <f t="shared" si="177"/>
        <v xml:space="preserve">    </v>
      </c>
      <c r="GU35" s="206" t="str">
        <f t="shared" si="160"/>
        <v xml:space="preserve">    </v>
      </c>
      <c r="GV35" s="206" t="str">
        <f t="shared" si="161"/>
        <v xml:space="preserve">    </v>
      </c>
      <c r="GW35" s="206" t="str">
        <f t="shared" si="162"/>
        <v xml:space="preserve">       </v>
      </c>
      <c r="GX35" s="598" t="str">
        <f t="shared" si="163"/>
        <v xml:space="preserve">     </v>
      </c>
      <c r="GY35" s="207" t="str">
        <f t="shared" si="164"/>
        <v/>
      </c>
      <c r="GZ35" s="606">
        <f>IF(AND(Q35="",AE35="",AZ35="",BW35="",CT35=""),"",IF(AND('Master Sheet'!$D$19="YES",'Marks Entry'!$BA$1=1),SUM(Q35,AE35,AZ35,BW35,DT35),SUM(Q35,AE35,AZ35,BW35,CT35)))</f>
        <v>499</v>
      </c>
      <c r="HA35" s="208">
        <f>IF(GZ35="","",IF(AND('Master Sheet'!$D$19="YES",'Marks Entry'!$BA$1=1),GZ35/((900)-DC35)*100,GZ35/((1000)-DC35)*100))</f>
        <v>49.9</v>
      </c>
      <c r="HB35" s="611" t="str">
        <f t="shared" si="165"/>
        <v/>
      </c>
      <c r="HC35" s="609" t="str">
        <f t="shared" si="166"/>
        <v/>
      </c>
      <c r="HD35" s="610" t="str">
        <f t="shared" si="167"/>
        <v/>
      </c>
      <c r="HE35" s="209" t="str">
        <f>IFERROR(IF(OR(GY35="SUPPLEMENTARY",GY35="RE-EXAM"),'Supp. Result Entry'!AS34,""),"")</f>
        <v/>
      </c>
      <c r="HF35" s="613" t="str">
        <f t="shared" si="168"/>
        <v/>
      </c>
      <c r="HG35" s="598" t="str">
        <f t="shared" si="169"/>
        <v/>
      </c>
      <c r="HH35" s="598" t="str">
        <f>IF(AND(HE35="",HF35="",HG35=""),"",IF(OR(GY35="SUPPLEMENTARY",GY35="RE-EXAM"),'Supp. Result Entry'!AS34,GY35))</f>
        <v/>
      </c>
      <c r="HI35" s="179"/>
      <c r="HY35" s="211" t="str">
        <f>IF('Supp. Result Entry'!U34="","",'Supp. Result Entry'!$U$6)</f>
        <v/>
      </c>
      <c r="HZ35" s="212" t="str">
        <f>IF('Supp. Result Entry'!X34="","",'Supp. Result Entry'!$X$6)</f>
        <v/>
      </c>
      <c r="IA35" s="212" t="str">
        <f>IF('Supp. Result Entry'!AA34="","",'Supp. Result Entry'!$AA$6)</f>
        <v/>
      </c>
      <c r="IB35" s="212" t="str">
        <f>IF('Supp. Result Entry'!AD34="","",'Supp. Result Entry'!$AD$6)</f>
        <v/>
      </c>
      <c r="IC35" s="212" t="str">
        <f>IF('Supp. Result Entry'!AG34="","",'Supp. Result Entry'!$AG$6)</f>
        <v/>
      </c>
      <c r="ID35" s="212" t="str">
        <f>IF('Supp. Result Entry'!AJ34="","",'Supp. Result Entry'!$AJ$6)</f>
        <v/>
      </c>
      <c r="IE35" s="212" t="str">
        <f>IF('Supp. Result Entry'!V34="","",'Supp. Result Entry'!V34)</f>
        <v/>
      </c>
      <c r="IF35" s="212" t="str">
        <f>IF('Supp. Result Entry'!Y34="","",'Supp. Result Entry'!Y34)</f>
        <v/>
      </c>
      <c r="IG35" s="212" t="str">
        <f>IF('Supp. Result Entry'!AB34="","",'Supp. Result Entry'!AB34)</f>
        <v/>
      </c>
      <c r="IH35" s="212" t="str">
        <f>IF('Supp. Result Entry'!AE34="","",'Supp. Result Entry'!AE34)</f>
        <v/>
      </c>
      <c r="II35" s="212" t="str">
        <f>IF('Supp. Result Entry'!AH34="","",'Supp. Result Entry'!AH34)</f>
        <v/>
      </c>
      <c r="IJ35" s="212" t="str">
        <f>IF('Supp. Result Entry'!AK34="","",'Supp. Result Entry'!AK34)</f>
        <v/>
      </c>
      <c r="IK35" s="212" t="str">
        <f>IF('Supp. Result Entry'!W34="","",'Supp. Result Entry'!W34)</f>
        <v/>
      </c>
      <c r="IL35" s="212" t="str">
        <f>IF('Supp. Result Entry'!Z34="","",'Supp. Result Entry'!Z34)</f>
        <v/>
      </c>
      <c r="IM35" s="212" t="str">
        <f>IF('Supp. Result Entry'!AC34="","",'Supp. Result Entry'!AC34)</f>
        <v/>
      </c>
      <c r="IN35" s="212" t="str">
        <f>IF('Supp. Result Entry'!AF34="","",'Supp. Result Entry'!AF34)</f>
        <v/>
      </c>
      <c r="IO35" s="212" t="str">
        <f>IF('Supp. Result Entry'!AI34="","",'Supp. Result Entry'!AI34)</f>
        <v/>
      </c>
      <c r="IP35" s="212" t="str">
        <f>IF('Supp. Result Entry'!AL34="","",'Supp. Result Entry'!AL34)</f>
        <v/>
      </c>
      <c r="IQ35" s="212">
        <f>COUNTIF('Supp. Result Entry'!K34:Q34,"S")</f>
        <v>0</v>
      </c>
      <c r="IR35" s="212">
        <f t="shared" si="170"/>
        <v>0</v>
      </c>
      <c r="IS35" s="212">
        <f t="shared" si="171"/>
        <v>0</v>
      </c>
      <c r="IT35" s="212" t="str">
        <f t="shared" si="41"/>
        <v/>
      </c>
      <c r="IU35" s="212" t="str">
        <f t="shared" si="42"/>
        <v/>
      </c>
      <c r="IV35" s="212" t="str">
        <f t="shared" si="43"/>
        <v/>
      </c>
      <c r="IW35" s="212" t="str">
        <f t="shared" si="44"/>
        <v/>
      </c>
      <c r="IX35" s="212" t="str">
        <f t="shared" si="45"/>
        <v/>
      </c>
      <c r="IY35" s="212" t="str">
        <f t="shared" si="172"/>
        <v/>
      </c>
      <c r="IZ35" s="212" t="str">
        <f t="shared" si="173"/>
        <v/>
      </c>
      <c r="JA35" s="212" t="str">
        <f t="shared" si="46"/>
        <v/>
      </c>
      <c r="JB35" s="210" t="str">
        <f t="shared" si="174"/>
        <v/>
      </c>
    </row>
    <row r="36" spans="1:262" s="210" customFormat="1" ht="21" customHeight="1">
      <c r="A36" s="183">
        <v>29</v>
      </c>
      <c r="B36" s="184" t="str">
        <f>IF('Marks Entry'!B36="","",'Marks Entry'!B36)</f>
        <v/>
      </c>
      <c r="C36" s="185" t="str">
        <f>IF('Marks Entry'!D36="","",'Marks Entry'!D36)</f>
        <v/>
      </c>
      <c r="D36" s="186" t="str">
        <f>IF('Marks Entry'!E36="","",'Marks Entry'!E36)</f>
        <v/>
      </c>
      <c r="E36" s="187" t="str">
        <f>IF('Marks Entry'!F36="","",'Marks Entry'!F36)</f>
        <v/>
      </c>
      <c r="F36" s="187" t="str">
        <f>IF('Marks Entry'!G36="","",'Marks Entry'!G36)</f>
        <v/>
      </c>
      <c r="G36" s="187" t="str">
        <f>IF('Marks Entry'!H36="","",'Marks Entry'!H36)</f>
        <v/>
      </c>
      <c r="H36" s="188" t="str">
        <f>IF('Marks Entry'!I36="","",'Marks Entry'!I36)</f>
        <v/>
      </c>
      <c r="I36" s="189" t="str">
        <f>IF('Marks Entry'!J36="","",'Marks Entry'!J36)</f>
        <v/>
      </c>
      <c r="J36" s="545">
        <f>IF('Marks Entry'!K36="","",'Marks Entry'!K36)</f>
        <v>15</v>
      </c>
      <c r="K36" s="545">
        <f>IF('Marks Entry'!L36="","",'Marks Entry'!L36)</f>
        <v>2</v>
      </c>
      <c r="L36" s="545">
        <f>IF('Marks Entry'!M36="","",'Marks Entry'!M36)</f>
        <v>8</v>
      </c>
      <c r="M36" s="546">
        <f t="shared" si="47"/>
        <v>25</v>
      </c>
      <c r="N36" s="545">
        <f>IF('Marks Entry'!N36="","",'Marks Entry'!N36)</f>
        <v>21</v>
      </c>
      <c r="O36" s="546">
        <f t="shared" si="48"/>
        <v>46</v>
      </c>
      <c r="P36" s="545">
        <f>IF('Marks Entry'!O36="","",'Marks Entry'!O36)</f>
        <v>52</v>
      </c>
      <c r="Q36" s="547">
        <f t="shared" si="49"/>
        <v>98</v>
      </c>
      <c r="R36" s="152">
        <f t="shared" si="50"/>
        <v>0</v>
      </c>
      <c r="S36" s="152">
        <f t="shared" si="51"/>
        <v>0</v>
      </c>
      <c r="T36" s="153">
        <f t="shared" si="52"/>
        <v>200</v>
      </c>
      <c r="U36" s="152" t="str">
        <f t="shared" si="53"/>
        <v/>
      </c>
      <c r="V36" s="152" t="str">
        <f t="shared" si="54"/>
        <v/>
      </c>
      <c r="W36" s="152" t="str">
        <f t="shared" si="55"/>
        <v/>
      </c>
      <c r="X36" s="545">
        <f>IF('Marks Entry'!P36="","",'Marks Entry'!P36)</f>
        <v>9</v>
      </c>
      <c r="Y36" s="545">
        <f>IF('Marks Entry'!Q36="","",'Marks Entry'!Q36)</f>
        <v>10</v>
      </c>
      <c r="Z36" s="545">
        <f>IF('Marks Entry'!R36="","",'Marks Entry'!R36)</f>
        <v>9</v>
      </c>
      <c r="AA36" s="546">
        <f t="shared" si="56"/>
        <v>28</v>
      </c>
      <c r="AB36" s="545">
        <f>IF('Marks Entry'!S36="","",'Marks Entry'!S36)</f>
        <v>26</v>
      </c>
      <c r="AC36" s="546">
        <f t="shared" si="57"/>
        <v>54</v>
      </c>
      <c r="AD36" s="545">
        <f>IF('Marks Entry'!T36="","",'Marks Entry'!T36)</f>
        <v>63</v>
      </c>
      <c r="AE36" s="547">
        <f t="shared" si="58"/>
        <v>117</v>
      </c>
      <c r="AF36" s="152">
        <f t="shared" si="59"/>
        <v>0</v>
      </c>
      <c r="AG36" s="152">
        <f t="shared" si="60"/>
        <v>0</v>
      </c>
      <c r="AH36" s="153">
        <f t="shared" si="61"/>
        <v>200</v>
      </c>
      <c r="AI36" s="152" t="str">
        <f t="shared" si="62"/>
        <v/>
      </c>
      <c r="AJ36" s="152" t="str">
        <f t="shared" si="63"/>
        <v/>
      </c>
      <c r="AK36" s="152" t="str">
        <f t="shared" si="64"/>
        <v/>
      </c>
      <c r="AL36" s="573" t="str">
        <f>IF('Marks Entry'!U36="","",'Marks Entry'!U36)</f>
        <v>B</v>
      </c>
      <c r="AM36" s="573">
        <f>IF('Marks Entry'!V36="","",'Marks Entry'!V36)</f>
        <v>10</v>
      </c>
      <c r="AN36" s="573">
        <f>IF('Marks Entry'!W36="","",'Marks Entry'!W36)</f>
        <v>5</v>
      </c>
      <c r="AO36" s="573">
        <f>IF('Marks Entry'!X36="","",'Marks Entry'!X36)</f>
        <v>7</v>
      </c>
      <c r="AP36" s="572">
        <f t="shared" si="65"/>
        <v>22</v>
      </c>
      <c r="AQ36" s="573">
        <f>IF('Marks Entry'!Y36="","",'Marks Entry'!Y36)</f>
        <v>24</v>
      </c>
      <c r="AR36" s="573">
        <f>IF('Marks Entry'!Z36="","",'Marks Entry'!Z36)</f>
        <v>12</v>
      </c>
      <c r="AS36" s="572">
        <f t="shared" si="66"/>
        <v>36</v>
      </c>
      <c r="AT36" s="572">
        <f t="shared" si="67"/>
        <v>58</v>
      </c>
      <c r="AU36" s="573">
        <f>IF('Marks Entry'!AA36="","",'Marks Entry'!AA36)</f>
        <v>45</v>
      </c>
      <c r="AV36" s="573">
        <f>IF('Marks Entry'!AB36="","",'Marks Entry'!AB36)</f>
        <v>25</v>
      </c>
      <c r="AW36" s="572">
        <f t="shared" si="68"/>
        <v>70</v>
      </c>
      <c r="AX36" s="156">
        <f t="shared" si="69"/>
        <v>91</v>
      </c>
      <c r="AY36" s="156">
        <f t="shared" si="70"/>
        <v>37</v>
      </c>
      <c r="AZ36" s="191">
        <f t="shared" si="71"/>
        <v>128</v>
      </c>
      <c r="BA36" s="152">
        <f t="shared" si="72"/>
        <v>0</v>
      </c>
      <c r="BB36" s="153">
        <f t="shared" si="73"/>
        <v>0</v>
      </c>
      <c r="BC36" s="153">
        <f t="shared" si="74"/>
        <v>70</v>
      </c>
      <c r="BD36" s="153">
        <f t="shared" si="75"/>
        <v>50</v>
      </c>
      <c r="BE36" s="153">
        <f t="shared" si="76"/>
        <v>150</v>
      </c>
      <c r="BF36" s="152" t="str">
        <f t="shared" si="77"/>
        <v/>
      </c>
      <c r="BG36" s="153" t="str">
        <f t="shared" si="175"/>
        <v>P</v>
      </c>
      <c r="BH36" s="152" t="str">
        <f t="shared" si="78"/>
        <v>I</v>
      </c>
      <c r="BI36" s="580" t="str">
        <f>IF('Marks Entry'!AC36="","",'Marks Entry'!AC36)</f>
        <v>B</v>
      </c>
      <c r="BJ36" s="580">
        <f>IF('Marks Entry'!AD36="","",'Marks Entry'!AD36)</f>
        <v>15</v>
      </c>
      <c r="BK36" s="580">
        <f>IF('Marks Entry'!AE36="","",'Marks Entry'!AE36)</f>
        <v>14</v>
      </c>
      <c r="BL36" s="580" t="str">
        <f>IF('Marks Entry'!AF36="","",'Marks Entry'!AF36)</f>
        <v/>
      </c>
      <c r="BM36" s="581">
        <f t="shared" si="79"/>
        <v>29</v>
      </c>
      <c r="BN36" s="580">
        <f>IF('Marks Entry'!AG36="","",'Marks Entry'!AG36)</f>
        <v>40</v>
      </c>
      <c r="BO36" s="580" t="str">
        <f>IF('Marks Entry'!AH36="","",'Marks Entry'!AH36)</f>
        <v/>
      </c>
      <c r="BP36" s="581">
        <f t="shared" si="80"/>
        <v>40</v>
      </c>
      <c r="BQ36" s="581">
        <f t="shared" si="81"/>
        <v>69</v>
      </c>
      <c r="BR36" s="580">
        <f>IF('Marks Entry'!AI36="","",'Marks Entry'!AI36)</f>
        <v>49</v>
      </c>
      <c r="BS36" s="580" t="str">
        <f>IF('Marks Entry'!AJ36="","",'Marks Entry'!AJ36)</f>
        <v/>
      </c>
      <c r="BT36" s="581">
        <f t="shared" si="82"/>
        <v>49</v>
      </c>
      <c r="BU36" s="156">
        <f t="shared" si="83"/>
        <v>118</v>
      </c>
      <c r="BV36" s="156" t="str">
        <f t="shared" si="84"/>
        <v/>
      </c>
      <c r="BW36" s="191">
        <f t="shared" si="85"/>
        <v>118</v>
      </c>
      <c r="BX36" s="152">
        <f t="shared" si="86"/>
        <v>0</v>
      </c>
      <c r="BY36" s="153">
        <f t="shared" si="87"/>
        <v>0</v>
      </c>
      <c r="BZ36" s="153">
        <f t="shared" si="88"/>
        <v>100</v>
      </c>
      <c r="CA36" s="153" t="str">
        <f t="shared" si="89"/>
        <v/>
      </c>
      <c r="CB36" s="153">
        <f t="shared" si="90"/>
        <v>200</v>
      </c>
      <c r="CC36" s="152" t="str">
        <f t="shared" si="91"/>
        <v/>
      </c>
      <c r="CD36" s="153" t="str">
        <f t="shared" si="92"/>
        <v>P</v>
      </c>
      <c r="CE36" s="152" t="str">
        <f t="shared" si="93"/>
        <v>II</v>
      </c>
      <c r="CF36" s="580" t="str">
        <f>IF('Marks Entry'!AK36="","",'Marks Entry'!AK36)</f>
        <v>B</v>
      </c>
      <c r="CG36" s="580">
        <f>IF('Marks Entry'!AL36="","",'Marks Entry'!AL36)</f>
        <v>15</v>
      </c>
      <c r="CH36" s="580">
        <f>IF('Marks Entry'!AM36="","",'Marks Entry'!AM36)</f>
        <v>12</v>
      </c>
      <c r="CI36" s="580" t="str">
        <f>IF('Marks Entry'!AN36="","",'Marks Entry'!AN36)</f>
        <v/>
      </c>
      <c r="CJ36" s="581">
        <f t="shared" si="94"/>
        <v>27</v>
      </c>
      <c r="CK36" s="580" t="str">
        <f>IF('Marks Entry'!AO36="","",'Marks Entry'!AO36)</f>
        <v/>
      </c>
      <c r="CL36" s="580" t="str">
        <f>IF('Marks Entry'!AP36="","",'Marks Entry'!AP36)</f>
        <v/>
      </c>
      <c r="CM36" s="581" t="str">
        <f t="shared" si="95"/>
        <v/>
      </c>
      <c r="CN36" s="581">
        <f t="shared" si="96"/>
        <v>27</v>
      </c>
      <c r="CO36" s="580" t="str">
        <f>IF('Marks Entry'!AQ36="","",'Marks Entry'!AQ36)</f>
        <v/>
      </c>
      <c r="CP36" s="580" t="str">
        <f>IF('Marks Entry'!AR36="","",'Marks Entry'!AR36)</f>
        <v/>
      </c>
      <c r="CQ36" s="581" t="str">
        <f t="shared" si="97"/>
        <v/>
      </c>
      <c r="CR36" s="156">
        <f t="shared" si="98"/>
        <v>27</v>
      </c>
      <c r="CS36" s="156" t="str">
        <f t="shared" si="99"/>
        <v/>
      </c>
      <c r="CT36" s="191">
        <f t="shared" si="100"/>
        <v>27</v>
      </c>
      <c r="CU36" s="152">
        <f t="shared" si="101"/>
        <v>0</v>
      </c>
      <c r="CV36" s="153">
        <f t="shared" si="102"/>
        <v>0</v>
      </c>
      <c r="CW36" s="153">
        <f t="shared" si="103"/>
        <v>100</v>
      </c>
      <c r="CX36" s="153" t="str">
        <f t="shared" si="104"/>
        <v/>
      </c>
      <c r="CY36" s="153">
        <f t="shared" si="176"/>
        <v>200</v>
      </c>
      <c r="CZ36" s="152" t="str">
        <f t="shared" si="105"/>
        <v/>
      </c>
      <c r="DA36" s="153" t="str">
        <f t="shared" si="106"/>
        <v/>
      </c>
      <c r="DB36" s="152" t="str">
        <f t="shared" si="107"/>
        <v/>
      </c>
      <c r="DC36" s="153">
        <f t="shared" si="108"/>
        <v>0</v>
      </c>
      <c r="DD36" s="851" t="str">
        <f>IF('Marks Entry'!AS36="","",IF(OR('Master Sheet'!$D$19="YES",'Marks Entry'!$BA$1=1),'Marks Entry'!AS36,""))</f>
        <v/>
      </c>
      <c r="DE36" s="851" t="str">
        <f>IF('Marks Entry'!AT36="","",IF(OR('Master Sheet'!$D$19="YES",'Marks Entry'!$BA$1=1),'Marks Entry'!AT36,""))</f>
        <v/>
      </c>
      <c r="DF36" s="851" t="str">
        <f>IF('Marks Entry'!AU36="","",IF(OR('Master Sheet'!$D$19="YES",'Marks Entry'!$BA$1=1),'Marks Entry'!AU36,""))</f>
        <v/>
      </c>
      <c r="DG36" s="851" t="str">
        <f>IF('Marks Entry'!AV36="","",IF(OR('Master Sheet'!$D$19="YES",'Marks Entry'!$BA$1=1),'Marks Entry'!AV36,""))</f>
        <v/>
      </c>
      <c r="DH36" s="852" t="str">
        <f t="shared" si="109"/>
        <v/>
      </c>
      <c r="DI36" s="851" t="str">
        <f>IF('Marks Entry'!AW36="","",IF(OR('Master Sheet'!$D$19="YES",'Marks Entry'!$BA$1=1),'Marks Entry'!AW36,""))</f>
        <v/>
      </c>
      <c r="DJ36" s="851" t="str">
        <f>IF('Marks Entry'!AX36="","",IF(OR('Master Sheet'!$D$19="YES",'Marks Entry'!$BA$1=1),'Marks Entry'!AX36,""))</f>
        <v/>
      </c>
      <c r="DK36" s="852" t="str">
        <f t="shared" si="110"/>
        <v/>
      </c>
      <c r="DL36" s="852" t="str">
        <f t="shared" si="111"/>
        <v/>
      </c>
      <c r="DM36" s="851" t="str">
        <f>IF('Marks Entry'!AY36="","",IF(OR('Master Sheet'!$D$19="YES",'Marks Entry'!$BA$1=1),'Marks Entry'!AY36,""))</f>
        <v/>
      </c>
      <c r="DN36" s="851" t="str">
        <f>IF('Marks Entry'!AZ36="","",IF(OR('Master Sheet'!$D$19="YES",'Marks Entry'!$BA$1=1),'Marks Entry'!AZ36,""))</f>
        <v/>
      </c>
      <c r="DO36" s="851" t="str">
        <f>IF('Marks Entry'!BA36="","",IF(OR('Master Sheet'!$D$19="YES",'Marks Entry'!$BA$1=1),'Marks Entry'!BA36,""))</f>
        <v/>
      </c>
      <c r="DP36" s="852" t="str">
        <f t="shared" si="112"/>
        <v/>
      </c>
      <c r="DQ36" s="156" t="str">
        <f t="shared" si="113"/>
        <v/>
      </c>
      <c r="DR36" s="156" t="str">
        <f t="shared" si="114"/>
        <v/>
      </c>
      <c r="DS36" s="156" t="str">
        <f t="shared" si="115"/>
        <v/>
      </c>
      <c r="DT36" s="191" t="str">
        <f t="shared" si="116"/>
        <v/>
      </c>
      <c r="DU36" s="152">
        <f t="shared" si="117"/>
        <v>0</v>
      </c>
      <c r="DV36" s="153">
        <f t="shared" si="118"/>
        <v>0</v>
      </c>
      <c r="DW36" s="153" t="str">
        <f t="shared" si="119"/>
        <v/>
      </c>
      <c r="DX36" s="153" t="str">
        <f>IF(OR($B36="NSO",$B36=0,DS36=""),"",IF(AND(DJ36="",DO36=""),"",IF('Master Sheet'!$D$19="YES",$DO$6-COUNTIF(DO36,"ML")*DO$6,DS$6-(COUNTIF(DJ36,"ML")*DJ$6)-(COUNTIF(DO36,"ML")*DO$6))))</f>
        <v/>
      </c>
      <c r="DY36" s="153" t="str">
        <f>IF(OR($B36="NSO",$B36=0),"",IF(AND(DH36="",DI36="",DM36=""),"",IF(AND('Master Sheet'!$D$19="YES",'Marks Entry'!$BA$1=1),100,IF(AND(DJ36="",DO36=""),SUM(($DQ$7+$DR$7)-(DU36+DV36)),SUM(($DQ$6+$DR$6)-(DU36+DV36))))))</f>
        <v/>
      </c>
      <c r="DZ36" s="152" t="str">
        <f t="shared" si="120"/>
        <v/>
      </c>
      <c r="EA36" s="153" t="str">
        <f t="shared" si="121"/>
        <v/>
      </c>
      <c r="EB36" s="152" t="str">
        <f t="shared" si="122"/>
        <v/>
      </c>
      <c r="EC36" s="584">
        <f>IF('Marks Entry'!BB36="","",'Marks Entry'!BB36)</f>
        <v>20</v>
      </c>
      <c r="ED36" s="584">
        <f>IF('Marks Entry'!BC36="","",'Marks Entry'!BC36)</f>
        <v>30</v>
      </c>
      <c r="EE36" s="584">
        <f>IF('Marks Entry'!BD36="","",'Marks Entry'!BD36)</f>
        <v>32</v>
      </c>
      <c r="EF36" s="590">
        <f t="shared" si="123"/>
        <v>82</v>
      </c>
      <c r="EG36" s="595">
        <f t="shared" si="124"/>
        <v>0</v>
      </c>
      <c r="EH36" s="595">
        <f t="shared" si="125"/>
        <v>0</v>
      </c>
      <c r="EI36" s="192">
        <f t="shared" si="126"/>
        <v>100</v>
      </c>
      <c r="EJ36" s="595" t="str">
        <f t="shared" si="127"/>
        <v/>
      </c>
      <c r="EK36" s="595" t="str">
        <f t="shared" si="128"/>
        <v>A</v>
      </c>
      <c r="EL36" s="193" t="str">
        <f t="shared" si="129"/>
        <v/>
      </c>
      <c r="EM36" s="193" t="str">
        <f t="shared" si="130"/>
        <v/>
      </c>
      <c r="EN36" s="193" t="str">
        <f t="shared" si="131"/>
        <v>I</v>
      </c>
      <c r="EO36" s="193" t="str">
        <f t="shared" si="132"/>
        <v>II</v>
      </c>
      <c r="EP36" s="193" t="str">
        <f t="shared" si="133"/>
        <v/>
      </c>
      <c r="EQ36" s="193" t="str">
        <f t="shared" si="134"/>
        <v/>
      </c>
      <c r="ER36" s="194">
        <f t="shared" si="135"/>
        <v>0</v>
      </c>
      <c r="ES36" s="194">
        <f t="shared" si="136"/>
        <v>0</v>
      </c>
      <c r="ET36" s="194">
        <f t="shared" si="137"/>
        <v>0</v>
      </c>
      <c r="EU36" s="194">
        <f t="shared" si="138"/>
        <v>0</v>
      </c>
      <c r="EV36" s="194">
        <f t="shared" si="139"/>
        <v>0</v>
      </c>
      <c r="EW36" s="194" t="str">
        <f t="shared" si="140"/>
        <v/>
      </c>
      <c r="EX36" s="195" t="str">
        <f t="shared" si="141"/>
        <v/>
      </c>
      <c r="EY36" s="196">
        <f>IF('Marks Entry'!BE36="","",'Marks Entry'!BE36)</f>
        <v>7</v>
      </c>
      <c r="EZ36" s="196">
        <f>IF('Marks Entry'!BF36="","",'Marks Entry'!BF36)</f>
        <v>7</v>
      </c>
      <c r="FA36" s="196">
        <f>IF('Marks Entry'!BG36="","",'Marks Entry'!BG36)</f>
        <v>7</v>
      </c>
      <c r="FB36" s="596">
        <f t="shared" si="142"/>
        <v>21</v>
      </c>
      <c r="FC36" s="196">
        <f>IF('Marks Entry'!BH36="","",'Marks Entry'!BH36)</f>
        <v>41</v>
      </c>
      <c r="FD36" s="196">
        <f>IF('Marks Entry'!BI36="","",'Marks Entry'!BI36)</f>
        <v>68</v>
      </c>
      <c r="FE36" s="197">
        <f t="shared" si="143"/>
        <v>130</v>
      </c>
      <c r="FF36" s="198" t="str">
        <f t="shared" si="144"/>
        <v>B</v>
      </c>
      <c r="FG36" s="199" t="str">
        <f>IF(AND(E36=""),"",IF('Student DATA Entry'!L32="","",'Student DATA Entry'!L32))</f>
        <v/>
      </c>
      <c r="FH36" s="200" t="str">
        <f>IF(AND(E36=""),"",IF('Student DATA Entry'!M32="","",'Student DATA Entry'!M32))</f>
        <v/>
      </c>
      <c r="FI36" s="201" t="str">
        <f t="shared" si="145"/>
        <v/>
      </c>
      <c r="FJ36" s="188" t="str">
        <f t="shared" si="146"/>
        <v/>
      </c>
      <c r="FK36" s="188" t="str">
        <f t="shared" si="147"/>
        <v/>
      </c>
      <c r="FL36" s="202" t="str">
        <f t="shared" si="19"/>
        <v/>
      </c>
      <c r="FM36" s="188" t="str">
        <f t="shared" si="148"/>
        <v/>
      </c>
      <c r="FN36" s="203" t="str">
        <f t="shared" si="149"/>
        <v/>
      </c>
      <c r="FO36" s="202" t="str">
        <f t="shared" si="20"/>
        <v/>
      </c>
      <c r="FP36" s="204" t="str">
        <f t="shared" si="150"/>
        <v>I</v>
      </c>
      <c r="FQ36" s="188" t="str">
        <f t="shared" si="21"/>
        <v/>
      </c>
      <c r="FR36" s="188" t="str">
        <f t="shared" si="22"/>
        <v>I</v>
      </c>
      <c r="FS36" s="188" t="str">
        <f t="shared" si="23"/>
        <v/>
      </c>
      <c r="FT36" s="188" t="str">
        <f t="shared" si="24"/>
        <v/>
      </c>
      <c r="FU36" s="188" t="str">
        <f t="shared" si="151"/>
        <v/>
      </c>
      <c r="FV36" s="205" t="str">
        <f t="shared" si="25"/>
        <v/>
      </c>
      <c r="FW36" s="204" t="str">
        <f t="shared" si="152"/>
        <v>II</v>
      </c>
      <c r="FX36" s="188" t="str">
        <f t="shared" si="26"/>
        <v/>
      </c>
      <c r="FY36" s="188" t="str">
        <f t="shared" si="27"/>
        <v>II</v>
      </c>
      <c r="FZ36" s="188" t="str">
        <f t="shared" si="28"/>
        <v/>
      </c>
      <c r="GA36" s="188" t="str">
        <f t="shared" si="29"/>
        <v/>
      </c>
      <c r="GB36" s="188" t="str">
        <f t="shared" si="153"/>
        <v/>
      </c>
      <c r="GC36" s="205" t="str">
        <f t="shared" si="30"/>
        <v/>
      </c>
      <c r="GD36" s="204" t="str">
        <f t="shared" si="154"/>
        <v/>
      </c>
      <c r="GE36" s="188" t="str">
        <f t="shared" si="31"/>
        <v/>
      </c>
      <c r="GF36" s="188" t="str">
        <f t="shared" si="32"/>
        <v/>
      </c>
      <c r="GG36" s="188" t="str">
        <f t="shared" si="33"/>
        <v/>
      </c>
      <c r="GH36" s="188" t="str">
        <f t="shared" si="34"/>
        <v/>
      </c>
      <c r="GI36" s="188" t="str">
        <f t="shared" si="155"/>
        <v/>
      </c>
      <c r="GJ36" s="205" t="str">
        <f t="shared" si="35"/>
        <v/>
      </c>
      <c r="GK36" s="204" t="str">
        <f t="shared" si="156"/>
        <v/>
      </c>
      <c r="GL36" s="188" t="str">
        <f t="shared" si="36"/>
        <v/>
      </c>
      <c r="GM36" s="188" t="str">
        <f t="shared" si="37"/>
        <v/>
      </c>
      <c r="GN36" s="188" t="str">
        <f t="shared" si="38"/>
        <v/>
      </c>
      <c r="GO36" s="188" t="str">
        <f t="shared" si="39"/>
        <v/>
      </c>
      <c r="GP36" s="188" t="str">
        <f t="shared" si="157"/>
        <v/>
      </c>
      <c r="GQ36" s="205" t="str">
        <f t="shared" si="40"/>
        <v/>
      </c>
      <c r="GR36" s="188" t="str">
        <f t="shared" si="158"/>
        <v>A</v>
      </c>
      <c r="GS36" s="188" t="str">
        <f t="shared" si="159"/>
        <v>B</v>
      </c>
      <c r="GT36" s="206" t="str">
        <f t="shared" si="177"/>
        <v xml:space="preserve">    </v>
      </c>
      <c r="GU36" s="206" t="str">
        <f t="shared" si="160"/>
        <v xml:space="preserve">    </v>
      </c>
      <c r="GV36" s="206" t="str">
        <f t="shared" si="161"/>
        <v xml:space="preserve">    </v>
      </c>
      <c r="GW36" s="206" t="str">
        <f t="shared" si="162"/>
        <v xml:space="preserve">       </v>
      </c>
      <c r="GX36" s="598" t="str">
        <f t="shared" si="163"/>
        <v xml:space="preserve">     </v>
      </c>
      <c r="GY36" s="207" t="str">
        <f t="shared" si="164"/>
        <v/>
      </c>
      <c r="GZ36" s="606">
        <f>IF(AND(Q36="",AE36="",AZ36="",BW36="",CT36=""),"",IF(AND('Master Sheet'!$D$19="YES",'Marks Entry'!$BA$1=1),SUM(Q36,AE36,AZ36,BW36,DT36),SUM(Q36,AE36,AZ36,BW36,CT36)))</f>
        <v>488</v>
      </c>
      <c r="HA36" s="208">
        <f>IF(GZ36="","",IF(AND('Master Sheet'!$D$19="YES",'Marks Entry'!$BA$1=1),GZ36/((900)-DC36)*100,GZ36/((1000)-DC36)*100))</f>
        <v>48.8</v>
      </c>
      <c r="HB36" s="611" t="str">
        <f t="shared" si="165"/>
        <v/>
      </c>
      <c r="HC36" s="609" t="str">
        <f t="shared" si="166"/>
        <v/>
      </c>
      <c r="HD36" s="610" t="str">
        <f t="shared" si="167"/>
        <v/>
      </c>
      <c r="HE36" s="209" t="str">
        <f>IFERROR(IF(OR(GY36="SUPPLEMENTARY",GY36="RE-EXAM"),'Supp. Result Entry'!AS35,""),"")</f>
        <v/>
      </c>
      <c r="HF36" s="613" t="str">
        <f t="shared" si="168"/>
        <v/>
      </c>
      <c r="HG36" s="598" t="str">
        <f t="shared" si="169"/>
        <v/>
      </c>
      <c r="HH36" s="598" t="str">
        <f>IF(AND(HE36="",HF36="",HG36=""),"",IF(OR(GY36="SUPPLEMENTARY",GY36="RE-EXAM"),'Supp. Result Entry'!AS35,GY36))</f>
        <v/>
      </c>
      <c r="HI36" s="179"/>
      <c r="HY36" s="211" t="str">
        <f>IF('Supp. Result Entry'!U35="","",'Supp. Result Entry'!$U$6)</f>
        <v/>
      </c>
      <c r="HZ36" s="212" t="str">
        <f>IF('Supp. Result Entry'!X35="","",'Supp. Result Entry'!$X$6)</f>
        <v/>
      </c>
      <c r="IA36" s="212" t="str">
        <f>IF('Supp. Result Entry'!AA35="","",'Supp. Result Entry'!$AA$6)</f>
        <v/>
      </c>
      <c r="IB36" s="212" t="str">
        <f>IF('Supp. Result Entry'!AD35="","",'Supp. Result Entry'!$AD$6)</f>
        <v/>
      </c>
      <c r="IC36" s="212" t="str">
        <f>IF('Supp. Result Entry'!AG35="","",'Supp. Result Entry'!$AG$6)</f>
        <v/>
      </c>
      <c r="ID36" s="212" t="str">
        <f>IF('Supp. Result Entry'!AJ35="","",'Supp. Result Entry'!$AJ$6)</f>
        <v/>
      </c>
      <c r="IE36" s="212" t="str">
        <f>IF('Supp. Result Entry'!V35="","",'Supp. Result Entry'!V35)</f>
        <v/>
      </c>
      <c r="IF36" s="212" t="str">
        <f>IF('Supp. Result Entry'!Y35="","",'Supp. Result Entry'!Y35)</f>
        <v/>
      </c>
      <c r="IG36" s="212" t="str">
        <f>IF('Supp. Result Entry'!AB35="","",'Supp. Result Entry'!AB35)</f>
        <v/>
      </c>
      <c r="IH36" s="212" t="str">
        <f>IF('Supp. Result Entry'!AE35="","",'Supp. Result Entry'!AE35)</f>
        <v/>
      </c>
      <c r="II36" s="212" t="str">
        <f>IF('Supp. Result Entry'!AH35="","",'Supp. Result Entry'!AH35)</f>
        <v/>
      </c>
      <c r="IJ36" s="212" t="str">
        <f>IF('Supp. Result Entry'!AK35="","",'Supp. Result Entry'!AK35)</f>
        <v/>
      </c>
      <c r="IK36" s="212" t="str">
        <f>IF('Supp. Result Entry'!W35="","",'Supp. Result Entry'!W35)</f>
        <v/>
      </c>
      <c r="IL36" s="212" t="str">
        <f>IF('Supp. Result Entry'!Z35="","",'Supp. Result Entry'!Z35)</f>
        <v/>
      </c>
      <c r="IM36" s="212" t="str">
        <f>IF('Supp. Result Entry'!AC35="","",'Supp. Result Entry'!AC35)</f>
        <v/>
      </c>
      <c r="IN36" s="212" t="str">
        <f>IF('Supp. Result Entry'!AF35="","",'Supp. Result Entry'!AF35)</f>
        <v/>
      </c>
      <c r="IO36" s="212" t="str">
        <f>IF('Supp. Result Entry'!AI35="","",'Supp. Result Entry'!AI35)</f>
        <v/>
      </c>
      <c r="IP36" s="212" t="str">
        <f>IF('Supp. Result Entry'!AL35="","",'Supp. Result Entry'!AL35)</f>
        <v/>
      </c>
      <c r="IQ36" s="212">
        <f>COUNTIF('Supp. Result Entry'!K35:Q35,"S")</f>
        <v>0</v>
      </c>
      <c r="IR36" s="212">
        <f t="shared" si="170"/>
        <v>0</v>
      </c>
      <c r="IS36" s="212">
        <f t="shared" si="171"/>
        <v>0</v>
      </c>
      <c r="IT36" s="212" t="str">
        <f t="shared" si="41"/>
        <v/>
      </c>
      <c r="IU36" s="212" t="str">
        <f t="shared" si="42"/>
        <v/>
      </c>
      <c r="IV36" s="212" t="str">
        <f t="shared" si="43"/>
        <v/>
      </c>
      <c r="IW36" s="212" t="str">
        <f t="shared" si="44"/>
        <v/>
      </c>
      <c r="IX36" s="212" t="str">
        <f t="shared" si="45"/>
        <v/>
      </c>
      <c r="IY36" s="212" t="str">
        <f t="shared" si="172"/>
        <v/>
      </c>
      <c r="IZ36" s="212" t="str">
        <f t="shared" si="173"/>
        <v/>
      </c>
      <c r="JA36" s="212" t="str">
        <f t="shared" si="46"/>
        <v/>
      </c>
      <c r="JB36" s="210" t="str">
        <f t="shared" si="174"/>
        <v/>
      </c>
    </row>
    <row r="37" spans="1:262" s="210" customFormat="1" ht="21" customHeight="1">
      <c r="A37" s="183">
        <v>30</v>
      </c>
      <c r="B37" s="184" t="str">
        <f>IF('Marks Entry'!B37="","",'Marks Entry'!B37)</f>
        <v/>
      </c>
      <c r="C37" s="185" t="str">
        <f>IF('Marks Entry'!D37="","",'Marks Entry'!D37)</f>
        <v/>
      </c>
      <c r="D37" s="186" t="str">
        <f>IF('Marks Entry'!E37="","",'Marks Entry'!E37)</f>
        <v/>
      </c>
      <c r="E37" s="187" t="str">
        <f>IF('Marks Entry'!F37="","",'Marks Entry'!F37)</f>
        <v/>
      </c>
      <c r="F37" s="187" t="str">
        <f>IF('Marks Entry'!G37="","",'Marks Entry'!G37)</f>
        <v/>
      </c>
      <c r="G37" s="187" t="str">
        <f>IF('Marks Entry'!H37="","",'Marks Entry'!H37)</f>
        <v/>
      </c>
      <c r="H37" s="188" t="str">
        <f>IF('Marks Entry'!I37="","",'Marks Entry'!I37)</f>
        <v/>
      </c>
      <c r="I37" s="189" t="str">
        <f>IF('Marks Entry'!J37="","",'Marks Entry'!J37)</f>
        <v/>
      </c>
      <c r="J37" s="545">
        <f>IF('Marks Entry'!K37="","",'Marks Entry'!K37)</f>
        <v>14</v>
      </c>
      <c r="K37" s="545">
        <f>IF('Marks Entry'!L37="","",'Marks Entry'!L37)</f>
        <v>5</v>
      </c>
      <c r="L37" s="545">
        <f>IF('Marks Entry'!M37="","",'Marks Entry'!M37)</f>
        <v>8</v>
      </c>
      <c r="M37" s="546">
        <f t="shared" si="47"/>
        <v>27</v>
      </c>
      <c r="N37" s="545">
        <f>IF('Marks Entry'!N37="","",'Marks Entry'!N37)</f>
        <v>25</v>
      </c>
      <c r="O37" s="546">
        <f t="shared" si="48"/>
        <v>52</v>
      </c>
      <c r="P37" s="545">
        <f>IF('Marks Entry'!O37="","",'Marks Entry'!O37)</f>
        <v>58</v>
      </c>
      <c r="Q37" s="547">
        <f t="shared" si="49"/>
        <v>110</v>
      </c>
      <c r="R37" s="152">
        <f t="shared" si="50"/>
        <v>0</v>
      </c>
      <c r="S37" s="152">
        <f t="shared" si="51"/>
        <v>0</v>
      </c>
      <c r="T37" s="153">
        <f t="shared" si="52"/>
        <v>200</v>
      </c>
      <c r="U37" s="152" t="str">
        <f t="shared" si="53"/>
        <v/>
      </c>
      <c r="V37" s="152" t="str">
        <f t="shared" si="54"/>
        <v/>
      </c>
      <c r="W37" s="152" t="str">
        <f t="shared" si="55"/>
        <v/>
      </c>
      <c r="X37" s="545">
        <f>IF('Marks Entry'!P37="","",'Marks Entry'!P37)</f>
        <v>8</v>
      </c>
      <c r="Y37" s="545">
        <f>IF('Marks Entry'!Q37="","",'Marks Entry'!Q37)</f>
        <v>10</v>
      </c>
      <c r="Z37" s="545">
        <f>IF('Marks Entry'!R37="","",'Marks Entry'!R37)</f>
        <v>9</v>
      </c>
      <c r="AA37" s="546">
        <f t="shared" si="56"/>
        <v>27</v>
      </c>
      <c r="AB37" s="545">
        <f>IF('Marks Entry'!S37="","",'Marks Entry'!S37)</f>
        <v>28</v>
      </c>
      <c r="AC37" s="546">
        <f t="shared" si="57"/>
        <v>55</v>
      </c>
      <c r="AD37" s="545">
        <f>IF('Marks Entry'!T37="","",'Marks Entry'!T37)</f>
        <v>65</v>
      </c>
      <c r="AE37" s="547">
        <f t="shared" si="58"/>
        <v>120</v>
      </c>
      <c r="AF37" s="152">
        <f t="shared" si="59"/>
        <v>0</v>
      </c>
      <c r="AG37" s="152">
        <f t="shared" si="60"/>
        <v>0</v>
      </c>
      <c r="AH37" s="153">
        <f t="shared" si="61"/>
        <v>200</v>
      </c>
      <c r="AI37" s="152" t="str">
        <f t="shared" si="62"/>
        <v/>
      </c>
      <c r="AJ37" s="152" t="str">
        <f t="shared" si="63"/>
        <v/>
      </c>
      <c r="AK37" s="152" t="str">
        <f t="shared" si="64"/>
        <v/>
      </c>
      <c r="AL37" s="573" t="str">
        <f>IF('Marks Entry'!U37="","",'Marks Entry'!U37)</f>
        <v>B</v>
      </c>
      <c r="AM37" s="573">
        <f>IF('Marks Entry'!V37="","",'Marks Entry'!V37)</f>
        <v>10</v>
      </c>
      <c r="AN37" s="573">
        <f>IF('Marks Entry'!W37="","",'Marks Entry'!W37)</f>
        <v>10</v>
      </c>
      <c r="AO37" s="573">
        <f>IF('Marks Entry'!X37="","",'Marks Entry'!X37)</f>
        <v>7</v>
      </c>
      <c r="AP37" s="572">
        <f t="shared" si="65"/>
        <v>27</v>
      </c>
      <c r="AQ37" s="573">
        <f>IF('Marks Entry'!Y37="","",'Marks Entry'!Y37)</f>
        <v>29</v>
      </c>
      <c r="AR37" s="573">
        <f>IF('Marks Entry'!Z37="","",'Marks Entry'!Z37)</f>
        <v>10</v>
      </c>
      <c r="AS37" s="572">
        <f t="shared" si="66"/>
        <v>39</v>
      </c>
      <c r="AT37" s="572">
        <f t="shared" si="67"/>
        <v>66</v>
      </c>
      <c r="AU37" s="573">
        <f>IF('Marks Entry'!AA37="","",'Marks Entry'!AA37)</f>
        <v>40</v>
      </c>
      <c r="AV37" s="573">
        <f>IF('Marks Entry'!AB37="","",'Marks Entry'!AB37)</f>
        <v>25</v>
      </c>
      <c r="AW37" s="572">
        <f t="shared" si="68"/>
        <v>65</v>
      </c>
      <c r="AX37" s="156">
        <f t="shared" si="69"/>
        <v>96</v>
      </c>
      <c r="AY37" s="156">
        <f t="shared" si="70"/>
        <v>35</v>
      </c>
      <c r="AZ37" s="191">
        <f t="shared" si="71"/>
        <v>131</v>
      </c>
      <c r="BA37" s="152">
        <f t="shared" si="72"/>
        <v>0</v>
      </c>
      <c r="BB37" s="153">
        <f t="shared" si="73"/>
        <v>0</v>
      </c>
      <c r="BC37" s="153">
        <f t="shared" si="74"/>
        <v>70</v>
      </c>
      <c r="BD37" s="153">
        <f t="shared" si="75"/>
        <v>50</v>
      </c>
      <c r="BE37" s="153">
        <f t="shared" si="76"/>
        <v>150</v>
      </c>
      <c r="BF37" s="152" t="str">
        <f t="shared" si="77"/>
        <v/>
      </c>
      <c r="BG37" s="153" t="str">
        <f t="shared" si="175"/>
        <v>P</v>
      </c>
      <c r="BH37" s="152" t="str">
        <f t="shared" si="78"/>
        <v>I</v>
      </c>
      <c r="BI37" s="580" t="str">
        <f>IF('Marks Entry'!AC37="","",'Marks Entry'!AC37)</f>
        <v>B</v>
      </c>
      <c r="BJ37" s="580">
        <f>IF('Marks Entry'!AD37="","",'Marks Entry'!AD37)</f>
        <v>14</v>
      </c>
      <c r="BK37" s="580">
        <f>IF('Marks Entry'!AE37="","",'Marks Entry'!AE37)</f>
        <v>15</v>
      </c>
      <c r="BL37" s="580" t="str">
        <f>IF('Marks Entry'!AF37="","",'Marks Entry'!AF37)</f>
        <v/>
      </c>
      <c r="BM37" s="581">
        <f t="shared" si="79"/>
        <v>29</v>
      </c>
      <c r="BN37" s="580">
        <f>IF('Marks Entry'!AG37="","",'Marks Entry'!AG37)</f>
        <v>41</v>
      </c>
      <c r="BO37" s="580" t="str">
        <f>IF('Marks Entry'!AH37="","",'Marks Entry'!AH37)</f>
        <v/>
      </c>
      <c r="BP37" s="581">
        <f t="shared" si="80"/>
        <v>41</v>
      </c>
      <c r="BQ37" s="581">
        <f t="shared" si="81"/>
        <v>70</v>
      </c>
      <c r="BR37" s="580">
        <f>IF('Marks Entry'!AI37="","",'Marks Entry'!AI37)</f>
        <v>50</v>
      </c>
      <c r="BS37" s="580" t="str">
        <f>IF('Marks Entry'!AJ37="","",'Marks Entry'!AJ37)</f>
        <v/>
      </c>
      <c r="BT37" s="581">
        <f t="shared" si="82"/>
        <v>50</v>
      </c>
      <c r="BU37" s="156">
        <f t="shared" si="83"/>
        <v>120</v>
      </c>
      <c r="BV37" s="156" t="str">
        <f t="shared" si="84"/>
        <v/>
      </c>
      <c r="BW37" s="191">
        <f t="shared" si="85"/>
        <v>120</v>
      </c>
      <c r="BX37" s="152">
        <f t="shared" si="86"/>
        <v>0</v>
      </c>
      <c r="BY37" s="153">
        <f t="shared" si="87"/>
        <v>0</v>
      </c>
      <c r="BZ37" s="153">
        <f t="shared" si="88"/>
        <v>100</v>
      </c>
      <c r="CA37" s="153" t="str">
        <f t="shared" si="89"/>
        <v/>
      </c>
      <c r="CB37" s="153">
        <f t="shared" si="90"/>
        <v>200</v>
      </c>
      <c r="CC37" s="152" t="str">
        <f t="shared" si="91"/>
        <v/>
      </c>
      <c r="CD37" s="153" t="str">
        <f t="shared" si="92"/>
        <v>P</v>
      </c>
      <c r="CE37" s="152" t="str">
        <f t="shared" si="93"/>
        <v>I</v>
      </c>
      <c r="CF37" s="580" t="str">
        <f>IF('Marks Entry'!AK37="","",'Marks Entry'!AK37)</f>
        <v>B</v>
      </c>
      <c r="CG37" s="580">
        <f>IF('Marks Entry'!AL37="","",'Marks Entry'!AL37)</f>
        <v>14</v>
      </c>
      <c r="CH37" s="580">
        <f>IF('Marks Entry'!AM37="","",'Marks Entry'!AM37)</f>
        <v>13</v>
      </c>
      <c r="CI37" s="580" t="str">
        <f>IF('Marks Entry'!AN37="","",'Marks Entry'!AN37)</f>
        <v/>
      </c>
      <c r="CJ37" s="581">
        <f t="shared" si="94"/>
        <v>27</v>
      </c>
      <c r="CK37" s="580" t="str">
        <f>IF('Marks Entry'!AO37="","",'Marks Entry'!AO37)</f>
        <v/>
      </c>
      <c r="CL37" s="580" t="str">
        <f>IF('Marks Entry'!AP37="","",'Marks Entry'!AP37)</f>
        <v/>
      </c>
      <c r="CM37" s="581" t="str">
        <f t="shared" si="95"/>
        <v/>
      </c>
      <c r="CN37" s="581">
        <f t="shared" si="96"/>
        <v>27</v>
      </c>
      <c r="CO37" s="580" t="str">
        <f>IF('Marks Entry'!AQ37="","",'Marks Entry'!AQ37)</f>
        <v/>
      </c>
      <c r="CP37" s="580" t="str">
        <f>IF('Marks Entry'!AR37="","",'Marks Entry'!AR37)</f>
        <v/>
      </c>
      <c r="CQ37" s="581" t="str">
        <f t="shared" si="97"/>
        <v/>
      </c>
      <c r="CR37" s="156">
        <f t="shared" si="98"/>
        <v>27</v>
      </c>
      <c r="CS37" s="156" t="str">
        <f t="shared" si="99"/>
        <v/>
      </c>
      <c r="CT37" s="191">
        <f t="shared" si="100"/>
        <v>27</v>
      </c>
      <c r="CU37" s="152">
        <f t="shared" si="101"/>
        <v>0</v>
      </c>
      <c r="CV37" s="153">
        <f t="shared" si="102"/>
        <v>0</v>
      </c>
      <c r="CW37" s="153">
        <f t="shared" si="103"/>
        <v>100</v>
      </c>
      <c r="CX37" s="153" t="str">
        <f t="shared" si="104"/>
        <v/>
      </c>
      <c r="CY37" s="153">
        <f t="shared" si="176"/>
        <v>200</v>
      </c>
      <c r="CZ37" s="152" t="str">
        <f t="shared" si="105"/>
        <v/>
      </c>
      <c r="DA37" s="153" t="str">
        <f t="shared" si="106"/>
        <v/>
      </c>
      <c r="DB37" s="152" t="str">
        <f t="shared" si="107"/>
        <v/>
      </c>
      <c r="DC37" s="153">
        <f t="shared" si="108"/>
        <v>0</v>
      </c>
      <c r="DD37" s="851" t="str">
        <f>IF('Marks Entry'!AS37="","",IF(OR('Master Sheet'!$D$19="YES",'Marks Entry'!$BA$1=1),'Marks Entry'!AS37,""))</f>
        <v/>
      </c>
      <c r="DE37" s="851" t="str">
        <f>IF('Marks Entry'!AT37="","",IF(OR('Master Sheet'!$D$19="YES",'Marks Entry'!$BA$1=1),'Marks Entry'!AT37,""))</f>
        <v/>
      </c>
      <c r="DF37" s="851" t="str">
        <f>IF('Marks Entry'!AU37="","",IF(OR('Master Sheet'!$D$19="YES",'Marks Entry'!$BA$1=1),'Marks Entry'!AU37,""))</f>
        <v/>
      </c>
      <c r="DG37" s="851" t="str">
        <f>IF('Marks Entry'!AV37="","",IF(OR('Master Sheet'!$D$19="YES",'Marks Entry'!$BA$1=1),'Marks Entry'!AV37,""))</f>
        <v/>
      </c>
      <c r="DH37" s="852" t="str">
        <f t="shared" si="109"/>
        <v/>
      </c>
      <c r="DI37" s="851" t="str">
        <f>IF('Marks Entry'!AW37="","",IF(OR('Master Sheet'!$D$19="YES",'Marks Entry'!$BA$1=1),'Marks Entry'!AW37,""))</f>
        <v/>
      </c>
      <c r="DJ37" s="851" t="str">
        <f>IF('Marks Entry'!AX37="","",IF(OR('Master Sheet'!$D$19="YES",'Marks Entry'!$BA$1=1),'Marks Entry'!AX37,""))</f>
        <v/>
      </c>
      <c r="DK37" s="852" t="str">
        <f t="shared" si="110"/>
        <v/>
      </c>
      <c r="DL37" s="852" t="str">
        <f t="shared" si="111"/>
        <v/>
      </c>
      <c r="DM37" s="851" t="str">
        <f>IF('Marks Entry'!AY37="","",IF(OR('Master Sheet'!$D$19="YES",'Marks Entry'!$BA$1=1),'Marks Entry'!AY37,""))</f>
        <v/>
      </c>
      <c r="DN37" s="851" t="str">
        <f>IF('Marks Entry'!AZ37="","",IF(OR('Master Sheet'!$D$19="YES",'Marks Entry'!$BA$1=1),'Marks Entry'!AZ37,""))</f>
        <v/>
      </c>
      <c r="DO37" s="851" t="str">
        <f>IF('Marks Entry'!BA37="","",IF(OR('Master Sheet'!$D$19="YES",'Marks Entry'!$BA$1=1),'Marks Entry'!BA37,""))</f>
        <v/>
      </c>
      <c r="DP37" s="852" t="str">
        <f t="shared" si="112"/>
        <v/>
      </c>
      <c r="DQ37" s="156" t="str">
        <f t="shared" si="113"/>
        <v/>
      </c>
      <c r="DR37" s="156" t="str">
        <f t="shared" si="114"/>
        <v/>
      </c>
      <c r="DS37" s="156" t="str">
        <f t="shared" si="115"/>
        <v/>
      </c>
      <c r="DT37" s="191" t="str">
        <f t="shared" si="116"/>
        <v/>
      </c>
      <c r="DU37" s="152">
        <f t="shared" si="117"/>
        <v>0</v>
      </c>
      <c r="DV37" s="153">
        <f t="shared" si="118"/>
        <v>0</v>
      </c>
      <c r="DW37" s="153" t="str">
        <f t="shared" si="119"/>
        <v/>
      </c>
      <c r="DX37" s="153" t="str">
        <f>IF(OR($B37="NSO",$B37=0,DS37=""),"",IF(AND(DJ37="",DO37=""),"",IF('Master Sheet'!$D$19="YES",$DO$6-COUNTIF(DO37,"ML")*DO$6,DS$6-(COUNTIF(DJ37,"ML")*DJ$6)-(COUNTIF(DO37,"ML")*DO$6))))</f>
        <v/>
      </c>
      <c r="DY37" s="153" t="str">
        <f>IF(OR($B37="NSO",$B37=0),"",IF(AND(DH37="",DI37="",DM37=""),"",IF(AND('Master Sheet'!$D$19="YES",'Marks Entry'!$BA$1=1),100,IF(AND(DJ37="",DO37=""),SUM(($DQ$7+$DR$7)-(DU37+DV37)),SUM(($DQ$6+$DR$6)-(DU37+DV37))))))</f>
        <v/>
      </c>
      <c r="DZ37" s="152" t="str">
        <f t="shared" si="120"/>
        <v/>
      </c>
      <c r="EA37" s="153" t="str">
        <f t="shared" si="121"/>
        <v/>
      </c>
      <c r="EB37" s="152" t="str">
        <f t="shared" si="122"/>
        <v/>
      </c>
      <c r="EC37" s="584">
        <f>IF('Marks Entry'!BB37="","",'Marks Entry'!BB37)</f>
        <v>20</v>
      </c>
      <c r="ED37" s="584">
        <f>IF('Marks Entry'!BC37="","",'Marks Entry'!BC37)</f>
        <v>30</v>
      </c>
      <c r="EE37" s="584">
        <f>IF('Marks Entry'!BD37="","",'Marks Entry'!BD37)</f>
        <v>32</v>
      </c>
      <c r="EF37" s="590">
        <f t="shared" si="123"/>
        <v>82</v>
      </c>
      <c r="EG37" s="595">
        <f t="shared" si="124"/>
        <v>0</v>
      </c>
      <c r="EH37" s="595">
        <f t="shared" si="125"/>
        <v>0</v>
      </c>
      <c r="EI37" s="192">
        <f t="shared" si="126"/>
        <v>100</v>
      </c>
      <c r="EJ37" s="595" t="str">
        <f t="shared" si="127"/>
        <v/>
      </c>
      <c r="EK37" s="595" t="str">
        <f t="shared" si="128"/>
        <v>A</v>
      </c>
      <c r="EL37" s="193" t="str">
        <f t="shared" si="129"/>
        <v/>
      </c>
      <c r="EM37" s="193" t="str">
        <f t="shared" si="130"/>
        <v/>
      </c>
      <c r="EN37" s="193" t="str">
        <f t="shared" si="131"/>
        <v>I</v>
      </c>
      <c r="EO37" s="193" t="str">
        <f t="shared" si="132"/>
        <v>I</v>
      </c>
      <c r="EP37" s="193" t="str">
        <f t="shared" si="133"/>
        <v/>
      </c>
      <c r="EQ37" s="193" t="str">
        <f t="shared" si="134"/>
        <v/>
      </c>
      <c r="ER37" s="194">
        <f t="shared" si="135"/>
        <v>0</v>
      </c>
      <c r="ES37" s="194">
        <f t="shared" si="136"/>
        <v>0</v>
      </c>
      <c r="ET37" s="194">
        <f t="shared" si="137"/>
        <v>0</v>
      </c>
      <c r="EU37" s="194">
        <f t="shared" si="138"/>
        <v>0</v>
      </c>
      <c r="EV37" s="194">
        <f t="shared" si="139"/>
        <v>0</v>
      </c>
      <c r="EW37" s="194" t="str">
        <f t="shared" si="140"/>
        <v/>
      </c>
      <c r="EX37" s="195" t="str">
        <f t="shared" si="141"/>
        <v/>
      </c>
      <c r="EY37" s="196">
        <f>IF('Marks Entry'!BE37="","",'Marks Entry'!BE37)</f>
        <v>7</v>
      </c>
      <c r="EZ37" s="196">
        <f>IF('Marks Entry'!BF37="","",'Marks Entry'!BF37)</f>
        <v>7</v>
      </c>
      <c r="FA37" s="196">
        <f>IF('Marks Entry'!BG37="","",'Marks Entry'!BG37)</f>
        <v>7</v>
      </c>
      <c r="FB37" s="596">
        <f t="shared" si="142"/>
        <v>21</v>
      </c>
      <c r="FC37" s="196">
        <f>IF('Marks Entry'!BH37="","",'Marks Entry'!BH37)</f>
        <v>41</v>
      </c>
      <c r="FD37" s="196">
        <f>IF('Marks Entry'!BI37="","",'Marks Entry'!BI37)</f>
        <v>70</v>
      </c>
      <c r="FE37" s="197">
        <f t="shared" si="143"/>
        <v>132</v>
      </c>
      <c r="FF37" s="198" t="str">
        <f t="shared" si="144"/>
        <v>B</v>
      </c>
      <c r="FG37" s="199" t="str">
        <f>IF(AND(E37=""),"",IF('Student DATA Entry'!L33="","",'Student DATA Entry'!L33))</f>
        <v/>
      </c>
      <c r="FH37" s="200" t="str">
        <f>IF(AND(E37=""),"",IF('Student DATA Entry'!M33="","",'Student DATA Entry'!M33))</f>
        <v/>
      </c>
      <c r="FI37" s="201" t="str">
        <f t="shared" si="145"/>
        <v/>
      </c>
      <c r="FJ37" s="188" t="str">
        <f t="shared" si="146"/>
        <v/>
      </c>
      <c r="FK37" s="188" t="str">
        <f t="shared" si="147"/>
        <v/>
      </c>
      <c r="FL37" s="202" t="str">
        <f t="shared" si="19"/>
        <v/>
      </c>
      <c r="FM37" s="188" t="str">
        <f t="shared" si="148"/>
        <v/>
      </c>
      <c r="FN37" s="203" t="str">
        <f t="shared" si="149"/>
        <v/>
      </c>
      <c r="FO37" s="202" t="str">
        <f t="shared" si="20"/>
        <v/>
      </c>
      <c r="FP37" s="204" t="str">
        <f t="shared" si="150"/>
        <v>I</v>
      </c>
      <c r="FQ37" s="188" t="str">
        <f t="shared" si="21"/>
        <v/>
      </c>
      <c r="FR37" s="188" t="str">
        <f t="shared" si="22"/>
        <v>I</v>
      </c>
      <c r="FS37" s="188" t="str">
        <f t="shared" si="23"/>
        <v/>
      </c>
      <c r="FT37" s="188" t="str">
        <f t="shared" si="24"/>
        <v/>
      </c>
      <c r="FU37" s="188" t="str">
        <f t="shared" si="151"/>
        <v/>
      </c>
      <c r="FV37" s="205" t="str">
        <f t="shared" si="25"/>
        <v/>
      </c>
      <c r="FW37" s="204" t="str">
        <f t="shared" si="152"/>
        <v>I</v>
      </c>
      <c r="FX37" s="188" t="str">
        <f t="shared" si="26"/>
        <v/>
      </c>
      <c r="FY37" s="188" t="str">
        <f t="shared" si="27"/>
        <v>I</v>
      </c>
      <c r="FZ37" s="188" t="str">
        <f t="shared" si="28"/>
        <v/>
      </c>
      <c r="GA37" s="188" t="str">
        <f t="shared" si="29"/>
        <v/>
      </c>
      <c r="GB37" s="188" t="str">
        <f t="shared" si="153"/>
        <v/>
      </c>
      <c r="GC37" s="205" t="str">
        <f t="shared" si="30"/>
        <v/>
      </c>
      <c r="GD37" s="204" t="str">
        <f t="shared" si="154"/>
        <v/>
      </c>
      <c r="GE37" s="188" t="str">
        <f t="shared" si="31"/>
        <v/>
      </c>
      <c r="GF37" s="188" t="str">
        <f t="shared" si="32"/>
        <v/>
      </c>
      <c r="GG37" s="188" t="str">
        <f t="shared" si="33"/>
        <v/>
      </c>
      <c r="GH37" s="188" t="str">
        <f t="shared" si="34"/>
        <v/>
      </c>
      <c r="GI37" s="188" t="str">
        <f t="shared" si="155"/>
        <v/>
      </c>
      <c r="GJ37" s="205" t="str">
        <f t="shared" si="35"/>
        <v/>
      </c>
      <c r="GK37" s="204" t="str">
        <f t="shared" si="156"/>
        <v/>
      </c>
      <c r="GL37" s="188" t="str">
        <f t="shared" si="36"/>
        <v/>
      </c>
      <c r="GM37" s="188" t="str">
        <f t="shared" si="37"/>
        <v/>
      </c>
      <c r="GN37" s="188" t="str">
        <f t="shared" si="38"/>
        <v/>
      </c>
      <c r="GO37" s="188" t="str">
        <f t="shared" si="39"/>
        <v/>
      </c>
      <c r="GP37" s="188" t="str">
        <f t="shared" si="157"/>
        <v/>
      </c>
      <c r="GQ37" s="205" t="str">
        <f t="shared" si="40"/>
        <v/>
      </c>
      <c r="GR37" s="188" t="str">
        <f t="shared" si="158"/>
        <v>A</v>
      </c>
      <c r="GS37" s="188" t="str">
        <f t="shared" si="159"/>
        <v>B</v>
      </c>
      <c r="GT37" s="206" t="str">
        <f t="shared" si="177"/>
        <v xml:space="preserve">    </v>
      </c>
      <c r="GU37" s="206" t="str">
        <f t="shared" si="160"/>
        <v xml:space="preserve">    </v>
      </c>
      <c r="GV37" s="206" t="str">
        <f t="shared" si="161"/>
        <v xml:space="preserve">    </v>
      </c>
      <c r="GW37" s="206" t="str">
        <f t="shared" si="162"/>
        <v xml:space="preserve">       </v>
      </c>
      <c r="GX37" s="598" t="str">
        <f t="shared" si="163"/>
        <v xml:space="preserve">     </v>
      </c>
      <c r="GY37" s="207" t="str">
        <f t="shared" si="164"/>
        <v/>
      </c>
      <c r="GZ37" s="606">
        <f>IF(AND(Q37="",AE37="",AZ37="",BW37="",CT37=""),"",IF(AND('Master Sheet'!$D$19="YES",'Marks Entry'!$BA$1=1),SUM(Q37,AE37,AZ37,BW37,DT37),SUM(Q37,AE37,AZ37,BW37,CT37)))</f>
        <v>508</v>
      </c>
      <c r="HA37" s="208">
        <f>IF(GZ37="","",IF(AND('Master Sheet'!$D$19="YES",'Marks Entry'!$BA$1=1),GZ37/((900)-DC37)*100,GZ37/((1000)-DC37)*100))</f>
        <v>50.8</v>
      </c>
      <c r="HB37" s="611" t="str">
        <f t="shared" si="165"/>
        <v/>
      </c>
      <c r="HC37" s="609" t="str">
        <f t="shared" si="166"/>
        <v/>
      </c>
      <c r="HD37" s="610" t="str">
        <f t="shared" si="167"/>
        <v/>
      </c>
      <c r="HE37" s="209" t="str">
        <f>IFERROR(IF(OR(GY37="SUPPLEMENTARY",GY37="RE-EXAM"),'Supp. Result Entry'!AS36,""),"")</f>
        <v/>
      </c>
      <c r="HF37" s="613" t="str">
        <f t="shared" si="168"/>
        <v/>
      </c>
      <c r="HG37" s="598" t="str">
        <f t="shared" si="169"/>
        <v/>
      </c>
      <c r="HH37" s="598" t="str">
        <f>IF(AND(HE37="",HF37="",HG37=""),"",IF(OR(GY37="SUPPLEMENTARY",GY37="RE-EXAM"),'Supp. Result Entry'!AS36,GY37))</f>
        <v/>
      </c>
      <c r="HI37" s="179"/>
      <c r="HY37" s="211" t="str">
        <f>IF('Supp. Result Entry'!U36="","",'Supp. Result Entry'!$U$6)</f>
        <v/>
      </c>
      <c r="HZ37" s="212" t="str">
        <f>IF('Supp. Result Entry'!X36="","",'Supp. Result Entry'!$X$6)</f>
        <v/>
      </c>
      <c r="IA37" s="212" t="str">
        <f>IF('Supp. Result Entry'!AA36="","",'Supp. Result Entry'!$AA$6)</f>
        <v/>
      </c>
      <c r="IB37" s="212" t="str">
        <f>IF('Supp. Result Entry'!AD36="","",'Supp. Result Entry'!$AD$6)</f>
        <v/>
      </c>
      <c r="IC37" s="212" t="str">
        <f>IF('Supp. Result Entry'!AG36="","",'Supp. Result Entry'!$AG$6)</f>
        <v/>
      </c>
      <c r="ID37" s="212" t="str">
        <f>IF('Supp. Result Entry'!AJ36="","",'Supp. Result Entry'!$AJ$6)</f>
        <v/>
      </c>
      <c r="IE37" s="212" t="str">
        <f>IF('Supp. Result Entry'!V36="","",'Supp. Result Entry'!V36)</f>
        <v/>
      </c>
      <c r="IF37" s="212" t="str">
        <f>IF('Supp. Result Entry'!Y36="","",'Supp. Result Entry'!Y36)</f>
        <v/>
      </c>
      <c r="IG37" s="212" t="str">
        <f>IF('Supp. Result Entry'!AB36="","",'Supp. Result Entry'!AB36)</f>
        <v/>
      </c>
      <c r="IH37" s="212" t="str">
        <f>IF('Supp. Result Entry'!AE36="","",'Supp. Result Entry'!AE36)</f>
        <v/>
      </c>
      <c r="II37" s="212" t="str">
        <f>IF('Supp. Result Entry'!AH36="","",'Supp. Result Entry'!AH36)</f>
        <v/>
      </c>
      <c r="IJ37" s="212" t="str">
        <f>IF('Supp. Result Entry'!AK36="","",'Supp. Result Entry'!AK36)</f>
        <v/>
      </c>
      <c r="IK37" s="212" t="str">
        <f>IF('Supp. Result Entry'!W36="","",'Supp. Result Entry'!W36)</f>
        <v/>
      </c>
      <c r="IL37" s="212" t="str">
        <f>IF('Supp. Result Entry'!Z36="","",'Supp. Result Entry'!Z36)</f>
        <v/>
      </c>
      <c r="IM37" s="212" t="str">
        <f>IF('Supp. Result Entry'!AC36="","",'Supp. Result Entry'!AC36)</f>
        <v/>
      </c>
      <c r="IN37" s="212" t="str">
        <f>IF('Supp. Result Entry'!AF36="","",'Supp. Result Entry'!AF36)</f>
        <v/>
      </c>
      <c r="IO37" s="212" t="str">
        <f>IF('Supp. Result Entry'!AI36="","",'Supp. Result Entry'!AI36)</f>
        <v/>
      </c>
      <c r="IP37" s="212" t="str">
        <f>IF('Supp. Result Entry'!AL36="","",'Supp. Result Entry'!AL36)</f>
        <v/>
      </c>
      <c r="IQ37" s="212">
        <f>COUNTIF('Supp. Result Entry'!K36:Q36,"S")</f>
        <v>0</v>
      </c>
      <c r="IR37" s="212">
        <f t="shared" si="170"/>
        <v>0</v>
      </c>
      <c r="IS37" s="212">
        <f t="shared" si="171"/>
        <v>0</v>
      </c>
      <c r="IT37" s="212" t="str">
        <f t="shared" si="41"/>
        <v/>
      </c>
      <c r="IU37" s="212" t="str">
        <f t="shared" si="42"/>
        <v/>
      </c>
      <c r="IV37" s="212" t="str">
        <f t="shared" si="43"/>
        <v/>
      </c>
      <c r="IW37" s="212" t="str">
        <f t="shared" si="44"/>
        <v/>
      </c>
      <c r="IX37" s="212" t="str">
        <f t="shared" si="45"/>
        <v/>
      </c>
      <c r="IY37" s="212" t="str">
        <f t="shared" si="172"/>
        <v/>
      </c>
      <c r="IZ37" s="212" t="str">
        <f t="shared" si="173"/>
        <v/>
      </c>
      <c r="JA37" s="212" t="str">
        <f t="shared" si="46"/>
        <v/>
      </c>
      <c r="JB37" s="210" t="str">
        <f t="shared" si="174"/>
        <v/>
      </c>
    </row>
    <row r="38" spans="1:262" s="210" customFormat="1" ht="21" customHeight="1">
      <c r="A38" s="183">
        <v>31</v>
      </c>
      <c r="B38" s="184" t="str">
        <f>IF('Marks Entry'!B38="","",'Marks Entry'!B38)</f>
        <v/>
      </c>
      <c r="C38" s="185" t="str">
        <f>IF('Marks Entry'!D38="","",'Marks Entry'!D38)</f>
        <v/>
      </c>
      <c r="D38" s="186" t="str">
        <f>IF('Marks Entry'!E38="","",'Marks Entry'!E38)</f>
        <v/>
      </c>
      <c r="E38" s="187" t="str">
        <f>IF('Marks Entry'!F38="","",'Marks Entry'!F38)</f>
        <v/>
      </c>
      <c r="F38" s="187" t="str">
        <f>IF('Marks Entry'!G38="","",'Marks Entry'!G38)</f>
        <v/>
      </c>
      <c r="G38" s="187" t="str">
        <f>IF('Marks Entry'!H38="","",'Marks Entry'!H38)</f>
        <v/>
      </c>
      <c r="H38" s="188" t="str">
        <f>IF('Marks Entry'!I38="","",'Marks Entry'!I38)</f>
        <v/>
      </c>
      <c r="I38" s="189" t="str">
        <f>IF('Marks Entry'!J38="","",'Marks Entry'!J38)</f>
        <v/>
      </c>
      <c r="J38" s="545" t="str">
        <f>IF('Marks Entry'!K38="","",'Marks Entry'!K38)</f>
        <v/>
      </c>
      <c r="K38" s="545" t="str">
        <f>IF('Marks Entry'!L38="","",'Marks Entry'!L38)</f>
        <v/>
      </c>
      <c r="L38" s="545" t="str">
        <f>IF('Marks Entry'!M38="","",'Marks Entry'!M38)</f>
        <v/>
      </c>
      <c r="M38" s="546" t="str">
        <f t="shared" si="47"/>
        <v/>
      </c>
      <c r="N38" s="545" t="str">
        <f>IF('Marks Entry'!N38="","",'Marks Entry'!N38)</f>
        <v/>
      </c>
      <c r="O38" s="546" t="str">
        <f t="shared" si="48"/>
        <v/>
      </c>
      <c r="P38" s="545" t="str">
        <f>IF('Marks Entry'!O38="","",'Marks Entry'!O38)</f>
        <v/>
      </c>
      <c r="Q38" s="547" t="str">
        <f t="shared" si="49"/>
        <v/>
      </c>
      <c r="R38" s="152">
        <f t="shared" si="50"/>
        <v>0</v>
      </c>
      <c r="S38" s="152">
        <f t="shared" si="51"/>
        <v>0</v>
      </c>
      <c r="T38" s="153" t="str">
        <f t="shared" si="52"/>
        <v/>
      </c>
      <c r="U38" s="152" t="str">
        <f t="shared" si="53"/>
        <v/>
      </c>
      <c r="V38" s="152" t="str">
        <f t="shared" si="54"/>
        <v/>
      </c>
      <c r="W38" s="152" t="str">
        <f t="shared" si="55"/>
        <v/>
      </c>
      <c r="X38" s="545" t="str">
        <f>IF('Marks Entry'!P38="","",'Marks Entry'!P38)</f>
        <v/>
      </c>
      <c r="Y38" s="545" t="str">
        <f>IF('Marks Entry'!Q38="","",'Marks Entry'!Q38)</f>
        <v/>
      </c>
      <c r="Z38" s="545" t="str">
        <f>IF('Marks Entry'!R38="","",'Marks Entry'!R38)</f>
        <v/>
      </c>
      <c r="AA38" s="546" t="str">
        <f t="shared" si="56"/>
        <v/>
      </c>
      <c r="AB38" s="545" t="str">
        <f>IF('Marks Entry'!S38="","",'Marks Entry'!S38)</f>
        <v/>
      </c>
      <c r="AC38" s="546" t="str">
        <f t="shared" si="57"/>
        <v/>
      </c>
      <c r="AD38" s="545" t="str">
        <f>IF('Marks Entry'!T38="","",'Marks Entry'!T38)</f>
        <v/>
      </c>
      <c r="AE38" s="547" t="str">
        <f t="shared" si="58"/>
        <v/>
      </c>
      <c r="AF38" s="152">
        <f t="shared" si="59"/>
        <v>0</v>
      </c>
      <c r="AG38" s="152">
        <f t="shared" si="60"/>
        <v>0</v>
      </c>
      <c r="AH38" s="153" t="str">
        <f t="shared" si="61"/>
        <v/>
      </c>
      <c r="AI38" s="152" t="str">
        <f t="shared" si="62"/>
        <v/>
      </c>
      <c r="AJ38" s="152" t="str">
        <f t="shared" si="63"/>
        <v/>
      </c>
      <c r="AK38" s="152" t="str">
        <f t="shared" si="64"/>
        <v/>
      </c>
      <c r="AL38" s="573" t="str">
        <f>IF('Marks Entry'!U38="","",'Marks Entry'!U38)</f>
        <v/>
      </c>
      <c r="AM38" s="573" t="str">
        <f>IF('Marks Entry'!V38="","",'Marks Entry'!V38)</f>
        <v/>
      </c>
      <c r="AN38" s="573" t="str">
        <f>IF('Marks Entry'!W38="","",'Marks Entry'!W38)</f>
        <v/>
      </c>
      <c r="AO38" s="573" t="str">
        <f>IF('Marks Entry'!X38="","",'Marks Entry'!X38)</f>
        <v/>
      </c>
      <c r="AP38" s="572" t="str">
        <f t="shared" si="65"/>
        <v/>
      </c>
      <c r="AQ38" s="573" t="str">
        <f>IF('Marks Entry'!Y38="","",'Marks Entry'!Y38)</f>
        <v/>
      </c>
      <c r="AR38" s="573" t="str">
        <f>IF('Marks Entry'!Z38="","",'Marks Entry'!Z38)</f>
        <v/>
      </c>
      <c r="AS38" s="572" t="str">
        <f t="shared" si="66"/>
        <v/>
      </c>
      <c r="AT38" s="572" t="str">
        <f t="shared" si="67"/>
        <v/>
      </c>
      <c r="AU38" s="573" t="str">
        <f>IF('Marks Entry'!AA38="","",'Marks Entry'!AA38)</f>
        <v/>
      </c>
      <c r="AV38" s="573" t="str">
        <f>IF('Marks Entry'!AB38="","",'Marks Entry'!AB38)</f>
        <v/>
      </c>
      <c r="AW38" s="572" t="str">
        <f t="shared" si="68"/>
        <v/>
      </c>
      <c r="AX38" s="156" t="str">
        <f t="shared" si="69"/>
        <v/>
      </c>
      <c r="AY38" s="156" t="str">
        <f t="shared" si="70"/>
        <v/>
      </c>
      <c r="AZ38" s="191" t="str">
        <f t="shared" si="71"/>
        <v/>
      </c>
      <c r="BA38" s="152">
        <f t="shared" si="72"/>
        <v>0</v>
      </c>
      <c r="BB38" s="153">
        <f t="shared" si="73"/>
        <v>0</v>
      </c>
      <c r="BC38" s="153" t="str">
        <f t="shared" si="74"/>
        <v/>
      </c>
      <c r="BD38" s="153" t="str">
        <f t="shared" si="75"/>
        <v/>
      </c>
      <c r="BE38" s="153" t="str">
        <f t="shared" si="76"/>
        <v/>
      </c>
      <c r="BF38" s="152" t="str">
        <f t="shared" si="77"/>
        <v/>
      </c>
      <c r="BG38" s="153" t="str">
        <f t="shared" si="175"/>
        <v/>
      </c>
      <c r="BH38" s="152" t="str">
        <f t="shared" si="78"/>
        <v/>
      </c>
      <c r="BI38" s="580" t="str">
        <f>IF('Marks Entry'!AC38="","",'Marks Entry'!AC38)</f>
        <v/>
      </c>
      <c r="BJ38" s="580" t="str">
        <f>IF('Marks Entry'!AD38="","",'Marks Entry'!AD38)</f>
        <v/>
      </c>
      <c r="BK38" s="580" t="str">
        <f>IF('Marks Entry'!AE38="","",'Marks Entry'!AE38)</f>
        <v/>
      </c>
      <c r="BL38" s="580" t="str">
        <f>IF('Marks Entry'!AF38="","",'Marks Entry'!AF38)</f>
        <v/>
      </c>
      <c r="BM38" s="581" t="str">
        <f t="shared" si="79"/>
        <v/>
      </c>
      <c r="BN38" s="580" t="str">
        <f>IF('Marks Entry'!AG38="","",'Marks Entry'!AG38)</f>
        <v/>
      </c>
      <c r="BO38" s="580" t="str">
        <f>IF('Marks Entry'!AH38="","",'Marks Entry'!AH38)</f>
        <v/>
      </c>
      <c r="BP38" s="581" t="str">
        <f t="shared" si="80"/>
        <v/>
      </c>
      <c r="BQ38" s="581" t="str">
        <f t="shared" si="81"/>
        <v/>
      </c>
      <c r="BR38" s="580" t="str">
        <f>IF('Marks Entry'!AI38="","",'Marks Entry'!AI38)</f>
        <v/>
      </c>
      <c r="BS38" s="580" t="str">
        <f>IF('Marks Entry'!AJ38="","",'Marks Entry'!AJ38)</f>
        <v/>
      </c>
      <c r="BT38" s="581" t="str">
        <f t="shared" si="82"/>
        <v/>
      </c>
      <c r="BU38" s="156" t="str">
        <f t="shared" si="83"/>
        <v/>
      </c>
      <c r="BV38" s="156" t="str">
        <f t="shared" si="84"/>
        <v/>
      </c>
      <c r="BW38" s="191" t="str">
        <f t="shared" si="85"/>
        <v/>
      </c>
      <c r="BX38" s="152">
        <f t="shared" si="86"/>
        <v>0</v>
      </c>
      <c r="BY38" s="153">
        <f t="shared" si="87"/>
        <v>0</v>
      </c>
      <c r="BZ38" s="153" t="str">
        <f t="shared" si="88"/>
        <v/>
      </c>
      <c r="CA38" s="153" t="str">
        <f t="shared" si="89"/>
        <v/>
      </c>
      <c r="CB38" s="153" t="str">
        <f t="shared" si="90"/>
        <v/>
      </c>
      <c r="CC38" s="152" t="str">
        <f t="shared" si="91"/>
        <v/>
      </c>
      <c r="CD38" s="153" t="str">
        <f t="shared" si="92"/>
        <v/>
      </c>
      <c r="CE38" s="152" t="str">
        <f t="shared" si="93"/>
        <v/>
      </c>
      <c r="CF38" s="580" t="str">
        <f>IF('Marks Entry'!AK38="","",'Marks Entry'!AK38)</f>
        <v/>
      </c>
      <c r="CG38" s="580" t="str">
        <f>IF('Marks Entry'!AL38="","",'Marks Entry'!AL38)</f>
        <v/>
      </c>
      <c r="CH38" s="580" t="str">
        <f>IF('Marks Entry'!AM38="","",'Marks Entry'!AM38)</f>
        <v/>
      </c>
      <c r="CI38" s="580" t="str">
        <f>IF('Marks Entry'!AN38="","",'Marks Entry'!AN38)</f>
        <v/>
      </c>
      <c r="CJ38" s="581" t="str">
        <f t="shared" si="94"/>
        <v/>
      </c>
      <c r="CK38" s="580" t="str">
        <f>IF('Marks Entry'!AO38="","",'Marks Entry'!AO38)</f>
        <v/>
      </c>
      <c r="CL38" s="580" t="str">
        <f>IF('Marks Entry'!AP38="","",'Marks Entry'!AP38)</f>
        <v/>
      </c>
      <c r="CM38" s="581" t="str">
        <f t="shared" si="95"/>
        <v/>
      </c>
      <c r="CN38" s="581" t="str">
        <f t="shared" si="96"/>
        <v/>
      </c>
      <c r="CO38" s="580" t="str">
        <f>IF('Marks Entry'!AQ38="","",'Marks Entry'!AQ38)</f>
        <v/>
      </c>
      <c r="CP38" s="580" t="str">
        <f>IF('Marks Entry'!AR38="","",'Marks Entry'!AR38)</f>
        <v/>
      </c>
      <c r="CQ38" s="581" t="str">
        <f t="shared" si="97"/>
        <v/>
      </c>
      <c r="CR38" s="156" t="str">
        <f t="shared" si="98"/>
        <v/>
      </c>
      <c r="CS38" s="156" t="str">
        <f t="shared" si="99"/>
        <v/>
      </c>
      <c r="CT38" s="191" t="str">
        <f t="shared" si="100"/>
        <v/>
      </c>
      <c r="CU38" s="152">
        <f t="shared" si="101"/>
        <v>0</v>
      </c>
      <c r="CV38" s="153">
        <f t="shared" si="102"/>
        <v>0</v>
      </c>
      <c r="CW38" s="153" t="str">
        <f t="shared" si="103"/>
        <v/>
      </c>
      <c r="CX38" s="153" t="str">
        <f t="shared" si="104"/>
        <v/>
      </c>
      <c r="CY38" s="153" t="str">
        <f t="shared" si="176"/>
        <v/>
      </c>
      <c r="CZ38" s="152" t="str">
        <f t="shared" si="105"/>
        <v/>
      </c>
      <c r="DA38" s="153" t="str">
        <f t="shared" si="106"/>
        <v/>
      </c>
      <c r="DB38" s="152" t="str">
        <f t="shared" si="107"/>
        <v/>
      </c>
      <c r="DC38" s="153">
        <f t="shared" si="108"/>
        <v>0</v>
      </c>
      <c r="DD38" s="851" t="str">
        <f>IF('Marks Entry'!AS38="","",IF(OR('Master Sheet'!$D$19="YES",'Marks Entry'!$BA$1=1),'Marks Entry'!AS38,""))</f>
        <v/>
      </c>
      <c r="DE38" s="851" t="str">
        <f>IF('Marks Entry'!AT38="","",IF(OR('Master Sheet'!$D$19="YES",'Marks Entry'!$BA$1=1),'Marks Entry'!AT38,""))</f>
        <v/>
      </c>
      <c r="DF38" s="851" t="str">
        <f>IF('Marks Entry'!AU38="","",IF(OR('Master Sheet'!$D$19="YES",'Marks Entry'!$BA$1=1),'Marks Entry'!AU38,""))</f>
        <v/>
      </c>
      <c r="DG38" s="851" t="str">
        <f>IF('Marks Entry'!AV38="","",IF(OR('Master Sheet'!$D$19="YES",'Marks Entry'!$BA$1=1),'Marks Entry'!AV38,""))</f>
        <v/>
      </c>
      <c r="DH38" s="852" t="str">
        <f t="shared" si="109"/>
        <v/>
      </c>
      <c r="DI38" s="851" t="str">
        <f>IF('Marks Entry'!AW38="","",IF(OR('Master Sheet'!$D$19="YES",'Marks Entry'!$BA$1=1),'Marks Entry'!AW38,""))</f>
        <v/>
      </c>
      <c r="DJ38" s="851" t="str">
        <f>IF('Marks Entry'!AX38="","",IF(OR('Master Sheet'!$D$19="YES",'Marks Entry'!$BA$1=1),'Marks Entry'!AX38,""))</f>
        <v/>
      </c>
      <c r="DK38" s="852" t="str">
        <f t="shared" si="110"/>
        <v/>
      </c>
      <c r="DL38" s="852" t="str">
        <f t="shared" si="111"/>
        <v/>
      </c>
      <c r="DM38" s="851" t="str">
        <f>IF('Marks Entry'!AY38="","",IF(OR('Master Sheet'!$D$19="YES",'Marks Entry'!$BA$1=1),'Marks Entry'!AY38,""))</f>
        <v/>
      </c>
      <c r="DN38" s="851" t="str">
        <f>IF('Marks Entry'!AZ38="","",IF(OR('Master Sheet'!$D$19="YES",'Marks Entry'!$BA$1=1),'Marks Entry'!AZ38,""))</f>
        <v/>
      </c>
      <c r="DO38" s="851" t="str">
        <f>IF('Marks Entry'!BA38="","",IF(OR('Master Sheet'!$D$19="YES",'Marks Entry'!$BA$1=1),'Marks Entry'!BA38,""))</f>
        <v/>
      </c>
      <c r="DP38" s="852" t="str">
        <f t="shared" si="112"/>
        <v/>
      </c>
      <c r="DQ38" s="156" t="str">
        <f t="shared" si="113"/>
        <v/>
      </c>
      <c r="DR38" s="156" t="str">
        <f t="shared" si="114"/>
        <v/>
      </c>
      <c r="DS38" s="156" t="str">
        <f t="shared" si="115"/>
        <v/>
      </c>
      <c r="DT38" s="191" t="str">
        <f t="shared" si="116"/>
        <v/>
      </c>
      <c r="DU38" s="152">
        <f t="shared" si="117"/>
        <v>0</v>
      </c>
      <c r="DV38" s="153">
        <f t="shared" si="118"/>
        <v>0</v>
      </c>
      <c r="DW38" s="153" t="str">
        <f t="shared" si="119"/>
        <v/>
      </c>
      <c r="DX38" s="153" t="str">
        <f>IF(OR($B38="NSO",$B38=0,DS38=""),"",IF(AND(DJ38="",DO38=""),"",IF('Master Sheet'!$D$19="YES",$DO$6-COUNTIF(DO38,"ML")*DO$6,DS$6-(COUNTIF(DJ38,"ML")*DJ$6)-(COUNTIF(DO38,"ML")*DO$6))))</f>
        <v/>
      </c>
      <c r="DY38" s="153" t="str">
        <f>IF(OR($B38="NSO",$B38=0),"",IF(AND(DH38="",DI38="",DM38=""),"",IF(AND('Master Sheet'!$D$19="YES",'Marks Entry'!$BA$1=1),100,IF(AND(DJ38="",DO38=""),SUM(($DQ$7+$DR$7)-(DU38+DV38)),SUM(($DQ$6+$DR$6)-(DU38+DV38))))))</f>
        <v/>
      </c>
      <c r="DZ38" s="152" t="str">
        <f t="shared" si="120"/>
        <v/>
      </c>
      <c r="EA38" s="153" t="str">
        <f t="shared" si="121"/>
        <v/>
      </c>
      <c r="EB38" s="152" t="str">
        <f t="shared" si="122"/>
        <v/>
      </c>
      <c r="EC38" s="584" t="str">
        <f>IF('Marks Entry'!BB38="","",'Marks Entry'!BB38)</f>
        <v/>
      </c>
      <c r="ED38" s="584" t="str">
        <f>IF('Marks Entry'!BC38="","",'Marks Entry'!BC38)</f>
        <v/>
      </c>
      <c r="EE38" s="584" t="str">
        <f>IF('Marks Entry'!BD38="","",'Marks Entry'!BD38)</f>
        <v/>
      </c>
      <c r="EF38" s="590" t="str">
        <f t="shared" si="123"/>
        <v/>
      </c>
      <c r="EG38" s="595">
        <f t="shared" si="124"/>
        <v>0</v>
      </c>
      <c r="EH38" s="595">
        <f t="shared" si="125"/>
        <v>0</v>
      </c>
      <c r="EI38" s="192" t="str">
        <f t="shared" si="126"/>
        <v/>
      </c>
      <c r="EJ38" s="595" t="str">
        <f t="shared" si="127"/>
        <v/>
      </c>
      <c r="EK38" s="595" t="str">
        <f t="shared" si="128"/>
        <v/>
      </c>
      <c r="EL38" s="193" t="str">
        <f t="shared" si="129"/>
        <v/>
      </c>
      <c r="EM38" s="193" t="str">
        <f t="shared" si="130"/>
        <v/>
      </c>
      <c r="EN38" s="193" t="str">
        <f t="shared" si="131"/>
        <v/>
      </c>
      <c r="EO38" s="193" t="str">
        <f t="shared" si="132"/>
        <v/>
      </c>
      <c r="EP38" s="193" t="str">
        <f t="shared" si="133"/>
        <v/>
      </c>
      <c r="EQ38" s="193" t="str">
        <f t="shared" si="134"/>
        <v/>
      </c>
      <c r="ER38" s="194">
        <f t="shared" si="135"/>
        <v>0</v>
      </c>
      <c r="ES38" s="194">
        <f t="shared" si="136"/>
        <v>0</v>
      </c>
      <c r="ET38" s="194">
        <f t="shared" si="137"/>
        <v>0</v>
      </c>
      <c r="EU38" s="194">
        <f t="shared" si="138"/>
        <v>0</v>
      </c>
      <c r="EV38" s="194">
        <f t="shared" si="139"/>
        <v>0</v>
      </c>
      <c r="EW38" s="194" t="str">
        <f t="shared" si="140"/>
        <v/>
      </c>
      <c r="EX38" s="195" t="str">
        <f t="shared" si="141"/>
        <v/>
      </c>
      <c r="EY38" s="196">
        <f>IF('Marks Entry'!BE38="","",'Marks Entry'!BE38)</f>
        <v>7</v>
      </c>
      <c r="EZ38" s="196">
        <f>IF('Marks Entry'!BF38="","",'Marks Entry'!BF38)</f>
        <v>7</v>
      </c>
      <c r="FA38" s="196">
        <f>IF('Marks Entry'!BG38="","",'Marks Entry'!BG38)</f>
        <v>7</v>
      </c>
      <c r="FB38" s="596">
        <f t="shared" si="142"/>
        <v>21</v>
      </c>
      <c r="FC38" s="196">
        <f>IF('Marks Entry'!BH38="","",'Marks Entry'!BH38)</f>
        <v>41</v>
      </c>
      <c r="FD38" s="196">
        <f>IF('Marks Entry'!BI38="","",'Marks Entry'!BI38)</f>
        <v>70</v>
      </c>
      <c r="FE38" s="197">
        <f t="shared" si="143"/>
        <v>132</v>
      </c>
      <c r="FF38" s="198" t="str">
        <f t="shared" si="144"/>
        <v>B</v>
      </c>
      <c r="FG38" s="199" t="str">
        <f>IF(AND(E38=""),"",IF('Student DATA Entry'!L34="","",'Student DATA Entry'!L34))</f>
        <v/>
      </c>
      <c r="FH38" s="200" t="str">
        <f>IF(AND(E38=""),"",IF('Student DATA Entry'!M34="","",'Student DATA Entry'!M34))</f>
        <v/>
      </c>
      <c r="FI38" s="201" t="str">
        <f t="shared" si="145"/>
        <v/>
      </c>
      <c r="FJ38" s="188" t="str">
        <f t="shared" si="146"/>
        <v/>
      </c>
      <c r="FK38" s="188" t="str">
        <f t="shared" si="147"/>
        <v/>
      </c>
      <c r="FL38" s="202" t="str">
        <f t="shared" si="19"/>
        <v/>
      </c>
      <c r="FM38" s="188" t="str">
        <f t="shared" si="148"/>
        <v/>
      </c>
      <c r="FN38" s="203" t="str">
        <f t="shared" si="149"/>
        <v/>
      </c>
      <c r="FO38" s="202" t="str">
        <f t="shared" si="20"/>
        <v/>
      </c>
      <c r="FP38" s="204" t="str">
        <f t="shared" si="150"/>
        <v/>
      </c>
      <c r="FQ38" s="188" t="str">
        <f t="shared" si="21"/>
        <v/>
      </c>
      <c r="FR38" s="188" t="str">
        <f t="shared" si="22"/>
        <v/>
      </c>
      <c r="FS38" s="188" t="str">
        <f t="shared" si="23"/>
        <v/>
      </c>
      <c r="FT38" s="188" t="str">
        <f t="shared" si="24"/>
        <v/>
      </c>
      <c r="FU38" s="188" t="str">
        <f t="shared" si="151"/>
        <v/>
      </c>
      <c r="FV38" s="205" t="str">
        <f t="shared" si="25"/>
        <v/>
      </c>
      <c r="FW38" s="204" t="str">
        <f t="shared" si="152"/>
        <v/>
      </c>
      <c r="FX38" s="188" t="str">
        <f t="shared" si="26"/>
        <v/>
      </c>
      <c r="FY38" s="188" t="str">
        <f t="shared" si="27"/>
        <v/>
      </c>
      <c r="FZ38" s="188" t="str">
        <f t="shared" si="28"/>
        <v/>
      </c>
      <c r="GA38" s="188" t="str">
        <f t="shared" si="29"/>
        <v/>
      </c>
      <c r="GB38" s="188" t="str">
        <f t="shared" si="153"/>
        <v/>
      </c>
      <c r="GC38" s="205" t="str">
        <f t="shared" si="30"/>
        <v/>
      </c>
      <c r="GD38" s="204" t="str">
        <f t="shared" si="154"/>
        <v/>
      </c>
      <c r="GE38" s="188" t="str">
        <f t="shared" si="31"/>
        <v/>
      </c>
      <c r="GF38" s="188" t="str">
        <f t="shared" si="32"/>
        <v/>
      </c>
      <c r="GG38" s="188" t="str">
        <f t="shared" si="33"/>
        <v/>
      </c>
      <c r="GH38" s="188" t="str">
        <f t="shared" si="34"/>
        <v/>
      </c>
      <c r="GI38" s="188" t="str">
        <f t="shared" si="155"/>
        <v/>
      </c>
      <c r="GJ38" s="205" t="str">
        <f t="shared" si="35"/>
        <v/>
      </c>
      <c r="GK38" s="204" t="str">
        <f t="shared" si="156"/>
        <v/>
      </c>
      <c r="GL38" s="188" t="str">
        <f t="shared" si="36"/>
        <v/>
      </c>
      <c r="GM38" s="188" t="str">
        <f t="shared" si="37"/>
        <v/>
      </c>
      <c r="GN38" s="188" t="str">
        <f t="shared" si="38"/>
        <v/>
      </c>
      <c r="GO38" s="188" t="str">
        <f t="shared" si="39"/>
        <v/>
      </c>
      <c r="GP38" s="188" t="str">
        <f t="shared" si="157"/>
        <v/>
      </c>
      <c r="GQ38" s="205" t="str">
        <f t="shared" si="40"/>
        <v/>
      </c>
      <c r="GR38" s="188" t="str">
        <f t="shared" si="158"/>
        <v/>
      </c>
      <c r="GS38" s="188" t="str">
        <f t="shared" si="159"/>
        <v>B</v>
      </c>
      <c r="GT38" s="206" t="str">
        <f t="shared" si="177"/>
        <v xml:space="preserve">    </v>
      </c>
      <c r="GU38" s="206" t="str">
        <f t="shared" si="160"/>
        <v xml:space="preserve">    </v>
      </c>
      <c r="GV38" s="206" t="str">
        <f t="shared" si="161"/>
        <v xml:space="preserve">    </v>
      </c>
      <c r="GW38" s="206" t="str">
        <f t="shared" si="162"/>
        <v xml:space="preserve">       </v>
      </c>
      <c r="GX38" s="598" t="str">
        <f t="shared" si="163"/>
        <v xml:space="preserve">     </v>
      </c>
      <c r="GY38" s="207" t="str">
        <f t="shared" si="164"/>
        <v/>
      </c>
      <c r="GZ38" s="606" t="str">
        <f>IF(AND(Q38="",AE38="",AZ38="",BW38="",CT38=""),"",IF(AND('Master Sheet'!$D$19="YES",'Marks Entry'!$BA$1=1),SUM(Q38,AE38,AZ38,BW38,DT38),SUM(Q38,AE38,AZ38,BW38,CT38)))</f>
        <v/>
      </c>
      <c r="HA38" s="208" t="str">
        <f>IF(GZ38="","",IF(AND('Master Sheet'!$D$19="YES",'Marks Entry'!$BA$1=1),GZ38/((900)-DC38)*100,GZ38/((1000)-DC38)*100))</f>
        <v/>
      </c>
      <c r="HB38" s="611" t="str">
        <f t="shared" si="165"/>
        <v/>
      </c>
      <c r="HC38" s="609" t="str">
        <f t="shared" si="166"/>
        <v/>
      </c>
      <c r="HD38" s="610" t="str">
        <f t="shared" si="167"/>
        <v/>
      </c>
      <c r="HE38" s="209" t="str">
        <f>IFERROR(IF(OR(GY38="SUPPLEMENTARY",GY38="RE-EXAM"),'Supp. Result Entry'!AS37,""),"")</f>
        <v/>
      </c>
      <c r="HF38" s="613" t="str">
        <f t="shared" si="168"/>
        <v/>
      </c>
      <c r="HG38" s="598" t="str">
        <f t="shared" si="169"/>
        <v/>
      </c>
      <c r="HH38" s="598" t="str">
        <f>IF(AND(HE38="",HF38="",HG38=""),"",IF(OR(GY38="SUPPLEMENTARY",GY38="RE-EXAM"),'Supp. Result Entry'!AS37,GY38))</f>
        <v/>
      </c>
      <c r="HI38" s="179"/>
      <c r="HJ38" s="213"/>
      <c r="HY38" s="211" t="str">
        <f>IF('Supp. Result Entry'!U37="","",'Supp. Result Entry'!$U$6)</f>
        <v/>
      </c>
      <c r="HZ38" s="212" t="str">
        <f>IF('Supp. Result Entry'!X37="","",'Supp. Result Entry'!$X$6)</f>
        <v/>
      </c>
      <c r="IA38" s="212" t="str">
        <f>IF('Supp. Result Entry'!AA37="","",'Supp. Result Entry'!$AA$6)</f>
        <v/>
      </c>
      <c r="IB38" s="212" t="str">
        <f>IF('Supp. Result Entry'!AD37="","",'Supp. Result Entry'!$AD$6)</f>
        <v/>
      </c>
      <c r="IC38" s="212" t="str">
        <f>IF('Supp. Result Entry'!AG37="","",'Supp. Result Entry'!$AG$6)</f>
        <v/>
      </c>
      <c r="ID38" s="212" t="str">
        <f>IF('Supp. Result Entry'!AJ37="","",'Supp. Result Entry'!$AJ$6)</f>
        <v/>
      </c>
      <c r="IE38" s="212" t="str">
        <f>IF('Supp. Result Entry'!V37="","",'Supp. Result Entry'!V37)</f>
        <v/>
      </c>
      <c r="IF38" s="212" t="str">
        <f>IF('Supp. Result Entry'!Y37="","",'Supp. Result Entry'!Y37)</f>
        <v/>
      </c>
      <c r="IG38" s="212" t="str">
        <f>IF('Supp. Result Entry'!AB37="","",'Supp. Result Entry'!AB37)</f>
        <v/>
      </c>
      <c r="IH38" s="212" t="str">
        <f>IF('Supp. Result Entry'!AE37="","",'Supp. Result Entry'!AE37)</f>
        <v/>
      </c>
      <c r="II38" s="212" t="str">
        <f>IF('Supp. Result Entry'!AH37="","",'Supp. Result Entry'!AH37)</f>
        <v/>
      </c>
      <c r="IJ38" s="212" t="str">
        <f>IF('Supp. Result Entry'!AK37="","",'Supp. Result Entry'!AK37)</f>
        <v/>
      </c>
      <c r="IK38" s="212" t="str">
        <f>IF('Supp. Result Entry'!W37="","",'Supp. Result Entry'!W37)</f>
        <v/>
      </c>
      <c r="IL38" s="212" t="str">
        <f>IF('Supp. Result Entry'!Z37="","",'Supp. Result Entry'!Z37)</f>
        <v/>
      </c>
      <c r="IM38" s="212" t="str">
        <f>IF('Supp. Result Entry'!AC37="","",'Supp. Result Entry'!AC37)</f>
        <v/>
      </c>
      <c r="IN38" s="212" t="str">
        <f>IF('Supp. Result Entry'!AF37="","",'Supp. Result Entry'!AF37)</f>
        <v/>
      </c>
      <c r="IO38" s="212" t="str">
        <f>IF('Supp. Result Entry'!AI37="","",'Supp. Result Entry'!AI37)</f>
        <v/>
      </c>
      <c r="IP38" s="212" t="str">
        <f>IF('Supp. Result Entry'!AL37="","",'Supp. Result Entry'!AL37)</f>
        <v/>
      </c>
      <c r="IQ38" s="212">
        <f>COUNTIF('Supp. Result Entry'!K37:Q37,"S")</f>
        <v>0</v>
      </c>
      <c r="IR38" s="212">
        <f t="shared" si="170"/>
        <v>0</v>
      </c>
      <c r="IS38" s="212">
        <f t="shared" si="171"/>
        <v>0</v>
      </c>
      <c r="IT38" s="212" t="str">
        <f t="shared" si="41"/>
        <v/>
      </c>
      <c r="IU38" s="212" t="str">
        <f t="shared" si="42"/>
        <v/>
      </c>
      <c r="IV38" s="212" t="str">
        <f t="shared" si="43"/>
        <v/>
      </c>
      <c r="IW38" s="212" t="str">
        <f t="shared" si="44"/>
        <v/>
      </c>
      <c r="IX38" s="212" t="str">
        <f t="shared" si="45"/>
        <v/>
      </c>
      <c r="IY38" s="212" t="str">
        <f t="shared" si="172"/>
        <v/>
      </c>
      <c r="IZ38" s="212" t="str">
        <f t="shared" si="173"/>
        <v/>
      </c>
      <c r="JA38" s="212" t="str">
        <f t="shared" si="46"/>
        <v/>
      </c>
      <c r="JB38" s="210" t="str">
        <f t="shared" si="174"/>
        <v/>
      </c>
    </row>
    <row r="39" spans="1:262" s="210" customFormat="1" ht="21" customHeight="1">
      <c r="A39" s="183">
        <v>32</v>
      </c>
      <c r="B39" s="184" t="str">
        <f>IF('Marks Entry'!B39="","",'Marks Entry'!B39)</f>
        <v/>
      </c>
      <c r="C39" s="185" t="str">
        <f>IF('Marks Entry'!D39="","",'Marks Entry'!D39)</f>
        <v/>
      </c>
      <c r="D39" s="186" t="str">
        <f>IF('Marks Entry'!E39="","",'Marks Entry'!E39)</f>
        <v/>
      </c>
      <c r="E39" s="187" t="str">
        <f>IF('Marks Entry'!F39="","",'Marks Entry'!F39)</f>
        <v/>
      </c>
      <c r="F39" s="187" t="str">
        <f>IF('Marks Entry'!G39="","",'Marks Entry'!G39)</f>
        <v/>
      </c>
      <c r="G39" s="187" t="str">
        <f>IF('Marks Entry'!H39="","",'Marks Entry'!H39)</f>
        <v/>
      </c>
      <c r="H39" s="188" t="str">
        <f>IF('Marks Entry'!I39="","",'Marks Entry'!I39)</f>
        <v/>
      </c>
      <c r="I39" s="189" t="str">
        <f>IF('Marks Entry'!J39="","",'Marks Entry'!J39)</f>
        <v/>
      </c>
      <c r="J39" s="545" t="str">
        <f>IF('Marks Entry'!K39="","",'Marks Entry'!K39)</f>
        <v/>
      </c>
      <c r="K39" s="545" t="str">
        <f>IF('Marks Entry'!L39="","",'Marks Entry'!L39)</f>
        <v/>
      </c>
      <c r="L39" s="545" t="str">
        <f>IF('Marks Entry'!M39="","",'Marks Entry'!M39)</f>
        <v/>
      </c>
      <c r="M39" s="546" t="str">
        <f t="shared" si="47"/>
        <v/>
      </c>
      <c r="N39" s="545" t="str">
        <f>IF('Marks Entry'!N39="","",'Marks Entry'!N39)</f>
        <v/>
      </c>
      <c r="O39" s="546" t="str">
        <f t="shared" si="48"/>
        <v/>
      </c>
      <c r="P39" s="545" t="str">
        <f>IF('Marks Entry'!O39="","",'Marks Entry'!O39)</f>
        <v/>
      </c>
      <c r="Q39" s="547" t="str">
        <f t="shared" si="49"/>
        <v/>
      </c>
      <c r="R39" s="152">
        <f t="shared" si="50"/>
        <v>0</v>
      </c>
      <c r="S39" s="152">
        <f t="shared" si="51"/>
        <v>0</v>
      </c>
      <c r="T39" s="153" t="str">
        <f t="shared" si="52"/>
        <v/>
      </c>
      <c r="U39" s="152" t="str">
        <f t="shared" si="53"/>
        <v/>
      </c>
      <c r="V39" s="152" t="str">
        <f t="shared" si="54"/>
        <v/>
      </c>
      <c r="W39" s="152" t="str">
        <f t="shared" si="55"/>
        <v/>
      </c>
      <c r="X39" s="545" t="str">
        <f>IF('Marks Entry'!P39="","",'Marks Entry'!P39)</f>
        <v/>
      </c>
      <c r="Y39" s="545" t="str">
        <f>IF('Marks Entry'!Q39="","",'Marks Entry'!Q39)</f>
        <v/>
      </c>
      <c r="Z39" s="545" t="str">
        <f>IF('Marks Entry'!R39="","",'Marks Entry'!R39)</f>
        <v/>
      </c>
      <c r="AA39" s="546" t="str">
        <f t="shared" si="56"/>
        <v/>
      </c>
      <c r="AB39" s="545" t="str">
        <f>IF('Marks Entry'!S39="","",'Marks Entry'!S39)</f>
        <v/>
      </c>
      <c r="AC39" s="546" t="str">
        <f t="shared" si="57"/>
        <v/>
      </c>
      <c r="AD39" s="545" t="str">
        <f>IF('Marks Entry'!T39="","",'Marks Entry'!T39)</f>
        <v/>
      </c>
      <c r="AE39" s="547" t="str">
        <f t="shared" si="58"/>
        <v/>
      </c>
      <c r="AF39" s="152">
        <f t="shared" si="59"/>
        <v>0</v>
      </c>
      <c r="AG39" s="152">
        <f t="shared" si="60"/>
        <v>0</v>
      </c>
      <c r="AH39" s="153" t="str">
        <f t="shared" si="61"/>
        <v/>
      </c>
      <c r="AI39" s="152" t="str">
        <f t="shared" si="62"/>
        <v/>
      </c>
      <c r="AJ39" s="152" t="str">
        <f t="shared" si="63"/>
        <v/>
      </c>
      <c r="AK39" s="152" t="str">
        <f t="shared" si="64"/>
        <v/>
      </c>
      <c r="AL39" s="573" t="str">
        <f>IF('Marks Entry'!U39="","",'Marks Entry'!U39)</f>
        <v/>
      </c>
      <c r="AM39" s="573" t="str">
        <f>IF('Marks Entry'!V39="","",'Marks Entry'!V39)</f>
        <v/>
      </c>
      <c r="AN39" s="573" t="str">
        <f>IF('Marks Entry'!W39="","",'Marks Entry'!W39)</f>
        <v/>
      </c>
      <c r="AO39" s="573" t="str">
        <f>IF('Marks Entry'!X39="","",'Marks Entry'!X39)</f>
        <v/>
      </c>
      <c r="AP39" s="572" t="str">
        <f t="shared" si="65"/>
        <v/>
      </c>
      <c r="AQ39" s="573" t="str">
        <f>IF('Marks Entry'!Y39="","",'Marks Entry'!Y39)</f>
        <v/>
      </c>
      <c r="AR39" s="573" t="str">
        <f>IF('Marks Entry'!Z39="","",'Marks Entry'!Z39)</f>
        <v/>
      </c>
      <c r="AS39" s="572" t="str">
        <f t="shared" si="66"/>
        <v/>
      </c>
      <c r="AT39" s="572" t="str">
        <f t="shared" si="67"/>
        <v/>
      </c>
      <c r="AU39" s="573" t="str">
        <f>IF('Marks Entry'!AA39="","",'Marks Entry'!AA39)</f>
        <v/>
      </c>
      <c r="AV39" s="573" t="str">
        <f>IF('Marks Entry'!AB39="","",'Marks Entry'!AB39)</f>
        <v/>
      </c>
      <c r="AW39" s="572" t="str">
        <f t="shared" si="68"/>
        <v/>
      </c>
      <c r="AX39" s="156" t="str">
        <f t="shared" si="69"/>
        <v/>
      </c>
      <c r="AY39" s="156" t="str">
        <f t="shared" si="70"/>
        <v/>
      </c>
      <c r="AZ39" s="191" t="str">
        <f t="shared" si="71"/>
        <v/>
      </c>
      <c r="BA39" s="152">
        <f t="shared" si="72"/>
        <v>0</v>
      </c>
      <c r="BB39" s="153">
        <f t="shared" si="73"/>
        <v>0</v>
      </c>
      <c r="BC39" s="153" t="str">
        <f t="shared" si="74"/>
        <v/>
      </c>
      <c r="BD39" s="153" t="str">
        <f t="shared" si="75"/>
        <v/>
      </c>
      <c r="BE39" s="153" t="str">
        <f t="shared" si="76"/>
        <v/>
      </c>
      <c r="BF39" s="152" t="str">
        <f t="shared" si="77"/>
        <v/>
      </c>
      <c r="BG39" s="153" t="str">
        <f t="shared" si="175"/>
        <v/>
      </c>
      <c r="BH39" s="152" t="str">
        <f t="shared" si="78"/>
        <v/>
      </c>
      <c r="BI39" s="580" t="str">
        <f>IF('Marks Entry'!AC39="","",'Marks Entry'!AC39)</f>
        <v/>
      </c>
      <c r="BJ39" s="580" t="str">
        <f>IF('Marks Entry'!AD39="","",'Marks Entry'!AD39)</f>
        <v/>
      </c>
      <c r="BK39" s="580" t="str">
        <f>IF('Marks Entry'!AE39="","",'Marks Entry'!AE39)</f>
        <v/>
      </c>
      <c r="BL39" s="580" t="str">
        <f>IF('Marks Entry'!AF39="","",'Marks Entry'!AF39)</f>
        <v/>
      </c>
      <c r="BM39" s="581" t="str">
        <f t="shared" si="79"/>
        <v/>
      </c>
      <c r="BN39" s="580" t="str">
        <f>IF('Marks Entry'!AG39="","",'Marks Entry'!AG39)</f>
        <v/>
      </c>
      <c r="BO39" s="580" t="str">
        <f>IF('Marks Entry'!AH39="","",'Marks Entry'!AH39)</f>
        <v/>
      </c>
      <c r="BP39" s="581" t="str">
        <f t="shared" si="80"/>
        <v/>
      </c>
      <c r="BQ39" s="581" t="str">
        <f t="shared" si="81"/>
        <v/>
      </c>
      <c r="BR39" s="580" t="str">
        <f>IF('Marks Entry'!AI39="","",'Marks Entry'!AI39)</f>
        <v/>
      </c>
      <c r="BS39" s="580" t="str">
        <f>IF('Marks Entry'!AJ39="","",'Marks Entry'!AJ39)</f>
        <v/>
      </c>
      <c r="BT39" s="581" t="str">
        <f t="shared" si="82"/>
        <v/>
      </c>
      <c r="BU39" s="156" t="str">
        <f t="shared" si="83"/>
        <v/>
      </c>
      <c r="BV39" s="156" t="str">
        <f t="shared" si="84"/>
        <v/>
      </c>
      <c r="BW39" s="191" t="str">
        <f t="shared" si="85"/>
        <v/>
      </c>
      <c r="BX39" s="152">
        <f t="shared" si="86"/>
        <v>0</v>
      </c>
      <c r="BY39" s="153">
        <f t="shared" si="87"/>
        <v>0</v>
      </c>
      <c r="BZ39" s="153" t="str">
        <f t="shared" si="88"/>
        <v/>
      </c>
      <c r="CA39" s="153" t="str">
        <f t="shared" si="89"/>
        <v/>
      </c>
      <c r="CB39" s="153" t="str">
        <f t="shared" si="90"/>
        <v/>
      </c>
      <c r="CC39" s="152" t="str">
        <f t="shared" si="91"/>
        <v/>
      </c>
      <c r="CD39" s="153" t="str">
        <f t="shared" si="92"/>
        <v/>
      </c>
      <c r="CE39" s="152" t="str">
        <f t="shared" si="93"/>
        <v/>
      </c>
      <c r="CF39" s="580" t="str">
        <f>IF('Marks Entry'!AK39="","",'Marks Entry'!AK39)</f>
        <v/>
      </c>
      <c r="CG39" s="580" t="str">
        <f>IF('Marks Entry'!AL39="","",'Marks Entry'!AL39)</f>
        <v/>
      </c>
      <c r="CH39" s="580" t="str">
        <f>IF('Marks Entry'!AM39="","",'Marks Entry'!AM39)</f>
        <v/>
      </c>
      <c r="CI39" s="580" t="str">
        <f>IF('Marks Entry'!AN39="","",'Marks Entry'!AN39)</f>
        <v/>
      </c>
      <c r="CJ39" s="581" t="str">
        <f t="shared" si="94"/>
        <v/>
      </c>
      <c r="CK39" s="580" t="str">
        <f>IF('Marks Entry'!AO39="","",'Marks Entry'!AO39)</f>
        <v/>
      </c>
      <c r="CL39" s="580" t="str">
        <f>IF('Marks Entry'!AP39="","",'Marks Entry'!AP39)</f>
        <v/>
      </c>
      <c r="CM39" s="581" t="str">
        <f t="shared" si="95"/>
        <v/>
      </c>
      <c r="CN39" s="581" t="str">
        <f t="shared" si="96"/>
        <v/>
      </c>
      <c r="CO39" s="580" t="str">
        <f>IF('Marks Entry'!AQ39="","",'Marks Entry'!AQ39)</f>
        <v/>
      </c>
      <c r="CP39" s="580" t="str">
        <f>IF('Marks Entry'!AR39="","",'Marks Entry'!AR39)</f>
        <v/>
      </c>
      <c r="CQ39" s="581" t="str">
        <f t="shared" si="97"/>
        <v/>
      </c>
      <c r="CR39" s="156" t="str">
        <f t="shared" si="98"/>
        <v/>
      </c>
      <c r="CS39" s="156" t="str">
        <f t="shared" si="99"/>
        <v/>
      </c>
      <c r="CT39" s="191" t="str">
        <f t="shared" si="100"/>
        <v/>
      </c>
      <c r="CU39" s="152">
        <f t="shared" si="101"/>
        <v>0</v>
      </c>
      <c r="CV39" s="153">
        <f t="shared" si="102"/>
        <v>0</v>
      </c>
      <c r="CW39" s="153" t="str">
        <f t="shared" si="103"/>
        <v/>
      </c>
      <c r="CX39" s="153" t="str">
        <f t="shared" si="104"/>
        <v/>
      </c>
      <c r="CY39" s="153" t="str">
        <f t="shared" si="176"/>
        <v/>
      </c>
      <c r="CZ39" s="152" t="str">
        <f t="shared" si="105"/>
        <v/>
      </c>
      <c r="DA39" s="153" t="str">
        <f t="shared" si="106"/>
        <v/>
      </c>
      <c r="DB39" s="152" t="str">
        <f t="shared" si="107"/>
        <v/>
      </c>
      <c r="DC39" s="153">
        <f t="shared" si="108"/>
        <v>0</v>
      </c>
      <c r="DD39" s="851" t="str">
        <f>IF('Marks Entry'!AS39="","",IF(OR('Master Sheet'!$D$19="YES",'Marks Entry'!$BA$1=1),'Marks Entry'!AS39,""))</f>
        <v/>
      </c>
      <c r="DE39" s="851" t="str">
        <f>IF('Marks Entry'!AT39="","",IF(OR('Master Sheet'!$D$19="YES",'Marks Entry'!$BA$1=1),'Marks Entry'!AT39,""))</f>
        <v/>
      </c>
      <c r="DF39" s="851" t="str">
        <f>IF('Marks Entry'!AU39="","",IF(OR('Master Sheet'!$D$19="YES",'Marks Entry'!$BA$1=1),'Marks Entry'!AU39,""))</f>
        <v/>
      </c>
      <c r="DG39" s="851" t="str">
        <f>IF('Marks Entry'!AV39="","",IF(OR('Master Sheet'!$D$19="YES",'Marks Entry'!$BA$1=1),'Marks Entry'!AV39,""))</f>
        <v/>
      </c>
      <c r="DH39" s="852" t="str">
        <f t="shared" si="109"/>
        <v/>
      </c>
      <c r="DI39" s="851" t="str">
        <f>IF('Marks Entry'!AW39="","",IF(OR('Master Sheet'!$D$19="YES",'Marks Entry'!$BA$1=1),'Marks Entry'!AW39,""))</f>
        <v/>
      </c>
      <c r="DJ39" s="851" t="str">
        <f>IF('Marks Entry'!AX39="","",IF(OR('Master Sheet'!$D$19="YES",'Marks Entry'!$BA$1=1),'Marks Entry'!AX39,""))</f>
        <v/>
      </c>
      <c r="DK39" s="852" t="str">
        <f t="shared" si="110"/>
        <v/>
      </c>
      <c r="DL39" s="852" t="str">
        <f t="shared" si="111"/>
        <v/>
      </c>
      <c r="DM39" s="851" t="str">
        <f>IF('Marks Entry'!AY39="","",IF(OR('Master Sheet'!$D$19="YES",'Marks Entry'!$BA$1=1),'Marks Entry'!AY39,""))</f>
        <v/>
      </c>
      <c r="DN39" s="851" t="str">
        <f>IF('Marks Entry'!AZ39="","",IF(OR('Master Sheet'!$D$19="YES",'Marks Entry'!$BA$1=1),'Marks Entry'!AZ39,""))</f>
        <v/>
      </c>
      <c r="DO39" s="851" t="str">
        <f>IF('Marks Entry'!BA39="","",IF(OR('Master Sheet'!$D$19="YES",'Marks Entry'!$BA$1=1),'Marks Entry'!BA39,""))</f>
        <v/>
      </c>
      <c r="DP39" s="852" t="str">
        <f t="shared" si="112"/>
        <v/>
      </c>
      <c r="DQ39" s="156" t="str">
        <f t="shared" si="113"/>
        <v/>
      </c>
      <c r="DR39" s="156" t="str">
        <f t="shared" si="114"/>
        <v/>
      </c>
      <c r="DS39" s="156" t="str">
        <f t="shared" si="115"/>
        <v/>
      </c>
      <c r="DT39" s="191" t="str">
        <f t="shared" si="116"/>
        <v/>
      </c>
      <c r="DU39" s="152">
        <f t="shared" si="117"/>
        <v>0</v>
      </c>
      <c r="DV39" s="153">
        <f t="shared" si="118"/>
        <v>0</v>
      </c>
      <c r="DW39" s="153" t="str">
        <f t="shared" si="119"/>
        <v/>
      </c>
      <c r="DX39" s="153" t="str">
        <f>IF(OR($B39="NSO",$B39=0,DS39=""),"",IF(AND(DJ39="",DO39=""),"",IF('Master Sheet'!$D$19="YES",$DO$6-COUNTIF(DO39,"ML")*DO$6,DS$6-(COUNTIF(DJ39,"ML")*DJ$6)-(COUNTIF(DO39,"ML")*DO$6))))</f>
        <v/>
      </c>
      <c r="DY39" s="153" t="str">
        <f>IF(OR($B39="NSO",$B39=0),"",IF(AND(DH39="",DI39="",DM39=""),"",IF(AND('Master Sheet'!$D$19="YES",'Marks Entry'!$BA$1=1),100,IF(AND(DJ39="",DO39=""),SUM(($DQ$7+$DR$7)-(DU39+DV39)),SUM(($DQ$6+$DR$6)-(DU39+DV39))))))</f>
        <v/>
      </c>
      <c r="DZ39" s="152" t="str">
        <f t="shared" si="120"/>
        <v/>
      </c>
      <c r="EA39" s="153" t="str">
        <f t="shared" si="121"/>
        <v/>
      </c>
      <c r="EB39" s="152" t="str">
        <f t="shared" si="122"/>
        <v/>
      </c>
      <c r="EC39" s="584" t="str">
        <f>IF('Marks Entry'!BB39="","",'Marks Entry'!BB39)</f>
        <v/>
      </c>
      <c r="ED39" s="584" t="str">
        <f>IF('Marks Entry'!BC39="","",'Marks Entry'!BC39)</f>
        <v/>
      </c>
      <c r="EE39" s="584" t="str">
        <f>IF('Marks Entry'!BD39="","",'Marks Entry'!BD39)</f>
        <v/>
      </c>
      <c r="EF39" s="590" t="str">
        <f t="shared" si="123"/>
        <v/>
      </c>
      <c r="EG39" s="595">
        <f t="shared" si="124"/>
        <v>0</v>
      </c>
      <c r="EH39" s="595">
        <f t="shared" si="125"/>
        <v>0</v>
      </c>
      <c r="EI39" s="192" t="str">
        <f t="shared" si="126"/>
        <v/>
      </c>
      <c r="EJ39" s="595" t="str">
        <f t="shared" si="127"/>
        <v/>
      </c>
      <c r="EK39" s="595" t="str">
        <f t="shared" si="128"/>
        <v/>
      </c>
      <c r="EL39" s="193" t="str">
        <f t="shared" si="129"/>
        <v/>
      </c>
      <c r="EM39" s="193" t="str">
        <f t="shared" si="130"/>
        <v/>
      </c>
      <c r="EN39" s="193" t="str">
        <f t="shared" si="131"/>
        <v/>
      </c>
      <c r="EO39" s="193" t="str">
        <f t="shared" si="132"/>
        <v/>
      </c>
      <c r="EP39" s="193" t="str">
        <f t="shared" si="133"/>
        <v/>
      </c>
      <c r="EQ39" s="193" t="str">
        <f t="shared" si="134"/>
        <v/>
      </c>
      <c r="ER39" s="194">
        <f t="shared" si="135"/>
        <v>0</v>
      </c>
      <c r="ES39" s="194">
        <f t="shared" si="136"/>
        <v>0</v>
      </c>
      <c r="ET39" s="194">
        <f t="shared" si="137"/>
        <v>0</v>
      </c>
      <c r="EU39" s="194">
        <f t="shared" si="138"/>
        <v>0</v>
      </c>
      <c r="EV39" s="194">
        <f t="shared" si="139"/>
        <v>0</v>
      </c>
      <c r="EW39" s="194" t="str">
        <f t="shared" si="140"/>
        <v/>
      </c>
      <c r="EX39" s="195" t="str">
        <f t="shared" si="141"/>
        <v/>
      </c>
      <c r="EY39" s="196" t="str">
        <f>IF('Marks Entry'!BE39="","",'Marks Entry'!BE39)</f>
        <v/>
      </c>
      <c r="EZ39" s="196" t="str">
        <f>IF('Marks Entry'!BF39="","",'Marks Entry'!BF39)</f>
        <v/>
      </c>
      <c r="FA39" s="196" t="str">
        <f>IF('Marks Entry'!BG39="","",'Marks Entry'!BG39)</f>
        <v/>
      </c>
      <c r="FB39" s="596" t="str">
        <f t="shared" si="142"/>
        <v/>
      </c>
      <c r="FC39" s="196" t="str">
        <f>IF('Marks Entry'!BH39="","",'Marks Entry'!BH39)</f>
        <v/>
      </c>
      <c r="FD39" s="196" t="str">
        <f>IF('Marks Entry'!BI39="","",'Marks Entry'!BI39)</f>
        <v/>
      </c>
      <c r="FE39" s="197" t="str">
        <f t="shared" si="143"/>
        <v/>
      </c>
      <c r="FF39" s="198" t="str">
        <f t="shared" si="144"/>
        <v/>
      </c>
      <c r="FG39" s="199" t="str">
        <f>IF(AND(E39=""),"",IF('Student DATA Entry'!L35="","",'Student DATA Entry'!L35))</f>
        <v/>
      </c>
      <c r="FH39" s="200" t="str">
        <f>IF(AND(E39=""),"",IF('Student DATA Entry'!M35="","",'Student DATA Entry'!M35))</f>
        <v/>
      </c>
      <c r="FI39" s="201" t="str">
        <f t="shared" si="145"/>
        <v/>
      </c>
      <c r="FJ39" s="188" t="str">
        <f t="shared" si="146"/>
        <v/>
      </c>
      <c r="FK39" s="188" t="str">
        <f t="shared" si="147"/>
        <v/>
      </c>
      <c r="FL39" s="202" t="str">
        <f t="shared" si="19"/>
        <v/>
      </c>
      <c r="FM39" s="188" t="str">
        <f t="shared" si="148"/>
        <v/>
      </c>
      <c r="FN39" s="203" t="str">
        <f t="shared" si="149"/>
        <v/>
      </c>
      <c r="FO39" s="202" t="str">
        <f t="shared" si="20"/>
        <v/>
      </c>
      <c r="FP39" s="204" t="str">
        <f t="shared" si="150"/>
        <v/>
      </c>
      <c r="FQ39" s="188" t="str">
        <f t="shared" si="21"/>
        <v/>
      </c>
      <c r="FR39" s="188" t="str">
        <f t="shared" si="22"/>
        <v/>
      </c>
      <c r="FS39" s="188" t="str">
        <f t="shared" si="23"/>
        <v/>
      </c>
      <c r="FT39" s="188" t="str">
        <f t="shared" si="24"/>
        <v/>
      </c>
      <c r="FU39" s="188" t="str">
        <f t="shared" si="151"/>
        <v/>
      </c>
      <c r="FV39" s="205" t="str">
        <f t="shared" si="25"/>
        <v/>
      </c>
      <c r="FW39" s="204" t="str">
        <f t="shared" si="152"/>
        <v/>
      </c>
      <c r="FX39" s="188" t="str">
        <f t="shared" si="26"/>
        <v/>
      </c>
      <c r="FY39" s="188" t="str">
        <f t="shared" si="27"/>
        <v/>
      </c>
      <c r="FZ39" s="188" t="str">
        <f t="shared" si="28"/>
        <v/>
      </c>
      <c r="GA39" s="188" t="str">
        <f t="shared" si="29"/>
        <v/>
      </c>
      <c r="GB39" s="188" t="str">
        <f t="shared" si="153"/>
        <v/>
      </c>
      <c r="GC39" s="205" t="str">
        <f t="shared" si="30"/>
        <v/>
      </c>
      <c r="GD39" s="204" t="str">
        <f t="shared" si="154"/>
        <v/>
      </c>
      <c r="GE39" s="188" t="str">
        <f t="shared" si="31"/>
        <v/>
      </c>
      <c r="GF39" s="188" t="str">
        <f t="shared" si="32"/>
        <v/>
      </c>
      <c r="GG39" s="188" t="str">
        <f t="shared" si="33"/>
        <v/>
      </c>
      <c r="GH39" s="188" t="str">
        <f t="shared" si="34"/>
        <v/>
      </c>
      <c r="GI39" s="188" t="str">
        <f t="shared" si="155"/>
        <v/>
      </c>
      <c r="GJ39" s="205" t="str">
        <f t="shared" si="35"/>
        <v/>
      </c>
      <c r="GK39" s="204" t="str">
        <f t="shared" si="156"/>
        <v/>
      </c>
      <c r="GL39" s="188" t="str">
        <f t="shared" si="36"/>
        <v/>
      </c>
      <c r="GM39" s="188" t="str">
        <f t="shared" si="37"/>
        <v/>
      </c>
      <c r="GN39" s="188" t="str">
        <f t="shared" si="38"/>
        <v/>
      </c>
      <c r="GO39" s="188" t="str">
        <f t="shared" si="39"/>
        <v/>
      </c>
      <c r="GP39" s="188" t="str">
        <f t="shared" si="157"/>
        <v/>
      </c>
      <c r="GQ39" s="205" t="str">
        <f t="shared" si="40"/>
        <v/>
      </c>
      <c r="GR39" s="188" t="str">
        <f t="shared" si="158"/>
        <v/>
      </c>
      <c r="GS39" s="188" t="str">
        <f t="shared" si="159"/>
        <v/>
      </c>
      <c r="GT39" s="206" t="str">
        <f t="shared" si="177"/>
        <v xml:space="preserve">    </v>
      </c>
      <c r="GU39" s="206" t="str">
        <f t="shared" si="160"/>
        <v xml:space="preserve">    </v>
      </c>
      <c r="GV39" s="206" t="str">
        <f t="shared" si="161"/>
        <v xml:space="preserve">    </v>
      </c>
      <c r="GW39" s="206" t="str">
        <f t="shared" si="162"/>
        <v xml:space="preserve">       </v>
      </c>
      <c r="GX39" s="598" t="str">
        <f t="shared" si="163"/>
        <v xml:space="preserve">     </v>
      </c>
      <c r="GY39" s="207" t="str">
        <f t="shared" si="164"/>
        <v/>
      </c>
      <c r="GZ39" s="606" t="str">
        <f>IF(AND(Q39="",AE39="",AZ39="",BW39="",CT39=""),"",IF(AND('Master Sheet'!$D$19="YES",'Marks Entry'!$BA$1=1),SUM(Q39,AE39,AZ39,BW39,DT39),SUM(Q39,AE39,AZ39,BW39,CT39)))</f>
        <v/>
      </c>
      <c r="HA39" s="208" t="str">
        <f>IF(GZ39="","",IF(AND('Master Sheet'!$D$19="YES",'Marks Entry'!$BA$1=1),GZ39/((900)-DC39)*100,GZ39/((1000)-DC39)*100))</f>
        <v/>
      </c>
      <c r="HB39" s="611" t="str">
        <f t="shared" si="165"/>
        <v/>
      </c>
      <c r="HC39" s="609" t="str">
        <f t="shared" si="166"/>
        <v/>
      </c>
      <c r="HD39" s="610" t="str">
        <f t="shared" si="167"/>
        <v/>
      </c>
      <c r="HE39" s="209" t="str">
        <f>IFERROR(IF(OR(GY39="SUPPLEMENTARY",GY39="RE-EXAM"),'Supp. Result Entry'!AS38,""),"")</f>
        <v/>
      </c>
      <c r="HF39" s="613" t="str">
        <f t="shared" si="168"/>
        <v/>
      </c>
      <c r="HG39" s="598" t="str">
        <f t="shared" si="169"/>
        <v/>
      </c>
      <c r="HH39" s="598" t="str">
        <f>IF(AND(HE39="",HF39="",HG39=""),"",IF(OR(GY39="SUPPLEMENTARY",GY39="RE-EXAM"),'Supp. Result Entry'!AS38,GY39))</f>
        <v/>
      </c>
      <c r="HI39" s="179"/>
      <c r="HJ39" s="213"/>
      <c r="HY39" s="211" t="str">
        <f>IF('Supp. Result Entry'!U38="","",'Supp. Result Entry'!$U$6)</f>
        <v/>
      </c>
      <c r="HZ39" s="212" t="str">
        <f>IF('Supp. Result Entry'!X38="","",'Supp. Result Entry'!$X$6)</f>
        <v/>
      </c>
      <c r="IA39" s="212" t="str">
        <f>IF('Supp. Result Entry'!AA38="","",'Supp. Result Entry'!$AA$6)</f>
        <v/>
      </c>
      <c r="IB39" s="212" t="str">
        <f>IF('Supp. Result Entry'!AD38="","",'Supp. Result Entry'!$AD$6)</f>
        <v/>
      </c>
      <c r="IC39" s="212" t="str">
        <f>IF('Supp. Result Entry'!AG38="","",'Supp. Result Entry'!$AG$6)</f>
        <v/>
      </c>
      <c r="ID39" s="212" t="str">
        <f>IF('Supp. Result Entry'!AJ38="","",'Supp. Result Entry'!$AJ$6)</f>
        <v/>
      </c>
      <c r="IE39" s="212" t="str">
        <f>IF('Supp. Result Entry'!V38="","",'Supp. Result Entry'!V38)</f>
        <v/>
      </c>
      <c r="IF39" s="212" t="str">
        <f>IF('Supp. Result Entry'!Y38="","",'Supp. Result Entry'!Y38)</f>
        <v/>
      </c>
      <c r="IG39" s="212" t="str">
        <f>IF('Supp. Result Entry'!AB38="","",'Supp. Result Entry'!AB38)</f>
        <v/>
      </c>
      <c r="IH39" s="212" t="str">
        <f>IF('Supp. Result Entry'!AE38="","",'Supp. Result Entry'!AE38)</f>
        <v/>
      </c>
      <c r="II39" s="212" t="str">
        <f>IF('Supp. Result Entry'!AH38="","",'Supp. Result Entry'!AH38)</f>
        <v/>
      </c>
      <c r="IJ39" s="212" t="str">
        <f>IF('Supp. Result Entry'!AK38="","",'Supp. Result Entry'!AK38)</f>
        <v/>
      </c>
      <c r="IK39" s="212" t="str">
        <f>IF('Supp. Result Entry'!W38="","",'Supp. Result Entry'!W38)</f>
        <v/>
      </c>
      <c r="IL39" s="212" t="str">
        <f>IF('Supp. Result Entry'!Z38="","",'Supp. Result Entry'!Z38)</f>
        <v/>
      </c>
      <c r="IM39" s="212" t="str">
        <f>IF('Supp. Result Entry'!AC38="","",'Supp. Result Entry'!AC38)</f>
        <v/>
      </c>
      <c r="IN39" s="212" t="str">
        <f>IF('Supp. Result Entry'!AF38="","",'Supp. Result Entry'!AF38)</f>
        <v/>
      </c>
      <c r="IO39" s="212" t="str">
        <f>IF('Supp. Result Entry'!AI38="","",'Supp. Result Entry'!AI38)</f>
        <v/>
      </c>
      <c r="IP39" s="212" t="str">
        <f>IF('Supp. Result Entry'!AL38="","",'Supp. Result Entry'!AL38)</f>
        <v/>
      </c>
      <c r="IQ39" s="212">
        <f>COUNTIF('Supp. Result Entry'!K38:Q38,"S")</f>
        <v>0</v>
      </c>
      <c r="IR39" s="212">
        <f t="shared" si="170"/>
        <v>0</v>
      </c>
      <c r="IS39" s="212">
        <f t="shared" si="171"/>
        <v>0</v>
      </c>
      <c r="IT39" s="212" t="str">
        <f t="shared" si="41"/>
        <v/>
      </c>
      <c r="IU39" s="212" t="str">
        <f t="shared" si="42"/>
        <v/>
      </c>
      <c r="IV39" s="212" t="str">
        <f t="shared" si="43"/>
        <v/>
      </c>
      <c r="IW39" s="212" t="str">
        <f t="shared" si="44"/>
        <v/>
      </c>
      <c r="IX39" s="212" t="str">
        <f t="shared" si="45"/>
        <v/>
      </c>
      <c r="IY39" s="212" t="str">
        <f t="shared" si="172"/>
        <v/>
      </c>
      <c r="IZ39" s="212" t="str">
        <f t="shared" si="173"/>
        <v/>
      </c>
      <c r="JA39" s="212" t="str">
        <f t="shared" si="46"/>
        <v/>
      </c>
      <c r="JB39" s="210" t="str">
        <f t="shared" si="174"/>
        <v/>
      </c>
    </row>
    <row r="40" spans="1:262" s="210" customFormat="1" ht="21" customHeight="1">
      <c r="A40" s="183">
        <v>33</v>
      </c>
      <c r="B40" s="184" t="str">
        <f>IF('Marks Entry'!B40="","",'Marks Entry'!B40)</f>
        <v/>
      </c>
      <c r="C40" s="185" t="str">
        <f>IF('Marks Entry'!D40="","",'Marks Entry'!D40)</f>
        <v/>
      </c>
      <c r="D40" s="186" t="str">
        <f>IF('Marks Entry'!E40="","",'Marks Entry'!E40)</f>
        <v/>
      </c>
      <c r="E40" s="187" t="str">
        <f>IF('Marks Entry'!F40="","",'Marks Entry'!F40)</f>
        <v/>
      </c>
      <c r="F40" s="187" t="str">
        <f>IF('Marks Entry'!G40="","",'Marks Entry'!G40)</f>
        <v/>
      </c>
      <c r="G40" s="187" t="str">
        <f>IF('Marks Entry'!H40="","",'Marks Entry'!H40)</f>
        <v/>
      </c>
      <c r="H40" s="188" t="str">
        <f>IF('Marks Entry'!I40="","",'Marks Entry'!I40)</f>
        <v/>
      </c>
      <c r="I40" s="189" t="str">
        <f>IF('Marks Entry'!J40="","",'Marks Entry'!J40)</f>
        <v/>
      </c>
      <c r="J40" s="545" t="str">
        <f>IF('Marks Entry'!K40="","",'Marks Entry'!K40)</f>
        <v/>
      </c>
      <c r="K40" s="545" t="str">
        <f>IF('Marks Entry'!L40="","",'Marks Entry'!L40)</f>
        <v/>
      </c>
      <c r="L40" s="545" t="str">
        <f>IF('Marks Entry'!M40="","",'Marks Entry'!M40)</f>
        <v/>
      </c>
      <c r="M40" s="546" t="str">
        <f t="shared" si="47"/>
        <v/>
      </c>
      <c r="N40" s="545" t="str">
        <f>IF('Marks Entry'!N40="","",'Marks Entry'!N40)</f>
        <v/>
      </c>
      <c r="O40" s="546" t="str">
        <f t="shared" si="48"/>
        <v/>
      </c>
      <c r="P40" s="545" t="str">
        <f>IF('Marks Entry'!O40="","",'Marks Entry'!O40)</f>
        <v/>
      </c>
      <c r="Q40" s="547" t="str">
        <f t="shared" si="49"/>
        <v/>
      </c>
      <c r="R40" s="152">
        <f t="shared" si="50"/>
        <v>0</v>
      </c>
      <c r="S40" s="152">
        <f t="shared" si="51"/>
        <v>0</v>
      </c>
      <c r="T40" s="153" t="str">
        <f t="shared" si="52"/>
        <v/>
      </c>
      <c r="U40" s="152" t="str">
        <f t="shared" si="53"/>
        <v/>
      </c>
      <c r="V40" s="152" t="str">
        <f t="shared" si="54"/>
        <v/>
      </c>
      <c r="W40" s="152" t="str">
        <f t="shared" si="55"/>
        <v/>
      </c>
      <c r="X40" s="545" t="str">
        <f>IF('Marks Entry'!P40="","",'Marks Entry'!P40)</f>
        <v/>
      </c>
      <c r="Y40" s="545" t="str">
        <f>IF('Marks Entry'!Q40="","",'Marks Entry'!Q40)</f>
        <v/>
      </c>
      <c r="Z40" s="545" t="str">
        <f>IF('Marks Entry'!R40="","",'Marks Entry'!R40)</f>
        <v/>
      </c>
      <c r="AA40" s="546" t="str">
        <f t="shared" si="56"/>
        <v/>
      </c>
      <c r="AB40" s="545" t="str">
        <f>IF('Marks Entry'!S40="","",'Marks Entry'!S40)</f>
        <v/>
      </c>
      <c r="AC40" s="546" t="str">
        <f t="shared" si="57"/>
        <v/>
      </c>
      <c r="AD40" s="545" t="str">
        <f>IF('Marks Entry'!T40="","",'Marks Entry'!T40)</f>
        <v/>
      </c>
      <c r="AE40" s="547" t="str">
        <f t="shared" si="58"/>
        <v/>
      </c>
      <c r="AF40" s="152">
        <f t="shared" si="59"/>
        <v>0</v>
      </c>
      <c r="AG40" s="152">
        <f t="shared" si="60"/>
        <v>0</v>
      </c>
      <c r="AH40" s="153" t="str">
        <f t="shared" si="61"/>
        <v/>
      </c>
      <c r="AI40" s="152" t="str">
        <f t="shared" si="62"/>
        <v/>
      </c>
      <c r="AJ40" s="152" t="str">
        <f t="shared" si="63"/>
        <v/>
      </c>
      <c r="AK40" s="152" t="str">
        <f t="shared" si="64"/>
        <v/>
      </c>
      <c r="AL40" s="573" t="str">
        <f>IF('Marks Entry'!U40="","",'Marks Entry'!U40)</f>
        <v/>
      </c>
      <c r="AM40" s="573" t="str">
        <f>IF('Marks Entry'!V40="","",'Marks Entry'!V40)</f>
        <v/>
      </c>
      <c r="AN40" s="573" t="str">
        <f>IF('Marks Entry'!W40="","",'Marks Entry'!W40)</f>
        <v/>
      </c>
      <c r="AO40" s="573" t="str">
        <f>IF('Marks Entry'!X40="","",'Marks Entry'!X40)</f>
        <v/>
      </c>
      <c r="AP40" s="572" t="str">
        <f t="shared" si="65"/>
        <v/>
      </c>
      <c r="AQ40" s="573" t="str">
        <f>IF('Marks Entry'!Y40="","",'Marks Entry'!Y40)</f>
        <v/>
      </c>
      <c r="AR40" s="573" t="str">
        <f>IF('Marks Entry'!Z40="","",'Marks Entry'!Z40)</f>
        <v/>
      </c>
      <c r="AS40" s="572" t="str">
        <f t="shared" si="66"/>
        <v/>
      </c>
      <c r="AT40" s="572" t="str">
        <f t="shared" si="67"/>
        <v/>
      </c>
      <c r="AU40" s="573" t="str">
        <f>IF('Marks Entry'!AA40="","",'Marks Entry'!AA40)</f>
        <v/>
      </c>
      <c r="AV40" s="573" t="str">
        <f>IF('Marks Entry'!AB40="","",'Marks Entry'!AB40)</f>
        <v/>
      </c>
      <c r="AW40" s="572" t="str">
        <f t="shared" si="68"/>
        <v/>
      </c>
      <c r="AX40" s="156" t="str">
        <f t="shared" si="69"/>
        <v/>
      </c>
      <c r="AY40" s="156" t="str">
        <f t="shared" si="70"/>
        <v/>
      </c>
      <c r="AZ40" s="191" t="str">
        <f t="shared" si="71"/>
        <v/>
      </c>
      <c r="BA40" s="152">
        <f t="shared" si="72"/>
        <v>0</v>
      </c>
      <c r="BB40" s="153">
        <f t="shared" si="73"/>
        <v>0</v>
      </c>
      <c r="BC40" s="153" t="str">
        <f t="shared" si="74"/>
        <v/>
      </c>
      <c r="BD40" s="153" t="str">
        <f t="shared" si="75"/>
        <v/>
      </c>
      <c r="BE40" s="153" t="str">
        <f t="shared" si="76"/>
        <v/>
      </c>
      <c r="BF40" s="152" t="str">
        <f t="shared" si="77"/>
        <v/>
      </c>
      <c r="BG40" s="153" t="str">
        <f t="shared" si="175"/>
        <v/>
      </c>
      <c r="BH40" s="152" t="str">
        <f t="shared" si="78"/>
        <v/>
      </c>
      <c r="BI40" s="580" t="str">
        <f>IF('Marks Entry'!AC40="","",'Marks Entry'!AC40)</f>
        <v/>
      </c>
      <c r="BJ40" s="580" t="str">
        <f>IF('Marks Entry'!AD40="","",'Marks Entry'!AD40)</f>
        <v/>
      </c>
      <c r="BK40" s="580" t="str">
        <f>IF('Marks Entry'!AE40="","",'Marks Entry'!AE40)</f>
        <v/>
      </c>
      <c r="BL40" s="580" t="str">
        <f>IF('Marks Entry'!AF40="","",'Marks Entry'!AF40)</f>
        <v/>
      </c>
      <c r="BM40" s="581" t="str">
        <f t="shared" si="79"/>
        <v/>
      </c>
      <c r="BN40" s="580" t="str">
        <f>IF('Marks Entry'!AG40="","",'Marks Entry'!AG40)</f>
        <v/>
      </c>
      <c r="BO40" s="580" t="str">
        <f>IF('Marks Entry'!AH40="","",'Marks Entry'!AH40)</f>
        <v/>
      </c>
      <c r="BP40" s="581" t="str">
        <f t="shared" si="80"/>
        <v/>
      </c>
      <c r="BQ40" s="581" t="str">
        <f t="shared" si="81"/>
        <v/>
      </c>
      <c r="BR40" s="580" t="str">
        <f>IF('Marks Entry'!AI40="","",'Marks Entry'!AI40)</f>
        <v/>
      </c>
      <c r="BS40" s="580" t="str">
        <f>IF('Marks Entry'!AJ40="","",'Marks Entry'!AJ40)</f>
        <v/>
      </c>
      <c r="BT40" s="581" t="str">
        <f t="shared" si="82"/>
        <v/>
      </c>
      <c r="BU40" s="156" t="str">
        <f t="shared" si="83"/>
        <v/>
      </c>
      <c r="BV40" s="156" t="str">
        <f t="shared" si="84"/>
        <v/>
      </c>
      <c r="BW40" s="191" t="str">
        <f t="shared" si="85"/>
        <v/>
      </c>
      <c r="BX40" s="152">
        <f t="shared" si="86"/>
        <v>0</v>
      </c>
      <c r="BY40" s="153">
        <f t="shared" si="87"/>
        <v>0</v>
      </c>
      <c r="BZ40" s="153" t="str">
        <f t="shared" si="88"/>
        <v/>
      </c>
      <c r="CA40" s="153" t="str">
        <f t="shared" si="89"/>
        <v/>
      </c>
      <c r="CB40" s="153" t="str">
        <f t="shared" si="90"/>
        <v/>
      </c>
      <c r="CC40" s="152" t="str">
        <f t="shared" si="91"/>
        <v/>
      </c>
      <c r="CD40" s="153" t="str">
        <f t="shared" si="92"/>
        <v/>
      </c>
      <c r="CE40" s="152" t="str">
        <f t="shared" si="93"/>
        <v/>
      </c>
      <c r="CF40" s="580" t="str">
        <f>IF('Marks Entry'!AK40="","",'Marks Entry'!AK40)</f>
        <v/>
      </c>
      <c r="CG40" s="580" t="str">
        <f>IF('Marks Entry'!AL40="","",'Marks Entry'!AL40)</f>
        <v/>
      </c>
      <c r="CH40" s="580" t="str">
        <f>IF('Marks Entry'!AM40="","",'Marks Entry'!AM40)</f>
        <v/>
      </c>
      <c r="CI40" s="580" t="str">
        <f>IF('Marks Entry'!AN40="","",'Marks Entry'!AN40)</f>
        <v/>
      </c>
      <c r="CJ40" s="581" t="str">
        <f t="shared" si="94"/>
        <v/>
      </c>
      <c r="CK40" s="580" t="str">
        <f>IF('Marks Entry'!AO40="","",'Marks Entry'!AO40)</f>
        <v/>
      </c>
      <c r="CL40" s="580" t="str">
        <f>IF('Marks Entry'!AP40="","",'Marks Entry'!AP40)</f>
        <v/>
      </c>
      <c r="CM40" s="581" t="str">
        <f t="shared" si="95"/>
        <v/>
      </c>
      <c r="CN40" s="581" t="str">
        <f t="shared" si="96"/>
        <v/>
      </c>
      <c r="CO40" s="580" t="str">
        <f>IF('Marks Entry'!AQ40="","",'Marks Entry'!AQ40)</f>
        <v/>
      </c>
      <c r="CP40" s="580" t="str">
        <f>IF('Marks Entry'!AR40="","",'Marks Entry'!AR40)</f>
        <v/>
      </c>
      <c r="CQ40" s="581" t="str">
        <f t="shared" si="97"/>
        <v/>
      </c>
      <c r="CR40" s="156" t="str">
        <f t="shared" si="98"/>
        <v/>
      </c>
      <c r="CS40" s="156" t="str">
        <f t="shared" si="99"/>
        <v/>
      </c>
      <c r="CT40" s="191" t="str">
        <f t="shared" si="100"/>
        <v/>
      </c>
      <c r="CU40" s="152">
        <f t="shared" si="101"/>
        <v>0</v>
      </c>
      <c r="CV40" s="153">
        <f t="shared" si="102"/>
        <v>0</v>
      </c>
      <c r="CW40" s="153" t="str">
        <f t="shared" si="103"/>
        <v/>
      </c>
      <c r="CX40" s="153" t="str">
        <f t="shared" si="104"/>
        <v/>
      </c>
      <c r="CY40" s="153" t="str">
        <f t="shared" si="176"/>
        <v/>
      </c>
      <c r="CZ40" s="152" t="str">
        <f t="shared" si="105"/>
        <v/>
      </c>
      <c r="DA40" s="153" t="str">
        <f t="shared" si="106"/>
        <v/>
      </c>
      <c r="DB40" s="152" t="str">
        <f t="shared" si="107"/>
        <v/>
      </c>
      <c r="DC40" s="153">
        <f t="shared" si="108"/>
        <v>0</v>
      </c>
      <c r="DD40" s="851" t="str">
        <f>IF('Marks Entry'!AS40="","",IF(OR('Master Sheet'!$D$19="YES",'Marks Entry'!$BA$1=1),'Marks Entry'!AS40,""))</f>
        <v/>
      </c>
      <c r="DE40" s="851" t="str">
        <f>IF('Marks Entry'!AT40="","",IF(OR('Master Sheet'!$D$19="YES",'Marks Entry'!$BA$1=1),'Marks Entry'!AT40,""))</f>
        <v/>
      </c>
      <c r="DF40" s="851" t="str">
        <f>IF('Marks Entry'!AU40="","",IF(OR('Master Sheet'!$D$19="YES",'Marks Entry'!$BA$1=1),'Marks Entry'!AU40,""))</f>
        <v/>
      </c>
      <c r="DG40" s="851" t="str">
        <f>IF('Marks Entry'!AV40="","",IF(OR('Master Sheet'!$D$19="YES",'Marks Entry'!$BA$1=1),'Marks Entry'!AV40,""))</f>
        <v/>
      </c>
      <c r="DH40" s="852" t="str">
        <f t="shared" si="109"/>
        <v/>
      </c>
      <c r="DI40" s="851" t="str">
        <f>IF('Marks Entry'!AW40="","",IF(OR('Master Sheet'!$D$19="YES",'Marks Entry'!$BA$1=1),'Marks Entry'!AW40,""))</f>
        <v/>
      </c>
      <c r="DJ40" s="851" t="str">
        <f>IF('Marks Entry'!AX40="","",IF(OR('Master Sheet'!$D$19="YES",'Marks Entry'!$BA$1=1),'Marks Entry'!AX40,""))</f>
        <v/>
      </c>
      <c r="DK40" s="852" t="str">
        <f t="shared" si="110"/>
        <v/>
      </c>
      <c r="DL40" s="852" t="str">
        <f t="shared" si="111"/>
        <v/>
      </c>
      <c r="DM40" s="851" t="str">
        <f>IF('Marks Entry'!AY40="","",IF(OR('Master Sheet'!$D$19="YES",'Marks Entry'!$BA$1=1),'Marks Entry'!AY40,""))</f>
        <v/>
      </c>
      <c r="DN40" s="851" t="str">
        <f>IF('Marks Entry'!AZ40="","",IF(OR('Master Sheet'!$D$19="YES",'Marks Entry'!$BA$1=1),'Marks Entry'!AZ40,""))</f>
        <v/>
      </c>
      <c r="DO40" s="851" t="str">
        <f>IF('Marks Entry'!BA40="","",IF(OR('Master Sheet'!$D$19="YES",'Marks Entry'!$BA$1=1),'Marks Entry'!BA40,""))</f>
        <v/>
      </c>
      <c r="DP40" s="852" t="str">
        <f t="shared" si="112"/>
        <v/>
      </c>
      <c r="DQ40" s="156" t="str">
        <f t="shared" si="113"/>
        <v/>
      </c>
      <c r="DR40" s="156" t="str">
        <f t="shared" si="114"/>
        <v/>
      </c>
      <c r="DS40" s="156" t="str">
        <f t="shared" si="115"/>
        <v/>
      </c>
      <c r="DT40" s="191" t="str">
        <f t="shared" si="116"/>
        <v/>
      </c>
      <c r="DU40" s="152">
        <f t="shared" si="117"/>
        <v>0</v>
      </c>
      <c r="DV40" s="153">
        <f t="shared" si="118"/>
        <v>0</v>
      </c>
      <c r="DW40" s="153" t="str">
        <f t="shared" si="119"/>
        <v/>
      </c>
      <c r="DX40" s="153" t="str">
        <f>IF(OR($B40="NSO",$B40=0,DS40=""),"",IF(AND(DJ40="",DO40=""),"",IF('Master Sheet'!$D$19="YES",$DO$6-COUNTIF(DO40,"ML")*DO$6,DS$6-(COUNTIF(DJ40,"ML")*DJ$6)-(COUNTIF(DO40,"ML")*DO$6))))</f>
        <v/>
      </c>
      <c r="DY40" s="153" t="str">
        <f>IF(OR($B40="NSO",$B40=0),"",IF(AND(DH40="",DI40="",DM40=""),"",IF(AND('Master Sheet'!$D$19="YES",'Marks Entry'!$BA$1=1),100,IF(AND(DJ40="",DO40=""),SUM(($DQ$7+$DR$7)-(DU40+DV40)),SUM(($DQ$6+$DR$6)-(DU40+DV40))))))</f>
        <v/>
      </c>
      <c r="DZ40" s="152" t="str">
        <f t="shared" si="120"/>
        <v/>
      </c>
      <c r="EA40" s="153" t="str">
        <f t="shared" si="121"/>
        <v/>
      </c>
      <c r="EB40" s="152" t="str">
        <f t="shared" si="122"/>
        <v/>
      </c>
      <c r="EC40" s="584" t="str">
        <f>IF('Marks Entry'!BB40="","",'Marks Entry'!BB40)</f>
        <v/>
      </c>
      <c r="ED40" s="584" t="str">
        <f>IF('Marks Entry'!BC40="","",'Marks Entry'!BC40)</f>
        <v/>
      </c>
      <c r="EE40" s="584" t="str">
        <f>IF('Marks Entry'!BD40="","",'Marks Entry'!BD40)</f>
        <v/>
      </c>
      <c r="EF40" s="590" t="str">
        <f t="shared" si="123"/>
        <v/>
      </c>
      <c r="EG40" s="595">
        <f t="shared" si="124"/>
        <v>0</v>
      </c>
      <c r="EH40" s="595">
        <f t="shared" si="125"/>
        <v>0</v>
      </c>
      <c r="EI40" s="192" t="str">
        <f t="shared" si="126"/>
        <v/>
      </c>
      <c r="EJ40" s="595" t="str">
        <f t="shared" si="127"/>
        <v/>
      </c>
      <c r="EK40" s="595" t="str">
        <f t="shared" si="128"/>
        <v/>
      </c>
      <c r="EL40" s="193" t="str">
        <f t="shared" si="129"/>
        <v/>
      </c>
      <c r="EM40" s="193" t="str">
        <f t="shared" si="130"/>
        <v/>
      </c>
      <c r="EN40" s="193" t="str">
        <f t="shared" si="131"/>
        <v/>
      </c>
      <c r="EO40" s="193" t="str">
        <f t="shared" si="132"/>
        <v/>
      </c>
      <c r="EP40" s="193" t="str">
        <f t="shared" si="133"/>
        <v/>
      </c>
      <c r="EQ40" s="193" t="str">
        <f t="shared" si="134"/>
        <v/>
      </c>
      <c r="ER40" s="194">
        <f t="shared" si="135"/>
        <v>0</v>
      </c>
      <c r="ES40" s="194">
        <f t="shared" si="136"/>
        <v>0</v>
      </c>
      <c r="ET40" s="194">
        <f t="shared" si="137"/>
        <v>0</v>
      </c>
      <c r="EU40" s="194">
        <f t="shared" si="138"/>
        <v>0</v>
      </c>
      <c r="EV40" s="194">
        <f t="shared" si="139"/>
        <v>0</v>
      </c>
      <c r="EW40" s="194" t="str">
        <f t="shared" si="140"/>
        <v/>
      </c>
      <c r="EX40" s="195" t="str">
        <f t="shared" si="141"/>
        <v/>
      </c>
      <c r="EY40" s="196" t="str">
        <f>IF('Marks Entry'!BE40="","",'Marks Entry'!BE40)</f>
        <v/>
      </c>
      <c r="EZ40" s="196" t="str">
        <f>IF('Marks Entry'!BF40="","",'Marks Entry'!BF40)</f>
        <v/>
      </c>
      <c r="FA40" s="196" t="str">
        <f>IF('Marks Entry'!BG40="","",'Marks Entry'!BG40)</f>
        <v/>
      </c>
      <c r="FB40" s="596" t="str">
        <f t="shared" si="142"/>
        <v/>
      </c>
      <c r="FC40" s="196" t="str">
        <f>IF('Marks Entry'!BH40="","",'Marks Entry'!BH40)</f>
        <v/>
      </c>
      <c r="FD40" s="196" t="str">
        <f>IF('Marks Entry'!BI40="","",'Marks Entry'!BI40)</f>
        <v/>
      </c>
      <c r="FE40" s="197" t="str">
        <f t="shared" si="143"/>
        <v/>
      </c>
      <c r="FF40" s="198" t="str">
        <f t="shared" si="144"/>
        <v/>
      </c>
      <c r="FG40" s="199" t="str">
        <f>IF(AND(E40=""),"",IF('Student DATA Entry'!L36="","",'Student DATA Entry'!L36))</f>
        <v/>
      </c>
      <c r="FH40" s="200" t="str">
        <f>IF(AND(E40=""),"",IF('Student DATA Entry'!M36="","",'Student DATA Entry'!M36))</f>
        <v/>
      </c>
      <c r="FI40" s="201" t="str">
        <f t="shared" si="145"/>
        <v/>
      </c>
      <c r="FJ40" s="188" t="str">
        <f t="shared" si="146"/>
        <v/>
      </c>
      <c r="FK40" s="188" t="str">
        <f t="shared" si="147"/>
        <v/>
      </c>
      <c r="FL40" s="202" t="str">
        <f t="shared" ref="FL40:FL71" si="178">IF(FJ40="G",ROUNDUP(36%*T40-Q40,0),"")</f>
        <v/>
      </c>
      <c r="FM40" s="188" t="str">
        <f t="shared" si="148"/>
        <v/>
      </c>
      <c r="FN40" s="203" t="str">
        <f t="shared" si="149"/>
        <v/>
      </c>
      <c r="FO40" s="202" t="str">
        <f t="shared" ref="FO40:FO71" si="179">IF(FM40="G",ROUNDUP(36%*AH40-AE40,0),"")</f>
        <v/>
      </c>
      <c r="FP40" s="204" t="str">
        <f t="shared" si="150"/>
        <v/>
      </c>
      <c r="FQ40" s="188" t="str">
        <f t="shared" ref="FQ40:FQ71" si="180">IF(AL40="A",FP40,"")</f>
        <v/>
      </c>
      <c r="FR40" s="188" t="str">
        <f t="shared" ref="FR40:FR71" si="181">IF(AL40="B",FP40,"")</f>
        <v/>
      </c>
      <c r="FS40" s="188" t="str">
        <f t="shared" ref="FS40:FS71" si="182">IF(AL40="C",FP40,"")</f>
        <v/>
      </c>
      <c r="FT40" s="188" t="str">
        <f t="shared" ref="FT40:FT71" si="183">IF(AL40="D",FP40,"")</f>
        <v/>
      </c>
      <c r="FU40" s="188" t="str">
        <f t="shared" si="151"/>
        <v/>
      </c>
      <c r="FV40" s="205" t="str">
        <f t="shared" ref="FV40:FV71" si="184">IF(FP40="G",ROUNDUP(36%*BE40-AX40,0),"")</f>
        <v/>
      </c>
      <c r="FW40" s="204" t="str">
        <f t="shared" si="152"/>
        <v/>
      </c>
      <c r="FX40" s="188" t="str">
        <f t="shared" ref="FX40:FX71" si="185">IF(BI40="A",FW40,"")</f>
        <v/>
      </c>
      <c r="FY40" s="188" t="str">
        <f t="shared" ref="FY40:FY71" si="186">IF(BI40="B",FW40,"")</f>
        <v/>
      </c>
      <c r="FZ40" s="188" t="str">
        <f t="shared" ref="FZ40:FZ71" si="187">IF(BI40="C",FW40,"")</f>
        <v/>
      </c>
      <c r="GA40" s="188" t="str">
        <f t="shared" ref="GA40:GA71" si="188">IF(BI40="D",FW40,"")</f>
        <v/>
      </c>
      <c r="GB40" s="188" t="str">
        <f t="shared" si="153"/>
        <v/>
      </c>
      <c r="GC40" s="205" t="str">
        <f t="shared" ref="GC40:GC71" si="189">IF(FW40="G",ROUNDUP(36%*CB40-BU40,0),"")</f>
        <v/>
      </c>
      <c r="GD40" s="204" t="str">
        <f t="shared" si="154"/>
        <v/>
      </c>
      <c r="GE40" s="188" t="str">
        <f t="shared" ref="GE40:GE71" si="190">IF(CF40="A",GD40,"")</f>
        <v/>
      </c>
      <c r="GF40" s="188" t="str">
        <f t="shared" ref="GF40:GF71" si="191">IF(CF40="B",GD40,"")</f>
        <v/>
      </c>
      <c r="GG40" s="188" t="str">
        <f t="shared" ref="GG40:GG71" si="192">IF(CF40="C",GD40,"")</f>
        <v/>
      </c>
      <c r="GH40" s="188" t="str">
        <f t="shared" ref="GH40:GH71" si="193">IF(CF40="D",GD40,"")</f>
        <v/>
      </c>
      <c r="GI40" s="188" t="str">
        <f t="shared" si="155"/>
        <v/>
      </c>
      <c r="GJ40" s="205" t="str">
        <f t="shared" ref="GJ40:GJ71" si="194">IF(GD40="G",ROUNDUP(36%*CY40-CR40,0),"")</f>
        <v/>
      </c>
      <c r="GK40" s="204" t="str">
        <f t="shared" si="156"/>
        <v/>
      </c>
      <c r="GL40" s="188" t="str">
        <f t="shared" ref="GL40:GL71" si="195">IF(DD40="A",GK40,"")</f>
        <v/>
      </c>
      <c r="GM40" s="188" t="str">
        <f t="shared" ref="GM40:GM71" si="196">IF(DD40="B",GK40,"")</f>
        <v/>
      </c>
      <c r="GN40" s="188" t="str">
        <f t="shared" ref="GN40:GN71" si="197">IF(DD40="C",GK40,"")</f>
        <v/>
      </c>
      <c r="GO40" s="188" t="str">
        <f t="shared" ref="GO40:GO71" si="198">IF(DD40="D",GK40,"")</f>
        <v/>
      </c>
      <c r="GP40" s="188" t="str">
        <f t="shared" si="157"/>
        <v/>
      </c>
      <c r="GQ40" s="205" t="str">
        <f t="shared" ref="GQ40:GQ71" si="199">IF(GK40="G",ROUNDUP(36%*DY40-DQ40,0),"")</f>
        <v/>
      </c>
      <c r="GR40" s="188" t="str">
        <f t="shared" si="158"/>
        <v/>
      </c>
      <c r="GS40" s="188" t="str">
        <f t="shared" si="159"/>
        <v/>
      </c>
      <c r="GT40" s="206" t="str">
        <f t="shared" si="177"/>
        <v xml:space="preserve">    </v>
      </c>
      <c r="GU40" s="206" t="str">
        <f t="shared" si="160"/>
        <v xml:space="preserve">    </v>
      </c>
      <c r="GV40" s="206" t="str">
        <f t="shared" si="161"/>
        <v xml:space="preserve">    </v>
      </c>
      <c r="GW40" s="206" t="str">
        <f t="shared" si="162"/>
        <v xml:space="preserve">       </v>
      </c>
      <c r="GX40" s="598" t="str">
        <f t="shared" si="163"/>
        <v xml:space="preserve">     </v>
      </c>
      <c r="GY40" s="207" t="str">
        <f t="shared" ref="GY40:GY71" si="200">IF(B40="NSO","NSO",IF(AND(OR(EX40="PASS",EX40="BY GRACE PASS",EX40="RE-EXAM"),EW40="F"),"FAIL",IF(AND(OR(EX40="PASS",EX40="BY GRACE PASS"),EW40="RE"),"RE-EXAM",EX40)))</f>
        <v/>
      </c>
      <c r="GZ40" s="606" t="str">
        <f>IF(AND(Q40="",AE40="",AZ40="",BW40="",CT40=""),"",IF(AND('Master Sheet'!$D$19="YES",'Marks Entry'!$BA$1=1),SUM(Q40,AE40,AZ40,BW40,DT40),SUM(Q40,AE40,AZ40,BW40,CT40)))</f>
        <v/>
      </c>
      <c r="HA40" s="208" t="str">
        <f>IF(GZ40="","",IF(AND('Master Sheet'!$D$19="YES",'Marks Entry'!$BA$1=1),GZ40/((900)-DC40)*100,GZ40/((1000)-DC40)*100))</f>
        <v/>
      </c>
      <c r="HB40" s="611" t="str">
        <f t="shared" si="165"/>
        <v/>
      </c>
      <c r="HC40" s="609" t="str">
        <f t="shared" si="166"/>
        <v/>
      </c>
      <c r="HD40" s="610" t="str">
        <f t="shared" si="167"/>
        <v/>
      </c>
      <c r="HE40" s="209" t="str">
        <f>IFERROR(IF(OR(GY40="SUPPLEMENTARY",GY40="RE-EXAM"),'Supp. Result Entry'!AS39,""),"")</f>
        <v/>
      </c>
      <c r="HF40" s="613" t="str">
        <f t="shared" si="168"/>
        <v/>
      </c>
      <c r="HG40" s="598" t="str">
        <f t="shared" si="169"/>
        <v/>
      </c>
      <c r="HH40" s="598" t="str">
        <f>IF(AND(HE40="",HF40="",HG40=""),"",IF(OR(GY40="SUPPLEMENTARY",GY40="RE-EXAM"),'Supp. Result Entry'!AS39,GY40))</f>
        <v/>
      </c>
      <c r="HI40" s="179"/>
      <c r="HJ40" s="213"/>
      <c r="HY40" s="211" t="str">
        <f>IF('Supp. Result Entry'!U39="","",'Supp. Result Entry'!$U$6)</f>
        <v/>
      </c>
      <c r="HZ40" s="212" t="str">
        <f>IF('Supp. Result Entry'!X39="","",'Supp. Result Entry'!$X$6)</f>
        <v/>
      </c>
      <c r="IA40" s="212" t="str">
        <f>IF('Supp. Result Entry'!AA39="","",'Supp. Result Entry'!$AA$6)</f>
        <v/>
      </c>
      <c r="IB40" s="212" t="str">
        <f>IF('Supp. Result Entry'!AD39="","",'Supp. Result Entry'!$AD$6)</f>
        <v/>
      </c>
      <c r="IC40" s="212" t="str">
        <f>IF('Supp. Result Entry'!AG39="","",'Supp. Result Entry'!$AG$6)</f>
        <v/>
      </c>
      <c r="ID40" s="212" t="str">
        <f>IF('Supp. Result Entry'!AJ39="","",'Supp. Result Entry'!$AJ$6)</f>
        <v/>
      </c>
      <c r="IE40" s="212" t="str">
        <f>IF('Supp. Result Entry'!V39="","",'Supp. Result Entry'!V39)</f>
        <v/>
      </c>
      <c r="IF40" s="212" t="str">
        <f>IF('Supp. Result Entry'!Y39="","",'Supp. Result Entry'!Y39)</f>
        <v/>
      </c>
      <c r="IG40" s="212" t="str">
        <f>IF('Supp. Result Entry'!AB39="","",'Supp. Result Entry'!AB39)</f>
        <v/>
      </c>
      <c r="IH40" s="212" t="str">
        <f>IF('Supp. Result Entry'!AE39="","",'Supp. Result Entry'!AE39)</f>
        <v/>
      </c>
      <c r="II40" s="212" t="str">
        <f>IF('Supp. Result Entry'!AH39="","",'Supp. Result Entry'!AH39)</f>
        <v/>
      </c>
      <c r="IJ40" s="212" t="str">
        <f>IF('Supp. Result Entry'!AK39="","",'Supp. Result Entry'!AK39)</f>
        <v/>
      </c>
      <c r="IK40" s="212" t="str">
        <f>IF('Supp. Result Entry'!W39="","",'Supp. Result Entry'!W39)</f>
        <v/>
      </c>
      <c r="IL40" s="212" t="str">
        <f>IF('Supp. Result Entry'!Z39="","",'Supp. Result Entry'!Z39)</f>
        <v/>
      </c>
      <c r="IM40" s="212" t="str">
        <f>IF('Supp. Result Entry'!AC39="","",'Supp. Result Entry'!AC39)</f>
        <v/>
      </c>
      <c r="IN40" s="212" t="str">
        <f>IF('Supp. Result Entry'!AF39="","",'Supp. Result Entry'!AF39)</f>
        <v/>
      </c>
      <c r="IO40" s="212" t="str">
        <f>IF('Supp. Result Entry'!AI39="","",'Supp. Result Entry'!AI39)</f>
        <v/>
      </c>
      <c r="IP40" s="212" t="str">
        <f>IF('Supp. Result Entry'!AL39="","",'Supp. Result Entry'!AL39)</f>
        <v/>
      </c>
      <c r="IQ40" s="212">
        <f>COUNTIF('Supp. Result Entry'!K39:Q39,"S")</f>
        <v>0</v>
      </c>
      <c r="IR40" s="212">
        <f t="shared" si="170"/>
        <v>0</v>
      </c>
      <c r="IS40" s="212">
        <f t="shared" si="171"/>
        <v>0</v>
      </c>
      <c r="IT40" s="212" t="str">
        <f t="shared" si="41"/>
        <v/>
      </c>
      <c r="IU40" s="212" t="str">
        <f t="shared" si="42"/>
        <v/>
      </c>
      <c r="IV40" s="212" t="str">
        <f t="shared" si="43"/>
        <v/>
      </c>
      <c r="IW40" s="212" t="str">
        <f t="shared" si="44"/>
        <v/>
      </c>
      <c r="IX40" s="212" t="str">
        <f t="shared" si="45"/>
        <v/>
      </c>
      <c r="IY40" s="212" t="str">
        <f t="shared" si="172"/>
        <v/>
      </c>
      <c r="IZ40" s="212" t="str">
        <f t="shared" si="173"/>
        <v/>
      </c>
      <c r="JA40" s="212" t="str">
        <f t="shared" si="46"/>
        <v/>
      </c>
      <c r="JB40" s="210" t="str">
        <f t="shared" si="174"/>
        <v/>
      </c>
    </row>
    <row r="41" spans="1:262" s="210" customFormat="1" ht="21" customHeight="1">
      <c r="A41" s="183">
        <v>34</v>
      </c>
      <c r="B41" s="184" t="str">
        <f>IF('Marks Entry'!B41="","",'Marks Entry'!B41)</f>
        <v/>
      </c>
      <c r="C41" s="185" t="str">
        <f>IF('Marks Entry'!D41="","",'Marks Entry'!D41)</f>
        <v/>
      </c>
      <c r="D41" s="186" t="str">
        <f>IF('Marks Entry'!E41="","",'Marks Entry'!E41)</f>
        <v/>
      </c>
      <c r="E41" s="187" t="str">
        <f>IF('Marks Entry'!F41="","",'Marks Entry'!F41)</f>
        <v/>
      </c>
      <c r="F41" s="187" t="str">
        <f>IF('Marks Entry'!G41="","",'Marks Entry'!G41)</f>
        <v/>
      </c>
      <c r="G41" s="187" t="str">
        <f>IF('Marks Entry'!H41="","",'Marks Entry'!H41)</f>
        <v/>
      </c>
      <c r="H41" s="188" t="str">
        <f>IF('Marks Entry'!I41="","",'Marks Entry'!I41)</f>
        <v/>
      </c>
      <c r="I41" s="189" t="str">
        <f>IF('Marks Entry'!J41="","",'Marks Entry'!J41)</f>
        <v/>
      </c>
      <c r="J41" s="545" t="str">
        <f>IF('Marks Entry'!K41="","",'Marks Entry'!K41)</f>
        <v/>
      </c>
      <c r="K41" s="545" t="str">
        <f>IF('Marks Entry'!L41="","",'Marks Entry'!L41)</f>
        <v/>
      </c>
      <c r="L41" s="545" t="str">
        <f>IF('Marks Entry'!M41="","",'Marks Entry'!M41)</f>
        <v/>
      </c>
      <c r="M41" s="546" t="str">
        <f t="shared" si="47"/>
        <v/>
      </c>
      <c r="N41" s="545" t="str">
        <f>IF('Marks Entry'!N41="","",'Marks Entry'!N41)</f>
        <v/>
      </c>
      <c r="O41" s="546" t="str">
        <f t="shared" si="48"/>
        <v/>
      </c>
      <c r="P41" s="545" t="str">
        <f>IF('Marks Entry'!O41="","",'Marks Entry'!O41)</f>
        <v/>
      </c>
      <c r="Q41" s="547" t="str">
        <f t="shared" si="49"/>
        <v/>
      </c>
      <c r="R41" s="152">
        <f t="shared" si="50"/>
        <v>0</v>
      </c>
      <c r="S41" s="152">
        <f t="shared" si="51"/>
        <v>0</v>
      </c>
      <c r="T41" s="153" t="str">
        <f t="shared" si="52"/>
        <v/>
      </c>
      <c r="U41" s="152" t="str">
        <f t="shared" si="53"/>
        <v/>
      </c>
      <c r="V41" s="152" t="str">
        <f t="shared" si="54"/>
        <v/>
      </c>
      <c r="W41" s="152" t="str">
        <f t="shared" si="55"/>
        <v/>
      </c>
      <c r="X41" s="545" t="str">
        <f>IF('Marks Entry'!P41="","",'Marks Entry'!P41)</f>
        <v/>
      </c>
      <c r="Y41" s="545" t="str">
        <f>IF('Marks Entry'!Q41="","",'Marks Entry'!Q41)</f>
        <v/>
      </c>
      <c r="Z41" s="545" t="str">
        <f>IF('Marks Entry'!R41="","",'Marks Entry'!R41)</f>
        <v/>
      </c>
      <c r="AA41" s="546" t="str">
        <f t="shared" si="56"/>
        <v/>
      </c>
      <c r="AB41" s="545" t="str">
        <f>IF('Marks Entry'!S41="","",'Marks Entry'!S41)</f>
        <v/>
      </c>
      <c r="AC41" s="546" t="str">
        <f t="shared" si="57"/>
        <v/>
      </c>
      <c r="AD41" s="545" t="str">
        <f>IF('Marks Entry'!T41="","",'Marks Entry'!T41)</f>
        <v/>
      </c>
      <c r="AE41" s="547" t="str">
        <f t="shared" si="58"/>
        <v/>
      </c>
      <c r="AF41" s="152">
        <f t="shared" si="59"/>
        <v>0</v>
      </c>
      <c r="AG41" s="152">
        <f t="shared" si="60"/>
        <v>0</v>
      </c>
      <c r="AH41" s="153" t="str">
        <f t="shared" si="61"/>
        <v/>
      </c>
      <c r="AI41" s="152" t="str">
        <f t="shared" si="62"/>
        <v/>
      </c>
      <c r="AJ41" s="152" t="str">
        <f t="shared" si="63"/>
        <v/>
      </c>
      <c r="AK41" s="152" t="str">
        <f t="shared" si="64"/>
        <v/>
      </c>
      <c r="AL41" s="573" t="str">
        <f>IF('Marks Entry'!U41="","",'Marks Entry'!U41)</f>
        <v/>
      </c>
      <c r="AM41" s="573" t="str">
        <f>IF('Marks Entry'!V41="","",'Marks Entry'!V41)</f>
        <v/>
      </c>
      <c r="AN41" s="573" t="str">
        <f>IF('Marks Entry'!W41="","",'Marks Entry'!W41)</f>
        <v/>
      </c>
      <c r="AO41" s="573" t="str">
        <f>IF('Marks Entry'!X41="","",'Marks Entry'!X41)</f>
        <v/>
      </c>
      <c r="AP41" s="572" t="str">
        <f t="shared" si="65"/>
        <v/>
      </c>
      <c r="AQ41" s="573" t="str">
        <f>IF('Marks Entry'!Y41="","",'Marks Entry'!Y41)</f>
        <v/>
      </c>
      <c r="AR41" s="573" t="str">
        <f>IF('Marks Entry'!Z41="","",'Marks Entry'!Z41)</f>
        <v/>
      </c>
      <c r="AS41" s="572" t="str">
        <f t="shared" si="66"/>
        <v/>
      </c>
      <c r="AT41" s="572" t="str">
        <f t="shared" si="67"/>
        <v/>
      </c>
      <c r="AU41" s="573" t="str">
        <f>IF('Marks Entry'!AA41="","",'Marks Entry'!AA41)</f>
        <v/>
      </c>
      <c r="AV41" s="573" t="str">
        <f>IF('Marks Entry'!AB41="","",'Marks Entry'!AB41)</f>
        <v/>
      </c>
      <c r="AW41" s="572" t="str">
        <f t="shared" si="68"/>
        <v/>
      </c>
      <c r="AX41" s="156" t="str">
        <f t="shared" si="69"/>
        <v/>
      </c>
      <c r="AY41" s="156" t="str">
        <f t="shared" si="70"/>
        <v/>
      </c>
      <c r="AZ41" s="191" t="str">
        <f t="shared" si="71"/>
        <v/>
      </c>
      <c r="BA41" s="152">
        <f t="shared" si="72"/>
        <v>0</v>
      </c>
      <c r="BB41" s="153">
        <f t="shared" si="73"/>
        <v>0</v>
      </c>
      <c r="BC41" s="153" t="str">
        <f t="shared" si="74"/>
        <v/>
      </c>
      <c r="BD41" s="153" t="str">
        <f t="shared" si="75"/>
        <v/>
      </c>
      <c r="BE41" s="153" t="str">
        <f t="shared" si="76"/>
        <v/>
      </c>
      <c r="BF41" s="152" t="str">
        <f t="shared" si="77"/>
        <v/>
      </c>
      <c r="BG41" s="153" t="str">
        <f t="shared" si="175"/>
        <v/>
      </c>
      <c r="BH41" s="152" t="str">
        <f t="shared" si="78"/>
        <v/>
      </c>
      <c r="BI41" s="580" t="str">
        <f>IF('Marks Entry'!AC41="","",'Marks Entry'!AC41)</f>
        <v/>
      </c>
      <c r="BJ41" s="580" t="str">
        <f>IF('Marks Entry'!AD41="","",'Marks Entry'!AD41)</f>
        <v/>
      </c>
      <c r="BK41" s="580" t="str">
        <f>IF('Marks Entry'!AE41="","",'Marks Entry'!AE41)</f>
        <v/>
      </c>
      <c r="BL41" s="580" t="str">
        <f>IF('Marks Entry'!AF41="","",'Marks Entry'!AF41)</f>
        <v/>
      </c>
      <c r="BM41" s="581" t="str">
        <f t="shared" si="79"/>
        <v/>
      </c>
      <c r="BN41" s="580" t="str">
        <f>IF('Marks Entry'!AG41="","",'Marks Entry'!AG41)</f>
        <v/>
      </c>
      <c r="BO41" s="580" t="str">
        <f>IF('Marks Entry'!AH41="","",'Marks Entry'!AH41)</f>
        <v/>
      </c>
      <c r="BP41" s="581" t="str">
        <f t="shared" si="80"/>
        <v/>
      </c>
      <c r="BQ41" s="581" t="str">
        <f t="shared" si="81"/>
        <v/>
      </c>
      <c r="BR41" s="580" t="str">
        <f>IF('Marks Entry'!AI41="","",'Marks Entry'!AI41)</f>
        <v/>
      </c>
      <c r="BS41" s="580" t="str">
        <f>IF('Marks Entry'!AJ41="","",'Marks Entry'!AJ41)</f>
        <v/>
      </c>
      <c r="BT41" s="581" t="str">
        <f t="shared" si="82"/>
        <v/>
      </c>
      <c r="BU41" s="156" t="str">
        <f t="shared" si="83"/>
        <v/>
      </c>
      <c r="BV41" s="156" t="str">
        <f t="shared" si="84"/>
        <v/>
      </c>
      <c r="BW41" s="191" t="str">
        <f t="shared" si="85"/>
        <v/>
      </c>
      <c r="BX41" s="152">
        <f t="shared" si="86"/>
        <v>0</v>
      </c>
      <c r="BY41" s="153">
        <f t="shared" si="87"/>
        <v>0</v>
      </c>
      <c r="BZ41" s="153" t="str">
        <f t="shared" si="88"/>
        <v/>
      </c>
      <c r="CA41" s="153" t="str">
        <f t="shared" si="89"/>
        <v/>
      </c>
      <c r="CB41" s="153" t="str">
        <f t="shared" si="90"/>
        <v/>
      </c>
      <c r="CC41" s="152" t="str">
        <f t="shared" si="91"/>
        <v/>
      </c>
      <c r="CD41" s="153" t="str">
        <f t="shared" si="92"/>
        <v/>
      </c>
      <c r="CE41" s="152" t="str">
        <f t="shared" si="93"/>
        <v/>
      </c>
      <c r="CF41" s="580" t="str">
        <f>IF('Marks Entry'!AK41="","",'Marks Entry'!AK41)</f>
        <v/>
      </c>
      <c r="CG41" s="580" t="str">
        <f>IF('Marks Entry'!AL41="","",'Marks Entry'!AL41)</f>
        <v/>
      </c>
      <c r="CH41" s="580" t="str">
        <f>IF('Marks Entry'!AM41="","",'Marks Entry'!AM41)</f>
        <v/>
      </c>
      <c r="CI41" s="580" t="str">
        <f>IF('Marks Entry'!AN41="","",'Marks Entry'!AN41)</f>
        <v/>
      </c>
      <c r="CJ41" s="581" t="str">
        <f t="shared" si="94"/>
        <v/>
      </c>
      <c r="CK41" s="580" t="str">
        <f>IF('Marks Entry'!AO41="","",'Marks Entry'!AO41)</f>
        <v/>
      </c>
      <c r="CL41" s="580" t="str">
        <f>IF('Marks Entry'!AP41="","",'Marks Entry'!AP41)</f>
        <v/>
      </c>
      <c r="CM41" s="581" t="str">
        <f t="shared" si="95"/>
        <v/>
      </c>
      <c r="CN41" s="581" t="str">
        <f t="shared" si="96"/>
        <v/>
      </c>
      <c r="CO41" s="580" t="str">
        <f>IF('Marks Entry'!AQ41="","",'Marks Entry'!AQ41)</f>
        <v/>
      </c>
      <c r="CP41" s="580" t="str">
        <f>IF('Marks Entry'!AR41="","",'Marks Entry'!AR41)</f>
        <v/>
      </c>
      <c r="CQ41" s="581" t="str">
        <f t="shared" si="97"/>
        <v/>
      </c>
      <c r="CR41" s="156" t="str">
        <f t="shared" si="98"/>
        <v/>
      </c>
      <c r="CS41" s="156" t="str">
        <f t="shared" si="99"/>
        <v/>
      </c>
      <c r="CT41" s="191" t="str">
        <f t="shared" si="100"/>
        <v/>
      </c>
      <c r="CU41" s="152">
        <f t="shared" si="101"/>
        <v>0</v>
      </c>
      <c r="CV41" s="153">
        <f t="shared" si="102"/>
        <v>0</v>
      </c>
      <c r="CW41" s="153" t="str">
        <f t="shared" si="103"/>
        <v/>
      </c>
      <c r="CX41" s="153" t="str">
        <f t="shared" si="104"/>
        <v/>
      </c>
      <c r="CY41" s="153" t="str">
        <f t="shared" si="176"/>
        <v/>
      </c>
      <c r="CZ41" s="152" t="str">
        <f t="shared" si="105"/>
        <v/>
      </c>
      <c r="DA41" s="153" t="str">
        <f t="shared" si="106"/>
        <v/>
      </c>
      <c r="DB41" s="152" t="str">
        <f t="shared" si="107"/>
        <v/>
      </c>
      <c r="DC41" s="153">
        <f t="shared" si="108"/>
        <v>0</v>
      </c>
      <c r="DD41" s="851" t="str">
        <f>IF('Marks Entry'!AS41="","",IF(OR('Master Sheet'!$D$19="YES",'Marks Entry'!$BA$1=1),'Marks Entry'!AS41,""))</f>
        <v/>
      </c>
      <c r="DE41" s="851" t="str">
        <f>IF('Marks Entry'!AT41="","",IF(OR('Master Sheet'!$D$19="YES",'Marks Entry'!$BA$1=1),'Marks Entry'!AT41,""))</f>
        <v/>
      </c>
      <c r="DF41" s="851" t="str">
        <f>IF('Marks Entry'!AU41="","",IF(OR('Master Sheet'!$D$19="YES",'Marks Entry'!$BA$1=1),'Marks Entry'!AU41,""))</f>
        <v/>
      </c>
      <c r="DG41" s="851" t="str">
        <f>IF('Marks Entry'!AV41="","",IF(OR('Master Sheet'!$D$19="YES",'Marks Entry'!$BA$1=1),'Marks Entry'!AV41,""))</f>
        <v/>
      </c>
      <c r="DH41" s="852" t="str">
        <f t="shared" si="109"/>
        <v/>
      </c>
      <c r="DI41" s="851" t="str">
        <f>IF('Marks Entry'!AW41="","",IF(OR('Master Sheet'!$D$19="YES",'Marks Entry'!$BA$1=1),'Marks Entry'!AW41,""))</f>
        <v/>
      </c>
      <c r="DJ41" s="851" t="str">
        <f>IF('Marks Entry'!AX41="","",IF(OR('Master Sheet'!$D$19="YES",'Marks Entry'!$BA$1=1),'Marks Entry'!AX41,""))</f>
        <v/>
      </c>
      <c r="DK41" s="852" t="str">
        <f t="shared" si="110"/>
        <v/>
      </c>
      <c r="DL41" s="852" t="str">
        <f t="shared" si="111"/>
        <v/>
      </c>
      <c r="DM41" s="851" t="str">
        <f>IF('Marks Entry'!AY41="","",IF(OR('Master Sheet'!$D$19="YES",'Marks Entry'!$BA$1=1),'Marks Entry'!AY41,""))</f>
        <v/>
      </c>
      <c r="DN41" s="851" t="str">
        <f>IF('Marks Entry'!AZ41="","",IF(OR('Master Sheet'!$D$19="YES",'Marks Entry'!$BA$1=1),'Marks Entry'!AZ41,""))</f>
        <v/>
      </c>
      <c r="DO41" s="851" t="str">
        <f>IF('Marks Entry'!BA41="","",IF(OR('Master Sheet'!$D$19="YES",'Marks Entry'!$BA$1=1),'Marks Entry'!BA41,""))</f>
        <v/>
      </c>
      <c r="DP41" s="852" t="str">
        <f t="shared" si="112"/>
        <v/>
      </c>
      <c r="DQ41" s="156" t="str">
        <f t="shared" si="113"/>
        <v/>
      </c>
      <c r="DR41" s="156" t="str">
        <f t="shared" si="114"/>
        <v/>
      </c>
      <c r="DS41" s="156" t="str">
        <f t="shared" si="115"/>
        <v/>
      </c>
      <c r="DT41" s="191" t="str">
        <f t="shared" si="116"/>
        <v/>
      </c>
      <c r="DU41" s="152">
        <f t="shared" si="117"/>
        <v>0</v>
      </c>
      <c r="DV41" s="153">
        <f t="shared" si="118"/>
        <v>0</v>
      </c>
      <c r="DW41" s="153" t="str">
        <f t="shared" si="119"/>
        <v/>
      </c>
      <c r="DX41" s="153" t="str">
        <f>IF(OR($B41="NSO",$B41=0,DS41=""),"",IF(AND(DJ41="",DO41=""),"",IF('Master Sheet'!$D$19="YES",$DO$6-COUNTIF(DO41,"ML")*DO$6,DS$6-(COUNTIF(DJ41,"ML")*DJ$6)-(COUNTIF(DO41,"ML")*DO$6))))</f>
        <v/>
      </c>
      <c r="DY41" s="153" t="str">
        <f>IF(OR($B41="NSO",$B41=0),"",IF(AND(DH41="",DI41="",DM41=""),"",IF(AND('Master Sheet'!$D$19="YES",'Marks Entry'!$BA$1=1),100,IF(AND(DJ41="",DO41=""),SUM(($DQ$7+$DR$7)-(DU41+DV41)),SUM(($DQ$6+$DR$6)-(DU41+DV41))))))</f>
        <v/>
      </c>
      <c r="DZ41" s="152" t="str">
        <f t="shared" si="120"/>
        <v/>
      </c>
      <c r="EA41" s="153" t="str">
        <f t="shared" si="121"/>
        <v/>
      </c>
      <c r="EB41" s="152" t="str">
        <f t="shared" si="122"/>
        <v/>
      </c>
      <c r="EC41" s="584" t="str">
        <f>IF('Marks Entry'!BB41="","",'Marks Entry'!BB41)</f>
        <v/>
      </c>
      <c r="ED41" s="584" t="str">
        <f>IF('Marks Entry'!BC41="","",'Marks Entry'!BC41)</f>
        <v/>
      </c>
      <c r="EE41" s="584" t="str">
        <f>IF('Marks Entry'!BD41="","",'Marks Entry'!BD41)</f>
        <v/>
      </c>
      <c r="EF41" s="590" t="str">
        <f t="shared" si="123"/>
        <v/>
      </c>
      <c r="EG41" s="595">
        <f t="shared" si="124"/>
        <v>0</v>
      </c>
      <c r="EH41" s="595">
        <f t="shared" si="125"/>
        <v>0</v>
      </c>
      <c r="EI41" s="192" t="str">
        <f t="shared" si="126"/>
        <v/>
      </c>
      <c r="EJ41" s="595" t="str">
        <f t="shared" si="127"/>
        <v/>
      </c>
      <c r="EK41" s="595" t="str">
        <f t="shared" si="128"/>
        <v/>
      </c>
      <c r="EL41" s="193" t="str">
        <f t="shared" si="129"/>
        <v/>
      </c>
      <c r="EM41" s="193" t="str">
        <f t="shared" si="130"/>
        <v/>
      </c>
      <c r="EN41" s="193" t="str">
        <f t="shared" si="131"/>
        <v/>
      </c>
      <c r="EO41" s="193" t="str">
        <f t="shared" si="132"/>
        <v/>
      </c>
      <c r="EP41" s="193" t="str">
        <f t="shared" si="133"/>
        <v/>
      </c>
      <c r="EQ41" s="193" t="str">
        <f t="shared" si="134"/>
        <v/>
      </c>
      <c r="ER41" s="194">
        <f t="shared" si="135"/>
        <v>0</v>
      </c>
      <c r="ES41" s="194">
        <f t="shared" si="136"/>
        <v>0</v>
      </c>
      <c r="ET41" s="194">
        <f t="shared" si="137"/>
        <v>0</v>
      </c>
      <c r="EU41" s="194">
        <f t="shared" si="138"/>
        <v>0</v>
      </c>
      <c r="EV41" s="194">
        <f t="shared" si="139"/>
        <v>0</v>
      </c>
      <c r="EW41" s="194" t="str">
        <f t="shared" si="140"/>
        <v/>
      </c>
      <c r="EX41" s="195" t="str">
        <f t="shared" si="141"/>
        <v/>
      </c>
      <c r="EY41" s="196" t="str">
        <f>IF('Marks Entry'!BE41="","",'Marks Entry'!BE41)</f>
        <v/>
      </c>
      <c r="EZ41" s="196" t="str">
        <f>IF('Marks Entry'!BF41="","",'Marks Entry'!BF41)</f>
        <v/>
      </c>
      <c r="FA41" s="196" t="str">
        <f>IF('Marks Entry'!BG41="","",'Marks Entry'!BG41)</f>
        <v/>
      </c>
      <c r="FB41" s="596" t="str">
        <f t="shared" si="142"/>
        <v/>
      </c>
      <c r="FC41" s="196" t="str">
        <f>IF('Marks Entry'!BH41="","",'Marks Entry'!BH41)</f>
        <v/>
      </c>
      <c r="FD41" s="196" t="str">
        <f>IF('Marks Entry'!BI41="","",'Marks Entry'!BI41)</f>
        <v/>
      </c>
      <c r="FE41" s="197" t="str">
        <f t="shared" si="143"/>
        <v/>
      </c>
      <c r="FF41" s="198" t="str">
        <f t="shared" si="144"/>
        <v/>
      </c>
      <c r="FG41" s="199" t="str">
        <f>IF(AND(E41=""),"",IF('Student DATA Entry'!L37="","",'Student DATA Entry'!L37))</f>
        <v/>
      </c>
      <c r="FH41" s="200" t="str">
        <f>IF(AND(E41=""),"",IF('Student DATA Entry'!M37="","",'Student DATA Entry'!M37))</f>
        <v/>
      </c>
      <c r="FI41" s="201" t="str">
        <f t="shared" si="145"/>
        <v/>
      </c>
      <c r="FJ41" s="188" t="str">
        <f t="shared" si="146"/>
        <v/>
      </c>
      <c r="FK41" s="188" t="str">
        <f t="shared" si="147"/>
        <v/>
      </c>
      <c r="FL41" s="202" t="str">
        <f t="shared" si="178"/>
        <v/>
      </c>
      <c r="FM41" s="188" t="str">
        <f t="shared" si="148"/>
        <v/>
      </c>
      <c r="FN41" s="203" t="str">
        <f t="shared" si="149"/>
        <v/>
      </c>
      <c r="FO41" s="202" t="str">
        <f t="shared" si="179"/>
        <v/>
      </c>
      <c r="FP41" s="204" t="str">
        <f t="shared" si="150"/>
        <v/>
      </c>
      <c r="FQ41" s="188" t="str">
        <f t="shared" si="180"/>
        <v/>
      </c>
      <c r="FR41" s="188" t="str">
        <f t="shared" si="181"/>
        <v/>
      </c>
      <c r="FS41" s="188" t="str">
        <f t="shared" si="182"/>
        <v/>
      </c>
      <c r="FT41" s="188" t="str">
        <f t="shared" si="183"/>
        <v/>
      </c>
      <c r="FU41" s="188" t="str">
        <f t="shared" si="151"/>
        <v/>
      </c>
      <c r="FV41" s="205" t="str">
        <f t="shared" si="184"/>
        <v/>
      </c>
      <c r="FW41" s="204" t="str">
        <f t="shared" si="152"/>
        <v/>
      </c>
      <c r="FX41" s="188" t="str">
        <f t="shared" si="185"/>
        <v/>
      </c>
      <c r="FY41" s="188" t="str">
        <f t="shared" si="186"/>
        <v/>
      </c>
      <c r="FZ41" s="188" t="str">
        <f t="shared" si="187"/>
        <v/>
      </c>
      <c r="GA41" s="188" t="str">
        <f t="shared" si="188"/>
        <v/>
      </c>
      <c r="GB41" s="188" t="str">
        <f t="shared" si="153"/>
        <v/>
      </c>
      <c r="GC41" s="205" t="str">
        <f t="shared" si="189"/>
        <v/>
      </c>
      <c r="GD41" s="204" t="str">
        <f t="shared" si="154"/>
        <v/>
      </c>
      <c r="GE41" s="188" t="str">
        <f t="shared" si="190"/>
        <v/>
      </c>
      <c r="GF41" s="188" t="str">
        <f t="shared" si="191"/>
        <v/>
      </c>
      <c r="GG41" s="188" t="str">
        <f t="shared" si="192"/>
        <v/>
      </c>
      <c r="GH41" s="188" t="str">
        <f t="shared" si="193"/>
        <v/>
      </c>
      <c r="GI41" s="188" t="str">
        <f t="shared" si="155"/>
        <v/>
      </c>
      <c r="GJ41" s="205" t="str">
        <f t="shared" si="194"/>
        <v/>
      </c>
      <c r="GK41" s="204" t="str">
        <f t="shared" si="156"/>
        <v/>
      </c>
      <c r="GL41" s="188" t="str">
        <f t="shared" si="195"/>
        <v/>
      </c>
      <c r="GM41" s="188" t="str">
        <f t="shared" si="196"/>
        <v/>
      </c>
      <c r="GN41" s="188" t="str">
        <f t="shared" si="197"/>
        <v/>
      </c>
      <c r="GO41" s="188" t="str">
        <f t="shared" si="198"/>
        <v/>
      </c>
      <c r="GP41" s="188" t="str">
        <f t="shared" si="157"/>
        <v/>
      </c>
      <c r="GQ41" s="205" t="str">
        <f t="shared" si="199"/>
        <v/>
      </c>
      <c r="GR41" s="188" t="str">
        <f t="shared" si="158"/>
        <v/>
      </c>
      <c r="GS41" s="188" t="str">
        <f t="shared" si="159"/>
        <v/>
      </c>
      <c r="GT41" s="206" t="str">
        <f t="shared" si="177"/>
        <v xml:space="preserve">    </v>
      </c>
      <c r="GU41" s="206" t="str">
        <f t="shared" si="160"/>
        <v xml:space="preserve">    </v>
      </c>
      <c r="GV41" s="206" t="str">
        <f t="shared" si="161"/>
        <v xml:space="preserve">    </v>
      </c>
      <c r="GW41" s="206" t="str">
        <f t="shared" si="162"/>
        <v xml:space="preserve">       </v>
      </c>
      <c r="GX41" s="598" t="str">
        <f t="shared" si="163"/>
        <v xml:space="preserve">     </v>
      </c>
      <c r="GY41" s="207" t="str">
        <f t="shared" si="200"/>
        <v/>
      </c>
      <c r="GZ41" s="606" t="str">
        <f>IF(AND(Q41="",AE41="",AZ41="",BW41="",CT41=""),"",IF(AND('Master Sheet'!$D$19="YES",'Marks Entry'!$BA$1=1),SUM(Q41,AE41,AZ41,BW41,DT41),SUM(Q41,AE41,AZ41,BW41,CT41)))</f>
        <v/>
      </c>
      <c r="HA41" s="208" t="str">
        <f>IF(GZ41="","",IF(AND('Master Sheet'!$D$19="YES",'Marks Entry'!$BA$1=1),GZ41/((900)-DC41)*100,GZ41/((1000)-DC41)*100))</f>
        <v/>
      </c>
      <c r="HB41" s="611" t="str">
        <f t="shared" si="165"/>
        <v/>
      </c>
      <c r="HC41" s="609" t="str">
        <f t="shared" si="166"/>
        <v/>
      </c>
      <c r="HD41" s="610" t="str">
        <f t="shared" si="167"/>
        <v/>
      </c>
      <c r="HE41" s="209" t="str">
        <f>IFERROR(IF(OR(GY41="SUPPLEMENTARY",GY41="RE-EXAM"),'Supp. Result Entry'!AS40,""),"")</f>
        <v/>
      </c>
      <c r="HF41" s="613" t="str">
        <f t="shared" si="168"/>
        <v/>
      </c>
      <c r="HG41" s="598" t="str">
        <f t="shared" si="169"/>
        <v/>
      </c>
      <c r="HH41" s="598" t="str">
        <f>IF(AND(HE41="",HF41="",HG41=""),"",IF(OR(GY41="SUPPLEMENTARY",GY41="RE-EXAM"),'Supp. Result Entry'!AS40,GY41))</f>
        <v/>
      </c>
      <c r="HI41" s="179"/>
      <c r="HJ41" s="213"/>
      <c r="HY41" s="211" t="str">
        <f>IF('Supp. Result Entry'!U40="","",'Supp. Result Entry'!$U$6)</f>
        <v/>
      </c>
      <c r="HZ41" s="212" t="str">
        <f>IF('Supp. Result Entry'!X40="","",'Supp. Result Entry'!$X$6)</f>
        <v/>
      </c>
      <c r="IA41" s="212" t="str">
        <f>IF('Supp. Result Entry'!AA40="","",'Supp. Result Entry'!$AA$6)</f>
        <v/>
      </c>
      <c r="IB41" s="212" t="str">
        <f>IF('Supp. Result Entry'!AD40="","",'Supp. Result Entry'!$AD$6)</f>
        <v/>
      </c>
      <c r="IC41" s="212" t="str">
        <f>IF('Supp. Result Entry'!AG40="","",'Supp. Result Entry'!$AG$6)</f>
        <v/>
      </c>
      <c r="ID41" s="212" t="str">
        <f>IF('Supp. Result Entry'!AJ40="","",'Supp. Result Entry'!$AJ$6)</f>
        <v/>
      </c>
      <c r="IE41" s="212" t="str">
        <f>IF('Supp. Result Entry'!V40="","",'Supp. Result Entry'!V40)</f>
        <v/>
      </c>
      <c r="IF41" s="212" t="str">
        <f>IF('Supp. Result Entry'!Y40="","",'Supp. Result Entry'!Y40)</f>
        <v/>
      </c>
      <c r="IG41" s="212" t="str">
        <f>IF('Supp. Result Entry'!AB40="","",'Supp. Result Entry'!AB40)</f>
        <v/>
      </c>
      <c r="IH41" s="212" t="str">
        <f>IF('Supp. Result Entry'!AE40="","",'Supp. Result Entry'!AE40)</f>
        <v/>
      </c>
      <c r="II41" s="212" t="str">
        <f>IF('Supp. Result Entry'!AH40="","",'Supp. Result Entry'!AH40)</f>
        <v/>
      </c>
      <c r="IJ41" s="212" t="str">
        <f>IF('Supp. Result Entry'!AK40="","",'Supp. Result Entry'!AK40)</f>
        <v/>
      </c>
      <c r="IK41" s="212" t="str">
        <f>IF('Supp. Result Entry'!W40="","",'Supp. Result Entry'!W40)</f>
        <v/>
      </c>
      <c r="IL41" s="212" t="str">
        <f>IF('Supp. Result Entry'!Z40="","",'Supp. Result Entry'!Z40)</f>
        <v/>
      </c>
      <c r="IM41" s="212" t="str">
        <f>IF('Supp. Result Entry'!AC40="","",'Supp. Result Entry'!AC40)</f>
        <v/>
      </c>
      <c r="IN41" s="212" t="str">
        <f>IF('Supp. Result Entry'!AF40="","",'Supp. Result Entry'!AF40)</f>
        <v/>
      </c>
      <c r="IO41" s="212" t="str">
        <f>IF('Supp. Result Entry'!AI40="","",'Supp. Result Entry'!AI40)</f>
        <v/>
      </c>
      <c r="IP41" s="212" t="str">
        <f>IF('Supp. Result Entry'!AL40="","",'Supp. Result Entry'!AL40)</f>
        <v/>
      </c>
      <c r="IQ41" s="212">
        <f>COUNTIF('Supp. Result Entry'!K40:Q40,"S")</f>
        <v>0</v>
      </c>
      <c r="IR41" s="212">
        <f t="shared" si="170"/>
        <v>0</v>
      </c>
      <c r="IS41" s="212">
        <f t="shared" si="171"/>
        <v>0</v>
      </c>
      <c r="IT41" s="212" t="str">
        <f t="shared" si="41"/>
        <v/>
      </c>
      <c r="IU41" s="212" t="str">
        <f t="shared" si="42"/>
        <v/>
      </c>
      <c r="IV41" s="212" t="str">
        <f t="shared" si="43"/>
        <v/>
      </c>
      <c r="IW41" s="212" t="str">
        <f t="shared" si="44"/>
        <v/>
      </c>
      <c r="IX41" s="212" t="str">
        <f t="shared" si="45"/>
        <v/>
      </c>
      <c r="IY41" s="212" t="str">
        <f t="shared" si="172"/>
        <v/>
      </c>
      <c r="IZ41" s="212" t="str">
        <f t="shared" si="173"/>
        <v/>
      </c>
      <c r="JA41" s="212" t="str">
        <f t="shared" si="46"/>
        <v/>
      </c>
      <c r="JB41" s="210" t="str">
        <f t="shared" si="174"/>
        <v/>
      </c>
    </row>
    <row r="42" spans="1:262" s="210" customFormat="1" ht="21" customHeight="1">
      <c r="A42" s="183">
        <v>35</v>
      </c>
      <c r="B42" s="184" t="str">
        <f>IF('Marks Entry'!B42="","",'Marks Entry'!B42)</f>
        <v/>
      </c>
      <c r="C42" s="185" t="str">
        <f>IF('Marks Entry'!D42="","",'Marks Entry'!D42)</f>
        <v/>
      </c>
      <c r="D42" s="186" t="str">
        <f>IF('Marks Entry'!E42="","",'Marks Entry'!E42)</f>
        <v/>
      </c>
      <c r="E42" s="187" t="str">
        <f>IF('Marks Entry'!F42="","",'Marks Entry'!F42)</f>
        <v/>
      </c>
      <c r="F42" s="187" t="str">
        <f>IF('Marks Entry'!G42="","",'Marks Entry'!G42)</f>
        <v/>
      </c>
      <c r="G42" s="187" t="str">
        <f>IF('Marks Entry'!H42="","",'Marks Entry'!H42)</f>
        <v/>
      </c>
      <c r="H42" s="188" t="str">
        <f>IF('Marks Entry'!I42="","",'Marks Entry'!I42)</f>
        <v/>
      </c>
      <c r="I42" s="189" t="str">
        <f>IF('Marks Entry'!J42="","",'Marks Entry'!J42)</f>
        <v/>
      </c>
      <c r="J42" s="545" t="str">
        <f>IF('Marks Entry'!K42="","",'Marks Entry'!K42)</f>
        <v/>
      </c>
      <c r="K42" s="545" t="str">
        <f>IF('Marks Entry'!L42="","",'Marks Entry'!L42)</f>
        <v/>
      </c>
      <c r="L42" s="545" t="str">
        <f>IF('Marks Entry'!M42="","",'Marks Entry'!M42)</f>
        <v/>
      </c>
      <c r="M42" s="546" t="str">
        <f t="shared" si="47"/>
        <v/>
      </c>
      <c r="N42" s="545" t="str">
        <f>IF('Marks Entry'!N42="","",'Marks Entry'!N42)</f>
        <v/>
      </c>
      <c r="O42" s="546" t="str">
        <f t="shared" si="48"/>
        <v/>
      </c>
      <c r="P42" s="545" t="str">
        <f>IF('Marks Entry'!O42="","",'Marks Entry'!O42)</f>
        <v/>
      </c>
      <c r="Q42" s="547" t="str">
        <f t="shared" si="49"/>
        <v/>
      </c>
      <c r="R42" s="152">
        <f t="shared" si="50"/>
        <v>0</v>
      </c>
      <c r="S42" s="152">
        <f t="shared" si="51"/>
        <v>0</v>
      </c>
      <c r="T42" s="153" t="str">
        <f t="shared" si="52"/>
        <v/>
      </c>
      <c r="U42" s="152" t="str">
        <f t="shared" si="53"/>
        <v/>
      </c>
      <c r="V42" s="152" t="str">
        <f t="shared" si="54"/>
        <v/>
      </c>
      <c r="W42" s="152" t="str">
        <f t="shared" si="55"/>
        <v/>
      </c>
      <c r="X42" s="545" t="str">
        <f>IF('Marks Entry'!P42="","",'Marks Entry'!P42)</f>
        <v/>
      </c>
      <c r="Y42" s="545" t="str">
        <f>IF('Marks Entry'!Q42="","",'Marks Entry'!Q42)</f>
        <v/>
      </c>
      <c r="Z42" s="545" t="str">
        <f>IF('Marks Entry'!R42="","",'Marks Entry'!R42)</f>
        <v/>
      </c>
      <c r="AA42" s="546" t="str">
        <f t="shared" si="56"/>
        <v/>
      </c>
      <c r="AB42" s="545" t="str">
        <f>IF('Marks Entry'!S42="","",'Marks Entry'!S42)</f>
        <v/>
      </c>
      <c r="AC42" s="546" t="str">
        <f t="shared" si="57"/>
        <v/>
      </c>
      <c r="AD42" s="545" t="str">
        <f>IF('Marks Entry'!T42="","",'Marks Entry'!T42)</f>
        <v/>
      </c>
      <c r="AE42" s="547" t="str">
        <f t="shared" si="58"/>
        <v/>
      </c>
      <c r="AF42" s="152">
        <f t="shared" si="59"/>
        <v>0</v>
      </c>
      <c r="AG42" s="152">
        <f t="shared" si="60"/>
        <v>0</v>
      </c>
      <c r="AH42" s="153" t="str">
        <f t="shared" si="61"/>
        <v/>
      </c>
      <c r="AI42" s="152" t="str">
        <f t="shared" si="62"/>
        <v/>
      </c>
      <c r="AJ42" s="152" t="str">
        <f t="shared" si="63"/>
        <v/>
      </c>
      <c r="AK42" s="152" t="str">
        <f t="shared" si="64"/>
        <v/>
      </c>
      <c r="AL42" s="573" t="str">
        <f>IF('Marks Entry'!U42="","",'Marks Entry'!U42)</f>
        <v/>
      </c>
      <c r="AM42" s="573" t="str">
        <f>IF('Marks Entry'!V42="","",'Marks Entry'!V42)</f>
        <v/>
      </c>
      <c r="AN42" s="573" t="str">
        <f>IF('Marks Entry'!W42="","",'Marks Entry'!W42)</f>
        <v/>
      </c>
      <c r="AO42" s="573" t="str">
        <f>IF('Marks Entry'!X42="","",'Marks Entry'!X42)</f>
        <v/>
      </c>
      <c r="AP42" s="572" t="str">
        <f t="shared" si="65"/>
        <v/>
      </c>
      <c r="AQ42" s="573" t="str">
        <f>IF('Marks Entry'!Y42="","",'Marks Entry'!Y42)</f>
        <v/>
      </c>
      <c r="AR42" s="573" t="str">
        <f>IF('Marks Entry'!Z42="","",'Marks Entry'!Z42)</f>
        <v/>
      </c>
      <c r="AS42" s="572" t="str">
        <f t="shared" si="66"/>
        <v/>
      </c>
      <c r="AT42" s="572" t="str">
        <f t="shared" si="67"/>
        <v/>
      </c>
      <c r="AU42" s="573" t="str">
        <f>IF('Marks Entry'!AA42="","",'Marks Entry'!AA42)</f>
        <v/>
      </c>
      <c r="AV42" s="573" t="str">
        <f>IF('Marks Entry'!AB42="","",'Marks Entry'!AB42)</f>
        <v/>
      </c>
      <c r="AW42" s="572" t="str">
        <f t="shared" si="68"/>
        <v/>
      </c>
      <c r="AX42" s="156" t="str">
        <f t="shared" si="69"/>
        <v/>
      </c>
      <c r="AY42" s="156" t="str">
        <f t="shared" si="70"/>
        <v/>
      </c>
      <c r="AZ42" s="191" t="str">
        <f t="shared" si="71"/>
        <v/>
      </c>
      <c r="BA42" s="152">
        <f t="shared" si="72"/>
        <v>0</v>
      </c>
      <c r="BB42" s="153">
        <f t="shared" si="73"/>
        <v>0</v>
      </c>
      <c r="BC42" s="153" t="str">
        <f t="shared" si="74"/>
        <v/>
      </c>
      <c r="BD42" s="153" t="str">
        <f t="shared" si="75"/>
        <v/>
      </c>
      <c r="BE42" s="153" t="str">
        <f t="shared" si="76"/>
        <v/>
      </c>
      <c r="BF42" s="152" t="str">
        <f t="shared" si="77"/>
        <v/>
      </c>
      <c r="BG42" s="153" t="str">
        <f t="shared" si="175"/>
        <v/>
      </c>
      <c r="BH42" s="152" t="str">
        <f t="shared" si="78"/>
        <v/>
      </c>
      <c r="BI42" s="580" t="str">
        <f>IF('Marks Entry'!AC42="","",'Marks Entry'!AC42)</f>
        <v/>
      </c>
      <c r="BJ42" s="580" t="str">
        <f>IF('Marks Entry'!AD42="","",'Marks Entry'!AD42)</f>
        <v/>
      </c>
      <c r="BK42" s="580" t="str">
        <f>IF('Marks Entry'!AE42="","",'Marks Entry'!AE42)</f>
        <v/>
      </c>
      <c r="BL42" s="580" t="str">
        <f>IF('Marks Entry'!AF42="","",'Marks Entry'!AF42)</f>
        <v/>
      </c>
      <c r="BM42" s="581" t="str">
        <f t="shared" si="79"/>
        <v/>
      </c>
      <c r="BN42" s="580" t="str">
        <f>IF('Marks Entry'!AG42="","",'Marks Entry'!AG42)</f>
        <v/>
      </c>
      <c r="BO42" s="580" t="str">
        <f>IF('Marks Entry'!AH42="","",'Marks Entry'!AH42)</f>
        <v/>
      </c>
      <c r="BP42" s="581" t="str">
        <f t="shared" si="80"/>
        <v/>
      </c>
      <c r="BQ42" s="581" t="str">
        <f t="shared" si="81"/>
        <v/>
      </c>
      <c r="BR42" s="580" t="str">
        <f>IF('Marks Entry'!AI42="","",'Marks Entry'!AI42)</f>
        <v/>
      </c>
      <c r="BS42" s="580" t="str">
        <f>IF('Marks Entry'!AJ42="","",'Marks Entry'!AJ42)</f>
        <v/>
      </c>
      <c r="BT42" s="581" t="str">
        <f t="shared" si="82"/>
        <v/>
      </c>
      <c r="BU42" s="156" t="str">
        <f t="shared" si="83"/>
        <v/>
      </c>
      <c r="BV42" s="156" t="str">
        <f t="shared" si="84"/>
        <v/>
      </c>
      <c r="BW42" s="191" t="str">
        <f t="shared" si="85"/>
        <v/>
      </c>
      <c r="BX42" s="152">
        <f t="shared" si="86"/>
        <v>0</v>
      </c>
      <c r="BY42" s="153">
        <f t="shared" si="87"/>
        <v>0</v>
      </c>
      <c r="BZ42" s="153" t="str">
        <f t="shared" si="88"/>
        <v/>
      </c>
      <c r="CA42" s="153" t="str">
        <f t="shared" si="89"/>
        <v/>
      </c>
      <c r="CB42" s="153" t="str">
        <f t="shared" si="90"/>
        <v/>
      </c>
      <c r="CC42" s="152" t="str">
        <f t="shared" si="91"/>
        <v/>
      </c>
      <c r="CD42" s="153" t="str">
        <f t="shared" si="92"/>
        <v/>
      </c>
      <c r="CE42" s="152" t="str">
        <f t="shared" si="93"/>
        <v/>
      </c>
      <c r="CF42" s="580" t="str">
        <f>IF('Marks Entry'!AK42="","",'Marks Entry'!AK42)</f>
        <v/>
      </c>
      <c r="CG42" s="580" t="str">
        <f>IF('Marks Entry'!AL42="","",'Marks Entry'!AL42)</f>
        <v/>
      </c>
      <c r="CH42" s="580" t="str">
        <f>IF('Marks Entry'!AM42="","",'Marks Entry'!AM42)</f>
        <v/>
      </c>
      <c r="CI42" s="580" t="str">
        <f>IF('Marks Entry'!AN42="","",'Marks Entry'!AN42)</f>
        <v/>
      </c>
      <c r="CJ42" s="581" t="str">
        <f t="shared" si="94"/>
        <v/>
      </c>
      <c r="CK42" s="580" t="str">
        <f>IF('Marks Entry'!AO42="","",'Marks Entry'!AO42)</f>
        <v/>
      </c>
      <c r="CL42" s="580" t="str">
        <f>IF('Marks Entry'!AP42="","",'Marks Entry'!AP42)</f>
        <v/>
      </c>
      <c r="CM42" s="581" t="str">
        <f t="shared" si="95"/>
        <v/>
      </c>
      <c r="CN42" s="581" t="str">
        <f t="shared" si="96"/>
        <v/>
      </c>
      <c r="CO42" s="580" t="str">
        <f>IF('Marks Entry'!AQ42="","",'Marks Entry'!AQ42)</f>
        <v/>
      </c>
      <c r="CP42" s="580" t="str">
        <f>IF('Marks Entry'!AR42="","",'Marks Entry'!AR42)</f>
        <v/>
      </c>
      <c r="CQ42" s="581" t="str">
        <f t="shared" si="97"/>
        <v/>
      </c>
      <c r="CR42" s="156" t="str">
        <f t="shared" si="98"/>
        <v/>
      </c>
      <c r="CS42" s="156" t="str">
        <f t="shared" si="99"/>
        <v/>
      </c>
      <c r="CT42" s="191" t="str">
        <f t="shared" si="100"/>
        <v/>
      </c>
      <c r="CU42" s="152">
        <f t="shared" si="101"/>
        <v>0</v>
      </c>
      <c r="CV42" s="153">
        <f t="shared" si="102"/>
        <v>0</v>
      </c>
      <c r="CW42" s="153" t="str">
        <f t="shared" si="103"/>
        <v/>
      </c>
      <c r="CX42" s="153" t="str">
        <f t="shared" si="104"/>
        <v/>
      </c>
      <c r="CY42" s="153" t="str">
        <f t="shared" si="176"/>
        <v/>
      </c>
      <c r="CZ42" s="152" t="str">
        <f t="shared" si="105"/>
        <v/>
      </c>
      <c r="DA42" s="153" t="str">
        <f t="shared" si="106"/>
        <v/>
      </c>
      <c r="DB42" s="152" t="str">
        <f t="shared" si="107"/>
        <v/>
      </c>
      <c r="DC42" s="153">
        <f t="shared" si="108"/>
        <v>0</v>
      </c>
      <c r="DD42" s="851" t="str">
        <f>IF('Marks Entry'!AS42="","",IF(OR('Master Sheet'!$D$19="YES",'Marks Entry'!$BA$1=1),'Marks Entry'!AS42,""))</f>
        <v/>
      </c>
      <c r="DE42" s="851" t="str">
        <f>IF('Marks Entry'!AT42="","",IF(OR('Master Sheet'!$D$19="YES",'Marks Entry'!$BA$1=1),'Marks Entry'!AT42,""))</f>
        <v/>
      </c>
      <c r="DF42" s="851" t="str">
        <f>IF('Marks Entry'!AU42="","",IF(OR('Master Sheet'!$D$19="YES",'Marks Entry'!$BA$1=1),'Marks Entry'!AU42,""))</f>
        <v/>
      </c>
      <c r="DG42" s="851" t="str">
        <f>IF('Marks Entry'!AV42="","",IF(OR('Master Sheet'!$D$19="YES",'Marks Entry'!$BA$1=1),'Marks Entry'!AV42,""))</f>
        <v/>
      </c>
      <c r="DH42" s="852" t="str">
        <f t="shared" si="109"/>
        <v/>
      </c>
      <c r="DI42" s="851" t="str">
        <f>IF('Marks Entry'!AW42="","",IF(OR('Master Sheet'!$D$19="YES",'Marks Entry'!$BA$1=1),'Marks Entry'!AW42,""))</f>
        <v/>
      </c>
      <c r="DJ42" s="851" t="str">
        <f>IF('Marks Entry'!AX42="","",IF(OR('Master Sheet'!$D$19="YES",'Marks Entry'!$BA$1=1),'Marks Entry'!AX42,""))</f>
        <v/>
      </c>
      <c r="DK42" s="852" t="str">
        <f t="shared" si="110"/>
        <v/>
      </c>
      <c r="DL42" s="852" t="str">
        <f t="shared" si="111"/>
        <v/>
      </c>
      <c r="DM42" s="851" t="str">
        <f>IF('Marks Entry'!AY42="","",IF(OR('Master Sheet'!$D$19="YES",'Marks Entry'!$BA$1=1),'Marks Entry'!AY42,""))</f>
        <v/>
      </c>
      <c r="DN42" s="851" t="str">
        <f>IF('Marks Entry'!AZ42="","",IF(OR('Master Sheet'!$D$19="YES",'Marks Entry'!$BA$1=1),'Marks Entry'!AZ42,""))</f>
        <v/>
      </c>
      <c r="DO42" s="851" t="str">
        <f>IF('Marks Entry'!BA42="","",IF(OR('Master Sheet'!$D$19="YES",'Marks Entry'!$BA$1=1),'Marks Entry'!BA42,""))</f>
        <v/>
      </c>
      <c r="DP42" s="852" t="str">
        <f t="shared" si="112"/>
        <v/>
      </c>
      <c r="DQ42" s="156" t="str">
        <f t="shared" si="113"/>
        <v/>
      </c>
      <c r="DR42" s="156" t="str">
        <f t="shared" si="114"/>
        <v/>
      </c>
      <c r="DS42" s="156" t="str">
        <f t="shared" si="115"/>
        <v/>
      </c>
      <c r="DT42" s="191" t="str">
        <f t="shared" si="116"/>
        <v/>
      </c>
      <c r="DU42" s="152">
        <f t="shared" si="117"/>
        <v>0</v>
      </c>
      <c r="DV42" s="153">
        <f t="shared" si="118"/>
        <v>0</v>
      </c>
      <c r="DW42" s="153" t="str">
        <f t="shared" si="119"/>
        <v/>
      </c>
      <c r="DX42" s="153" t="str">
        <f>IF(OR($B42="NSO",$B42=0,DS42=""),"",IF(AND(DJ42="",DO42=""),"",IF('Master Sheet'!$D$19="YES",$DO$6-COUNTIF(DO42,"ML")*DO$6,DS$6-(COUNTIF(DJ42,"ML")*DJ$6)-(COUNTIF(DO42,"ML")*DO$6))))</f>
        <v/>
      </c>
      <c r="DY42" s="153" t="str">
        <f>IF(OR($B42="NSO",$B42=0),"",IF(AND(DH42="",DI42="",DM42=""),"",IF(AND('Master Sheet'!$D$19="YES",'Marks Entry'!$BA$1=1),100,IF(AND(DJ42="",DO42=""),SUM(($DQ$7+$DR$7)-(DU42+DV42)),SUM(($DQ$6+$DR$6)-(DU42+DV42))))))</f>
        <v/>
      </c>
      <c r="DZ42" s="152" t="str">
        <f t="shared" si="120"/>
        <v/>
      </c>
      <c r="EA42" s="153" t="str">
        <f t="shared" si="121"/>
        <v/>
      </c>
      <c r="EB42" s="152" t="str">
        <f t="shared" si="122"/>
        <v/>
      </c>
      <c r="EC42" s="584" t="str">
        <f>IF('Marks Entry'!BB42="","",'Marks Entry'!BB42)</f>
        <v/>
      </c>
      <c r="ED42" s="584" t="str">
        <f>IF('Marks Entry'!BC42="","",'Marks Entry'!BC42)</f>
        <v/>
      </c>
      <c r="EE42" s="584" t="str">
        <f>IF('Marks Entry'!BD42="","",'Marks Entry'!BD42)</f>
        <v/>
      </c>
      <c r="EF42" s="590" t="str">
        <f t="shared" si="123"/>
        <v/>
      </c>
      <c r="EG42" s="595">
        <f t="shared" si="124"/>
        <v>0</v>
      </c>
      <c r="EH42" s="595">
        <f t="shared" si="125"/>
        <v>0</v>
      </c>
      <c r="EI42" s="192" t="str">
        <f t="shared" si="126"/>
        <v/>
      </c>
      <c r="EJ42" s="595" t="str">
        <f t="shared" si="127"/>
        <v/>
      </c>
      <c r="EK42" s="595" t="str">
        <f t="shared" si="128"/>
        <v/>
      </c>
      <c r="EL42" s="193" t="str">
        <f t="shared" si="129"/>
        <v/>
      </c>
      <c r="EM42" s="193" t="str">
        <f t="shared" si="130"/>
        <v/>
      </c>
      <c r="EN42" s="193" t="str">
        <f t="shared" si="131"/>
        <v/>
      </c>
      <c r="EO42" s="193" t="str">
        <f t="shared" si="132"/>
        <v/>
      </c>
      <c r="EP42" s="193" t="str">
        <f t="shared" si="133"/>
        <v/>
      </c>
      <c r="EQ42" s="193" t="str">
        <f t="shared" si="134"/>
        <v/>
      </c>
      <c r="ER42" s="194">
        <f t="shared" si="135"/>
        <v>0</v>
      </c>
      <c r="ES42" s="194">
        <f t="shared" si="136"/>
        <v>0</v>
      </c>
      <c r="ET42" s="194">
        <f t="shared" si="137"/>
        <v>0</v>
      </c>
      <c r="EU42" s="194">
        <f t="shared" si="138"/>
        <v>0</v>
      </c>
      <c r="EV42" s="194">
        <f t="shared" si="139"/>
        <v>0</v>
      </c>
      <c r="EW42" s="194" t="str">
        <f t="shared" si="140"/>
        <v/>
      </c>
      <c r="EX42" s="195" t="str">
        <f t="shared" si="141"/>
        <v/>
      </c>
      <c r="EY42" s="196" t="str">
        <f>IF('Marks Entry'!BE42="","",'Marks Entry'!BE42)</f>
        <v/>
      </c>
      <c r="EZ42" s="196" t="str">
        <f>IF('Marks Entry'!BF42="","",'Marks Entry'!BF42)</f>
        <v/>
      </c>
      <c r="FA42" s="196" t="str">
        <f>IF('Marks Entry'!BG42="","",'Marks Entry'!BG42)</f>
        <v/>
      </c>
      <c r="FB42" s="596" t="str">
        <f t="shared" si="142"/>
        <v/>
      </c>
      <c r="FC42" s="196" t="str">
        <f>IF('Marks Entry'!BH42="","",'Marks Entry'!BH42)</f>
        <v/>
      </c>
      <c r="FD42" s="196" t="str">
        <f>IF('Marks Entry'!BI42="","",'Marks Entry'!BI42)</f>
        <v/>
      </c>
      <c r="FE42" s="197" t="str">
        <f t="shared" si="143"/>
        <v/>
      </c>
      <c r="FF42" s="198" t="str">
        <f t="shared" si="144"/>
        <v/>
      </c>
      <c r="FG42" s="199" t="str">
        <f>IF(AND(E42=""),"",IF('Student DATA Entry'!L38="","",'Student DATA Entry'!L38))</f>
        <v/>
      </c>
      <c r="FH42" s="200" t="str">
        <f>IF(AND(E42=""),"",IF('Student DATA Entry'!M38="","",'Student DATA Entry'!M38))</f>
        <v/>
      </c>
      <c r="FI42" s="201" t="str">
        <f t="shared" si="145"/>
        <v/>
      </c>
      <c r="FJ42" s="188" t="str">
        <f t="shared" si="146"/>
        <v/>
      </c>
      <c r="FK42" s="188" t="str">
        <f t="shared" si="147"/>
        <v/>
      </c>
      <c r="FL42" s="202" t="str">
        <f t="shared" si="178"/>
        <v/>
      </c>
      <c r="FM42" s="188" t="str">
        <f t="shared" si="148"/>
        <v/>
      </c>
      <c r="FN42" s="203" t="str">
        <f t="shared" si="149"/>
        <v/>
      </c>
      <c r="FO42" s="202" t="str">
        <f t="shared" si="179"/>
        <v/>
      </c>
      <c r="FP42" s="204" t="str">
        <f t="shared" si="150"/>
        <v/>
      </c>
      <c r="FQ42" s="188" t="str">
        <f t="shared" si="180"/>
        <v/>
      </c>
      <c r="FR42" s="188" t="str">
        <f t="shared" si="181"/>
        <v/>
      </c>
      <c r="FS42" s="188" t="str">
        <f t="shared" si="182"/>
        <v/>
      </c>
      <c r="FT42" s="188" t="str">
        <f t="shared" si="183"/>
        <v/>
      </c>
      <c r="FU42" s="188" t="str">
        <f t="shared" si="151"/>
        <v/>
      </c>
      <c r="FV42" s="205" t="str">
        <f t="shared" si="184"/>
        <v/>
      </c>
      <c r="FW42" s="204" t="str">
        <f t="shared" si="152"/>
        <v/>
      </c>
      <c r="FX42" s="188" t="str">
        <f t="shared" si="185"/>
        <v/>
      </c>
      <c r="FY42" s="188" t="str">
        <f t="shared" si="186"/>
        <v/>
      </c>
      <c r="FZ42" s="188" t="str">
        <f t="shared" si="187"/>
        <v/>
      </c>
      <c r="GA42" s="188" t="str">
        <f t="shared" si="188"/>
        <v/>
      </c>
      <c r="GB42" s="188" t="str">
        <f t="shared" si="153"/>
        <v/>
      </c>
      <c r="GC42" s="205" t="str">
        <f t="shared" si="189"/>
        <v/>
      </c>
      <c r="GD42" s="204" t="str">
        <f t="shared" si="154"/>
        <v/>
      </c>
      <c r="GE42" s="188" t="str">
        <f t="shared" si="190"/>
        <v/>
      </c>
      <c r="GF42" s="188" t="str">
        <f t="shared" si="191"/>
        <v/>
      </c>
      <c r="GG42" s="188" t="str">
        <f t="shared" si="192"/>
        <v/>
      </c>
      <c r="GH42" s="188" t="str">
        <f t="shared" si="193"/>
        <v/>
      </c>
      <c r="GI42" s="188" t="str">
        <f t="shared" si="155"/>
        <v/>
      </c>
      <c r="GJ42" s="205" t="str">
        <f t="shared" si="194"/>
        <v/>
      </c>
      <c r="GK42" s="204" t="str">
        <f t="shared" si="156"/>
        <v/>
      </c>
      <c r="GL42" s="188" t="str">
        <f t="shared" si="195"/>
        <v/>
      </c>
      <c r="GM42" s="188" t="str">
        <f t="shared" si="196"/>
        <v/>
      </c>
      <c r="GN42" s="188" t="str">
        <f t="shared" si="197"/>
        <v/>
      </c>
      <c r="GO42" s="188" t="str">
        <f t="shared" si="198"/>
        <v/>
      </c>
      <c r="GP42" s="188" t="str">
        <f t="shared" si="157"/>
        <v/>
      </c>
      <c r="GQ42" s="205" t="str">
        <f t="shared" si="199"/>
        <v/>
      </c>
      <c r="GR42" s="188" t="str">
        <f t="shared" si="158"/>
        <v/>
      </c>
      <c r="GS42" s="188" t="str">
        <f t="shared" si="159"/>
        <v/>
      </c>
      <c r="GT42" s="206" t="str">
        <f t="shared" si="177"/>
        <v xml:space="preserve">    </v>
      </c>
      <c r="GU42" s="206" t="str">
        <f t="shared" si="160"/>
        <v xml:space="preserve">    </v>
      </c>
      <c r="GV42" s="206" t="str">
        <f t="shared" si="161"/>
        <v xml:space="preserve">    </v>
      </c>
      <c r="GW42" s="206" t="str">
        <f t="shared" si="162"/>
        <v xml:space="preserve">       </v>
      </c>
      <c r="GX42" s="598" t="str">
        <f t="shared" si="163"/>
        <v xml:space="preserve">     </v>
      </c>
      <c r="GY42" s="207" t="str">
        <f t="shared" si="200"/>
        <v/>
      </c>
      <c r="GZ42" s="606" t="str">
        <f>IF(AND(Q42="",AE42="",AZ42="",BW42="",CT42=""),"",IF(AND('Master Sheet'!$D$19="YES",'Marks Entry'!$BA$1=1),SUM(Q42,AE42,AZ42,BW42,DT42),SUM(Q42,AE42,AZ42,BW42,CT42)))</f>
        <v/>
      </c>
      <c r="HA42" s="208" t="str">
        <f>IF(GZ42="","",IF(AND('Master Sheet'!$D$19="YES",'Marks Entry'!$BA$1=1),GZ42/((900)-DC42)*100,GZ42/((1000)-DC42)*100))</f>
        <v/>
      </c>
      <c r="HB42" s="611" t="str">
        <f t="shared" si="165"/>
        <v/>
      </c>
      <c r="HC42" s="609" t="str">
        <f t="shared" si="166"/>
        <v/>
      </c>
      <c r="HD42" s="610" t="str">
        <f t="shared" si="167"/>
        <v/>
      </c>
      <c r="HE42" s="209" t="str">
        <f>IFERROR(IF(OR(GY42="SUPPLEMENTARY",GY42="RE-EXAM"),'Supp. Result Entry'!AS41,""),"")</f>
        <v/>
      </c>
      <c r="HF42" s="613" t="str">
        <f t="shared" si="168"/>
        <v/>
      </c>
      <c r="HG42" s="598" t="str">
        <f t="shared" si="169"/>
        <v/>
      </c>
      <c r="HH42" s="598" t="str">
        <f>IF(AND(HE42="",HF42="",HG42=""),"",IF(OR(GY42="SUPPLEMENTARY",GY42="RE-EXAM"),'Supp. Result Entry'!AS41,GY42))</f>
        <v/>
      </c>
      <c r="HI42" s="179"/>
      <c r="HJ42" s="213"/>
      <c r="HY42" s="211" t="str">
        <f>IF('Supp. Result Entry'!U41="","",'Supp. Result Entry'!$U$6)</f>
        <v/>
      </c>
      <c r="HZ42" s="212" t="str">
        <f>IF('Supp. Result Entry'!X41="","",'Supp. Result Entry'!$X$6)</f>
        <v/>
      </c>
      <c r="IA42" s="212" t="str">
        <f>IF('Supp. Result Entry'!AA41="","",'Supp. Result Entry'!$AA$6)</f>
        <v/>
      </c>
      <c r="IB42" s="212" t="str">
        <f>IF('Supp. Result Entry'!AD41="","",'Supp. Result Entry'!$AD$6)</f>
        <v/>
      </c>
      <c r="IC42" s="212" t="str">
        <f>IF('Supp. Result Entry'!AG41="","",'Supp. Result Entry'!$AG$6)</f>
        <v/>
      </c>
      <c r="ID42" s="212" t="str">
        <f>IF('Supp. Result Entry'!AJ41="","",'Supp. Result Entry'!$AJ$6)</f>
        <v/>
      </c>
      <c r="IE42" s="212" t="str">
        <f>IF('Supp. Result Entry'!V41="","",'Supp. Result Entry'!V41)</f>
        <v/>
      </c>
      <c r="IF42" s="212" t="str">
        <f>IF('Supp. Result Entry'!Y41="","",'Supp. Result Entry'!Y41)</f>
        <v/>
      </c>
      <c r="IG42" s="212" t="str">
        <f>IF('Supp. Result Entry'!AB41="","",'Supp. Result Entry'!AB41)</f>
        <v/>
      </c>
      <c r="IH42" s="212" t="str">
        <f>IF('Supp. Result Entry'!AE41="","",'Supp. Result Entry'!AE41)</f>
        <v/>
      </c>
      <c r="II42" s="212" t="str">
        <f>IF('Supp. Result Entry'!AH41="","",'Supp. Result Entry'!AH41)</f>
        <v/>
      </c>
      <c r="IJ42" s="212" t="str">
        <f>IF('Supp. Result Entry'!AK41="","",'Supp. Result Entry'!AK41)</f>
        <v/>
      </c>
      <c r="IK42" s="212" t="str">
        <f>IF('Supp. Result Entry'!W41="","",'Supp. Result Entry'!W41)</f>
        <v/>
      </c>
      <c r="IL42" s="212" t="str">
        <f>IF('Supp. Result Entry'!Z41="","",'Supp. Result Entry'!Z41)</f>
        <v/>
      </c>
      <c r="IM42" s="212" t="str">
        <f>IF('Supp. Result Entry'!AC41="","",'Supp. Result Entry'!AC41)</f>
        <v/>
      </c>
      <c r="IN42" s="212" t="str">
        <f>IF('Supp. Result Entry'!AF41="","",'Supp. Result Entry'!AF41)</f>
        <v/>
      </c>
      <c r="IO42" s="212" t="str">
        <f>IF('Supp. Result Entry'!AI41="","",'Supp. Result Entry'!AI41)</f>
        <v/>
      </c>
      <c r="IP42" s="212" t="str">
        <f>IF('Supp. Result Entry'!AL41="","",'Supp. Result Entry'!AL41)</f>
        <v/>
      </c>
      <c r="IQ42" s="212">
        <f>COUNTIF('Supp. Result Entry'!K41:Q41,"S")</f>
        <v>0</v>
      </c>
      <c r="IR42" s="212">
        <f t="shared" si="170"/>
        <v>0</v>
      </c>
      <c r="IS42" s="212">
        <f t="shared" si="171"/>
        <v>0</v>
      </c>
      <c r="IT42" s="212" t="str">
        <f t="shared" si="41"/>
        <v/>
      </c>
      <c r="IU42" s="212" t="str">
        <f t="shared" si="42"/>
        <v/>
      </c>
      <c r="IV42" s="212" t="str">
        <f t="shared" si="43"/>
        <v/>
      </c>
      <c r="IW42" s="212" t="str">
        <f t="shared" si="44"/>
        <v/>
      </c>
      <c r="IX42" s="212" t="str">
        <f t="shared" si="45"/>
        <v/>
      </c>
      <c r="IY42" s="212" t="str">
        <f t="shared" si="172"/>
        <v/>
      </c>
      <c r="IZ42" s="212" t="str">
        <f t="shared" si="173"/>
        <v/>
      </c>
      <c r="JA42" s="212" t="str">
        <f t="shared" si="46"/>
        <v/>
      </c>
      <c r="JB42" s="210" t="str">
        <f t="shared" si="174"/>
        <v/>
      </c>
    </row>
    <row r="43" spans="1:262" s="210" customFormat="1" ht="21" customHeight="1">
      <c r="A43" s="183">
        <v>36</v>
      </c>
      <c r="B43" s="184" t="str">
        <f>IF('Marks Entry'!B43="","",'Marks Entry'!B43)</f>
        <v/>
      </c>
      <c r="C43" s="185" t="str">
        <f>IF('Marks Entry'!D43="","",'Marks Entry'!D43)</f>
        <v/>
      </c>
      <c r="D43" s="186" t="str">
        <f>IF('Marks Entry'!E43="","",'Marks Entry'!E43)</f>
        <v/>
      </c>
      <c r="E43" s="187" t="str">
        <f>IF('Marks Entry'!F43="","",'Marks Entry'!F43)</f>
        <v/>
      </c>
      <c r="F43" s="187" t="str">
        <f>IF('Marks Entry'!G43="","",'Marks Entry'!G43)</f>
        <v/>
      </c>
      <c r="G43" s="187" t="str">
        <f>IF('Marks Entry'!H43="","",'Marks Entry'!H43)</f>
        <v/>
      </c>
      <c r="H43" s="188" t="str">
        <f>IF('Marks Entry'!I43="","",'Marks Entry'!I43)</f>
        <v/>
      </c>
      <c r="I43" s="189" t="str">
        <f>IF('Marks Entry'!J43="","",'Marks Entry'!J43)</f>
        <v/>
      </c>
      <c r="J43" s="545" t="str">
        <f>IF('Marks Entry'!K43="","",'Marks Entry'!K43)</f>
        <v/>
      </c>
      <c r="K43" s="545" t="str">
        <f>IF('Marks Entry'!L43="","",'Marks Entry'!L43)</f>
        <v/>
      </c>
      <c r="L43" s="545" t="str">
        <f>IF('Marks Entry'!M43="","",'Marks Entry'!M43)</f>
        <v/>
      </c>
      <c r="M43" s="546" t="str">
        <f t="shared" si="47"/>
        <v/>
      </c>
      <c r="N43" s="545" t="str">
        <f>IF('Marks Entry'!N43="","",'Marks Entry'!N43)</f>
        <v/>
      </c>
      <c r="O43" s="546" t="str">
        <f t="shared" si="48"/>
        <v/>
      </c>
      <c r="P43" s="545" t="str">
        <f>IF('Marks Entry'!O43="","",'Marks Entry'!O43)</f>
        <v/>
      </c>
      <c r="Q43" s="547" t="str">
        <f t="shared" si="49"/>
        <v/>
      </c>
      <c r="R43" s="152">
        <f t="shared" si="50"/>
        <v>0</v>
      </c>
      <c r="S43" s="152">
        <f t="shared" si="51"/>
        <v>0</v>
      </c>
      <c r="T43" s="153" t="str">
        <f t="shared" si="52"/>
        <v/>
      </c>
      <c r="U43" s="152" t="str">
        <f t="shared" si="53"/>
        <v/>
      </c>
      <c r="V43" s="152" t="str">
        <f t="shared" si="54"/>
        <v/>
      </c>
      <c r="W43" s="152" t="str">
        <f t="shared" si="55"/>
        <v/>
      </c>
      <c r="X43" s="545" t="str">
        <f>IF('Marks Entry'!P43="","",'Marks Entry'!P43)</f>
        <v/>
      </c>
      <c r="Y43" s="545" t="str">
        <f>IF('Marks Entry'!Q43="","",'Marks Entry'!Q43)</f>
        <v/>
      </c>
      <c r="Z43" s="545" t="str">
        <f>IF('Marks Entry'!R43="","",'Marks Entry'!R43)</f>
        <v/>
      </c>
      <c r="AA43" s="546" t="str">
        <f t="shared" si="56"/>
        <v/>
      </c>
      <c r="AB43" s="545" t="str">
        <f>IF('Marks Entry'!S43="","",'Marks Entry'!S43)</f>
        <v/>
      </c>
      <c r="AC43" s="546" t="str">
        <f t="shared" si="57"/>
        <v/>
      </c>
      <c r="AD43" s="545" t="str">
        <f>IF('Marks Entry'!T43="","",'Marks Entry'!T43)</f>
        <v/>
      </c>
      <c r="AE43" s="547" t="str">
        <f t="shared" si="58"/>
        <v/>
      </c>
      <c r="AF43" s="152">
        <f t="shared" si="59"/>
        <v>0</v>
      </c>
      <c r="AG43" s="152">
        <f t="shared" si="60"/>
        <v>0</v>
      </c>
      <c r="AH43" s="153" t="str">
        <f t="shared" si="61"/>
        <v/>
      </c>
      <c r="AI43" s="152" t="str">
        <f t="shared" si="62"/>
        <v/>
      </c>
      <c r="AJ43" s="152" t="str">
        <f t="shared" si="63"/>
        <v/>
      </c>
      <c r="AK43" s="152" t="str">
        <f t="shared" si="64"/>
        <v/>
      </c>
      <c r="AL43" s="573" t="str">
        <f>IF('Marks Entry'!U43="","",'Marks Entry'!U43)</f>
        <v/>
      </c>
      <c r="AM43" s="573" t="str">
        <f>IF('Marks Entry'!V43="","",'Marks Entry'!V43)</f>
        <v/>
      </c>
      <c r="AN43" s="573" t="str">
        <f>IF('Marks Entry'!W43="","",'Marks Entry'!W43)</f>
        <v/>
      </c>
      <c r="AO43" s="573" t="str">
        <f>IF('Marks Entry'!X43="","",'Marks Entry'!X43)</f>
        <v/>
      </c>
      <c r="AP43" s="572" t="str">
        <f t="shared" si="65"/>
        <v/>
      </c>
      <c r="AQ43" s="573" t="str">
        <f>IF('Marks Entry'!Y43="","",'Marks Entry'!Y43)</f>
        <v/>
      </c>
      <c r="AR43" s="573" t="str">
        <f>IF('Marks Entry'!Z43="","",'Marks Entry'!Z43)</f>
        <v/>
      </c>
      <c r="AS43" s="572" t="str">
        <f t="shared" si="66"/>
        <v/>
      </c>
      <c r="AT43" s="572" t="str">
        <f t="shared" si="67"/>
        <v/>
      </c>
      <c r="AU43" s="573" t="str">
        <f>IF('Marks Entry'!AA43="","",'Marks Entry'!AA43)</f>
        <v/>
      </c>
      <c r="AV43" s="573" t="str">
        <f>IF('Marks Entry'!AB43="","",'Marks Entry'!AB43)</f>
        <v/>
      </c>
      <c r="AW43" s="572" t="str">
        <f t="shared" si="68"/>
        <v/>
      </c>
      <c r="AX43" s="156" t="str">
        <f t="shared" si="69"/>
        <v/>
      </c>
      <c r="AY43" s="156" t="str">
        <f t="shared" si="70"/>
        <v/>
      </c>
      <c r="AZ43" s="191" t="str">
        <f t="shared" si="71"/>
        <v/>
      </c>
      <c r="BA43" s="152">
        <f t="shared" si="72"/>
        <v>0</v>
      </c>
      <c r="BB43" s="153">
        <f t="shared" si="73"/>
        <v>0</v>
      </c>
      <c r="BC43" s="153" t="str">
        <f t="shared" si="74"/>
        <v/>
      </c>
      <c r="BD43" s="153" t="str">
        <f t="shared" si="75"/>
        <v/>
      </c>
      <c r="BE43" s="153" t="str">
        <f t="shared" si="76"/>
        <v/>
      </c>
      <c r="BF43" s="152" t="str">
        <f t="shared" si="77"/>
        <v/>
      </c>
      <c r="BG43" s="153" t="str">
        <f t="shared" si="175"/>
        <v/>
      </c>
      <c r="BH43" s="152" t="str">
        <f t="shared" si="78"/>
        <v/>
      </c>
      <c r="BI43" s="580" t="str">
        <f>IF('Marks Entry'!AC43="","",'Marks Entry'!AC43)</f>
        <v/>
      </c>
      <c r="BJ43" s="580" t="str">
        <f>IF('Marks Entry'!AD43="","",'Marks Entry'!AD43)</f>
        <v/>
      </c>
      <c r="BK43" s="580" t="str">
        <f>IF('Marks Entry'!AE43="","",'Marks Entry'!AE43)</f>
        <v/>
      </c>
      <c r="BL43" s="580" t="str">
        <f>IF('Marks Entry'!AF43="","",'Marks Entry'!AF43)</f>
        <v/>
      </c>
      <c r="BM43" s="581" t="str">
        <f t="shared" si="79"/>
        <v/>
      </c>
      <c r="BN43" s="580" t="str">
        <f>IF('Marks Entry'!AG43="","",'Marks Entry'!AG43)</f>
        <v/>
      </c>
      <c r="BO43" s="580" t="str">
        <f>IF('Marks Entry'!AH43="","",'Marks Entry'!AH43)</f>
        <v/>
      </c>
      <c r="BP43" s="581" t="str">
        <f t="shared" si="80"/>
        <v/>
      </c>
      <c r="BQ43" s="581" t="str">
        <f t="shared" si="81"/>
        <v/>
      </c>
      <c r="BR43" s="580" t="str">
        <f>IF('Marks Entry'!AI43="","",'Marks Entry'!AI43)</f>
        <v/>
      </c>
      <c r="BS43" s="580" t="str">
        <f>IF('Marks Entry'!AJ43="","",'Marks Entry'!AJ43)</f>
        <v/>
      </c>
      <c r="BT43" s="581" t="str">
        <f t="shared" si="82"/>
        <v/>
      </c>
      <c r="BU43" s="156" t="str">
        <f t="shared" si="83"/>
        <v/>
      </c>
      <c r="BV43" s="156" t="str">
        <f t="shared" si="84"/>
        <v/>
      </c>
      <c r="BW43" s="191" t="str">
        <f t="shared" si="85"/>
        <v/>
      </c>
      <c r="BX43" s="152">
        <f t="shared" si="86"/>
        <v>0</v>
      </c>
      <c r="BY43" s="153">
        <f t="shared" si="87"/>
        <v>0</v>
      </c>
      <c r="BZ43" s="153" t="str">
        <f t="shared" si="88"/>
        <v/>
      </c>
      <c r="CA43" s="153" t="str">
        <f t="shared" si="89"/>
        <v/>
      </c>
      <c r="CB43" s="153" t="str">
        <f t="shared" si="90"/>
        <v/>
      </c>
      <c r="CC43" s="152" t="str">
        <f t="shared" si="91"/>
        <v/>
      </c>
      <c r="CD43" s="153" t="str">
        <f t="shared" si="92"/>
        <v/>
      </c>
      <c r="CE43" s="152" t="str">
        <f t="shared" si="93"/>
        <v/>
      </c>
      <c r="CF43" s="580" t="str">
        <f>IF('Marks Entry'!AK43="","",'Marks Entry'!AK43)</f>
        <v/>
      </c>
      <c r="CG43" s="580" t="str">
        <f>IF('Marks Entry'!AL43="","",'Marks Entry'!AL43)</f>
        <v/>
      </c>
      <c r="CH43" s="580" t="str">
        <f>IF('Marks Entry'!AM43="","",'Marks Entry'!AM43)</f>
        <v/>
      </c>
      <c r="CI43" s="580" t="str">
        <f>IF('Marks Entry'!AN43="","",'Marks Entry'!AN43)</f>
        <v/>
      </c>
      <c r="CJ43" s="581" t="str">
        <f t="shared" si="94"/>
        <v/>
      </c>
      <c r="CK43" s="580" t="str">
        <f>IF('Marks Entry'!AO43="","",'Marks Entry'!AO43)</f>
        <v/>
      </c>
      <c r="CL43" s="580" t="str">
        <f>IF('Marks Entry'!AP43="","",'Marks Entry'!AP43)</f>
        <v/>
      </c>
      <c r="CM43" s="581" t="str">
        <f t="shared" si="95"/>
        <v/>
      </c>
      <c r="CN43" s="581" t="str">
        <f t="shared" si="96"/>
        <v/>
      </c>
      <c r="CO43" s="580" t="str">
        <f>IF('Marks Entry'!AQ43="","",'Marks Entry'!AQ43)</f>
        <v/>
      </c>
      <c r="CP43" s="580" t="str">
        <f>IF('Marks Entry'!AR43="","",'Marks Entry'!AR43)</f>
        <v/>
      </c>
      <c r="CQ43" s="581" t="str">
        <f t="shared" si="97"/>
        <v/>
      </c>
      <c r="CR43" s="156" t="str">
        <f t="shared" si="98"/>
        <v/>
      </c>
      <c r="CS43" s="156" t="str">
        <f t="shared" si="99"/>
        <v/>
      </c>
      <c r="CT43" s="191" t="str">
        <f t="shared" si="100"/>
        <v/>
      </c>
      <c r="CU43" s="152">
        <f t="shared" si="101"/>
        <v>0</v>
      </c>
      <c r="CV43" s="153">
        <f t="shared" si="102"/>
        <v>0</v>
      </c>
      <c r="CW43" s="153" t="str">
        <f t="shared" si="103"/>
        <v/>
      </c>
      <c r="CX43" s="153" t="str">
        <f t="shared" si="104"/>
        <v/>
      </c>
      <c r="CY43" s="153" t="str">
        <f t="shared" si="176"/>
        <v/>
      </c>
      <c r="CZ43" s="152" t="str">
        <f t="shared" si="105"/>
        <v/>
      </c>
      <c r="DA43" s="153" t="str">
        <f t="shared" si="106"/>
        <v/>
      </c>
      <c r="DB43" s="152" t="str">
        <f t="shared" si="107"/>
        <v/>
      </c>
      <c r="DC43" s="153">
        <f t="shared" si="108"/>
        <v>0</v>
      </c>
      <c r="DD43" s="851" t="str">
        <f>IF('Marks Entry'!AS43="","",IF(OR('Master Sheet'!$D$19="YES",'Marks Entry'!$BA$1=1),'Marks Entry'!AS43,""))</f>
        <v/>
      </c>
      <c r="DE43" s="851" t="str">
        <f>IF('Marks Entry'!AT43="","",IF(OR('Master Sheet'!$D$19="YES",'Marks Entry'!$BA$1=1),'Marks Entry'!AT43,""))</f>
        <v/>
      </c>
      <c r="DF43" s="851" t="str">
        <f>IF('Marks Entry'!AU43="","",IF(OR('Master Sheet'!$D$19="YES",'Marks Entry'!$BA$1=1),'Marks Entry'!AU43,""))</f>
        <v/>
      </c>
      <c r="DG43" s="851" t="str">
        <f>IF('Marks Entry'!AV43="","",IF(OR('Master Sheet'!$D$19="YES",'Marks Entry'!$BA$1=1),'Marks Entry'!AV43,""))</f>
        <v/>
      </c>
      <c r="DH43" s="852" t="str">
        <f t="shared" si="109"/>
        <v/>
      </c>
      <c r="DI43" s="851" t="str">
        <f>IF('Marks Entry'!AW43="","",IF(OR('Master Sheet'!$D$19="YES",'Marks Entry'!$BA$1=1),'Marks Entry'!AW43,""))</f>
        <v/>
      </c>
      <c r="DJ43" s="851" t="str">
        <f>IF('Marks Entry'!AX43="","",IF(OR('Master Sheet'!$D$19="YES",'Marks Entry'!$BA$1=1),'Marks Entry'!AX43,""))</f>
        <v/>
      </c>
      <c r="DK43" s="852" t="str">
        <f t="shared" si="110"/>
        <v/>
      </c>
      <c r="DL43" s="852" t="str">
        <f t="shared" si="111"/>
        <v/>
      </c>
      <c r="DM43" s="851" t="str">
        <f>IF('Marks Entry'!AY43="","",IF(OR('Master Sheet'!$D$19="YES",'Marks Entry'!$BA$1=1),'Marks Entry'!AY43,""))</f>
        <v/>
      </c>
      <c r="DN43" s="851" t="str">
        <f>IF('Marks Entry'!AZ43="","",IF(OR('Master Sheet'!$D$19="YES",'Marks Entry'!$BA$1=1),'Marks Entry'!AZ43,""))</f>
        <v/>
      </c>
      <c r="DO43" s="851" t="str">
        <f>IF('Marks Entry'!BA43="","",IF(OR('Master Sheet'!$D$19="YES",'Marks Entry'!$BA$1=1),'Marks Entry'!BA43,""))</f>
        <v/>
      </c>
      <c r="DP43" s="852" t="str">
        <f t="shared" si="112"/>
        <v/>
      </c>
      <c r="DQ43" s="156" t="str">
        <f t="shared" si="113"/>
        <v/>
      </c>
      <c r="DR43" s="156" t="str">
        <f t="shared" si="114"/>
        <v/>
      </c>
      <c r="DS43" s="156" t="str">
        <f t="shared" si="115"/>
        <v/>
      </c>
      <c r="DT43" s="191" t="str">
        <f t="shared" si="116"/>
        <v/>
      </c>
      <c r="DU43" s="152">
        <f t="shared" si="117"/>
        <v>0</v>
      </c>
      <c r="DV43" s="153">
        <f t="shared" si="118"/>
        <v>0</v>
      </c>
      <c r="DW43" s="153" t="str">
        <f t="shared" si="119"/>
        <v/>
      </c>
      <c r="DX43" s="153" t="str">
        <f>IF(OR($B43="NSO",$B43=0,DS43=""),"",IF(AND(DJ43="",DO43=""),"",IF('Master Sheet'!$D$19="YES",$DO$6-COUNTIF(DO43,"ML")*DO$6,DS$6-(COUNTIF(DJ43,"ML")*DJ$6)-(COUNTIF(DO43,"ML")*DO$6))))</f>
        <v/>
      </c>
      <c r="DY43" s="153" t="str">
        <f>IF(OR($B43="NSO",$B43=0),"",IF(AND(DH43="",DI43="",DM43=""),"",IF(AND('Master Sheet'!$D$19="YES",'Marks Entry'!$BA$1=1),100,IF(AND(DJ43="",DO43=""),SUM(($DQ$7+$DR$7)-(DU43+DV43)),SUM(($DQ$6+$DR$6)-(DU43+DV43))))))</f>
        <v/>
      </c>
      <c r="DZ43" s="152" t="str">
        <f t="shared" si="120"/>
        <v/>
      </c>
      <c r="EA43" s="153" t="str">
        <f t="shared" si="121"/>
        <v/>
      </c>
      <c r="EB43" s="152" t="str">
        <f t="shared" si="122"/>
        <v/>
      </c>
      <c r="EC43" s="584" t="str">
        <f>IF('Marks Entry'!BB43="","",'Marks Entry'!BB43)</f>
        <v/>
      </c>
      <c r="ED43" s="584" t="str">
        <f>IF('Marks Entry'!BC43="","",'Marks Entry'!BC43)</f>
        <v/>
      </c>
      <c r="EE43" s="584" t="str">
        <f>IF('Marks Entry'!BD43="","",'Marks Entry'!BD43)</f>
        <v/>
      </c>
      <c r="EF43" s="590" t="str">
        <f t="shared" si="123"/>
        <v/>
      </c>
      <c r="EG43" s="595">
        <f t="shared" si="124"/>
        <v>0</v>
      </c>
      <c r="EH43" s="595">
        <f t="shared" si="125"/>
        <v>0</v>
      </c>
      <c r="EI43" s="192" t="str">
        <f t="shared" si="126"/>
        <v/>
      </c>
      <c r="EJ43" s="595" t="str">
        <f t="shared" si="127"/>
        <v/>
      </c>
      <c r="EK43" s="595" t="str">
        <f t="shared" si="128"/>
        <v/>
      </c>
      <c r="EL43" s="193" t="str">
        <f t="shared" si="129"/>
        <v/>
      </c>
      <c r="EM43" s="193" t="str">
        <f t="shared" si="130"/>
        <v/>
      </c>
      <c r="EN43" s="193" t="str">
        <f t="shared" si="131"/>
        <v/>
      </c>
      <c r="EO43" s="193" t="str">
        <f t="shared" si="132"/>
        <v/>
      </c>
      <c r="EP43" s="193" t="str">
        <f t="shared" si="133"/>
        <v/>
      </c>
      <c r="EQ43" s="193" t="str">
        <f t="shared" si="134"/>
        <v/>
      </c>
      <c r="ER43" s="194">
        <f t="shared" si="135"/>
        <v>0</v>
      </c>
      <c r="ES43" s="194">
        <f t="shared" si="136"/>
        <v>0</v>
      </c>
      <c r="ET43" s="194">
        <f t="shared" si="137"/>
        <v>0</v>
      </c>
      <c r="EU43" s="194">
        <f t="shared" si="138"/>
        <v>0</v>
      </c>
      <c r="EV43" s="194">
        <f t="shared" si="139"/>
        <v>0</v>
      </c>
      <c r="EW43" s="194" t="str">
        <f t="shared" si="140"/>
        <v/>
      </c>
      <c r="EX43" s="195" t="str">
        <f t="shared" si="141"/>
        <v/>
      </c>
      <c r="EY43" s="196" t="str">
        <f>IF('Marks Entry'!BE43="","",'Marks Entry'!BE43)</f>
        <v/>
      </c>
      <c r="EZ43" s="196" t="str">
        <f>IF('Marks Entry'!BF43="","",'Marks Entry'!BF43)</f>
        <v/>
      </c>
      <c r="FA43" s="196" t="str">
        <f>IF('Marks Entry'!BG43="","",'Marks Entry'!BG43)</f>
        <v/>
      </c>
      <c r="FB43" s="596" t="str">
        <f t="shared" si="142"/>
        <v/>
      </c>
      <c r="FC43" s="196" t="str">
        <f>IF('Marks Entry'!BH43="","",'Marks Entry'!BH43)</f>
        <v/>
      </c>
      <c r="FD43" s="196" t="str">
        <f>IF('Marks Entry'!BI43="","",'Marks Entry'!BI43)</f>
        <v/>
      </c>
      <c r="FE43" s="197" t="str">
        <f t="shared" si="143"/>
        <v/>
      </c>
      <c r="FF43" s="198" t="str">
        <f t="shared" si="144"/>
        <v/>
      </c>
      <c r="FG43" s="199" t="str">
        <f>IF(AND(E43=""),"",IF('Student DATA Entry'!L39="","",'Student DATA Entry'!L39))</f>
        <v/>
      </c>
      <c r="FH43" s="200" t="str">
        <f>IF(AND(E43=""),"",IF('Student DATA Entry'!M39="","",'Student DATA Entry'!M39))</f>
        <v/>
      </c>
      <c r="FI43" s="201" t="str">
        <f t="shared" si="145"/>
        <v/>
      </c>
      <c r="FJ43" s="188" t="str">
        <f t="shared" si="146"/>
        <v/>
      </c>
      <c r="FK43" s="188" t="str">
        <f t="shared" si="147"/>
        <v/>
      </c>
      <c r="FL43" s="202" t="str">
        <f t="shared" si="178"/>
        <v/>
      </c>
      <c r="FM43" s="188" t="str">
        <f t="shared" si="148"/>
        <v/>
      </c>
      <c r="FN43" s="203" t="str">
        <f t="shared" si="149"/>
        <v/>
      </c>
      <c r="FO43" s="202" t="str">
        <f t="shared" si="179"/>
        <v/>
      </c>
      <c r="FP43" s="204" t="str">
        <f t="shared" si="150"/>
        <v/>
      </c>
      <c r="FQ43" s="188" t="str">
        <f t="shared" si="180"/>
        <v/>
      </c>
      <c r="FR43" s="188" t="str">
        <f t="shared" si="181"/>
        <v/>
      </c>
      <c r="FS43" s="188" t="str">
        <f t="shared" si="182"/>
        <v/>
      </c>
      <c r="FT43" s="188" t="str">
        <f t="shared" si="183"/>
        <v/>
      </c>
      <c r="FU43" s="188" t="str">
        <f t="shared" si="151"/>
        <v/>
      </c>
      <c r="FV43" s="205" t="str">
        <f t="shared" si="184"/>
        <v/>
      </c>
      <c r="FW43" s="204" t="str">
        <f t="shared" si="152"/>
        <v/>
      </c>
      <c r="FX43" s="188" t="str">
        <f t="shared" si="185"/>
        <v/>
      </c>
      <c r="FY43" s="188" t="str">
        <f t="shared" si="186"/>
        <v/>
      </c>
      <c r="FZ43" s="188" t="str">
        <f t="shared" si="187"/>
        <v/>
      </c>
      <c r="GA43" s="188" t="str">
        <f t="shared" si="188"/>
        <v/>
      </c>
      <c r="GB43" s="188" t="str">
        <f t="shared" si="153"/>
        <v/>
      </c>
      <c r="GC43" s="205" t="str">
        <f t="shared" si="189"/>
        <v/>
      </c>
      <c r="GD43" s="204" t="str">
        <f t="shared" si="154"/>
        <v/>
      </c>
      <c r="GE43" s="188" t="str">
        <f t="shared" si="190"/>
        <v/>
      </c>
      <c r="GF43" s="188" t="str">
        <f t="shared" si="191"/>
        <v/>
      </c>
      <c r="GG43" s="188" t="str">
        <f t="shared" si="192"/>
        <v/>
      </c>
      <c r="GH43" s="188" t="str">
        <f t="shared" si="193"/>
        <v/>
      </c>
      <c r="GI43" s="188" t="str">
        <f t="shared" si="155"/>
        <v/>
      </c>
      <c r="GJ43" s="205" t="str">
        <f t="shared" si="194"/>
        <v/>
      </c>
      <c r="GK43" s="204" t="str">
        <f t="shared" si="156"/>
        <v/>
      </c>
      <c r="GL43" s="188" t="str">
        <f t="shared" si="195"/>
        <v/>
      </c>
      <c r="GM43" s="188" t="str">
        <f t="shared" si="196"/>
        <v/>
      </c>
      <c r="GN43" s="188" t="str">
        <f t="shared" si="197"/>
        <v/>
      </c>
      <c r="GO43" s="188" t="str">
        <f t="shared" si="198"/>
        <v/>
      </c>
      <c r="GP43" s="188" t="str">
        <f t="shared" si="157"/>
        <v/>
      </c>
      <c r="GQ43" s="205" t="str">
        <f t="shared" si="199"/>
        <v/>
      </c>
      <c r="GR43" s="188" t="str">
        <f t="shared" si="158"/>
        <v/>
      </c>
      <c r="GS43" s="188" t="str">
        <f t="shared" si="159"/>
        <v/>
      </c>
      <c r="GT43" s="206" t="str">
        <f t="shared" si="177"/>
        <v xml:space="preserve">    </v>
      </c>
      <c r="GU43" s="206" t="str">
        <f t="shared" si="160"/>
        <v xml:space="preserve">    </v>
      </c>
      <c r="GV43" s="206" t="str">
        <f t="shared" si="161"/>
        <v xml:space="preserve">    </v>
      </c>
      <c r="GW43" s="206" t="str">
        <f t="shared" si="162"/>
        <v xml:space="preserve">       </v>
      </c>
      <c r="GX43" s="598" t="str">
        <f t="shared" si="163"/>
        <v xml:space="preserve">     </v>
      </c>
      <c r="GY43" s="207" t="str">
        <f t="shared" si="200"/>
        <v/>
      </c>
      <c r="GZ43" s="606" t="str">
        <f>IF(AND(Q43="",AE43="",AZ43="",BW43="",CT43=""),"",IF(AND('Master Sheet'!$D$19="YES",'Marks Entry'!$BA$1=1),SUM(Q43,AE43,AZ43,BW43,DT43),SUM(Q43,AE43,AZ43,BW43,CT43)))</f>
        <v/>
      </c>
      <c r="HA43" s="208" t="str">
        <f>IF(GZ43="","",IF(AND('Master Sheet'!$D$19="YES",'Marks Entry'!$BA$1=1),GZ43/((900)-DC43)*100,GZ43/((1000)-DC43)*100))</f>
        <v/>
      </c>
      <c r="HB43" s="611" t="str">
        <f t="shared" si="165"/>
        <v/>
      </c>
      <c r="HC43" s="609" t="str">
        <f t="shared" si="166"/>
        <v/>
      </c>
      <c r="HD43" s="610" t="str">
        <f t="shared" si="167"/>
        <v/>
      </c>
      <c r="HE43" s="209" t="str">
        <f>IFERROR(IF(OR(GY43="SUPPLEMENTARY",GY43="RE-EXAM"),'Supp. Result Entry'!AS42,""),"")</f>
        <v/>
      </c>
      <c r="HF43" s="613" t="str">
        <f t="shared" si="168"/>
        <v/>
      </c>
      <c r="HG43" s="598" t="str">
        <f t="shared" si="169"/>
        <v/>
      </c>
      <c r="HH43" s="598" t="str">
        <f>IF(AND(HE43="",HF43="",HG43=""),"",IF(OR(GY43="SUPPLEMENTARY",GY43="RE-EXAM"),'Supp. Result Entry'!AS42,GY43))</f>
        <v/>
      </c>
      <c r="HI43" s="179"/>
      <c r="HJ43" s="213"/>
      <c r="HY43" s="211" t="str">
        <f>IF('Supp. Result Entry'!U42="","",'Supp. Result Entry'!$U$6)</f>
        <v/>
      </c>
      <c r="HZ43" s="212" t="str">
        <f>IF('Supp. Result Entry'!X42="","",'Supp. Result Entry'!$X$6)</f>
        <v/>
      </c>
      <c r="IA43" s="212" t="str">
        <f>IF('Supp. Result Entry'!AA42="","",'Supp. Result Entry'!$AA$6)</f>
        <v/>
      </c>
      <c r="IB43" s="212" t="str">
        <f>IF('Supp. Result Entry'!AD42="","",'Supp. Result Entry'!$AD$6)</f>
        <v/>
      </c>
      <c r="IC43" s="212" t="str">
        <f>IF('Supp. Result Entry'!AG42="","",'Supp. Result Entry'!$AG$6)</f>
        <v/>
      </c>
      <c r="ID43" s="212" t="str">
        <f>IF('Supp. Result Entry'!AJ42="","",'Supp. Result Entry'!$AJ$6)</f>
        <v/>
      </c>
      <c r="IE43" s="212" t="str">
        <f>IF('Supp. Result Entry'!V42="","",'Supp. Result Entry'!V42)</f>
        <v/>
      </c>
      <c r="IF43" s="212" t="str">
        <f>IF('Supp. Result Entry'!Y42="","",'Supp. Result Entry'!Y42)</f>
        <v/>
      </c>
      <c r="IG43" s="212" t="str">
        <f>IF('Supp. Result Entry'!AB42="","",'Supp. Result Entry'!AB42)</f>
        <v/>
      </c>
      <c r="IH43" s="212" t="str">
        <f>IF('Supp. Result Entry'!AE42="","",'Supp. Result Entry'!AE42)</f>
        <v/>
      </c>
      <c r="II43" s="212" t="str">
        <f>IF('Supp. Result Entry'!AH42="","",'Supp. Result Entry'!AH42)</f>
        <v/>
      </c>
      <c r="IJ43" s="212" t="str">
        <f>IF('Supp. Result Entry'!AK42="","",'Supp. Result Entry'!AK42)</f>
        <v/>
      </c>
      <c r="IK43" s="212" t="str">
        <f>IF('Supp. Result Entry'!W42="","",'Supp. Result Entry'!W42)</f>
        <v/>
      </c>
      <c r="IL43" s="212" t="str">
        <f>IF('Supp. Result Entry'!Z42="","",'Supp. Result Entry'!Z42)</f>
        <v/>
      </c>
      <c r="IM43" s="212" t="str">
        <f>IF('Supp. Result Entry'!AC42="","",'Supp. Result Entry'!AC42)</f>
        <v/>
      </c>
      <c r="IN43" s="212" t="str">
        <f>IF('Supp. Result Entry'!AF42="","",'Supp. Result Entry'!AF42)</f>
        <v/>
      </c>
      <c r="IO43" s="212" t="str">
        <f>IF('Supp. Result Entry'!AI42="","",'Supp. Result Entry'!AI42)</f>
        <v/>
      </c>
      <c r="IP43" s="212" t="str">
        <f>IF('Supp. Result Entry'!AL42="","",'Supp. Result Entry'!AL42)</f>
        <v/>
      </c>
      <c r="IQ43" s="212">
        <f>COUNTIF('Supp. Result Entry'!K42:Q42,"S")</f>
        <v>0</v>
      </c>
      <c r="IR43" s="212">
        <f t="shared" si="170"/>
        <v>0</v>
      </c>
      <c r="IS43" s="212">
        <f t="shared" si="171"/>
        <v>0</v>
      </c>
      <c r="IT43" s="212" t="str">
        <f t="shared" si="41"/>
        <v/>
      </c>
      <c r="IU43" s="212" t="str">
        <f t="shared" si="42"/>
        <v/>
      </c>
      <c r="IV43" s="212" t="str">
        <f t="shared" si="43"/>
        <v/>
      </c>
      <c r="IW43" s="212" t="str">
        <f t="shared" si="44"/>
        <v/>
      </c>
      <c r="IX43" s="212" t="str">
        <f t="shared" si="45"/>
        <v/>
      </c>
      <c r="IY43" s="212" t="str">
        <f t="shared" si="172"/>
        <v/>
      </c>
      <c r="IZ43" s="212" t="str">
        <f t="shared" si="173"/>
        <v/>
      </c>
      <c r="JA43" s="212" t="str">
        <f t="shared" si="46"/>
        <v/>
      </c>
      <c r="JB43" s="210" t="str">
        <f t="shared" si="174"/>
        <v/>
      </c>
    </row>
    <row r="44" spans="1:262" s="210" customFormat="1" ht="21" customHeight="1">
      <c r="A44" s="183">
        <v>37</v>
      </c>
      <c r="B44" s="184" t="str">
        <f>IF('Marks Entry'!B44="","",'Marks Entry'!B44)</f>
        <v/>
      </c>
      <c r="C44" s="185" t="str">
        <f>IF('Marks Entry'!D44="","",'Marks Entry'!D44)</f>
        <v/>
      </c>
      <c r="D44" s="186" t="str">
        <f>IF('Marks Entry'!E44="","",'Marks Entry'!E44)</f>
        <v/>
      </c>
      <c r="E44" s="187" t="str">
        <f>IF('Marks Entry'!F44="","",'Marks Entry'!F44)</f>
        <v/>
      </c>
      <c r="F44" s="187" t="str">
        <f>IF('Marks Entry'!G44="","",'Marks Entry'!G44)</f>
        <v/>
      </c>
      <c r="G44" s="187" t="str">
        <f>IF('Marks Entry'!H44="","",'Marks Entry'!H44)</f>
        <v/>
      </c>
      <c r="H44" s="188" t="str">
        <f>IF('Marks Entry'!I44="","",'Marks Entry'!I44)</f>
        <v/>
      </c>
      <c r="I44" s="189" t="str">
        <f>IF('Marks Entry'!J44="","",'Marks Entry'!J44)</f>
        <v/>
      </c>
      <c r="J44" s="545" t="str">
        <f>IF('Marks Entry'!K44="","",'Marks Entry'!K44)</f>
        <v/>
      </c>
      <c r="K44" s="545" t="str">
        <f>IF('Marks Entry'!L44="","",'Marks Entry'!L44)</f>
        <v/>
      </c>
      <c r="L44" s="545" t="str">
        <f>IF('Marks Entry'!M44="","",'Marks Entry'!M44)</f>
        <v/>
      </c>
      <c r="M44" s="546" t="str">
        <f t="shared" si="47"/>
        <v/>
      </c>
      <c r="N44" s="545" t="str">
        <f>IF('Marks Entry'!N44="","",'Marks Entry'!N44)</f>
        <v/>
      </c>
      <c r="O44" s="546" t="str">
        <f t="shared" si="48"/>
        <v/>
      </c>
      <c r="P44" s="545" t="str">
        <f>IF('Marks Entry'!O44="","",'Marks Entry'!O44)</f>
        <v/>
      </c>
      <c r="Q44" s="547" t="str">
        <f t="shared" si="49"/>
        <v/>
      </c>
      <c r="R44" s="152">
        <f t="shared" si="50"/>
        <v>0</v>
      </c>
      <c r="S44" s="152">
        <f t="shared" si="51"/>
        <v>0</v>
      </c>
      <c r="T44" s="153" t="str">
        <f t="shared" si="52"/>
        <v/>
      </c>
      <c r="U44" s="152" t="str">
        <f t="shared" si="53"/>
        <v/>
      </c>
      <c r="V44" s="152" t="str">
        <f t="shared" si="54"/>
        <v/>
      </c>
      <c r="W44" s="152" t="str">
        <f t="shared" si="55"/>
        <v/>
      </c>
      <c r="X44" s="545" t="str">
        <f>IF('Marks Entry'!P44="","",'Marks Entry'!P44)</f>
        <v/>
      </c>
      <c r="Y44" s="545" t="str">
        <f>IF('Marks Entry'!Q44="","",'Marks Entry'!Q44)</f>
        <v/>
      </c>
      <c r="Z44" s="545" t="str">
        <f>IF('Marks Entry'!R44="","",'Marks Entry'!R44)</f>
        <v/>
      </c>
      <c r="AA44" s="546" t="str">
        <f t="shared" si="56"/>
        <v/>
      </c>
      <c r="AB44" s="545" t="str">
        <f>IF('Marks Entry'!S44="","",'Marks Entry'!S44)</f>
        <v/>
      </c>
      <c r="AC44" s="546" t="str">
        <f t="shared" si="57"/>
        <v/>
      </c>
      <c r="AD44" s="545" t="str">
        <f>IF('Marks Entry'!T44="","",'Marks Entry'!T44)</f>
        <v/>
      </c>
      <c r="AE44" s="547" t="str">
        <f t="shared" si="58"/>
        <v/>
      </c>
      <c r="AF44" s="152">
        <f t="shared" si="59"/>
        <v>0</v>
      </c>
      <c r="AG44" s="152">
        <f t="shared" si="60"/>
        <v>0</v>
      </c>
      <c r="AH44" s="153" t="str">
        <f t="shared" si="61"/>
        <v/>
      </c>
      <c r="AI44" s="152" t="str">
        <f t="shared" si="62"/>
        <v/>
      </c>
      <c r="AJ44" s="152" t="str">
        <f t="shared" si="63"/>
        <v/>
      </c>
      <c r="AK44" s="152" t="str">
        <f t="shared" si="64"/>
        <v/>
      </c>
      <c r="AL44" s="573" t="str">
        <f>IF('Marks Entry'!U44="","",'Marks Entry'!U44)</f>
        <v/>
      </c>
      <c r="AM44" s="573" t="str">
        <f>IF('Marks Entry'!V44="","",'Marks Entry'!V44)</f>
        <v/>
      </c>
      <c r="AN44" s="573" t="str">
        <f>IF('Marks Entry'!W44="","",'Marks Entry'!W44)</f>
        <v/>
      </c>
      <c r="AO44" s="573" t="str">
        <f>IF('Marks Entry'!X44="","",'Marks Entry'!X44)</f>
        <v/>
      </c>
      <c r="AP44" s="572" t="str">
        <f t="shared" si="65"/>
        <v/>
      </c>
      <c r="AQ44" s="573" t="str">
        <f>IF('Marks Entry'!Y44="","",'Marks Entry'!Y44)</f>
        <v/>
      </c>
      <c r="AR44" s="573" t="str">
        <f>IF('Marks Entry'!Z44="","",'Marks Entry'!Z44)</f>
        <v/>
      </c>
      <c r="AS44" s="572" t="str">
        <f t="shared" si="66"/>
        <v/>
      </c>
      <c r="AT44" s="572" t="str">
        <f t="shared" si="67"/>
        <v/>
      </c>
      <c r="AU44" s="573" t="str">
        <f>IF('Marks Entry'!AA44="","",'Marks Entry'!AA44)</f>
        <v/>
      </c>
      <c r="AV44" s="573" t="str">
        <f>IF('Marks Entry'!AB44="","",'Marks Entry'!AB44)</f>
        <v/>
      </c>
      <c r="AW44" s="572" t="str">
        <f t="shared" si="68"/>
        <v/>
      </c>
      <c r="AX44" s="156" t="str">
        <f t="shared" si="69"/>
        <v/>
      </c>
      <c r="AY44" s="156" t="str">
        <f t="shared" si="70"/>
        <v/>
      </c>
      <c r="AZ44" s="191" t="str">
        <f t="shared" si="71"/>
        <v/>
      </c>
      <c r="BA44" s="152">
        <f t="shared" si="72"/>
        <v>0</v>
      </c>
      <c r="BB44" s="153">
        <f t="shared" si="73"/>
        <v>0</v>
      </c>
      <c r="BC44" s="153" t="str">
        <f t="shared" si="74"/>
        <v/>
      </c>
      <c r="BD44" s="153" t="str">
        <f t="shared" si="75"/>
        <v/>
      </c>
      <c r="BE44" s="153" t="str">
        <f t="shared" si="76"/>
        <v/>
      </c>
      <c r="BF44" s="152" t="str">
        <f t="shared" si="77"/>
        <v/>
      </c>
      <c r="BG44" s="153" t="str">
        <f t="shared" si="175"/>
        <v/>
      </c>
      <c r="BH44" s="152" t="str">
        <f t="shared" si="78"/>
        <v/>
      </c>
      <c r="BI44" s="580" t="str">
        <f>IF('Marks Entry'!AC44="","",'Marks Entry'!AC44)</f>
        <v/>
      </c>
      <c r="BJ44" s="580" t="str">
        <f>IF('Marks Entry'!AD44="","",'Marks Entry'!AD44)</f>
        <v/>
      </c>
      <c r="BK44" s="580" t="str">
        <f>IF('Marks Entry'!AE44="","",'Marks Entry'!AE44)</f>
        <v/>
      </c>
      <c r="BL44" s="580" t="str">
        <f>IF('Marks Entry'!AF44="","",'Marks Entry'!AF44)</f>
        <v/>
      </c>
      <c r="BM44" s="581" t="str">
        <f t="shared" si="79"/>
        <v/>
      </c>
      <c r="BN44" s="580" t="str">
        <f>IF('Marks Entry'!AG44="","",'Marks Entry'!AG44)</f>
        <v/>
      </c>
      <c r="BO44" s="580" t="str">
        <f>IF('Marks Entry'!AH44="","",'Marks Entry'!AH44)</f>
        <v/>
      </c>
      <c r="BP44" s="581" t="str">
        <f t="shared" si="80"/>
        <v/>
      </c>
      <c r="BQ44" s="581" t="str">
        <f t="shared" si="81"/>
        <v/>
      </c>
      <c r="BR44" s="580" t="str">
        <f>IF('Marks Entry'!AI44="","",'Marks Entry'!AI44)</f>
        <v/>
      </c>
      <c r="BS44" s="580" t="str">
        <f>IF('Marks Entry'!AJ44="","",'Marks Entry'!AJ44)</f>
        <v/>
      </c>
      <c r="BT44" s="581" t="str">
        <f t="shared" si="82"/>
        <v/>
      </c>
      <c r="BU44" s="156" t="str">
        <f t="shared" si="83"/>
        <v/>
      </c>
      <c r="BV44" s="156" t="str">
        <f t="shared" si="84"/>
        <v/>
      </c>
      <c r="BW44" s="191" t="str">
        <f t="shared" si="85"/>
        <v/>
      </c>
      <c r="BX44" s="152">
        <f t="shared" si="86"/>
        <v>0</v>
      </c>
      <c r="BY44" s="153">
        <f t="shared" si="87"/>
        <v>0</v>
      </c>
      <c r="BZ44" s="153" t="str">
        <f t="shared" si="88"/>
        <v/>
      </c>
      <c r="CA44" s="153" t="str">
        <f t="shared" si="89"/>
        <v/>
      </c>
      <c r="CB44" s="153" t="str">
        <f t="shared" si="90"/>
        <v/>
      </c>
      <c r="CC44" s="152" t="str">
        <f t="shared" si="91"/>
        <v/>
      </c>
      <c r="CD44" s="153" t="str">
        <f t="shared" si="92"/>
        <v/>
      </c>
      <c r="CE44" s="152" t="str">
        <f t="shared" si="93"/>
        <v/>
      </c>
      <c r="CF44" s="580" t="str">
        <f>IF('Marks Entry'!AK44="","",'Marks Entry'!AK44)</f>
        <v/>
      </c>
      <c r="CG44" s="580" t="str">
        <f>IF('Marks Entry'!AL44="","",'Marks Entry'!AL44)</f>
        <v/>
      </c>
      <c r="CH44" s="580" t="str">
        <f>IF('Marks Entry'!AM44="","",'Marks Entry'!AM44)</f>
        <v/>
      </c>
      <c r="CI44" s="580" t="str">
        <f>IF('Marks Entry'!AN44="","",'Marks Entry'!AN44)</f>
        <v/>
      </c>
      <c r="CJ44" s="581" t="str">
        <f t="shared" si="94"/>
        <v/>
      </c>
      <c r="CK44" s="580" t="str">
        <f>IF('Marks Entry'!AO44="","",'Marks Entry'!AO44)</f>
        <v/>
      </c>
      <c r="CL44" s="580" t="str">
        <f>IF('Marks Entry'!AP44="","",'Marks Entry'!AP44)</f>
        <v/>
      </c>
      <c r="CM44" s="581" t="str">
        <f t="shared" si="95"/>
        <v/>
      </c>
      <c r="CN44" s="581" t="str">
        <f t="shared" si="96"/>
        <v/>
      </c>
      <c r="CO44" s="580" t="str">
        <f>IF('Marks Entry'!AQ44="","",'Marks Entry'!AQ44)</f>
        <v/>
      </c>
      <c r="CP44" s="580" t="str">
        <f>IF('Marks Entry'!AR44="","",'Marks Entry'!AR44)</f>
        <v/>
      </c>
      <c r="CQ44" s="581" t="str">
        <f t="shared" si="97"/>
        <v/>
      </c>
      <c r="CR44" s="156" t="str">
        <f t="shared" si="98"/>
        <v/>
      </c>
      <c r="CS44" s="156" t="str">
        <f t="shared" si="99"/>
        <v/>
      </c>
      <c r="CT44" s="191" t="str">
        <f t="shared" si="100"/>
        <v/>
      </c>
      <c r="CU44" s="152">
        <f t="shared" si="101"/>
        <v>0</v>
      </c>
      <c r="CV44" s="153">
        <f t="shared" si="102"/>
        <v>0</v>
      </c>
      <c r="CW44" s="153" t="str">
        <f t="shared" si="103"/>
        <v/>
      </c>
      <c r="CX44" s="153" t="str">
        <f t="shared" si="104"/>
        <v/>
      </c>
      <c r="CY44" s="153" t="str">
        <f t="shared" si="176"/>
        <v/>
      </c>
      <c r="CZ44" s="152" t="str">
        <f t="shared" si="105"/>
        <v/>
      </c>
      <c r="DA44" s="153" t="str">
        <f t="shared" si="106"/>
        <v/>
      </c>
      <c r="DB44" s="152" t="str">
        <f t="shared" si="107"/>
        <v/>
      </c>
      <c r="DC44" s="153">
        <f t="shared" si="108"/>
        <v>0</v>
      </c>
      <c r="DD44" s="851" t="str">
        <f>IF('Marks Entry'!AS44="","",IF(OR('Master Sheet'!$D$19="YES",'Marks Entry'!$BA$1=1),'Marks Entry'!AS44,""))</f>
        <v/>
      </c>
      <c r="DE44" s="851" t="str">
        <f>IF('Marks Entry'!AT44="","",IF(OR('Master Sheet'!$D$19="YES",'Marks Entry'!$BA$1=1),'Marks Entry'!AT44,""))</f>
        <v/>
      </c>
      <c r="DF44" s="851" t="str">
        <f>IF('Marks Entry'!AU44="","",IF(OR('Master Sheet'!$D$19="YES",'Marks Entry'!$BA$1=1),'Marks Entry'!AU44,""))</f>
        <v/>
      </c>
      <c r="DG44" s="851" t="str">
        <f>IF('Marks Entry'!AV44="","",IF(OR('Master Sheet'!$D$19="YES",'Marks Entry'!$BA$1=1),'Marks Entry'!AV44,""))</f>
        <v/>
      </c>
      <c r="DH44" s="852" t="str">
        <f t="shared" si="109"/>
        <v/>
      </c>
      <c r="DI44" s="851" t="str">
        <f>IF('Marks Entry'!AW44="","",IF(OR('Master Sheet'!$D$19="YES",'Marks Entry'!$BA$1=1),'Marks Entry'!AW44,""))</f>
        <v/>
      </c>
      <c r="DJ44" s="851" t="str">
        <f>IF('Marks Entry'!AX44="","",IF(OR('Master Sheet'!$D$19="YES",'Marks Entry'!$BA$1=1),'Marks Entry'!AX44,""))</f>
        <v/>
      </c>
      <c r="DK44" s="852" t="str">
        <f t="shared" si="110"/>
        <v/>
      </c>
      <c r="DL44" s="852" t="str">
        <f t="shared" si="111"/>
        <v/>
      </c>
      <c r="DM44" s="851" t="str">
        <f>IF('Marks Entry'!AY44="","",IF(OR('Master Sheet'!$D$19="YES",'Marks Entry'!$BA$1=1),'Marks Entry'!AY44,""))</f>
        <v/>
      </c>
      <c r="DN44" s="851" t="str">
        <f>IF('Marks Entry'!AZ44="","",IF(OR('Master Sheet'!$D$19="YES",'Marks Entry'!$BA$1=1),'Marks Entry'!AZ44,""))</f>
        <v/>
      </c>
      <c r="DO44" s="851" t="str">
        <f>IF('Marks Entry'!BA44="","",IF(OR('Master Sheet'!$D$19="YES",'Marks Entry'!$BA$1=1),'Marks Entry'!BA44,""))</f>
        <v/>
      </c>
      <c r="DP44" s="852" t="str">
        <f t="shared" si="112"/>
        <v/>
      </c>
      <c r="DQ44" s="156" t="str">
        <f t="shared" si="113"/>
        <v/>
      </c>
      <c r="DR44" s="156" t="str">
        <f t="shared" si="114"/>
        <v/>
      </c>
      <c r="DS44" s="156" t="str">
        <f t="shared" si="115"/>
        <v/>
      </c>
      <c r="DT44" s="191" t="str">
        <f t="shared" si="116"/>
        <v/>
      </c>
      <c r="DU44" s="152">
        <f t="shared" si="117"/>
        <v>0</v>
      </c>
      <c r="DV44" s="153">
        <f t="shared" si="118"/>
        <v>0</v>
      </c>
      <c r="DW44" s="153" t="str">
        <f t="shared" si="119"/>
        <v/>
      </c>
      <c r="DX44" s="153" t="str">
        <f>IF(OR($B44="NSO",$B44=0,DS44=""),"",IF(AND(DJ44="",DO44=""),"",IF('Master Sheet'!$D$19="YES",$DO$6-COUNTIF(DO44,"ML")*DO$6,DS$6-(COUNTIF(DJ44,"ML")*DJ$6)-(COUNTIF(DO44,"ML")*DO$6))))</f>
        <v/>
      </c>
      <c r="DY44" s="153" t="str">
        <f>IF(OR($B44="NSO",$B44=0),"",IF(AND(DH44="",DI44="",DM44=""),"",IF(AND('Master Sheet'!$D$19="YES",'Marks Entry'!$BA$1=1),100,IF(AND(DJ44="",DO44=""),SUM(($DQ$7+$DR$7)-(DU44+DV44)),SUM(($DQ$6+$DR$6)-(DU44+DV44))))))</f>
        <v/>
      </c>
      <c r="DZ44" s="152" t="str">
        <f t="shared" si="120"/>
        <v/>
      </c>
      <c r="EA44" s="153" t="str">
        <f t="shared" si="121"/>
        <v/>
      </c>
      <c r="EB44" s="152" t="str">
        <f t="shared" si="122"/>
        <v/>
      </c>
      <c r="EC44" s="584" t="str">
        <f>IF('Marks Entry'!BB44="","",'Marks Entry'!BB44)</f>
        <v/>
      </c>
      <c r="ED44" s="584" t="str">
        <f>IF('Marks Entry'!BC44="","",'Marks Entry'!BC44)</f>
        <v/>
      </c>
      <c r="EE44" s="584" t="str">
        <f>IF('Marks Entry'!BD44="","",'Marks Entry'!BD44)</f>
        <v/>
      </c>
      <c r="EF44" s="590" t="str">
        <f t="shared" si="123"/>
        <v/>
      </c>
      <c r="EG44" s="595">
        <f t="shared" si="124"/>
        <v>0</v>
      </c>
      <c r="EH44" s="595">
        <f t="shared" si="125"/>
        <v>0</v>
      </c>
      <c r="EI44" s="192" t="str">
        <f t="shared" si="126"/>
        <v/>
      </c>
      <c r="EJ44" s="595" t="str">
        <f t="shared" si="127"/>
        <v/>
      </c>
      <c r="EK44" s="595" t="str">
        <f t="shared" si="128"/>
        <v/>
      </c>
      <c r="EL44" s="193" t="str">
        <f t="shared" si="129"/>
        <v/>
      </c>
      <c r="EM44" s="193" t="str">
        <f t="shared" si="130"/>
        <v/>
      </c>
      <c r="EN44" s="193" t="str">
        <f t="shared" si="131"/>
        <v/>
      </c>
      <c r="EO44" s="193" t="str">
        <f t="shared" si="132"/>
        <v/>
      </c>
      <c r="EP44" s="193" t="str">
        <f t="shared" si="133"/>
        <v/>
      </c>
      <c r="EQ44" s="193" t="str">
        <f t="shared" si="134"/>
        <v/>
      </c>
      <c r="ER44" s="194">
        <f t="shared" si="135"/>
        <v>0</v>
      </c>
      <c r="ES44" s="194">
        <f t="shared" si="136"/>
        <v>0</v>
      </c>
      <c r="ET44" s="194">
        <f t="shared" si="137"/>
        <v>0</v>
      </c>
      <c r="EU44" s="194">
        <f t="shared" si="138"/>
        <v>0</v>
      </c>
      <c r="EV44" s="194">
        <f t="shared" si="139"/>
        <v>0</v>
      </c>
      <c r="EW44" s="194" t="str">
        <f t="shared" si="140"/>
        <v/>
      </c>
      <c r="EX44" s="195" t="str">
        <f t="shared" si="141"/>
        <v/>
      </c>
      <c r="EY44" s="196" t="str">
        <f>IF('Marks Entry'!BE44="","",'Marks Entry'!BE44)</f>
        <v/>
      </c>
      <c r="EZ44" s="196" t="str">
        <f>IF('Marks Entry'!BF44="","",'Marks Entry'!BF44)</f>
        <v/>
      </c>
      <c r="FA44" s="196" t="str">
        <f>IF('Marks Entry'!BG44="","",'Marks Entry'!BG44)</f>
        <v/>
      </c>
      <c r="FB44" s="596" t="str">
        <f t="shared" si="142"/>
        <v/>
      </c>
      <c r="FC44" s="196" t="str">
        <f>IF('Marks Entry'!BH44="","",'Marks Entry'!BH44)</f>
        <v/>
      </c>
      <c r="FD44" s="196" t="str">
        <f>IF('Marks Entry'!BI44="","",'Marks Entry'!BI44)</f>
        <v/>
      </c>
      <c r="FE44" s="197" t="str">
        <f t="shared" si="143"/>
        <v/>
      </c>
      <c r="FF44" s="198" t="str">
        <f t="shared" si="144"/>
        <v/>
      </c>
      <c r="FG44" s="199" t="str">
        <f>IF(AND(E44=""),"",IF('Student DATA Entry'!L40="","",'Student DATA Entry'!L40))</f>
        <v/>
      </c>
      <c r="FH44" s="200" t="str">
        <f>IF(AND(E44=""),"",IF('Student DATA Entry'!M40="","",'Student DATA Entry'!M40))</f>
        <v/>
      </c>
      <c r="FI44" s="201" t="str">
        <f t="shared" si="145"/>
        <v/>
      </c>
      <c r="FJ44" s="188" t="str">
        <f t="shared" si="146"/>
        <v/>
      </c>
      <c r="FK44" s="188" t="str">
        <f t="shared" si="147"/>
        <v/>
      </c>
      <c r="FL44" s="202" t="str">
        <f t="shared" si="178"/>
        <v/>
      </c>
      <c r="FM44" s="188" t="str">
        <f t="shared" si="148"/>
        <v/>
      </c>
      <c r="FN44" s="203" t="str">
        <f t="shared" si="149"/>
        <v/>
      </c>
      <c r="FO44" s="202" t="str">
        <f t="shared" si="179"/>
        <v/>
      </c>
      <c r="FP44" s="204" t="str">
        <f t="shared" si="150"/>
        <v/>
      </c>
      <c r="FQ44" s="188" t="str">
        <f t="shared" si="180"/>
        <v/>
      </c>
      <c r="FR44" s="188" t="str">
        <f t="shared" si="181"/>
        <v/>
      </c>
      <c r="FS44" s="188" t="str">
        <f t="shared" si="182"/>
        <v/>
      </c>
      <c r="FT44" s="188" t="str">
        <f t="shared" si="183"/>
        <v/>
      </c>
      <c r="FU44" s="188" t="str">
        <f t="shared" si="151"/>
        <v/>
      </c>
      <c r="FV44" s="205" t="str">
        <f t="shared" si="184"/>
        <v/>
      </c>
      <c r="FW44" s="204" t="str">
        <f t="shared" si="152"/>
        <v/>
      </c>
      <c r="FX44" s="188" t="str">
        <f t="shared" si="185"/>
        <v/>
      </c>
      <c r="FY44" s="188" t="str">
        <f t="shared" si="186"/>
        <v/>
      </c>
      <c r="FZ44" s="188" t="str">
        <f t="shared" si="187"/>
        <v/>
      </c>
      <c r="GA44" s="188" t="str">
        <f t="shared" si="188"/>
        <v/>
      </c>
      <c r="GB44" s="188" t="str">
        <f t="shared" si="153"/>
        <v/>
      </c>
      <c r="GC44" s="205" t="str">
        <f t="shared" si="189"/>
        <v/>
      </c>
      <c r="GD44" s="204" t="str">
        <f t="shared" si="154"/>
        <v/>
      </c>
      <c r="GE44" s="188" t="str">
        <f t="shared" si="190"/>
        <v/>
      </c>
      <c r="GF44" s="188" t="str">
        <f t="shared" si="191"/>
        <v/>
      </c>
      <c r="GG44" s="188" t="str">
        <f t="shared" si="192"/>
        <v/>
      </c>
      <c r="GH44" s="188" t="str">
        <f t="shared" si="193"/>
        <v/>
      </c>
      <c r="GI44" s="188" t="str">
        <f t="shared" si="155"/>
        <v/>
      </c>
      <c r="GJ44" s="205" t="str">
        <f t="shared" si="194"/>
        <v/>
      </c>
      <c r="GK44" s="204" t="str">
        <f t="shared" si="156"/>
        <v/>
      </c>
      <c r="GL44" s="188" t="str">
        <f t="shared" si="195"/>
        <v/>
      </c>
      <c r="GM44" s="188" t="str">
        <f t="shared" si="196"/>
        <v/>
      </c>
      <c r="GN44" s="188" t="str">
        <f t="shared" si="197"/>
        <v/>
      </c>
      <c r="GO44" s="188" t="str">
        <f t="shared" si="198"/>
        <v/>
      </c>
      <c r="GP44" s="188" t="str">
        <f t="shared" si="157"/>
        <v/>
      </c>
      <c r="GQ44" s="205" t="str">
        <f t="shared" si="199"/>
        <v/>
      </c>
      <c r="GR44" s="188" t="str">
        <f t="shared" si="158"/>
        <v/>
      </c>
      <c r="GS44" s="188" t="str">
        <f t="shared" si="159"/>
        <v/>
      </c>
      <c r="GT44" s="206" t="str">
        <f t="shared" si="177"/>
        <v xml:space="preserve">    </v>
      </c>
      <c r="GU44" s="206" t="str">
        <f t="shared" si="160"/>
        <v xml:space="preserve">    </v>
      </c>
      <c r="GV44" s="206" t="str">
        <f t="shared" si="161"/>
        <v xml:space="preserve">    </v>
      </c>
      <c r="GW44" s="206" t="str">
        <f t="shared" si="162"/>
        <v xml:space="preserve">       </v>
      </c>
      <c r="GX44" s="598" t="str">
        <f t="shared" si="163"/>
        <v xml:space="preserve">     </v>
      </c>
      <c r="GY44" s="207" t="str">
        <f t="shared" si="200"/>
        <v/>
      </c>
      <c r="GZ44" s="606" t="str">
        <f>IF(AND(Q44="",AE44="",AZ44="",BW44="",CT44=""),"",IF(AND('Master Sheet'!$D$19="YES",'Marks Entry'!$BA$1=1),SUM(Q44,AE44,AZ44,BW44,DT44),SUM(Q44,AE44,AZ44,BW44,CT44)))</f>
        <v/>
      </c>
      <c r="HA44" s="208" t="str">
        <f>IF(GZ44="","",IF(AND('Master Sheet'!$D$19="YES",'Marks Entry'!$BA$1=1),GZ44/((900)-DC44)*100,GZ44/((1000)-DC44)*100))</f>
        <v/>
      </c>
      <c r="HB44" s="611" t="str">
        <f t="shared" si="165"/>
        <v/>
      </c>
      <c r="HC44" s="609" t="str">
        <f t="shared" si="166"/>
        <v/>
      </c>
      <c r="HD44" s="610" t="str">
        <f t="shared" si="167"/>
        <v/>
      </c>
      <c r="HE44" s="209" t="str">
        <f>IFERROR(IF(OR(GY44="SUPPLEMENTARY",GY44="RE-EXAM"),'Supp. Result Entry'!AS43,""),"")</f>
        <v/>
      </c>
      <c r="HF44" s="613" t="str">
        <f t="shared" si="168"/>
        <v/>
      </c>
      <c r="HG44" s="598" t="str">
        <f t="shared" si="169"/>
        <v/>
      </c>
      <c r="HH44" s="598" t="str">
        <f>IF(AND(HE44="",HF44="",HG44=""),"",IF(OR(GY44="SUPPLEMENTARY",GY44="RE-EXAM"),'Supp. Result Entry'!AS43,GY44))</f>
        <v/>
      </c>
      <c r="HI44" s="179"/>
      <c r="HJ44" s="213"/>
      <c r="HY44" s="211" t="str">
        <f>IF('Supp. Result Entry'!U43="","",'Supp. Result Entry'!$U$6)</f>
        <v/>
      </c>
      <c r="HZ44" s="212" t="str">
        <f>IF('Supp. Result Entry'!X43="","",'Supp. Result Entry'!$X$6)</f>
        <v/>
      </c>
      <c r="IA44" s="212" t="str">
        <f>IF('Supp. Result Entry'!AA43="","",'Supp. Result Entry'!$AA$6)</f>
        <v/>
      </c>
      <c r="IB44" s="212" t="str">
        <f>IF('Supp. Result Entry'!AD43="","",'Supp. Result Entry'!$AD$6)</f>
        <v/>
      </c>
      <c r="IC44" s="212" t="str">
        <f>IF('Supp. Result Entry'!AG43="","",'Supp. Result Entry'!$AG$6)</f>
        <v/>
      </c>
      <c r="ID44" s="212" t="str">
        <f>IF('Supp. Result Entry'!AJ43="","",'Supp. Result Entry'!$AJ$6)</f>
        <v/>
      </c>
      <c r="IE44" s="212" t="str">
        <f>IF('Supp. Result Entry'!V43="","",'Supp. Result Entry'!V43)</f>
        <v/>
      </c>
      <c r="IF44" s="212" t="str">
        <f>IF('Supp. Result Entry'!Y43="","",'Supp. Result Entry'!Y43)</f>
        <v/>
      </c>
      <c r="IG44" s="212" t="str">
        <f>IF('Supp. Result Entry'!AB43="","",'Supp. Result Entry'!AB43)</f>
        <v/>
      </c>
      <c r="IH44" s="212" t="str">
        <f>IF('Supp. Result Entry'!AE43="","",'Supp. Result Entry'!AE43)</f>
        <v/>
      </c>
      <c r="II44" s="212" t="str">
        <f>IF('Supp. Result Entry'!AH43="","",'Supp. Result Entry'!AH43)</f>
        <v/>
      </c>
      <c r="IJ44" s="212" t="str">
        <f>IF('Supp. Result Entry'!AK43="","",'Supp. Result Entry'!AK43)</f>
        <v/>
      </c>
      <c r="IK44" s="212" t="str">
        <f>IF('Supp. Result Entry'!W43="","",'Supp. Result Entry'!W43)</f>
        <v/>
      </c>
      <c r="IL44" s="212" t="str">
        <f>IF('Supp. Result Entry'!Z43="","",'Supp. Result Entry'!Z43)</f>
        <v/>
      </c>
      <c r="IM44" s="212" t="str">
        <f>IF('Supp. Result Entry'!AC43="","",'Supp. Result Entry'!AC43)</f>
        <v/>
      </c>
      <c r="IN44" s="212" t="str">
        <f>IF('Supp. Result Entry'!AF43="","",'Supp. Result Entry'!AF43)</f>
        <v/>
      </c>
      <c r="IO44" s="212" t="str">
        <f>IF('Supp. Result Entry'!AI43="","",'Supp. Result Entry'!AI43)</f>
        <v/>
      </c>
      <c r="IP44" s="212" t="str">
        <f>IF('Supp. Result Entry'!AL43="","",'Supp. Result Entry'!AL43)</f>
        <v/>
      </c>
      <c r="IQ44" s="212">
        <f>COUNTIF('Supp. Result Entry'!K43:Q43,"S")</f>
        <v>0</v>
      </c>
      <c r="IR44" s="212">
        <f t="shared" si="170"/>
        <v>0</v>
      </c>
      <c r="IS44" s="212">
        <f t="shared" si="171"/>
        <v>0</v>
      </c>
      <c r="IT44" s="212" t="str">
        <f t="shared" si="41"/>
        <v/>
      </c>
      <c r="IU44" s="212" t="str">
        <f t="shared" si="42"/>
        <v/>
      </c>
      <c r="IV44" s="212" t="str">
        <f t="shared" si="43"/>
        <v/>
      </c>
      <c r="IW44" s="212" t="str">
        <f t="shared" si="44"/>
        <v/>
      </c>
      <c r="IX44" s="212" t="str">
        <f t="shared" si="45"/>
        <v/>
      </c>
      <c r="IY44" s="212" t="str">
        <f t="shared" si="172"/>
        <v/>
      </c>
      <c r="IZ44" s="212" t="str">
        <f t="shared" si="173"/>
        <v/>
      </c>
      <c r="JA44" s="212" t="str">
        <f t="shared" si="46"/>
        <v/>
      </c>
      <c r="JB44" s="210" t="str">
        <f t="shared" si="174"/>
        <v/>
      </c>
    </row>
    <row r="45" spans="1:262" s="210" customFormat="1" ht="21" customHeight="1">
      <c r="A45" s="183">
        <v>38</v>
      </c>
      <c r="B45" s="184" t="str">
        <f>IF('Marks Entry'!B45="","",'Marks Entry'!B45)</f>
        <v/>
      </c>
      <c r="C45" s="185" t="str">
        <f>IF('Marks Entry'!D45="","",'Marks Entry'!D45)</f>
        <v/>
      </c>
      <c r="D45" s="186" t="str">
        <f>IF('Marks Entry'!E45="","",'Marks Entry'!E45)</f>
        <v/>
      </c>
      <c r="E45" s="187" t="str">
        <f>IF('Marks Entry'!F45="","",'Marks Entry'!F45)</f>
        <v/>
      </c>
      <c r="F45" s="187" t="str">
        <f>IF('Marks Entry'!G45="","",'Marks Entry'!G45)</f>
        <v/>
      </c>
      <c r="G45" s="187" t="str">
        <f>IF('Marks Entry'!H45="","",'Marks Entry'!H45)</f>
        <v/>
      </c>
      <c r="H45" s="188" t="str">
        <f>IF('Marks Entry'!I45="","",'Marks Entry'!I45)</f>
        <v/>
      </c>
      <c r="I45" s="189" t="str">
        <f>IF('Marks Entry'!J45="","",'Marks Entry'!J45)</f>
        <v/>
      </c>
      <c r="J45" s="545" t="str">
        <f>IF('Marks Entry'!K45="","",'Marks Entry'!K45)</f>
        <v/>
      </c>
      <c r="K45" s="545" t="str">
        <f>IF('Marks Entry'!L45="","",'Marks Entry'!L45)</f>
        <v/>
      </c>
      <c r="L45" s="545" t="str">
        <f>IF('Marks Entry'!M45="","",'Marks Entry'!M45)</f>
        <v/>
      </c>
      <c r="M45" s="546" t="str">
        <f t="shared" si="47"/>
        <v/>
      </c>
      <c r="N45" s="545" t="str">
        <f>IF('Marks Entry'!N45="","",'Marks Entry'!N45)</f>
        <v/>
      </c>
      <c r="O45" s="546" t="str">
        <f t="shared" si="48"/>
        <v/>
      </c>
      <c r="P45" s="545" t="str">
        <f>IF('Marks Entry'!O45="","",'Marks Entry'!O45)</f>
        <v/>
      </c>
      <c r="Q45" s="547" t="str">
        <f t="shared" si="49"/>
        <v/>
      </c>
      <c r="R45" s="152">
        <f t="shared" si="50"/>
        <v>0</v>
      </c>
      <c r="S45" s="152">
        <f t="shared" si="51"/>
        <v>0</v>
      </c>
      <c r="T45" s="153" t="str">
        <f t="shared" si="52"/>
        <v/>
      </c>
      <c r="U45" s="152" t="str">
        <f t="shared" si="53"/>
        <v/>
      </c>
      <c r="V45" s="152" t="str">
        <f t="shared" si="54"/>
        <v/>
      </c>
      <c r="W45" s="152" t="str">
        <f t="shared" si="55"/>
        <v/>
      </c>
      <c r="X45" s="545" t="str">
        <f>IF('Marks Entry'!P45="","",'Marks Entry'!P45)</f>
        <v/>
      </c>
      <c r="Y45" s="545" t="str">
        <f>IF('Marks Entry'!Q45="","",'Marks Entry'!Q45)</f>
        <v/>
      </c>
      <c r="Z45" s="545" t="str">
        <f>IF('Marks Entry'!R45="","",'Marks Entry'!R45)</f>
        <v/>
      </c>
      <c r="AA45" s="546" t="str">
        <f t="shared" si="56"/>
        <v/>
      </c>
      <c r="AB45" s="545" t="str">
        <f>IF('Marks Entry'!S45="","",'Marks Entry'!S45)</f>
        <v/>
      </c>
      <c r="AC45" s="546" t="str">
        <f t="shared" si="57"/>
        <v/>
      </c>
      <c r="AD45" s="545" t="str">
        <f>IF('Marks Entry'!T45="","",'Marks Entry'!T45)</f>
        <v/>
      </c>
      <c r="AE45" s="547" t="str">
        <f t="shared" si="58"/>
        <v/>
      </c>
      <c r="AF45" s="152">
        <f t="shared" si="59"/>
        <v>0</v>
      </c>
      <c r="AG45" s="152">
        <f t="shared" si="60"/>
        <v>0</v>
      </c>
      <c r="AH45" s="153" t="str">
        <f t="shared" si="61"/>
        <v/>
      </c>
      <c r="AI45" s="152" t="str">
        <f t="shared" si="62"/>
        <v/>
      </c>
      <c r="AJ45" s="152" t="str">
        <f t="shared" si="63"/>
        <v/>
      </c>
      <c r="AK45" s="152" t="str">
        <f t="shared" si="64"/>
        <v/>
      </c>
      <c r="AL45" s="573" t="str">
        <f>IF('Marks Entry'!U45="","",'Marks Entry'!U45)</f>
        <v/>
      </c>
      <c r="AM45" s="573" t="str">
        <f>IF('Marks Entry'!V45="","",'Marks Entry'!V45)</f>
        <v/>
      </c>
      <c r="AN45" s="573" t="str">
        <f>IF('Marks Entry'!W45="","",'Marks Entry'!W45)</f>
        <v/>
      </c>
      <c r="AO45" s="573" t="str">
        <f>IF('Marks Entry'!X45="","",'Marks Entry'!X45)</f>
        <v/>
      </c>
      <c r="AP45" s="572" t="str">
        <f t="shared" si="65"/>
        <v/>
      </c>
      <c r="AQ45" s="573" t="str">
        <f>IF('Marks Entry'!Y45="","",'Marks Entry'!Y45)</f>
        <v/>
      </c>
      <c r="AR45" s="573" t="str">
        <f>IF('Marks Entry'!Z45="","",'Marks Entry'!Z45)</f>
        <v/>
      </c>
      <c r="AS45" s="572" t="str">
        <f t="shared" si="66"/>
        <v/>
      </c>
      <c r="AT45" s="572" t="str">
        <f t="shared" si="67"/>
        <v/>
      </c>
      <c r="AU45" s="573" t="str">
        <f>IF('Marks Entry'!AA45="","",'Marks Entry'!AA45)</f>
        <v/>
      </c>
      <c r="AV45" s="573" t="str">
        <f>IF('Marks Entry'!AB45="","",'Marks Entry'!AB45)</f>
        <v/>
      </c>
      <c r="AW45" s="572" t="str">
        <f t="shared" si="68"/>
        <v/>
      </c>
      <c r="AX45" s="156" t="str">
        <f t="shared" si="69"/>
        <v/>
      </c>
      <c r="AY45" s="156" t="str">
        <f t="shared" si="70"/>
        <v/>
      </c>
      <c r="AZ45" s="191" t="str">
        <f t="shared" si="71"/>
        <v/>
      </c>
      <c r="BA45" s="152">
        <f t="shared" si="72"/>
        <v>0</v>
      </c>
      <c r="BB45" s="153">
        <f t="shared" si="73"/>
        <v>0</v>
      </c>
      <c r="BC45" s="153" t="str">
        <f t="shared" si="74"/>
        <v/>
      </c>
      <c r="BD45" s="153" t="str">
        <f t="shared" si="75"/>
        <v/>
      </c>
      <c r="BE45" s="153" t="str">
        <f t="shared" si="76"/>
        <v/>
      </c>
      <c r="BF45" s="152" t="str">
        <f t="shared" si="77"/>
        <v/>
      </c>
      <c r="BG45" s="153" t="str">
        <f t="shared" si="175"/>
        <v/>
      </c>
      <c r="BH45" s="152" t="str">
        <f t="shared" si="78"/>
        <v/>
      </c>
      <c r="BI45" s="580" t="str">
        <f>IF('Marks Entry'!AC45="","",'Marks Entry'!AC45)</f>
        <v/>
      </c>
      <c r="BJ45" s="580" t="str">
        <f>IF('Marks Entry'!AD45="","",'Marks Entry'!AD45)</f>
        <v/>
      </c>
      <c r="BK45" s="580" t="str">
        <f>IF('Marks Entry'!AE45="","",'Marks Entry'!AE45)</f>
        <v/>
      </c>
      <c r="BL45" s="580" t="str">
        <f>IF('Marks Entry'!AF45="","",'Marks Entry'!AF45)</f>
        <v/>
      </c>
      <c r="BM45" s="581" t="str">
        <f t="shared" si="79"/>
        <v/>
      </c>
      <c r="BN45" s="580" t="str">
        <f>IF('Marks Entry'!AG45="","",'Marks Entry'!AG45)</f>
        <v/>
      </c>
      <c r="BO45" s="580" t="str">
        <f>IF('Marks Entry'!AH45="","",'Marks Entry'!AH45)</f>
        <v/>
      </c>
      <c r="BP45" s="581" t="str">
        <f t="shared" si="80"/>
        <v/>
      </c>
      <c r="BQ45" s="581" t="str">
        <f t="shared" si="81"/>
        <v/>
      </c>
      <c r="BR45" s="580" t="str">
        <f>IF('Marks Entry'!AI45="","",'Marks Entry'!AI45)</f>
        <v/>
      </c>
      <c r="BS45" s="580" t="str">
        <f>IF('Marks Entry'!AJ45="","",'Marks Entry'!AJ45)</f>
        <v/>
      </c>
      <c r="BT45" s="581" t="str">
        <f t="shared" si="82"/>
        <v/>
      </c>
      <c r="BU45" s="156" t="str">
        <f t="shared" si="83"/>
        <v/>
      </c>
      <c r="BV45" s="156" t="str">
        <f t="shared" si="84"/>
        <v/>
      </c>
      <c r="BW45" s="191" t="str">
        <f t="shared" si="85"/>
        <v/>
      </c>
      <c r="BX45" s="152">
        <f t="shared" si="86"/>
        <v>0</v>
      </c>
      <c r="BY45" s="153">
        <f t="shared" si="87"/>
        <v>0</v>
      </c>
      <c r="BZ45" s="153" t="str">
        <f t="shared" si="88"/>
        <v/>
      </c>
      <c r="CA45" s="153" t="str">
        <f t="shared" si="89"/>
        <v/>
      </c>
      <c r="CB45" s="153" t="str">
        <f t="shared" si="90"/>
        <v/>
      </c>
      <c r="CC45" s="152" t="str">
        <f t="shared" si="91"/>
        <v/>
      </c>
      <c r="CD45" s="153" t="str">
        <f t="shared" si="92"/>
        <v/>
      </c>
      <c r="CE45" s="152" t="str">
        <f t="shared" si="93"/>
        <v/>
      </c>
      <c r="CF45" s="580" t="str">
        <f>IF('Marks Entry'!AK45="","",'Marks Entry'!AK45)</f>
        <v/>
      </c>
      <c r="CG45" s="580" t="str">
        <f>IF('Marks Entry'!AL45="","",'Marks Entry'!AL45)</f>
        <v/>
      </c>
      <c r="CH45" s="580" t="str">
        <f>IF('Marks Entry'!AM45="","",'Marks Entry'!AM45)</f>
        <v/>
      </c>
      <c r="CI45" s="580" t="str">
        <f>IF('Marks Entry'!AN45="","",'Marks Entry'!AN45)</f>
        <v/>
      </c>
      <c r="CJ45" s="581" t="str">
        <f t="shared" si="94"/>
        <v/>
      </c>
      <c r="CK45" s="580" t="str">
        <f>IF('Marks Entry'!AO45="","",'Marks Entry'!AO45)</f>
        <v/>
      </c>
      <c r="CL45" s="580" t="str">
        <f>IF('Marks Entry'!AP45="","",'Marks Entry'!AP45)</f>
        <v/>
      </c>
      <c r="CM45" s="581" t="str">
        <f t="shared" si="95"/>
        <v/>
      </c>
      <c r="CN45" s="581" t="str">
        <f t="shared" si="96"/>
        <v/>
      </c>
      <c r="CO45" s="580" t="str">
        <f>IF('Marks Entry'!AQ45="","",'Marks Entry'!AQ45)</f>
        <v/>
      </c>
      <c r="CP45" s="580" t="str">
        <f>IF('Marks Entry'!AR45="","",'Marks Entry'!AR45)</f>
        <v/>
      </c>
      <c r="CQ45" s="581" t="str">
        <f t="shared" si="97"/>
        <v/>
      </c>
      <c r="CR45" s="156" t="str">
        <f t="shared" si="98"/>
        <v/>
      </c>
      <c r="CS45" s="156" t="str">
        <f t="shared" si="99"/>
        <v/>
      </c>
      <c r="CT45" s="191" t="str">
        <f t="shared" si="100"/>
        <v/>
      </c>
      <c r="CU45" s="152">
        <f t="shared" si="101"/>
        <v>0</v>
      </c>
      <c r="CV45" s="153">
        <f t="shared" si="102"/>
        <v>0</v>
      </c>
      <c r="CW45" s="153" t="str">
        <f t="shared" si="103"/>
        <v/>
      </c>
      <c r="CX45" s="153" t="str">
        <f t="shared" si="104"/>
        <v/>
      </c>
      <c r="CY45" s="153" t="str">
        <f t="shared" si="176"/>
        <v/>
      </c>
      <c r="CZ45" s="152" t="str">
        <f t="shared" si="105"/>
        <v/>
      </c>
      <c r="DA45" s="153" t="str">
        <f t="shared" si="106"/>
        <v/>
      </c>
      <c r="DB45" s="152" t="str">
        <f t="shared" si="107"/>
        <v/>
      </c>
      <c r="DC45" s="153">
        <f t="shared" si="108"/>
        <v>0</v>
      </c>
      <c r="DD45" s="851" t="str">
        <f>IF('Marks Entry'!AS45="","",IF(OR('Master Sheet'!$D$19="YES",'Marks Entry'!$BA$1=1),'Marks Entry'!AS45,""))</f>
        <v/>
      </c>
      <c r="DE45" s="851" t="str">
        <f>IF('Marks Entry'!AT45="","",IF(OR('Master Sheet'!$D$19="YES",'Marks Entry'!$BA$1=1),'Marks Entry'!AT45,""))</f>
        <v/>
      </c>
      <c r="DF45" s="851" t="str">
        <f>IF('Marks Entry'!AU45="","",IF(OR('Master Sheet'!$D$19="YES",'Marks Entry'!$BA$1=1),'Marks Entry'!AU45,""))</f>
        <v/>
      </c>
      <c r="DG45" s="851" t="str">
        <f>IF('Marks Entry'!AV45="","",IF(OR('Master Sheet'!$D$19="YES",'Marks Entry'!$BA$1=1),'Marks Entry'!AV45,""))</f>
        <v/>
      </c>
      <c r="DH45" s="852" t="str">
        <f t="shared" si="109"/>
        <v/>
      </c>
      <c r="DI45" s="851" t="str">
        <f>IF('Marks Entry'!AW45="","",IF(OR('Master Sheet'!$D$19="YES",'Marks Entry'!$BA$1=1),'Marks Entry'!AW45,""))</f>
        <v/>
      </c>
      <c r="DJ45" s="851" t="str">
        <f>IF('Marks Entry'!AX45="","",IF(OR('Master Sheet'!$D$19="YES",'Marks Entry'!$BA$1=1),'Marks Entry'!AX45,""))</f>
        <v/>
      </c>
      <c r="DK45" s="852" t="str">
        <f t="shared" si="110"/>
        <v/>
      </c>
      <c r="DL45" s="852" t="str">
        <f t="shared" si="111"/>
        <v/>
      </c>
      <c r="DM45" s="851" t="str">
        <f>IF('Marks Entry'!AY45="","",IF(OR('Master Sheet'!$D$19="YES",'Marks Entry'!$BA$1=1),'Marks Entry'!AY45,""))</f>
        <v/>
      </c>
      <c r="DN45" s="851" t="str">
        <f>IF('Marks Entry'!AZ45="","",IF(OR('Master Sheet'!$D$19="YES",'Marks Entry'!$BA$1=1),'Marks Entry'!AZ45,""))</f>
        <v/>
      </c>
      <c r="DO45" s="851" t="str">
        <f>IF('Marks Entry'!BA45="","",IF(OR('Master Sheet'!$D$19="YES",'Marks Entry'!$BA$1=1),'Marks Entry'!BA45,""))</f>
        <v/>
      </c>
      <c r="DP45" s="852" t="str">
        <f t="shared" si="112"/>
        <v/>
      </c>
      <c r="DQ45" s="156" t="str">
        <f t="shared" si="113"/>
        <v/>
      </c>
      <c r="DR45" s="156" t="str">
        <f t="shared" si="114"/>
        <v/>
      </c>
      <c r="DS45" s="156" t="str">
        <f t="shared" si="115"/>
        <v/>
      </c>
      <c r="DT45" s="191" t="str">
        <f t="shared" si="116"/>
        <v/>
      </c>
      <c r="DU45" s="152">
        <f t="shared" si="117"/>
        <v>0</v>
      </c>
      <c r="DV45" s="153">
        <f t="shared" si="118"/>
        <v>0</v>
      </c>
      <c r="DW45" s="153" t="str">
        <f t="shared" si="119"/>
        <v/>
      </c>
      <c r="DX45" s="153" t="str">
        <f>IF(OR($B45="NSO",$B45=0,DS45=""),"",IF(AND(DJ45="",DO45=""),"",IF('Master Sheet'!$D$19="YES",$DO$6-COUNTIF(DO45,"ML")*DO$6,DS$6-(COUNTIF(DJ45,"ML")*DJ$6)-(COUNTIF(DO45,"ML")*DO$6))))</f>
        <v/>
      </c>
      <c r="DY45" s="153" t="str">
        <f>IF(OR($B45="NSO",$B45=0),"",IF(AND(DH45="",DI45="",DM45=""),"",IF(AND('Master Sheet'!$D$19="YES",'Marks Entry'!$BA$1=1),100,IF(AND(DJ45="",DO45=""),SUM(($DQ$7+$DR$7)-(DU45+DV45)),SUM(($DQ$6+$DR$6)-(DU45+DV45))))))</f>
        <v/>
      </c>
      <c r="DZ45" s="152" t="str">
        <f t="shared" si="120"/>
        <v/>
      </c>
      <c r="EA45" s="153" t="str">
        <f t="shared" si="121"/>
        <v/>
      </c>
      <c r="EB45" s="152" t="str">
        <f t="shared" si="122"/>
        <v/>
      </c>
      <c r="EC45" s="584" t="str">
        <f>IF('Marks Entry'!BB45="","",'Marks Entry'!BB45)</f>
        <v/>
      </c>
      <c r="ED45" s="584" t="str">
        <f>IF('Marks Entry'!BC45="","",'Marks Entry'!BC45)</f>
        <v/>
      </c>
      <c r="EE45" s="584" t="str">
        <f>IF('Marks Entry'!BD45="","",'Marks Entry'!BD45)</f>
        <v/>
      </c>
      <c r="EF45" s="590" t="str">
        <f t="shared" si="123"/>
        <v/>
      </c>
      <c r="EG45" s="595">
        <f t="shared" si="124"/>
        <v>0</v>
      </c>
      <c r="EH45" s="595">
        <f t="shared" si="125"/>
        <v>0</v>
      </c>
      <c r="EI45" s="192" t="str">
        <f t="shared" si="126"/>
        <v/>
      </c>
      <c r="EJ45" s="595" t="str">
        <f t="shared" si="127"/>
        <v/>
      </c>
      <c r="EK45" s="595" t="str">
        <f t="shared" si="128"/>
        <v/>
      </c>
      <c r="EL45" s="193" t="str">
        <f t="shared" si="129"/>
        <v/>
      </c>
      <c r="EM45" s="193" t="str">
        <f t="shared" si="130"/>
        <v/>
      </c>
      <c r="EN45" s="193" t="str">
        <f t="shared" si="131"/>
        <v/>
      </c>
      <c r="EO45" s="193" t="str">
        <f t="shared" si="132"/>
        <v/>
      </c>
      <c r="EP45" s="193" t="str">
        <f t="shared" si="133"/>
        <v/>
      </c>
      <c r="EQ45" s="193" t="str">
        <f t="shared" si="134"/>
        <v/>
      </c>
      <c r="ER45" s="194">
        <f t="shared" si="135"/>
        <v>0</v>
      </c>
      <c r="ES45" s="194">
        <f t="shared" si="136"/>
        <v>0</v>
      </c>
      <c r="ET45" s="194">
        <f t="shared" si="137"/>
        <v>0</v>
      </c>
      <c r="EU45" s="194">
        <f t="shared" si="138"/>
        <v>0</v>
      </c>
      <c r="EV45" s="194">
        <f t="shared" si="139"/>
        <v>0</v>
      </c>
      <c r="EW45" s="194" t="str">
        <f t="shared" si="140"/>
        <v/>
      </c>
      <c r="EX45" s="195" t="str">
        <f t="shared" si="141"/>
        <v/>
      </c>
      <c r="EY45" s="196" t="str">
        <f>IF('Marks Entry'!BE45="","",'Marks Entry'!BE45)</f>
        <v/>
      </c>
      <c r="EZ45" s="196" t="str">
        <f>IF('Marks Entry'!BF45="","",'Marks Entry'!BF45)</f>
        <v/>
      </c>
      <c r="FA45" s="196" t="str">
        <f>IF('Marks Entry'!BG45="","",'Marks Entry'!BG45)</f>
        <v/>
      </c>
      <c r="FB45" s="596" t="str">
        <f t="shared" si="142"/>
        <v/>
      </c>
      <c r="FC45" s="196" t="str">
        <f>IF('Marks Entry'!BH45="","",'Marks Entry'!BH45)</f>
        <v/>
      </c>
      <c r="FD45" s="196" t="str">
        <f>IF('Marks Entry'!BI45="","",'Marks Entry'!BI45)</f>
        <v/>
      </c>
      <c r="FE45" s="197" t="str">
        <f t="shared" si="143"/>
        <v/>
      </c>
      <c r="FF45" s="198" t="str">
        <f t="shared" si="144"/>
        <v/>
      </c>
      <c r="FG45" s="199" t="str">
        <f>IF(AND(E45=""),"",IF('Student DATA Entry'!L41="","",'Student DATA Entry'!L41))</f>
        <v/>
      </c>
      <c r="FH45" s="200" t="str">
        <f>IF(AND(E45=""),"",IF('Student DATA Entry'!M41="","",'Student DATA Entry'!M41))</f>
        <v/>
      </c>
      <c r="FI45" s="201" t="str">
        <f t="shared" si="145"/>
        <v/>
      </c>
      <c r="FJ45" s="188" t="str">
        <f t="shared" si="146"/>
        <v/>
      </c>
      <c r="FK45" s="188" t="str">
        <f t="shared" si="147"/>
        <v/>
      </c>
      <c r="FL45" s="202" t="str">
        <f t="shared" si="178"/>
        <v/>
      </c>
      <c r="FM45" s="188" t="str">
        <f t="shared" si="148"/>
        <v/>
      </c>
      <c r="FN45" s="203" t="str">
        <f t="shared" si="149"/>
        <v/>
      </c>
      <c r="FO45" s="202" t="str">
        <f t="shared" si="179"/>
        <v/>
      </c>
      <c r="FP45" s="204" t="str">
        <f t="shared" si="150"/>
        <v/>
      </c>
      <c r="FQ45" s="188" t="str">
        <f t="shared" si="180"/>
        <v/>
      </c>
      <c r="FR45" s="188" t="str">
        <f t="shared" si="181"/>
        <v/>
      </c>
      <c r="FS45" s="188" t="str">
        <f t="shared" si="182"/>
        <v/>
      </c>
      <c r="FT45" s="188" t="str">
        <f t="shared" si="183"/>
        <v/>
      </c>
      <c r="FU45" s="188" t="str">
        <f t="shared" si="151"/>
        <v/>
      </c>
      <c r="FV45" s="205" t="str">
        <f t="shared" si="184"/>
        <v/>
      </c>
      <c r="FW45" s="204" t="str">
        <f t="shared" si="152"/>
        <v/>
      </c>
      <c r="FX45" s="188" t="str">
        <f t="shared" si="185"/>
        <v/>
      </c>
      <c r="FY45" s="188" t="str">
        <f t="shared" si="186"/>
        <v/>
      </c>
      <c r="FZ45" s="188" t="str">
        <f t="shared" si="187"/>
        <v/>
      </c>
      <c r="GA45" s="188" t="str">
        <f t="shared" si="188"/>
        <v/>
      </c>
      <c r="GB45" s="188" t="str">
        <f t="shared" si="153"/>
        <v/>
      </c>
      <c r="GC45" s="205" t="str">
        <f t="shared" si="189"/>
        <v/>
      </c>
      <c r="GD45" s="204" t="str">
        <f t="shared" si="154"/>
        <v/>
      </c>
      <c r="GE45" s="188" t="str">
        <f t="shared" si="190"/>
        <v/>
      </c>
      <c r="GF45" s="188" t="str">
        <f t="shared" si="191"/>
        <v/>
      </c>
      <c r="GG45" s="188" t="str">
        <f t="shared" si="192"/>
        <v/>
      </c>
      <c r="GH45" s="188" t="str">
        <f t="shared" si="193"/>
        <v/>
      </c>
      <c r="GI45" s="188" t="str">
        <f t="shared" si="155"/>
        <v/>
      </c>
      <c r="GJ45" s="205" t="str">
        <f t="shared" si="194"/>
        <v/>
      </c>
      <c r="GK45" s="204" t="str">
        <f t="shared" si="156"/>
        <v/>
      </c>
      <c r="GL45" s="188" t="str">
        <f t="shared" si="195"/>
        <v/>
      </c>
      <c r="GM45" s="188" t="str">
        <f t="shared" si="196"/>
        <v/>
      </c>
      <c r="GN45" s="188" t="str">
        <f t="shared" si="197"/>
        <v/>
      </c>
      <c r="GO45" s="188" t="str">
        <f t="shared" si="198"/>
        <v/>
      </c>
      <c r="GP45" s="188" t="str">
        <f t="shared" si="157"/>
        <v/>
      </c>
      <c r="GQ45" s="205" t="str">
        <f t="shared" si="199"/>
        <v/>
      </c>
      <c r="GR45" s="188" t="str">
        <f t="shared" si="158"/>
        <v/>
      </c>
      <c r="GS45" s="188" t="str">
        <f t="shared" si="159"/>
        <v/>
      </c>
      <c r="GT45" s="206" t="str">
        <f t="shared" si="177"/>
        <v xml:space="preserve">    </v>
      </c>
      <c r="GU45" s="206" t="str">
        <f t="shared" si="160"/>
        <v xml:space="preserve">    </v>
      </c>
      <c r="GV45" s="206" t="str">
        <f t="shared" si="161"/>
        <v xml:space="preserve">    </v>
      </c>
      <c r="GW45" s="206" t="str">
        <f t="shared" si="162"/>
        <v xml:space="preserve">       </v>
      </c>
      <c r="GX45" s="598" t="str">
        <f t="shared" si="163"/>
        <v xml:space="preserve">     </v>
      </c>
      <c r="GY45" s="207" t="str">
        <f t="shared" si="200"/>
        <v/>
      </c>
      <c r="GZ45" s="606" t="str">
        <f>IF(AND(Q45="",AE45="",AZ45="",BW45="",CT45=""),"",IF(AND('Master Sheet'!$D$19="YES",'Marks Entry'!$BA$1=1),SUM(Q45,AE45,AZ45,BW45,DT45),SUM(Q45,AE45,AZ45,BW45,CT45)))</f>
        <v/>
      </c>
      <c r="HA45" s="208" t="str">
        <f>IF(GZ45="","",IF(AND('Master Sheet'!$D$19="YES",'Marks Entry'!$BA$1=1),GZ45/((900)-DC45)*100,GZ45/((1000)-DC45)*100))</f>
        <v/>
      </c>
      <c r="HB45" s="611" t="str">
        <f t="shared" si="165"/>
        <v/>
      </c>
      <c r="HC45" s="609" t="str">
        <f t="shared" si="166"/>
        <v/>
      </c>
      <c r="HD45" s="610" t="str">
        <f t="shared" si="167"/>
        <v/>
      </c>
      <c r="HE45" s="209" t="str">
        <f>IFERROR(IF(OR(GY45="SUPPLEMENTARY",GY45="RE-EXAM"),'Supp. Result Entry'!AS44,""),"")</f>
        <v/>
      </c>
      <c r="HF45" s="613" t="str">
        <f t="shared" si="168"/>
        <v/>
      </c>
      <c r="HG45" s="598" t="str">
        <f t="shared" si="169"/>
        <v/>
      </c>
      <c r="HH45" s="598" t="str">
        <f>IF(AND(HE45="",HF45="",HG45=""),"",IF(OR(GY45="SUPPLEMENTARY",GY45="RE-EXAM"),'Supp. Result Entry'!AS44,GY45))</f>
        <v/>
      </c>
      <c r="HI45" s="179"/>
      <c r="HJ45" s="213"/>
      <c r="HY45" s="211" t="str">
        <f>IF('Supp. Result Entry'!U44="","",'Supp. Result Entry'!$U$6)</f>
        <v/>
      </c>
      <c r="HZ45" s="212" t="str">
        <f>IF('Supp. Result Entry'!X44="","",'Supp. Result Entry'!$X$6)</f>
        <v/>
      </c>
      <c r="IA45" s="212" t="str">
        <f>IF('Supp. Result Entry'!AA44="","",'Supp. Result Entry'!$AA$6)</f>
        <v/>
      </c>
      <c r="IB45" s="212" t="str">
        <f>IF('Supp. Result Entry'!AD44="","",'Supp. Result Entry'!$AD$6)</f>
        <v/>
      </c>
      <c r="IC45" s="212" t="str">
        <f>IF('Supp. Result Entry'!AG44="","",'Supp. Result Entry'!$AG$6)</f>
        <v/>
      </c>
      <c r="ID45" s="212" t="str">
        <f>IF('Supp. Result Entry'!AJ44="","",'Supp. Result Entry'!$AJ$6)</f>
        <v/>
      </c>
      <c r="IE45" s="212" t="str">
        <f>IF('Supp. Result Entry'!V44="","",'Supp. Result Entry'!V44)</f>
        <v/>
      </c>
      <c r="IF45" s="212" t="str">
        <f>IF('Supp. Result Entry'!Y44="","",'Supp. Result Entry'!Y44)</f>
        <v/>
      </c>
      <c r="IG45" s="212" t="str">
        <f>IF('Supp. Result Entry'!AB44="","",'Supp. Result Entry'!AB44)</f>
        <v/>
      </c>
      <c r="IH45" s="212" t="str">
        <f>IF('Supp. Result Entry'!AE44="","",'Supp. Result Entry'!AE44)</f>
        <v/>
      </c>
      <c r="II45" s="212" t="str">
        <f>IF('Supp. Result Entry'!AH44="","",'Supp. Result Entry'!AH44)</f>
        <v/>
      </c>
      <c r="IJ45" s="212" t="str">
        <f>IF('Supp. Result Entry'!AK44="","",'Supp. Result Entry'!AK44)</f>
        <v/>
      </c>
      <c r="IK45" s="212" t="str">
        <f>IF('Supp. Result Entry'!W44="","",'Supp. Result Entry'!W44)</f>
        <v/>
      </c>
      <c r="IL45" s="212" t="str">
        <f>IF('Supp. Result Entry'!Z44="","",'Supp. Result Entry'!Z44)</f>
        <v/>
      </c>
      <c r="IM45" s="212" t="str">
        <f>IF('Supp. Result Entry'!AC44="","",'Supp. Result Entry'!AC44)</f>
        <v/>
      </c>
      <c r="IN45" s="212" t="str">
        <f>IF('Supp. Result Entry'!AF44="","",'Supp. Result Entry'!AF44)</f>
        <v/>
      </c>
      <c r="IO45" s="212" t="str">
        <f>IF('Supp. Result Entry'!AI44="","",'Supp. Result Entry'!AI44)</f>
        <v/>
      </c>
      <c r="IP45" s="212" t="str">
        <f>IF('Supp. Result Entry'!AL44="","",'Supp. Result Entry'!AL44)</f>
        <v/>
      </c>
      <c r="IQ45" s="212">
        <f>COUNTIF('Supp. Result Entry'!K44:Q44,"S")</f>
        <v>0</v>
      </c>
      <c r="IR45" s="212">
        <f t="shared" si="170"/>
        <v>0</v>
      </c>
      <c r="IS45" s="212">
        <f t="shared" si="171"/>
        <v>0</v>
      </c>
      <c r="IT45" s="212" t="str">
        <f t="shared" si="41"/>
        <v/>
      </c>
      <c r="IU45" s="212" t="str">
        <f t="shared" si="42"/>
        <v/>
      </c>
      <c r="IV45" s="212" t="str">
        <f t="shared" si="43"/>
        <v/>
      </c>
      <c r="IW45" s="212" t="str">
        <f t="shared" si="44"/>
        <v/>
      </c>
      <c r="IX45" s="212" t="str">
        <f t="shared" si="45"/>
        <v/>
      </c>
      <c r="IY45" s="212" t="str">
        <f t="shared" si="172"/>
        <v/>
      </c>
      <c r="IZ45" s="212" t="str">
        <f t="shared" si="173"/>
        <v/>
      </c>
      <c r="JA45" s="212" t="str">
        <f t="shared" si="46"/>
        <v/>
      </c>
      <c r="JB45" s="210" t="str">
        <f t="shared" si="174"/>
        <v/>
      </c>
    </row>
    <row r="46" spans="1:262" s="210" customFormat="1" ht="21" customHeight="1">
      <c r="A46" s="183">
        <v>39</v>
      </c>
      <c r="B46" s="184" t="str">
        <f>IF('Marks Entry'!B46="","",'Marks Entry'!B46)</f>
        <v/>
      </c>
      <c r="C46" s="185" t="str">
        <f>IF('Marks Entry'!D46="","",'Marks Entry'!D46)</f>
        <v/>
      </c>
      <c r="D46" s="186" t="str">
        <f>IF('Marks Entry'!E46="","",'Marks Entry'!E46)</f>
        <v/>
      </c>
      <c r="E46" s="187" t="str">
        <f>IF('Marks Entry'!F46="","",'Marks Entry'!F46)</f>
        <v/>
      </c>
      <c r="F46" s="187" t="str">
        <f>IF('Marks Entry'!G46="","",'Marks Entry'!G46)</f>
        <v/>
      </c>
      <c r="G46" s="187" t="str">
        <f>IF('Marks Entry'!H46="","",'Marks Entry'!H46)</f>
        <v/>
      </c>
      <c r="H46" s="188" t="str">
        <f>IF('Marks Entry'!I46="","",'Marks Entry'!I46)</f>
        <v/>
      </c>
      <c r="I46" s="189" t="str">
        <f>IF('Marks Entry'!J46="","",'Marks Entry'!J46)</f>
        <v/>
      </c>
      <c r="J46" s="545" t="str">
        <f>IF('Marks Entry'!K46="","",'Marks Entry'!K46)</f>
        <v/>
      </c>
      <c r="K46" s="545" t="str">
        <f>IF('Marks Entry'!L46="","",'Marks Entry'!L46)</f>
        <v/>
      </c>
      <c r="L46" s="545" t="str">
        <f>IF('Marks Entry'!M46="","",'Marks Entry'!M46)</f>
        <v/>
      </c>
      <c r="M46" s="546" t="str">
        <f t="shared" si="47"/>
        <v/>
      </c>
      <c r="N46" s="545" t="str">
        <f>IF('Marks Entry'!N46="","",'Marks Entry'!N46)</f>
        <v/>
      </c>
      <c r="O46" s="546" t="str">
        <f t="shared" si="48"/>
        <v/>
      </c>
      <c r="P46" s="545" t="str">
        <f>IF('Marks Entry'!O46="","",'Marks Entry'!O46)</f>
        <v/>
      </c>
      <c r="Q46" s="547" t="str">
        <f t="shared" si="49"/>
        <v/>
      </c>
      <c r="R46" s="152">
        <f t="shared" si="50"/>
        <v>0</v>
      </c>
      <c r="S46" s="152">
        <f t="shared" si="51"/>
        <v>0</v>
      </c>
      <c r="T46" s="153" t="str">
        <f t="shared" si="52"/>
        <v/>
      </c>
      <c r="U46" s="152" t="str">
        <f t="shared" si="53"/>
        <v/>
      </c>
      <c r="V46" s="152" t="str">
        <f t="shared" si="54"/>
        <v/>
      </c>
      <c r="W46" s="152" t="str">
        <f t="shared" si="55"/>
        <v/>
      </c>
      <c r="X46" s="545" t="str">
        <f>IF('Marks Entry'!P46="","",'Marks Entry'!P46)</f>
        <v/>
      </c>
      <c r="Y46" s="545" t="str">
        <f>IF('Marks Entry'!Q46="","",'Marks Entry'!Q46)</f>
        <v/>
      </c>
      <c r="Z46" s="545" t="str">
        <f>IF('Marks Entry'!R46="","",'Marks Entry'!R46)</f>
        <v/>
      </c>
      <c r="AA46" s="546" t="str">
        <f t="shared" si="56"/>
        <v/>
      </c>
      <c r="AB46" s="545" t="str">
        <f>IF('Marks Entry'!S46="","",'Marks Entry'!S46)</f>
        <v/>
      </c>
      <c r="AC46" s="546" t="str">
        <f t="shared" si="57"/>
        <v/>
      </c>
      <c r="AD46" s="545" t="str">
        <f>IF('Marks Entry'!T46="","",'Marks Entry'!T46)</f>
        <v/>
      </c>
      <c r="AE46" s="547" t="str">
        <f t="shared" si="58"/>
        <v/>
      </c>
      <c r="AF46" s="152">
        <f t="shared" si="59"/>
        <v>0</v>
      </c>
      <c r="AG46" s="152">
        <f t="shared" si="60"/>
        <v>0</v>
      </c>
      <c r="AH46" s="153" t="str">
        <f t="shared" si="61"/>
        <v/>
      </c>
      <c r="AI46" s="152" t="str">
        <f t="shared" si="62"/>
        <v/>
      </c>
      <c r="AJ46" s="152" t="str">
        <f t="shared" si="63"/>
        <v/>
      </c>
      <c r="AK46" s="152" t="str">
        <f t="shared" si="64"/>
        <v/>
      </c>
      <c r="AL46" s="573" t="str">
        <f>IF('Marks Entry'!U46="","",'Marks Entry'!U46)</f>
        <v/>
      </c>
      <c r="AM46" s="573" t="str">
        <f>IF('Marks Entry'!V46="","",'Marks Entry'!V46)</f>
        <v/>
      </c>
      <c r="AN46" s="573" t="str">
        <f>IF('Marks Entry'!W46="","",'Marks Entry'!W46)</f>
        <v/>
      </c>
      <c r="AO46" s="573" t="str">
        <f>IF('Marks Entry'!X46="","",'Marks Entry'!X46)</f>
        <v/>
      </c>
      <c r="AP46" s="572" t="str">
        <f t="shared" si="65"/>
        <v/>
      </c>
      <c r="AQ46" s="573" t="str">
        <f>IF('Marks Entry'!Y46="","",'Marks Entry'!Y46)</f>
        <v/>
      </c>
      <c r="AR46" s="573" t="str">
        <f>IF('Marks Entry'!Z46="","",'Marks Entry'!Z46)</f>
        <v/>
      </c>
      <c r="AS46" s="572" t="str">
        <f t="shared" si="66"/>
        <v/>
      </c>
      <c r="AT46" s="572" t="str">
        <f t="shared" si="67"/>
        <v/>
      </c>
      <c r="AU46" s="573" t="str">
        <f>IF('Marks Entry'!AA46="","",'Marks Entry'!AA46)</f>
        <v/>
      </c>
      <c r="AV46" s="573" t="str">
        <f>IF('Marks Entry'!AB46="","",'Marks Entry'!AB46)</f>
        <v/>
      </c>
      <c r="AW46" s="572" t="str">
        <f t="shared" si="68"/>
        <v/>
      </c>
      <c r="AX46" s="156" t="str">
        <f t="shared" si="69"/>
        <v/>
      </c>
      <c r="AY46" s="156" t="str">
        <f t="shared" si="70"/>
        <v/>
      </c>
      <c r="AZ46" s="191" t="str">
        <f t="shared" si="71"/>
        <v/>
      </c>
      <c r="BA46" s="152">
        <f t="shared" si="72"/>
        <v>0</v>
      </c>
      <c r="BB46" s="153">
        <f t="shared" si="73"/>
        <v>0</v>
      </c>
      <c r="BC46" s="153" t="str">
        <f t="shared" si="74"/>
        <v/>
      </c>
      <c r="BD46" s="153" t="str">
        <f t="shared" si="75"/>
        <v/>
      </c>
      <c r="BE46" s="153" t="str">
        <f t="shared" si="76"/>
        <v/>
      </c>
      <c r="BF46" s="152" t="str">
        <f t="shared" si="77"/>
        <v/>
      </c>
      <c r="BG46" s="153" t="str">
        <f t="shared" si="175"/>
        <v/>
      </c>
      <c r="BH46" s="152" t="str">
        <f t="shared" si="78"/>
        <v/>
      </c>
      <c r="BI46" s="580" t="str">
        <f>IF('Marks Entry'!AC46="","",'Marks Entry'!AC46)</f>
        <v/>
      </c>
      <c r="BJ46" s="580" t="str">
        <f>IF('Marks Entry'!AD46="","",'Marks Entry'!AD46)</f>
        <v/>
      </c>
      <c r="BK46" s="580" t="str">
        <f>IF('Marks Entry'!AE46="","",'Marks Entry'!AE46)</f>
        <v/>
      </c>
      <c r="BL46" s="580" t="str">
        <f>IF('Marks Entry'!AF46="","",'Marks Entry'!AF46)</f>
        <v/>
      </c>
      <c r="BM46" s="581" t="str">
        <f t="shared" si="79"/>
        <v/>
      </c>
      <c r="BN46" s="580" t="str">
        <f>IF('Marks Entry'!AG46="","",'Marks Entry'!AG46)</f>
        <v/>
      </c>
      <c r="BO46" s="580" t="str">
        <f>IF('Marks Entry'!AH46="","",'Marks Entry'!AH46)</f>
        <v/>
      </c>
      <c r="BP46" s="581" t="str">
        <f t="shared" si="80"/>
        <v/>
      </c>
      <c r="BQ46" s="581" t="str">
        <f t="shared" si="81"/>
        <v/>
      </c>
      <c r="BR46" s="580" t="str">
        <f>IF('Marks Entry'!AI46="","",'Marks Entry'!AI46)</f>
        <v/>
      </c>
      <c r="BS46" s="580" t="str">
        <f>IF('Marks Entry'!AJ46="","",'Marks Entry'!AJ46)</f>
        <v/>
      </c>
      <c r="BT46" s="581" t="str">
        <f t="shared" si="82"/>
        <v/>
      </c>
      <c r="BU46" s="156" t="str">
        <f t="shared" si="83"/>
        <v/>
      </c>
      <c r="BV46" s="156" t="str">
        <f t="shared" si="84"/>
        <v/>
      </c>
      <c r="BW46" s="191" t="str">
        <f t="shared" si="85"/>
        <v/>
      </c>
      <c r="BX46" s="152">
        <f t="shared" si="86"/>
        <v>0</v>
      </c>
      <c r="BY46" s="153">
        <f t="shared" si="87"/>
        <v>0</v>
      </c>
      <c r="BZ46" s="153" t="str">
        <f t="shared" si="88"/>
        <v/>
      </c>
      <c r="CA46" s="153" t="str">
        <f t="shared" si="89"/>
        <v/>
      </c>
      <c r="CB46" s="153" t="str">
        <f t="shared" si="90"/>
        <v/>
      </c>
      <c r="CC46" s="152" t="str">
        <f t="shared" si="91"/>
        <v/>
      </c>
      <c r="CD46" s="153" t="str">
        <f t="shared" si="92"/>
        <v/>
      </c>
      <c r="CE46" s="152" t="str">
        <f t="shared" si="93"/>
        <v/>
      </c>
      <c r="CF46" s="580" t="str">
        <f>IF('Marks Entry'!AK46="","",'Marks Entry'!AK46)</f>
        <v/>
      </c>
      <c r="CG46" s="580" t="str">
        <f>IF('Marks Entry'!AL46="","",'Marks Entry'!AL46)</f>
        <v/>
      </c>
      <c r="CH46" s="580" t="str">
        <f>IF('Marks Entry'!AM46="","",'Marks Entry'!AM46)</f>
        <v/>
      </c>
      <c r="CI46" s="580" t="str">
        <f>IF('Marks Entry'!AN46="","",'Marks Entry'!AN46)</f>
        <v/>
      </c>
      <c r="CJ46" s="581" t="str">
        <f t="shared" si="94"/>
        <v/>
      </c>
      <c r="CK46" s="580" t="str">
        <f>IF('Marks Entry'!AO46="","",'Marks Entry'!AO46)</f>
        <v/>
      </c>
      <c r="CL46" s="580" t="str">
        <f>IF('Marks Entry'!AP46="","",'Marks Entry'!AP46)</f>
        <v/>
      </c>
      <c r="CM46" s="581" t="str">
        <f t="shared" si="95"/>
        <v/>
      </c>
      <c r="CN46" s="581" t="str">
        <f t="shared" si="96"/>
        <v/>
      </c>
      <c r="CO46" s="580" t="str">
        <f>IF('Marks Entry'!AQ46="","",'Marks Entry'!AQ46)</f>
        <v/>
      </c>
      <c r="CP46" s="580" t="str">
        <f>IF('Marks Entry'!AR46="","",'Marks Entry'!AR46)</f>
        <v/>
      </c>
      <c r="CQ46" s="581" t="str">
        <f t="shared" si="97"/>
        <v/>
      </c>
      <c r="CR46" s="156" t="str">
        <f t="shared" si="98"/>
        <v/>
      </c>
      <c r="CS46" s="156" t="str">
        <f t="shared" si="99"/>
        <v/>
      </c>
      <c r="CT46" s="191" t="str">
        <f t="shared" si="100"/>
        <v/>
      </c>
      <c r="CU46" s="152">
        <f t="shared" si="101"/>
        <v>0</v>
      </c>
      <c r="CV46" s="153">
        <f t="shared" si="102"/>
        <v>0</v>
      </c>
      <c r="CW46" s="153" t="str">
        <f t="shared" si="103"/>
        <v/>
      </c>
      <c r="CX46" s="153" t="str">
        <f t="shared" si="104"/>
        <v/>
      </c>
      <c r="CY46" s="153" t="str">
        <f t="shared" si="176"/>
        <v/>
      </c>
      <c r="CZ46" s="152" t="str">
        <f t="shared" si="105"/>
        <v/>
      </c>
      <c r="DA46" s="153" t="str">
        <f t="shared" si="106"/>
        <v/>
      </c>
      <c r="DB46" s="152" t="str">
        <f t="shared" si="107"/>
        <v/>
      </c>
      <c r="DC46" s="153">
        <f t="shared" si="108"/>
        <v>0</v>
      </c>
      <c r="DD46" s="851" t="str">
        <f>IF('Marks Entry'!AS46="","",IF(OR('Master Sheet'!$D$19="YES",'Marks Entry'!$BA$1=1),'Marks Entry'!AS46,""))</f>
        <v/>
      </c>
      <c r="DE46" s="851" t="str">
        <f>IF('Marks Entry'!AT46="","",IF(OR('Master Sheet'!$D$19="YES",'Marks Entry'!$BA$1=1),'Marks Entry'!AT46,""))</f>
        <v/>
      </c>
      <c r="DF46" s="851" t="str">
        <f>IF('Marks Entry'!AU46="","",IF(OR('Master Sheet'!$D$19="YES",'Marks Entry'!$BA$1=1),'Marks Entry'!AU46,""))</f>
        <v/>
      </c>
      <c r="DG46" s="851" t="str">
        <f>IF('Marks Entry'!AV46="","",IF(OR('Master Sheet'!$D$19="YES",'Marks Entry'!$BA$1=1),'Marks Entry'!AV46,""))</f>
        <v/>
      </c>
      <c r="DH46" s="852" t="str">
        <f t="shared" si="109"/>
        <v/>
      </c>
      <c r="DI46" s="851" t="str">
        <f>IF('Marks Entry'!AW46="","",IF(OR('Master Sheet'!$D$19="YES",'Marks Entry'!$BA$1=1),'Marks Entry'!AW46,""))</f>
        <v/>
      </c>
      <c r="DJ46" s="851" t="str">
        <f>IF('Marks Entry'!AX46="","",IF(OR('Master Sheet'!$D$19="YES",'Marks Entry'!$BA$1=1),'Marks Entry'!AX46,""))</f>
        <v/>
      </c>
      <c r="DK46" s="852" t="str">
        <f t="shared" si="110"/>
        <v/>
      </c>
      <c r="DL46" s="852" t="str">
        <f t="shared" si="111"/>
        <v/>
      </c>
      <c r="DM46" s="851" t="str">
        <f>IF('Marks Entry'!AY46="","",IF(OR('Master Sheet'!$D$19="YES",'Marks Entry'!$BA$1=1),'Marks Entry'!AY46,""))</f>
        <v/>
      </c>
      <c r="DN46" s="851" t="str">
        <f>IF('Marks Entry'!AZ46="","",IF(OR('Master Sheet'!$D$19="YES",'Marks Entry'!$BA$1=1),'Marks Entry'!AZ46,""))</f>
        <v/>
      </c>
      <c r="DO46" s="851" t="str">
        <f>IF('Marks Entry'!BA46="","",IF(OR('Master Sheet'!$D$19="YES",'Marks Entry'!$BA$1=1),'Marks Entry'!BA46,""))</f>
        <v/>
      </c>
      <c r="DP46" s="852" t="str">
        <f t="shared" si="112"/>
        <v/>
      </c>
      <c r="DQ46" s="156" t="str">
        <f t="shared" si="113"/>
        <v/>
      </c>
      <c r="DR46" s="156" t="str">
        <f t="shared" si="114"/>
        <v/>
      </c>
      <c r="DS46" s="156" t="str">
        <f t="shared" si="115"/>
        <v/>
      </c>
      <c r="DT46" s="191" t="str">
        <f t="shared" si="116"/>
        <v/>
      </c>
      <c r="DU46" s="152">
        <f t="shared" si="117"/>
        <v>0</v>
      </c>
      <c r="DV46" s="153">
        <f t="shared" si="118"/>
        <v>0</v>
      </c>
      <c r="DW46" s="153" t="str">
        <f t="shared" si="119"/>
        <v/>
      </c>
      <c r="DX46" s="153" t="str">
        <f>IF(OR($B46="NSO",$B46=0,DS46=""),"",IF(AND(DJ46="",DO46=""),"",IF('Master Sheet'!$D$19="YES",$DO$6-COUNTIF(DO46,"ML")*DO$6,DS$6-(COUNTIF(DJ46,"ML")*DJ$6)-(COUNTIF(DO46,"ML")*DO$6))))</f>
        <v/>
      </c>
      <c r="DY46" s="153" t="str">
        <f>IF(OR($B46="NSO",$B46=0),"",IF(AND(DH46="",DI46="",DM46=""),"",IF(AND('Master Sheet'!$D$19="YES",'Marks Entry'!$BA$1=1),100,IF(AND(DJ46="",DO46=""),SUM(($DQ$7+$DR$7)-(DU46+DV46)),SUM(($DQ$6+$DR$6)-(DU46+DV46))))))</f>
        <v/>
      </c>
      <c r="DZ46" s="152" t="str">
        <f t="shared" si="120"/>
        <v/>
      </c>
      <c r="EA46" s="153" t="str">
        <f t="shared" si="121"/>
        <v/>
      </c>
      <c r="EB46" s="152" t="str">
        <f t="shared" si="122"/>
        <v/>
      </c>
      <c r="EC46" s="584" t="str">
        <f>IF('Marks Entry'!BB46="","",'Marks Entry'!BB46)</f>
        <v/>
      </c>
      <c r="ED46" s="584" t="str">
        <f>IF('Marks Entry'!BC46="","",'Marks Entry'!BC46)</f>
        <v/>
      </c>
      <c r="EE46" s="584" t="str">
        <f>IF('Marks Entry'!BD46="","",'Marks Entry'!BD46)</f>
        <v/>
      </c>
      <c r="EF46" s="590" t="str">
        <f t="shared" si="123"/>
        <v/>
      </c>
      <c r="EG46" s="595">
        <f t="shared" si="124"/>
        <v>0</v>
      </c>
      <c r="EH46" s="595">
        <f t="shared" si="125"/>
        <v>0</v>
      </c>
      <c r="EI46" s="192" t="str">
        <f t="shared" si="126"/>
        <v/>
      </c>
      <c r="EJ46" s="595" t="str">
        <f t="shared" si="127"/>
        <v/>
      </c>
      <c r="EK46" s="595" t="str">
        <f t="shared" si="128"/>
        <v/>
      </c>
      <c r="EL46" s="193" t="str">
        <f t="shared" si="129"/>
        <v/>
      </c>
      <c r="EM46" s="193" t="str">
        <f t="shared" si="130"/>
        <v/>
      </c>
      <c r="EN46" s="193" t="str">
        <f t="shared" si="131"/>
        <v/>
      </c>
      <c r="EO46" s="193" t="str">
        <f t="shared" si="132"/>
        <v/>
      </c>
      <c r="EP46" s="193" t="str">
        <f t="shared" si="133"/>
        <v/>
      </c>
      <c r="EQ46" s="193" t="str">
        <f t="shared" si="134"/>
        <v/>
      </c>
      <c r="ER46" s="194">
        <f t="shared" si="135"/>
        <v>0</v>
      </c>
      <c r="ES46" s="194">
        <f t="shared" si="136"/>
        <v>0</v>
      </c>
      <c r="ET46" s="194">
        <f t="shared" si="137"/>
        <v>0</v>
      </c>
      <c r="EU46" s="194">
        <f t="shared" si="138"/>
        <v>0</v>
      </c>
      <c r="EV46" s="194">
        <f t="shared" si="139"/>
        <v>0</v>
      </c>
      <c r="EW46" s="194" t="str">
        <f t="shared" si="140"/>
        <v/>
      </c>
      <c r="EX46" s="195" t="str">
        <f t="shared" si="141"/>
        <v/>
      </c>
      <c r="EY46" s="196" t="str">
        <f>IF('Marks Entry'!BE46="","",'Marks Entry'!BE46)</f>
        <v/>
      </c>
      <c r="EZ46" s="196" t="str">
        <f>IF('Marks Entry'!BF46="","",'Marks Entry'!BF46)</f>
        <v/>
      </c>
      <c r="FA46" s="196" t="str">
        <f>IF('Marks Entry'!BG46="","",'Marks Entry'!BG46)</f>
        <v/>
      </c>
      <c r="FB46" s="596" t="str">
        <f t="shared" si="142"/>
        <v/>
      </c>
      <c r="FC46" s="196" t="str">
        <f>IF('Marks Entry'!BH46="","",'Marks Entry'!BH46)</f>
        <v/>
      </c>
      <c r="FD46" s="196" t="str">
        <f>IF('Marks Entry'!BI46="","",'Marks Entry'!BI46)</f>
        <v/>
      </c>
      <c r="FE46" s="197" t="str">
        <f t="shared" si="143"/>
        <v/>
      </c>
      <c r="FF46" s="198" t="str">
        <f t="shared" si="144"/>
        <v/>
      </c>
      <c r="FG46" s="199" t="str">
        <f>IF(AND(E46=""),"",IF('Student DATA Entry'!L42="","",'Student DATA Entry'!L42))</f>
        <v/>
      </c>
      <c r="FH46" s="200" t="str">
        <f>IF(AND(E46=""),"",IF('Student DATA Entry'!M42="","",'Student DATA Entry'!M42))</f>
        <v/>
      </c>
      <c r="FI46" s="201" t="str">
        <f t="shared" si="145"/>
        <v/>
      </c>
      <c r="FJ46" s="188" t="str">
        <f t="shared" si="146"/>
        <v/>
      </c>
      <c r="FK46" s="188" t="str">
        <f t="shared" si="147"/>
        <v/>
      </c>
      <c r="FL46" s="202" t="str">
        <f t="shared" si="178"/>
        <v/>
      </c>
      <c r="FM46" s="188" t="str">
        <f t="shared" si="148"/>
        <v/>
      </c>
      <c r="FN46" s="203" t="str">
        <f t="shared" si="149"/>
        <v/>
      </c>
      <c r="FO46" s="202" t="str">
        <f t="shared" si="179"/>
        <v/>
      </c>
      <c r="FP46" s="204" t="str">
        <f t="shared" si="150"/>
        <v/>
      </c>
      <c r="FQ46" s="188" t="str">
        <f t="shared" si="180"/>
        <v/>
      </c>
      <c r="FR46" s="188" t="str">
        <f t="shared" si="181"/>
        <v/>
      </c>
      <c r="FS46" s="188" t="str">
        <f t="shared" si="182"/>
        <v/>
      </c>
      <c r="FT46" s="188" t="str">
        <f t="shared" si="183"/>
        <v/>
      </c>
      <c r="FU46" s="188" t="str">
        <f t="shared" si="151"/>
        <v/>
      </c>
      <c r="FV46" s="205" t="str">
        <f t="shared" si="184"/>
        <v/>
      </c>
      <c r="FW46" s="204" t="str">
        <f t="shared" si="152"/>
        <v/>
      </c>
      <c r="FX46" s="188" t="str">
        <f t="shared" si="185"/>
        <v/>
      </c>
      <c r="FY46" s="188" t="str">
        <f t="shared" si="186"/>
        <v/>
      </c>
      <c r="FZ46" s="188" t="str">
        <f t="shared" si="187"/>
        <v/>
      </c>
      <c r="GA46" s="188" t="str">
        <f t="shared" si="188"/>
        <v/>
      </c>
      <c r="GB46" s="188" t="str">
        <f t="shared" si="153"/>
        <v/>
      </c>
      <c r="GC46" s="205" t="str">
        <f t="shared" si="189"/>
        <v/>
      </c>
      <c r="GD46" s="204" t="str">
        <f t="shared" si="154"/>
        <v/>
      </c>
      <c r="GE46" s="188" t="str">
        <f t="shared" si="190"/>
        <v/>
      </c>
      <c r="GF46" s="188" t="str">
        <f t="shared" si="191"/>
        <v/>
      </c>
      <c r="GG46" s="188" t="str">
        <f t="shared" si="192"/>
        <v/>
      </c>
      <c r="GH46" s="188" t="str">
        <f t="shared" si="193"/>
        <v/>
      </c>
      <c r="GI46" s="188" t="str">
        <f t="shared" si="155"/>
        <v/>
      </c>
      <c r="GJ46" s="205" t="str">
        <f t="shared" si="194"/>
        <v/>
      </c>
      <c r="GK46" s="204" t="str">
        <f t="shared" si="156"/>
        <v/>
      </c>
      <c r="GL46" s="188" t="str">
        <f t="shared" si="195"/>
        <v/>
      </c>
      <c r="GM46" s="188" t="str">
        <f t="shared" si="196"/>
        <v/>
      </c>
      <c r="GN46" s="188" t="str">
        <f t="shared" si="197"/>
        <v/>
      </c>
      <c r="GO46" s="188" t="str">
        <f t="shared" si="198"/>
        <v/>
      </c>
      <c r="GP46" s="188" t="str">
        <f t="shared" si="157"/>
        <v/>
      </c>
      <c r="GQ46" s="205" t="str">
        <f t="shared" si="199"/>
        <v/>
      </c>
      <c r="GR46" s="188" t="str">
        <f t="shared" si="158"/>
        <v/>
      </c>
      <c r="GS46" s="188" t="str">
        <f t="shared" si="159"/>
        <v/>
      </c>
      <c r="GT46" s="206" t="str">
        <f t="shared" si="177"/>
        <v xml:space="preserve">    </v>
      </c>
      <c r="GU46" s="206" t="str">
        <f t="shared" si="160"/>
        <v xml:space="preserve">    </v>
      </c>
      <c r="GV46" s="206" t="str">
        <f t="shared" si="161"/>
        <v xml:space="preserve">    </v>
      </c>
      <c r="GW46" s="206" t="str">
        <f t="shared" si="162"/>
        <v xml:space="preserve">       </v>
      </c>
      <c r="GX46" s="598" t="str">
        <f t="shared" si="163"/>
        <v xml:space="preserve">     </v>
      </c>
      <c r="GY46" s="207" t="str">
        <f t="shared" si="200"/>
        <v/>
      </c>
      <c r="GZ46" s="606" t="str">
        <f>IF(AND(Q46="",AE46="",AZ46="",BW46="",CT46=""),"",IF(AND('Master Sheet'!$D$19="YES",'Marks Entry'!$BA$1=1),SUM(Q46,AE46,AZ46,BW46,DT46),SUM(Q46,AE46,AZ46,BW46,CT46)))</f>
        <v/>
      </c>
      <c r="HA46" s="208" t="str">
        <f>IF(GZ46="","",IF(AND('Master Sheet'!$D$19="YES",'Marks Entry'!$BA$1=1),GZ46/((900)-DC46)*100,GZ46/((1000)-DC46)*100))</f>
        <v/>
      </c>
      <c r="HB46" s="611" t="str">
        <f t="shared" si="165"/>
        <v/>
      </c>
      <c r="HC46" s="609" t="str">
        <f t="shared" si="166"/>
        <v/>
      </c>
      <c r="HD46" s="610" t="str">
        <f t="shared" si="167"/>
        <v/>
      </c>
      <c r="HE46" s="209" t="str">
        <f>IFERROR(IF(OR(GY46="SUPPLEMENTARY",GY46="RE-EXAM"),'Supp. Result Entry'!AS45,""),"")</f>
        <v/>
      </c>
      <c r="HF46" s="613" t="str">
        <f t="shared" si="168"/>
        <v/>
      </c>
      <c r="HG46" s="598" t="str">
        <f t="shared" si="169"/>
        <v/>
      </c>
      <c r="HH46" s="598" t="str">
        <f>IF(AND(HE46="",HF46="",HG46=""),"",IF(OR(GY46="SUPPLEMENTARY",GY46="RE-EXAM"),'Supp. Result Entry'!AS45,GY46))</f>
        <v/>
      </c>
      <c r="HI46" s="179"/>
      <c r="HJ46" s="213"/>
      <c r="HY46" s="211" t="str">
        <f>IF('Supp. Result Entry'!U45="","",'Supp. Result Entry'!$U$6)</f>
        <v/>
      </c>
      <c r="HZ46" s="212" t="str">
        <f>IF('Supp. Result Entry'!X45="","",'Supp. Result Entry'!$X$6)</f>
        <v/>
      </c>
      <c r="IA46" s="212" t="str">
        <f>IF('Supp. Result Entry'!AA45="","",'Supp. Result Entry'!$AA$6)</f>
        <v/>
      </c>
      <c r="IB46" s="212" t="str">
        <f>IF('Supp. Result Entry'!AD45="","",'Supp. Result Entry'!$AD$6)</f>
        <v/>
      </c>
      <c r="IC46" s="212" t="str">
        <f>IF('Supp. Result Entry'!AG45="","",'Supp. Result Entry'!$AG$6)</f>
        <v/>
      </c>
      <c r="ID46" s="212" t="str">
        <f>IF('Supp. Result Entry'!AJ45="","",'Supp. Result Entry'!$AJ$6)</f>
        <v/>
      </c>
      <c r="IE46" s="212" t="str">
        <f>IF('Supp. Result Entry'!V45="","",'Supp. Result Entry'!V45)</f>
        <v/>
      </c>
      <c r="IF46" s="212" t="str">
        <f>IF('Supp. Result Entry'!Y45="","",'Supp. Result Entry'!Y45)</f>
        <v/>
      </c>
      <c r="IG46" s="212" t="str">
        <f>IF('Supp. Result Entry'!AB45="","",'Supp. Result Entry'!AB45)</f>
        <v/>
      </c>
      <c r="IH46" s="212" t="str">
        <f>IF('Supp. Result Entry'!AE45="","",'Supp. Result Entry'!AE45)</f>
        <v/>
      </c>
      <c r="II46" s="212" t="str">
        <f>IF('Supp. Result Entry'!AH45="","",'Supp. Result Entry'!AH45)</f>
        <v/>
      </c>
      <c r="IJ46" s="212" t="str">
        <f>IF('Supp. Result Entry'!AK45="","",'Supp. Result Entry'!AK45)</f>
        <v/>
      </c>
      <c r="IK46" s="212" t="str">
        <f>IF('Supp. Result Entry'!W45="","",'Supp. Result Entry'!W45)</f>
        <v/>
      </c>
      <c r="IL46" s="212" t="str">
        <f>IF('Supp. Result Entry'!Z45="","",'Supp. Result Entry'!Z45)</f>
        <v/>
      </c>
      <c r="IM46" s="212" t="str">
        <f>IF('Supp. Result Entry'!AC45="","",'Supp. Result Entry'!AC45)</f>
        <v/>
      </c>
      <c r="IN46" s="212" t="str">
        <f>IF('Supp. Result Entry'!AF45="","",'Supp. Result Entry'!AF45)</f>
        <v/>
      </c>
      <c r="IO46" s="212" t="str">
        <f>IF('Supp. Result Entry'!AI45="","",'Supp. Result Entry'!AI45)</f>
        <v/>
      </c>
      <c r="IP46" s="212" t="str">
        <f>IF('Supp. Result Entry'!AL45="","",'Supp. Result Entry'!AL45)</f>
        <v/>
      </c>
      <c r="IQ46" s="212">
        <f>COUNTIF('Supp. Result Entry'!K45:Q45,"S")</f>
        <v>0</v>
      </c>
      <c r="IR46" s="212">
        <f t="shared" si="170"/>
        <v>0</v>
      </c>
      <c r="IS46" s="212">
        <f t="shared" si="171"/>
        <v>0</v>
      </c>
      <c r="IT46" s="212" t="str">
        <f t="shared" si="41"/>
        <v/>
      </c>
      <c r="IU46" s="212" t="str">
        <f t="shared" si="42"/>
        <v/>
      </c>
      <c r="IV46" s="212" t="str">
        <f t="shared" si="43"/>
        <v/>
      </c>
      <c r="IW46" s="212" t="str">
        <f t="shared" si="44"/>
        <v/>
      </c>
      <c r="IX46" s="212" t="str">
        <f t="shared" si="45"/>
        <v/>
      </c>
      <c r="IY46" s="212" t="str">
        <f t="shared" si="172"/>
        <v/>
      </c>
      <c r="IZ46" s="212" t="str">
        <f t="shared" si="173"/>
        <v/>
      </c>
      <c r="JA46" s="212" t="str">
        <f t="shared" si="46"/>
        <v/>
      </c>
      <c r="JB46" s="210" t="str">
        <f t="shared" si="174"/>
        <v/>
      </c>
    </row>
    <row r="47" spans="1:262" s="210" customFormat="1" ht="21" customHeight="1">
      <c r="A47" s="183">
        <v>40</v>
      </c>
      <c r="B47" s="184" t="str">
        <f>IF('Marks Entry'!B47="","",'Marks Entry'!B47)</f>
        <v/>
      </c>
      <c r="C47" s="185" t="str">
        <f>IF('Marks Entry'!D47="","",'Marks Entry'!D47)</f>
        <v/>
      </c>
      <c r="D47" s="186" t="str">
        <f>IF('Marks Entry'!E47="","",'Marks Entry'!E47)</f>
        <v/>
      </c>
      <c r="E47" s="187" t="str">
        <f>IF('Marks Entry'!F47="","",'Marks Entry'!F47)</f>
        <v/>
      </c>
      <c r="F47" s="187" t="str">
        <f>IF('Marks Entry'!G47="","",'Marks Entry'!G47)</f>
        <v/>
      </c>
      <c r="G47" s="187" t="str">
        <f>IF('Marks Entry'!H47="","",'Marks Entry'!H47)</f>
        <v/>
      </c>
      <c r="H47" s="188" t="str">
        <f>IF('Marks Entry'!I47="","",'Marks Entry'!I47)</f>
        <v/>
      </c>
      <c r="I47" s="189" t="str">
        <f>IF('Marks Entry'!J47="","",'Marks Entry'!J47)</f>
        <v/>
      </c>
      <c r="J47" s="545" t="str">
        <f>IF('Marks Entry'!K47="","",'Marks Entry'!K47)</f>
        <v/>
      </c>
      <c r="K47" s="545" t="str">
        <f>IF('Marks Entry'!L47="","",'Marks Entry'!L47)</f>
        <v/>
      </c>
      <c r="L47" s="545" t="str">
        <f>IF('Marks Entry'!M47="","",'Marks Entry'!M47)</f>
        <v/>
      </c>
      <c r="M47" s="546" t="str">
        <f t="shared" si="47"/>
        <v/>
      </c>
      <c r="N47" s="545" t="str">
        <f>IF('Marks Entry'!N47="","",'Marks Entry'!N47)</f>
        <v/>
      </c>
      <c r="O47" s="546" t="str">
        <f t="shared" si="48"/>
        <v/>
      </c>
      <c r="P47" s="545" t="str">
        <f>IF('Marks Entry'!O47="","",'Marks Entry'!O47)</f>
        <v/>
      </c>
      <c r="Q47" s="547" t="str">
        <f t="shared" si="49"/>
        <v/>
      </c>
      <c r="R47" s="152">
        <f t="shared" si="50"/>
        <v>0</v>
      </c>
      <c r="S47" s="152">
        <f t="shared" si="51"/>
        <v>0</v>
      </c>
      <c r="T47" s="153" t="str">
        <f t="shared" si="52"/>
        <v/>
      </c>
      <c r="U47" s="152" t="str">
        <f t="shared" si="53"/>
        <v/>
      </c>
      <c r="V47" s="152" t="str">
        <f t="shared" si="54"/>
        <v/>
      </c>
      <c r="W47" s="152" t="str">
        <f t="shared" si="55"/>
        <v/>
      </c>
      <c r="X47" s="545" t="str">
        <f>IF('Marks Entry'!P47="","",'Marks Entry'!P47)</f>
        <v/>
      </c>
      <c r="Y47" s="545" t="str">
        <f>IF('Marks Entry'!Q47="","",'Marks Entry'!Q47)</f>
        <v/>
      </c>
      <c r="Z47" s="545" t="str">
        <f>IF('Marks Entry'!R47="","",'Marks Entry'!R47)</f>
        <v/>
      </c>
      <c r="AA47" s="546" t="str">
        <f t="shared" si="56"/>
        <v/>
      </c>
      <c r="AB47" s="545" t="str">
        <f>IF('Marks Entry'!S47="","",'Marks Entry'!S47)</f>
        <v/>
      </c>
      <c r="AC47" s="546" t="str">
        <f t="shared" si="57"/>
        <v/>
      </c>
      <c r="AD47" s="545" t="str">
        <f>IF('Marks Entry'!T47="","",'Marks Entry'!T47)</f>
        <v/>
      </c>
      <c r="AE47" s="547" t="str">
        <f t="shared" si="58"/>
        <v/>
      </c>
      <c r="AF47" s="152">
        <f t="shared" si="59"/>
        <v>0</v>
      </c>
      <c r="AG47" s="152">
        <f t="shared" si="60"/>
        <v>0</v>
      </c>
      <c r="AH47" s="153" t="str">
        <f t="shared" si="61"/>
        <v/>
      </c>
      <c r="AI47" s="152" t="str">
        <f t="shared" si="62"/>
        <v/>
      </c>
      <c r="AJ47" s="152" t="str">
        <f t="shared" si="63"/>
        <v/>
      </c>
      <c r="AK47" s="152" t="str">
        <f t="shared" si="64"/>
        <v/>
      </c>
      <c r="AL47" s="573" t="str">
        <f>IF('Marks Entry'!U47="","",'Marks Entry'!U47)</f>
        <v/>
      </c>
      <c r="AM47" s="573" t="str">
        <f>IF('Marks Entry'!V47="","",'Marks Entry'!V47)</f>
        <v/>
      </c>
      <c r="AN47" s="573" t="str">
        <f>IF('Marks Entry'!W47="","",'Marks Entry'!W47)</f>
        <v/>
      </c>
      <c r="AO47" s="573" t="str">
        <f>IF('Marks Entry'!X47="","",'Marks Entry'!X47)</f>
        <v/>
      </c>
      <c r="AP47" s="572" t="str">
        <f t="shared" si="65"/>
        <v/>
      </c>
      <c r="AQ47" s="573" t="str">
        <f>IF('Marks Entry'!Y47="","",'Marks Entry'!Y47)</f>
        <v/>
      </c>
      <c r="AR47" s="573" t="str">
        <f>IF('Marks Entry'!Z47="","",'Marks Entry'!Z47)</f>
        <v/>
      </c>
      <c r="AS47" s="572" t="str">
        <f t="shared" si="66"/>
        <v/>
      </c>
      <c r="AT47" s="572" t="str">
        <f t="shared" si="67"/>
        <v/>
      </c>
      <c r="AU47" s="573" t="str">
        <f>IF('Marks Entry'!AA47="","",'Marks Entry'!AA47)</f>
        <v/>
      </c>
      <c r="AV47" s="573" t="str">
        <f>IF('Marks Entry'!AB47="","",'Marks Entry'!AB47)</f>
        <v/>
      </c>
      <c r="AW47" s="572" t="str">
        <f t="shared" si="68"/>
        <v/>
      </c>
      <c r="AX47" s="156" t="str">
        <f t="shared" si="69"/>
        <v/>
      </c>
      <c r="AY47" s="156" t="str">
        <f t="shared" si="70"/>
        <v/>
      </c>
      <c r="AZ47" s="191" t="str">
        <f t="shared" si="71"/>
        <v/>
      </c>
      <c r="BA47" s="152">
        <f t="shared" si="72"/>
        <v>0</v>
      </c>
      <c r="BB47" s="153">
        <f t="shared" si="73"/>
        <v>0</v>
      </c>
      <c r="BC47" s="153" t="str">
        <f t="shared" si="74"/>
        <v/>
      </c>
      <c r="BD47" s="153" t="str">
        <f t="shared" si="75"/>
        <v/>
      </c>
      <c r="BE47" s="153" t="str">
        <f t="shared" si="76"/>
        <v/>
      </c>
      <c r="BF47" s="152" t="str">
        <f t="shared" si="77"/>
        <v/>
      </c>
      <c r="BG47" s="153" t="str">
        <f t="shared" si="175"/>
        <v/>
      </c>
      <c r="BH47" s="152" t="str">
        <f t="shared" si="78"/>
        <v/>
      </c>
      <c r="BI47" s="580" t="str">
        <f>IF('Marks Entry'!AC47="","",'Marks Entry'!AC47)</f>
        <v/>
      </c>
      <c r="BJ47" s="580" t="str">
        <f>IF('Marks Entry'!AD47="","",'Marks Entry'!AD47)</f>
        <v/>
      </c>
      <c r="BK47" s="580" t="str">
        <f>IF('Marks Entry'!AE47="","",'Marks Entry'!AE47)</f>
        <v/>
      </c>
      <c r="BL47" s="580" t="str">
        <f>IF('Marks Entry'!AF47="","",'Marks Entry'!AF47)</f>
        <v/>
      </c>
      <c r="BM47" s="581" t="str">
        <f t="shared" si="79"/>
        <v/>
      </c>
      <c r="BN47" s="580" t="str">
        <f>IF('Marks Entry'!AG47="","",'Marks Entry'!AG47)</f>
        <v/>
      </c>
      <c r="BO47" s="580" t="str">
        <f>IF('Marks Entry'!AH47="","",'Marks Entry'!AH47)</f>
        <v/>
      </c>
      <c r="BP47" s="581" t="str">
        <f t="shared" si="80"/>
        <v/>
      </c>
      <c r="BQ47" s="581" t="str">
        <f t="shared" si="81"/>
        <v/>
      </c>
      <c r="BR47" s="580" t="str">
        <f>IF('Marks Entry'!AI47="","",'Marks Entry'!AI47)</f>
        <v/>
      </c>
      <c r="BS47" s="580" t="str">
        <f>IF('Marks Entry'!AJ47="","",'Marks Entry'!AJ47)</f>
        <v/>
      </c>
      <c r="BT47" s="581" t="str">
        <f t="shared" si="82"/>
        <v/>
      </c>
      <c r="BU47" s="156" t="str">
        <f t="shared" si="83"/>
        <v/>
      </c>
      <c r="BV47" s="156" t="str">
        <f t="shared" si="84"/>
        <v/>
      </c>
      <c r="BW47" s="191" t="str">
        <f t="shared" si="85"/>
        <v/>
      </c>
      <c r="BX47" s="152">
        <f t="shared" si="86"/>
        <v>0</v>
      </c>
      <c r="BY47" s="153">
        <f t="shared" si="87"/>
        <v>0</v>
      </c>
      <c r="BZ47" s="153" t="str">
        <f t="shared" si="88"/>
        <v/>
      </c>
      <c r="CA47" s="153" t="str">
        <f t="shared" si="89"/>
        <v/>
      </c>
      <c r="CB47" s="153" t="str">
        <f t="shared" si="90"/>
        <v/>
      </c>
      <c r="CC47" s="152" t="str">
        <f t="shared" si="91"/>
        <v/>
      </c>
      <c r="CD47" s="153" t="str">
        <f t="shared" si="92"/>
        <v/>
      </c>
      <c r="CE47" s="152" t="str">
        <f t="shared" si="93"/>
        <v/>
      </c>
      <c r="CF47" s="580" t="str">
        <f>IF('Marks Entry'!AK47="","",'Marks Entry'!AK47)</f>
        <v/>
      </c>
      <c r="CG47" s="580" t="str">
        <f>IF('Marks Entry'!AL47="","",'Marks Entry'!AL47)</f>
        <v/>
      </c>
      <c r="CH47" s="580" t="str">
        <f>IF('Marks Entry'!AM47="","",'Marks Entry'!AM47)</f>
        <v/>
      </c>
      <c r="CI47" s="580" t="str">
        <f>IF('Marks Entry'!AN47="","",'Marks Entry'!AN47)</f>
        <v/>
      </c>
      <c r="CJ47" s="581" t="str">
        <f t="shared" si="94"/>
        <v/>
      </c>
      <c r="CK47" s="580" t="str">
        <f>IF('Marks Entry'!AO47="","",'Marks Entry'!AO47)</f>
        <v/>
      </c>
      <c r="CL47" s="580" t="str">
        <f>IF('Marks Entry'!AP47="","",'Marks Entry'!AP47)</f>
        <v/>
      </c>
      <c r="CM47" s="581" t="str">
        <f t="shared" si="95"/>
        <v/>
      </c>
      <c r="CN47" s="581" t="str">
        <f t="shared" si="96"/>
        <v/>
      </c>
      <c r="CO47" s="580" t="str">
        <f>IF('Marks Entry'!AQ47="","",'Marks Entry'!AQ47)</f>
        <v/>
      </c>
      <c r="CP47" s="580" t="str">
        <f>IF('Marks Entry'!AR47="","",'Marks Entry'!AR47)</f>
        <v/>
      </c>
      <c r="CQ47" s="581" t="str">
        <f t="shared" si="97"/>
        <v/>
      </c>
      <c r="CR47" s="156" t="str">
        <f t="shared" si="98"/>
        <v/>
      </c>
      <c r="CS47" s="156" t="str">
        <f t="shared" si="99"/>
        <v/>
      </c>
      <c r="CT47" s="191" t="str">
        <f t="shared" si="100"/>
        <v/>
      </c>
      <c r="CU47" s="152">
        <f t="shared" si="101"/>
        <v>0</v>
      </c>
      <c r="CV47" s="153">
        <f t="shared" si="102"/>
        <v>0</v>
      </c>
      <c r="CW47" s="153" t="str">
        <f t="shared" si="103"/>
        <v/>
      </c>
      <c r="CX47" s="153" t="str">
        <f t="shared" si="104"/>
        <v/>
      </c>
      <c r="CY47" s="153" t="str">
        <f t="shared" si="176"/>
        <v/>
      </c>
      <c r="CZ47" s="152" t="str">
        <f t="shared" si="105"/>
        <v/>
      </c>
      <c r="DA47" s="153" t="str">
        <f t="shared" si="106"/>
        <v/>
      </c>
      <c r="DB47" s="152" t="str">
        <f t="shared" si="107"/>
        <v/>
      </c>
      <c r="DC47" s="153">
        <f t="shared" si="108"/>
        <v>0</v>
      </c>
      <c r="DD47" s="851" t="str">
        <f>IF('Marks Entry'!AS47="","",IF(OR('Master Sheet'!$D$19="YES",'Marks Entry'!$BA$1=1),'Marks Entry'!AS47,""))</f>
        <v/>
      </c>
      <c r="DE47" s="851" t="str">
        <f>IF('Marks Entry'!AT47="","",IF(OR('Master Sheet'!$D$19="YES",'Marks Entry'!$BA$1=1),'Marks Entry'!AT47,""))</f>
        <v/>
      </c>
      <c r="DF47" s="851" t="str">
        <f>IF('Marks Entry'!AU47="","",IF(OR('Master Sheet'!$D$19="YES",'Marks Entry'!$BA$1=1),'Marks Entry'!AU47,""))</f>
        <v/>
      </c>
      <c r="DG47" s="851" t="str">
        <f>IF('Marks Entry'!AV47="","",IF(OR('Master Sheet'!$D$19="YES",'Marks Entry'!$BA$1=1),'Marks Entry'!AV47,""))</f>
        <v/>
      </c>
      <c r="DH47" s="852" t="str">
        <f t="shared" si="109"/>
        <v/>
      </c>
      <c r="DI47" s="851" t="str">
        <f>IF('Marks Entry'!AW47="","",IF(OR('Master Sheet'!$D$19="YES",'Marks Entry'!$BA$1=1),'Marks Entry'!AW47,""))</f>
        <v/>
      </c>
      <c r="DJ47" s="851" t="str">
        <f>IF('Marks Entry'!AX47="","",IF(OR('Master Sheet'!$D$19="YES",'Marks Entry'!$BA$1=1),'Marks Entry'!AX47,""))</f>
        <v/>
      </c>
      <c r="DK47" s="852" t="str">
        <f t="shared" si="110"/>
        <v/>
      </c>
      <c r="DL47" s="852" t="str">
        <f t="shared" si="111"/>
        <v/>
      </c>
      <c r="DM47" s="851" t="str">
        <f>IF('Marks Entry'!AY47="","",IF(OR('Master Sheet'!$D$19="YES",'Marks Entry'!$BA$1=1),'Marks Entry'!AY47,""))</f>
        <v/>
      </c>
      <c r="DN47" s="851" t="str">
        <f>IF('Marks Entry'!AZ47="","",IF(OR('Master Sheet'!$D$19="YES",'Marks Entry'!$BA$1=1),'Marks Entry'!AZ47,""))</f>
        <v/>
      </c>
      <c r="DO47" s="851" t="str">
        <f>IF('Marks Entry'!BA47="","",IF(OR('Master Sheet'!$D$19="YES",'Marks Entry'!$BA$1=1),'Marks Entry'!BA47,""))</f>
        <v/>
      </c>
      <c r="DP47" s="852" t="str">
        <f t="shared" si="112"/>
        <v/>
      </c>
      <c r="DQ47" s="156" t="str">
        <f t="shared" si="113"/>
        <v/>
      </c>
      <c r="DR47" s="156" t="str">
        <f t="shared" si="114"/>
        <v/>
      </c>
      <c r="DS47" s="156" t="str">
        <f t="shared" si="115"/>
        <v/>
      </c>
      <c r="DT47" s="191" t="str">
        <f t="shared" si="116"/>
        <v/>
      </c>
      <c r="DU47" s="152">
        <f t="shared" si="117"/>
        <v>0</v>
      </c>
      <c r="DV47" s="153">
        <f t="shared" si="118"/>
        <v>0</v>
      </c>
      <c r="DW47" s="153" t="str">
        <f t="shared" si="119"/>
        <v/>
      </c>
      <c r="DX47" s="153" t="str">
        <f>IF(OR($B47="NSO",$B47=0,DS47=""),"",IF(AND(DJ47="",DO47=""),"",IF('Master Sheet'!$D$19="YES",$DO$6-COUNTIF(DO47,"ML")*DO$6,DS$6-(COUNTIF(DJ47,"ML")*DJ$6)-(COUNTIF(DO47,"ML")*DO$6))))</f>
        <v/>
      </c>
      <c r="DY47" s="153" t="str">
        <f>IF(OR($B47="NSO",$B47=0),"",IF(AND(DH47="",DI47="",DM47=""),"",IF(AND('Master Sheet'!$D$19="YES",'Marks Entry'!$BA$1=1),100,IF(AND(DJ47="",DO47=""),SUM(($DQ$7+$DR$7)-(DU47+DV47)),SUM(($DQ$6+$DR$6)-(DU47+DV47))))))</f>
        <v/>
      </c>
      <c r="DZ47" s="152" t="str">
        <f t="shared" si="120"/>
        <v/>
      </c>
      <c r="EA47" s="153" t="str">
        <f t="shared" si="121"/>
        <v/>
      </c>
      <c r="EB47" s="152" t="str">
        <f t="shared" si="122"/>
        <v/>
      </c>
      <c r="EC47" s="584" t="str">
        <f>IF('Marks Entry'!BB47="","",'Marks Entry'!BB47)</f>
        <v/>
      </c>
      <c r="ED47" s="584" t="str">
        <f>IF('Marks Entry'!BC47="","",'Marks Entry'!BC47)</f>
        <v/>
      </c>
      <c r="EE47" s="584" t="str">
        <f>IF('Marks Entry'!BD47="","",'Marks Entry'!BD47)</f>
        <v/>
      </c>
      <c r="EF47" s="590" t="str">
        <f t="shared" si="123"/>
        <v/>
      </c>
      <c r="EG47" s="595">
        <f t="shared" si="124"/>
        <v>0</v>
      </c>
      <c r="EH47" s="595">
        <f t="shared" si="125"/>
        <v>0</v>
      </c>
      <c r="EI47" s="192" t="str">
        <f t="shared" si="126"/>
        <v/>
      </c>
      <c r="EJ47" s="595" t="str">
        <f t="shared" si="127"/>
        <v/>
      </c>
      <c r="EK47" s="595" t="str">
        <f t="shared" si="128"/>
        <v/>
      </c>
      <c r="EL47" s="193" t="str">
        <f t="shared" si="129"/>
        <v/>
      </c>
      <c r="EM47" s="193" t="str">
        <f t="shared" si="130"/>
        <v/>
      </c>
      <c r="EN47" s="193" t="str">
        <f t="shared" si="131"/>
        <v/>
      </c>
      <c r="EO47" s="193" t="str">
        <f t="shared" si="132"/>
        <v/>
      </c>
      <c r="EP47" s="193" t="str">
        <f t="shared" si="133"/>
        <v/>
      </c>
      <c r="EQ47" s="193" t="str">
        <f t="shared" si="134"/>
        <v/>
      </c>
      <c r="ER47" s="194">
        <f t="shared" si="135"/>
        <v>0</v>
      </c>
      <c r="ES47" s="194">
        <f t="shared" si="136"/>
        <v>0</v>
      </c>
      <c r="ET47" s="194">
        <f t="shared" si="137"/>
        <v>0</v>
      </c>
      <c r="EU47" s="194">
        <f t="shared" si="138"/>
        <v>0</v>
      </c>
      <c r="EV47" s="194">
        <f t="shared" si="139"/>
        <v>0</v>
      </c>
      <c r="EW47" s="194" t="str">
        <f t="shared" si="140"/>
        <v/>
      </c>
      <c r="EX47" s="195" t="str">
        <f t="shared" si="141"/>
        <v/>
      </c>
      <c r="EY47" s="196" t="str">
        <f>IF('Marks Entry'!BE47="","",'Marks Entry'!BE47)</f>
        <v/>
      </c>
      <c r="EZ47" s="196" t="str">
        <f>IF('Marks Entry'!BF47="","",'Marks Entry'!BF47)</f>
        <v/>
      </c>
      <c r="FA47" s="196" t="str">
        <f>IF('Marks Entry'!BG47="","",'Marks Entry'!BG47)</f>
        <v/>
      </c>
      <c r="FB47" s="596" t="str">
        <f t="shared" si="142"/>
        <v/>
      </c>
      <c r="FC47" s="196" t="str">
        <f>IF('Marks Entry'!BH47="","",'Marks Entry'!BH47)</f>
        <v/>
      </c>
      <c r="FD47" s="196" t="str">
        <f>IF('Marks Entry'!BI47="","",'Marks Entry'!BI47)</f>
        <v/>
      </c>
      <c r="FE47" s="197" t="str">
        <f t="shared" si="143"/>
        <v/>
      </c>
      <c r="FF47" s="198" t="str">
        <f t="shared" si="144"/>
        <v/>
      </c>
      <c r="FG47" s="199" t="str">
        <f>IF(AND(E47=""),"",IF('Student DATA Entry'!L43="","",'Student DATA Entry'!L43))</f>
        <v/>
      </c>
      <c r="FH47" s="200" t="str">
        <f>IF(AND(E47=""),"",IF('Student DATA Entry'!M43="","",'Student DATA Entry'!M43))</f>
        <v/>
      </c>
      <c r="FI47" s="201" t="str">
        <f t="shared" si="145"/>
        <v/>
      </c>
      <c r="FJ47" s="188" t="str">
        <f t="shared" si="146"/>
        <v/>
      </c>
      <c r="FK47" s="188" t="str">
        <f t="shared" si="147"/>
        <v/>
      </c>
      <c r="FL47" s="202" t="str">
        <f t="shared" si="178"/>
        <v/>
      </c>
      <c r="FM47" s="188" t="str">
        <f t="shared" si="148"/>
        <v/>
      </c>
      <c r="FN47" s="203" t="str">
        <f t="shared" si="149"/>
        <v/>
      </c>
      <c r="FO47" s="202" t="str">
        <f t="shared" si="179"/>
        <v/>
      </c>
      <c r="FP47" s="204" t="str">
        <f t="shared" si="150"/>
        <v/>
      </c>
      <c r="FQ47" s="188" t="str">
        <f t="shared" si="180"/>
        <v/>
      </c>
      <c r="FR47" s="188" t="str">
        <f t="shared" si="181"/>
        <v/>
      </c>
      <c r="FS47" s="188" t="str">
        <f t="shared" si="182"/>
        <v/>
      </c>
      <c r="FT47" s="188" t="str">
        <f t="shared" si="183"/>
        <v/>
      </c>
      <c r="FU47" s="188" t="str">
        <f t="shared" si="151"/>
        <v/>
      </c>
      <c r="FV47" s="205" t="str">
        <f t="shared" si="184"/>
        <v/>
      </c>
      <c r="FW47" s="204" t="str">
        <f t="shared" si="152"/>
        <v/>
      </c>
      <c r="FX47" s="188" t="str">
        <f t="shared" si="185"/>
        <v/>
      </c>
      <c r="FY47" s="188" t="str">
        <f t="shared" si="186"/>
        <v/>
      </c>
      <c r="FZ47" s="188" t="str">
        <f t="shared" si="187"/>
        <v/>
      </c>
      <c r="GA47" s="188" t="str">
        <f t="shared" si="188"/>
        <v/>
      </c>
      <c r="GB47" s="188" t="str">
        <f t="shared" si="153"/>
        <v/>
      </c>
      <c r="GC47" s="205" t="str">
        <f t="shared" si="189"/>
        <v/>
      </c>
      <c r="GD47" s="204" t="str">
        <f t="shared" si="154"/>
        <v/>
      </c>
      <c r="GE47" s="188" t="str">
        <f t="shared" si="190"/>
        <v/>
      </c>
      <c r="GF47" s="188" t="str">
        <f t="shared" si="191"/>
        <v/>
      </c>
      <c r="GG47" s="188" t="str">
        <f t="shared" si="192"/>
        <v/>
      </c>
      <c r="GH47" s="188" t="str">
        <f t="shared" si="193"/>
        <v/>
      </c>
      <c r="GI47" s="188" t="str">
        <f t="shared" si="155"/>
        <v/>
      </c>
      <c r="GJ47" s="205" t="str">
        <f t="shared" si="194"/>
        <v/>
      </c>
      <c r="GK47" s="204" t="str">
        <f t="shared" si="156"/>
        <v/>
      </c>
      <c r="GL47" s="188" t="str">
        <f t="shared" si="195"/>
        <v/>
      </c>
      <c r="GM47" s="188" t="str">
        <f t="shared" si="196"/>
        <v/>
      </c>
      <c r="GN47" s="188" t="str">
        <f t="shared" si="197"/>
        <v/>
      </c>
      <c r="GO47" s="188" t="str">
        <f t="shared" si="198"/>
        <v/>
      </c>
      <c r="GP47" s="188" t="str">
        <f t="shared" si="157"/>
        <v/>
      </c>
      <c r="GQ47" s="205" t="str">
        <f t="shared" si="199"/>
        <v/>
      </c>
      <c r="GR47" s="188" t="str">
        <f t="shared" si="158"/>
        <v/>
      </c>
      <c r="GS47" s="188" t="str">
        <f t="shared" si="159"/>
        <v/>
      </c>
      <c r="GT47" s="206" t="str">
        <f t="shared" si="177"/>
        <v xml:space="preserve">    </v>
      </c>
      <c r="GU47" s="206" t="str">
        <f t="shared" si="160"/>
        <v xml:space="preserve">    </v>
      </c>
      <c r="GV47" s="206" t="str">
        <f t="shared" si="161"/>
        <v xml:space="preserve">    </v>
      </c>
      <c r="GW47" s="206" t="str">
        <f t="shared" si="162"/>
        <v xml:space="preserve">       </v>
      </c>
      <c r="GX47" s="598" t="str">
        <f t="shared" si="163"/>
        <v xml:space="preserve">     </v>
      </c>
      <c r="GY47" s="207" t="str">
        <f t="shared" si="200"/>
        <v/>
      </c>
      <c r="GZ47" s="606" t="str">
        <f>IF(AND(Q47="",AE47="",AZ47="",BW47="",CT47=""),"",IF(AND('Master Sheet'!$D$19="YES",'Marks Entry'!$BA$1=1),SUM(Q47,AE47,AZ47,BW47,DT47),SUM(Q47,AE47,AZ47,BW47,CT47)))</f>
        <v/>
      </c>
      <c r="HA47" s="208" t="str">
        <f>IF(GZ47="","",IF(AND('Master Sheet'!$D$19="YES",'Marks Entry'!$BA$1=1),GZ47/((900)-DC47)*100,GZ47/((1000)-DC47)*100))</f>
        <v/>
      </c>
      <c r="HB47" s="611" t="str">
        <f t="shared" si="165"/>
        <v/>
      </c>
      <c r="HC47" s="609" t="str">
        <f t="shared" si="166"/>
        <v/>
      </c>
      <c r="HD47" s="610" t="str">
        <f t="shared" si="167"/>
        <v/>
      </c>
      <c r="HE47" s="209" t="str">
        <f>IFERROR(IF(OR(GY47="SUPPLEMENTARY",GY47="RE-EXAM"),'Supp. Result Entry'!AS46,""),"")</f>
        <v/>
      </c>
      <c r="HF47" s="613" t="str">
        <f t="shared" si="168"/>
        <v/>
      </c>
      <c r="HG47" s="598" t="str">
        <f t="shared" si="169"/>
        <v/>
      </c>
      <c r="HH47" s="598" t="str">
        <f>IF(AND(HE47="",HF47="",HG47=""),"",IF(OR(GY47="SUPPLEMENTARY",GY47="RE-EXAM"),'Supp. Result Entry'!AS46,GY47))</f>
        <v/>
      </c>
      <c r="HI47" s="179"/>
      <c r="HJ47" s="213"/>
      <c r="HY47" s="211" t="str">
        <f>IF('Supp. Result Entry'!U46="","",'Supp. Result Entry'!$U$6)</f>
        <v/>
      </c>
      <c r="HZ47" s="212" t="str">
        <f>IF('Supp. Result Entry'!X46="","",'Supp. Result Entry'!$X$6)</f>
        <v/>
      </c>
      <c r="IA47" s="212" t="str">
        <f>IF('Supp. Result Entry'!AA46="","",'Supp. Result Entry'!$AA$6)</f>
        <v/>
      </c>
      <c r="IB47" s="212" t="str">
        <f>IF('Supp. Result Entry'!AD46="","",'Supp. Result Entry'!$AD$6)</f>
        <v/>
      </c>
      <c r="IC47" s="212" t="str">
        <f>IF('Supp. Result Entry'!AG46="","",'Supp. Result Entry'!$AG$6)</f>
        <v/>
      </c>
      <c r="ID47" s="212" t="str">
        <f>IF('Supp. Result Entry'!AJ46="","",'Supp. Result Entry'!$AJ$6)</f>
        <v/>
      </c>
      <c r="IE47" s="212" t="str">
        <f>IF('Supp. Result Entry'!V46="","",'Supp. Result Entry'!V46)</f>
        <v/>
      </c>
      <c r="IF47" s="212" t="str">
        <f>IF('Supp. Result Entry'!Y46="","",'Supp. Result Entry'!Y46)</f>
        <v/>
      </c>
      <c r="IG47" s="212" t="str">
        <f>IF('Supp. Result Entry'!AB46="","",'Supp. Result Entry'!AB46)</f>
        <v/>
      </c>
      <c r="IH47" s="212" t="str">
        <f>IF('Supp. Result Entry'!AE46="","",'Supp. Result Entry'!AE46)</f>
        <v/>
      </c>
      <c r="II47" s="212" t="str">
        <f>IF('Supp. Result Entry'!AH46="","",'Supp. Result Entry'!AH46)</f>
        <v/>
      </c>
      <c r="IJ47" s="212" t="str">
        <f>IF('Supp. Result Entry'!AK46="","",'Supp. Result Entry'!AK46)</f>
        <v/>
      </c>
      <c r="IK47" s="212" t="str">
        <f>IF('Supp. Result Entry'!W46="","",'Supp. Result Entry'!W46)</f>
        <v/>
      </c>
      <c r="IL47" s="212" t="str">
        <f>IF('Supp. Result Entry'!Z46="","",'Supp. Result Entry'!Z46)</f>
        <v/>
      </c>
      <c r="IM47" s="212" t="str">
        <f>IF('Supp. Result Entry'!AC46="","",'Supp. Result Entry'!AC46)</f>
        <v/>
      </c>
      <c r="IN47" s="212" t="str">
        <f>IF('Supp. Result Entry'!AF46="","",'Supp. Result Entry'!AF46)</f>
        <v/>
      </c>
      <c r="IO47" s="212" t="str">
        <f>IF('Supp. Result Entry'!AI46="","",'Supp. Result Entry'!AI46)</f>
        <v/>
      </c>
      <c r="IP47" s="212" t="str">
        <f>IF('Supp. Result Entry'!AL46="","",'Supp. Result Entry'!AL46)</f>
        <v/>
      </c>
      <c r="IQ47" s="212">
        <f>COUNTIF('Supp. Result Entry'!K46:Q46,"S")</f>
        <v>0</v>
      </c>
      <c r="IR47" s="212">
        <f t="shared" si="170"/>
        <v>0</v>
      </c>
      <c r="IS47" s="212">
        <f t="shared" si="171"/>
        <v>0</v>
      </c>
      <c r="IT47" s="212" t="str">
        <f t="shared" si="41"/>
        <v/>
      </c>
      <c r="IU47" s="212" t="str">
        <f t="shared" si="42"/>
        <v/>
      </c>
      <c r="IV47" s="212" t="str">
        <f t="shared" si="43"/>
        <v/>
      </c>
      <c r="IW47" s="212" t="str">
        <f t="shared" si="44"/>
        <v/>
      </c>
      <c r="IX47" s="212" t="str">
        <f t="shared" si="45"/>
        <v/>
      </c>
      <c r="IY47" s="212" t="str">
        <f t="shared" si="172"/>
        <v/>
      </c>
      <c r="IZ47" s="212" t="str">
        <f t="shared" si="173"/>
        <v/>
      </c>
      <c r="JA47" s="212" t="str">
        <f t="shared" si="46"/>
        <v/>
      </c>
      <c r="JB47" s="210" t="str">
        <f t="shared" si="174"/>
        <v/>
      </c>
    </row>
    <row r="48" spans="1:262" s="210" customFormat="1" ht="21" customHeight="1">
      <c r="A48" s="183">
        <v>41</v>
      </c>
      <c r="B48" s="184" t="str">
        <f>IF('Marks Entry'!B48="","",'Marks Entry'!B48)</f>
        <v/>
      </c>
      <c r="C48" s="185" t="str">
        <f>IF('Marks Entry'!D48="","",'Marks Entry'!D48)</f>
        <v/>
      </c>
      <c r="D48" s="186" t="str">
        <f>IF('Marks Entry'!E48="","",'Marks Entry'!E48)</f>
        <v/>
      </c>
      <c r="E48" s="187" t="str">
        <f>IF('Marks Entry'!F48="","",'Marks Entry'!F48)</f>
        <v/>
      </c>
      <c r="F48" s="187" t="str">
        <f>IF('Marks Entry'!G48="","",'Marks Entry'!G48)</f>
        <v/>
      </c>
      <c r="G48" s="187" t="str">
        <f>IF('Marks Entry'!H48="","",'Marks Entry'!H48)</f>
        <v/>
      </c>
      <c r="H48" s="188" t="str">
        <f>IF('Marks Entry'!I48="","",'Marks Entry'!I48)</f>
        <v/>
      </c>
      <c r="I48" s="189" t="str">
        <f>IF('Marks Entry'!J48="","",'Marks Entry'!J48)</f>
        <v/>
      </c>
      <c r="J48" s="545" t="str">
        <f>IF('Marks Entry'!K48="","",'Marks Entry'!K48)</f>
        <v/>
      </c>
      <c r="K48" s="545" t="str">
        <f>IF('Marks Entry'!L48="","",'Marks Entry'!L48)</f>
        <v/>
      </c>
      <c r="L48" s="545" t="str">
        <f>IF('Marks Entry'!M48="","",'Marks Entry'!M48)</f>
        <v/>
      </c>
      <c r="M48" s="546" t="str">
        <f t="shared" si="47"/>
        <v/>
      </c>
      <c r="N48" s="545" t="str">
        <f>IF('Marks Entry'!N48="","",'Marks Entry'!N48)</f>
        <v/>
      </c>
      <c r="O48" s="546" t="str">
        <f t="shared" si="48"/>
        <v/>
      </c>
      <c r="P48" s="545" t="str">
        <f>IF('Marks Entry'!O48="","",'Marks Entry'!O48)</f>
        <v/>
      </c>
      <c r="Q48" s="547" t="str">
        <f t="shared" si="49"/>
        <v/>
      </c>
      <c r="R48" s="152">
        <f t="shared" si="50"/>
        <v>0</v>
      </c>
      <c r="S48" s="152">
        <f t="shared" si="51"/>
        <v>0</v>
      </c>
      <c r="T48" s="153" t="str">
        <f t="shared" si="52"/>
        <v/>
      </c>
      <c r="U48" s="152" t="str">
        <f t="shared" si="53"/>
        <v/>
      </c>
      <c r="V48" s="152" t="str">
        <f t="shared" si="54"/>
        <v/>
      </c>
      <c r="W48" s="152" t="str">
        <f t="shared" si="55"/>
        <v/>
      </c>
      <c r="X48" s="545" t="str">
        <f>IF('Marks Entry'!P48="","",'Marks Entry'!P48)</f>
        <v/>
      </c>
      <c r="Y48" s="545" t="str">
        <f>IF('Marks Entry'!Q48="","",'Marks Entry'!Q48)</f>
        <v/>
      </c>
      <c r="Z48" s="545" t="str">
        <f>IF('Marks Entry'!R48="","",'Marks Entry'!R48)</f>
        <v/>
      </c>
      <c r="AA48" s="546" t="str">
        <f t="shared" si="56"/>
        <v/>
      </c>
      <c r="AB48" s="545" t="str">
        <f>IF('Marks Entry'!S48="","",'Marks Entry'!S48)</f>
        <v/>
      </c>
      <c r="AC48" s="546" t="str">
        <f t="shared" si="57"/>
        <v/>
      </c>
      <c r="AD48" s="545" t="str">
        <f>IF('Marks Entry'!T48="","",'Marks Entry'!T48)</f>
        <v/>
      </c>
      <c r="AE48" s="547" t="str">
        <f t="shared" si="58"/>
        <v/>
      </c>
      <c r="AF48" s="152">
        <f t="shared" si="59"/>
        <v>0</v>
      </c>
      <c r="AG48" s="152">
        <f t="shared" si="60"/>
        <v>0</v>
      </c>
      <c r="AH48" s="153" t="str">
        <f t="shared" si="61"/>
        <v/>
      </c>
      <c r="AI48" s="152" t="str">
        <f t="shared" si="62"/>
        <v/>
      </c>
      <c r="AJ48" s="152" t="str">
        <f t="shared" si="63"/>
        <v/>
      </c>
      <c r="AK48" s="152" t="str">
        <f t="shared" si="64"/>
        <v/>
      </c>
      <c r="AL48" s="573" t="str">
        <f>IF('Marks Entry'!U48="","",'Marks Entry'!U48)</f>
        <v/>
      </c>
      <c r="AM48" s="573" t="str">
        <f>IF('Marks Entry'!V48="","",'Marks Entry'!V48)</f>
        <v/>
      </c>
      <c r="AN48" s="573" t="str">
        <f>IF('Marks Entry'!W48="","",'Marks Entry'!W48)</f>
        <v/>
      </c>
      <c r="AO48" s="573" t="str">
        <f>IF('Marks Entry'!X48="","",'Marks Entry'!X48)</f>
        <v/>
      </c>
      <c r="AP48" s="572" t="str">
        <f t="shared" si="65"/>
        <v/>
      </c>
      <c r="AQ48" s="573" t="str">
        <f>IF('Marks Entry'!Y48="","",'Marks Entry'!Y48)</f>
        <v/>
      </c>
      <c r="AR48" s="573" t="str">
        <f>IF('Marks Entry'!Z48="","",'Marks Entry'!Z48)</f>
        <v/>
      </c>
      <c r="AS48" s="572" t="str">
        <f t="shared" si="66"/>
        <v/>
      </c>
      <c r="AT48" s="572" t="str">
        <f t="shared" si="67"/>
        <v/>
      </c>
      <c r="AU48" s="573" t="str">
        <f>IF('Marks Entry'!AA48="","",'Marks Entry'!AA48)</f>
        <v/>
      </c>
      <c r="AV48" s="573" t="str">
        <f>IF('Marks Entry'!AB48="","",'Marks Entry'!AB48)</f>
        <v/>
      </c>
      <c r="AW48" s="572" t="str">
        <f t="shared" si="68"/>
        <v/>
      </c>
      <c r="AX48" s="156" t="str">
        <f t="shared" si="69"/>
        <v/>
      </c>
      <c r="AY48" s="156" t="str">
        <f t="shared" si="70"/>
        <v/>
      </c>
      <c r="AZ48" s="191" t="str">
        <f t="shared" si="71"/>
        <v/>
      </c>
      <c r="BA48" s="152">
        <f t="shared" si="72"/>
        <v>0</v>
      </c>
      <c r="BB48" s="153">
        <f t="shared" si="73"/>
        <v>0</v>
      </c>
      <c r="BC48" s="153" t="str">
        <f t="shared" si="74"/>
        <v/>
      </c>
      <c r="BD48" s="153" t="str">
        <f t="shared" si="75"/>
        <v/>
      </c>
      <c r="BE48" s="153" t="str">
        <f t="shared" si="76"/>
        <v/>
      </c>
      <c r="BF48" s="152" t="str">
        <f t="shared" si="77"/>
        <v/>
      </c>
      <c r="BG48" s="153" t="str">
        <f t="shared" si="175"/>
        <v/>
      </c>
      <c r="BH48" s="152" t="str">
        <f t="shared" si="78"/>
        <v/>
      </c>
      <c r="BI48" s="580" t="str">
        <f>IF('Marks Entry'!AC48="","",'Marks Entry'!AC48)</f>
        <v/>
      </c>
      <c r="BJ48" s="580" t="str">
        <f>IF('Marks Entry'!AD48="","",'Marks Entry'!AD48)</f>
        <v/>
      </c>
      <c r="BK48" s="580" t="str">
        <f>IF('Marks Entry'!AE48="","",'Marks Entry'!AE48)</f>
        <v/>
      </c>
      <c r="BL48" s="580" t="str">
        <f>IF('Marks Entry'!AF48="","",'Marks Entry'!AF48)</f>
        <v/>
      </c>
      <c r="BM48" s="581" t="str">
        <f t="shared" si="79"/>
        <v/>
      </c>
      <c r="BN48" s="580" t="str">
        <f>IF('Marks Entry'!AG48="","",'Marks Entry'!AG48)</f>
        <v/>
      </c>
      <c r="BO48" s="580" t="str">
        <f>IF('Marks Entry'!AH48="","",'Marks Entry'!AH48)</f>
        <v/>
      </c>
      <c r="BP48" s="581" t="str">
        <f t="shared" si="80"/>
        <v/>
      </c>
      <c r="BQ48" s="581" t="str">
        <f t="shared" si="81"/>
        <v/>
      </c>
      <c r="BR48" s="580" t="str">
        <f>IF('Marks Entry'!AI48="","",'Marks Entry'!AI48)</f>
        <v/>
      </c>
      <c r="BS48" s="580" t="str">
        <f>IF('Marks Entry'!AJ48="","",'Marks Entry'!AJ48)</f>
        <v/>
      </c>
      <c r="BT48" s="581" t="str">
        <f t="shared" si="82"/>
        <v/>
      </c>
      <c r="BU48" s="156" t="str">
        <f t="shared" si="83"/>
        <v/>
      </c>
      <c r="BV48" s="156" t="str">
        <f t="shared" si="84"/>
        <v/>
      </c>
      <c r="BW48" s="191" t="str">
        <f t="shared" si="85"/>
        <v/>
      </c>
      <c r="BX48" s="152">
        <f t="shared" si="86"/>
        <v>0</v>
      </c>
      <c r="BY48" s="153">
        <f t="shared" si="87"/>
        <v>0</v>
      </c>
      <c r="BZ48" s="153" t="str">
        <f t="shared" si="88"/>
        <v/>
      </c>
      <c r="CA48" s="153" t="str">
        <f t="shared" si="89"/>
        <v/>
      </c>
      <c r="CB48" s="153" t="str">
        <f t="shared" si="90"/>
        <v/>
      </c>
      <c r="CC48" s="152" t="str">
        <f t="shared" si="91"/>
        <v/>
      </c>
      <c r="CD48" s="153" t="str">
        <f t="shared" si="92"/>
        <v/>
      </c>
      <c r="CE48" s="152" t="str">
        <f t="shared" si="93"/>
        <v/>
      </c>
      <c r="CF48" s="580" t="str">
        <f>IF('Marks Entry'!AK48="","",'Marks Entry'!AK48)</f>
        <v/>
      </c>
      <c r="CG48" s="580" t="str">
        <f>IF('Marks Entry'!AL48="","",'Marks Entry'!AL48)</f>
        <v/>
      </c>
      <c r="CH48" s="580" t="str">
        <f>IF('Marks Entry'!AM48="","",'Marks Entry'!AM48)</f>
        <v/>
      </c>
      <c r="CI48" s="580" t="str">
        <f>IF('Marks Entry'!AN48="","",'Marks Entry'!AN48)</f>
        <v/>
      </c>
      <c r="CJ48" s="581" t="str">
        <f t="shared" si="94"/>
        <v/>
      </c>
      <c r="CK48" s="580" t="str">
        <f>IF('Marks Entry'!AO48="","",'Marks Entry'!AO48)</f>
        <v/>
      </c>
      <c r="CL48" s="580" t="str">
        <f>IF('Marks Entry'!AP48="","",'Marks Entry'!AP48)</f>
        <v/>
      </c>
      <c r="CM48" s="581" t="str">
        <f t="shared" si="95"/>
        <v/>
      </c>
      <c r="CN48" s="581" t="str">
        <f t="shared" si="96"/>
        <v/>
      </c>
      <c r="CO48" s="580" t="str">
        <f>IF('Marks Entry'!AQ48="","",'Marks Entry'!AQ48)</f>
        <v/>
      </c>
      <c r="CP48" s="580" t="str">
        <f>IF('Marks Entry'!AR48="","",'Marks Entry'!AR48)</f>
        <v/>
      </c>
      <c r="CQ48" s="581" t="str">
        <f t="shared" si="97"/>
        <v/>
      </c>
      <c r="CR48" s="156" t="str">
        <f t="shared" si="98"/>
        <v/>
      </c>
      <c r="CS48" s="156" t="str">
        <f t="shared" si="99"/>
        <v/>
      </c>
      <c r="CT48" s="191" t="str">
        <f t="shared" si="100"/>
        <v/>
      </c>
      <c r="CU48" s="152">
        <f t="shared" si="101"/>
        <v>0</v>
      </c>
      <c r="CV48" s="153">
        <f t="shared" si="102"/>
        <v>0</v>
      </c>
      <c r="CW48" s="153" t="str">
        <f t="shared" si="103"/>
        <v/>
      </c>
      <c r="CX48" s="153" t="str">
        <f t="shared" si="104"/>
        <v/>
      </c>
      <c r="CY48" s="153" t="str">
        <f t="shared" si="176"/>
        <v/>
      </c>
      <c r="CZ48" s="152" t="str">
        <f t="shared" si="105"/>
        <v/>
      </c>
      <c r="DA48" s="153" t="str">
        <f t="shared" si="106"/>
        <v/>
      </c>
      <c r="DB48" s="152" t="str">
        <f t="shared" si="107"/>
        <v/>
      </c>
      <c r="DC48" s="153">
        <f t="shared" si="108"/>
        <v>0</v>
      </c>
      <c r="DD48" s="851" t="str">
        <f>IF('Marks Entry'!AS48="","",IF(OR('Master Sheet'!$D$19="YES",'Marks Entry'!$BA$1=1),'Marks Entry'!AS48,""))</f>
        <v/>
      </c>
      <c r="DE48" s="851" t="str">
        <f>IF('Marks Entry'!AT48="","",IF(OR('Master Sheet'!$D$19="YES",'Marks Entry'!$BA$1=1),'Marks Entry'!AT48,""))</f>
        <v/>
      </c>
      <c r="DF48" s="851" t="str">
        <f>IF('Marks Entry'!AU48="","",IF(OR('Master Sheet'!$D$19="YES",'Marks Entry'!$BA$1=1),'Marks Entry'!AU48,""))</f>
        <v/>
      </c>
      <c r="DG48" s="851" t="str">
        <f>IF('Marks Entry'!AV48="","",IF(OR('Master Sheet'!$D$19="YES",'Marks Entry'!$BA$1=1),'Marks Entry'!AV48,""))</f>
        <v/>
      </c>
      <c r="DH48" s="852" t="str">
        <f t="shared" si="109"/>
        <v/>
      </c>
      <c r="DI48" s="851" t="str">
        <f>IF('Marks Entry'!AW48="","",IF(OR('Master Sheet'!$D$19="YES",'Marks Entry'!$BA$1=1),'Marks Entry'!AW48,""))</f>
        <v/>
      </c>
      <c r="DJ48" s="851" t="str">
        <f>IF('Marks Entry'!AX48="","",IF(OR('Master Sheet'!$D$19="YES",'Marks Entry'!$BA$1=1),'Marks Entry'!AX48,""))</f>
        <v/>
      </c>
      <c r="DK48" s="852" t="str">
        <f t="shared" si="110"/>
        <v/>
      </c>
      <c r="DL48" s="852" t="str">
        <f t="shared" si="111"/>
        <v/>
      </c>
      <c r="DM48" s="851" t="str">
        <f>IF('Marks Entry'!AY48="","",IF(OR('Master Sheet'!$D$19="YES",'Marks Entry'!$BA$1=1),'Marks Entry'!AY48,""))</f>
        <v/>
      </c>
      <c r="DN48" s="851" t="str">
        <f>IF('Marks Entry'!AZ48="","",IF(OR('Master Sheet'!$D$19="YES",'Marks Entry'!$BA$1=1),'Marks Entry'!AZ48,""))</f>
        <v/>
      </c>
      <c r="DO48" s="851" t="str">
        <f>IF('Marks Entry'!BA48="","",IF(OR('Master Sheet'!$D$19="YES",'Marks Entry'!$BA$1=1),'Marks Entry'!BA48,""))</f>
        <v/>
      </c>
      <c r="DP48" s="852" t="str">
        <f t="shared" si="112"/>
        <v/>
      </c>
      <c r="DQ48" s="156" t="str">
        <f t="shared" si="113"/>
        <v/>
      </c>
      <c r="DR48" s="156" t="str">
        <f t="shared" si="114"/>
        <v/>
      </c>
      <c r="DS48" s="156" t="str">
        <f t="shared" si="115"/>
        <v/>
      </c>
      <c r="DT48" s="191" t="str">
        <f t="shared" si="116"/>
        <v/>
      </c>
      <c r="DU48" s="152">
        <f t="shared" si="117"/>
        <v>0</v>
      </c>
      <c r="DV48" s="153">
        <f t="shared" si="118"/>
        <v>0</v>
      </c>
      <c r="DW48" s="153" t="str">
        <f t="shared" si="119"/>
        <v/>
      </c>
      <c r="DX48" s="153" t="str">
        <f>IF(OR($B48="NSO",$B48=0,DS48=""),"",IF(AND(DJ48="",DO48=""),"",IF('Master Sheet'!$D$19="YES",$DO$6-COUNTIF(DO48,"ML")*DO$6,DS$6-(COUNTIF(DJ48,"ML")*DJ$6)-(COUNTIF(DO48,"ML")*DO$6))))</f>
        <v/>
      </c>
      <c r="DY48" s="153" t="str">
        <f>IF(OR($B48="NSO",$B48=0),"",IF(AND(DH48="",DI48="",DM48=""),"",IF(AND('Master Sheet'!$D$19="YES",'Marks Entry'!$BA$1=1),100,IF(AND(DJ48="",DO48=""),SUM(($DQ$7+$DR$7)-(DU48+DV48)),SUM(($DQ$6+$DR$6)-(DU48+DV48))))))</f>
        <v/>
      </c>
      <c r="DZ48" s="152" t="str">
        <f t="shared" si="120"/>
        <v/>
      </c>
      <c r="EA48" s="153" t="str">
        <f t="shared" si="121"/>
        <v/>
      </c>
      <c r="EB48" s="152" t="str">
        <f t="shared" si="122"/>
        <v/>
      </c>
      <c r="EC48" s="584" t="str">
        <f>IF('Marks Entry'!BB48="","",'Marks Entry'!BB48)</f>
        <v/>
      </c>
      <c r="ED48" s="584" t="str">
        <f>IF('Marks Entry'!BC48="","",'Marks Entry'!BC48)</f>
        <v/>
      </c>
      <c r="EE48" s="584" t="str">
        <f>IF('Marks Entry'!BD48="","",'Marks Entry'!BD48)</f>
        <v/>
      </c>
      <c r="EF48" s="590" t="str">
        <f t="shared" si="123"/>
        <v/>
      </c>
      <c r="EG48" s="595">
        <f t="shared" si="124"/>
        <v>0</v>
      </c>
      <c r="EH48" s="595">
        <f t="shared" si="125"/>
        <v>0</v>
      </c>
      <c r="EI48" s="192" t="str">
        <f t="shared" si="126"/>
        <v/>
      </c>
      <c r="EJ48" s="595" t="str">
        <f t="shared" si="127"/>
        <v/>
      </c>
      <c r="EK48" s="595" t="str">
        <f t="shared" si="128"/>
        <v/>
      </c>
      <c r="EL48" s="193" t="str">
        <f t="shared" si="129"/>
        <v/>
      </c>
      <c r="EM48" s="193" t="str">
        <f t="shared" si="130"/>
        <v/>
      </c>
      <c r="EN48" s="193" t="str">
        <f t="shared" si="131"/>
        <v/>
      </c>
      <c r="EO48" s="193" t="str">
        <f t="shared" si="132"/>
        <v/>
      </c>
      <c r="EP48" s="193" t="str">
        <f t="shared" si="133"/>
        <v/>
      </c>
      <c r="EQ48" s="193" t="str">
        <f t="shared" si="134"/>
        <v/>
      </c>
      <c r="ER48" s="194">
        <f t="shared" si="135"/>
        <v>0</v>
      </c>
      <c r="ES48" s="194">
        <f t="shared" si="136"/>
        <v>0</v>
      </c>
      <c r="ET48" s="194">
        <f t="shared" si="137"/>
        <v>0</v>
      </c>
      <c r="EU48" s="194">
        <f t="shared" si="138"/>
        <v>0</v>
      </c>
      <c r="EV48" s="194">
        <f t="shared" si="139"/>
        <v>0</v>
      </c>
      <c r="EW48" s="194" t="str">
        <f t="shared" si="140"/>
        <v/>
      </c>
      <c r="EX48" s="195" t="str">
        <f t="shared" si="141"/>
        <v/>
      </c>
      <c r="EY48" s="196" t="str">
        <f>IF('Marks Entry'!BE48="","",'Marks Entry'!BE48)</f>
        <v/>
      </c>
      <c r="EZ48" s="196" t="str">
        <f>IF('Marks Entry'!BF48="","",'Marks Entry'!BF48)</f>
        <v/>
      </c>
      <c r="FA48" s="196" t="str">
        <f>IF('Marks Entry'!BG48="","",'Marks Entry'!BG48)</f>
        <v/>
      </c>
      <c r="FB48" s="596" t="str">
        <f t="shared" si="142"/>
        <v/>
      </c>
      <c r="FC48" s="196" t="str">
        <f>IF('Marks Entry'!BH48="","",'Marks Entry'!BH48)</f>
        <v/>
      </c>
      <c r="FD48" s="196" t="str">
        <f>IF('Marks Entry'!BI48="","",'Marks Entry'!BI48)</f>
        <v/>
      </c>
      <c r="FE48" s="197" t="str">
        <f t="shared" si="143"/>
        <v/>
      </c>
      <c r="FF48" s="198" t="str">
        <f t="shared" si="144"/>
        <v/>
      </c>
      <c r="FG48" s="199" t="str">
        <f>IF(AND(E48=""),"",IF('Student DATA Entry'!L44="","",'Student DATA Entry'!L44))</f>
        <v/>
      </c>
      <c r="FH48" s="200" t="str">
        <f>IF(AND(E48=""),"",IF('Student DATA Entry'!M44="","",'Student DATA Entry'!M44))</f>
        <v/>
      </c>
      <c r="FI48" s="201" t="str">
        <f t="shared" si="145"/>
        <v/>
      </c>
      <c r="FJ48" s="188" t="str">
        <f t="shared" si="146"/>
        <v/>
      </c>
      <c r="FK48" s="188" t="str">
        <f t="shared" si="147"/>
        <v/>
      </c>
      <c r="FL48" s="202" t="str">
        <f t="shared" si="178"/>
        <v/>
      </c>
      <c r="FM48" s="188" t="str">
        <f t="shared" si="148"/>
        <v/>
      </c>
      <c r="FN48" s="203" t="str">
        <f t="shared" si="149"/>
        <v/>
      </c>
      <c r="FO48" s="202" t="str">
        <f t="shared" si="179"/>
        <v/>
      </c>
      <c r="FP48" s="204" t="str">
        <f t="shared" si="150"/>
        <v/>
      </c>
      <c r="FQ48" s="188" t="str">
        <f t="shared" si="180"/>
        <v/>
      </c>
      <c r="FR48" s="188" t="str">
        <f t="shared" si="181"/>
        <v/>
      </c>
      <c r="FS48" s="188" t="str">
        <f t="shared" si="182"/>
        <v/>
      </c>
      <c r="FT48" s="188" t="str">
        <f t="shared" si="183"/>
        <v/>
      </c>
      <c r="FU48" s="188" t="str">
        <f t="shared" si="151"/>
        <v/>
      </c>
      <c r="FV48" s="205" t="str">
        <f t="shared" si="184"/>
        <v/>
      </c>
      <c r="FW48" s="204" t="str">
        <f t="shared" si="152"/>
        <v/>
      </c>
      <c r="FX48" s="188" t="str">
        <f t="shared" si="185"/>
        <v/>
      </c>
      <c r="FY48" s="188" t="str">
        <f t="shared" si="186"/>
        <v/>
      </c>
      <c r="FZ48" s="188" t="str">
        <f t="shared" si="187"/>
        <v/>
      </c>
      <c r="GA48" s="188" t="str">
        <f t="shared" si="188"/>
        <v/>
      </c>
      <c r="GB48" s="188" t="str">
        <f t="shared" si="153"/>
        <v/>
      </c>
      <c r="GC48" s="205" t="str">
        <f t="shared" si="189"/>
        <v/>
      </c>
      <c r="GD48" s="204" t="str">
        <f t="shared" si="154"/>
        <v/>
      </c>
      <c r="GE48" s="188" t="str">
        <f t="shared" si="190"/>
        <v/>
      </c>
      <c r="GF48" s="188" t="str">
        <f t="shared" si="191"/>
        <v/>
      </c>
      <c r="GG48" s="188" t="str">
        <f t="shared" si="192"/>
        <v/>
      </c>
      <c r="GH48" s="188" t="str">
        <f t="shared" si="193"/>
        <v/>
      </c>
      <c r="GI48" s="188" t="str">
        <f t="shared" si="155"/>
        <v/>
      </c>
      <c r="GJ48" s="205" t="str">
        <f t="shared" si="194"/>
        <v/>
      </c>
      <c r="GK48" s="204" t="str">
        <f t="shared" si="156"/>
        <v/>
      </c>
      <c r="GL48" s="188" t="str">
        <f t="shared" si="195"/>
        <v/>
      </c>
      <c r="GM48" s="188" t="str">
        <f t="shared" si="196"/>
        <v/>
      </c>
      <c r="GN48" s="188" t="str">
        <f t="shared" si="197"/>
        <v/>
      </c>
      <c r="GO48" s="188" t="str">
        <f t="shared" si="198"/>
        <v/>
      </c>
      <c r="GP48" s="188" t="str">
        <f t="shared" si="157"/>
        <v/>
      </c>
      <c r="GQ48" s="205" t="str">
        <f t="shared" si="199"/>
        <v/>
      </c>
      <c r="GR48" s="188" t="str">
        <f t="shared" si="158"/>
        <v/>
      </c>
      <c r="GS48" s="188" t="str">
        <f t="shared" si="159"/>
        <v/>
      </c>
      <c r="GT48" s="206" t="str">
        <f t="shared" si="177"/>
        <v xml:space="preserve">    </v>
      </c>
      <c r="GU48" s="206" t="str">
        <f t="shared" si="160"/>
        <v xml:space="preserve">    </v>
      </c>
      <c r="GV48" s="206" t="str">
        <f t="shared" si="161"/>
        <v xml:space="preserve">    </v>
      </c>
      <c r="GW48" s="206" t="str">
        <f t="shared" si="162"/>
        <v xml:space="preserve">       </v>
      </c>
      <c r="GX48" s="598" t="str">
        <f t="shared" si="163"/>
        <v xml:space="preserve">     </v>
      </c>
      <c r="GY48" s="207" t="str">
        <f t="shared" si="200"/>
        <v/>
      </c>
      <c r="GZ48" s="606" t="str">
        <f>IF(AND(Q48="",AE48="",AZ48="",BW48="",CT48=""),"",IF(AND('Master Sheet'!$D$19="YES",'Marks Entry'!$BA$1=1),SUM(Q48,AE48,AZ48,BW48,DT48),SUM(Q48,AE48,AZ48,BW48,CT48)))</f>
        <v/>
      </c>
      <c r="HA48" s="208" t="str">
        <f>IF(GZ48="","",IF(AND('Master Sheet'!$D$19="YES",'Marks Entry'!$BA$1=1),GZ48/((900)-DC48)*100,GZ48/((1000)-DC48)*100))</f>
        <v/>
      </c>
      <c r="HB48" s="611" t="str">
        <f t="shared" si="165"/>
        <v/>
      </c>
      <c r="HC48" s="609" t="str">
        <f t="shared" si="166"/>
        <v/>
      </c>
      <c r="HD48" s="610" t="str">
        <f t="shared" si="167"/>
        <v/>
      </c>
      <c r="HE48" s="209" t="str">
        <f>IFERROR(IF(OR(GY48="SUPPLEMENTARY",GY48="RE-EXAM"),'Supp. Result Entry'!AS47,""),"")</f>
        <v/>
      </c>
      <c r="HF48" s="613" t="str">
        <f t="shared" si="168"/>
        <v/>
      </c>
      <c r="HG48" s="598" t="str">
        <f t="shared" si="169"/>
        <v/>
      </c>
      <c r="HH48" s="598" t="str">
        <f>IF(AND(HE48="",HF48="",HG48=""),"",IF(OR(GY48="SUPPLEMENTARY",GY48="RE-EXAM"),'Supp. Result Entry'!AS47,GY48))</f>
        <v/>
      </c>
      <c r="HI48" s="179"/>
      <c r="HJ48" s="213"/>
      <c r="HY48" s="211" t="str">
        <f>IF('Supp. Result Entry'!U47="","",'Supp. Result Entry'!$U$6)</f>
        <v/>
      </c>
      <c r="HZ48" s="212" t="str">
        <f>IF('Supp. Result Entry'!X47="","",'Supp. Result Entry'!$X$6)</f>
        <v/>
      </c>
      <c r="IA48" s="212" t="str">
        <f>IF('Supp. Result Entry'!AA47="","",'Supp. Result Entry'!$AA$6)</f>
        <v/>
      </c>
      <c r="IB48" s="212" t="str">
        <f>IF('Supp. Result Entry'!AD47="","",'Supp. Result Entry'!$AD$6)</f>
        <v/>
      </c>
      <c r="IC48" s="212" t="str">
        <f>IF('Supp. Result Entry'!AG47="","",'Supp. Result Entry'!$AG$6)</f>
        <v/>
      </c>
      <c r="ID48" s="212" t="str">
        <f>IF('Supp. Result Entry'!AJ47="","",'Supp. Result Entry'!$AJ$6)</f>
        <v/>
      </c>
      <c r="IE48" s="212" t="str">
        <f>IF('Supp. Result Entry'!V47="","",'Supp. Result Entry'!V47)</f>
        <v/>
      </c>
      <c r="IF48" s="212" t="str">
        <f>IF('Supp. Result Entry'!Y47="","",'Supp. Result Entry'!Y47)</f>
        <v/>
      </c>
      <c r="IG48" s="212" t="str">
        <f>IF('Supp. Result Entry'!AB47="","",'Supp. Result Entry'!AB47)</f>
        <v/>
      </c>
      <c r="IH48" s="212" t="str">
        <f>IF('Supp. Result Entry'!AE47="","",'Supp. Result Entry'!AE47)</f>
        <v/>
      </c>
      <c r="II48" s="212" t="str">
        <f>IF('Supp. Result Entry'!AH47="","",'Supp. Result Entry'!AH47)</f>
        <v/>
      </c>
      <c r="IJ48" s="212" t="str">
        <f>IF('Supp. Result Entry'!AK47="","",'Supp. Result Entry'!AK47)</f>
        <v/>
      </c>
      <c r="IK48" s="212" t="str">
        <f>IF('Supp. Result Entry'!W47="","",'Supp. Result Entry'!W47)</f>
        <v/>
      </c>
      <c r="IL48" s="212" t="str">
        <f>IF('Supp. Result Entry'!Z47="","",'Supp. Result Entry'!Z47)</f>
        <v/>
      </c>
      <c r="IM48" s="212" t="str">
        <f>IF('Supp. Result Entry'!AC47="","",'Supp. Result Entry'!AC47)</f>
        <v/>
      </c>
      <c r="IN48" s="212" t="str">
        <f>IF('Supp. Result Entry'!AF47="","",'Supp. Result Entry'!AF47)</f>
        <v/>
      </c>
      <c r="IO48" s="212" t="str">
        <f>IF('Supp. Result Entry'!AI47="","",'Supp. Result Entry'!AI47)</f>
        <v/>
      </c>
      <c r="IP48" s="212" t="str">
        <f>IF('Supp. Result Entry'!AL47="","",'Supp. Result Entry'!AL47)</f>
        <v/>
      </c>
      <c r="IQ48" s="212">
        <f>COUNTIF('Supp. Result Entry'!K47:Q47,"S")</f>
        <v>0</v>
      </c>
      <c r="IR48" s="212">
        <f t="shared" si="170"/>
        <v>0</v>
      </c>
      <c r="IS48" s="212">
        <f t="shared" si="171"/>
        <v>0</v>
      </c>
      <c r="IT48" s="212" t="str">
        <f t="shared" si="41"/>
        <v/>
      </c>
      <c r="IU48" s="212" t="str">
        <f t="shared" si="42"/>
        <v/>
      </c>
      <c r="IV48" s="212" t="str">
        <f t="shared" si="43"/>
        <v/>
      </c>
      <c r="IW48" s="212" t="str">
        <f t="shared" si="44"/>
        <v/>
      </c>
      <c r="IX48" s="212" t="str">
        <f t="shared" si="45"/>
        <v/>
      </c>
      <c r="IY48" s="212" t="str">
        <f t="shared" si="172"/>
        <v/>
      </c>
      <c r="IZ48" s="212" t="str">
        <f t="shared" si="173"/>
        <v/>
      </c>
      <c r="JA48" s="212" t="str">
        <f t="shared" si="46"/>
        <v/>
      </c>
      <c r="JB48" s="210" t="str">
        <f t="shared" si="174"/>
        <v/>
      </c>
    </row>
    <row r="49" spans="1:262" s="210" customFormat="1" ht="21" customHeight="1">
      <c r="A49" s="183">
        <v>42</v>
      </c>
      <c r="B49" s="184" t="str">
        <f>IF('Marks Entry'!B49="","",'Marks Entry'!B49)</f>
        <v/>
      </c>
      <c r="C49" s="185" t="str">
        <f>IF('Marks Entry'!D49="","",'Marks Entry'!D49)</f>
        <v/>
      </c>
      <c r="D49" s="186" t="str">
        <f>IF('Marks Entry'!E49="","",'Marks Entry'!E49)</f>
        <v/>
      </c>
      <c r="E49" s="187" t="str">
        <f>IF('Marks Entry'!F49="","",'Marks Entry'!F49)</f>
        <v/>
      </c>
      <c r="F49" s="187" t="str">
        <f>IF('Marks Entry'!G49="","",'Marks Entry'!G49)</f>
        <v/>
      </c>
      <c r="G49" s="187" t="str">
        <f>IF('Marks Entry'!H49="","",'Marks Entry'!H49)</f>
        <v/>
      </c>
      <c r="H49" s="188" t="str">
        <f>IF('Marks Entry'!I49="","",'Marks Entry'!I49)</f>
        <v/>
      </c>
      <c r="I49" s="189" t="str">
        <f>IF('Marks Entry'!J49="","",'Marks Entry'!J49)</f>
        <v/>
      </c>
      <c r="J49" s="545" t="str">
        <f>IF('Marks Entry'!K49="","",'Marks Entry'!K49)</f>
        <v/>
      </c>
      <c r="K49" s="545" t="str">
        <f>IF('Marks Entry'!L49="","",'Marks Entry'!L49)</f>
        <v/>
      </c>
      <c r="L49" s="545" t="str">
        <f>IF('Marks Entry'!M49="","",'Marks Entry'!M49)</f>
        <v/>
      </c>
      <c r="M49" s="546" t="str">
        <f t="shared" si="47"/>
        <v/>
      </c>
      <c r="N49" s="545" t="str">
        <f>IF('Marks Entry'!N49="","",'Marks Entry'!N49)</f>
        <v/>
      </c>
      <c r="O49" s="546" t="str">
        <f t="shared" si="48"/>
        <v/>
      </c>
      <c r="P49" s="545" t="str">
        <f>IF('Marks Entry'!O49="","",'Marks Entry'!O49)</f>
        <v/>
      </c>
      <c r="Q49" s="547" t="str">
        <f t="shared" si="49"/>
        <v/>
      </c>
      <c r="R49" s="152">
        <f t="shared" si="50"/>
        <v>0</v>
      </c>
      <c r="S49" s="152">
        <f t="shared" si="51"/>
        <v>0</v>
      </c>
      <c r="T49" s="153" t="str">
        <f t="shared" si="52"/>
        <v/>
      </c>
      <c r="U49" s="152" t="str">
        <f t="shared" si="53"/>
        <v/>
      </c>
      <c r="V49" s="152" t="str">
        <f t="shared" si="54"/>
        <v/>
      </c>
      <c r="W49" s="152" t="str">
        <f t="shared" si="55"/>
        <v/>
      </c>
      <c r="X49" s="545" t="str">
        <f>IF('Marks Entry'!P49="","",'Marks Entry'!P49)</f>
        <v/>
      </c>
      <c r="Y49" s="545" t="str">
        <f>IF('Marks Entry'!Q49="","",'Marks Entry'!Q49)</f>
        <v/>
      </c>
      <c r="Z49" s="545" t="str">
        <f>IF('Marks Entry'!R49="","",'Marks Entry'!R49)</f>
        <v/>
      </c>
      <c r="AA49" s="546" t="str">
        <f t="shared" si="56"/>
        <v/>
      </c>
      <c r="AB49" s="545" t="str">
        <f>IF('Marks Entry'!S49="","",'Marks Entry'!S49)</f>
        <v/>
      </c>
      <c r="AC49" s="546" t="str">
        <f t="shared" si="57"/>
        <v/>
      </c>
      <c r="AD49" s="545" t="str">
        <f>IF('Marks Entry'!T49="","",'Marks Entry'!T49)</f>
        <v/>
      </c>
      <c r="AE49" s="547" t="str">
        <f t="shared" si="58"/>
        <v/>
      </c>
      <c r="AF49" s="152">
        <f t="shared" si="59"/>
        <v>0</v>
      </c>
      <c r="AG49" s="152">
        <f t="shared" si="60"/>
        <v>0</v>
      </c>
      <c r="AH49" s="153" t="str">
        <f t="shared" si="61"/>
        <v/>
      </c>
      <c r="AI49" s="152" t="str">
        <f t="shared" si="62"/>
        <v/>
      </c>
      <c r="AJ49" s="152" t="str">
        <f t="shared" si="63"/>
        <v/>
      </c>
      <c r="AK49" s="152" t="str">
        <f t="shared" si="64"/>
        <v/>
      </c>
      <c r="AL49" s="573" t="str">
        <f>IF('Marks Entry'!U49="","",'Marks Entry'!U49)</f>
        <v/>
      </c>
      <c r="AM49" s="573" t="str">
        <f>IF('Marks Entry'!V49="","",'Marks Entry'!V49)</f>
        <v/>
      </c>
      <c r="AN49" s="573" t="str">
        <f>IF('Marks Entry'!W49="","",'Marks Entry'!W49)</f>
        <v/>
      </c>
      <c r="AO49" s="573" t="str">
        <f>IF('Marks Entry'!X49="","",'Marks Entry'!X49)</f>
        <v/>
      </c>
      <c r="AP49" s="572" t="str">
        <f t="shared" si="65"/>
        <v/>
      </c>
      <c r="AQ49" s="573" t="str">
        <f>IF('Marks Entry'!Y49="","",'Marks Entry'!Y49)</f>
        <v/>
      </c>
      <c r="AR49" s="573" t="str">
        <f>IF('Marks Entry'!Z49="","",'Marks Entry'!Z49)</f>
        <v/>
      </c>
      <c r="AS49" s="572" t="str">
        <f t="shared" si="66"/>
        <v/>
      </c>
      <c r="AT49" s="572" t="str">
        <f t="shared" si="67"/>
        <v/>
      </c>
      <c r="AU49" s="573" t="str">
        <f>IF('Marks Entry'!AA49="","",'Marks Entry'!AA49)</f>
        <v/>
      </c>
      <c r="AV49" s="573" t="str">
        <f>IF('Marks Entry'!AB49="","",'Marks Entry'!AB49)</f>
        <v/>
      </c>
      <c r="AW49" s="572" t="str">
        <f t="shared" si="68"/>
        <v/>
      </c>
      <c r="AX49" s="156" t="str">
        <f t="shared" si="69"/>
        <v/>
      </c>
      <c r="AY49" s="156" t="str">
        <f t="shared" si="70"/>
        <v/>
      </c>
      <c r="AZ49" s="191" t="str">
        <f t="shared" si="71"/>
        <v/>
      </c>
      <c r="BA49" s="152">
        <f t="shared" si="72"/>
        <v>0</v>
      </c>
      <c r="BB49" s="153">
        <f t="shared" si="73"/>
        <v>0</v>
      </c>
      <c r="BC49" s="153" t="str">
        <f t="shared" si="74"/>
        <v/>
      </c>
      <c r="BD49" s="153" t="str">
        <f t="shared" si="75"/>
        <v/>
      </c>
      <c r="BE49" s="153" t="str">
        <f t="shared" si="76"/>
        <v/>
      </c>
      <c r="BF49" s="152" t="str">
        <f t="shared" si="77"/>
        <v/>
      </c>
      <c r="BG49" s="153" t="str">
        <f t="shared" si="175"/>
        <v/>
      </c>
      <c r="BH49" s="152" t="str">
        <f t="shared" si="78"/>
        <v/>
      </c>
      <c r="BI49" s="580" t="str">
        <f>IF('Marks Entry'!AC49="","",'Marks Entry'!AC49)</f>
        <v/>
      </c>
      <c r="BJ49" s="580" t="str">
        <f>IF('Marks Entry'!AD49="","",'Marks Entry'!AD49)</f>
        <v/>
      </c>
      <c r="BK49" s="580" t="str">
        <f>IF('Marks Entry'!AE49="","",'Marks Entry'!AE49)</f>
        <v/>
      </c>
      <c r="BL49" s="580" t="str">
        <f>IF('Marks Entry'!AF49="","",'Marks Entry'!AF49)</f>
        <v/>
      </c>
      <c r="BM49" s="581" t="str">
        <f t="shared" si="79"/>
        <v/>
      </c>
      <c r="BN49" s="580" t="str">
        <f>IF('Marks Entry'!AG49="","",'Marks Entry'!AG49)</f>
        <v/>
      </c>
      <c r="BO49" s="580" t="str">
        <f>IF('Marks Entry'!AH49="","",'Marks Entry'!AH49)</f>
        <v/>
      </c>
      <c r="BP49" s="581" t="str">
        <f t="shared" si="80"/>
        <v/>
      </c>
      <c r="BQ49" s="581" t="str">
        <f t="shared" si="81"/>
        <v/>
      </c>
      <c r="BR49" s="580" t="str">
        <f>IF('Marks Entry'!AI49="","",'Marks Entry'!AI49)</f>
        <v/>
      </c>
      <c r="BS49" s="580" t="str">
        <f>IF('Marks Entry'!AJ49="","",'Marks Entry'!AJ49)</f>
        <v/>
      </c>
      <c r="BT49" s="581" t="str">
        <f t="shared" si="82"/>
        <v/>
      </c>
      <c r="BU49" s="156" t="str">
        <f t="shared" si="83"/>
        <v/>
      </c>
      <c r="BV49" s="156" t="str">
        <f t="shared" si="84"/>
        <v/>
      </c>
      <c r="BW49" s="191" t="str">
        <f t="shared" si="85"/>
        <v/>
      </c>
      <c r="BX49" s="152">
        <f t="shared" si="86"/>
        <v>0</v>
      </c>
      <c r="BY49" s="153">
        <f t="shared" si="87"/>
        <v>0</v>
      </c>
      <c r="BZ49" s="153" t="str">
        <f t="shared" si="88"/>
        <v/>
      </c>
      <c r="CA49" s="153" t="str">
        <f t="shared" si="89"/>
        <v/>
      </c>
      <c r="CB49" s="153" t="str">
        <f t="shared" si="90"/>
        <v/>
      </c>
      <c r="CC49" s="152" t="str">
        <f t="shared" si="91"/>
        <v/>
      </c>
      <c r="CD49" s="153" t="str">
        <f t="shared" si="92"/>
        <v/>
      </c>
      <c r="CE49" s="152" t="str">
        <f t="shared" si="93"/>
        <v/>
      </c>
      <c r="CF49" s="580" t="str">
        <f>IF('Marks Entry'!AK49="","",'Marks Entry'!AK49)</f>
        <v/>
      </c>
      <c r="CG49" s="580" t="str">
        <f>IF('Marks Entry'!AL49="","",'Marks Entry'!AL49)</f>
        <v/>
      </c>
      <c r="CH49" s="580" t="str">
        <f>IF('Marks Entry'!AM49="","",'Marks Entry'!AM49)</f>
        <v/>
      </c>
      <c r="CI49" s="580" t="str">
        <f>IF('Marks Entry'!AN49="","",'Marks Entry'!AN49)</f>
        <v/>
      </c>
      <c r="CJ49" s="581" t="str">
        <f t="shared" si="94"/>
        <v/>
      </c>
      <c r="CK49" s="580" t="str">
        <f>IF('Marks Entry'!AO49="","",'Marks Entry'!AO49)</f>
        <v/>
      </c>
      <c r="CL49" s="580" t="str">
        <f>IF('Marks Entry'!AP49="","",'Marks Entry'!AP49)</f>
        <v/>
      </c>
      <c r="CM49" s="581" t="str">
        <f t="shared" si="95"/>
        <v/>
      </c>
      <c r="CN49" s="581" t="str">
        <f t="shared" si="96"/>
        <v/>
      </c>
      <c r="CO49" s="580" t="str">
        <f>IF('Marks Entry'!AQ49="","",'Marks Entry'!AQ49)</f>
        <v/>
      </c>
      <c r="CP49" s="580" t="str">
        <f>IF('Marks Entry'!AR49="","",'Marks Entry'!AR49)</f>
        <v/>
      </c>
      <c r="CQ49" s="581" t="str">
        <f t="shared" si="97"/>
        <v/>
      </c>
      <c r="CR49" s="156" t="str">
        <f t="shared" si="98"/>
        <v/>
      </c>
      <c r="CS49" s="156" t="str">
        <f t="shared" si="99"/>
        <v/>
      </c>
      <c r="CT49" s="191" t="str">
        <f t="shared" si="100"/>
        <v/>
      </c>
      <c r="CU49" s="152">
        <f t="shared" si="101"/>
        <v>0</v>
      </c>
      <c r="CV49" s="153">
        <f t="shared" si="102"/>
        <v>0</v>
      </c>
      <c r="CW49" s="153" t="str">
        <f t="shared" si="103"/>
        <v/>
      </c>
      <c r="CX49" s="153" t="str">
        <f t="shared" si="104"/>
        <v/>
      </c>
      <c r="CY49" s="153" t="str">
        <f t="shared" si="176"/>
        <v/>
      </c>
      <c r="CZ49" s="152" t="str">
        <f t="shared" si="105"/>
        <v/>
      </c>
      <c r="DA49" s="153" t="str">
        <f t="shared" si="106"/>
        <v/>
      </c>
      <c r="DB49" s="152" t="str">
        <f t="shared" si="107"/>
        <v/>
      </c>
      <c r="DC49" s="153">
        <f t="shared" si="108"/>
        <v>0</v>
      </c>
      <c r="DD49" s="851" t="str">
        <f>IF('Marks Entry'!AS49="","",IF(OR('Master Sheet'!$D$19="YES",'Marks Entry'!$BA$1=1),'Marks Entry'!AS49,""))</f>
        <v/>
      </c>
      <c r="DE49" s="851" t="str">
        <f>IF('Marks Entry'!AT49="","",IF(OR('Master Sheet'!$D$19="YES",'Marks Entry'!$BA$1=1),'Marks Entry'!AT49,""))</f>
        <v/>
      </c>
      <c r="DF49" s="851" t="str">
        <f>IF('Marks Entry'!AU49="","",IF(OR('Master Sheet'!$D$19="YES",'Marks Entry'!$BA$1=1),'Marks Entry'!AU49,""))</f>
        <v/>
      </c>
      <c r="DG49" s="851" t="str">
        <f>IF('Marks Entry'!AV49="","",IF(OR('Master Sheet'!$D$19="YES",'Marks Entry'!$BA$1=1),'Marks Entry'!AV49,""))</f>
        <v/>
      </c>
      <c r="DH49" s="852" t="str">
        <f t="shared" si="109"/>
        <v/>
      </c>
      <c r="DI49" s="851" t="str">
        <f>IF('Marks Entry'!AW49="","",IF(OR('Master Sheet'!$D$19="YES",'Marks Entry'!$BA$1=1),'Marks Entry'!AW49,""))</f>
        <v/>
      </c>
      <c r="DJ49" s="851" t="str">
        <f>IF('Marks Entry'!AX49="","",IF(OR('Master Sheet'!$D$19="YES",'Marks Entry'!$BA$1=1),'Marks Entry'!AX49,""))</f>
        <v/>
      </c>
      <c r="DK49" s="852" t="str">
        <f t="shared" si="110"/>
        <v/>
      </c>
      <c r="DL49" s="852" t="str">
        <f t="shared" si="111"/>
        <v/>
      </c>
      <c r="DM49" s="851" t="str">
        <f>IF('Marks Entry'!AY49="","",IF(OR('Master Sheet'!$D$19="YES",'Marks Entry'!$BA$1=1),'Marks Entry'!AY49,""))</f>
        <v/>
      </c>
      <c r="DN49" s="851" t="str">
        <f>IF('Marks Entry'!AZ49="","",IF(OR('Master Sheet'!$D$19="YES",'Marks Entry'!$BA$1=1),'Marks Entry'!AZ49,""))</f>
        <v/>
      </c>
      <c r="DO49" s="851" t="str">
        <f>IF('Marks Entry'!BA49="","",IF(OR('Master Sheet'!$D$19="YES",'Marks Entry'!$BA$1=1),'Marks Entry'!BA49,""))</f>
        <v/>
      </c>
      <c r="DP49" s="852" t="str">
        <f t="shared" si="112"/>
        <v/>
      </c>
      <c r="DQ49" s="156" t="str">
        <f t="shared" si="113"/>
        <v/>
      </c>
      <c r="DR49" s="156" t="str">
        <f t="shared" si="114"/>
        <v/>
      </c>
      <c r="DS49" s="156" t="str">
        <f t="shared" si="115"/>
        <v/>
      </c>
      <c r="DT49" s="191" t="str">
        <f t="shared" si="116"/>
        <v/>
      </c>
      <c r="DU49" s="152">
        <f t="shared" si="117"/>
        <v>0</v>
      </c>
      <c r="DV49" s="153">
        <f t="shared" si="118"/>
        <v>0</v>
      </c>
      <c r="DW49" s="153" t="str">
        <f t="shared" si="119"/>
        <v/>
      </c>
      <c r="DX49" s="153" t="str">
        <f>IF(OR($B49="NSO",$B49=0,DS49=""),"",IF(AND(DJ49="",DO49=""),"",IF('Master Sheet'!$D$19="YES",$DO$6-COUNTIF(DO49,"ML")*DO$6,DS$6-(COUNTIF(DJ49,"ML")*DJ$6)-(COUNTIF(DO49,"ML")*DO$6))))</f>
        <v/>
      </c>
      <c r="DY49" s="153" t="str">
        <f>IF(OR($B49="NSO",$B49=0),"",IF(AND(DH49="",DI49="",DM49=""),"",IF(AND('Master Sheet'!$D$19="YES",'Marks Entry'!$BA$1=1),100,IF(AND(DJ49="",DO49=""),SUM(($DQ$7+$DR$7)-(DU49+DV49)),SUM(($DQ$6+$DR$6)-(DU49+DV49))))))</f>
        <v/>
      </c>
      <c r="DZ49" s="152" t="str">
        <f t="shared" si="120"/>
        <v/>
      </c>
      <c r="EA49" s="153" t="str">
        <f t="shared" si="121"/>
        <v/>
      </c>
      <c r="EB49" s="152" t="str">
        <f t="shared" si="122"/>
        <v/>
      </c>
      <c r="EC49" s="584" t="str">
        <f>IF('Marks Entry'!BB49="","",'Marks Entry'!BB49)</f>
        <v/>
      </c>
      <c r="ED49" s="584" t="str">
        <f>IF('Marks Entry'!BC49="","",'Marks Entry'!BC49)</f>
        <v/>
      </c>
      <c r="EE49" s="584" t="str">
        <f>IF('Marks Entry'!BD49="","",'Marks Entry'!BD49)</f>
        <v/>
      </c>
      <c r="EF49" s="590" t="str">
        <f t="shared" si="123"/>
        <v/>
      </c>
      <c r="EG49" s="595">
        <f t="shared" si="124"/>
        <v>0</v>
      </c>
      <c r="EH49" s="595">
        <f t="shared" si="125"/>
        <v>0</v>
      </c>
      <c r="EI49" s="192" t="str">
        <f t="shared" si="126"/>
        <v/>
      </c>
      <c r="EJ49" s="595" t="str">
        <f t="shared" si="127"/>
        <v/>
      </c>
      <c r="EK49" s="595" t="str">
        <f t="shared" si="128"/>
        <v/>
      </c>
      <c r="EL49" s="193" t="str">
        <f t="shared" si="129"/>
        <v/>
      </c>
      <c r="EM49" s="193" t="str">
        <f t="shared" si="130"/>
        <v/>
      </c>
      <c r="EN49" s="193" t="str">
        <f t="shared" si="131"/>
        <v/>
      </c>
      <c r="EO49" s="193" t="str">
        <f t="shared" si="132"/>
        <v/>
      </c>
      <c r="EP49" s="193" t="str">
        <f t="shared" si="133"/>
        <v/>
      </c>
      <c r="EQ49" s="193" t="str">
        <f t="shared" si="134"/>
        <v/>
      </c>
      <c r="ER49" s="194">
        <f t="shared" si="135"/>
        <v>0</v>
      </c>
      <c r="ES49" s="194">
        <f t="shared" si="136"/>
        <v>0</v>
      </c>
      <c r="ET49" s="194">
        <f t="shared" si="137"/>
        <v>0</v>
      </c>
      <c r="EU49" s="194">
        <f t="shared" si="138"/>
        <v>0</v>
      </c>
      <c r="EV49" s="194">
        <f t="shared" si="139"/>
        <v>0</v>
      </c>
      <c r="EW49" s="194" t="str">
        <f t="shared" si="140"/>
        <v/>
      </c>
      <c r="EX49" s="195" t="str">
        <f t="shared" si="141"/>
        <v/>
      </c>
      <c r="EY49" s="196" t="str">
        <f>IF('Marks Entry'!BE49="","",'Marks Entry'!BE49)</f>
        <v/>
      </c>
      <c r="EZ49" s="196" t="str">
        <f>IF('Marks Entry'!BF49="","",'Marks Entry'!BF49)</f>
        <v/>
      </c>
      <c r="FA49" s="196" t="str">
        <f>IF('Marks Entry'!BG49="","",'Marks Entry'!BG49)</f>
        <v/>
      </c>
      <c r="FB49" s="596" t="str">
        <f t="shared" si="142"/>
        <v/>
      </c>
      <c r="FC49" s="196" t="str">
        <f>IF('Marks Entry'!BH49="","",'Marks Entry'!BH49)</f>
        <v/>
      </c>
      <c r="FD49" s="196" t="str">
        <f>IF('Marks Entry'!BI49="","",'Marks Entry'!BI49)</f>
        <v/>
      </c>
      <c r="FE49" s="197" t="str">
        <f t="shared" si="143"/>
        <v/>
      </c>
      <c r="FF49" s="198" t="str">
        <f t="shared" si="144"/>
        <v/>
      </c>
      <c r="FG49" s="199" t="str">
        <f>IF(AND(E49=""),"",IF('Student DATA Entry'!L45="","",'Student DATA Entry'!L45))</f>
        <v/>
      </c>
      <c r="FH49" s="200" t="str">
        <f>IF(AND(E49=""),"",IF('Student DATA Entry'!M45="","",'Student DATA Entry'!M45))</f>
        <v/>
      </c>
      <c r="FI49" s="201" t="str">
        <f t="shared" si="145"/>
        <v/>
      </c>
      <c r="FJ49" s="188" t="str">
        <f t="shared" si="146"/>
        <v/>
      </c>
      <c r="FK49" s="188" t="str">
        <f t="shared" si="147"/>
        <v/>
      </c>
      <c r="FL49" s="202" t="str">
        <f t="shared" si="178"/>
        <v/>
      </c>
      <c r="FM49" s="188" t="str">
        <f t="shared" si="148"/>
        <v/>
      </c>
      <c r="FN49" s="203" t="str">
        <f t="shared" si="149"/>
        <v/>
      </c>
      <c r="FO49" s="202" t="str">
        <f t="shared" si="179"/>
        <v/>
      </c>
      <c r="FP49" s="204" t="str">
        <f t="shared" si="150"/>
        <v/>
      </c>
      <c r="FQ49" s="188" t="str">
        <f t="shared" si="180"/>
        <v/>
      </c>
      <c r="FR49" s="188" t="str">
        <f t="shared" si="181"/>
        <v/>
      </c>
      <c r="FS49" s="188" t="str">
        <f t="shared" si="182"/>
        <v/>
      </c>
      <c r="FT49" s="188" t="str">
        <f t="shared" si="183"/>
        <v/>
      </c>
      <c r="FU49" s="188" t="str">
        <f t="shared" si="151"/>
        <v/>
      </c>
      <c r="FV49" s="205" t="str">
        <f t="shared" si="184"/>
        <v/>
      </c>
      <c r="FW49" s="204" t="str">
        <f t="shared" si="152"/>
        <v/>
      </c>
      <c r="FX49" s="188" t="str">
        <f t="shared" si="185"/>
        <v/>
      </c>
      <c r="FY49" s="188" t="str">
        <f t="shared" si="186"/>
        <v/>
      </c>
      <c r="FZ49" s="188" t="str">
        <f t="shared" si="187"/>
        <v/>
      </c>
      <c r="GA49" s="188" t="str">
        <f t="shared" si="188"/>
        <v/>
      </c>
      <c r="GB49" s="188" t="str">
        <f t="shared" si="153"/>
        <v/>
      </c>
      <c r="GC49" s="205" t="str">
        <f t="shared" si="189"/>
        <v/>
      </c>
      <c r="GD49" s="204" t="str">
        <f t="shared" si="154"/>
        <v/>
      </c>
      <c r="GE49" s="188" t="str">
        <f t="shared" si="190"/>
        <v/>
      </c>
      <c r="GF49" s="188" t="str">
        <f t="shared" si="191"/>
        <v/>
      </c>
      <c r="GG49" s="188" t="str">
        <f t="shared" si="192"/>
        <v/>
      </c>
      <c r="GH49" s="188" t="str">
        <f t="shared" si="193"/>
        <v/>
      </c>
      <c r="GI49" s="188" t="str">
        <f t="shared" si="155"/>
        <v/>
      </c>
      <c r="GJ49" s="205" t="str">
        <f t="shared" si="194"/>
        <v/>
      </c>
      <c r="GK49" s="204" t="str">
        <f t="shared" si="156"/>
        <v/>
      </c>
      <c r="GL49" s="188" t="str">
        <f t="shared" si="195"/>
        <v/>
      </c>
      <c r="GM49" s="188" t="str">
        <f t="shared" si="196"/>
        <v/>
      </c>
      <c r="GN49" s="188" t="str">
        <f t="shared" si="197"/>
        <v/>
      </c>
      <c r="GO49" s="188" t="str">
        <f t="shared" si="198"/>
        <v/>
      </c>
      <c r="GP49" s="188" t="str">
        <f t="shared" si="157"/>
        <v/>
      </c>
      <c r="GQ49" s="205" t="str">
        <f t="shared" si="199"/>
        <v/>
      </c>
      <c r="GR49" s="188" t="str">
        <f t="shared" si="158"/>
        <v/>
      </c>
      <c r="GS49" s="188" t="str">
        <f t="shared" si="159"/>
        <v/>
      </c>
      <c r="GT49" s="206" t="str">
        <f t="shared" si="177"/>
        <v xml:space="preserve">    </v>
      </c>
      <c r="GU49" s="206" t="str">
        <f t="shared" si="160"/>
        <v xml:space="preserve">    </v>
      </c>
      <c r="GV49" s="206" t="str">
        <f t="shared" si="161"/>
        <v xml:space="preserve">    </v>
      </c>
      <c r="GW49" s="206" t="str">
        <f t="shared" si="162"/>
        <v xml:space="preserve">       </v>
      </c>
      <c r="GX49" s="598" t="str">
        <f t="shared" si="163"/>
        <v xml:space="preserve">     </v>
      </c>
      <c r="GY49" s="207" t="str">
        <f t="shared" si="200"/>
        <v/>
      </c>
      <c r="GZ49" s="606" t="str">
        <f>IF(AND(Q49="",AE49="",AZ49="",BW49="",CT49=""),"",IF(AND('Master Sheet'!$D$19="YES",'Marks Entry'!$BA$1=1),SUM(Q49,AE49,AZ49,BW49,DT49),SUM(Q49,AE49,AZ49,BW49,CT49)))</f>
        <v/>
      </c>
      <c r="HA49" s="208" t="str">
        <f>IF(GZ49="","",IF(AND('Master Sheet'!$D$19="YES",'Marks Entry'!$BA$1=1),GZ49/((900)-DC49)*100,GZ49/((1000)-DC49)*100))</f>
        <v/>
      </c>
      <c r="HB49" s="611" t="str">
        <f t="shared" si="165"/>
        <v/>
      </c>
      <c r="HC49" s="609" t="str">
        <f t="shared" si="166"/>
        <v/>
      </c>
      <c r="HD49" s="610" t="str">
        <f t="shared" si="167"/>
        <v/>
      </c>
      <c r="HE49" s="209" t="str">
        <f>IFERROR(IF(OR(GY49="SUPPLEMENTARY",GY49="RE-EXAM"),'Supp. Result Entry'!AS48,""),"")</f>
        <v/>
      </c>
      <c r="HF49" s="613" t="str">
        <f t="shared" si="168"/>
        <v/>
      </c>
      <c r="HG49" s="598" t="str">
        <f t="shared" si="169"/>
        <v/>
      </c>
      <c r="HH49" s="598" t="str">
        <f>IF(AND(HE49="",HF49="",HG49=""),"",IF(OR(GY49="SUPPLEMENTARY",GY49="RE-EXAM"),'Supp. Result Entry'!AS48,GY49))</f>
        <v/>
      </c>
      <c r="HI49" s="179"/>
      <c r="HJ49" s="213"/>
      <c r="HY49" s="211" t="str">
        <f>IF('Supp. Result Entry'!U48="","",'Supp. Result Entry'!$U$6)</f>
        <v/>
      </c>
      <c r="HZ49" s="212" t="str">
        <f>IF('Supp. Result Entry'!X48="","",'Supp. Result Entry'!$X$6)</f>
        <v/>
      </c>
      <c r="IA49" s="212" t="str">
        <f>IF('Supp. Result Entry'!AA48="","",'Supp. Result Entry'!$AA$6)</f>
        <v/>
      </c>
      <c r="IB49" s="212" t="str">
        <f>IF('Supp. Result Entry'!AD48="","",'Supp. Result Entry'!$AD$6)</f>
        <v/>
      </c>
      <c r="IC49" s="212" t="str">
        <f>IF('Supp. Result Entry'!AG48="","",'Supp. Result Entry'!$AG$6)</f>
        <v/>
      </c>
      <c r="ID49" s="212" t="str">
        <f>IF('Supp. Result Entry'!AJ48="","",'Supp. Result Entry'!$AJ$6)</f>
        <v/>
      </c>
      <c r="IE49" s="212" t="str">
        <f>IF('Supp. Result Entry'!V48="","",'Supp. Result Entry'!V48)</f>
        <v/>
      </c>
      <c r="IF49" s="212" t="str">
        <f>IF('Supp. Result Entry'!Y48="","",'Supp. Result Entry'!Y48)</f>
        <v/>
      </c>
      <c r="IG49" s="212" t="str">
        <f>IF('Supp. Result Entry'!AB48="","",'Supp. Result Entry'!AB48)</f>
        <v/>
      </c>
      <c r="IH49" s="212" t="str">
        <f>IF('Supp. Result Entry'!AE48="","",'Supp. Result Entry'!AE48)</f>
        <v/>
      </c>
      <c r="II49" s="212" t="str">
        <f>IF('Supp. Result Entry'!AH48="","",'Supp. Result Entry'!AH48)</f>
        <v/>
      </c>
      <c r="IJ49" s="212" t="str">
        <f>IF('Supp. Result Entry'!AK48="","",'Supp. Result Entry'!AK48)</f>
        <v/>
      </c>
      <c r="IK49" s="212" t="str">
        <f>IF('Supp. Result Entry'!W48="","",'Supp. Result Entry'!W48)</f>
        <v/>
      </c>
      <c r="IL49" s="212" t="str">
        <f>IF('Supp. Result Entry'!Z48="","",'Supp. Result Entry'!Z48)</f>
        <v/>
      </c>
      <c r="IM49" s="212" t="str">
        <f>IF('Supp. Result Entry'!AC48="","",'Supp. Result Entry'!AC48)</f>
        <v/>
      </c>
      <c r="IN49" s="212" t="str">
        <f>IF('Supp. Result Entry'!AF48="","",'Supp. Result Entry'!AF48)</f>
        <v/>
      </c>
      <c r="IO49" s="212" t="str">
        <f>IF('Supp. Result Entry'!AI48="","",'Supp. Result Entry'!AI48)</f>
        <v/>
      </c>
      <c r="IP49" s="212" t="str">
        <f>IF('Supp. Result Entry'!AL48="","",'Supp. Result Entry'!AL48)</f>
        <v/>
      </c>
      <c r="IQ49" s="212">
        <f>COUNTIF('Supp. Result Entry'!K48:Q48,"S")</f>
        <v>0</v>
      </c>
      <c r="IR49" s="212">
        <f t="shared" si="170"/>
        <v>0</v>
      </c>
      <c r="IS49" s="212">
        <f t="shared" si="171"/>
        <v>0</v>
      </c>
      <c r="IT49" s="212" t="str">
        <f t="shared" si="41"/>
        <v/>
      </c>
      <c r="IU49" s="212" t="str">
        <f t="shared" si="42"/>
        <v/>
      </c>
      <c r="IV49" s="212" t="str">
        <f t="shared" si="43"/>
        <v/>
      </c>
      <c r="IW49" s="212" t="str">
        <f t="shared" si="44"/>
        <v/>
      </c>
      <c r="IX49" s="212" t="str">
        <f t="shared" si="45"/>
        <v/>
      </c>
      <c r="IY49" s="212" t="str">
        <f t="shared" si="172"/>
        <v/>
      </c>
      <c r="IZ49" s="212" t="str">
        <f t="shared" si="173"/>
        <v/>
      </c>
      <c r="JA49" s="212" t="str">
        <f t="shared" si="46"/>
        <v/>
      </c>
      <c r="JB49" s="210" t="str">
        <f t="shared" si="174"/>
        <v/>
      </c>
    </row>
    <row r="50" spans="1:262" s="210" customFormat="1" ht="21" customHeight="1">
      <c r="A50" s="183">
        <v>43</v>
      </c>
      <c r="B50" s="184" t="str">
        <f>IF('Marks Entry'!B50="","",'Marks Entry'!B50)</f>
        <v/>
      </c>
      <c r="C50" s="185" t="str">
        <f>IF('Marks Entry'!D50="","",'Marks Entry'!D50)</f>
        <v/>
      </c>
      <c r="D50" s="186" t="str">
        <f>IF('Marks Entry'!E50="","",'Marks Entry'!E50)</f>
        <v/>
      </c>
      <c r="E50" s="187" t="str">
        <f>IF('Marks Entry'!F50="","",'Marks Entry'!F50)</f>
        <v/>
      </c>
      <c r="F50" s="187" t="str">
        <f>IF('Marks Entry'!G50="","",'Marks Entry'!G50)</f>
        <v/>
      </c>
      <c r="G50" s="187" t="str">
        <f>IF('Marks Entry'!H50="","",'Marks Entry'!H50)</f>
        <v/>
      </c>
      <c r="H50" s="188" t="str">
        <f>IF('Marks Entry'!I50="","",'Marks Entry'!I50)</f>
        <v/>
      </c>
      <c r="I50" s="189" t="str">
        <f>IF('Marks Entry'!J50="","",'Marks Entry'!J50)</f>
        <v/>
      </c>
      <c r="J50" s="545" t="str">
        <f>IF('Marks Entry'!K50="","",'Marks Entry'!K50)</f>
        <v/>
      </c>
      <c r="K50" s="545" t="str">
        <f>IF('Marks Entry'!L50="","",'Marks Entry'!L50)</f>
        <v/>
      </c>
      <c r="L50" s="545" t="str">
        <f>IF('Marks Entry'!M50="","",'Marks Entry'!M50)</f>
        <v/>
      </c>
      <c r="M50" s="546" t="str">
        <f t="shared" si="47"/>
        <v/>
      </c>
      <c r="N50" s="545" t="str">
        <f>IF('Marks Entry'!N50="","",'Marks Entry'!N50)</f>
        <v/>
      </c>
      <c r="O50" s="546" t="str">
        <f t="shared" si="48"/>
        <v/>
      </c>
      <c r="P50" s="545" t="str">
        <f>IF('Marks Entry'!O50="","",'Marks Entry'!O50)</f>
        <v/>
      </c>
      <c r="Q50" s="547" t="str">
        <f t="shared" si="49"/>
        <v/>
      </c>
      <c r="R50" s="152">
        <f t="shared" si="50"/>
        <v>0</v>
      </c>
      <c r="S50" s="152">
        <f t="shared" si="51"/>
        <v>0</v>
      </c>
      <c r="T50" s="153" t="str">
        <f t="shared" si="52"/>
        <v/>
      </c>
      <c r="U50" s="152" t="str">
        <f t="shared" si="53"/>
        <v/>
      </c>
      <c r="V50" s="152" t="str">
        <f t="shared" si="54"/>
        <v/>
      </c>
      <c r="W50" s="152" t="str">
        <f t="shared" si="55"/>
        <v/>
      </c>
      <c r="X50" s="545" t="str">
        <f>IF('Marks Entry'!P50="","",'Marks Entry'!P50)</f>
        <v/>
      </c>
      <c r="Y50" s="545" t="str">
        <f>IF('Marks Entry'!Q50="","",'Marks Entry'!Q50)</f>
        <v/>
      </c>
      <c r="Z50" s="545" t="str">
        <f>IF('Marks Entry'!R50="","",'Marks Entry'!R50)</f>
        <v/>
      </c>
      <c r="AA50" s="546" t="str">
        <f t="shared" si="56"/>
        <v/>
      </c>
      <c r="AB50" s="545" t="str">
        <f>IF('Marks Entry'!S50="","",'Marks Entry'!S50)</f>
        <v/>
      </c>
      <c r="AC50" s="546" t="str">
        <f t="shared" si="57"/>
        <v/>
      </c>
      <c r="AD50" s="545" t="str">
        <f>IF('Marks Entry'!T50="","",'Marks Entry'!T50)</f>
        <v/>
      </c>
      <c r="AE50" s="547" t="str">
        <f t="shared" si="58"/>
        <v/>
      </c>
      <c r="AF50" s="152">
        <f t="shared" si="59"/>
        <v>0</v>
      </c>
      <c r="AG50" s="152">
        <f t="shared" si="60"/>
        <v>0</v>
      </c>
      <c r="AH50" s="153" t="str">
        <f t="shared" si="61"/>
        <v/>
      </c>
      <c r="AI50" s="152" t="str">
        <f t="shared" si="62"/>
        <v/>
      </c>
      <c r="AJ50" s="152" t="str">
        <f t="shared" si="63"/>
        <v/>
      </c>
      <c r="AK50" s="152" t="str">
        <f t="shared" si="64"/>
        <v/>
      </c>
      <c r="AL50" s="573" t="str">
        <f>IF('Marks Entry'!U50="","",'Marks Entry'!U50)</f>
        <v/>
      </c>
      <c r="AM50" s="573" t="str">
        <f>IF('Marks Entry'!V50="","",'Marks Entry'!V50)</f>
        <v/>
      </c>
      <c r="AN50" s="573" t="str">
        <f>IF('Marks Entry'!W50="","",'Marks Entry'!W50)</f>
        <v/>
      </c>
      <c r="AO50" s="573" t="str">
        <f>IF('Marks Entry'!X50="","",'Marks Entry'!X50)</f>
        <v/>
      </c>
      <c r="AP50" s="572" t="str">
        <f t="shared" si="65"/>
        <v/>
      </c>
      <c r="AQ50" s="573" t="str">
        <f>IF('Marks Entry'!Y50="","",'Marks Entry'!Y50)</f>
        <v/>
      </c>
      <c r="AR50" s="573" t="str">
        <f>IF('Marks Entry'!Z50="","",'Marks Entry'!Z50)</f>
        <v/>
      </c>
      <c r="AS50" s="572" t="str">
        <f t="shared" si="66"/>
        <v/>
      </c>
      <c r="AT50" s="572" t="str">
        <f t="shared" si="67"/>
        <v/>
      </c>
      <c r="AU50" s="573" t="str">
        <f>IF('Marks Entry'!AA50="","",'Marks Entry'!AA50)</f>
        <v/>
      </c>
      <c r="AV50" s="573" t="str">
        <f>IF('Marks Entry'!AB50="","",'Marks Entry'!AB50)</f>
        <v/>
      </c>
      <c r="AW50" s="572" t="str">
        <f t="shared" si="68"/>
        <v/>
      </c>
      <c r="AX50" s="156" t="str">
        <f t="shared" si="69"/>
        <v/>
      </c>
      <c r="AY50" s="156" t="str">
        <f t="shared" si="70"/>
        <v/>
      </c>
      <c r="AZ50" s="191" t="str">
        <f t="shared" si="71"/>
        <v/>
      </c>
      <c r="BA50" s="152">
        <f t="shared" si="72"/>
        <v>0</v>
      </c>
      <c r="BB50" s="153">
        <f t="shared" si="73"/>
        <v>0</v>
      </c>
      <c r="BC50" s="153" t="str">
        <f t="shared" si="74"/>
        <v/>
      </c>
      <c r="BD50" s="153" t="str">
        <f t="shared" si="75"/>
        <v/>
      </c>
      <c r="BE50" s="153" t="str">
        <f t="shared" si="76"/>
        <v/>
      </c>
      <c r="BF50" s="152" t="str">
        <f t="shared" si="77"/>
        <v/>
      </c>
      <c r="BG50" s="153" t="str">
        <f t="shared" si="175"/>
        <v/>
      </c>
      <c r="BH50" s="152" t="str">
        <f t="shared" si="78"/>
        <v/>
      </c>
      <c r="BI50" s="580" t="str">
        <f>IF('Marks Entry'!AC50="","",'Marks Entry'!AC50)</f>
        <v/>
      </c>
      <c r="BJ50" s="580" t="str">
        <f>IF('Marks Entry'!AD50="","",'Marks Entry'!AD50)</f>
        <v/>
      </c>
      <c r="BK50" s="580" t="str">
        <f>IF('Marks Entry'!AE50="","",'Marks Entry'!AE50)</f>
        <v/>
      </c>
      <c r="BL50" s="580" t="str">
        <f>IF('Marks Entry'!AF50="","",'Marks Entry'!AF50)</f>
        <v/>
      </c>
      <c r="BM50" s="581" t="str">
        <f t="shared" si="79"/>
        <v/>
      </c>
      <c r="BN50" s="580" t="str">
        <f>IF('Marks Entry'!AG50="","",'Marks Entry'!AG50)</f>
        <v/>
      </c>
      <c r="BO50" s="580" t="str">
        <f>IF('Marks Entry'!AH50="","",'Marks Entry'!AH50)</f>
        <v/>
      </c>
      <c r="BP50" s="581" t="str">
        <f t="shared" si="80"/>
        <v/>
      </c>
      <c r="BQ50" s="581" t="str">
        <f t="shared" si="81"/>
        <v/>
      </c>
      <c r="BR50" s="580" t="str">
        <f>IF('Marks Entry'!AI50="","",'Marks Entry'!AI50)</f>
        <v/>
      </c>
      <c r="BS50" s="580" t="str">
        <f>IF('Marks Entry'!AJ50="","",'Marks Entry'!AJ50)</f>
        <v/>
      </c>
      <c r="BT50" s="581" t="str">
        <f t="shared" si="82"/>
        <v/>
      </c>
      <c r="BU50" s="156" t="str">
        <f t="shared" si="83"/>
        <v/>
      </c>
      <c r="BV50" s="156" t="str">
        <f t="shared" si="84"/>
        <v/>
      </c>
      <c r="BW50" s="191" t="str">
        <f t="shared" si="85"/>
        <v/>
      </c>
      <c r="BX50" s="152">
        <f t="shared" si="86"/>
        <v>0</v>
      </c>
      <c r="BY50" s="153">
        <f t="shared" si="87"/>
        <v>0</v>
      </c>
      <c r="BZ50" s="153" t="str">
        <f t="shared" si="88"/>
        <v/>
      </c>
      <c r="CA50" s="153" t="str">
        <f t="shared" si="89"/>
        <v/>
      </c>
      <c r="CB50" s="153" t="str">
        <f t="shared" si="90"/>
        <v/>
      </c>
      <c r="CC50" s="152" t="str">
        <f t="shared" si="91"/>
        <v/>
      </c>
      <c r="CD50" s="153" t="str">
        <f t="shared" si="92"/>
        <v/>
      </c>
      <c r="CE50" s="152" t="str">
        <f t="shared" si="93"/>
        <v/>
      </c>
      <c r="CF50" s="580" t="str">
        <f>IF('Marks Entry'!AK50="","",'Marks Entry'!AK50)</f>
        <v/>
      </c>
      <c r="CG50" s="580" t="str">
        <f>IF('Marks Entry'!AL50="","",'Marks Entry'!AL50)</f>
        <v/>
      </c>
      <c r="CH50" s="580" t="str">
        <f>IF('Marks Entry'!AM50="","",'Marks Entry'!AM50)</f>
        <v/>
      </c>
      <c r="CI50" s="580" t="str">
        <f>IF('Marks Entry'!AN50="","",'Marks Entry'!AN50)</f>
        <v/>
      </c>
      <c r="CJ50" s="581" t="str">
        <f t="shared" si="94"/>
        <v/>
      </c>
      <c r="CK50" s="580" t="str">
        <f>IF('Marks Entry'!AO50="","",'Marks Entry'!AO50)</f>
        <v/>
      </c>
      <c r="CL50" s="580" t="str">
        <f>IF('Marks Entry'!AP50="","",'Marks Entry'!AP50)</f>
        <v/>
      </c>
      <c r="CM50" s="581" t="str">
        <f t="shared" si="95"/>
        <v/>
      </c>
      <c r="CN50" s="581" t="str">
        <f t="shared" si="96"/>
        <v/>
      </c>
      <c r="CO50" s="580" t="str">
        <f>IF('Marks Entry'!AQ50="","",'Marks Entry'!AQ50)</f>
        <v/>
      </c>
      <c r="CP50" s="580" t="str">
        <f>IF('Marks Entry'!AR50="","",'Marks Entry'!AR50)</f>
        <v/>
      </c>
      <c r="CQ50" s="581" t="str">
        <f t="shared" si="97"/>
        <v/>
      </c>
      <c r="CR50" s="156" t="str">
        <f t="shared" si="98"/>
        <v/>
      </c>
      <c r="CS50" s="156" t="str">
        <f t="shared" si="99"/>
        <v/>
      </c>
      <c r="CT50" s="191" t="str">
        <f t="shared" si="100"/>
        <v/>
      </c>
      <c r="CU50" s="152">
        <f t="shared" si="101"/>
        <v>0</v>
      </c>
      <c r="CV50" s="153">
        <f t="shared" si="102"/>
        <v>0</v>
      </c>
      <c r="CW50" s="153" t="str">
        <f t="shared" si="103"/>
        <v/>
      </c>
      <c r="CX50" s="153" t="str">
        <f t="shared" si="104"/>
        <v/>
      </c>
      <c r="CY50" s="153" t="str">
        <f t="shared" si="176"/>
        <v/>
      </c>
      <c r="CZ50" s="152" t="str">
        <f t="shared" si="105"/>
        <v/>
      </c>
      <c r="DA50" s="153" t="str">
        <f t="shared" si="106"/>
        <v/>
      </c>
      <c r="DB50" s="152" t="str">
        <f t="shared" si="107"/>
        <v/>
      </c>
      <c r="DC50" s="153">
        <f t="shared" si="108"/>
        <v>0</v>
      </c>
      <c r="DD50" s="851" t="str">
        <f>IF('Marks Entry'!AS50="","",IF(OR('Master Sheet'!$D$19="YES",'Marks Entry'!$BA$1=1),'Marks Entry'!AS50,""))</f>
        <v/>
      </c>
      <c r="DE50" s="851" t="str">
        <f>IF('Marks Entry'!AT50="","",IF(OR('Master Sheet'!$D$19="YES",'Marks Entry'!$BA$1=1),'Marks Entry'!AT50,""))</f>
        <v/>
      </c>
      <c r="DF50" s="851" t="str">
        <f>IF('Marks Entry'!AU50="","",IF(OR('Master Sheet'!$D$19="YES",'Marks Entry'!$BA$1=1),'Marks Entry'!AU50,""))</f>
        <v/>
      </c>
      <c r="DG50" s="851" t="str">
        <f>IF('Marks Entry'!AV50="","",IF(OR('Master Sheet'!$D$19="YES",'Marks Entry'!$BA$1=1),'Marks Entry'!AV50,""))</f>
        <v/>
      </c>
      <c r="DH50" s="852" t="str">
        <f t="shared" si="109"/>
        <v/>
      </c>
      <c r="DI50" s="851" t="str">
        <f>IF('Marks Entry'!AW50="","",IF(OR('Master Sheet'!$D$19="YES",'Marks Entry'!$BA$1=1),'Marks Entry'!AW50,""))</f>
        <v/>
      </c>
      <c r="DJ50" s="851" t="str">
        <f>IF('Marks Entry'!AX50="","",IF(OR('Master Sheet'!$D$19="YES",'Marks Entry'!$BA$1=1),'Marks Entry'!AX50,""))</f>
        <v/>
      </c>
      <c r="DK50" s="852" t="str">
        <f t="shared" si="110"/>
        <v/>
      </c>
      <c r="DL50" s="852" t="str">
        <f t="shared" si="111"/>
        <v/>
      </c>
      <c r="DM50" s="851" t="str">
        <f>IF('Marks Entry'!AY50="","",IF(OR('Master Sheet'!$D$19="YES",'Marks Entry'!$BA$1=1),'Marks Entry'!AY50,""))</f>
        <v/>
      </c>
      <c r="DN50" s="851" t="str">
        <f>IF('Marks Entry'!AZ50="","",IF(OR('Master Sheet'!$D$19="YES",'Marks Entry'!$BA$1=1),'Marks Entry'!AZ50,""))</f>
        <v/>
      </c>
      <c r="DO50" s="851" t="str">
        <f>IF('Marks Entry'!BA50="","",IF(OR('Master Sheet'!$D$19="YES",'Marks Entry'!$BA$1=1),'Marks Entry'!BA50,""))</f>
        <v/>
      </c>
      <c r="DP50" s="852" t="str">
        <f t="shared" si="112"/>
        <v/>
      </c>
      <c r="DQ50" s="156" t="str">
        <f t="shared" si="113"/>
        <v/>
      </c>
      <c r="DR50" s="156" t="str">
        <f t="shared" si="114"/>
        <v/>
      </c>
      <c r="DS50" s="156" t="str">
        <f t="shared" si="115"/>
        <v/>
      </c>
      <c r="DT50" s="191" t="str">
        <f t="shared" si="116"/>
        <v/>
      </c>
      <c r="DU50" s="152">
        <f t="shared" si="117"/>
        <v>0</v>
      </c>
      <c r="DV50" s="153">
        <f t="shared" si="118"/>
        <v>0</v>
      </c>
      <c r="DW50" s="153" t="str">
        <f t="shared" si="119"/>
        <v/>
      </c>
      <c r="DX50" s="153" t="str">
        <f>IF(OR($B50="NSO",$B50=0,DS50=""),"",IF(AND(DJ50="",DO50=""),"",IF('Master Sheet'!$D$19="YES",$DO$6-COUNTIF(DO50,"ML")*DO$6,DS$6-(COUNTIF(DJ50,"ML")*DJ$6)-(COUNTIF(DO50,"ML")*DO$6))))</f>
        <v/>
      </c>
      <c r="DY50" s="153" t="str">
        <f>IF(OR($B50="NSO",$B50=0),"",IF(AND(DH50="",DI50="",DM50=""),"",IF(AND('Master Sheet'!$D$19="YES",'Marks Entry'!$BA$1=1),100,IF(AND(DJ50="",DO50=""),SUM(($DQ$7+$DR$7)-(DU50+DV50)),SUM(($DQ$6+$DR$6)-(DU50+DV50))))))</f>
        <v/>
      </c>
      <c r="DZ50" s="152" t="str">
        <f t="shared" si="120"/>
        <v/>
      </c>
      <c r="EA50" s="153" t="str">
        <f t="shared" si="121"/>
        <v/>
      </c>
      <c r="EB50" s="152" t="str">
        <f t="shared" si="122"/>
        <v/>
      </c>
      <c r="EC50" s="584" t="str">
        <f>IF('Marks Entry'!BB50="","",'Marks Entry'!BB50)</f>
        <v/>
      </c>
      <c r="ED50" s="584" t="str">
        <f>IF('Marks Entry'!BC50="","",'Marks Entry'!BC50)</f>
        <v/>
      </c>
      <c r="EE50" s="584" t="str">
        <f>IF('Marks Entry'!BD50="","",'Marks Entry'!BD50)</f>
        <v/>
      </c>
      <c r="EF50" s="590" t="str">
        <f t="shared" si="123"/>
        <v/>
      </c>
      <c r="EG50" s="595">
        <f t="shared" si="124"/>
        <v>0</v>
      </c>
      <c r="EH50" s="595">
        <f t="shared" si="125"/>
        <v>0</v>
      </c>
      <c r="EI50" s="192" t="str">
        <f t="shared" si="126"/>
        <v/>
      </c>
      <c r="EJ50" s="595" t="str">
        <f t="shared" si="127"/>
        <v/>
      </c>
      <c r="EK50" s="595" t="str">
        <f t="shared" si="128"/>
        <v/>
      </c>
      <c r="EL50" s="193" t="str">
        <f t="shared" si="129"/>
        <v/>
      </c>
      <c r="EM50" s="193" t="str">
        <f t="shared" si="130"/>
        <v/>
      </c>
      <c r="EN50" s="193" t="str">
        <f t="shared" si="131"/>
        <v/>
      </c>
      <c r="EO50" s="193" t="str">
        <f t="shared" si="132"/>
        <v/>
      </c>
      <c r="EP50" s="193" t="str">
        <f t="shared" si="133"/>
        <v/>
      </c>
      <c r="EQ50" s="193" t="str">
        <f t="shared" si="134"/>
        <v/>
      </c>
      <c r="ER50" s="194">
        <f t="shared" si="135"/>
        <v>0</v>
      </c>
      <c r="ES50" s="194">
        <f t="shared" si="136"/>
        <v>0</v>
      </c>
      <c r="ET50" s="194">
        <f t="shared" si="137"/>
        <v>0</v>
      </c>
      <c r="EU50" s="194">
        <f t="shared" si="138"/>
        <v>0</v>
      </c>
      <c r="EV50" s="194">
        <f t="shared" si="139"/>
        <v>0</v>
      </c>
      <c r="EW50" s="194" t="str">
        <f t="shared" si="140"/>
        <v/>
      </c>
      <c r="EX50" s="195" t="str">
        <f t="shared" si="141"/>
        <v/>
      </c>
      <c r="EY50" s="196" t="str">
        <f>IF('Marks Entry'!BE50="","",'Marks Entry'!BE50)</f>
        <v/>
      </c>
      <c r="EZ50" s="196" t="str">
        <f>IF('Marks Entry'!BF50="","",'Marks Entry'!BF50)</f>
        <v/>
      </c>
      <c r="FA50" s="196" t="str">
        <f>IF('Marks Entry'!BG50="","",'Marks Entry'!BG50)</f>
        <v/>
      </c>
      <c r="FB50" s="596" t="str">
        <f t="shared" si="142"/>
        <v/>
      </c>
      <c r="FC50" s="196" t="str">
        <f>IF('Marks Entry'!BH50="","",'Marks Entry'!BH50)</f>
        <v/>
      </c>
      <c r="FD50" s="196" t="str">
        <f>IF('Marks Entry'!BI50="","",'Marks Entry'!BI50)</f>
        <v/>
      </c>
      <c r="FE50" s="197" t="str">
        <f t="shared" si="143"/>
        <v/>
      </c>
      <c r="FF50" s="198" t="str">
        <f t="shared" si="144"/>
        <v/>
      </c>
      <c r="FG50" s="199" t="str">
        <f>IF(AND(E50=""),"",IF('Student DATA Entry'!L46="","",'Student DATA Entry'!L46))</f>
        <v/>
      </c>
      <c r="FH50" s="200" t="str">
        <f>IF(AND(E50=""),"",IF('Student DATA Entry'!M46="","",'Student DATA Entry'!M46))</f>
        <v/>
      </c>
      <c r="FI50" s="201" t="str">
        <f t="shared" si="145"/>
        <v/>
      </c>
      <c r="FJ50" s="188" t="str">
        <f t="shared" si="146"/>
        <v/>
      </c>
      <c r="FK50" s="188" t="str">
        <f t="shared" si="147"/>
        <v/>
      </c>
      <c r="FL50" s="202" t="str">
        <f t="shared" si="178"/>
        <v/>
      </c>
      <c r="FM50" s="188" t="str">
        <f t="shared" si="148"/>
        <v/>
      </c>
      <c r="FN50" s="203" t="str">
        <f t="shared" si="149"/>
        <v/>
      </c>
      <c r="FO50" s="202" t="str">
        <f t="shared" si="179"/>
        <v/>
      </c>
      <c r="FP50" s="204" t="str">
        <f t="shared" si="150"/>
        <v/>
      </c>
      <c r="FQ50" s="188" t="str">
        <f t="shared" si="180"/>
        <v/>
      </c>
      <c r="FR50" s="188" t="str">
        <f t="shared" si="181"/>
        <v/>
      </c>
      <c r="FS50" s="188" t="str">
        <f t="shared" si="182"/>
        <v/>
      </c>
      <c r="FT50" s="188" t="str">
        <f t="shared" si="183"/>
        <v/>
      </c>
      <c r="FU50" s="188" t="str">
        <f t="shared" si="151"/>
        <v/>
      </c>
      <c r="FV50" s="205" t="str">
        <f t="shared" si="184"/>
        <v/>
      </c>
      <c r="FW50" s="204" t="str">
        <f t="shared" si="152"/>
        <v/>
      </c>
      <c r="FX50" s="188" t="str">
        <f t="shared" si="185"/>
        <v/>
      </c>
      <c r="FY50" s="188" t="str">
        <f t="shared" si="186"/>
        <v/>
      </c>
      <c r="FZ50" s="188" t="str">
        <f t="shared" si="187"/>
        <v/>
      </c>
      <c r="GA50" s="188" t="str">
        <f t="shared" si="188"/>
        <v/>
      </c>
      <c r="GB50" s="188" t="str">
        <f t="shared" si="153"/>
        <v/>
      </c>
      <c r="GC50" s="205" t="str">
        <f t="shared" si="189"/>
        <v/>
      </c>
      <c r="GD50" s="204" t="str">
        <f t="shared" si="154"/>
        <v/>
      </c>
      <c r="GE50" s="188" t="str">
        <f t="shared" si="190"/>
        <v/>
      </c>
      <c r="GF50" s="188" t="str">
        <f t="shared" si="191"/>
        <v/>
      </c>
      <c r="GG50" s="188" t="str">
        <f t="shared" si="192"/>
        <v/>
      </c>
      <c r="GH50" s="188" t="str">
        <f t="shared" si="193"/>
        <v/>
      </c>
      <c r="GI50" s="188" t="str">
        <f t="shared" si="155"/>
        <v/>
      </c>
      <c r="GJ50" s="205" t="str">
        <f t="shared" si="194"/>
        <v/>
      </c>
      <c r="GK50" s="204" t="str">
        <f t="shared" si="156"/>
        <v/>
      </c>
      <c r="GL50" s="188" t="str">
        <f t="shared" si="195"/>
        <v/>
      </c>
      <c r="GM50" s="188" t="str">
        <f t="shared" si="196"/>
        <v/>
      </c>
      <c r="GN50" s="188" t="str">
        <f t="shared" si="197"/>
        <v/>
      </c>
      <c r="GO50" s="188" t="str">
        <f t="shared" si="198"/>
        <v/>
      </c>
      <c r="GP50" s="188" t="str">
        <f t="shared" si="157"/>
        <v/>
      </c>
      <c r="GQ50" s="205" t="str">
        <f t="shared" si="199"/>
        <v/>
      </c>
      <c r="GR50" s="188" t="str">
        <f t="shared" si="158"/>
        <v/>
      </c>
      <c r="GS50" s="188" t="str">
        <f t="shared" si="159"/>
        <v/>
      </c>
      <c r="GT50" s="206" t="str">
        <f t="shared" si="177"/>
        <v xml:space="preserve">    </v>
      </c>
      <c r="GU50" s="206" t="str">
        <f t="shared" si="160"/>
        <v xml:space="preserve">    </v>
      </c>
      <c r="GV50" s="206" t="str">
        <f t="shared" si="161"/>
        <v xml:space="preserve">    </v>
      </c>
      <c r="GW50" s="206" t="str">
        <f t="shared" si="162"/>
        <v xml:space="preserve">       </v>
      </c>
      <c r="GX50" s="598" t="str">
        <f t="shared" si="163"/>
        <v xml:space="preserve">     </v>
      </c>
      <c r="GY50" s="207" t="str">
        <f t="shared" si="200"/>
        <v/>
      </c>
      <c r="GZ50" s="606" t="str">
        <f>IF(AND(Q50="",AE50="",AZ50="",BW50="",CT50=""),"",IF(AND('Master Sheet'!$D$19="YES",'Marks Entry'!$BA$1=1),SUM(Q50,AE50,AZ50,BW50,DT50),SUM(Q50,AE50,AZ50,BW50,CT50)))</f>
        <v/>
      </c>
      <c r="HA50" s="208" t="str">
        <f>IF(GZ50="","",IF(AND('Master Sheet'!$D$19="YES",'Marks Entry'!$BA$1=1),GZ50/((900)-DC50)*100,GZ50/((1000)-DC50)*100))</f>
        <v/>
      </c>
      <c r="HB50" s="611" t="str">
        <f t="shared" si="165"/>
        <v/>
      </c>
      <c r="HC50" s="609" t="str">
        <f t="shared" si="166"/>
        <v/>
      </c>
      <c r="HD50" s="610" t="str">
        <f t="shared" si="167"/>
        <v/>
      </c>
      <c r="HE50" s="209" t="str">
        <f>IFERROR(IF(OR(GY50="SUPPLEMENTARY",GY50="RE-EXAM"),'Supp. Result Entry'!AS49,""),"")</f>
        <v/>
      </c>
      <c r="HF50" s="613" t="str">
        <f t="shared" si="168"/>
        <v/>
      </c>
      <c r="HG50" s="598" t="str">
        <f t="shared" si="169"/>
        <v/>
      </c>
      <c r="HH50" s="598" t="str">
        <f>IF(AND(HE50="",HF50="",HG50=""),"",IF(OR(GY50="SUPPLEMENTARY",GY50="RE-EXAM"),'Supp. Result Entry'!AS49,GY50))</f>
        <v/>
      </c>
      <c r="HI50" s="179"/>
      <c r="HJ50" s="213"/>
      <c r="HY50" s="211" t="str">
        <f>IF('Supp. Result Entry'!U49="","",'Supp. Result Entry'!$U$6)</f>
        <v/>
      </c>
      <c r="HZ50" s="212" t="str">
        <f>IF('Supp. Result Entry'!X49="","",'Supp. Result Entry'!$X$6)</f>
        <v/>
      </c>
      <c r="IA50" s="212" t="str">
        <f>IF('Supp. Result Entry'!AA49="","",'Supp. Result Entry'!$AA$6)</f>
        <v/>
      </c>
      <c r="IB50" s="212" t="str">
        <f>IF('Supp. Result Entry'!AD49="","",'Supp. Result Entry'!$AD$6)</f>
        <v/>
      </c>
      <c r="IC50" s="212" t="str">
        <f>IF('Supp. Result Entry'!AG49="","",'Supp. Result Entry'!$AG$6)</f>
        <v/>
      </c>
      <c r="ID50" s="212" t="str">
        <f>IF('Supp. Result Entry'!AJ49="","",'Supp. Result Entry'!$AJ$6)</f>
        <v/>
      </c>
      <c r="IE50" s="212" t="str">
        <f>IF('Supp. Result Entry'!V49="","",'Supp. Result Entry'!V49)</f>
        <v/>
      </c>
      <c r="IF50" s="212" t="str">
        <f>IF('Supp. Result Entry'!Y49="","",'Supp. Result Entry'!Y49)</f>
        <v/>
      </c>
      <c r="IG50" s="212" t="str">
        <f>IF('Supp. Result Entry'!AB49="","",'Supp. Result Entry'!AB49)</f>
        <v/>
      </c>
      <c r="IH50" s="212" t="str">
        <f>IF('Supp. Result Entry'!AE49="","",'Supp. Result Entry'!AE49)</f>
        <v/>
      </c>
      <c r="II50" s="212" t="str">
        <f>IF('Supp. Result Entry'!AH49="","",'Supp. Result Entry'!AH49)</f>
        <v/>
      </c>
      <c r="IJ50" s="212" t="str">
        <f>IF('Supp. Result Entry'!AK49="","",'Supp. Result Entry'!AK49)</f>
        <v/>
      </c>
      <c r="IK50" s="212" t="str">
        <f>IF('Supp. Result Entry'!W49="","",'Supp. Result Entry'!W49)</f>
        <v/>
      </c>
      <c r="IL50" s="212" t="str">
        <f>IF('Supp. Result Entry'!Z49="","",'Supp. Result Entry'!Z49)</f>
        <v/>
      </c>
      <c r="IM50" s="212" t="str">
        <f>IF('Supp. Result Entry'!AC49="","",'Supp. Result Entry'!AC49)</f>
        <v/>
      </c>
      <c r="IN50" s="212" t="str">
        <f>IF('Supp. Result Entry'!AF49="","",'Supp. Result Entry'!AF49)</f>
        <v/>
      </c>
      <c r="IO50" s="212" t="str">
        <f>IF('Supp. Result Entry'!AI49="","",'Supp. Result Entry'!AI49)</f>
        <v/>
      </c>
      <c r="IP50" s="212" t="str">
        <f>IF('Supp. Result Entry'!AL49="","",'Supp. Result Entry'!AL49)</f>
        <v/>
      </c>
      <c r="IQ50" s="212">
        <f>COUNTIF('Supp. Result Entry'!K49:Q49,"S")</f>
        <v>0</v>
      </c>
      <c r="IR50" s="212">
        <f t="shared" si="170"/>
        <v>0</v>
      </c>
      <c r="IS50" s="212">
        <f t="shared" si="171"/>
        <v>0</v>
      </c>
      <c r="IT50" s="212" t="str">
        <f t="shared" si="41"/>
        <v/>
      </c>
      <c r="IU50" s="212" t="str">
        <f t="shared" si="42"/>
        <v/>
      </c>
      <c r="IV50" s="212" t="str">
        <f t="shared" si="43"/>
        <v/>
      </c>
      <c r="IW50" s="212" t="str">
        <f t="shared" si="44"/>
        <v/>
      </c>
      <c r="IX50" s="212" t="str">
        <f t="shared" si="45"/>
        <v/>
      </c>
      <c r="IY50" s="212" t="str">
        <f t="shared" si="172"/>
        <v/>
      </c>
      <c r="IZ50" s="212" t="str">
        <f t="shared" si="173"/>
        <v/>
      </c>
      <c r="JA50" s="212" t="str">
        <f t="shared" si="46"/>
        <v/>
      </c>
      <c r="JB50" s="210" t="str">
        <f t="shared" si="174"/>
        <v/>
      </c>
    </row>
    <row r="51" spans="1:262" s="210" customFormat="1" ht="21" customHeight="1">
      <c r="A51" s="183">
        <v>44</v>
      </c>
      <c r="B51" s="184" t="str">
        <f>IF('Marks Entry'!B51="","",'Marks Entry'!B51)</f>
        <v/>
      </c>
      <c r="C51" s="185" t="str">
        <f>IF('Marks Entry'!D51="","",'Marks Entry'!D51)</f>
        <v/>
      </c>
      <c r="D51" s="186" t="str">
        <f>IF('Marks Entry'!E51="","",'Marks Entry'!E51)</f>
        <v/>
      </c>
      <c r="E51" s="187" t="str">
        <f>IF('Marks Entry'!F51="","",'Marks Entry'!F51)</f>
        <v/>
      </c>
      <c r="F51" s="187" t="str">
        <f>IF('Marks Entry'!G51="","",'Marks Entry'!G51)</f>
        <v/>
      </c>
      <c r="G51" s="187" t="str">
        <f>IF('Marks Entry'!H51="","",'Marks Entry'!H51)</f>
        <v/>
      </c>
      <c r="H51" s="188" t="str">
        <f>IF('Marks Entry'!I51="","",'Marks Entry'!I51)</f>
        <v/>
      </c>
      <c r="I51" s="189" t="str">
        <f>IF('Marks Entry'!J51="","",'Marks Entry'!J51)</f>
        <v/>
      </c>
      <c r="J51" s="545" t="str">
        <f>IF('Marks Entry'!K51="","",'Marks Entry'!K51)</f>
        <v/>
      </c>
      <c r="K51" s="545" t="str">
        <f>IF('Marks Entry'!L51="","",'Marks Entry'!L51)</f>
        <v/>
      </c>
      <c r="L51" s="545" t="str">
        <f>IF('Marks Entry'!M51="","",'Marks Entry'!M51)</f>
        <v/>
      </c>
      <c r="M51" s="546" t="str">
        <f t="shared" si="47"/>
        <v/>
      </c>
      <c r="N51" s="545" t="str">
        <f>IF('Marks Entry'!N51="","",'Marks Entry'!N51)</f>
        <v/>
      </c>
      <c r="O51" s="546" t="str">
        <f t="shared" si="48"/>
        <v/>
      </c>
      <c r="P51" s="545" t="str">
        <f>IF('Marks Entry'!O51="","",'Marks Entry'!O51)</f>
        <v/>
      </c>
      <c r="Q51" s="547" t="str">
        <f t="shared" si="49"/>
        <v/>
      </c>
      <c r="R51" s="152">
        <f t="shared" si="50"/>
        <v>0</v>
      </c>
      <c r="S51" s="152">
        <f t="shared" si="51"/>
        <v>0</v>
      </c>
      <c r="T51" s="153" t="str">
        <f t="shared" si="52"/>
        <v/>
      </c>
      <c r="U51" s="152" t="str">
        <f t="shared" si="53"/>
        <v/>
      </c>
      <c r="V51" s="152" t="str">
        <f t="shared" si="54"/>
        <v/>
      </c>
      <c r="W51" s="152" t="str">
        <f t="shared" si="55"/>
        <v/>
      </c>
      <c r="X51" s="545" t="str">
        <f>IF('Marks Entry'!P51="","",'Marks Entry'!P51)</f>
        <v/>
      </c>
      <c r="Y51" s="545" t="str">
        <f>IF('Marks Entry'!Q51="","",'Marks Entry'!Q51)</f>
        <v/>
      </c>
      <c r="Z51" s="545" t="str">
        <f>IF('Marks Entry'!R51="","",'Marks Entry'!R51)</f>
        <v/>
      </c>
      <c r="AA51" s="546" t="str">
        <f t="shared" si="56"/>
        <v/>
      </c>
      <c r="AB51" s="545" t="str">
        <f>IF('Marks Entry'!S51="","",'Marks Entry'!S51)</f>
        <v/>
      </c>
      <c r="AC51" s="546" t="str">
        <f t="shared" si="57"/>
        <v/>
      </c>
      <c r="AD51" s="545" t="str">
        <f>IF('Marks Entry'!T51="","",'Marks Entry'!T51)</f>
        <v/>
      </c>
      <c r="AE51" s="547" t="str">
        <f t="shared" si="58"/>
        <v/>
      </c>
      <c r="AF51" s="152">
        <f t="shared" si="59"/>
        <v>0</v>
      </c>
      <c r="AG51" s="152">
        <f t="shared" si="60"/>
        <v>0</v>
      </c>
      <c r="AH51" s="153" t="str">
        <f t="shared" si="61"/>
        <v/>
      </c>
      <c r="AI51" s="152" t="str">
        <f t="shared" si="62"/>
        <v/>
      </c>
      <c r="AJ51" s="152" t="str">
        <f t="shared" si="63"/>
        <v/>
      </c>
      <c r="AK51" s="152" t="str">
        <f t="shared" si="64"/>
        <v/>
      </c>
      <c r="AL51" s="573" t="str">
        <f>IF('Marks Entry'!U51="","",'Marks Entry'!U51)</f>
        <v/>
      </c>
      <c r="AM51" s="573" t="str">
        <f>IF('Marks Entry'!V51="","",'Marks Entry'!V51)</f>
        <v/>
      </c>
      <c r="AN51" s="573" t="str">
        <f>IF('Marks Entry'!W51="","",'Marks Entry'!W51)</f>
        <v/>
      </c>
      <c r="AO51" s="573" t="str">
        <f>IF('Marks Entry'!X51="","",'Marks Entry'!X51)</f>
        <v/>
      </c>
      <c r="AP51" s="572" t="str">
        <f t="shared" si="65"/>
        <v/>
      </c>
      <c r="AQ51" s="573" t="str">
        <f>IF('Marks Entry'!Y51="","",'Marks Entry'!Y51)</f>
        <v/>
      </c>
      <c r="AR51" s="573" t="str">
        <f>IF('Marks Entry'!Z51="","",'Marks Entry'!Z51)</f>
        <v/>
      </c>
      <c r="AS51" s="572" t="str">
        <f t="shared" si="66"/>
        <v/>
      </c>
      <c r="AT51" s="572" t="str">
        <f t="shared" si="67"/>
        <v/>
      </c>
      <c r="AU51" s="573" t="str">
        <f>IF('Marks Entry'!AA51="","",'Marks Entry'!AA51)</f>
        <v/>
      </c>
      <c r="AV51" s="573" t="str">
        <f>IF('Marks Entry'!AB51="","",'Marks Entry'!AB51)</f>
        <v/>
      </c>
      <c r="AW51" s="572" t="str">
        <f t="shared" si="68"/>
        <v/>
      </c>
      <c r="AX51" s="156" t="str">
        <f t="shared" si="69"/>
        <v/>
      </c>
      <c r="AY51" s="156" t="str">
        <f t="shared" si="70"/>
        <v/>
      </c>
      <c r="AZ51" s="191" t="str">
        <f t="shared" si="71"/>
        <v/>
      </c>
      <c r="BA51" s="152">
        <f t="shared" si="72"/>
        <v>0</v>
      </c>
      <c r="BB51" s="153">
        <f t="shared" si="73"/>
        <v>0</v>
      </c>
      <c r="BC51" s="153" t="str">
        <f t="shared" si="74"/>
        <v/>
      </c>
      <c r="BD51" s="153" t="str">
        <f t="shared" si="75"/>
        <v/>
      </c>
      <c r="BE51" s="153" t="str">
        <f t="shared" si="76"/>
        <v/>
      </c>
      <c r="BF51" s="152" t="str">
        <f t="shared" si="77"/>
        <v/>
      </c>
      <c r="BG51" s="153" t="str">
        <f t="shared" si="175"/>
        <v/>
      </c>
      <c r="BH51" s="152" t="str">
        <f t="shared" si="78"/>
        <v/>
      </c>
      <c r="BI51" s="580" t="str">
        <f>IF('Marks Entry'!AC51="","",'Marks Entry'!AC51)</f>
        <v/>
      </c>
      <c r="BJ51" s="580" t="str">
        <f>IF('Marks Entry'!AD51="","",'Marks Entry'!AD51)</f>
        <v/>
      </c>
      <c r="BK51" s="580" t="str">
        <f>IF('Marks Entry'!AE51="","",'Marks Entry'!AE51)</f>
        <v/>
      </c>
      <c r="BL51" s="580" t="str">
        <f>IF('Marks Entry'!AF51="","",'Marks Entry'!AF51)</f>
        <v/>
      </c>
      <c r="BM51" s="581" t="str">
        <f t="shared" si="79"/>
        <v/>
      </c>
      <c r="BN51" s="580" t="str">
        <f>IF('Marks Entry'!AG51="","",'Marks Entry'!AG51)</f>
        <v/>
      </c>
      <c r="BO51" s="580" t="str">
        <f>IF('Marks Entry'!AH51="","",'Marks Entry'!AH51)</f>
        <v/>
      </c>
      <c r="BP51" s="581" t="str">
        <f t="shared" si="80"/>
        <v/>
      </c>
      <c r="BQ51" s="581" t="str">
        <f t="shared" si="81"/>
        <v/>
      </c>
      <c r="BR51" s="580" t="str">
        <f>IF('Marks Entry'!AI51="","",'Marks Entry'!AI51)</f>
        <v/>
      </c>
      <c r="BS51" s="580" t="str">
        <f>IF('Marks Entry'!AJ51="","",'Marks Entry'!AJ51)</f>
        <v/>
      </c>
      <c r="BT51" s="581" t="str">
        <f t="shared" si="82"/>
        <v/>
      </c>
      <c r="BU51" s="156" t="str">
        <f t="shared" si="83"/>
        <v/>
      </c>
      <c r="BV51" s="156" t="str">
        <f t="shared" si="84"/>
        <v/>
      </c>
      <c r="BW51" s="191" t="str">
        <f t="shared" si="85"/>
        <v/>
      </c>
      <c r="BX51" s="152">
        <f t="shared" si="86"/>
        <v>0</v>
      </c>
      <c r="BY51" s="153">
        <f t="shared" si="87"/>
        <v>0</v>
      </c>
      <c r="BZ51" s="153" t="str">
        <f t="shared" si="88"/>
        <v/>
      </c>
      <c r="CA51" s="153" t="str">
        <f t="shared" si="89"/>
        <v/>
      </c>
      <c r="CB51" s="153" t="str">
        <f t="shared" si="90"/>
        <v/>
      </c>
      <c r="CC51" s="152" t="str">
        <f t="shared" si="91"/>
        <v/>
      </c>
      <c r="CD51" s="153" t="str">
        <f t="shared" si="92"/>
        <v/>
      </c>
      <c r="CE51" s="152" t="str">
        <f t="shared" si="93"/>
        <v/>
      </c>
      <c r="CF51" s="580" t="str">
        <f>IF('Marks Entry'!AK51="","",'Marks Entry'!AK51)</f>
        <v/>
      </c>
      <c r="CG51" s="580" t="str">
        <f>IF('Marks Entry'!AL51="","",'Marks Entry'!AL51)</f>
        <v/>
      </c>
      <c r="CH51" s="580" t="str">
        <f>IF('Marks Entry'!AM51="","",'Marks Entry'!AM51)</f>
        <v/>
      </c>
      <c r="CI51" s="580" t="str">
        <f>IF('Marks Entry'!AN51="","",'Marks Entry'!AN51)</f>
        <v/>
      </c>
      <c r="CJ51" s="581" t="str">
        <f t="shared" si="94"/>
        <v/>
      </c>
      <c r="CK51" s="580" t="str">
        <f>IF('Marks Entry'!AO51="","",'Marks Entry'!AO51)</f>
        <v/>
      </c>
      <c r="CL51" s="580" t="str">
        <f>IF('Marks Entry'!AP51="","",'Marks Entry'!AP51)</f>
        <v/>
      </c>
      <c r="CM51" s="581" t="str">
        <f t="shared" si="95"/>
        <v/>
      </c>
      <c r="CN51" s="581" t="str">
        <f t="shared" si="96"/>
        <v/>
      </c>
      <c r="CO51" s="580" t="str">
        <f>IF('Marks Entry'!AQ51="","",'Marks Entry'!AQ51)</f>
        <v/>
      </c>
      <c r="CP51" s="580" t="str">
        <f>IF('Marks Entry'!AR51="","",'Marks Entry'!AR51)</f>
        <v/>
      </c>
      <c r="CQ51" s="581" t="str">
        <f t="shared" si="97"/>
        <v/>
      </c>
      <c r="CR51" s="156" t="str">
        <f t="shared" si="98"/>
        <v/>
      </c>
      <c r="CS51" s="156" t="str">
        <f t="shared" si="99"/>
        <v/>
      </c>
      <c r="CT51" s="191" t="str">
        <f t="shared" si="100"/>
        <v/>
      </c>
      <c r="CU51" s="152">
        <f t="shared" si="101"/>
        <v>0</v>
      </c>
      <c r="CV51" s="153">
        <f t="shared" si="102"/>
        <v>0</v>
      </c>
      <c r="CW51" s="153" t="str">
        <f t="shared" si="103"/>
        <v/>
      </c>
      <c r="CX51" s="153" t="str">
        <f t="shared" si="104"/>
        <v/>
      </c>
      <c r="CY51" s="153" t="str">
        <f t="shared" si="176"/>
        <v/>
      </c>
      <c r="CZ51" s="152" t="str">
        <f t="shared" si="105"/>
        <v/>
      </c>
      <c r="DA51" s="153" t="str">
        <f t="shared" si="106"/>
        <v/>
      </c>
      <c r="DB51" s="152" t="str">
        <f t="shared" si="107"/>
        <v/>
      </c>
      <c r="DC51" s="153">
        <f t="shared" si="108"/>
        <v>0</v>
      </c>
      <c r="DD51" s="851" t="str">
        <f>IF('Marks Entry'!AS51="","",IF(OR('Master Sheet'!$D$19="YES",'Marks Entry'!$BA$1=1),'Marks Entry'!AS51,""))</f>
        <v/>
      </c>
      <c r="DE51" s="851" t="str">
        <f>IF('Marks Entry'!AT51="","",IF(OR('Master Sheet'!$D$19="YES",'Marks Entry'!$BA$1=1),'Marks Entry'!AT51,""))</f>
        <v/>
      </c>
      <c r="DF51" s="851" t="str">
        <f>IF('Marks Entry'!AU51="","",IF(OR('Master Sheet'!$D$19="YES",'Marks Entry'!$BA$1=1),'Marks Entry'!AU51,""))</f>
        <v/>
      </c>
      <c r="DG51" s="851" t="str">
        <f>IF('Marks Entry'!AV51="","",IF(OR('Master Sheet'!$D$19="YES",'Marks Entry'!$BA$1=1),'Marks Entry'!AV51,""))</f>
        <v/>
      </c>
      <c r="DH51" s="852" t="str">
        <f t="shared" si="109"/>
        <v/>
      </c>
      <c r="DI51" s="851" t="str">
        <f>IF('Marks Entry'!AW51="","",IF(OR('Master Sheet'!$D$19="YES",'Marks Entry'!$BA$1=1),'Marks Entry'!AW51,""))</f>
        <v/>
      </c>
      <c r="DJ51" s="851" t="str">
        <f>IF('Marks Entry'!AX51="","",IF(OR('Master Sheet'!$D$19="YES",'Marks Entry'!$BA$1=1),'Marks Entry'!AX51,""))</f>
        <v/>
      </c>
      <c r="DK51" s="852" t="str">
        <f t="shared" si="110"/>
        <v/>
      </c>
      <c r="DL51" s="852" t="str">
        <f t="shared" si="111"/>
        <v/>
      </c>
      <c r="DM51" s="851" t="str">
        <f>IF('Marks Entry'!AY51="","",IF(OR('Master Sheet'!$D$19="YES",'Marks Entry'!$BA$1=1),'Marks Entry'!AY51,""))</f>
        <v/>
      </c>
      <c r="DN51" s="851" t="str">
        <f>IF('Marks Entry'!AZ51="","",IF(OR('Master Sheet'!$D$19="YES",'Marks Entry'!$BA$1=1),'Marks Entry'!AZ51,""))</f>
        <v/>
      </c>
      <c r="DO51" s="851" t="str">
        <f>IF('Marks Entry'!BA51="","",IF(OR('Master Sheet'!$D$19="YES",'Marks Entry'!$BA$1=1),'Marks Entry'!BA51,""))</f>
        <v/>
      </c>
      <c r="DP51" s="852" t="str">
        <f t="shared" si="112"/>
        <v/>
      </c>
      <c r="DQ51" s="156" t="str">
        <f t="shared" si="113"/>
        <v/>
      </c>
      <c r="DR51" s="156" t="str">
        <f t="shared" si="114"/>
        <v/>
      </c>
      <c r="DS51" s="156" t="str">
        <f t="shared" si="115"/>
        <v/>
      </c>
      <c r="DT51" s="191" t="str">
        <f t="shared" si="116"/>
        <v/>
      </c>
      <c r="DU51" s="152">
        <f t="shared" si="117"/>
        <v>0</v>
      </c>
      <c r="DV51" s="153">
        <f t="shared" si="118"/>
        <v>0</v>
      </c>
      <c r="DW51" s="153" t="str">
        <f t="shared" si="119"/>
        <v/>
      </c>
      <c r="DX51" s="153" t="str">
        <f>IF(OR($B51="NSO",$B51=0,DS51=""),"",IF(AND(DJ51="",DO51=""),"",IF('Master Sheet'!$D$19="YES",$DO$6-COUNTIF(DO51,"ML")*DO$6,DS$6-(COUNTIF(DJ51,"ML")*DJ$6)-(COUNTIF(DO51,"ML")*DO$6))))</f>
        <v/>
      </c>
      <c r="DY51" s="153" t="str">
        <f>IF(OR($B51="NSO",$B51=0),"",IF(AND(DH51="",DI51="",DM51=""),"",IF(AND('Master Sheet'!$D$19="YES",'Marks Entry'!$BA$1=1),100,IF(AND(DJ51="",DO51=""),SUM(($DQ$7+$DR$7)-(DU51+DV51)),SUM(($DQ$6+$DR$6)-(DU51+DV51))))))</f>
        <v/>
      </c>
      <c r="DZ51" s="152" t="str">
        <f t="shared" si="120"/>
        <v/>
      </c>
      <c r="EA51" s="153" t="str">
        <f t="shared" si="121"/>
        <v/>
      </c>
      <c r="EB51" s="152" t="str">
        <f t="shared" si="122"/>
        <v/>
      </c>
      <c r="EC51" s="584" t="str">
        <f>IF('Marks Entry'!BB51="","",'Marks Entry'!BB51)</f>
        <v/>
      </c>
      <c r="ED51" s="584" t="str">
        <f>IF('Marks Entry'!BC51="","",'Marks Entry'!BC51)</f>
        <v/>
      </c>
      <c r="EE51" s="584" t="str">
        <f>IF('Marks Entry'!BD51="","",'Marks Entry'!BD51)</f>
        <v/>
      </c>
      <c r="EF51" s="590" t="str">
        <f t="shared" si="123"/>
        <v/>
      </c>
      <c r="EG51" s="595">
        <f t="shared" si="124"/>
        <v>0</v>
      </c>
      <c r="EH51" s="595">
        <f t="shared" si="125"/>
        <v>0</v>
      </c>
      <c r="EI51" s="192" t="str">
        <f t="shared" si="126"/>
        <v/>
      </c>
      <c r="EJ51" s="595" t="str">
        <f t="shared" si="127"/>
        <v/>
      </c>
      <c r="EK51" s="595" t="str">
        <f t="shared" si="128"/>
        <v/>
      </c>
      <c r="EL51" s="193" t="str">
        <f t="shared" si="129"/>
        <v/>
      </c>
      <c r="EM51" s="193" t="str">
        <f t="shared" si="130"/>
        <v/>
      </c>
      <c r="EN51" s="193" t="str">
        <f t="shared" si="131"/>
        <v/>
      </c>
      <c r="EO51" s="193" t="str">
        <f t="shared" si="132"/>
        <v/>
      </c>
      <c r="EP51" s="193" t="str">
        <f t="shared" si="133"/>
        <v/>
      </c>
      <c r="EQ51" s="193" t="str">
        <f t="shared" si="134"/>
        <v/>
      </c>
      <c r="ER51" s="194">
        <f t="shared" si="135"/>
        <v>0</v>
      </c>
      <c r="ES51" s="194">
        <f t="shared" si="136"/>
        <v>0</v>
      </c>
      <c r="ET51" s="194">
        <f t="shared" si="137"/>
        <v>0</v>
      </c>
      <c r="EU51" s="194">
        <f t="shared" si="138"/>
        <v>0</v>
      </c>
      <c r="EV51" s="194">
        <f t="shared" si="139"/>
        <v>0</v>
      </c>
      <c r="EW51" s="194" t="str">
        <f t="shared" si="140"/>
        <v/>
      </c>
      <c r="EX51" s="195" t="str">
        <f t="shared" si="141"/>
        <v/>
      </c>
      <c r="EY51" s="196" t="str">
        <f>IF('Marks Entry'!BE51="","",'Marks Entry'!BE51)</f>
        <v/>
      </c>
      <c r="EZ51" s="196" t="str">
        <f>IF('Marks Entry'!BF51="","",'Marks Entry'!BF51)</f>
        <v/>
      </c>
      <c r="FA51" s="196" t="str">
        <f>IF('Marks Entry'!BG51="","",'Marks Entry'!BG51)</f>
        <v/>
      </c>
      <c r="FB51" s="596" t="str">
        <f t="shared" si="142"/>
        <v/>
      </c>
      <c r="FC51" s="196" t="str">
        <f>IF('Marks Entry'!BH51="","",'Marks Entry'!BH51)</f>
        <v/>
      </c>
      <c r="FD51" s="196" t="str">
        <f>IF('Marks Entry'!BI51="","",'Marks Entry'!BI51)</f>
        <v/>
      </c>
      <c r="FE51" s="197" t="str">
        <f t="shared" si="143"/>
        <v/>
      </c>
      <c r="FF51" s="198" t="str">
        <f t="shared" si="144"/>
        <v/>
      </c>
      <c r="FG51" s="199" t="str">
        <f>IF(AND(E51=""),"",IF('Student DATA Entry'!L47="","",'Student DATA Entry'!L47))</f>
        <v/>
      </c>
      <c r="FH51" s="200" t="str">
        <f>IF(AND(E51=""),"",IF('Student DATA Entry'!M47="","",'Student DATA Entry'!M47))</f>
        <v/>
      </c>
      <c r="FI51" s="201" t="str">
        <f t="shared" si="145"/>
        <v/>
      </c>
      <c r="FJ51" s="188" t="str">
        <f t="shared" si="146"/>
        <v/>
      </c>
      <c r="FK51" s="188" t="str">
        <f t="shared" si="147"/>
        <v/>
      </c>
      <c r="FL51" s="202" t="str">
        <f t="shared" si="178"/>
        <v/>
      </c>
      <c r="FM51" s="188" t="str">
        <f t="shared" si="148"/>
        <v/>
      </c>
      <c r="FN51" s="203" t="str">
        <f t="shared" si="149"/>
        <v/>
      </c>
      <c r="FO51" s="202" t="str">
        <f t="shared" si="179"/>
        <v/>
      </c>
      <c r="FP51" s="204" t="str">
        <f t="shared" si="150"/>
        <v/>
      </c>
      <c r="FQ51" s="188" t="str">
        <f t="shared" si="180"/>
        <v/>
      </c>
      <c r="FR51" s="188" t="str">
        <f t="shared" si="181"/>
        <v/>
      </c>
      <c r="FS51" s="188" t="str">
        <f t="shared" si="182"/>
        <v/>
      </c>
      <c r="FT51" s="188" t="str">
        <f t="shared" si="183"/>
        <v/>
      </c>
      <c r="FU51" s="188" t="str">
        <f t="shared" si="151"/>
        <v/>
      </c>
      <c r="FV51" s="205" t="str">
        <f t="shared" si="184"/>
        <v/>
      </c>
      <c r="FW51" s="204" t="str">
        <f t="shared" si="152"/>
        <v/>
      </c>
      <c r="FX51" s="188" t="str">
        <f t="shared" si="185"/>
        <v/>
      </c>
      <c r="FY51" s="188" t="str">
        <f t="shared" si="186"/>
        <v/>
      </c>
      <c r="FZ51" s="188" t="str">
        <f t="shared" si="187"/>
        <v/>
      </c>
      <c r="GA51" s="188" t="str">
        <f t="shared" si="188"/>
        <v/>
      </c>
      <c r="GB51" s="188" t="str">
        <f t="shared" si="153"/>
        <v/>
      </c>
      <c r="GC51" s="205" t="str">
        <f t="shared" si="189"/>
        <v/>
      </c>
      <c r="GD51" s="204" t="str">
        <f t="shared" si="154"/>
        <v/>
      </c>
      <c r="GE51" s="188" t="str">
        <f t="shared" si="190"/>
        <v/>
      </c>
      <c r="GF51" s="188" t="str">
        <f t="shared" si="191"/>
        <v/>
      </c>
      <c r="GG51" s="188" t="str">
        <f t="shared" si="192"/>
        <v/>
      </c>
      <c r="GH51" s="188" t="str">
        <f t="shared" si="193"/>
        <v/>
      </c>
      <c r="GI51" s="188" t="str">
        <f t="shared" si="155"/>
        <v/>
      </c>
      <c r="GJ51" s="205" t="str">
        <f t="shared" si="194"/>
        <v/>
      </c>
      <c r="GK51" s="204" t="str">
        <f t="shared" si="156"/>
        <v/>
      </c>
      <c r="GL51" s="188" t="str">
        <f t="shared" si="195"/>
        <v/>
      </c>
      <c r="GM51" s="188" t="str">
        <f t="shared" si="196"/>
        <v/>
      </c>
      <c r="GN51" s="188" t="str">
        <f t="shared" si="197"/>
        <v/>
      </c>
      <c r="GO51" s="188" t="str">
        <f t="shared" si="198"/>
        <v/>
      </c>
      <c r="GP51" s="188" t="str">
        <f t="shared" si="157"/>
        <v/>
      </c>
      <c r="GQ51" s="205" t="str">
        <f t="shared" si="199"/>
        <v/>
      </c>
      <c r="GR51" s="188" t="str">
        <f t="shared" si="158"/>
        <v/>
      </c>
      <c r="GS51" s="188" t="str">
        <f t="shared" si="159"/>
        <v/>
      </c>
      <c r="GT51" s="206" t="str">
        <f t="shared" si="177"/>
        <v xml:space="preserve">    </v>
      </c>
      <c r="GU51" s="206" t="str">
        <f t="shared" si="160"/>
        <v xml:space="preserve">    </v>
      </c>
      <c r="GV51" s="206" t="str">
        <f t="shared" si="161"/>
        <v xml:space="preserve">    </v>
      </c>
      <c r="GW51" s="206" t="str">
        <f t="shared" si="162"/>
        <v xml:space="preserve">       </v>
      </c>
      <c r="GX51" s="598" t="str">
        <f t="shared" si="163"/>
        <v xml:space="preserve">     </v>
      </c>
      <c r="GY51" s="207" t="str">
        <f t="shared" si="200"/>
        <v/>
      </c>
      <c r="GZ51" s="606" t="str">
        <f>IF(AND(Q51="",AE51="",AZ51="",BW51="",CT51=""),"",IF(AND('Master Sheet'!$D$19="YES",'Marks Entry'!$BA$1=1),SUM(Q51,AE51,AZ51,BW51,DT51),SUM(Q51,AE51,AZ51,BW51,CT51)))</f>
        <v/>
      </c>
      <c r="HA51" s="208" t="str">
        <f>IF(GZ51="","",IF(AND('Master Sheet'!$D$19="YES",'Marks Entry'!$BA$1=1),GZ51/((900)-DC51)*100,GZ51/((1000)-DC51)*100))</f>
        <v/>
      </c>
      <c r="HB51" s="611" t="str">
        <f t="shared" si="165"/>
        <v/>
      </c>
      <c r="HC51" s="609" t="str">
        <f t="shared" si="166"/>
        <v/>
      </c>
      <c r="HD51" s="610" t="str">
        <f t="shared" si="167"/>
        <v/>
      </c>
      <c r="HE51" s="209" t="str">
        <f>IFERROR(IF(OR(GY51="SUPPLEMENTARY",GY51="RE-EXAM"),'Supp. Result Entry'!AS50,""),"")</f>
        <v/>
      </c>
      <c r="HF51" s="613" t="str">
        <f t="shared" si="168"/>
        <v/>
      </c>
      <c r="HG51" s="598" t="str">
        <f t="shared" si="169"/>
        <v/>
      </c>
      <c r="HH51" s="598" t="str">
        <f>IF(AND(HE51="",HF51="",HG51=""),"",IF(OR(GY51="SUPPLEMENTARY",GY51="RE-EXAM"),'Supp. Result Entry'!AS50,GY51))</f>
        <v/>
      </c>
      <c r="HI51" s="179"/>
      <c r="HJ51" s="213"/>
      <c r="HY51" s="211" t="str">
        <f>IF('Supp. Result Entry'!U50="","",'Supp. Result Entry'!$U$6)</f>
        <v/>
      </c>
      <c r="HZ51" s="212" t="str">
        <f>IF('Supp. Result Entry'!X50="","",'Supp. Result Entry'!$X$6)</f>
        <v/>
      </c>
      <c r="IA51" s="212" t="str">
        <f>IF('Supp. Result Entry'!AA50="","",'Supp. Result Entry'!$AA$6)</f>
        <v/>
      </c>
      <c r="IB51" s="212" t="str">
        <f>IF('Supp. Result Entry'!AD50="","",'Supp. Result Entry'!$AD$6)</f>
        <v/>
      </c>
      <c r="IC51" s="212" t="str">
        <f>IF('Supp. Result Entry'!AG50="","",'Supp. Result Entry'!$AG$6)</f>
        <v/>
      </c>
      <c r="ID51" s="212" t="str">
        <f>IF('Supp. Result Entry'!AJ50="","",'Supp. Result Entry'!$AJ$6)</f>
        <v/>
      </c>
      <c r="IE51" s="212" t="str">
        <f>IF('Supp. Result Entry'!V50="","",'Supp. Result Entry'!V50)</f>
        <v/>
      </c>
      <c r="IF51" s="212" t="str">
        <f>IF('Supp. Result Entry'!Y50="","",'Supp. Result Entry'!Y50)</f>
        <v/>
      </c>
      <c r="IG51" s="212" t="str">
        <f>IF('Supp. Result Entry'!AB50="","",'Supp. Result Entry'!AB50)</f>
        <v/>
      </c>
      <c r="IH51" s="212" t="str">
        <f>IF('Supp. Result Entry'!AE50="","",'Supp. Result Entry'!AE50)</f>
        <v/>
      </c>
      <c r="II51" s="212" t="str">
        <f>IF('Supp. Result Entry'!AH50="","",'Supp. Result Entry'!AH50)</f>
        <v/>
      </c>
      <c r="IJ51" s="212" t="str">
        <f>IF('Supp. Result Entry'!AK50="","",'Supp. Result Entry'!AK50)</f>
        <v/>
      </c>
      <c r="IK51" s="212" t="str">
        <f>IF('Supp. Result Entry'!W50="","",'Supp. Result Entry'!W50)</f>
        <v/>
      </c>
      <c r="IL51" s="212" t="str">
        <f>IF('Supp. Result Entry'!Z50="","",'Supp. Result Entry'!Z50)</f>
        <v/>
      </c>
      <c r="IM51" s="212" t="str">
        <f>IF('Supp. Result Entry'!AC50="","",'Supp. Result Entry'!AC50)</f>
        <v/>
      </c>
      <c r="IN51" s="212" t="str">
        <f>IF('Supp. Result Entry'!AF50="","",'Supp. Result Entry'!AF50)</f>
        <v/>
      </c>
      <c r="IO51" s="212" t="str">
        <f>IF('Supp. Result Entry'!AI50="","",'Supp. Result Entry'!AI50)</f>
        <v/>
      </c>
      <c r="IP51" s="212" t="str">
        <f>IF('Supp. Result Entry'!AL50="","",'Supp. Result Entry'!AL50)</f>
        <v/>
      </c>
      <c r="IQ51" s="212">
        <f>COUNTIF('Supp. Result Entry'!K50:Q50,"S")</f>
        <v>0</v>
      </c>
      <c r="IR51" s="212">
        <f t="shared" si="170"/>
        <v>0</v>
      </c>
      <c r="IS51" s="212">
        <f t="shared" si="171"/>
        <v>0</v>
      </c>
      <c r="IT51" s="212" t="str">
        <f t="shared" si="41"/>
        <v/>
      </c>
      <c r="IU51" s="212" t="str">
        <f t="shared" si="42"/>
        <v/>
      </c>
      <c r="IV51" s="212" t="str">
        <f t="shared" si="43"/>
        <v/>
      </c>
      <c r="IW51" s="212" t="str">
        <f t="shared" si="44"/>
        <v/>
      </c>
      <c r="IX51" s="212" t="str">
        <f t="shared" si="45"/>
        <v/>
      </c>
      <c r="IY51" s="212" t="str">
        <f t="shared" si="172"/>
        <v/>
      </c>
      <c r="IZ51" s="212" t="str">
        <f t="shared" si="173"/>
        <v/>
      </c>
      <c r="JA51" s="212" t="str">
        <f t="shared" si="46"/>
        <v/>
      </c>
      <c r="JB51" s="210" t="str">
        <f t="shared" si="174"/>
        <v/>
      </c>
    </row>
    <row r="52" spans="1:262" s="210" customFormat="1" ht="21" customHeight="1">
      <c r="A52" s="183">
        <v>45</v>
      </c>
      <c r="B52" s="184" t="str">
        <f>IF('Marks Entry'!B52="","",'Marks Entry'!B52)</f>
        <v/>
      </c>
      <c r="C52" s="185" t="str">
        <f>IF('Marks Entry'!D52="","",'Marks Entry'!D52)</f>
        <v/>
      </c>
      <c r="D52" s="186" t="str">
        <f>IF('Marks Entry'!E52="","",'Marks Entry'!E52)</f>
        <v/>
      </c>
      <c r="E52" s="187" t="str">
        <f>IF('Marks Entry'!F52="","",'Marks Entry'!F52)</f>
        <v/>
      </c>
      <c r="F52" s="187" t="str">
        <f>IF('Marks Entry'!G52="","",'Marks Entry'!G52)</f>
        <v/>
      </c>
      <c r="G52" s="187" t="str">
        <f>IF('Marks Entry'!H52="","",'Marks Entry'!H52)</f>
        <v/>
      </c>
      <c r="H52" s="188" t="str">
        <f>IF('Marks Entry'!I52="","",'Marks Entry'!I52)</f>
        <v/>
      </c>
      <c r="I52" s="189" t="str">
        <f>IF('Marks Entry'!J52="","",'Marks Entry'!J52)</f>
        <v/>
      </c>
      <c r="J52" s="545" t="str">
        <f>IF('Marks Entry'!K52="","",'Marks Entry'!K52)</f>
        <v/>
      </c>
      <c r="K52" s="545" t="str">
        <f>IF('Marks Entry'!L52="","",'Marks Entry'!L52)</f>
        <v/>
      </c>
      <c r="L52" s="545" t="str">
        <f>IF('Marks Entry'!M52="","",'Marks Entry'!M52)</f>
        <v/>
      </c>
      <c r="M52" s="546" t="str">
        <f t="shared" si="47"/>
        <v/>
      </c>
      <c r="N52" s="545" t="str">
        <f>IF('Marks Entry'!N52="","",'Marks Entry'!N52)</f>
        <v/>
      </c>
      <c r="O52" s="546" t="str">
        <f t="shared" si="48"/>
        <v/>
      </c>
      <c r="P52" s="545" t="str">
        <f>IF('Marks Entry'!O52="","",'Marks Entry'!O52)</f>
        <v/>
      </c>
      <c r="Q52" s="547" t="str">
        <f t="shared" si="49"/>
        <v/>
      </c>
      <c r="R52" s="152">
        <f t="shared" si="50"/>
        <v>0</v>
      </c>
      <c r="S52" s="152">
        <f t="shared" si="51"/>
        <v>0</v>
      </c>
      <c r="T52" s="153" t="str">
        <f t="shared" si="52"/>
        <v/>
      </c>
      <c r="U52" s="152" t="str">
        <f t="shared" si="53"/>
        <v/>
      </c>
      <c r="V52" s="152" t="str">
        <f t="shared" si="54"/>
        <v/>
      </c>
      <c r="W52" s="152" t="str">
        <f t="shared" si="55"/>
        <v/>
      </c>
      <c r="X52" s="545" t="str">
        <f>IF('Marks Entry'!P52="","",'Marks Entry'!P52)</f>
        <v/>
      </c>
      <c r="Y52" s="545" t="str">
        <f>IF('Marks Entry'!Q52="","",'Marks Entry'!Q52)</f>
        <v/>
      </c>
      <c r="Z52" s="545" t="str">
        <f>IF('Marks Entry'!R52="","",'Marks Entry'!R52)</f>
        <v/>
      </c>
      <c r="AA52" s="546" t="str">
        <f t="shared" si="56"/>
        <v/>
      </c>
      <c r="AB52" s="545" t="str">
        <f>IF('Marks Entry'!S52="","",'Marks Entry'!S52)</f>
        <v/>
      </c>
      <c r="AC52" s="546" t="str">
        <f t="shared" si="57"/>
        <v/>
      </c>
      <c r="AD52" s="545" t="str">
        <f>IF('Marks Entry'!T52="","",'Marks Entry'!T52)</f>
        <v/>
      </c>
      <c r="AE52" s="547" t="str">
        <f t="shared" si="58"/>
        <v/>
      </c>
      <c r="AF52" s="152">
        <f t="shared" si="59"/>
        <v>0</v>
      </c>
      <c r="AG52" s="152">
        <f t="shared" si="60"/>
        <v>0</v>
      </c>
      <c r="AH52" s="153" t="str">
        <f t="shared" si="61"/>
        <v/>
      </c>
      <c r="AI52" s="152" t="str">
        <f t="shared" si="62"/>
        <v/>
      </c>
      <c r="AJ52" s="152" t="str">
        <f t="shared" si="63"/>
        <v/>
      </c>
      <c r="AK52" s="152" t="str">
        <f t="shared" si="64"/>
        <v/>
      </c>
      <c r="AL52" s="573" t="str">
        <f>IF('Marks Entry'!U52="","",'Marks Entry'!U52)</f>
        <v/>
      </c>
      <c r="AM52" s="573" t="str">
        <f>IF('Marks Entry'!V52="","",'Marks Entry'!V52)</f>
        <v/>
      </c>
      <c r="AN52" s="573" t="str">
        <f>IF('Marks Entry'!W52="","",'Marks Entry'!W52)</f>
        <v/>
      </c>
      <c r="AO52" s="573" t="str">
        <f>IF('Marks Entry'!X52="","",'Marks Entry'!X52)</f>
        <v/>
      </c>
      <c r="AP52" s="572" t="str">
        <f t="shared" si="65"/>
        <v/>
      </c>
      <c r="AQ52" s="573" t="str">
        <f>IF('Marks Entry'!Y52="","",'Marks Entry'!Y52)</f>
        <v/>
      </c>
      <c r="AR52" s="573" t="str">
        <f>IF('Marks Entry'!Z52="","",'Marks Entry'!Z52)</f>
        <v/>
      </c>
      <c r="AS52" s="572" t="str">
        <f t="shared" si="66"/>
        <v/>
      </c>
      <c r="AT52" s="572" t="str">
        <f t="shared" si="67"/>
        <v/>
      </c>
      <c r="AU52" s="573" t="str">
        <f>IF('Marks Entry'!AA52="","",'Marks Entry'!AA52)</f>
        <v/>
      </c>
      <c r="AV52" s="573" t="str">
        <f>IF('Marks Entry'!AB52="","",'Marks Entry'!AB52)</f>
        <v/>
      </c>
      <c r="AW52" s="572" t="str">
        <f t="shared" si="68"/>
        <v/>
      </c>
      <c r="AX52" s="156" t="str">
        <f t="shared" si="69"/>
        <v/>
      </c>
      <c r="AY52" s="156" t="str">
        <f t="shared" si="70"/>
        <v/>
      </c>
      <c r="AZ52" s="191" t="str">
        <f t="shared" si="71"/>
        <v/>
      </c>
      <c r="BA52" s="152">
        <f t="shared" si="72"/>
        <v>0</v>
      </c>
      <c r="BB52" s="153">
        <f t="shared" si="73"/>
        <v>0</v>
      </c>
      <c r="BC52" s="153" t="str">
        <f t="shared" si="74"/>
        <v/>
      </c>
      <c r="BD52" s="153" t="str">
        <f t="shared" si="75"/>
        <v/>
      </c>
      <c r="BE52" s="153" t="str">
        <f t="shared" si="76"/>
        <v/>
      </c>
      <c r="BF52" s="152" t="str">
        <f t="shared" si="77"/>
        <v/>
      </c>
      <c r="BG52" s="153" t="str">
        <f t="shared" si="175"/>
        <v/>
      </c>
      <c r="BH52" s="152" t="str">
        <f t="shared" si="78"/>
        <v/>
      </c>
      <c r="BI52" s="580" t="str">
        <f>IF('Marks Entry'!AC52="","",'Marks Entry'!AC52)</f>
        <v/>
      </c>
      <c r="BJ52" s="580" t="str">
        <f>IF('Marks Entry'!AD52="","",'Marks Entry'!AD52)</f>
        <v/>
      </c>
      <c r="BK52" s="580" t="str">
        <f>IF('Marks Entry'!AE52="","",'Marks Entry'!AE52)</f>
        <v/>
      </c>
      <c r="BL52" s="580" t="str">
        <f>IF('Marks Entry'!AF52="","",'Marks Entry'!AF52)</f>
        <v/>
      </c>
      <c r="BM52" s="581" t="str">
        <f t="shared" si="79"/>
        <v/>
      </c>
      <c r="BN52" s="580" t="str">
        <f>IF('Marks Entry'!AG52="","",'Marks Entry'!AG52)</f>
        <v/>
      </c>
      <c r="BO52" s="580" t="str">
        <f>IF('Marks Entry'!AH52="","",'Marks Entry'!AH52)</f>
        <v/>
      </c>
      <c r="BP52" s="581" t="str">
        <f t="shared" si="80"/>
        <v/>
      </c>
      <c r="BQ52" s="581" t="str">
        <f t="shared" si="81"/>
        <v/>
      </c>
      <c r="BR52" s="580" t="str">
        <f>IF('Marks Entry'!AI52="","",'Marks Entry'!AI52)</f>
        <v/>
      </c>
      <c r="BS52" s="580" t="str">
        <f>IF('Marks Entry'!AJ52="","",'Marks Entry'!AJ52)</f>
        <v/>
      </c>
      <c r="BT52" s="581" t="str">
        <f t="shared" si="82"/>
        <v/>
      </c>
      <c r="BU52" s="156" t="str">
        <f t="shared" si="83"/>
        <v/>
      </c>
      <c r="BV52" s="156" t="str">
        <f t="shared" si="84"/>
        <v/>
      </c>
      <c r="BW52" s="191" t="str">
        <f t="shared" si="85"/>
        <v/>
      </c>
      <c r="BX52" s="152">
        <f t="shared" si="86"/>
        <v>0</v>
      </c>
      <c r="BY52" s="153">
        <f t="shared" si="87"/>
        <v>0</v>
      </c>
      <c r="BZ52" s="153" t="str">
        <f t="shared" si="88"/>
        <v/>
      </c>
      <c r="CA52" s="153" t="str">
        <f t="shared" si="89"/>
        <v/>
      </c>
      <c r="CB52" s="153" t="str">
        <f t="shared" si="90"/>
        <v/>
      </c>
      <c r="CC52" s="152" t="str">
        <f t="shared" si="91"/>
        <v/>
      </c>
      <c r="CD52" s="153" t="str">
        <f t="shared" si="92"/>
        <v/>
      </c>
      <c r="CE52" s="152" t="str">
        <f t="shared" si="93"/>
        <v/>
      </c>
      <c r="CF52" s="580" t="str">
        <f>IF('Marks Entry'!AK52="","",'Marks Entry'!AK52)</f>
        <v/>
      </c>
      <c r="CG52" s="580" t="str">
        <f>IF('Marks Entry'!AL52="","",'Marks Entry'!AL52)</f>
        <v/>
      </c>
      <c r="CH52" s="580" t="str">
        <f>IF('Marks Entry'!AM52="","",'Marks Entry'!AM52)</f>
        <v/>
      </c>
      <c r="CI52" s="580" t="str">
        <f>IF('Marks Entry'!AN52="","",'Marks Entry'!AN52)</f>
        <v/>
      </c>
      <c r="CJ52" s="581" t="str">
        <f t="shared" si="94"/>
        <v/>
      </c>
      <c r="CK52" s="580" t="str">
        <f>IF('Marks Entry'!AO52="","",'Marks Entry'!AO52)</f>
        <v/>
      </c>
      <c r="CL52" s="580" t="str">
        <f>IF('Marks Entry'!AP52="","",'Marks Entry'!AP52)</f>
        <v/>
      </c>
      <c r="CM52" s="581" t="str">
        <f t="shared" si="95"/>
        <v/>
      </c>
      <c r="CN52" s="581" t="str">
        <f t="shared" si="96"/>
        <v/>
      </c>
      <c r="CO52" s="580" t="str">
        <f>IF('Marks Entry'!AQ52="","",'Marks Entry'!AQ52)</f>
        <v/>
      </c>
      <c r="CP52" s="580" t="str">
        <f>IF('Marks Entry'!AR52="","",'Marks Entry'!AR52)</f>
        <v/>
      </c>
      <c r="CQ52" s="581" t="str">
        <f t="shared" si="97"/>
        <v/>
      </c>
      <c r="CR52" s="156" t="str">
        <f t="shared" si="98"/>
        <v/>
      </c>
      <c r="CS52" s="156" t="str">
        <f t="shared" si="99"/>
        <v/>
      </c>
      <c r="CT52" s="191" t="str">
        <f t="shared" si="100"/>
        <v/>
      </c>
      <c r="CU52" s="152">
        <f t="shared" si="101"/>
        <v>0</v>
      </c>
      <c r="CV52" s="153">
        <f t="shared" si="102"/>
        <v>0</v>
      </c>
      <c r="CW52" s="153" t="str">
        <f t="shared" si="103"/>
        <v/>
      </c>
      <c r="CX52" s="153" t="str">
        <f t="shared" si="104"/>
        <v/>
      </c>
      <c r="CY52" s="153" t="str">
        <f t="shared" si="176"/>
        <v/>
      </c>
      <c r="CZ52" s="152" t="str">
        <f t="shared" si="105"/>
        <v/>
      </c>
      <c r="DA52" s="153" t="str">
        <f t="shared" si="106"/>
        <v/>
      </c>
      <c r="DB52" s="152" t="str">
        <f t="shared" si="107"/>
        <v/>
      </c>
      <c r="DC52" s="153">
        <f t="shared" si="108"/>
        <v>0</v>
      </c>
      <c r="DD52" s="851" t="str">
        <f>IF('Marks Entry'!AS52="","",IF(OR('Master Sheet'!$D$19="YES",'Marks Entry'!$BA$1=1),'Marks Entry'!AS52,""))</f>
        <v/>
      </c>
      <c r="DE52" s="851" t="str">
        <f>IF('Marks Entry'!AT52="","",IF(OR('Master Sheet'!$D$19="YES",'Marks Entry'!$BA$1=1),'Marks Entry'!AT52,""))</f>
        <v/>
      </c>
      <c r="DF52" s="851" t="str">
        <f>IF('Marks Entry'!AU52="","",IF(OR('Master Sheet'!$D$19="YES",'Marks Entry'!$BA$1=1),'Marks Entry'!AU52,""))</f>
        <v/>
      </c>
      <c r="DG52" s="851" t="str">
        <f>IF('Marks Entry'!AV52="","",IF(OR('Master Sheet'!$D$19="YES",'Marks Entry'!$BA$1=1),'Marks Entry'!AV52,""))</f>
        <v/>
      </c>
      <c r="DH52" s="852" t="str">
        <f t="shared" si="109"/>
        <v/>
      </c>
      <c r="DI52" s="851" t="str">
        <f>IF('Marks Entry'!AW52="","",IF(OR('Master Sheet'!$D$19="YES",'Marks Entry'!$BA$1=1),'Marks Entry'!AW52,""))</f>
        <v/>
      </c>
      <c r="DJ52" s="851" t="str">
        <f>IF('Marks Entry'!AX52="","",IF(OR('Master Sheet'!$D$19="YES",'Marks Entry'!$BA$1=1),'Marks Entry'!AX52,""))</f>
        <v/>
      </c>
      <c r="DK52" s="852" t="str">
        <f t="shared" si="110"/>
        <v/>
      </c>
      <c r="DL52" s="852" t="str">
        <f t="shared" si="111"/>
        <v/>
      </c>
      <c r="DM52" s="851" t="str">
        <f>IF('Marks Entry'!AY52="","",IF(OR('Master Sheet'!$D$19="YES",'Marks Entry'!$BA$1=1),'Marks Entry'!AY52,""))</f>
        <v/>
      </c>
      <c r="DN52" s="851" t="str">
        <f>IF('Marks Entry'!AZ52="","",IF(OR('Master Sheet'!$D$19="YES",'Marks Entry'!$BA$1=1),'Marks Entry'!AZ52,""))</f>
        <v/>
      </c>
      <c r="DO52" s="851" t="str">
        <f>IF('Marks Entry'!BA52="","",IF(OR('Master Sheet'!$D$19="YES",'Marks Entry'!$BA$1=1),'Marks Entry'!BA52,""))</f>
        <v/>
      </c>
      <c r="DP52" s="852" t="str">
        <f t="shared" si="112"/>
        <v/>
      </c>
      <c r="DQ52" s="156" t="str">
        <f t="shared" si="113"/>
        <v/>
      </c>
      <c r="DR52" s="156" t="str">
        <f t="shared" si="114"/>
        <v/>
      </c>
      <c r="DS52" s="156" t="str">
        <f t="shared" si="115"/>
        <v/>
      </c>
      <c r="DT52" s="191" t="str">
        <f t="shared" si="116"/>
        <v/>
      </c>
      <c r="DU52" s="152">
        <f t="shared" si="117"/>
        <v>0</v>
      </c>
      <c r="DV52" s="153">
        <f t="shared" si="118"/>
        <v>0</v>
      </c>
      <c r="DW52" s="153" t="str">
        <f t="shared" si="119"/>
        <v/>
      </c>
      <c r="DX52" s="153" t="str">
        <f>IF(OR($B52="NSO",$B52=0,DS52=""),"",IF(AND(DJ52="",DO52=""),"",IF('Master Sheet'!$D$19="YES",$DO$6-COUNTIF(DO52,"ML")*DO$6,DS$6-(COUNTIF(DJ52,"ML")*DJ$6)-(COUNTIF(DO52,"ML")*DO$6))))</f>
        <v/>
      </c>
      <c r="DY52" s="153" t="str">
        <f>IF(OR($B52="NSO",$B52=0),"",IF(AND(DH52="",DI52="",DM52=""),"",IF(AND('Master Sheet'!$D$19="YES",'Marks Entry'!$BA$1=1),100,IF(AND(DJ52="",DO52=""),SUM(($DQ$7+$DR$7)-(DU52+DV52)),SUM(($DQ$6+$DR$6)-(DU52+DV52))))))</f>
        <v/>
      </c>
      <c r="DZ52" s="152" t="str">
        <f t="shared" si="120"/>
        <v/>
      </c>
      <c r="EA52" s="153" t="str">
        <f t="shared" si="121"/>
        <v/>
      </c>
      <c r="EB52" s="152" t="str">
        <f t="shared" si="122"/>
        <v/>
      </c>
      <c r="EC52" s="584" t="str">
        <f>IF('Marks Entry'!BB52="","",'Marks Entry'!BB52)</f>
        <v/>
      </c>
      <c r="ED52" s="584" t="str">
        <f>IF('Marks Entry'!BC52="","",'Marks Entry'!BC52)</f>
        <v/>
      </c>
      <c r="EE52" s="584" t="str">
        <f>IF('Marks Entry'!BD52="","",'Marks Entry'!BD52)</f>
        <v/>
      </c>
      <c r="EF52" s="590" t="str">
        <f t="shared" si="123"/>
        <v/>
      </c>
      <c r="EG52" s="595">
        <f t="shared" si="124"/>
        <v>0</v>
      </c>
      <c r="EH52" s="595">
        <f t="shared" si="125"/>
        <v>0</v>
      </c>
      <c r="EI52" s="192" t="str">
        <f t="shared" si="126"/>
        <v/>
      </c>
      <c r="EJ52" s="595" t="str">
        <f t="shared" si="127"/>
        <v/>
      </c>
      <c r="EK52" s="595" t="str">
        <f t="shared" si="128"/>
        <v/>
      </c>
      <c r="EL52" s="193" t="str">
        <f t="shared" si="129"/>
        <v/>
      </c>
      <c r="EM52" s="193" t="str">
        <f t="shared" si="130"/>
        <v/>
      </c>
      <c r="EN52" s="193" t="str">
        <f t="shared" si="131"/>
        <v/>
      </c>
      <c r="EO52" s="193" t="str">
        <f t="shared" si="132"/>
        <v/>
      </c>
      <c r="EP52" s="193" t="str">
        <f t="shared" si="133"/>
        <v/>
      </c>
      <c r="EQ52" s="193" t="str">
        <f t="shared" si="134"/>
        <v/>
      </c>
      <c r="ER52" s="194">
        <f t="shared" si="135"/>
        <v>0</v>
      </c>
      <c r="ES52" s="194">
        <f t="shared" si="136"/>
        <v>0</v>
      </c>
      <c r="ET52" s="194">
        <f t="shared" si="137"/>
        <v>0</v>
      </c>
      <c r="EU52" s="194">
        <f t="shared" si="138"/>
        <v>0</v>
      </c>
      <c r="EV52" s="194">
        <f t="shared" si="139"/>
        <v>0</v>
      </c>
      <c r="EW52" s="194" t="str">
        <f t="shared" si="140"/>
        <v/>
      </c>
      <c r="EX52" s="195" t="str">
        <f t="shared" si="141"/>
        <v/>
      </c>
      <c r="EY52" s="196" t="str">
        <f>IF('Marks Entry'!BE52="","",'Marks Entry'!BE52)</f>
        <v/>
      </c>
      <c r="EZ52" s="196" t="str">
        <f>IF('Marks Entry'!BF52="","",'Marks Entry'!BF52)</f>
        <v/>
      </c>
      <c r="FA52" s="196" t="str">
        <f>IF('Marks Entry'!BG52="","",'Marks Entry'!BG52)</f>
        <v/>
      </c>
      <c r="FB52" s="596" t="str">
        <f t="shared" si="142"/>
        <v/>
      </c>
      <c r="FC52" s="196" t="str">
        <f>IF('Marks Entry'!BH52="","",'Marks Entry'!BH52)</f>
        <v/>
      </c>
      <c r="FD52" s="196" t="str">
        <f>IF('Marks Entry'!BI52="","",'Marks Entry'!BI52)</f>
        <v/>
      </c>
      <c r="FE52" s="197" t="str">
        <f t="shared" si="143"/>
        <v/>
      </c>
      <c r="FF52" s="198" t="str">
        <f t="shared" si="144"/>
        <v/>
      </c>
      <c r="FG52" s="199" t="str">
        <f>IF(AND(E52=""),"",IF('Student DATA Entry'!L48="","",'Student DATA Entry'!L48))</f>
        <v/>
      </c>
      <c r="FH52" s="200" t="str">
        <f>IF(AND(E52=""),"",IF('Student DATA Entry'!M48="","",'Student DATA Entry'!M48))</f>
        <v/>
      </c>
      <c r="FI52" s="201" t="str">
        <f t="shared" si="145"/>
        <v/>
      </c>
      <c r="FJ52" s="188" t="str">
        <f t="shared" si="146"/>
        <v/>
      </c>
      <c r="FK52" s="188" t="str">
        <f t="shared" si="147"/>
        <v/>
      </c>
      <c r="FL52" s="202" t="str">
        <f t="shared" si="178"/>
        <v/>
      </c>
      <c r="FM52" s="188" t="str">
        <f t="shared" si="148"/>
        <v/>
      </c>
      <c r="FN52" s="203" t="str">
        <f t="shared" si="149"/>
        <v/>
      </c>
      <c r="FO52" s="202" t="str">
        <f t="shared" si="179"/>
        <v/>
      </c>
      <c r="FP52" s="204" t="str">
        <f t="shared" si="150"/>
        <v/>
      </c>
      <c r="FQ52" s="188" t="str">
        <f t="shared" si="180"/>
        <v/>
      </c>
      <c r="FR52" s="188" t="str">
        <f t="shared" si="181"/>
        <v/>
      </c>
      <c r="FS52" s="188" t="str">
        <f t="shared" si="182"/>
        <v/>
      </c>
      <c r="FT52" s="188" t="str">
        <f t="shared" si="183"/>
        <v/>
      </c>
      <c r="FU52" s="188" t="str">
        <f t="shared" si="151"/>
        <v/>
      </c>
      <c r="FV52" s="205" t="str">
        <f t="shared" si="184"/>
        <v/>
      </c>
      <c r="FW52" s="204" t="str">
        <f t="shared" si="152"/>
        <v/>
      </c>
      <c r="FX52" s="188" t="str">
        <f t="shared" si="185"/>
        <v/>
      </c>
      <c r="FY52" s="188" t="str">
        <f t="shared" si="186"/>
        <v/>
      </c>
      <c r="FZ52" s="188" t="str">
        <f t="shared" si="187"/>
        <v/>
      </c>
      <c r="GA52" s="188" t="str">
        <f t="shared" si="188"/>
        <v/>
      </c>
      <c r="GB52" s="188" t="str">
        <f t="shared" si="153"/>
        <v/>
      </c>
      <c r="GC52" s="205" t="str">
        <f t="shared" si="189"/>
        <v/>
      </c>
      <c r="GD52" s="204" t="str">
        <f t="shared" si="154"/>
        <v/>
      </c>
      <c r="GE52" s="188" t="str">
        <f t="shared" si="190"/>
        <v/>
      </c>
      <c r="GF52" s="188" t="str">
        <f t="shared" si="191"/>
        <v/>
      </c>
      <c r="GG52" s="188" t="str">
        <f t="shared" si="192"/>
        <v/>
      </c>
      <c r="GH52" s="188" t="str">
        <f t="shared" si="193"/>
        <v/>
      </c>
      <c r="GI52" s="188" t="str">
        <f t="shared" si="155"/>
        <v/>
      </c>
      <c r="GJ52" s="205" t="str">
        <f t="shared" si="194"/>
        <v/>
      </c>
      <c r="GK52" s="204" t="str">
        <f t="shared" si="156"/>
        <v/>
      </c>
      <c r="GL52" s="188" t="str">
        <f t="shared" si="195"/>
        <v/>
      </c>
      <c r="GM52" s="188" t="str">
        <f t="shared" si="196"/>
        <v/>
      </c>
      <c r="GN52" s="188" t="str">
        <f t="shared" si="197"/>
        <v/>
      </c>
      <c r="GO52" s="188" t="str">
        <f t="shared" si="198"/>
        <v/>
      </c>
      <c r="GP52" s="188" t="str">
        <f t="shared" si="157"/>
        <v/>
      </c>
      <c r="GQ52" s="205" t="str">
        <f t="shared" si="199"/>
        <v/>
      </c>
      <c r="GR52" s="188" t="str">
        <f t="shared" si="158"/>
        <v/>
      </c>
      <c r="GS52" s="188" t="str">
        <f t="shared" si="159"/>
        <v/>
      </c>
      <c r="GT52" s="206" t="str">
        <f t="shared" si="177"/>
        <v xml:space="preserve">    </v>
      </c>
      <c r="GU52" s="206" t="str">
        <f t="shared" si="160"/>
        <v xml:space="preserve">    </v>
      </c>
      <c r="GV52" s="206" t="str">
        <f t="shared" si="161"/>
        <v xml:space="preserve">    </v>
      </c>
      <c r="GW52" s="206" t="str">
        <f t="shared" si="162"/>
        <v xml:space="preserve">       </v>
      </c>
      <c r="GX52" s="598" t="str">
        <f t="shared" si="163"/>
        <v xml:space="preserve">     </v>
      </c>
      <c r="GY52" s="207" t="str">
        <f t="shared" si="200"/>
        <v/>
      </c>
      <c r="GZ52" s="606" t="str">
        <f>IF(AND(Q52="",AE52="",AZ52="",BW52="",CT52=""),"",IF(AND('Master Sheet'!$D$19="YES",'Marks Entry'!$BA$1=1),SUM(Q52,AE52,AZ52,BW52,DT52),SUM(Q52,AE52,AZ52,BW52,CT52)))</f>
        <v/>
      </c>
      <c r="HA52" s="208" t="str">
        <f>IF(GZ52="","",IF(AND('Master Sheet'!$D$19="YES",'Marks Entry'!$BA$1=1),GZ52/((900)-DC52)*100,GZ52/((1000)-DC52)*100))</f>
        <v/>
      </c>
      <c r="HB52" s="611" t="str">
        <f t="shared" si="165"/>
        <v/>
      </c>
      <c r="HC52" s="609" t="str">
        <f t="shared" si="166"/>
        <v/>
      </c>
      <c r="HD52" s="610" t="str">
        <f t="shared" si="167"/>
        <v/>
      </c>
      <c r="HE52" s="209" t="str">
        <f>IFERROR(IF(OR(GY52="SUPPLEMENTARY",GY52="RE-EXAM"),'Supp. Result Entry'!AS51,""),"")</f>
        <v/>
      </c>
      <c r="HF52" s="613" t="str">
        <f t="shared" si="168"/>
        <v/>
      </c>
      <c r="HG52" s="598" t="str">
        <f t="shared" si="169"/>
        <v/>
      </c>
      <c r="HH52" s="598" t="str">
        <f>IF(AND(HE52="",HF52="",HG52=""),"",IF(OR(GY52="SUPPLEMENTARY",GY52="RE-EXAM"),'Supp. Result Entry'!AS51,GY52))</f>
        <v/>
      </c>
      <c r="HI52" s="179"/>
      <c r="HJ52" s="213"/>
      <c r="HY52" s="211" t="str">
        <f>IF('Supp. Result Entry'!U51="","",'Supp. Result Entry'!$U$6)</f>
        <v/>
      </c>
      <c r="HZ52" s="212" t="str">
        <f>IF('Supp. Result Entry'!X51="","",'Supp. Result Entry'!$X$6)</f>
        <v/>
      </c>
      <c r="IA52" s="212" t="str">
        <f>IF('Supp. Result Entry'!AA51="","",'Supp. Result Entry'!$AA$6)</f>
        <v/>
      </c>
      <c r="IB52" s="212" t="str">
        <f>IF('Supp. Result Entry'!AD51="","",'Supp. Result Entry'!$AD$6)</f>
        <v/>
      </c>
      <c r="IC52" s="212" t="str">
        <f>IF('Supp. Result Entry'!AG51="","",'Supp. Result Entry'!$AG$6)</f>
        <v/>
      </c>
      <c r="ID52" s="212" t="str">
        <f>IF('Supp. Result Entry'!AJ51="","",'Supp. Result Entry'!$AJ$6)</f>
        <v/>
      </c>
      <c r="IE52" s="212" t="str">
        <f>IF('Supp. Result Entry'!V51="","",'Supp. Result Entry'!V51)</f>
        <v/>
      </c>
      <c r="IF52" s="212" t="str">
        <f>IF('Supp. Result Entry'!Y51="","",'Supp. Result Entry'!Y51)</f>
        <v/>
      </c>
      <c r="IG52" s="212" t="str">
        <f>IF('Supp. Result Entry'!AB51="","",'Supp. Result Entry'!AB51)</f>
        <v/>
      </c>
      <c r="IH52" s="212" t="str">
        <f>IF('Supp. Result Entry'!AE51="","",'Supp. Result Entry'!AE51)</f>
        <v/>
      </c>
      <c r="II52" s="212" t="str">
        <f>IF('Supp. Result Entry'!AH51="","",'Supp. Result Entry'!AH51)</f>
        <v/>
      </c>
      <c r="IJ52" s="212" t="str">
        <f>IF('Supp. Result Entry'!AK51="","",'Supp. Result Entry'!AK51)</f>
        <v/>
      </c>
      <c r="IK52" s="212" t="str">
        <f>IF('Supp. Result Entry'!W51="","",'Supp. Result Entry'!W51)</f>
        <v/>
      </c>
      <c r="IL52" s="212" t="str">
        <f>IF('Supp. Result Entry'!Z51="","",'Supp. Result Entry'!Z51)</f>
        <v/>
      </c>
      <c r="IM52" s="212" t="str">
        <f>IF('Supp. Result Entry'!AC51="","",'Supp. Result Entry'!AC51)</f>
        <v/>
      </c>
      <c r="IN52" s="212" t="str">
        <f>IF('Supp. Result Entry'!AF51="","",'Supp. Result Entry'!AF51)</f>
        <v/>
      </c>
      <c r="IO52" s="212" t="str">
        <f>IF('Supp. Result Entry'!AI51="","",'Supp. Result Entry'!AI51)</f>
        <v/>
      </c>
      <c r="IP52" s="212" t="str">
        <f>IF('Supp. Result Entry'!AL51="","",'Supp. Result Entry'!AL51)</f>
        <v/>
      </c>
      <c r="IQ52" s="212">
        <f>COUNTIF('Supp. Result Entry'!K51:Q51,"S")</f>
        <v>0</v>
      </c>
      <c r="IR52" s="212">
        <f t="shared" si="170"/>
        <v>0</v>
      </c>
      <c r="IS52" s="212">
        <f t="shared" si="171"/>
        <v>0</v>
      </c>
      <c r="IT52" s="212" t="str">
        <f t="shared" si="41"/>
        <v/>
      </c>
      <c r="IU52" s="212" t="str">
        <f t="shared" si="42"/>
        <v/>
      </c>
      <c r="IV52" s="212" t="str">
        <f t="shared" si="43"/>
        <v/>
      </c>
      <c r="IW52" s="212" t="str">
        <f t="shared" si="44"/>
        <v/>
      </c>
      <c r="IX52" s="212" t="str">
        <f t="shared" si="45"/>
        <v/>
      </c>
      <c r="IY52" s="212" t="str">
        <f t="shared" si="172"/>
        <v/>
      </c>
      <c r="IZ52" s="212" t="str">
        <f t="shared" si="173"/>
        <v/>
      </c>
      <c r="JA52" s="212" t="str">
        <f t="shared" si="46"/>
        <v/>
      </c>
      <c r="JB52" s="210" t="str">
        <f t="shared" si="174"/>
        <v/>
      </c>
    </row>
    <row r="53" spans="1:262" s="210" customFormat="1" ht="21" customHeight="1">
      <c r="A53" s="183">
        <v>46</v>
      </c>
      <c r="B53" s="184" t="str">
        <f>IF('Marks Entry'!B53="","",'Marks Entry'!B53)</f>
        <v/>
      </c>
      <c r="C53" s="185" t="str">
        <f>IF('Marks Entry'!D53="","",'Marks Entry'!D53)</f>
        <v/>
      </c>
      <c r="D53" s="186" t="str">
        <f>IF('Marks Entry'!E53="","",'Marks Entry'!E53)</f>
        <v/>
      </c>
      <c r="E53" s="187" t="str">
        <f>IF('Marks Entry'!F53="","",'Marks Entry'!F53)</f>
        <v/>
      </c>
      <c r="F53" s="187" t="str">
        <f>IF('Marks Entry'!G53="","",'Marks Entry'!G53)</f>
        <v/>
      </c>
      <c r="G53" s="187" t="str">
        <f>IF('Marks Entry'!H53="","",'Marks Entry'!H53)</f>
        <v/>
      </c>
      <c r="H53" s="188" t="str">
        <f>IF('Marks Entry'!I53="","",'Marks Entry'!I53)</f>
        <v/>
      </c>
      <c r="I53" s="189" t="str">
        <f>IF('Marks Entry'!J53="","",'Marks Entry'!J53)</f>
        <v/>
      </c>
      <c r="J53" s="545" t="str">
        <f>IF('Marks Entry'!K53="","",'Marks Entry'!K53)</f>
        <v/>
      </c>
      <c r="K53" s="545" t="str">
        <f>IF('Marks Entry'!L53="","",'Marks Entry'!L53)</f>
        <v/>
      </c>
      <c r="L53" s="545" t="str">
        <f>IF('Marks Entry'!M53="","",'Marks Entry'!M53)</f>
        <v/>
      </c>
      <c r="M53" s="546" t="str">
        <f t="shared" si="47"/>
        <v/>
      </c>
      <c r="N53" s="545" t="str">
        <f>IF('Marks Entry'!N53="","",'Marks Entry'!N53)</f>
        <v/>
      </c>
      <c r="O53" s="546" t="str">
        <f t="shared" si="48"/>
        <v/>
      </c>
      <c r="P53" s="545" t="str">
        <f>IF('Marks Entry'!O53="","",'Marks Entry'!O53)</f>
        <v/>
      </c>
      <c r="Q53" s="547" t="str">
        <f t="shared" si="49"/>
        <v/>
      </c>
      <c r="R53" s="152">
        <f t="shared" si="50"/>
        <v>0</v>
      </c>
      <c r="S53" s="152">
        <f t="shared" si="51"/>
        <v>0</v>
      </c>
      <c r="T53" s="153" t="str">
        <f t="shared" si="52"/>
        <v/>
      </c>
      <c r="U53" s="152" t="str">
        <f t="shared" si="53"/>
        <v/>
      </c>
      <c r="V53" s="152" t="str">
        <f t="shared" si="54"/>
        <v/>
      </c>
      <c r="W53" s="152" t="str">
        <f t="shared" si="55"/>
        <v/>
      </c>
      <c r="X53" s="545" t="str">
        <f>IF('Marks Entry'!P53="","",'Marks Entry'!P53)</f>
        <v/>
      </c>
      <c r="Y53" s="545" t="str">
        <f>IF('Marks Entry'!Q53="","",'Marks Entry'!Q53)</f>
        <v/>
      </c>
      <c r="Z53" s="545" t="str">
        <f>IF('Marks Entry'!R53="","",'Marks Entry'!R53)</f>
        <v/>
      </c>
      <c r="AA53" s="546" t="str">
        <f t="shared" si="56"/>
        <v/>
      </c>
      <c r="AB53" s="545" t="str">
        <f>IF('Marks Entry'!S53="","",'Marks Entry'!S53)</f>
        <v/>
      </c>
      <c r="AC53" s="546" t="str">
        <f t="shared" si="57"/>
        <v/>
      </c>
      <c r="AD53" s="545" t="str">
        <f>IF('Marks Entry'!T53="","",'Marks Entry'!T53)</f>
        <v/>
      </c>
      <c r="AE53" s="547" t="str">
        <f t="shared" si="58"/>
        <v/>
      </c>
      <c r="AF53" s="152">
        <f t="shared" si="59"/>
        <v>0</v>
      </c>
      <c r="AG53" s="152">
        <f t="shared" si="60"/>
        <v>0</v>
      </c>
      <c r="AH53" s="153" t="str">
        <f t="shared" si="61"/>
        <v/>
      </c>
      <c r="AI53" s="152" t="str">
        <f t="shared" si="62"/>
        <v/>
      </c>
      <c r="AJ53" s="152" t="str">
        <f t="shared" si="63"/>
        <v/>
      </c>
      <c r="AK53" s="152" t="str">
        <f t="shared" si="64"/>
        <v/>
      </c>
      <c r="AL53" s="573" t="str">
        <f>IF('Marks Entry'!U53="","",'Marks Entry'!U53)</f>
        <v/>
      </c>
      <c r="AM53" s="573" t="str">
        <f>IF('Marks Entry'!V53="","",'Marks Entry'!V53)</f>
        <v/>
      </c>
      <c r="AN53" s="573" t="str">
        <f>IF('Marks Entry'!W53="","",'Marks Entry'!W53)</f>
        <v/>
      </c>
      <c r="AO53" s="573" t="str">
        <f>IF('Marks Entry'!X53="","",'Marks Entry'!X53)</f>
        <v/>
      </c>
      <c r="AP53" s="572" t="str">
        <f t="shared" si="65"/>
        <v/>
      </c>
      <c r="AQ53" s="573" t="str">
        <f>IF('Marks Entry'!Y53="","",'Marks Entry'!Y53)</f>
        <v/>
      </c>
      <c r="AR53" s="573" t="str">
        <f>IF('Marks Entry'!Z53="","",'Marks Entry'!Z53)</f>
        <v/>
      </c>
      <c r="AS53" s="572" t="str">
        <f t="shared" si="66"/>
        <v/>
      </c>
      <c r="AT53" s="572" t="str">
        <f t="shared" si="67"/>
        <v/>
      </c>
      <c r="AU53" s="573" t="str">
        <f>IF('Marks Entry'!AA53="","",'Marks Entry'!AA53)</f>
        <v/>
      </c>
      <c r="AV53" s="573" t="str">
        <f>IF('Marks Entry'!AB53="","",'Marks Entry'!AB53)</f>
        <v/>
      </c>
      <c r="AW53" s="572" t="str">
        <f t="shared" si="68"/>
        <v/>
      </c>
      <c r="AX53" s="156" t="str">
        <f t="shared" si="69"/>
        <v/>
      </c>
      <c r="AY53" s="156" t="str">
        <f t="shared" si="70"/>
        <v/>
      </c>
      <c r="AZ53" s="191" t="str">
        <f t="shared" si="71"/>
        <v/>
      </c>
      <c r="BA53" s="152">
        <f t="shared" si="72"/>
        <v>0</v>
      </c>
      <c r="BB53" s="153">
        <f t="shared" si="73"/>
        <v>0</v>
      </c>
      <c r="BC53" s="153" t="str">
        <f t="shared" si="74"/>
        <v/>
      </c>
      <c r="BD53" s="153" t="str">
        <f t="shared" si="75"/>
        <v/>
      </c>
      <c r="BE53" s="153" t="str">
        <f t="shared" si="76"/>
        <v/>
      </c>
      <c r="BF53" s="152" t="str">
        <f t="shared" si="77"/>
        <v/>
      </c>
      <c r="BG53" s="153" t="str">
        <f t="shared" si="175"/>
        <v/>
      </c>
      <c r="BH53" s="152" t="str">
        <f t="shared" si="78"/>
        <v/>
      </c>
      <c r="BI53" s="580" t="str">
        <f>IF('Marks Entry'!AC53="","",'Marks Entry'!AC53)</f>
        <v/>
      </c>
      <c r="BJ53" s="580" t="str">
        <f>IF('Marks Entry'!AD53="","",'Marks Entry'!AD53)</f>
        <v/>
      </c>
      <c r="BK53" s="580" t="str">
        <f>IF('Marks Entry'!AE53="","",'Marks Entry'!AE53)</f>
        <v/>
      </c>
      <c r="BL53" s="580" t="str">
        <f>IF('Marks Entry'!AF53="","",'Marks Entry'!AF53)</f>
        <v/>
      </c>
      <c r="BM53" s="581" t="str">
        <f t="shared" si="79"/>
        <v/>
      </c>
      <c r="BN53" s="580" t="str">
        <f>IF('Marks Entry'!AG53="","",'Marks Entry'!AG53)</f>
        <v/>
      </c>
      <c r="BO53" s="580" t="str">
        <f>IF('Marks Entry'!AH53="","",'Marks Entry'!AH53)</f>
        <v/>
      </c>
      <c r="BP53" s="581" t="str">
        <f t="shared" si="80"/>
        <v/>
      </c>
      <c r="BQ53" s="581" t="str">
        <f t="shared" si="81"/>
        <v/>
      </c>
      <c r="BR53" s="580" t="str">
        <f>IF('Marks Entry'!AI53="","",'Marks Entry'!AI53)</f>
        <v/>
      </c>
      <c r="BS53" s="580" t="str">
        <f>IF('Marks Entry'!AJ53="","",'Marks Entry'!AJ53)</f>
        <v/>
      </c>
      <c r="BT53" s="581" t="str">
        <f t="shared" si="82"/>
        <v/>
      </c>
      <c r="BU53" s="156" t="str">
        <f t="shared" si="83"/>
        <v/>
      </c>
      <c r="BV53" s="156" t="str">
        <f t="shared" si="84"/>
        <v/>
      </c>
      <c r="BW53" s="191" t="str">
        <f t="shared" si="85"/>
        <v/>
      </c>
      <c r="BX53" s="152">
        <f t="shared" si="86"/>
        <v>0</v>
      </c>
      <c r="BY53" s="153">
        <f t="shared" si="87"/>
        <v>0</v>
      </c>
      <c r="BZ53" s="153" t="str">
        <f t="shared" si="88"/>
        <v/>
      </c>
      <c r="CA53" s="153" t="str">
        <f t="shared" si="89"/>
        <v/>
      </c>
      <c r="CB53" s="153" t="str">
        <f t="shared" si="90"/>
        <v/>
      </c>
      <c r="CC53" s="152" t="str">
        <f t="shared" si="91"/>
        <v/>
      </c>
      <c r="CD53" s="153" t="str">
        <f t="shared" si="92"/>
        <v/>
      </c>
      <c r="CE53" s="152" t="str">
        <f t="shared" si="93"/>
        <v/>
      </c>
      <c r="CF53" s="580" t="str">
        <f>IF('Marks Entry'!AK53="","",'Marks Entry'!AK53)</f>
        <v/>
      </c>
      <c r="CG53" s="580" t="str">
        <f>IF('Marks Entry'!AL53="","",'Marks Entry'!AL53)</f>
        <v/>
      </c>
      <c r="CH53" s="580" t="str">
        <f>IF('Marks Entry'!AM53="","",'Marks Entry'!AM53)</f>
        <v/>
      </c>
      <c r="CI53" s="580" t="str">
        <f>IF('Marks Entry'!AN53="","",'Marks Entry'!AN53)</f>
        <v/>
      </c>
      <c r="CJ53" s="581" t="str">
        <f t="shared" si="94"/>
        <v/>
      </c>
      <c r="CK53" s="580" t="str">
        <f>IF('Marks Entry'!AO53="","",'Marks Entry'!AO53)</f>
        <v/>
      </c>
      <c r="CL53" s="580" t="str">
        <f>IF('Marks Entry'!AP53="","",'Marks Entry'!AP53)</f>
        <v/>
      </c>
      <c r="CM53" s="581" t="str">
        <f t="shared" si="95"/>
        <v/>
      </c>
      <c r="CN53" s="581" t="str">
        <f t="shared" si="96"/>
        <v/>
      </c>
      <c r="CO53" s="580" t="str">
        <f>IF('Marks Entry'!AQ53="","",'Marks Entry'!AQ53)</f>
        <v/>
      </c>
      <c r="CP53" s="580" t="str">
        <f>IF('Marks Entry'!AR53="","",'Marks Entry'!AR53)</f>
        <v/>
      </c>
      <c r="CQ53" s="581" t="str">
        <f t="shared" si="97"/>
        <v/>
      </c>
      <c r="CR53" s="156" t="str">
        <f t="shared" si="98"/>
        <v/>
      </c>
      <c r="CS53" s="156" t="str">
        <f t="shared" si="99"/>
        <v/>
      </c>
      <c r="CT53" s="191" t="str">
        <f t="shared" si="100"/>
        <v/>
      </c>
      <c r="CU53" s="152">
        <f t="shared" si="101"/>
        <v>0</v>
      </c>
      <c r="CV53" s="153">
        <f t="shared" si="102"/>
        <v>0</v>
      </c>
      <c r="CW53" s="153" t="str">
        <f t="shared" si="103"/>
        <v/>
      </c>
      <c r="CX53" s="153" t="str">
        <f t="shared" si="104"/>
        <v/>
      </c>
      <c r="CY53" s="153" t="str">
        <f t="shared" si="176"/>
        <v/>
      </c>
      <c r="CZ53" s="152" t="str">
        <f t="shared" si="105"/>
        <v/>
      </c>
      <c r="DA53" s="153" t="str">
        <f t="shared" si="106"/>
        <v/>
      </c>
      <c r="DB53" s="152" t="str">
        <f t="shared" si="107"/>
        <v/>
      </c>
      <c r="DC53" s="153">
        <f t="shared" si="108"/>
        <v>0</v>
      </c>
      <c r="DD53" s="851" t="str">
        <f>IF('Marks Entry'!AS53="","",IF(OR('Master Sheet'!$D$19="YES",'Marks Entry'!$BA$1=1),'Marks Entry'!AS53,""))</f>
        <v/>
      </c>
      <c r="DE53" s="851" t="str">
        <f>IF('Marks Entry'!AT53="","",IF(OR('Master Sheet'!$D$19="YES",'Marks Entry'!$BA$1=1),'Marks Entry'!AT53,""))</f>
        <v/>
      </c>
      <c r="DF53" s="851" t="str">
        <f>IF('Marks Entry'!AU53="","",IF(OR('Master Sheet'!$D$19="YES",'Marks Entry'!$BA$1=1),'Marks Entry'!AU53,""))</f>
        <v/>
      </c>
      <c r="DG53" s="851" t="str">
        <f>IF('Marks Entry'!AV53="","",IF(OR('Master Sheet'!$D$19="YES",'Marks Entry'!$BA$1=1),'Marks Entry'!AV53,""))</f>
        <v/>
      </c>
      <c r="DH53" s="852" t="str">
        <f t="shared" si="109"/>
        <v/>
      </c>
      <c r="DI53" s="851" t="str">
        <f>IF('Marks Entry'!AW53="","",IF(OR('Master Sheet'!$D$19="YES",'Marks Entry'!$BA$1=1),'Marks Entry'!AW53,""))</f>
        <v/>
      </c>
      <c r="DJ53" s="851" t="str">
        <f>IF('Marks Entry'!AX53="","",IF(OR('Master Sheet'!$D$19="YES",'Marks Entry'!$BA$1=1),'Marks Entry'!AX53,""))</f>
        <v/>
      </c>
      <c r="DK53" s="852" t="str">
        <f t="shared" si="110"/>
        <v/>
      </c>
      <c r="DL53" s="852" t="str">
        <f t="shared" si="111"/>
        <v/>
      </c>
      <c r="DM53" s="851" t="str">
        <f>IF('Marks Entry'!AY53="","",IF(OR('Master Sheet'!$D$19="YES",'Marks Entry'!$BA$1=1),'Marks Entry'!AY53,""))</f>
        <v/>
      </c>
      <c r="DN53" s="851" t="str">
        <f>IF('Marks Entry'!AZ53="","",IF(OR('Master Sheet'!$D$19="YES",'Marks Entry'!$BA$1=1),'Marks Entry'!AZ53,""))</f>
        <v/>
      </c>
      <c r="DO53" s="851" t="str">
        <f>IF('Marks Entry'!BA53="","",IF(OR('Master Sheet'!$D$19="YES",'Marks Entry'!$BA$1=1),'Marks Entry'!BA53,""))</f>
        <v/>
      </c>
      <c r="DP53" s="852" t="str">
        <f t="shared" si="112"/>
        <v/>
      </c>
      <c r="DQ53" s="156" t="str">
        <f t="shared" si="113"/>
        <v/>
      </c>
      <c r="DR53" s="156" t="str">
        <f t="shared" si="114"/>
        <v/>
      </c>
      <c r="DS53" s="156" t="str">
        <f t="shared" si="115"/>
        <v/>
      </c>
      <c r="DT53" s="191" t="str">
        <f t="shared" si="116"/>
        <v/>
      </c>
      <c r="DU53" s="152">
        <f t="shared" si="117"/>
        <v>0</v>
      </c>
      <c r="DV53" s="153">
        <f t="shared" si="118"/>
        <v>0</v>
      </c>
      <c r="DW53" s="153" t="str">
        <f t="shared" si="119"/>
        <v/>
      </c>
      <c r="DX53" s="153" t="str">
        <f>IF(OR($B53="NSO",$B53=0,DS53=""),"",IF(AND(DJ53="",DO53=""),"",IF('Master Sheet'!$D$19="YES",$DO$6-COUNTIF(DO53,"ML")*DO$6,DS$6-(COUNTIF(DJ53,"ML")*DJ$6)-(COUNTIF(DO53,"ML")*DO$6))))</f>
        <v/>
      </c>
      <c r="DY53" s="153" t="str">
        <f>IF(OR($B53="NSO",$B53=0),"",IF(AND(DH53="",DI53="",DM53=""),"",IF(AND('Master Sheet'!$D$19="YES",'Marks Entry'!$BA$1=1),100,IF(AND(DJ53="",DO53=""),SUM(($DQ$7+$DR$7)-(DU53+DV53)),SUM(($DQ$6+$DR$6)-(DU53+DV53))))))</f>
        <v/>
      </c>
      <c r="DZ53" s="152" t="str">
        <f t="shared" si="120"/>
        <v/>
      </c>
      <c r="EA53" s="153" t="str">
        <f t="shared" si="121"/>
        <v/>
      </c>
      <c r="EB53" s="152" t="str">
        <f t="shared" si="122"/>
        <v/>
      </c>
      <c r="EC53" s="584" t="str">
        <f>IF('Marks Entry'!BB53="","",'Marks Entry'!BB53)</f>
        <v/>
      </c>
      <c r="ED53" s="584" t="str">
        <f>IF('Marks Entry'!BC53="","",'Marks Entry'!BC53)</f>
        <v/>
      </c>
      <c r="EE53" s="584" t="str">
        <f>IF('Marks Entry'!BD53="","",'Marks Entry'!BD53)</f>
        <v/>
      </c>
      <c r="EF53" s="590" t="str">
        <f t="shared" si="123"/>
        <v/>
      </c>
      <c r="EG53" s="595">
        <f t="shared" si="124"/>
        <v>0</v>
      </c>
      <c r="EH53" s="595">
        <f t="shared" si="125"/>
        <v>0</v>
      </c>
      <c r="EI53" s="192" t="str">
        <f t="shared" si="126"/>
        <v/>
      </c>
      <c r="EJ53" s="595" t="str">
        <f t="shared" si="127"/>
        <v/>
      </c>
      <c r="EK53" s="595" t="str">
        <f t="shared" si="128"/>
        <v/>
      </c>
      <c r="EL53" s="193" t="str">
        <f t="shared" si="129"/>
        <v/>
      </c>
      <c r="EM53" s="193" t="str">
        <f t="shared" si="130"/>
        <v/>
      </c>
      <c r="EN53" s="193" t="str">
        <f t="shared" si="131"/>
        <v/>
      </c>
      <c r="EO53" s="193" t="str">
        <f t="shared" si="132"/>
        <v/>
      </c>
      <c r="EP53" s="193" t="str">
        <f t="shared" si="133"/>
        <v/>
      </c>
      <c r="EQ53" s="193" t="str">
        <f t="shared" si="134"/>
        <v/>
      </c>
      <c r="ER53" s="194">
        <f t="shared" si="135"/>
        <v>0</v>
      </c>
      <c r="ES53" s="194">
        <f t="shared" si="136"/>
        <v>0</v>
      </c>
      <c r="ET53" s="194">
        <f t="shared" si="137"/>
        <v>0</v>
      </c>
      <c r="EU53" s="194">
        <f t="shared" si="138"/>
        <v>0</v>
      </c>
      <c r="EV53" s="194">
        <f t="shared" si="139"/>
        <v>0</v>
      </c>
      <c r="EW53" s="194" t="str">
        <f t="shared" si="140"/>
        <v/>
      </c>
      <c r="EX53" s="195" t="str">
        <f t="shared" si="141"/>
        <v/>
      </c>
      <c r="EY53" s="196" t="str">
        <f>IF('Marks Entry'!BE53="","",'Marks Entry'!BE53)</f>
        <v/>
      </c>
      <c r="EZ53" s="196" t="str">
        <f>IF('Marks Entry'!BF53="","",'Marks Entry'!BF53)</f>
        <v/>
      </c>
      <c r="FA53" s="196" t="str">
        <f>IF('Marks Entry'!BG53="","",'Marks Entry'!BG53)</f>
        <v/>
      </c>
      <c r="FB53" s="596" t="str">
        <f t="shared" si="142"/>
        <v/>
      </c>
      <c r="FC53" s="196" t="str">
        <f>IF('Marks Entry'!BH53="","",'Marks Entry'!BH53)</f>
        <v/>
      </c>
      <c r="FD53" s="196" t="str">
        <f>IF('Marks Entry'!BI53="","",'Marks Entry'!BI53)</f>
        <v/>
      </c>
      <c r="FE53" s="197" t="str">
        <f t="shared" si="143"/>
        <v/>
      </c>
      <c r="FF53" s="198" t="str">
        <f t="shared" si="144"/>
        <v/>
      </c>
      <c r="FG53" s="199" t="str">
        <f>IF(AND(E53=""),"",IF('Student DATA Entry'!L49="","",'Student DATA Entry'!L49))</f>
        <v/>
      </c>
      <c r="FH53" s="200" t="str">
        <f>IF(AND(E53=""),"",IF('Student DATA Entry'!M49="","",'Student DATA Entry'!M49))</f>
        <v/>
      </c>
      <c r="FI53" s="201" t="str">
        <f t="shared" si="145"/>
        <v/>
      </c>
      <c r="FJ53" s="188" t="str">
        <f t="shared" si="146"/>
        <v/>
      </c>
      <c r="FK53" s="188" t="str">
        <f t="shared" si="147"/>
        <v/>
      </c>
      <c r="FL53" s="202" t="str">
        <f t="shared" si="178"/>
        <v/>
      </c>
      <c r="FM53" s="188" t="str">
        <f t="shared" si="148"/>
        <v/>
      </c>
      <c r="FN53" s="203" t="str">
        <f t="shared" si="149"/>
        <v/>
      </c>
      <c r="FO53" s="202" t="str">
        <f t="shared" si="179"/>
        <v/>
      </c>
      <c r="FP53" s="204" t="str">
        <f t="shared" si="150"/>
        <v/>
      </c>
      <c r="FQ53" s="188" t="str">
        <f t="shared" si="180"/>
        <v/>
      </c>
      <c r="FR53" s="188" t="str">
        <f t="shared" si="181"/>
        <v/>
      </c>
      <c r="FS53" s="188" t="str">
        <f t="shared" si="182"/>
        <v/>
      </c>
      <c r="FT53" s="188" t="str">
        <f t="shared" si="183"/>
        <v/>
      </c>
      <c r="FU53" s="188" t="str">
        <f t="shared" si="151"/>
        <v/>
      </c>
      <c r="FV53" s="205" t="str">
        <f t="shared" si="184"/>
        <v/>
      </c>
      <c r="FW53" s="204" t="str">
        <f t="shared" si="152"/>
        <v/>
      </c>
      <c r="FX53" s="188" t="str">
        <f t="shared" si="185"/>
        <v/>
      </c>
      <c r="FY53" s="188" t="str">
        <f t="shared" si="186"/>
        <v/>
      </c>
      <c r="FZ53" s="188" t="str">
        <f t="shared" si="187"/>
        <v/>
      </c>
      <c r="GA53" s="188" t="str">
        <f t="shared" si="188"/>
        <v/>
      </c>
      <c r="GB53" s="188" t="str">
        <f t="shared" si="153"/>
        <v/>
      </c>
      <c r="GC53" s="205" t="str">
        <f t="shared" si="189"/>
        <v/>
      </c>
      <c r="GD53" s="204" t="str">
        <f t="shared" si="154"/>
        <v/>
      </c>
      <c r="GE53" s="188" t="str">
        <f t="shared" si="190"/>
        <v/>
      </c>
      <c r="GF53" s="188" t="str">
        <f t="shared" si="191"/>
        <v/>
      </c>
      <c r="GG53" s="188" t="str">
        <f t="shared" si="192"/>
        <v/>
      </c>
      <c r="GH53" s="188" t="str">
        <f t="shared" si="193"/>
        <v/>
      </c>
      <c r="GI53" s="188" t="str">
        <f t="shared" si="155"/>
        <v/>
      </c>
      <c r="GJ53" s="205" t="str">
        <f t="shared" si="194"/>
        <v/>
      </c>
      <c r="GK53" s="204" t="str">
        <f t="shared" si="156"/>
        <v/>
      </c>
      <c r="GL53" s="188" t="str">
        <f t="shared" si="195"/>
        <v/>
      </c>
      <c r="GM53" s="188" t="str">
        <f t="shared" si="196"/>
        <v/>
      </c>
      <c r="GN53" s="188" t="str">
        <f t="shared" si="197"/>
        <v/>
      </c>
      <c r="GO53" s="188" t="str">
        <f t="shared" si="198"/>
        <v/>
      </c>
      <c r="GP53" s="188" t="str">
        <f t="shared" si="157"/>
        <v/>
      </c>
      <c r="GQ53" s="205" t="str">
        <f t="shared" si="199"/>
        <v/>
      </c>
      <c r="GR53" s="188" t="str">
        <f t="shared" si="158"/>
        <v/>
      </c>
      <c r="GS53" s="188" t="str">
        <f t="shared" si="159"/>
        <v/>
      </c>
      <c r="GT53" s="206" t="str">
        <f t="shared" si="177"/>
        <v xml:space="preserve">    </v>
      </c>
      <c r="GU53" s="206" t="str">
        <f t="shared" si="160"/>
        <v xml:space="preserve">    </v>
      </c>
      <c r="GV53" s="206" t="str">
        <f t="shared" si="161"/>
        <v xml:space="preserve">    </v>
      </c>
      <c r="GW53" s="206" t="str">
        <f t="shared" si="162"/>
        <v xml:space="preserve">       </v>
      </c>
      <c r="GX53" s="598" t="str">
        <f t="shared" si="163"/>
        <v xml:space="preserve">     </v>
      </c>
      <c r="GY53" s="207" t="str">
        <f t="shared" si="200"/>
        <v/>
      </c>
      <c r="GZ53" s="606" t="str">
        <f>IF(AND(Q53="",AE53="",AZ53="",BW53="",CT53=""),"",IF(AND('Master Sheet'!$D$19="YES",'Marks Entry'!$BA$1=1),SUM(Q53,AE53,AZ53,BW53,DT53),SUM(Q53,AE53,AZ53,BW53,CT53)))</f>
        <v/>
      </c>
      <c r="HA53" s="208" t="str">
        <f>IF(GZ53="","",IF(AND('Master Sheet'!$D$19="YES",'Marks Entry'!$BA$1=1),GZ53/((900)-DC53)*100,GZ53/((1000)-DC53)*100))</f>
        <v/>
      </c>
      <c r="HB53" s="611" t="str">
        <f t="shared" si="165"/>
        <v/>
      </c>
      <c r="HC53" s="609" t="str">
        <f t="shared" si="166"/>
        <v/>
      </c>
      <c r="HD53" s="610" t="str">
        <f t="shared" si="167"/>
        <v/>
      </c>
      <c r="HE53" s="209" t="str">
        <f>IFERROR(IF(OR(GY53="SUPPLEMENTARY",GY53="RE-EXAM"),'Supp. Result Entry'!AS52,""),"")</f>
        <v/>
      </c>
      <c r="HF53" s="613" t="str">
        <f t="shared" si="168"/>
        <v/>
      </c>
      <c r="HG53" s="598" t="str">
        <f t="shared" si="169"/>
        <v/>
      </c>
      <c r="HH53" s="598" t="str">
        <f>IF(AND(HE53="",HF53="",HG53=""),"",IF(OR(GY53="SUPPLEMENTARY",GY53="RE-EXAM"),'Supp. Result Entry'!AS52,GY53))</f>
        <v/>
      </c>
      <c r="HI53" s="179"/>
      <c r="HJ53" s="213"/>
      <c r="HY53" s="211" t="str">
        <f>IF('Supp. Result Entry'!U52="","",'Supp. Result Entry'!$U$6)</f>
        <v/>
      </c>
      <c r="HZ53" s="212" t="str">
        <f>IF('Supp. Result Entry'!X52="","",'Supp. Result Entry'!$X$6)</f>
        <v/>
      </c>
      <c r="IA53" s="212" t="str">
        <f>IF('Supp. Result Entry'!AA52="","",'Supp. Result Entry'!$AA$6)</f>
        <v/>
      </c>
      <c r="IB53" s="212" t="str">
        <f>IF('Supp. Result Entry'!AD52="","",'Supp. Result Entry'!$AD$6)</f>
        <v/>
      </c>
      <c r="IC53" s="212" t="str">
        <f>IF('Supp. Result Entry'!AG52="","",'Supp. Result Entry'!$AG$6)</f>
        <v/>
      </c>
      <c r="ID53" s="212" t="str">
        <f>IF('Supp. Result Entry'!AJ52="","",'Supp. Result Entry'!$AJ$6)</f>
        <v/>
      </c>
      <c r="IE53" s="212" t="str">
        <f>IF('Supp. Result Entry'!V52="","",'Supp. Result Entry'!V52)</f>
        <v/>
      </c>
      <c r="IF53" s="212" t="str">
        <f>IF('Supp. Result Entry'!Y52="","",'Supp. Result Entry'!Y52)</f>
        <v/>
      </c>
      <c r="IG53" s="212" t="str">
        <f>IF('Supp. Result Entry'!AB52="","",'Supp. Result Entry'!AB52)</f>
        <v/>
      </c>
      <c r="IH53" s="212" t="str">
        <f>IF('Supp. Result Entry'!AE52="","",'Supp. Result Entry'!AE52)</f>
        <v/>
      </c>
      <c r="II53" s="212" t="str">
        <f>IF('Supp. Result Entry'!AH52="","",'Supp. Result Entry'!AH52)</f>
        <v/>
      </c>
      <c r="IJ53" s="212" t="str">
        <f>IF('Supp. Result Entry'!AK52="","",'Supp. Result Entry'!AK52)</f>
        <v/>
      </c>
      <c r="IK53" s="212" t="str">
        <f>IF('Supp. Result Entry'!W52="","",'Supp. Result Entry'!W52)</f>
        <v/>
      </c>
      <c r="IL53" s="212" t="str">
        <f>IF('Supp. Result Entry'!Z52="","",'Supp. Result Entry'!Z52)</f>
        <v/>
      </c>
      <c r="IM53" s="212" t="str">
        <f>IF('Supp. Result Entry'!AC52="","",'Supp. Result Entry'!AC52)</f>
        <v/>
      </c>
      <c r="IN53" s="212" t="str">
        <f>IF('Supp. Result Entry'!AF52="","",'Supp. Result Entry'!AF52)</f>
        <v/>
      </c>
      <c r="IO53" s="212" t="str">
        <f>IF('Supp. Result Entry'!AI52="","",'Supp. Result Entry'!AI52)</f>
        <v/>
      </c>
      <c r="IP53" s="212" t="str">
        <f>IF('Supp. Result Entry'!AL52="","",'Supp. Result Entry'!AL52)</f>
        <v/>
      </c>
      <c r="IQ53" s="212">
        <f>COUNTIF('Supp. Result Entry'!K52:Q52,"S")</f>
        <v>0</v>
      </c>
      <c r="IR53" s="212">
        <f t="shared" si="170"/>
        <v>0</v>
      </c>
      <c r="IS53" s="212">
        <f t="shared" si="171"/>
        <v>0</v>
      </c>
      <c r="IT53" s="212" t="str">
        <f t="shared" si="41"/>
        <v/>
      </c>
      <c r="IU53" s="212" t="str">
        <f t="shared" si="42"/>
        <v/>
      </c>
      <c r="IV53" s="212" t="str">
        <f t="shared" si="43"/>
        <v/>
      </c>
      <c r="IW53" s="212" t="str">
        <f t="shared" si="44"/>
        <v/>
      </c>
      <c r="IX53" s="212" t="str">
        <f t="shared" si="45"/>
        <v/>
      </c>
      <c r="IY53" s="212" t="str">
        <f t="shared" si="172"/>
        <v/>
      </c>
      <c r="IZ53" s="212" t="str">
        <f t="shared" si="173"/>
        <v/>
      </c>
      <c r="JA53" s="212" t="str">
        <f t="shared" si="46"/>
        <v/>
      </c>
      <c r="JB53" s="210" t="str">
        <f t="shared" si="174"/>
        <v/>
      </c>
    </row>
    <row r="54" spans="1:262" s="210" customFormat="1" ht="21" customHeight="1">
      <c r="A54" s="183">
        <v>47</v>
      </c>
      <c r="B54" s="184" t="str">
        <f>IF('Marks Entry'!B54="","",'Marks Entry'!B54)</f>
        <v/>
      </c>
      <c r="C54" s="185" t="str">
        <f>IF('Marks Entry'!D54="","",'Marks Entry'!D54)</f>
        <v/>
      </c>
      <c r="D54" s="186" t="str">
        <f>IF('Marks Entry'!E54="","",'Marks Entry'!E54)</f>
        <v/>
      </c>
      <c r="E54" s="187" t="str">
        <f>IF('Marks Entry'!F54="","",'Marks Entry'!F54)</f>
        <v/>
      </c>
      <c r="F54" s="187" t="str">
        <f>IF('Marks Entry'!G54="","",'Marks Entry'!G54)</f>
        <v/>
      </c>
      <c r="G54" s="187" t="str">
        <f>IF('Marks Entry'!H54="","",'Marks Entry'!H54)</f>
        <v/>
      </c>
      <c r="H54" s="188" t="str">
        <f>IF('Marks Entry'!I54="","",'Marks Entry'!I54)</f>
        <v/>
      </c>
      <c r="I54" s="189" t="str">
        <f>IF('Marks Entry'!J54="","",'Marks Entry'!J54)</f>
        <v/>
      </c>
      <c r="J54" s="545" t="str">
        <f>IF('Marks Entry'!K54="","",'Marks Entry'!K54)</f>
        <v/>
      </c>
      <c r="K54" s="545" t="str">
        <f>IF('Marks Entry'!L54="","",'Marks Entry'!L54)</f>
        <v/>
      </c>
      <c r="L54" s="545" t="str">
        <f>IF('Marks Entry'!M54="","",'Marks Entry'!M54)</f>
        <v/>
      </c>
      <c r="M54" s="546" t="str">
        <f t="shared" si="47"/>
        <v/>
      </c>
      <c r="N54" s="545" t="str">
        <f>IF('Marks Entry'!N54="","",'Marks Entry'!N54)</f>
        <v/>
      </c>
      <c r="O54" s="546" t="str">
        <f t="shared" si="48"/>
        <v/>
      </c>
      <c r="P54" s="545" t="str">
        <f>IF('Marks Entry'!O54="","",'Marks Entry'!O54)</f>
        <v/>
      </c>
      <c r="Q54" s="547" t="str">
        <f t="shared" si="49"/>
        <v/>
      </c>
      <c r="R54" s="152">
        <f t="shared" si="50"/>
        <v>0</v>
      </c>
      <c r="S54" s="152">
        <f t="shared" si="51"/>
        <v>0</v>
      </c>
      <c r="T54" s="153" t="str">
        <f t="shared" si="52"/>
        <v/>
      </c>
      <c r="U54" s="152" t="str">
        <f t="shared" si="53"/>
        <v/>
      </c>
      <c r="V54" s="152" t="str">
        <f t="shared" si="54"/>
        <v/>
      </c>
      <c r="W54" s="152" t="str">
        <f t="shared" si="55"/>
        <v/>
      </c>
      <c r="X54" s="545" t="str">
        <f>IF('Marks Entry'!P54="","",'Marks Entry'!P54)</f>
        <v/>
      </c>
      <c r="Y54" s="545" t="str">
        <f>IF('Marks Entry'!Q54="","",'Marks Entry'!Q54)</f>
        <v/>
      </c>
      <c r="Z54" s="545" t="str">
        <f>IF('Marks Entry'!R54="","",'Marks Entry'!R54)</f>
        <v/>
      </c>
      <c r="AA54" s="546" t="str">
        <f t="shared" si="56"/>
        <v/>
      </c>
      <c r="AB54" s="545" t="str">
        <f>IF('Marks Entry'!S54="","",'Marks Entry'!S54)</f>
        <v/>
      </c>
      <c r="AC54" s="546" t="str">
        <f t="shared" si="57"/>
        <v/>
      </c>
      <c r="AD54" s="545" t="str">
        <f>IF('Marks Entry'!T54="","",'Marks Entry'!T54)</f>
        <v/>
      </c>
      <c r="AE54" s="547" t="str">
        <f t="shared" si="58"/>
        <v/>
      </c>
      <c r="AF54" s="152">
        <f t="shared" si="59"/>
        <v>0</v>
      </c>
      <c r="AG54" s="152">
        <f t="shared" si="60"/>
        <v>0</v>
      </c>
      <c r="AH54" s="153" t="str">
        <f t="shared" si="61"/>
        <v/>
      </c>
      <c r="AI54" s="152" t="str">
        <f t="shared" si="62"/>
        <v/>
      </c>
      <c r="AJ54" s="152" t="str">
        <f t="shared" si="63"/>
        <v/>
      </c>
      <c r="AK54" s="152" t="str">
        <f t="shared" si="64"/>
        <v/>
      </c>
      <c r="AL54" s="573" t="str">
        <f>IF('Marks Entry'!U54="","",'Marks Entry'!U54)</f>
        <v/>
      </c>
      <c r="AM54" s="573" t="str">
        <f>IF('Marks Entry'!V54="","",'Marks Entry'!V54)</f>
        <v/>
      </c>
      <c r="AN54" s="573" t="str">
        <f>IF('Marks Entry'!W54="","",'Marks Entry'!W54)</f>
        <v/>
      </c>
      <c r="AO54" s="573" t="str">
        <f>IF('Marks Entry'!X54="","",'Marks Entry'!X54)</f>
        <v/>
      </c>
      <c r="AP54" s="572" t="str">
        <f t="shared" si="65"/>
        <v/>
      </c>
      <c r="AQ54" s="573" t="str">
        <f>IF('Marks Entry'!Y54="","",'Marks Entry'!Y54)</f>
        <v/>
      </c>
      <c r="AR54" s="573" t="str">
        <f>IF('Marks Entry'!Z54="","",'Marks Entry'!Z54)</f>
        <v/>
      </c>
      <c r="AS54" s="572" t="str">
        <f t="shared" si="66"/>
        <v/>
      </c>
      <c r="AT54" s="572" t="str">
        <f t="shared" si="67"/>
        <v/>
      </c>
      <c r="AU54" s="573" t="str">
        <f>IF('Marks Entry'!AA54="","",'Marks Entry'!AA54)</f>
        <v/>
      </c>
      <c r="AV54" s="573" t="str">
        <f>IF('Marks Entry'!AB54="","",'Marks Entry'!AB54)</f>
        <v/>
      </c>
      <c r="AW54" s="572" t="str">
        <f t="shared" si="68"/>
        <v/>
      </c>
      <c r="AX54" s="156" t="str">
        <f t="shared" si="69"/>
        <v/>
      </c>
      <c r="AY54" s="156" t="str">
        <f t="shared" si="70"/>
        <v/>
      </c>
      <c r="AZ54" s="191" t="str">
        <f t="shared" si="71"/>
        <v/>
      </c>
      <c r="BA54" s="152">
        <f t="shared" si="72"/>
        <v>0</v>
      </c>
      <c r="BB54" s="153">
        <f t="shared" si="73"/>
        <v>0</v>
      </c>
      <c r="BC54" s="153" t="str">
        <f t="shared" si="74"/>
        <v/>
      </c>
      <c r="BD54" s="153" t="str">
        <f t="shared" si="75"/>
        <v/>
      </c>
      <c r="BE54" s="153" t="str">
        <f t="shared" si="76"/>
        <v/>
      </c>
      <c r="BF54" s="152" t="str">
        <f t="shared" si="77"/>
        <v/>
      </c>
      <c r="BG54" s="153" t="str">
        <f t="shared" si="175"/>
        <v/>
      </c>
      <c r="BH54" s="152" t="str">
        <f t="shared" si="78"/>
        <v/>
      </c>
      <c r="BI54" s="580" t="str">
        <f>IF('Marks Entry'!AC54="","",'Marks Entry'!AC54)</f>
        <v/>
      </c>
      <c r="BJ54" s="580" t="str">
        <f>IF('Marks Entry'!AD54="","",'Marks Entry'!AD54)</f>
        <v/>
      </c>
      <c r="BK54" s="580" t="str">
        <f>IF('Marks Entry'!AE54="","",'Marks Entry'!AE54)</f>
        <v/>
      </c>
      <c r="BL54" s="580" t="str">
        <f>IF('Marks Entry'!AF54="","",'Marks Entry'!AF54)</f>
        <v/>
      </c>
      <c r="BM54" s="581" t="str">
        <f t="shared" si="79"/>
        <v/>
      </c>
      <c r="BN54" s="580" t="str">
        <f>IF('Marks Entry'!AG54="","",'Marks Entry'!AG54)</f>
        <v/>
      </c>
      <c r="BO54" s="580" t="str">
        <f>IF('Marks Entry'!AH54="","",'Marks Entry'!AH54)</f>
        <v/>
      </c>
      <c r="BP54" s="581" t="str">
        <f t="shared" si="80"/>
        <v/>
      </c>
      <c r="BQ54" s="581" t="str">
        <f t="shared" si="81"/>
        <v/>
      </c>
      <c r="BR54" s="580" t="str">
        <f>IF('Marks Entry'!AI54="","",'Marks Entry'!AI54)</f>
        <v/>
      </c>
      <c r="BS54" s="580" t="str">
        <f>IF('Marks Entry'!AJ54="","",'Marks Entry'!AJ54)</f>
        <v/>
      </c>
      <c r="BT54" s="581" t="str">
        <f t="shared" si="82"/>
        <v/>
      </c>
      <c r="BU54" s="156" t="str">
        <f t="shared" si="83"/>
        <v/>
      </c>
      <c r="BV54" s="156" t="str">
        <f t="shared" si="84"/>
        <v/>
      </c>
      <c r="BW54" s="191" t="str">
        <f t="shared" si="85"/>
        <v/>
      </c>
      <c r="BX54" s="152">
        <f t="shared" si="86"/>
        <v>0</v>
      </c>
      <c r="BY54" s="153">
        <f t="shared" si="87"/>
        <v>0</v>
      </c>
      <c r="BZ54" s="153" t="str">
        <f t="shared" si="88"/>
        <v/>
      </c>
      <c r="CA54" s="153" t="str">
        <f t="shared" si="89"/>
        <v/>
      </c>
      <c r="CB54" s="153" t="str">
        <f t="shared" si="90"/>
        <v/>
      </c>
      <c r="CC54" s="152" t="str">
        <f t="shared" si="91"/>
        <v/>
      </c>
      <c r="CD54" s="153" t="str">
        <f t="shared" si="92"/>
        <v/>
      </c>
      <c r="CE54" s="152" t="str">
        <f t="shared" si="93"/>
        <v/>
      </c>
      <c r="CF54" s="580" t="str">
        <f>IF('Marks Entry'!AK54="","",'Marks Entry'!AK54)</f>
        <v/>
      </c>
      <c r="CG54" s="580" t="str">
        <f>IF('Marks Entry'!AL54="","",'Marks Entry'!AL54)</f>
        <v/>
      </c>
      <c r="CH54" s="580" t="str">
        <f>IF('Marks Entry'!AM54="","",'Marks Entry'!AM54)</f>
        <v/>
      </c>
      <c r="CI54" s="580" t="str">
        <f>IF('Marks Entry'!AN54="","",'Marks Entry'!AN54)</f>
        <v/>
      </c>
      <c r="CJ54" s="581" t="str">
        <f t="shared" si="94"/>
        <v/>
      </c>
      <c r="CK54" s="580" t="str">
        <f>IF('Marks Entry'!AO54="","",'Marks Entry'!AO54)</f>
        <v/>
      </c>
      <c r="CL54" s="580" t="str">
        <f>IF('Marks Entry'!AP54="","",'Marks Entry'!AP54)</f>
        <v/>
      </c>
      <c r="CM54" s="581" t="str">
        <f t="shared" si="95"/>
        <v/>
      </c>
      <c r="CN54" s="581" t="str">
        <f t="shared" si="96"/>
        <v/>
      </c>
      <c r="CO54" s="580" t="str">
        <f>IF('Marks Entry'!AQ54="","",'Marks Entry'!AQ54)</f>
        <v/>
      </c>
      <c r="CP54" s="580" t="str">
        <f>IF('Marks Entry'!AR54="","",'Marks Entry'!AR54)</f>
        <v/>
      </c>
      <c r="CQ54" s="581" t="str">
        <f t="shared" si="97"/>
        <v/>
      </c>
      <c r="CR54" s="156" t="str">
        <f t="shared" si="98"/>
        <v/>
      </c>
      <c r="CS54" s="156" t="str">
        <f t="shared" si="99"/>
        <v/>
      </c>
      <c r="CT54" s="191" t="str">
        <f t="shared" si="100"/>
        <v/>
      </c>
      <c r="CU54" s="152">
        <f t="shared" si="101"/>
        <v>0</v>
      </c>
      <c r="CV54" s="153">
        <f t="shared" si="102"/>
        <v>0</v>
      </c>
      <c r="CW54" s="153" t="str">
        <f t="shared" si="103"/>
        <v/>
      </c>
      <c r="CX54" s="153" t="str">
        <f t="shared" si="104"/>
        <v/>
      </c>
      <c r="CY54" s="153" t="str">
        <f t="shared" si="176"/>
        <v/>
      </c>
      <c r="CZ54" s="152" t="str">
        <f t="shared" si="105"/>
        <v/>
      </c>
      <c r="DA54" s="153" t="str">
        <f t="shared" si="106"/>
        <v/>
      </c>
      <c r="DB54" s="152" t="str">
        <f t="shared" si="107"/>
        <v/>
      </c>
      <c r="DC54" s="153">
        <f t="shared" si="108"/>
        <v>0</v>
      </c>
      <c r="DD54" s="851" t="str">
        <f>IF('Marks Entry'!AS54="","",IF(OR('Master Sheet'!$D$19="YES",'Marks Entry'!$BA$1=1),'Marks Entry'!AS54,""))</f>
        <v/>
      </c>
      <c r="DE54" s="851" t="str">
        <f>IF('Marks Entry'!AT54="","",IF(OR('Master Sheet'!$D$19="YES",'Marks Entry'!$BA$1=1),'Marks Entry'!AT54,""))</f>
        <v/>
      </c>
      <c r="DF54" s="851" t="str">
        <f>IF('Marks Entry'!AU54="","",IF(OR('Master Sheet'!$D$19="YES",'Marks Entry'!$BA$1=1),'Marks Entry'!AU54,""))</f>
        <v/>
      </c>
      <c r="DG54" s="851" t="str">
        <f>IF('Marks Entry'!AV54="","",IF(OR('Master Sheet'!$D$19="YES",'Marks Entry'!$BA$1=1),'Marks Entry'!AV54,""))</f>
        <v/>
      </c>
      <c r="DH54" s="852" t="str">
        <f t="shared" si="109"/>
        <v/>
      </c>
      <c r="DI54" s="851" t="str">
        <f>IF('Marks Entry'!AW54="","",IF(OR('Master Sheet'!$D$19="YES",'Marks Entry'!$BA$1=1),'Marks Entry'!AW54,""))</f>
        <v/>
      </c>
      <c r="DJ54" s="851" t="str">
        <f>IF('Marks Entry'!AX54="","",IF(OR('Master Sheet'!$D$19="YES",'Marks Entry'!$BA$1=1),'Marks Entry'!AX54,""))</f>
        <v/>
      </c>
      <c r="DK54" s="852" t="str">
        <f t="shared" si="110"/>
        <v/>
      </c>
      <c r="DL54" s="852" t="str">
        <f t="shared" si="111"/>
        <v/>
      </c>
      <c r="DM54" s="851" t="str">
        <f>IF('Marks Entry'!AY54="","",IF(OR('Master Sheet'!$D$19="YES",'Marks Entry'!$BA$1=1),'Marks Entry'!AY54,""))</f>
        <v/>
      </c>
      <c r="DN54" s="851" t="str">
        <f>IF('Marks Entry'!AZ54="","",IF(OR('Master Sheet'!$D$19="YES",'Marks Entry'!$BA$1=1),'Marks Entry'!AZ54,""))</f>
        <v/>
      </c>
      <c r="DO54" s="851" t="str">
        <f>IF('Marks Entry'!BA54="","",IF(OR('Master Sheet'!$D$19="YES",'Marks Entry'!$BA$1=1),'Marks Entry'!BA54,""))</f>
        <v/>
      </c>
      <c r="DP54" s="852" t="str">
        <f t="shared" si="112"/>
        <v/>
      </c>
      <c r="DQ54" s="156" t="str">
        <f t="shared" si="113"/>
        <v/>
      </c>
      <c r="DR54" s="156" t="str">
        <f t="shared" si="114"/>
        <v/>
      </c>
      <c r="DS54" s="156" t="str">
        <f t="shared" si="115"/>
        <v/>
      </c>
      <c r="DT54" s="191" t="str">
        <f t="shared" si="116"/>
        <v/>
      </c>
      <c r="DU54" s="152">
        <f t="shared" si="117"/>
        <v>0</v>
      </c>
      <c r="DV54" s="153">
        <f t="shared" si="118"/>
        <v>0</v>
      </c>
      <c r="DW54" s="153" t="str">
        <f t="shared" si="119"/>
        <v/>
      </c>
      <c r="DX54" s="153" t="str">
        <f>IF(OR($B54="NSO",$B54=0,DS54=""),"",IF(AND(DJ54="",DO54=""),"",IF('Master Sheet'!$D$19="YES",$DO$6-COUNTIF(DO54,"ML")*DO$6,DS$6-(COUNTIF(DJ54,"ML")*DJ$6)-(COUNTIF(DO54,"ML")*DO$6))))</f>
        <v/>
      </c>
      <c r="DY54" s="153" t="str">
        <f>IF(OR($B54="NSO",$B54=0),"",IF(AND(DH54="",DI54="",DM54=""),"",IF(AND('Master Sheet'!$D$19="YES",'Marks Entry'!$BA$1=1),100,IF(AND(DJ54="",DO54=""),SUM(($DQ$7+$DR$7)-(DU54+DV54)),SUM(($DQ$6+$DR$6)-(DU54+DV54))))))</f>
        <v/>
      </c>
      <c r="DZ54" s="152" t="str">
        <f t="shared" si="120"/>
        <v/>
      </c>
      <c r="EA54" s="153" t="str">
        <f t="shared" si="121"/>
        <v/>
      </c>
      <c r="EB54" s="152" t="str">
        <f t="shared" si="122"/>
        <v/>
      </c>
      <c r="EC54" s="584" t="str">
        <f>IF('Marks Entry'!BB54="","",'Marks Entry'!BB54)</f>
        <v/>
      </c>
      <c r="ED54" s="584" t="str">
        <f>IF('Marks Entry'!BC54="","",'Marks Entry'!BC54)</f>
        <v/>
      </c>
      <c r="EE54" s="584" t="str">
        <f>IF('Marks Entry'!BD54="","",'Marks Entry'!BD54)</f>
        <v/>
      </c>
      <c r="EF54" s="590" t="str">
        <f t="shared" si="123"/>
        <v/>
      </c>
      <c r="EG54" s="595">
        <f t="shared" si="124"/>
        <v>0</v>
      </c>
      <c r="EH54" s="595">
        <f t="shared" si="125"/>
        <v>0</v>
      </c>
      <c r="EI54" s="192" t="str">
        <f t="shared" si="126"/>
        <v/>
      </c>
      <c r="EJ54" s="595" t="str">
        <f t="shared" si="127"/>
        <v/>
      </c>
      <c r="EK54" s="595" t="str">
        <f t="shared" si="128"/>
        <v/>
      </c>
      <c r="EL54" s="193" t="str">
        <f t="shared" si="129"/>
        <v/>
      </c>
      <c r="EM54" s="193" t="str">
        <f t="shared" si="130"/>
        <v/>
      </c>
      <c r="EN54" s="193" t="str">
        <f t="shared" si="131"/>
        <v/>
      </c>
      <c r="EO54" s="193" t="str">
        <f t="shared" si="132"/>
        <v/>
      </c>
      <c r="EP54" s="193" t="str">
        <f t="shared" si="133"/>
        <v/>
      </c>
      <c r="EQ54" s="193" t="str">
        <f t="shared" si="134"/>
        <v/>
      </c>
      <c r="ER54" s="194">
        <f t="shared" si="135"/>
        <v>0</v>
      </c>
      <c r="ES54" s="194">
        <f t="shared" si="136"/>
        <v>0</v>
      </c>
      <c r="ET54" s="194">
        <f t="shared" si="137"/>
        <v>0</v>
      </c>
      <c r="EU54" s="194">
        <f t="shared" si="138"/>
        <v>0</v>
      </c>
      <c r="EV54" s="194">
        <f t="shared" si="139"/>
        <v>0</v>
      </c>
      <c r="EW54" s="194" t="str">
        <f t="shared" si="140"/>
        <v/>
      </c>
      <c r="EX54" s="195" t="str">
        <f t="shared" si="141"/>
        <v/>
      </c>
      <c r="EY54" s="196" t="str">
        <f>IF('Marks Entry'!BE54="","",'Marks Entry'!BE54)</f>
        <v/>
      </c>
      <c r="EZ54" s="196" t="str">
        <f>IF('Marks Entry'!BF54="","",'Marks Entry'!BF54)</f>
        <v/>
      </c>
      <c r="FA54" s="196" t="str">
        <f>IF('Marks Entry'!BG54="","",'Marks Entry'!BG54)</f>
        <v/>
      </c>
      <c r="FB54" s="596" t="str">
        <f t="shared" si="142"/>
        <v/>
      </c>
      <c r="FC54" s="196" t="str">
        <f>IF('Marks Entry'!BH54="","",'Marks Entry'!BH54)</f>
        <v/>
      </c>
      <c r="FD54" s="196" t="str">
        <f>IF('Marks Entry'!BI54="","",'Marks Entry'!BI54)</f>
        <v/>
      </c>
      <c r="FE54" s="197" t="str">
        <f t="shared" si="143"/>
        <v/>
      </c>
      <c r="FF54" s="198" t="str">
        <f t="shared" si="144"/>
        <v/>
      </c>
      <c r="FG54" s="199" t="str">
        <f>IF(AND(E54=""),"",IF('Student DATA Entry'!L50="","",'Student DATA Entry'!L50))</f>
        <v/>
      </c>
      <c r="FH54" s="200" t="str">
        <f>IF(AND(E54=""),"",IF('Student DATA Entry'!M50="","",'Student DATA Entry'!M50))</f>
        <v/>
      </c>
      <c r="FI54" s="201" t="str">
        <f t="shared" si="145"/>
        <v/>
      </c>
      <c r="FJ54" s="188" t="str">
        <f t="shared" si="146"/>
        <v/>
      </c>
      <c r="FK54" s="188" t="str">
        <f t="shared" si="147"/>
        <v/>
      </c>
      <c r="FL54" s="202" t="str">
        <f t="shared" si="178"/>
        <v/>
      </c>
      <c r="FM54" s="188" t="str">
        <f t="shared" si="148"/>
        <v/>
      </c>
      <c r="FN54" s="203" t="str">
        <f t="shared" si="149"/>
        <v/>
      </c>
      <c r="FO54" s="202" t="str">
        <f t="shared" si="179"/>
        <v/>
      </c>
      <c r="FP54" s="204" t="str">
        <f t="shared" si="150"/>
        <v/>
      </c>
      <c r="FQ54" s="188" t="str">
        <f t="shared" si="180"/>
        <v/>
      </c>
      <c r="FR54" s="188" t="str">
        <f t="shared" si="181"/>
        <v/>
      </c>
      <c r="FS54" s="188" t="str">
        <f t="shared" si="182"/>
        <v/>
      </c>
      <c r="FT54" s="188" t="str">
        <f t="shared" si="183"/>
        <v/>
      </c>
      <c r="FU54" s="188" t="str">
        <f t="shared" si="151"/>
        <v/>
      </c>
      <c r="FV54" s="205" t="str">
        <f t="shared" si="184"/>
        <v/>
      </c>
      <c r="FW54" s="204" t="str">
        <f t="shared" si="152"/>
        <v/>
      </c>
      <c r="FX54" s="188" t="str">
        <f t="shared" si="185"/>
        <v/>
      </c>
      <c r="FY54" s="188" t="str">
        <f t="shared" si="186"/>
        <v/>
      </c>
      <c r="FZ54" s="188" t="str">
        <f t="shared" si="187"/>
        <v/>
      </c>
      <c r="GA54" s="188" t="str">
        <f t="shared" si="188"/>
        <v/>
      </c>
      <c r="GB54" s="188" t="str">
        <f t="shared" si="153"/>
        <v/>
      </c>
      <c r="GC54" s="205" t="str">
        <f t="shared" si="189"/>
        <v/>
      </c>
      <c r="GD54" s="204" t="str">
        <f t="shared" si="154"/>
        <v/>
      </c>
      <c r="GE54" s="188" t="str">
        <f t="shared" si="190"/>
        <v/>
      </c>
      <c r="GF54" s="188" t="str">
        <f t="shared" si="191"/>
        <v/>
      </c>
      <c r="GG54" s="188" t="str">
        <f t="shared" si="192"/>
        <v/>
      </c>
      <c r="GH54" s="188" t="str">
        <f t="shared" si="193"/>
        <v/>
      </c>
      <c r="GI54" s="188" t="str">
        <f t="shared" si="155"/>
        <v/>
      </c>
      <c r="GJ54" s="205" t="str">
        <f t="shared" si="194"/>
        <v/>
      </c>
      <c r="GK54" s="204" t="str">
        <f t="shared" si="156"/>
        <v/>
      </c>
      <c r="GL54" s="188" t="str">
        <f t="shared" si="195"/>
        <v/>
      </c>
      <c r="GM54" s="188" t="str">
        <f t="shared" si="196"/>
        <v/>
      </c>
      <c r="GN54" s="188" t="str">
        <f t="shared" si="197"/>
        <v/>
      </c>
      <c r="GO54" s="188" t="str">
        <f t="shared" si="198"/>
        <v/>
      </c>
      <c r="GP54" s="188" t="str">
        <f t="shared" si="157"/>
        <v/>
      </c>
      <c r="GQ54" s="205" t="str">
        <f t="shared" si="199"/>
        <v/>
      </c>
      <c r="GR54" s="188" t="str">
        <f t="shared" si="158"/>
        <v/>
      </c>
      <c r="GS54" s="188" t="str">
        <f t="shared" si="159"/>
        <v/>
      </c>
      <c r="GT54" s="206" t="str">
        <f t="shared" si="177"/>
        <v xml:space="preserve">    </v>
      </c>
      <c r="GU54" s="206" t="str">
        <f t="shared" si="160"/>
        <v xml:space="preserve">    </v>
      </c>
      <c r="GV54" s="206" t="str">
        <f t="shared" si="161"/>
        <v xml:space="preserve">    </v>
      </c>
      <c r="GW54" s="206" t="str">
        <f t="shared" si="162"/>
        <v xml:space="preserve">       </v>
      </c>
      <c r="GX54" s="598" t="str">
        <f t="shared" si="163"/>
        <v xml:space="preserve">     </v>
      </c>
      <c r="GY54" s="207" t="str">
        <f t="shared" si="200"/>
        <v/>
      </c>
      <c r="GZ54" s="606" t="str">
        <f>IF(AND(Q54="",AE54="",AZ54="",BW54="",CT54=""),"",IF(AND('Master Sheet'!$D$19="YES",'Marks Entry'!$BA$1=1),SUM(Q54,AE54,AZ54,BW54,DT54),SUM(Q54,AE54,AZ54,BW54,CT54)))</f>
        <v/>
      </c>
      <c r="HA54" s="208" t="str">
        <f>IF(GZ54="","",IF(AND('Master Sheet'!$D$19="YES",'Marks Entry'!$BA$1=1),GZ54/((900)-DC54)*100,GZ54/((1000)-DC54)*100))</f>
        <v/>
      </c>
      <c r="HB54" s="611" t="str">
        <f t="shared" si="165"/>
        <v/>
      </c>
      <c r="HC54" s="609" t="str">
        <f t="shared" si="166"/>
        <v/>
      </c>
      <c r="HD54" s="610" t="str">
        <f t="shared" si="167"/>
        <v/>
      </c>
      <c r="HE54" s="209" t="str">
        <f>IFERROR(IF(OR(GY54="SUPPLEMENTARY",GY54="RE-EXAM"),'Supp. Result Entry'!AS53,""),"")</f>
        <v/>
      </c>
      <c r="HF54" s="613" t="str">
        <f t="shared" si="168"/>
        <v/>
      </c>
      <c r="HG54" s="598" t="str">
        <f t="shared" si="169"/>
        <v/>
      </c>
      <c r="HH54" s="598" t="str">
        <f>IF(AND(HE54="",HF54="",HG54=""),"",IF(OR(GY54="SUPPLEMENTARY",GY54="RE-EXAM"),'Supp. Result Entry'!AS53,GY54))</f>
        <v/>
      </c>
      <c r="HI54" s="179"/>
      <c r="HJ54" s="213"/>
      <c r="HY54" s="211" t="str">
        <f>IF('Supp. Result Entry'!U53="","",'Supp. Result Entry'!$U$6)</f>
        <v/>
      </c>
      <c r="HZ54" s="212" t="str">
        <f>IF('Supp. Result Entry'!X53="","",'Supp. Result Entry'!$X$6)</f>
        <v/>
      </c>
      <c r="IA54" s="212" t="str">
        <f>IF('Supp. Result Entry'!AA53="","",'Supp. Result Entry'!$AA$6)</f>
        <v/>
      </c>
      <c r="IB54" s="212" t="str">
        <f>IF('Supp. Result Entry'!AD53="","",'Supp. Result Entry'!$AD$6)</f>
        <v/>
      </c>
      <c r="IC54" s="212" t="str">
        <f>IF('Supp. Result Entry'!AG53="","",'Supp. Result Entry'!$AG$6)</f>
        <v/>
      </c>
      <c r="ID54" s="212" t="str">
        <f>IF('Supp. Result Entry'!AJ53="","",'Supp. Result Entry'!$AJ$6)</f>
        <v/>
      </c>
      <c r="IE54" s="212" t="str">
        <f>IF('Supp. Result Entry'!V53="","",'Supp. Result Entry'!V53)</f>
        <v/>
      </c>
      <c r="IF54" s="212" t="str">
        <f>IF('Supp. Result Entry'!Y53="","",'Supp. Result Entry'!Y53)</f>
        <v/>
      </c>
      <c r="IG54" s="212" t="str">
        <f>IF('Supp. Result Entry'!AB53="","",'Supp. Result Entry'!AB53)</f>
        <v/>
      </c>
      <c r="IH54" s="212" t="str">
        <f>IF('Supp. Result Entry'!AE53="","",'Supp. Result Entry'!AE53)</f>
        <v/>
      </c>
      <c r="II54" s="212" t="str">
        <f>IF('Supp. Result Entry'!AH53="","",'Supp. Result Entry'!AH53)</f>
        <v/>
      </c>
      <c r="IJ54" s="212" t="str">
        <f>IF('Supp. Result Entry'!AK53="","",'Supp. Result Entry'!AK53)</f>
        <v/>
      </c>
      <c r="IK54" s="212" t="str">
        <f>IF('Supp. Result Entry'!W53="","",'Supp. Result Entry'!W53)</f>
        <v/>
      </c>
      <c r="IL54" s="212" t="str">
        <f>IF('Supp. Result Entry'!Z53="","",'Supp. Result Entry'!Z53)</f>
        <v/>
      </c>
      <c r="IM54" s="212" t="str">
        <f>IF('Supp. Result Entry'!AC53="","",'Supp. Result Entry'!AC53)</f>
        <v/>
      </c>
      <c r="IN54" s="212" t="str">
        <f>IF('Supp. Result Entry'!AF53="","",'Supp. Result Entry'!AF53)</f>
        <v/>
      </c>
      <c r="IO54" s="212" t="str">
        <f>IF('Supp. Result Entry'!AI53="","",'Supp. Result Entry'!AI53)</f>
        <v/>
      </c>
      <c r="IP54" s="212" t="str">
        <f>IF('Supp. Result Entry'!AL53="","",'Supp. Result Entry'!AL53)</f>
        <v/>
      </c>
      <c r="IQ54" s="212">
        <f>COUNTIF('Supp. Result Entry'!K53:Q53,"S")</f>
        <v>0</v>
      </c>
      <c r="IR54" s="212">
        <f t="shared" si="170"/>
        <v>0</v>
      </c>
      <c r="IS54" s="212">
        <f t="shared" si="171"/>
        <v>0</v>
      </c>
      <c r="IT54" s="212" t="str">
        <f t="shared" si="41"/>
        <v/>
      </c>
      <c r="IU54" s="212" t="str">
        <f t="shared" si="42"/>
        <v/>
      </c>
      <c r="IV54" s="212" t="str">
        <f t="shared" si="43"/>
        <v/>
      </c>
      <c r="IW54" s="212" t="str">
        <f t="shared" si="44"/>
        <v/>
      </c>
      <c r="IX54" s="212" t="str">
        <f t="shared" si="45"/>
        <v/>
      </c>
      <c r="IY54" s="212" t="str">
        <f t="shared" si="172"/>
        <v/>
      </c>
      <c r="IZ54" s="212" t="str">
        <f t="shared" si="173"/>
        <v/>
      </c>
      <c r="JA54" s="212" t="str">
        <f t="shared" si="46"/>
        <v/>
      </c>
      <c r="JB54" s="210" t="str">
        <f t="shared" si="174"/>
        <v/>
      </c>
    </row>
    <row r="55" spans="1:262" s="210" customFormat="1" ht="21" customHeight="1">
      <c r="A55" s="183">
        <v>48</v>
      </c>
      <c r="B55" s="184" t="str">
        <f>IF('Marks Entry'!B55="","",'Marks Entry'!B55)</f>
        <v/>
      </c>
      <c r="C55" s="185" t="str">
        <f>IF('Marks Entry'!D55="","",'Marks Entry'!D55)</f>
        <v/>
      </c>
      <c r="D55" s="186" t="str">
        <f>IF('Marks Entry'!E55="","",'Marks Entry'!E55)</f>
        <v/>
      </c>
      <c r="E55" s="187" t="str">
        <f>IF('Marks Entry'!F55="","",'Marks Entry'!F55)</f>
        <v/>
      </c>
      <c r="F55" s="187" t="str">
        <f>IF('Marks Entry'!G55="","",'Marks Entry'!G55)</f>
        <v/>
      </c>
      <c r="G55" s="187" t="str">
        <f>IF('Marks Entry'!H55="","",'Marks Entry'!H55)</f>
        <v/>
      </c>
      <c r="H55" s="188" t="str">
        <f>IF('Marks Entry'!I55="","",'Marks Entry'!I55)</f>
        <v/>
      </c>
      <c r="I55" s="189" t="str">
        <f>IF('Marks Entry'!J55="","",'Marks Entry'!J55)</f>
        <v/>
      </c>
      <c r="J55" s="545" t="str">
        <f>IF('Marks Entry'!K55="","",'Marks Entry'!K55)</f>
        <v/>
      </c>
      <c r="K55" s="545" t="str">
        <f>IF('Marks Entry'!L55="","",'Marks Entry'!L55)</f>
        <v/>
      </c>
      <c r="L55" s="545" t="str">
        <f>IF('Marks Entry'!M55="","",'Marks Entry'!M55)</f>
        <v/>
      </c>
      <c r="M55" s="546" t="str">
        <f t="shared" si="47"/>
        <v/>
      </c>
      <c r="N55" s="545" t="str">
        <f>IF('Marks Entry'!N55="","",'Marks Entry'!N55)</f>
        <v/>
      </c>
      <c r="O55" s="546" t="str">
        <f t="shared" si="48"/>
        <v/>
      </c>
      <c r="P55" s="545" t="str">
        <f>IF('Marks Entry'!O55="","",'Marks Entry'!O55)</f>
        <v/>
      </c>
      <c r="Q55" s="547" t="str">
        <f t="shared" si="49"/>
        <v/>
      </c>
      <c r="R55" s="152">
        <f t="shared" si="50"/>
        <v>0</v>
      </c>
      <c r="S55" s="152">
        <f t="shared" si="51"/>
        <v>0</v>
      </c>
      <c r="T55" s="153" t="str">
        <f t="shared" si="52"/>
        <v/>
      </c>
      <c r="U55" s="152" t="str">
        <f t="shared" si="53"/>
        <v/>
      </c>
      <c r="V55" s="152" t="str">
        <f t="shared" si="54"/>
        <v/>
      </c>
      <c r="W55" s="152" t="str">
        <f t="shared" si="55"/>
        <v/>
      </c>
      <c r="X55" s="545" t="str">
        <f>IF('Marks Entry'!P55="","",'Marks Entry'!P55)</f>
        <v/>
      </c>
      <c r="Y55" s="545" t="str">
        <f>IF('Marks Entry'!Q55="","",'Marks Entry'!Q55)</f>
        <v/>
      </c>
      <c r="Z55" s="545" t="str">
        <f>IF('Marks Entry'!R55="","",'Marks Entry'!R55)</f>
        <v/>
      </c>
      <c r="AA55" s="546" t="str">
        <f t="shared" si="56"/>
        <v/>
      </c>
      <c r="AB55" s="545" t="str">
        <f>IF('Marks Entry'!S55="","",'Marks Entry'!S55)</f>
        <v/>
      </c>
      <c r="AC55" s="546" t="str">
        <f t="shared" si="57"/>
        <v/>
      </c>
      <c r="AD55" s="545" t="str">
        <f>IF('Marks Entry'!T55="","",'Marks Entry'!T55)</f>
        <v/>
      </c>
      <c r="AE55" s="547" t="str">
        <f t="shared" si="58"/>
        <v/>
      </c>
      <c r="AF55" s="152">
        <f t="shared" si="59"/>
        <v>0</v>
      </c>
      <c r="AG55" s="152">
        <f t="shared" si="60"/>
        <v>0</v>
      </c>
      <c r="AH55" s="153" t="str">
        <f t="shared" si="61"/>
        <v/>
      </c>
      <c r="AI55" s="152" t="str">
        <f t="shared" si="62"/>
        <v/>
      </c>
      <c r="AJ55" s="152" t="str">
        <f t="shared" si="63"/>
        <v/>
      </c>
      <c r="AK55" s="152" t="str">
        <f t="shared" si="64"/>
        <v/>
      </c>
      <c r="AL55" s="573" t="str">
        <f>IF('Marks Entry'!U55="","",'Marks Entry'!U55)</f>
        <v/>
      </c>
      <c r="AM55" s="573" t="str">
        <f>IF('Marks Entry'!V55="","",'Marks Entry'!V55)</f>
        <v/>
      </c>
      <c r="AN55" s="573" t="str">
        <f>IF('Marks Entry'!W55="","",'Marks Entry'!W55)</f>
        <v/>
      </c>
      <c r="AO55" s="573" t="str">
        <f>IF('Marks Entry'!X55="","",'Marks Entry'!X55)</f>
        <v/>
      </c>
      <c r="AP55" s="572" t="str">
        <f t="shared" si="65"/>
        <v/>
      </c>
      <c r="AQ55" s="573" t="str">
        <f>IF('Marks Entry'!Y55="","",'Marks Entry'!Y55)</f>
        <v/>
      </c>
      <c r="AR55" s="573" t="str">
        <f>IF('Marks Entry'!Z55="","",'Marks Entry'!Z55)</f>
        <v/>
      </c>
      <c r="AS55" s="572" t="str">
        <f t="shared" si="66"/>
        <v/>
      </c>
      <c r="AT55" s="572" t="str">
        <f t="shared" si="67"/>
        <v/>
      </c>
      <c r="AU55" s="573" t="str">
        <f>IF('Marks Entry'!AA55="","",'Marks Entry'!AA55)</f>
        <v/>
      </c>
      <c r="AV55" s="573" t="str">
        <f>IF('Marks Entry'!AB55="","",'Marks Entry'!AB55)</f>
        <v/>
      </c>
      <c r="AW55" s="572" t="str">
        <f t="shared" si="68"/>
        <v/>
      </c>
      <c r="AX55" s="156" t="str">
        <f t="shared" si="69"/>
        <v/>
      </c>
      <c r="AY55" s="156" t="str">
        <f t="shared" si="70"/>
        <v/>
      </c>
      <c r="AZ55" s="191" t="str">
        <f t="shared" si="71"/>
        <v/>
      </c>
      <c r="BA55" s="152">
        <f t="shared" si="72"/>
        <v>0</v>
      </c>
      <c r="BB55" s="153">
        <f t="shared" si="73"/>
        <v>0</v>
      </c>
      <c r="BC55" s="153" t="str">
        <f t="shared" si="74"/>
        <v/>
      </c>
      <c r="BD55" s="153" t="str">
        <f t="shared" si="75"/>
        <v/>
      </c>
      <c r="BE55" s="153" t="str">
        <f t="shared" si="76"/>
        <v/>
      </c>
      <c r="BF55" s="152" t="str">
        <f t="shared" si="77"/>
        <v/>
      </c>
      <c r="BG55" s="153" t="str">
        <f t="shared" si="175"/>
        <v/>
      </c>
      <c r="BH55" s="152" t="str">
        <f t="shared" si="78"/>
        <v/>
      </c>
      <c r="BI55" s="580" t="str">
        <f>IF('Marks Entry'!AC55="","",'Marks Entry'!AC55)</f>
        <v/>
      </c>
      <c r="BJ55" s="580" t="str">
        <f>IF('Marks Entry'!AD55="","",'Marks Entry'!AD55)</f>
        <v/>
      </c>
      <c r="BK55" s="580" t="str">
        <f>IF('Marks Entry'!AE55="","",'Marks Entry'!AE55)</f>
        <v/>
      </c>
      <c r="BL55" s="580" t="str">
        <f>IF('Marks Entry'!AF55="","",'Marks Entry'!AF55)</f>
        <v/>
      </c>
      <c r="BM55" s="581" t="str">
        <f t="shared" si="79"/>
        <v/>
      </c>
      <c r="BN55" s="580" t="str">
        <f>IF('Marks Entry'!AG55="","",'Marks Entry'!AG55)</f>
        <v/>
      </c>
      <c r="BO55" s="580" t="str">
        <f>IF('Marks Entry'!AH55="","",'Marks Entry'!AH55)</f>
        <v/>
      </c>
      <c r="BP55" s="581" t="str">
        <f t="shared" si="80"/>
        <v/>
      </c>
      <c r="BQ55" s="581" t="str">
        <f t="shared" si="81"/>
        <v/>
      </c>
      <c r="BR55" s="580" t="str">
        <f>IF('Marks Entry'!AI55="","",'Marks Entry'!AI55)</f>
        <v/>
      </c>
      <c r="BS55" s="580" t="str">
        <f>IF('Marks Entry'!AJ55="","",'Marks Entry'!AJ55)</f>
        <v/>
      </c>
      <c r="BT55" s="581" t="str">
        <f t="shared" si="82"/>
        <v/>
      </c>
      <c r="BU55" s="156" t="str">
        <f t="shared" si="83"/>
        <v/>
      </c>
      <c r="BV55" s="156" t="str">
        <f t="shared" si="84"/>
        <v/>
      </c>
      <c r="BW55" s="191" t="str">
        <f t="shared" si="85"/>
        <v/>
      </c>
      <c r="BX55" s="152">
        <f t="shared" si="86"/>
        <v>0</v>
      </c>
      <c r="BY55" s="153">
        <f t="shared" si="87"/>
        <v>0</v>
      </c>
      <c r="BZ55" s="153" t="str">
        <f t="shared" si="88"/>
        <v/>
      </c>
      <c r="CA55" s="153" t="str">
        <f t="shared" si="89"/>
        <v/>
      </c>
      <c r="CB55" s="153" t="str">
        <f t="shared" si="90"/>
        <v/>
      </c>
      <c r="CC55" s="152" t="str">
        <f t="shared" si="91"/>
        <v/>
      </c>
      <c r="CD55" s="153" t="str">
        <f t="shared" si="92"/>
        <v/>
      </c>
      <c r="CE55" s="152" t="str">
        <f t="shared" si="93"/>
        <v/>
      </c>
      <c r="CF55" s="580" t="str">
        <f>IF('Marks Entry'!AK55="","",'Marks Entry'!AK55)</f>
        <v/>
      </c>
      <c r="CG55" s="580" t="str">
        <f>IF('Marks Entry'!AL55="","",'Marks Entry'!AL55)</f>
        <v/>
      </c>
      <c r="CH55" s="580" t="str">
        <f>IF('Marks Entry'!AM55="","",'Marks Entry'!AM55)</f>
        <v/>
      </c>
      <c r="CI55" s="580" t="str">
        <f>IF('Marks Entry'!AN55="","",'Marks Entry'!AN55)</f>
        <v/>
      </c>
      <c r="CJ55" s="581" t="str">
        <f t="shared" si="94"/>
        <v/>
      </c>
      <c r="CK55" s="580" t="str">
        <f>IF('Marks Entry'!AO55="","",'Marks Entry'!AO55)</f>
        <v/>
      </c>
      <c r="CL55" s="580" t="str">
        <f>IF('Marks Entry'!AP55="","",'Marks Entry'!AP55)</f>
        <v/>
      </c>
      <c r="CM55" s="581" t="str">
        <f t="shared" si="95"/>
        <v/>
      </c>
      <c r="CN55" s="581" t="str">
        <f t="shared" si="96"/>
        <v/>
      </c>
      <c r="CO55" s="580" t="str">
        <f>IF('Marks Entry'!AQ55="","",'Marks Entry'!AQ55)</f>
        <v/>
      </c>
      <c r="CP55" s="580" t="str">
        <f>IF('Marks Entry'!AR55="","",'Marks Entry'!AR55)</f>
        <v/>
      </c>
      <c r="CQ55" s="581" t="str">
        <f t="shared" si="97"/>
        <v/>
      </c>
      <c r="CR55" s="156" t="str">
        <f t="shared" si="98"/>
        <v/>
      </c>
      <c r="CS55" s="156" t="str">
        <f t="shared" si="99"/>
        <v/>
      </c>
      <c r="CT55" s="191" t="str">
        <f t="shared" si="100"/>
        <v/>
      </c>
      <c r="CU55" s="152">
        <f t="shared" si="101"/>
        <v>0</v>
      </c>
      <c r="CV55" s="153">
        <f t="shared" si="102"/>
        <v>0</v>
      </c>
      <c r="CW55" s="153" t="str">
        <f t="shared" si="103"/>
        <v/>
      </c>
      <c r="CX55" s="153" t="str">
        <f t="shared" si="104"/>
        <v/>
      </c>
      <c r="CY55" s="153" t="str">
        <f t="shared" si="176"/>
        <v/>
      </c>
      <c r="CZ55" s="152" t="str">
        <f t="shared" si="105"/>
        <v/>
      </c>
      <c r="DA55" s="153" t="str">
        <f t="shared" si="106"/>
        <v/>
      </c>
      <c r="DB55" s="152" t="str">
        <f t="shared" si="107"/>
        <v/>
      </c>
      <c r="DC55" s="153">
        <f t="shared" si="108"/>
        <v>0</v>
      </c>
      <c r="DD55" s="851" t="str">
        <f>IF('Marks Entry'!AS55="","",IF(OR('Master Sheet'!$D$19="YES",'Marks Entry'!$BA$1=1),'Marks Entry'!AS55,""))</f>
        <v/>
      </c>
      <c r="DE55" s="851" t="str">
        <f>IF('Marks Entry'!AT55="","",IF(OR('Master Sheet'!$D$19="YES",'Marks Entry'!$BA$1=1),'Marks Entry'!AT55,""))</f>
        <v/>
      </c>
      <c r="DF55" s="851" t="str">
        <f>IF('Marks Entry'!AU55="","",IF(OR('Master Sheet'!$D$19="YES",'Marks Entry'!$BA$1=1),'Marks Entry'!AU55,""))</f>
        <v/>
      </c>
      <c r="DG55" s="851" t="str">
        <f>IF('Marks Entry'!AV55="","",IF(OR('Master Sheet'!$D$19="YES",'Marks Entry'!$BA$1=1),'Marks Entry'!AV55,""))</f>
        <v/>
      </c>
      <c r="DH55" s="852" t="str">
        <f t="shared" si="109"/>
        <v/>
      </c>
      <c r="DI55" s="851" t="str">
        <f>IF('Marks Entry'!AW55="","",IF(OR('Master Sheet'!$D$19="YES",'Marks Entry'!$BA$1=1),'Marks Entry'!AW55,""))</f>
        <v/>
      </c>
      <c r="DJ55" s="851" t="str">
        <f>IF('Marks Entry'!AX55="","",IF(OR('Master Sheet'!$D$19="YES",'Marks Entry'!$BA$1=1),'Marks Entry'!AX55,""))</f>
        <v/>
      </c>
      <c r="DK55" s="852" t="str">
        <f t="shared" si="110"/>
        <v/>
      </c>
      <c r="DL55" s="852" t="str">
        <f t="shared" si="111"/>
        <v/>
      </c>
      <c r="DM55" s="851" t="str">
        <f>IF('Marks Entry'!AY55="","",IF(OR('Master Sheet'!$D$19="YES",'Marks Entry'!$BA$1=1),'Marks Entry'!AY55,""))</f>
        <v/>
      </c>
      <c r="DN55" s="851" t="str">
        <f>IF('Marks Entry'!AZ55="","",IF(OR('Master Sheet'!$D$19="YES",'Marks Entry'!$BA$1=1),'Marks Entry'!AZ55,""))</f>
        <v/>
      </c>
      <c r="DO55" s="851" t="str">
        <f>IF('Marks Entry'!BA55="","",IF(OR('Master Sheet'!$D$19="YES",'Marks Entry'!$BA$1=1),'Marks Entry'!BA55,""))</f>
        <v/>
      </c>
      <c r="DP55" s="852" t="str">
        <f t="shared" si="112"/>
        <v/>
      </c>
      <c r="DQ55" s="156" t="str">
        <f t="shared" si="113"/>
        <v/>
      </c>
      <c r="DR55" s="156" t="str">
        <f t="shared" si="114"/>
        <v/>
      </c>
      <c r="DS55" s="156" t="str">
        <f t="shared" si="115"/>
        <v/>
      </c>
      <c r="DT55" s="191" t="str">
        <f t="shared" si="116"/>
        <v/>
      </c>
      <c r="DU55" s="152">
        <f t="shared" si="117"/>
        <v>0</v>
      </c>
      <c r="DV55" s="153">
        <f t="shared" si="118"/>
        <v>0</v>
      </c>
      <c r="DW55" s="153" t="str">
        <f t="shared" si="119"/>
        <v/>
      </c>
      <c r="DX55" s="153" t="str">
        <f>IF(OR($B55="NSO",$B55=0,DS55=""),"",IF(AND(DJ55="",DO55=""),"",IF('Master Sheet'!$D$19="YES",$DO$6-COUNTIF(DO55,"ML")*DO$6,DS$6-(COUNTIF(DJ55,"ML")*DJ$6)-(COUNTIF(DO55,"ML")*DO$6))))</f>
        <v/>
      </c>
      <c r="DY55" s="153" t="str">
        <f>IF(OR($B55="NSO",$B55=0),"",IF(AND(DH55="",DI55="",DM55=""),"",IF(AND('Master Sheet'!$D$19="YES",'Marks Entry'!$BA$1=1),100,IF(AND(DJ55="",DO55=""),SUM(($DQ$7+$DR$7)-(DU55+DV55)),SUM(($DQ$6+$DR$6)-(DU55+DV55))))))</f>
        <v/>
      </c>
      <c r="DZ55" s="152" t="str">
        <f t="shared" si="120"/>
        <v/>
      </c>
      <c r="EA55" s="153" t="str">
        <f t="shared" si="121"/>
        <v/>
      </c>
      <c r="EB55" s="152" t="str">
        <f t="shared" si="122"/>
        <v/>
      </c>
      <c r="EC55" s="584" t="str">
        <f>IF('Marks Entry'!BB55="","",'Marks Entry'!BB55)</f>
        <v/>
      </c>
      <c r="ED55" s="584" t="str">
        <f>IF('Marks Entry'!BC55="","",'Marks Entry'!BC55)</f>
        <v/>
      </c>
      <c r="EE55" s="584" t="str">
        <f>IF('Marks Entry'!BD55="","",'Marks Entry'!BD55)</f>
        <v/>
      </c>
      <c r="EF55" s="590" t="str">
        <f t="shared" si="123"/>
        <v/>
      </c>
      <c r="EG55" s="595">
        <f t="shared" si="124"/>
        <v>0</v>
      </c>
      <c r="EH55" s="595">
        <f t="shared" si="125"/>
        <v>0</v>
      </c>
      <c r="EI55" s="192" t="str">
        <f t="shared" si="126"/>
        <v/>
      </c>
      <c r="EJ55" s="595" t="str">
        <f t="shared" si="127"/>
        <v/>
      </c>
      <c r="EK55" s="595" t="str">
        <f t="shared" si="128"/>
        <v/>
      </c>
      <c r="EL55" s="193" t="str">
        <f t="shared" si="129"/>
        <v/>
      </c>
      <c r="EM55" s="193" t="str">
        <f t="shared" si="130"/>
        <v/>
      </c>
      <c r="EN55" s="193" t="str">
        <f t="shared" si="131"/>
        <v/>
      </c>
      <c r="EO55" s="193" t="str">
        <f t="shared" si="132"/>
        <v/>
      </c>
      <c r="EP55" s="193" t="str">
        <f t="shared" si="133"/>
        <v/>
      </c>
      <c r="EQ55" s="193" t="str">
        <f t="shared" si="134"/>
        <v/>
      </c>
      <c r="ER55" s="194">
        <f t="shared" si="135"/>
        <v>0</v>
      </c>
      <c r="ES55" s="194">
        <f t="shared" si="136"/>
        <v>0</v>
      </c>
      <c r="ET55" s="194">
        <f t="shared" si="137"/>
        <v>0</v>
      </c>
      <c r="EU55" s="194">
        <f t="shared" si="138"/>
        <v>0</v>
      </c>
      <c r="EV55" s="194">
        <f t="shared" si="139"/>
        <v>0</v>
      </c>
      <c r="EW55" s="194" t="str">
        <f t="shared" si="140"/>
        <v/>
      </c>
      <c r="EX55" s="195" t="str">
        <f t="shared" si="141"/>
        <v/>
      </c>
      <c r="EY55" s="196" t="str">
        <f>IF('Marks Entry'!BE55="","",'Marks Entry'!BE55)</f>
        <v/>
      </c>
      <c r="EZ55" s="196" t="str">
        <f>IF('Marks Entry'!BF55="","",'Marks Entry'!BF55)</f>
        <v/>
      </c>
      <c r="FA55" s="196" t="str">
        <f>IF('Marks Entry'!BG55="","",'Marks Entry'!BG55)</f>
        <v/>
      </c>
      <c r="FB55" s="596" t="str">
        <f t="shared" si="142"/>
        <v/>
      </c>
      <c r="FC55" s="196" t="str">
        <f>IF('Marks Entry'!BH55="","",'Marks Entry'!BH55)</f>
        <v/>
      </c>
      <c r="FD55" s="196" t="str">
        <f>IF('Marks Entry'!BI55="","",'Marks Entry'!BI55)</f>
        <v/>
      </c>
      <c r="FE55" s="197" t="str">
        <f t="shared" si="143"/>
        <v/>
      </c>
      <c r="FF55" s="198" t="str">
        <f t="shared" si="144"/>
        <v/>
      </c>
      <c r="FG55" s="199" t="str">
        <f>IF(AND(E55=""),"",IF('Student DATA Entry'!L51="","",'Student DATA Entry'!L51))</f>
        <v/>
      </c>
      <c r="FH55" s="200" t="str">
        <f>IF(AND(E55=""),"",IF('Student DATA Entry'!M51="","",'Student DATA Entry'!M51))</f>
        <v/>
      </c>
      <c r="FI55" s="201" t="str">
        <f t="shared" si="145"/>
        <v/>
      </c>
      <c r="FJ55" s="188" t="str">
        <f t="shared" si="146"/>
        <v/>
      </c>
      <c r="FK55" s="188" t="str">
        <f t="shared" si="147"/>
        <v/>
      </c>
      <c r="FL55" s="202" t="str">
        <f t="shared" si="178"/>
        <v/>
      </c>
      <c r="FM55" s="188" t="str">
        <f t="shared" si="148"/>
        <v/>
      </c>
      <c r="FN55" s="203" t="str">
        <f t="shared" si="149"/>
        <v/>
      </c>
      <c r="FO55" s="202" t="str">
        <f t="shared" si="179"/>
        <v/>
      </c>
      <c r="FP55" s="204" t="str">
        <f t="shared" si="150"/>
        <v/>
      </c>
      <c r="FQ55" s="188" t="str">
        <f t="shared" si="180"/>
        <v/>
      </c>
      <c r="FR55" s="188" t="str">
        <f t="shared" si="181"/>
        <v/>
      </c>
      <c r="FS55" s="188" t="str">
        <f t="shared" si="182"/>
        <v/>
      </c>
      <c r="FT55" s="188" t="str">
        <f t="shared" si="183"/>
        <v/>
      </c>
      <c r="FU55" s="188" t="str">
        <f t="shared" si="151"/>
        <v/>
      </c>
      <c r="FV55" s="205" t="str">
        <f t="shared" si="184"/>
        <v/>
      </c>
      <c r="FW55" s="204" t="str">
        <f t="shared" si="152"/>
        <v/>
      </c>
      <c r="FX55" s="188" t="str">
        <f t="shared" si="185"/>
        <v/>
      </c>
      <c r="FY55" s="188" t="str">
        <f t="shared" si="186"/>
        <v/>
      </c>
      <c r="FZ55" s="188" t="str">
        <f t="shared" si="187"/>
        <v/>
      </c>
      <c r="GA55" s="188" t="str">
        <f t="shared" si="188"/>
        <v/>
      </c>
      <c r="GB55" s="188" t="str">
        <f t="shared" si="153"/>
        <v/>
      </c>
      <c r="GC55" s="205" t="str">
        <f t="shared" si="189"/>
        <v/>
      </c>
      <c r="GD55" s="204" t="str">
        <f t="shared" si="154"/>
        <v/>
      </c>
      <c r="GE55" s="188" t="str">
        <f t="shared" si="190"/>
        <v/>
      </c>
      <c r="GF55" s="188" t="str">
        <f t="shared" si="191"/>
        <v/>
      </c>
      <c r="GG55" s="188" t="str">
        <f t="shared" si="192"/>
        <v/>
      </c>
      <c r="GH55" s="188" t="str">
        <f t="shared" si="193"/>
        <v/>
      </c>
      <c r="GI55" s="188" t="str">
        <f t="shared" si="155"/>
        <v/>
      </c>
      <c r="GJ55" s="205" t="str">
        <f t="shared" si="194"/>
        <v/>
      </c>
      <c r="GK55" s="204" t="str">
        <f t="shared" si="156"/>
        <v/>
      </c>
      <c r="GL55" s="188" t="str">
        <f t="shared" si="195"/>
        <v/>
      </c>
      <c r="GM55" s="188" t="str">
        <f t="shared" si="196"/>
        <v/>
      </c>
      <c r="GN55" s="188" t="str">
        <f t="shared" si="197"/>
        <v/>
      </c>
      <c r="GO55" s="188" t="str">
        <f t="shared" si="198"/>
        <v/>
      </c>
      <c r="GP55" s="188" t="str">
        <f t="shared" si="157"/>
        <v/>
      </c>
      <c r="GQ55" s="205" t="str">
        <f t="shared" si="199"/>
        <v/>
      </c>
      <c r="GR55" s="188" t="str">
        <f t="shared" si="158"/>
        <v/>
      </c>
      <c r="GS55" s="188" t="str">
        <f t="shared" si="159"/>
        <v/>
      </c>
      <c r="GT55" s="206" t="str">
        <f t="shared" si="177"/>
        <v xml:space="preserve">    </v>
      </c>
      <c r="GU55" s="206" t="str">
        <f t="shared" si="160"/>
        <v xml:space="preserve">    </v>
      </c>
      <c r="GV55" s="206" t="str">
        <f t="shared" si="161"/>
        <v xml:space="preserve">    </v>
      </c>
      <c r="GW55" s="206" t="str">
        <f t="shared" si="162"/>
        <v xml:space="preserve">       </v>
      </c>
      <c r="GX55" s="598" t="str">
        <f t="shared" si="163"/>
        <v xml:space="preserve">     </v>
      </c>
      <c r="GY55" s="207" t="str">
        <f t="shared" si="200"/>
        <v/>
      </c>
      <c r="GZ55" s="606" t="str">
        <f>IF(AND(Q55="",AE55="",AZ55="",BW55="",CT55=""),"",IF(AND('Master Sheet'!$D$19="YES",'Marks Entry'!$BA$1=1),SUM(Q55,AE55,AZ55,BW55,DT55),SUM(Q55,AE55,AZ55,BW55,CT55)))</f>
        <v/>
      </c>
      <c r="HA55" s="208" t="str">
        <f>IF(GZ55="","",IF(AND('Master Sheet'!$D$19="YES",'Marks Entry'!$BA$1=1),GZ55/((900)-DC55)*100,GZ55/((1000)-DC55)*100))</f>
        <v/>
      </c>
      <c r="HB55" s="611" t="str">
        <f t="shared" si="165"/>
        <v/>
      </c>
      <c r="HC55" s="609" t="str">
        <f t="shared" si="166"/>
        <v/>
      </c>
      <c r="HD55" s="610" t="str">
        <f t="shared" si="167"/>
        <v/>
      </c>
      <c r="HE55" s="209" t="str">
        <f>IFERROR(IF(OR(GY55="SUPPLEMENTARY",GY55="RE-EXAM"),'Supp. Result Entry'!AS54,""),"")</f>
        <v/>
      </c>
      <c r="HF55" s="613" t="str">
        <f t="shared" si="168"/>
        <v/>
      </c>
      <c r="HG55" s="598" t="str">
        <f t="shared" si="169"/>
        <v/>
      </c>
      <c r="HH55" s="598" t="str">
        <f>IF(AND(HE55="",HF55="",HG55=""),"",IF(OR(GY55="SUPPLEMENTARY",GY55="RE-EXAM"),'Supp. Result Entry'!AS54,GY55))</f>
        <v/>
      </c>
      <c r="HI55" s="179"/>
      <c r="HJ55" s="213"/>
      <c r="HY55" s="211" t="str">
        <f>IF('Supp. Result Entry'!U54="","",'Supp. Result Entry'!$U$6)</f>
        <v/>
      </c>
      <c r="HZ55" s="212" t="str">
        <f>IF('Supp. Result Entry'!X54="","",'Supp. Result Entry'!$X$6)</f>
        <v/>
      </c>
      <c r="IA55" s="212" t="str">
        <f>IF('Supp. Result Entry'!AA54="","",'Supp. Result Entry'!$AA$6)</f>
        <v/>
      </c>
      <c r="IB55" s="212" t="str">
        <f>IF('Supp. Result Entry'!AD54="","",'Supp. Result Entry'!$AD$6)</f>
        <v/>
      </c>
      <c r="IC55" s="212" t="str">
        <f>IF('Supp. Result Entry'!AG54="","",'Supp. Result Entry'!$AG$6)</f>
        <v/>
      </c>
      <c r="ID55" s="212" t="str">
        <f>IF('Supp. Result Entry'!AJ54="","",'Supp. Result Entry'!$AJ$6)</f>
        <v/>
      </c>
      <c r="IE55" s="212" t="str">
        <f>IF('Supp. Result Entry'!V54="","",'Supp. Result Entry'!V54)</f>
        <v/>
      </c>
      <c r="IF55" s="212" t="str">
        <f>IF('Supp. Result Entry'!Y54="","",'Supp. Result Entry'!Y54)</f>
        <v/>
      </c>
      <c r="IG55" s="212" t="str">
        <f>IF('Supp. Result Entry'!AB54="","",'Supp. Result Entry'!AB54)</f>
        <v/>
      </c>
      <c r="IH55" s="212" t="str">
        <f>IF('Supp. Result Entry'!AE54="","",'Supp. Result Entry'!AE54)</f>
        <v/>
      </c>
      <c r="II55" s="212" t="str">
        <f>IF('Supp. Result Entry'!AH54="","",'Supp. Result Entry'!AH54)</f>
        <v/>
      </c>
      <c r="IJ55" s="212" t="str">
        <f>IF('Supp. Result Entry'!AK54="","",'Supp. Result Entry'!AK54)</f>
        <v/>
      </c>
      <c r="IK55" s="212" t="str">
        <f>IF('Supp. Result Entry'!W54="","",'Supp. Result Entry'!W54)</f>
        <v/>
      </c>
      <c r="IL55" s="212" t="str">
        <f>IF('Supp. Result Entry'!Z54="","",'Supp. Result Entry'!Z54)</f>
        <v/>
      </c>
      <c r="IM55" s="212" t="str">
        <f>IF('Supp. Result Entry'!AC54="","",'Supp. Result Entry'!AC54)</f>
        <v/>
      </c>
      <c r="IN55" s="212" t="str">
        <f>IF('Supp. Result Entry'!AF54="","",'Supp. Result Entry'!AF54)</f>
        <v/>
      </c>
      <c r="IO55" s="212" t="str">
        <f>IF('Supp. Result Entry'!AI54="","",'Supp. Result Entry'!AI54)</f>
        <v/>
      </c>
      <c r="IP55" s="212" t="str">
        <f>IF('Supp. Result Entry'!AL54="","",'Supp. Result Entry'!AL54)</f>
        <v/>
      </c>
      <c r="IQ55" s="212">
        <f>COUNTIF('Supp. Result Entry'!K54:Q54,"S")</f>
        <v>0</v>
      </c>
      <c r="IR55" s="212">
        <f t="shared" si="170"/>
        <v>0</v>
      </c>
      <c r="IS55" s="212">
        <f t="shared" si="171"/>
        <v>0</v>
      </c>
      <c r="IT55" s="212" t="str">
        <f t="shared" si="41"/>
        <v/>
      </c>
      <c r="IU55" s="212" t="str">
        <f t="shared" si="42"/>
        <v/>
      </c>
      <c r="IV55" s="212" t="str">
        <f t="shared" si="43"/>
        <v/>
      </c>
      <c r="IW55" s="212" t="str">
        <f t="shared" si="44"/>
        <v/>
      </c>
      <c r="IX55" s="212" t="str">
        <f t="shared" si="45"/>
        <v/>
      </c>
      <c r="IY55" s="212" t="str">
        <f t="shared" si="172"/>
        <v/>
      </c>
      <c r="IZ55" s="212" t="str">
        <f t="shared" si="173"/>
        <v/>
      </c>
      <c r="JA55" s="212" t="str">
        <f t="shared" si="46"/>
        <v/>
      </c>
      <c r="JB55" s="210" t="str">
        <f t="shared" si="174"/>
        <v/>
      </c>
    </row>
    <row r="56" spans="1:262" s="210" customFormat="1" ht="21" customHeight="1">
      <c r="A56" s="183">
        <v>49</v>
      </c>
      <c r="B56" s="184" t="str">
        <f>IF('Marks Entry'!B56="","",'Marks Entry'!B56)</f>
        <v/>
      </c>
      <c r="C56" s="185" t="str">
        <f>IF('Marks Entry'!D56="","",'Marks Entry'!D56)</f>
        <v/>
      </c>
      <c r="D56" s="186" t="str">
        <f>IF('Marks Entry'!E56="","",'Marks Entry'!E56)</f>
        <v/>
      </c>
      <c r="E56" s="187" t="str">
        <f>IF('Marks Entry'!F56="","",'Marks Entry'!F56)</f>
        <v/>
      </c>
      <c r="F56" s="187" t="str">
        <f>IF('Marks Entry'!G56="","",'Marks Entry'!G56)</f>
        <v/>
      </c>
      <c r="G56" s="187" t="str">
        <f>IF('Marks Entry'!H56="","",'Marks Entry'!H56)</f>
        <v/>
      </c>
      <c r="H56" s="188" t="str">
        <f>IF('Marks Entry'!I56="","",'Marks Entry'!I56)</f>
        <v/>
      </c>
      <c r="I56" s="189" t="str">
        <f>IF('Marks Entry'!J56="","",'Marks Entry'!J56)</f>
        <v/>
      </c>
      <c r="J56" s="545" t="str">
        <f>IF('Marks Entry'!K56="","",'Marks Entry'!K56)</f>
        <v/>
      </c>
      <c r="K56" s="545" t="str">
        <f>IF('Marks Entry'!L56="","",'Marks Entry'!L56)</f>
        <v/>
      </c>
      <c r="L56" s="545" t="str">
        <f>IF('Marks Entry'!M56="","",'Marks Entry'!M56)</f>
        <v/>
      </c>
      <c r="M56" s="546" t="str">
        <f t="shared" si="47"/>
        <v/>
      </c>
      <c r="N56" s="545" t="str">
        <f>IF('Marks Entry'!N56="","",'Marks Entry'!N56)</f>
        <v/>
      </c>
      <c r="O56" s="546" t="str">
        <f t="shared" si="48"/>
        <v/>
      </c>
      <c r="P56" s="545" t="str">
        <f>IF('Marks Entry'!O56="","",'Marks Entry'!O56)</f>
        <v/>
      </c>
      <c r="Q56" s="547" t="str">
        <f t="shared" si="49"/>
        <v/>
      </c>
      <c r="R56" s="152">
        <f t="shared" si="50"/>
        <v>0</v>
      </c>
      <c r="S56" s="152">
        <f t="shared" si="51"/>
        <v>0</v>
      </c>
      <c r="T56" s="153" t="str">
        <f t="shared" si="52"/>
        <v/>
      </c>
      <c r="U56" s="152" t="str">
        <f t="shared" si="53"/>
        <v/>
      </c>
      <c r="V56" s="152" t="str">
        <f t="shared" si="54"/>
        <v/>
      </c>
      <c r="W56" s="152" t="str">
        <f t="shared" si="55"/>
        <v/>
      </c>
      <c r="X56" s="545" t="str">
        <f>IF('Marks Entry'!P56="","",'Marks Entry'!P56)</f>
        <v/>
      </c>
      <c r="Y56" s="545" t="str">
        <f>IF('Marks Entry'!Q56="","",'Marks Entry'!Q56)</f>
        <v/>
      </c>
      <c r="Z56" s="545" t="str">
        <f>IF('Marks Entry'!R56="","",'Marks Entry'!R56)</f>
        <v/>
      </c>
      <c r="AA56" s="546" t="str">
        <f t="shared" si="56"/>
        <v/>
      </c>
      <c r="AB56" s="545" t="str">
        <f>IF('Marks Entry'!S56="","",'Marks Entry'!S56)</f>
        <v/>
      </c>
      <c r="AC56" s="546" t="str">
        <f t="shared" si="57"/>
        <v/>
      </c>
      <c r="AD56" s="545" t="str">
        <f>IF('Marks Entry'!T56="","",'Marks Entry'!T56)</f>
        <v/>
      </c>
      <c r="AE56" s="547" t="str">
        <f t="shared" si="58"/>
        <v/>
      </c>
      <c r="AF56" s="152">
        <f t="shared" si="59"/>
        <v>0</v>
      </c>
      <c r="AG56" s="152">
        <f t="shared" si="60"/>
        <v>0</v>
      </c>
      <c r="AH56" s="153" t="str">
        <f t="shared" si="61"/>
        <v/>
      </c>
      <c r="AI56" s="152" t="str">
        <f t="shared" si="62"/>
        <v/>
      </c>
      <c r="AJ56" s="152" t="str">
        <f t="shared" si="63"/>
        <v/>
      </c>
      <c r="AK56" s="152" t="str">
        <f t="shared" si="64"/>
        <v/>
      </c>
      <c r="AL56" s="573" t="str">
        <f>IF('Marks Entry'!U56="","",'Marks Entry'!U56)</f>
        <v/>
      </c>
      <c r="AM56" s="573" t="str">
        <f>IF('Marks Entry'!V56="","",'Marks Entry'!V56)</f>
        <v/>
      </c>
      <c r="AN56" s="573" t="str">
        <f>IF('Marks Entry'!W56="","",'Marks Entry'!W56)</f>
        <v/>
      </c>
      <c r="AO56" s="573" t="str">
        <f>IF('Marks Entry'!X56="","",'Marks Entry'!X56)</f>
        <v/>
      </c>
      <c r="AP56" s="572" t="str">
        <f t="shared" si="65"/>
        <v/>
      </c>
      <c r="AQ56" s="573" t="str">
        <f>IF('Marks Entry'!Y56="","",'Marks Entry'!Y56)</f>
        <v/>
      </c>
      <c r="AR56" s="573" t="str">
        <f>IF('Marks Entry'!Z56="","",'Marks Entry'!Z56)</f>
        <v/>
      </c>
      <c r="AS56" s="572" t="str">
        <f t="shared" si="66"/>
        <v/>
      </c>
      <c r="AT56" s="572" t="str">
        <f t="shared" si="67"/>
        <v/>
      </c>
      <c r="AU56" s="573" t="str">
        <f>IF('Marks Entry'!AA56="","",'Marks Entry'!AA56)</f>
        <v/>
      </c>
      <c r="AV56" s="573" t="str">
        <f>IF('Marks Entry'!AB56="","",'Marks Entry'!AB56)</f>
        <v/>
      </c>
      <c r="AW56" s="572" t="str">
        <f t="shared" si="68"/>
        <v/>
      </c>
      <c r="AX56" s="156" t="str">
        <f t="shared" si="69"/>
        <v/>
      </c>
      <c r="AY56" s="156" t="str">
        <f t="shared" si="70"/>
        <v/>
      </c>
      <c r="AZ56" s="191" t="str">
        <f t="shared" si="71"/>
        <v/>
      </c>
      <c r="BA56" s="152">
        <f t="shared" si="72"/>
        <v>0</v>
      </c>
      <c r="BB56" s="153">
        <f t="shared" si="73"/>
        <v>0</v>
      </c>
      <c r="BC56" s="153" t="str">
        <f t="shared" si="74"/>
        <v/>
      </c>
      <c r="BD56" s="153" t="str">
        <f t="shared" si="75"/>
        <v/>
      </c>
      <c r="BE56" s="153" t="str">
        <f t="shared" si="76"/>
        <v/>
      </c>
      <c r="BF56" s="152" t="str">
        <f t="shared" si="77"/>
        <v/>
      </c>
      <c r="BG56" s="153" t="str">
        <f t="shared" si="175"/>
        <v/>
      </c>
      <c r="BH56" s="152" t="str">
        <f t="shared" si="78"/>
        <v/>
      </c>
      <c r="BI56" s="580" t="str">
        <f>IF('Marks Entry'!AC56="","",'Marks Entry'!AC56)</f>
        <v/>
      </c>
      <c r="BJ56" s="580" t="str">
        <f>IF('Marks Entry'!AD56="","",'Marks Entry'!AD56)</f>
        <v/>
      </c>
      <c r="BK56" s="580" t="str">
        <f>IF('Marks Entry'!AE56="","",'Marks Entry'!AE56)</f>
        <v/>
      </c>
      <c r="BL56" s="580" t="str">
        <f>IF('Marks Entry'!AF56="","",'Marks Entry'!AF56)</f>
        <v/>
      </c>
      <c r="BM56" s="581" t="str">
        <f t="shared" si="79"/>
        <v/>
      </c>
      <c r="BN56" s="580" t="str">
        <f>IF('Marks Entry'!AG56="","",'Marks Entry'!AG56)</f>
        <v/>
      </c>
      <c r="BO56" s="580" t="str">
        <f>IF('Marks Entry'!AH56="","",'Marks Entry'!AH56)</f>
        <v/>
      </c>
      <c r="BP56" s="581" t="str">
        <f t="shared" si="80"/>
        <v/>
      </c>
      <c r="BQ56" s="581" t="str">
        <f t="shared" si="81"/>
        <v/>
      </c>
      <c r="BR56" s="580" t="str">
        <f>IF('Marks Entry'!AI56="","",'Marks Entry'!AI56)</f>
        <v/>
      </c>
      <c r="BS56" s="580" t="str">
        <f>IF('Marks Entry'!AJ56="","",'Marks Entry'!AJ56)</f>
        <v/>
      </c>
      <c r="BT56" s="581" t="str">
        <f t="shared" si="82"/>
        <v/>
      </c>
      <c r="BU56" s="156" t="str">
        <f t="shared" si="83"/>
        <v/>
      </c>
      <c r="BV56" s="156" t="str">
        <f t="shared" si="84"/>
        <v/>
      </c>
      <c r="BW56" s="191" t="str">
        <f t="shared" si="85"/>
        <v/>
      </c>
      <c r="BX56" s="152">
        <f t="shared" si="86"/>
        <v>0</v>
      </c>
      <c r="BY56" s="153">
        <f t="shared" si="87"/>
        <v>0</v>
      </c>
      <c r="BZ56" s="153" t="str">
        <f t="shared" si="88"/>
        <v/>
      </c>
      <c r="CA56" s="153" t="str">
        <f t="shared" si="89"/>
        <v/>
      </c>
      <c r="CB56" s="153" t="str">
        <f t="shared" si="90"/>
        <v/>
      </c>
      <c r="CC56" s="152" t="str">
        <f t="shared" si="91"/>
        <v/>
      </c>
      <c r="CD56" s="153" t="str">
        <f t="shared" si="92"/>
        <v/>
      </c>
      <c r="CE56" s="152" t="str">
        <f t="shared" si="93"/>
        <v/>
      </c>
      <c r="CF56" s="580" t="str">
        <f>IF('Marks Entry'!AK56="","",'Marks Entry'!AK56)</f>
        <v/>
      </c>
      <c r="CG56" s="580" t="str">
        <f>IF('Marks Entry'!AL56="","",'Marks Entry'!AL56)</f>
        <v/>
      </c>
      <c r="CH56" s="580" t="str">
        <f>IF('Marks Entry'!AM56="","",'Marks Entry'!AM56)</f>
        <v/>
      </c>
      <c r="CI56" s="580" t="str">
        <f>IF('Marks Entry'!AN56="","",'Marks Entry'!AN56)</f>
        <v/>
      </c>
      <c r="CJ56" s="581" t="str">
        <f t="shared" si="94"/>
        <v/>
      </c>
      <c r="CK56" s="580" t="str">
        <f>IF('Marks Entry'!AO56="","",'Marks Entry'!AO56)</f>
        <v/>
      </c>
      <c r="CL56" s="580" t="str">
        <f>IF('Marks Entry'!AP56="","",'Marks Entry'!AP56)</f>
        <v/>
      </c>
      <c r="CM56" s="581" t="str">
        <f t="shared" si="95"/>
        <v/>
      </c>
      <c r="CN56" s="581" t="str">
        <f t="shared" si="96"/>
        <v/>
      </c>
      <c r="CO56" s="580" t="str">
        <f>IF('Marks Entry'!AQ56="","",'Marks Entry'!AQ56)</f>
        <v/>
      </c>
      <c r="CP56" s="580" t="str">
        <f>IF('Marks Entry'!AR56="","",'Marks Entry'!AR56)</f>
        <v/>
      </c>
      <c r="CQ56" s="581" t="str">
        <f t="shared" si="97"/>
        <v/>
      </c>
      <c r="CR56" s="156" t="str">
        <f t="shared" si="98"/>
        <v/>
      </c>
      <c r="CS56" s="156" t="str">
        <f t="shared" si="99"/>
        <v/>
      </c>
      <c r="CT56" s="191" t="str">
        <f t="shared" si="100"/>
        <v/>
      </c>
      <c r="CU56" s="152">
        <f t="shared" si="101"/>
        <v>0</v>
      </c>
      <c r="CV56" s="153">
        <f t="shared" si="102"/>
        <v>0</v>
      </c>
      <c r="CW56" s="153" t="str">
        <f t="shared" si="103"/>
        <v/>
      </c>
      <c r="CX56" s="153" t="str">
        <f t="shared" si="104"/>
        <v/>
      </c>
      <c r="CY56" s="153" t="str">
        <f t="shared" si="176"/>
        <v/>
      </c>
      <c r="CZ56" s="152" t="str">
        <f t="shared" si="105"/>
        <v/>
      </c>
      <c r="DA56" s="153" t="str">
        <f t="shared" si="106"/>
        <v/>
      </c>
      <c r="DB56" s="152" t="str">
        <f t="shared" si="107"/>
        <v/>
      </c>
      <c r="DC56" s="153">
        <f t="shared" si="108"/>
        <v>0</v>
      </c>
      <c r="DD56" s="851" t="str">
        <f>IF('Marks Entry'!AS56="","",IF(OR('Master Sheet'!$D$19="YES",'Marks Entry'!$BA$1=1),'Marks Entry'!AS56,""))</f>
        <v/>
      </c>
      <c r="DE56" s="851" t="str">
        <f>IF('Marks Entry'!AT56="","",IF(OR('Master Sheet'!$D$19="YES",'Marks Entry'!$BA$1=1),'Marks Entry'!AT56,""))</f>
        <v/>
      </c>
      <c r="DF56" s="851" t="str">
        <f>IF('Marks Entry'!AU56="","",IF(OR('Master Sheet'!$D$19="YES",'Marks Entry'!$BA$1=1),'Marks Entry'!AU56,""))</f>
        <v/>
      </c>
      <c r="DG56" s="851" t="str">
        <f>IF('Marks Entry'!AV56="","",IF(OR('Master Sheet'!$D$19="YES",'Marks Entry'!$BA$1=1),'Marks Entry'!AV56,""))</f>
        <v/>
      </c>
      <c r="DH56" s="852" t="str">
        <f t="shared" si="109"/>
        <v/>
      </c>
      <c r="DI56" s="851" t="str">
        <f>IF('Marks Entry'!AW56="","",IF(OR('Master Sheet'!$D$19="YES",'Marks Entry'!$BA$1=1),'Marks Entry'!AW56,""))</f>
        <v/>
      </c>
      <c r="DJ56" s="851" t="str">
        <f>IF('Marks Entry'!AX56="","",IF(OR('Master Sheet'!$D$19="YES",'Marks Entry'!$BA$1=1),'Marks Entry'!AX56,""))</f>
        <v/>
      </c>
      <c r="DK56" s="852" t="str">
        <f t="shared" si="110"/>
        <v/>
      </c>
      <c r="DL56" s="852" t="str">
        <f t="shared" si="111"/>
        <v/>
      </c>
      <c r="DM56" s="851" t="str">
        <f>IF('Marks Entry'!AY56="","",IF(OR('Master Sheet'!$D$19="YES",'Marks Entry'!$BA$1=1),'Marks Entry'!AY56,""))</f>
        <v/>
      </c>
      <c r="DN56" s="851" t="str">
        <f>IF('Marks Entry'!AZ56="","",IF(OR('Master Sheet'!$D$19="YES",'Marks Entry'!$BA$1=1),'Marks Entry'!AZ56,""))</f>
        <v/>
      </c>
      <c r="DO56" s="851" t="str">
        <f>IF('Marks Entry'!BA56="","",IF(OR('Master Sheet'!$D$19="YES",'Marks Entry'!$BA$1=1),'Marks Entry'!BA56,""))</f>
        <v/>
      </c>
      <c r="DP56" s="852" t="str">
        <f t="shared" si="112"/>
        <v/>
      </c>
      <c r="DQ56" s="156" t="str">
        <f t="shared" si="113"/>
        <v/>
      </c>
      <c r="DR56" s="156" t="str">
        <f t="shared" si="114"/>
        <v/>
      </c>
      <c r="DS56" s="156" t="str">
        <f t="shared" si="115"/>
        <v/>
      </c>
      <c r="DT56" s="191" t="str">
        <f t="shared" si="116"/>
        <v/>
      </c>
      <c r="DU56" s="152">
        <f t="shared" si="117"/>
        <v>0</v>
      </c>
      <c r="DV56" s="153">
        <f t="shared" si="118"/>
        <v>0</v>
      </c>
      <c r="DW56" s="153" t="str">
        <f t="shared" si="119"/>
        <v/>
      </c>
      <c r="DX56" s="153" t="str">
        <f>IF(OR($B56="NSO",$B56=0,DS56=""),"",IF(AND(DJ56="",DO56=""),"",IF('Master Sheet'!$D$19="YES",$DO$6-COUNTIF(DO56,"ML")*DO$6,DS$6-(COUNTIF(DJ56,"ML")*DJ$6)-(COUNTIF(DO56,"ML")*DO$6))))</f>
        <v/>
      </c>
      <c r="DY56" s="153" t="str">
        <f>IF(OR($B56="NSO",$B56=0),"",IF(AND(DH56="",DI56="",DM56=""),"",IF(AND('Master Sheet'!$D$19="YES",'Marks Entry'!$BA$1=1),100,IF(AND(DJ56="",DO56=""),SUM(($DQ$7+$DR$7)-(DU56+DV56)),SUM(($DQ$6+$DR$6)-(DU56+DV56))))))</f>
        <v/>
      </c>
      <c r="DZ56" s="152" t="str">
        <f t="shared" si="120"/>
        <v/>
      </c>
      <c r="EA56" s="153" t="str">
        <f t="shared" si="121"/>
        <v/>
      </c>
      <c r="EB56" s="152" t="str">
        <f t="shared" si="122"/>
        <v/>
      </c>
      <c r="EC56" s="584" t="str">
        <f>IF('Marks Entry'!BB56="","",'Marks Entry'!BB56)</f>
        <v/>
      </c>
      <c r="ED56" s="584" t="str">
        <f>IF('Marks Entry'!BC56="","",'Marks Entry'!BC56)</f>
        <v/>
      </c>
      <c r="EE56" s="584" t="str">
        <f>IF('Marks Entry'!BD56="","",'Marks Entry'!BD56)</f>
        <v/>
      </c>
      <c r="EF56" s="590" t="str">
        <f t="shared" si="123"/>
        <v/>
      </c>
      <c r="EG56" s="595">
        <f t="shared" si="124"/>
        <v>0</v>
      </c>
      <c r="EH56" s="595">
        <f t="shared" si="125"/>
        <v>0</v>
      </c>
      <c r="EI56" s="192" t="str">
        <f t="shared" si="126"/>
        <v/>
      </c>
      <c r="EJ56" s="595" t="str">
        <f t="shared" si="127"/>
        <v/>
      </c>
      <c r="EK56" s="595" t="str">
        <f t="shared" si="128"/>
        <v/>
      </c>
      <c r="EL56" s="193" t="str">
        <f t="shared" si="129"/>
        <v/>
      </c>
      <c r="EM56" s="193" t="str">
        <f t="shared" si="130"/>
        <v/>
      </c>
      <c r="EN56" s="193" t="str">
        <f t="shared" si="131"/>
        <v/>
      </c>
      <c r="EO56" s="193" t="str">
        <f t="shared" si="132"/>
        <v/>
      </c>
      <c r="EP56" s="193" t="str">
        <f t="shared" si="133"/>
        <v/>
      </c>
      <c r="EQ56" s="193" t="str">
        <f t="shared" si="134"/>
        <v/>
      </c>
      <c r="ER56" s="194">
        <f t="shared" si="135"/>
        <v>0</v>
      </c>
      <c r="ES56" s="194">
        <f t="shared" si="136"/>
        <v>0</v>
      </c>
      <c r="ET56" s="194">
        <f t="shared" si="137"/>
        <v>0</v>
      </c>
      <c r="EU56" s="194">
        <f t="shared" si="138"/>
        <v>0</v>
      </c>
      <c r="EV56" s="194">
        <f t="shared" si="139"/>
        <v>0</v>
      </c>
      <c r="EW56" s="194" t="str">
        <f t="shared" si="140"/>
        <v/>
      </c>
      <c r="EX56" s="195" t="str">
        <f t="shared" si="141"/>
        <v/>
      </c>
      <c r="EY56" s="196" t="str">
        <f>IF('Marks Entry'!BE56="","",'Marks Entry'!BE56)</f>
        <v/>
      </c>
      <c r="EZ56" s="196" t="str">
        <f>IF('Marks Entry'!BF56="","",'Marks Entry'!BF56)</f>
        <v/>
      </c>
      <c r="FA56" s="196" t="str">
        <f>IF('Marks Entry'!BG56="","",'Marks Entry'!BG56)</f>
        <v/>
      </c>
      <c r="FB56" s="596" t="str">
        <f t="shared" si="142"/>
        <v/>
      </c>
      <c r="FC56" s="196" t="str">
        <f>IF('Marks Entry'!BH56="","",'Marks Entry'!BH56)</f>
        <v/>
      </c>
      <c r="FD56" s="196" t="str">
        <f>IF('Marks Entry'!BI56="","",'Marks Entry'!BI56)</f>
        <v/>
      </c>
      <c r="FE56" s="197" t="str">
        <f t="shared" si="143"/>
        <v/>
      </c>
      <c r="FF56" s="198" t="str">
        <f t="shared" si="144"/>
        <v/>
      </c>
      <c r="FG56" s="199" t="str">
        <f>IF(AND(E56=""),"",IF('Student DATA Entry'!L52="","",'Student DATA Entry'!L52))</f>
        <v/>
      </c>
      <c r="FH56" s="200" t="str">
        <f>IF(AND(E56=""),"",IF('Student DATA Entry'!M52="","",'Student DATA Entry'!M52))</f>
        <v/>
      </c>
      <c r="FI56" s="201" t="str">
        <f t="shared" si="145"/>
        <v/>
      </c>
      <c r="FJ56" s="188" t="str">
        <f t="shared" si="146"/>
        <v/>
      </c>
      <c r="FK56" s="188" t="str">
        <f t="shared" si="147"/>
        <v/>
      </c>
      <c r="FL56" s="202" t="str">
        <f t="shared" si="178"/>
        <v/>
      </c>
      <c r="FM56" s="188" t="str">
        <f t="shared" si="148"/>
        <v/>
      </c>
      <c r="FN56" s="203" t="str">
        <f t="shared" si="149"/>
        <v/>
      </c>
      <c r="FO56" s="202" t="str">
        <f t="shared" si="179"/>
        <v/>
      </c>
      <c r="FP56" s="204" t="str">
        <f t="shared" si="150"/>
        <v/>
      </c>
      <c r="FQ56" s="188" t="str">
        <f t="shared" si="180"/>
        <v/>
      </c>
      <c r="FR56" s="188" t="str">
        <f t="shared" si="181"/>
        <v/>
      </c>
      <c r="FS56" s="188" t="str">
        <f t="shared" si="182"/>
        <v/>
      </c>
      <c r="FT56" s="188" t="str">
        <f t="shared" si="183"/>
        <v/>
      </c>
      <c r="FU56" s="188" t="str">
        <f t="shared" si="151"/>
        <v/>
      </c>
      <c r="FV56" s="205" t="str">
        <f t="shared" si="184"/>
        <v/>
      </c>
      <c r="FW56" s="204" t="str">
        <f t="shared" si="152"/>
        <v/>
      </c>
      <c r="FX56" s="188" t="str">
        <f t="shared" si="185"/>
        <v/>
      </c>
      <c r="FY56" s="188" t="str">
        <f t="shared" si="186"/>
        <v/>
      </c>
      <c r="FZ56" s="188" t="str">
        <f t="shared" si="187"/>
        <v/>
      </c>
      <c r="GA56" s="188" t="str">
        <f t="shared" si="188"/>
        <v/>
      </c>
      <c r="GB56" s="188" t="str">
        <f t="shared" si="153"/>
        <v/>
      </c>
      <c r="GC56" s="205" t="str">
        <f t="shared" si="189"/>
        <v/>
      </c>
      <c r="GD56" s="204" t="str">
        <f t="shared" si="154"/>
        <v/>
      </c>
      <c r="GE56" s="188" t="str">
        <f t="shared" si="190"/>
        <v/>
      </c>
      <c r="GF56" s="188" t="str">
        <f t="shared" si="191"/>
        <v/>
      </c>
      <c r="GG56" s="188" t="str">
        <f t="shared" si="192"/>
        <v/>
      </c>
      <c r="GH56" s="188" t="str">
        <f t="shared" si="193"/>
        <v/>
      </c>
      <c r="GI56" s="188" t="str">
        <f t="shared" si="155"/>
        <v/>
      </c>
      <c r="GJ56" s="205" t="str">
        <f t="shared" si="194"/>
        <v/>
      </c>
      <c r="GK56" s="204" t="str">
        <f t="shared" si="156"/>
        <v/>
      </c>
      <c r="GL56" s="188" t="str">
        <f t="shared" si="195"/>
        <v/>
      </c>
      <c r="GM56" s="188" t="str">
        <f t="shared" si="196"/>
        <v/>
      </c>
      <c r="GN56" s="188" t="str">
        <f t="shared" si="197"/>
        <v/>
      </c>
      <c r="GO56" s="188" t="str">
        <f t="shared" si="198"/>
        <v/>
      </c>
      <c r="GP56" s="188" t="str">
        <f t="shared" si="157"/>
        <v/>
      </c>
      <c r="GQ56" s="205" t="str">
        <f t="shared" si="199"/>
        <v/>
      </c>
      <c r="GR56" s="188" t="str">
        <f t="shared" si="158"/>
        <v/>
      </c>
      <c r="GS56" s="188" t="str">
        <f t="shared" si="159"/>
        <v/>
      </c>
      <c r="GT56" s="206" t="str">
        <f t="shared" si="177"/>
        <v xml:space="preserve">    </v>
      </c>
      <c r="GU56" s="206" t="str">
        <f t="shared" si="160"/>
        <v xml:space="preserve">    </v>
      </c>
      <c r="GV56" s="206" t="str">
        <f t="shared" si="161"/>
        <v xml:space="preserve">    </v>
      </c>
      <c r="GW56" s="206" t="str">
        <f t="shared" si="162"/>
        <v xml:space="preserve">       </v>
      </c>
      <c r="GX56" s="598" t="str">
        <f t="shared" si="163"/>
        <v xml:space="preserve">     </v>
      </c>
      <c r="GY56" s="207" t="str">
        <f t="shared" si="200"/>
        <v/>
      </c>
      <c r="GZ56" s="606" t="str">
        <f>IF(AND(Q56="",AE56="",AZ56="",BW56="",CT56=""),"",IF(AND('Master Sheet'!$D$19="YES",'Marks Entry'!$BA$1=1),SUM(Q56,AE56,AZ56,BW56,DT56),SUM(Q56,AE56,AZ56,BW56,CT56)))</f>
        <v/>
      </c>
      <c r="HA56" s="208" t="str">
        <f>IF(GZ56="","",IF(AND('Master Sheet'!$D$19="YES",'Marks Entry'!$BA$1=1),GZ56/((900)-DC56)*100,GZ56/((1000)-DC56)*100))</f>
        <v/>
      </c>
      <c r="HB56" s="611" t="str">
        <f t="shared" si="165"/>
        <v/>
      </c>
      <c r="HC56" s="609" t="str">
        <f t="shared" si="166"/>
        <v/>
      </c>
      <c r="HD56" s="610" t="str">
        <f t="shared" si="167"/>
        <v/>
      </c>
      <c r="HE56" s="209" t="str">
        <f>IFERROR(IF(OR(GY56="SUPPLEMENTARY",GY56="RE-EXAM"),'Supp. Result Entry'!AS55,""),"")</f>
        <v/>
      </c>
      <c r="HF56" s="613" t="str">
        <f t="shared" si="168"/>
        <v/>
      </c>
      <c r="HG56" s="598" t="str">
        <f t="shared" si="169"/>
        <v/>
      </c>
      <c r="HH56" s="598" t="str">
        <f>IF(AND(HE56="",HF56="",HG56=""),"",IF(OR(GY56="SUPPLEMENTARY",GY56="RE-EXAM"),'Supp. Result Entry'!AS55,GY56))</f>
        <v/>
      </c>
      <c r="HI56" s="179"/>
      <c r="HJ56" s="213"/>
      <c r="HY56" s="211" t="str">
        <f>IF('Supp. Result Entry'!U55="","",'Supp. Result Entry'!$U$6)</f>
        <v/>
      </c>
      <c r="HZ56" s="212" t="str">
        <f>IF('Supp. Result Entry'!X55="","",'Supp. Result Entry'!$X$6)</f>
        <v/>
      </c>
      <c r="IA56" s="212" t="str">
        <f>IF('Supp. Result Entry'!AA55="","",'Supp. Result Entry'!$AA$6)</f>
        <v/>
      </c>
      <c r="IB56" s="212" t="str">
        <f>IF('Supp. Result Entry'!AD55="","",'Supp. Result Entry'!$AD$6)</f>
        <v/>
      </c>
      <c r="IC56" s="212" t="str">
        <f>IF('Supp. Result Entry'!AG55="","",'Supp. Result Entry'!$AG$6)</f>
        <v/>
      </c>
      <c r="ID56" s="212" t="str">
        <f>IF('Supp. Result Entry'!AJ55="","",'Supp. Result Entry'!$AJ$6)</f>
        <v/>
      </c>
      <c r="IE56" s="212" t="str">
        <f>IF('Supp. Result Entry'!V55="","",'Supp. Result Entry'!V55)</f>
        <v/>
      </c>
      <c r="IF56" s="212" t="str">
        <f>IF('Supp. Result Entry'!Y55="","",'Supp. Result Entry'!Y55)</f>
        <v/>
      </c>
      <c r="IG56" s="212" t="str">
        <f>IF('Supp. Result Entry'!AB55="","",'Supp. Result Entry'!AB55)</f>
        <v/>
      </c>
      <c r="IH56" s="212" t="str">
        <f>IF('Supp. Result Entry'!AE55="","",'Supp. Result Entry'!AE55)</f>
        <v/>
      </c>
      <c r="II56" s="212" t="str">
        <f>IF('Supp. Result Entry'!AH55="","",'Supp. Result Entry'!AH55)</f>
        <v/>
      </c>
      <c r="IJ56" s="212" t="str">
        <f>IF('Supp. Result Entry'!AK55="","",'Supp. Result Entry'!AK55)</f>
        <v/>
      </c>
      <c r="IK56" s="212" t="str">
        <f>IF('Supp. Result Entry'!W55="","",'Supp. Result Entry'!W55)</f>
        <v/>
      </c>
      <c r="IL56" s="212" t="str">
        <f>IF('Supp. Result Entry'!Z55="","",'Supp. Result Entry'!Z55)</f>
        <v/>
      </c>
      <c r="IM56" s="212" t="str">
        <f>IF('Supp. Result Entry'!AC55="","",'Supp. Result Entry'!AC55)</f>
        <v/>
      </c>
      <c r="IN56" s="212" t="str">
        <f>IF('Supp. Result Entry'!AF55="","",'Supp. Result Entry'!AF55)</f>
        <v/>
      </c>
      <c r="IO56" s="212" t="str">
        <f>IF('Supp. Result Entry'!AI55="","",'Supp. Result Entry'!AI55)</f>
        <v/>
      </c>
      <c r="IP56" s="212" t="str">
        <f>IF('Supp. Result Entry'!AL55="","",'Supp. Result Entry'!AL55)</f>
        <v/>
      </c>
      <c r="IQ56" s="212">
        <f>COUNTIF('Supp. Result Entry'!K55:Q55,"S")</f>
        <v>0</v>
      </c>
      <c r="IR56" s="212">
        <f t="shared" si="170"/>
        <v>0</v>
      </c>
      <c r="IS56" s="212">
        <f t="shared" si="171"/>
        <v>0</v>
      </c>
      <c r="IT56" s="212" t="str">
        <f t="shared" si="41"/>
        <v/>
      </c>
      <c r="IU56" s="212" t="str">
        <f t="shared" si="42"/>
        <v/>
      </c>
      <c r="IV56" s="212" t="str">
        <f t="shared" si="43"/>
        <v/>
      </c>
      <c r="IW56" s="212" t="str">
        <f t="shared" si="44"/>
        <v/>
      </c>
      <c r="IX56" s="212" t="str">
        <f t="shared" si="45"/>
        <v/>
      </c>
      <c r="IY56" s="212" t="str">
        <f t="shared" si="172"/>
        <v/>
      </c>
      <c r="IZ56" s="212" t="str">
        <f t="shared" si="173"/>
        <v/>
      </c>
      <c r="JA56" s="212" t="str">
        <f t="shared" si="46"/>
        <v/>
      </c>
      <c r="JB56" s="210" t="str">
        <f t="shared" si="174"/>
        <v/>
      </c>
    </row>
    <row r="57" spans="1:262" s="210" customFormat="1" ht="21" customHeight="1">
      <c r="A57" s="183">
        <v>50</v>
      </c>
      <c r="B57" s="184" t="str">
        <f>IF('Marks Entry'!B57="","",'Marks Entry'!B57)</f>
        <v/>
      </c>
      <c r="C57" s="185" t="str">
        <f>IF('Marks Entry'!D57="","",'Marks Entry'!D57)</f>
        <v/>
      </c>
      <c r="D57" s="186" t="str">
        <f>IF('Marks Entry'!E57="","",'Marks Entry'!E57)</f>
        <v/>
      </c>
      <c r="E57" s="187" t="str">
        <f>IF('Marks Entry'!F57="","",'Marks Entry'!F57)</f>
        <v/>
      </c>
      <c r="F57" s="187" t="str">
        <f>IF('Marks Entry'!G57="","",'Marks Entry'!G57)</f>
        <v/>
      </c>
      <c r="G57" s="187" t="str">
        <f>IF('Marks Entry'!H57="","",'Marks Entry'!H57)</f>
        <v/>
      </c>
      <c r="H57" s="188" t="str">
        <f>IF('Marks Entry'!I57="","",'Marks Entry'!I57)</f>
        <v/>
      </c>
      <c r="I57" s="189" t="str">
        <f>IF('Marks Entry'!J57="","",'Marks Entry'!J57)</f>
        <v/>
      </c>
      <c r="J57" s="545" t="str">
        <f>IF('Marks Entry'!K57="","",'Marks Entry'!K57)</f>
        <v/>
      </c>
      <c r="K57" s="545" t="str">
        <f>IF('Marks Entry'!L57="","",'Marks Entry'!L57)</f>
        <v/>
      </c>
      <c r="L57" s="545" t="str">
        <f>IF('Marks Entry'!M57="","",'Marks Entry'!M57)</f>
        <v/>
      </c>
      <c r="M57" s="546" t="str">
        <f t="shared" si="47"/>
        <v/>
      </c>
      <c r="N57" s="545" t="str">
        <f>IF('Marks Entry'!N57="","",'Marks Entry'!N57)</f>
        <v/>
      </c>
      <c r="O57" s="546" t="str">
        <f t="shared" si="48"/>
        <v/>
      </c>
      <c r="P57" s="545" t="str">
        <f>IF('Marks Entry'!O57="","",'Marks Entry'!O57)</f>
        <v/>
      </c>
      <c r="Q57" s="547" t="str">
        <f t="shared" si="49"/>
        <v/>
      </c>
      <c r="R57" s="152">
        <f t="shared" si="50"/>
        <v>0</v>
      </c>
      <c r="S57" s="152">
        <f t="shared" si="51"/>
        <v>0</v>
      </c>
      <c r="T57" s="153" t="str">
        <f t="shared" si="52"/>
        <v/>
      </c>
      <c r="U57" s="152" t="str">
        <f t="shared" si="53"/>
        <v/>
      </c>
      <c r="V57" s="152" t="str">
        <f t="shared" si="54"/>
        <v/>
      </c>
      <c r="W57" s="152" t="str">
        <f t="shared" si="55"/>
        <v/>
      </c>
      <c r="X57" s="545" t="str">
        <f>IF('Marks Entry'!P57="","",'Marks Entry'!P57)</f>
        <v/>
      </c>
      <c r="Y57" s="545" t="str">
        <f>IF('Marks Entry'!Q57="","",'Marks Entry'!Q57)</f>
        <v/>
      </c>
      <c r="Z57" s="545" t="str">
        <f>IF('Marks Entry'!R57="","",'Marks Entry'!R57)</f>
        <v/>
      </c>
      <c r="AA57" s="546" t="str">
        <f t="shared" si="56"/>
        <v/>
      </c>
      <c r="AB57" s="545" t="str">
        <f>IF('Marks Entry'!S57="","",'Marks Entry'!S57)</f>
        <v/>
      </c>
      <c r="AC57" s="546" t="str">
        <f t="shared" si="57"/>
        <v/>
      </c>
      <c r="AD57" s="545" t="str">
        <f>IF('Marks Entry'!T57="","",'Marks Entry'!T57)</f>
        <v/>
      </c>
      <c r="AE57" s="547" t="str">
        <f t="shared" si="58"/>
        <v/>
      </c>
      <c r="AF57" s="152">
        <f t="shared" si="59"/>
        <v>0</v>
      </c>
      <c r="AG57" s="152">
        <f t="shared" si="60"/>
        <v>0</v>
      </c>
      <c r="AH57" s="153" t="str">
        <f t="shared" si="61"/>
        <v/>
      </c>
      <c r="AI57" s="152" t="str">
        <f t="shared" si="62"/>
        <v/>
      </c>
      <c r="AJ57" s="152" t="str">
        <f t="shared" si="63"/>
        <v/>
      </c>
      <c r="AK57" s="152" t="str">
        <f t="shared" si="64"/>
        <v/>
      </c>
      <c r="AL57" s="573" t="str">
        <f>IF('Marks Entry'!U57="","",'Marks Entry'!U57)</f>
        <v/>
      </c>
      <c r="AM57" s="573" t="str">
        <f>IF('Marks Entry'!V57="","",'Marks Entry'!V57)</f>
        <v/>
      </c>
      <c r="AN57" s="573" t="str">
        <f>IF('Marks Entry'!W57="","",'Marks Entry'!W57)</f>
        <v/>
      </c>
      <c r="AO57" s="573" t="str">
        <f>IF('Marks Entry'!X57="","",'Marks Entry'!X57)</f>
        <v/>
      </c>
      <c r="AP57" s="572" t="str">
        <f t="shared" si="65"/>
        <v/>
      </c>
      <c r="AQ57" s="573" t="str">
        <f>IF('Marks Entry'!Y57="","",'Marks Entry'!Y57)</f>
        <v/>
      </c>
      <c r="AR57" s="573" t="str">
        <f>IF('Marks Entry'!Z57="","",'Marks Entry'!Z57)</f>
        <v/>
      </c>
      <c r="AS57" s="572" t="str">
        <f t="shared" si="66"/>
        <v/>
      </c>
      <c r="AT57" s="572" t="str">
        <f t="shared" si="67"/>
        <v/>
      </c>
      <c r="AU57" s="573" t="str">
        <f>IF('Marks Entry'!AA57="","",'Marks Entry'!AA57)</f>
        <v/>
      </c>
      <c r="AV57" s="573" t="str">
        <f>IF('Marks Entry'!AB57="","",'Marks Entry'!AB57)</f>
        <v/>
      </c>
      <c r="AW57" s="572" t="str">
        <f t="shared" si="68"/>
        <v/>
      </c>
      <c r="AX57" s="156" t="str">
        <f t="shared" si="69"/>
        <v/>
      </c>
      <c r="AY57" s="156" t="str">
        <f t="shared" si="70"/>
        <v/>
      </c>
      <c r="AZ57" s="191" t="str">
        <f t="shared" si="71"/>
        <v/>
      </c>
      <c r="BA57" s="152">
        <f t="shared" si="72"/>
        <v>0</v>
      </c>
      <c r="BB57" s="153">
        <f t="shared" si="73"/>
        <v>0</v>
      </c>
      <c r="BC57" s="153" t="str">
        <f t="shared" si="74"/>
        <v/>
      </c>
      <c r="BD57" s="153" t="str">
        <f t="shared" si="75"/>
        <v/>
      </c>
      <c r="BE57" s="153" t="str">
        <f t="shared" si="76"/>
        <v/>
      </c>
      <c r="BF57" s="152" t="str">
        <f t="shared" si="77"/>
        <v/>
      </c>
      <c r="BG57" s="153" t="str">
        <f t="shared" si="175"/>
        <v/>
      </c>
      <c r="BH57" s="152" t="str">
        <f t="shared" si="78"/>
        <v/>
      </c>
      <c r="BI57" s="580" t="str">
        <f>IF('Marks Entry'!AC57="","",'Marks Entry'!AC57)</f>
        <v/>
      </c>
      <c r="BJ57" s="580" t="str">
        <f>IF('Marks Entry'!AD57="","",'Marks Entry'!AD57)</f>
        <v/>
      </c>
      <c r="BK57" s="580" t="str">
        <f>IF('Marks Entry'!AE57="","",'Marks Entry'!AE57)</f>
        <v/>
      </c>
      <c r="BL57" s="580" t="str">
        <f>IF('Marks Entry'!AF57="","",'Marks Entry'!AF57)</f>
        <v/>
      </c>
      <c r="BM57" s="581" t="str">
        <f t="shared" si="79"/>
        <v/>
      </c>
      <c r="BN57" s="580" t="str">
        <f>IF('Marks Entry'!AG57="","",'Marks Entry'!AG57)</f>
        <v/>
      </c>
      <c r="BO57" s="580" t="str">
        <f>IF('Marks Entry'!AH57="","",'Marks Entry'!AH57)</f>
        <v/>
      </c>
      <c r="BP57" s="581" t="str">
        <f t="shared" si="80"/>
        <v/>
      </c>
      <c r="BQ57" s="581" t="str">
        <f t="shared" si="81"/>
        <v/>
      </c>
      <c r="BR57" s="580" t="str">
        <f>IF('Marks Entry'!AI57="","",'Marks Entry'!AI57)</f>
        <v/>
      </c>
      <c r="BS57" s="580" t="str">
        <f>IF('Marks Entry'!AJ57="","",'Marks Entry'!AJ57)</f>
        <v/>
      </c>
      <c r="BT57" s="581" t="str">
        <f t="shared" si="82"/>
        <v/>
      </c>
      <c r="BU57" s="156" t="str">
        <f t="shared" si="83"/>
        <v/>
      </c>
      <c r="BV57" s="156" t="str">
        <f t="shared" si="84"/>
        <v/>
      </c>
      <c r="BW57" s="191" t="str">
        <f t="shared" si="85"/>
        <v/>
      </c>
      <c r="BX57" s="152">
        <f t="shared" si="86"/>
        <v>0</v>
      </c>
      <c r="BY57" s="153">
        <f t="shared" si="87"/>
        <v>0</v>
      </c>
      <c r="BZ57" s="153" t="str">
        <f t="shared" si="88"/>
        <v/>
      </c>
      <c r="CA57" s="153" t="str">
        <f t="shared" si="89"/>
        <v/>
      </c>
      <c r="CB57" s="153" t="str">
        <f t="shared" si="90"/>
        <v/>
      </c>
      <c r="CC57" s="152" t="str">
        <f t="shared" si="91"/>
        <v/>
      </c>
      <c r="CD57" s="153" t="str">
        <f t="shared" si="92"/>
        <v/>
      </c>
      <c r="CE57" s="152" t="str">
        <f t="shared" si="93"/>
        <v/>
      </c>
      <c r="CF57" s="580" t="str">
        <f>IF('Marks Entry'!AK57="","",'Marks Entry'!AK57)</f>
        <v/>
      </c>
      <c r="CG57" s="580" t="str">
        <f>IF('Marks Entry'!AL57="","",'Marks Entry'!AL57)</f>
        <v/>
      </c>
      <c r="CH57" s="580" t="str">
        <f>IF('Marks Entry'!AM57="","",'Marks Entry'!AM57)</f>
        <v/>
      </c>
      <c r="CI57" s="580" t="str">
        <f>IF('Marks Entry'!AN57="","",'Marks Entry'!AN57)</f>
        <v/>
      </c>
      <c r="CJ57" s="581" t="str">
        <f t="shared" si="94"/>
        <v/>
      </c>
      <c r="CK57" s="580" t="str">
        <f>IF('Marks Entry'!AO57="","",'Marks Entry'!AO57)</f>
        <v/>
      </c>
      <c r="CL57" s="580" t="str">
        <f>IF('Marks Entry'!AP57="","",'Marks Entry'!AP57)</f>
        <v/>
      </c>
      <c r="CM57" s="581" t="str">
        <f t="shared" si="95"/>
        <v/>
      </c>
      <c r="CN57" s="581" t="str">
        <f t="shared" si="96"/>
        <v/>
      </c>
      <c r="CO57" s="580" t="str">
        <f>IF('Marks Entry'!AQ57="","",'Marks Entry'!AQ57)</f>
        <v/>
      </c>
      <c r="CP57" s="580" t="str">
        <f>IF('Marks Entry'!AR57="","",'Marks Entry'!AR57)</f>
        <v/>
      </c>
      <c r="CQ57" s="581" t="str">
        <f t="shared" si="97"/>
        <v/>
      </c>
      <c r="CR57" s="156" t="str">
        <f t="shared" si="98"/>
        <v/>
      </c>
      <c r="CS57" s="156" t="str">
        <f t="shared" si="99"/>
        <v/>
      </c>
      <c r="CT57" s="191" t="str">
        <f t="shared" si="100"/>
        <v/>
      </c>
      <c r="CU57" s="152">
        <f t="shared" si="101"/>
        <v>0</v>
      </c>
      <c r="CV57" s="153">
        <f t="shared" si="102"/>
        <v>0</v>
      </c>
      <c r="CW57" s="153" t="str">
        <f t="shared" si="103"/>
        <v/>
      </c>
      <c r="CX57" s="153" t="str">
        <f t="shared" si="104"/>
        <v/>
      </c>
      <c r="CY57" s="153" t="str">
        <f t="shared" si="176"/>
        <v/>
      </c>
      <c r="CZ57" s="152" t="str">
        <f t="shared" si="105"/>
        <v/>
      </c>
      <c r="DA57" s="153" t="str">
        <f t="shared" si="106"/>
        <v/>
      </c>
      <c r="DB57" s="152" t="str">
        <f t="shared" si="107"/>
        <v/>
      </c>
      <c r="DC57" s="153">
        <f t="shared" si="108"/>
        <v>0</v>
      </c>
      <c r="DD57" s="851" t="str">
        <f>IF('Marks Entry'!AS57="","",IF(OR('Master Sheet'!$D$19="YES",'Marks Entry'!$BA$1=1),'Marks Entry'!AS57,""))</f>
        <v/>
      </c>
      <c r="DE57" s="851" t="str">
        <f>IF('Marks Entry'!AT57="","",IF(OR('Master Sheet'!$D$19="YES",'Marks Entry'!$BA$1=1),'Marks Entry'!AT57,""))</f>
        <v/>
      </c>
      <c r="DF57" s="851" t="str">
        <f>IF('Marks Entry'!AU57="","",IF(OR('Master Sheet'!$D$19="YES",'Marks Entry'!$BA$1=1),'Marks Entry'!AU57,""))</f>
        <v/>
      </c>
      <c r="DG57" s="851" t="str">
        <f>IF('Marks Entry'!AV57="","",IF(OR('Master Sheet'!$D$19="YES",'Marks Entry'!$BA$1=1),'Marks Entry'!AV57,""))</f>
        <v/>
      </c>
      <c r="DH57" s="852" t="str">
        <f t="shared" si="109"/>
        <v/>
      </c>
      <c r="DI57" s="851" t="str">
        <f>IF('Marks Entry'!AW57="","",IF(OR('Master Sheet'!$D$19="YES",'Marks Entry'!$BA$1=1),'Marks Entry'!AW57,""))</f>
        <v/>
      </c>
      <c r="DJ57" s="851" t="str">
        <f>IF('Marks Entry'!AX57="","",IF(OR('Master Sheet'!$D$19="YES",'Marks Entry'!$BA$1=1),'Marks Entry'!AX57,""))</f>
        <v/>
      </c>
      <c r="DK57" s="852" t="str">
        <f t="shared" si="110"/>
        <v/>
      </c>
      <c r="DL57" s="852" t="str">
        <f t="shared" si="111"/>
        <v/>
      </c>
      <c r="DM57" s="851" t="str">
        <f>IF('Marks Entry'!AY57="","",IF(OR('Master Sheet'!$D$19="YES",'Marks Entry'!$BA$1=1),'Marks Entry'!AY57,""))</f>
        <v/>
      </c>
      <c r="DN57" s="851" t="str">
        <f>IF('Marks Entry'!AZ57="","",IF(OR('Master Sheet'!$D$19="YES",'Marks Entry'!$BA$1=1),'Marks Entry'!AZ57,""))</f>
        <v/>
      </c>
      <c r="DO57" s="851" t="str">
        <f>IF('Marks Entry'!BA57="","",IF(OR('Master Sheet'!$D$19="YES",'Marks Entry'!$BA$1=1),'Marks Entry'!BA57,""))</f>
        <v/>
      </c>
      <c r="DP57" s="852" t="str">
        <f t="shared" si="112"/>
        <v/>
      </c>
      <c r="DQ57" s="156" t="str">
        <f t="shared" si="113"/>
        <v/>
      </c>
      <c r="DR57" s="156" t="str">
        <f t="shared" si="114"/>
        <v/>
      </c>
      <c r="DS57" s="156" t="str">
        <f t="shared" si="115"/>
        <v/>
      </c>
      <c r="DT57" s="191" t="str">
        <f t="shared" si="116"/>
        <v/>
      </c>
      <c r="DU57" s="152">
        <f t="shared" si="117"/>
        <v>0</v>
      </c>
      <c r="DV57" s="153">
        <f t="shared" si="118"/>
        <v>0</v>
      </c>
      <c r="DW57" s="153" t="str">
        <f t="shared" si="119"/>
        <v/>
      </c>
      <c r="DX57" s="153" t="str">
        <f>IF(OR($B57="NSO",$B57=0,DS57=""),"",IF(AND(DJ57="",DO57=""),"",IF('Master Sheet'!$D$19="YES",$DO$6-COUNTIF(DO57,"ML")*DO$6,DS$6-(COUNTIF(DJ57,"ML")*DJ$6)-(COUNTIF(DO57,"ML")*DO$6))))</f>
        <v/>
      </c>
      <c r="DY57" s="153" t="str">
        <f>IF(OR($B57="NSO",$B57=0),"",IF(AND(DH57="",DI57="",DM57=""),"",IF(AND('Master Sheet'!$D$19="YES",'Marks Entry'!$BA$1=1),100,IF(AND(DJ57="",DO57=""),SUM(($DQ$7+$DR$7)-(DU57+DV57)),SUM(($DQ$6+$DR$6)-(DU57+DV57))))))</f>
        <v/>
      </c>
      <c r="DZ57" s="152" t="str">
        <f t="shared" si="120"/>
        <v/>
      </c>
      <c r="EA57" s="153" t="str">
        <f t="shared" si="121"/>
        <v/>
      </c>
      <c r="EB57" s="152" t="str">
        <f t="shared" si="122"/>
        <v/>
      </c>
      <c r="EC57" s="584" t="str">
        <f>IF('Marks Entry'!BB57="","",'Marks Entry'!BB57)</f>
        <v/>
      </c>
      <c r="ED57" s="584" t="str">
        <f>IF('Marks Entry'!BC57="","",'Marks Entry'!BC57)</f>
        <v/>
      </c>
      <c r="EE57" s="584" t="str">
        <f>IF('Marks Entry'!BD57="","",'Marks Entry'!BD57)</f>
        <v/>
      </c>
      <c r="EF57" s="590" t="str">
        <f t="shared" si="123"/>
        <v/>
      </c>
      <c r="EG57" s="595">
        <f t="shared" si="124"/>
        <v>0</v>
      </c>
      <c r="EH57" s="595">
        <f t="shared" si="125"/>
        <v>0</v>
      </c>
      <c r="EI57" s="192" t="str">
        <f t="shared" si="126"/>
        <v/>
      </c>
      <c r="EJ57" s="595" t="str">
        <f t="shared" si="127"/>
        <v/>
      </c>
      <c r="EK57" s="595" t="str">
        <f t="shared" si="128"/>
        <v/>
      </c>
      <c r="EL57" s="193" t="str">
        <f t="shared" si="129"/>
        <v/>
      </c>
      <c r="EM57" s="193" t="str">
        <f t="shared" si="130"/>
        <v/>
      </c>
      <c r="EN57" s="193" t="str">
        <f t="shared" si="131"/>
        <v/>
      </c>
      <c r="EO57" s="193" t="str">
        <f t="shared" si="132"/>
        <v/>
      </c>
      <c r="EP57" s="193" t="str">
        <f t="shared" si="133"/>
        <v/>
      </c>
      <c r="EQ57" s="193" t="str">
        <f t="shared" si="134"/>
        <v/>
      </c>
      <c r="ER57" s="194">
        <f t="shared" si="135"/>
        <v>0</v>
      </c>
      <c r="ES57" s="194">
        <f t="shared" si="136"/>
        <v>0</v>
      </c>
      <c r="ET57" s="194">
        <f t="shared" si="137"/>
        <v>0</v>
      </c>
      <c r="EU57" s="194">
        <f t="shared" si="138"/>
        <v>0</v>
      </c>
      <c r="EV57" s="194">
        <f t="shared" si="139"/>
        <v>0</v>
      </c>
      <c r="EW57" s="194" t="str">
        <f t="shared" si="140"/>
        <v/>
      </c>
      <c r="EX57" s="195" t="str">
        <f t="shared" si="141"/>
        <v/>
      </c>
      <c r="EY57" s="196" t="str">
        <f>IF('Marks Entry'!BE57="","",'Marks Entry'!BE57)</f>
        <v/>
      </c>
      <c r="EZ57" s="196" t="str">
        <f>IF('Marks Entry'!BF57="","",'Marks Entry'!BF57)</f>
        <v/>
      </c>
      <c r="FA57" s="196" t="str">
        <f>IF('Marks Entry'!BG57="","",'Marks Entry'!BG57)</f>
        <v/>
      </c>
      <c r="FB57" s="596" t="str">
        <f t="shared" si="142"/>
        <v/>
      </c>
      <c r="FC57" s="196" t="str">
        <f>IF('Marks Entry'!BH57="","",'Marks Entry'!BH57)</f>
        <v/>
      </c>
      <c r="FD57" s="196" t="str">
        <f>IF('Marks Entry'!BI57="","",'Marks Entry'!BI57)</f>
        <v/>
      </c>
      <c r="FE57" s="197" t="str">
        <f t="shared" si="143"/>
        <v/>
      </c>
      <c r="FF57" s="198" t="str">
        <f t="shared" si="144"/>
        <v/>
      </c>
      <c r="FG57" s="199" t="str">
        <f>IF(AND(E57=""),"",IF('Student DATA Entry'!L53="","",'Student DATA Entry'!L53))</f>
        <v/>
      </c>
      <c r="FH57" s="200" t="str">
        <f>IF(AND(E57=""),"",IF('Student DATA Entry'!M53="","",'Student DATA Entry'!M53))</f>
        <v/>
      </c>
      <c r="FI57" s="201" t="str">
        <f t="shared" si="145"/>
        <v/>
      </c>
      <c r="FJ57" s="188" t="str">
        <f t="shared" si="146"/>
        <v/>
      </c>
      <c r="FK57" s="188" t="str">
        <f t="shared" si="147"/>
        <v/>
      </c>
      <c r="FL57" s="202" t="str">
        <f t="shared" si="178"/>
        <v/>
      </c>
      <c r="FM57" s="188" t="str">
        <f t="shared" si="148"/>
        <v/>
      </c>
      <c r="FN57" s="203" t="str">
        <f t="shared" si="149"/>
        <v/>
      </c>
      <c r="FO57" s="202" t="str">
        <f t="shared" si="179"/>
        <v/>
      </c>
      <c r="FP57" s="204" t="str">
        <f t="shared" si="150"/>
        <v/>
      </c>
      <c r="FQ57" s="188" t="str">
        <f t="shared" si="180"/>
        <v/>
      </c>
      <c r="FR57" s="188" t="str">
        <f t="shared" si="181"/>
        <v/>
      </c>
      <c r="FS57" s="188" t="str">
        <f t="shared" si="182"/>
        <v/>
      </c>
      <c r="FT57" s="188" t="str">
        <f t="shared" si="183"/>
        <v/>
      </c>
      <c r="FU57" s="188" t="str">
        <f t="shared" si="151"/>
        <v/>
      </c>
      <c r="FV57" s="205" t="str">
        <f t="shared" si="184"/>
        <v/>
      </c>
      <c r="FW57" s="204" t="str">
        <f t="shared" si="152"/>
        <v/>
      </c>
      <c r="FX57" s="188" t="str">
        <f t="shared" si="185"/>
        <v/>
      </c>
      <c r="FY57" s="188" t="str">
        <f t="shared" si="186"/>
        <v/>
      </c>
      <c r="FZ57" s="188" t="str">
        <f t="shared" si="187"/>
        <v/>
      </c>
      <c r="GA57" s="188" t="str">
        <f t="shared" si="188"/>
        <v/>
      </c>
      <c r="GB57" s="188" t="str">
        <f t="shared" si="153"/>
        <v/>
      </c>
      <c r="GC57" s="205" t="str">
        <f t="shared" si="189"/>
        <v/>
      </c>
      <c r="GD57" s="204" t="str">
        <f t="shared" si="154"/>
        <v/>
      </c>
      <c r="GE57" s="188" t="str">
        <f t="shared" si="190"/>
        <v/>
      </c>
      <c r="GF57" s="188" t="str">
        <f t="shared" si="191"/>
        <v/>
      </c>
      <c r="GG57" s="188" t="str">
        <f t="shared" si="192"/>
        <v/>
      </c>
      <c r="GH57" s="188" t="str">
        <f t="shared" si="193"/>
        <v/>
      </c>
      <c r="GI57" s="188" t="str">
        <f t="shared" si="155"/>
        <v/>
      </c>
      <c r="GJ57" s="205" t="str">
        <f t="shared" si="194"/>
        <v/>
      </c>
      <c r="GK57" s="204" t="str">
        <f t="shared" si="156"/>
        <v/>
      </c>
      <c r="GL57" s="188" t="str">
        <f t="shared" si="195"/>
        <v/>
      </c>
      <c r="GM57" s="188" t="str">
        <f t="shared" si="196"/>
        <v/>
      </c>
      <c r="GN57" s="188" t="str">
        <f t="shared" si="197"/>
        <v/>
      </c>
      <c r="GO57" s="188" t="str">
        <f t="shared" si="198"/>
        <v/>
      </c>
      <c r="GP57" s="188" t="str">
        <f t="shared" si="157"/>
        <v/>
      </c>
      <c r="GQ57" s="205" t="str">
        <f t="shared" si="199"/>
        <v/>
      </c>
      <c r="GR57" s="188" t="str">
        <f t="shared" si="158"/>
        <v/>
      </c>
      <c r="GS57" s="188" t="str">
        <f t="shared" si="159"/>
        <v/>
      </c>
      <c r="GT57" s="206" t="str">
        <f t="shared" si="177"/>
        <v xml:space="preserve">    </v>
      </c>
      <c r="GU57" s="206" t="str">
        <f t="shared" si="160"/>
        <v xml:space="preserve">    </v>
      </c>
      <c r="GV57" s="206" t="str">
        <f t="shared" si="161"/>
        <v xml:space="preserve">    </v>
      </c>
      <c r="GW57" s="206" t="str">
        <f t="shared" si="162"/>
        <v xml:space="preserve">       </v>
      </c>
      <c r="GX57" s="598" t="str">
        <f t="shared" si="163"/>
        <v xml:space="preserve">     </v>
      </c>
      <c r="GY57" s="207" t="str">
        <f t="shared" si="200"/>
        <v/>
      </c>
      <c r="GZ57" s="606" t="str">
        <f>IF(AND(Q57="",AE57="",AZ57="",BW57="",CT57=""),"",IF(AND('Master Sheet'!$D$19="YES",'Marks Entry'!$BA$1=1),SUM(Q57,AE57,AZ57,BW57,DT57),SUM(Q57,AE57,AZ57,BW57,CT57)))</f>
        <v/>
      </c>
      <c r="HA57" s="208" t="str">
        <f>IF(GZ57="","",IF(AND('Master Sheet'!$D$19="YES",'Marks Entry'!$BA$1=1),GZ57/((900)-DC57)*100,GZ57/((1000)-DC57)*100))</f>
        <v/>
      </c>
      <c r="HB57" s="611" t="str">
        <f t="shared" si="165"/>
        <v/>
      </c>
      <c r="HC57" s="609" t="str">
        <f t="shared" si="166"/>
        <v/>
      </c>
      <c r="HD57" s="610" t="str">
        <f t="shared" si="167"/>
        <v/>
      </c>
      <c r="HE57" s="209" t="str">
        <f>IFERROR(IF(OR(GY57="SUPPLEMENTARY",GY57="RE-EXAM"),'Supp. Result Entry'!AS56,""),"")</f>
        <v/>
      </c>
      <c r="HF57" s="613" t="str">
        <f t="shared" si="168"/>
        <v/>
      </c>
      <c r="HG57" s="598" t="str">
        <f t="shared" si="169"/>
        <v/>
      </c>
      <c r="HH57" s="598" t="str">
        <f>IF(AND(HE57="",HF57="",HG57=""),"",IF(OR(GY57="SUPPLEMENTARY",GY57="RE-EXAM"),'Supp. Result Entry'!AS56,GY57))</f>
        <v/>
      </c>
      <c r="HI57" s="179"/>
      <c r="HJ57" s="213"/>
      <c r="HY57" s="211" t="str">
        <f>IF('Supp. Result Entry'!U56="","",'Supp. Result Entry'!$U$6)</f>
        <v/>
      </c>
      <c r="HZ57" s="212" t="str">
        <f>IF('Supp. Result Entry'!X56="","",'Supp. Result Entry'!$X$6)</f>
        <v/>
      </c>
      <c r="IA57" s="212" t="str">
        <f>IF('Supp. Result Entry'!AA56="","",'Supp. Result Entry'!$AA$6)</f>
        <v/>
      </c>
      <c r="IB57" s="212" t="str">
        <f>IF('Supp. Result Entry'!AD56="","",'Supp. Result Entry'!$AD$6)</f>
        <v/>
      </c>
      <c r="IC57" s="212" t="str">
        <f>IF('Supp. Result Entry'!AG56="","",'Supp. Result Entry'!$AG$6)</f>
        <v/>
      </c>
      <c r="ID57" s="212" t="str">
        <f>IF('Supp. Result Entry'!AJ56="","",'Supp. Result Entry'!$AJ$6)</f>
        <v/>
      </c>
      <c r="IE57" s="212" t="str">
        <f>IF('Supp. Result Entry'!V56="","",'Supp. Result Entry'!V56)</f>
        <v/>
      </c>
      <c r="IF57" s="212" t="str">
        <f>IF('Supp. Result Entry'!Y56="","",'Supp. Result Entry'!Y56)</f>
        <v/>
      </c>
      <c r="IG57" s="212" t="str">
        <f>IF('Supp. Result Entry'!AB56="","",'Supp. Result Entry'!AB56)</f>
        <v/>
      </c>
      <c r="IH57" s="212" t="str">
        <f>IF('Supp. Result Entry'!AE56="","",'Supp. Result Entry'!AE56)</f>
        <v/>
      </c>
      <c r="II57" s="212" t="str">
        <f>IF('Supp. Result Entry'!AH56="","",'Supp. Result Entry'!AH56)</f>
        <v/>
      </c>
      <c r="IJ57" s="212" t="str">
        <f>IF('Supp. Result Entry'!AK56="","",'Supp. Result Entry'!AK56)</f>
        <v/>
      </c>
      <c r="IK57" s="212" t="str">
        <f>IF('Supp. Result Entry'!W56="","",'Supp. Result Entry'!W56)</f>
        <v/>
      </c>
      <c r="IL57" s="212" t="str">
        <f>IF('Supp. Result Entry'!Z56="","",'Supp. Result Entry'!Z56)</f>
        <v/>
      </c>
      <c r="IM57" s="212" t="str">
        <f>IF('Supp. Result Entry'!AC56="","",'Supp. Result Entry'!AC56)</f>
        <v/>
      </c>
      <c r="IN57" s="212" t="str">
        <f>IF('Supp. Result Entry'!AF56="","",'Supp. Result Entry'!AF56)</f>
        <v/>
      </c>
      <c r="IO57" s="212" t="str">
        <f>IF('Supp. Result Entry'!AI56="","",'Supp. Result Entry'!AI56)</f>
        <v/>
      </c>
      <c r="IP57" s="212" t="str">
        <f>IF('Supp. Result Entry'!AL56="","",'Supp. Result Entry'!AL56)</f>
        <v/>
      </c>
      <c r="IQ57" s="212">
        <f>COUNTIF('Supp. Result Entry'!K56:Q56,"S")</f>
        <v>0</v>
      </c>
      <c r="IR57" s="212">
        <f t="shared" si="170"/>
        <v>0</v>
      </c>
      <c r="IS57" s="212">
        <f t="shared" si="171"/>
        <v>0</v>
      </c>
      <c r="IT57" s="212" t="str">
        <f t="shared" si="41"/>
        <v/>
      </c>
      <c r="IU57" s="212" t="str">
        <f t="shared" si="42"/>
        <v/>
      </c>
      <c r="IV57" s="212" t="str">
        <f t="shared" si="43"/>
        <v/>
      </c>
      <c r="IW57" s="212" t="str">
        <f t="shared" si="44"/>
        <v/>
      </c>
      <c r="IX57" s="212" t="str">
        <f t="shared" si="45"/>
        <v/>
      </c>
      <c r="IY57" s="212" t="str">
        <f t="shared" si="172"/>
        <v/>
      </c>
      <c r="IZ57" s="212" t="str">
        <f t="shared" si="173"/>
        <v/>
      </c>
      <c r="JA57" s="212" t="str">
        <f t="shared" si="46"/>
        <v/>
      </c>
      <c r="JB57" s="210" t="str">
        <f t="shared" si="174"/>
        <v/>
      </c>
    </row>
    <row r="58" spans="1:262" s="210" customFormat="1" ht="21" customHeight="1">
      <c r="A58" s="183">
        <v>51</v>
      </c>
      <c r="B58" s="184" t="str">
        <f>IF('Marks Entry'!B58="","",'Marks Entry'!B58)</f>
        <v/>
      </c>
      <c r="C58" s="185" t="str">
        <f>IF('Marks Entry'!D58="","",'Marks Entry'!D58)</f>
        <v/>
      </c>
      <c r="D58" s="186" t="str">
        <f>IF('Marks Entry'!E58="","",'Marks Entry'!E58)</f>
        <v/>
      </c>
      <c r="E58" s="187" t="str">
        <f>IF('Marks Entry'!F58="","",'Marks Entry'!F58)</f>
        <v/>
      </c>
      <c r="F58" s="187" t="str">
        <f>IF('Marks Entry'!G58="","",'Marks Entry'!G58)</f>
        <v/>
      </c>
      <c r="G58" s="187" t="str">
        <f>IF('Marks Entry'!H58="","",'Marks Entry'!H58)</f>
        <v/>
      </c>
      <c r="H58" s="188" t="str">
        <f>IF('Marks Entry'!I58="","",'Marks Entry'!I58)</f>
        <v/>
      </c>
      <c r="I58" s="189" t="str">
        <f>IF('Marks Entry'!J58="","",'Marks Entry'!J58)</f>
        <v/>
      </c>
      <c r="J58" s="545" t="str">
        <f>IF('Marks Entry'!K58="","",'Marks Entry'!K58)</f>
        <v/>
      </c>
      <c r="K58" s="545" t="str">
        <f>IF('Marks Entry'!L58="","",'Marks Entry'!L58)</f>
        <v/>
      </c>
      <c r="L58" s="545" t="str">
        <f>IF('Marks Entry'!M58="","",'Marks Entry'!M58)</f>
        <v/>
      </c>
      <c r="M58" s="546" t="str">
        <f t="shared" si="47"/>
        <v/>
      </c>
      <c r="N58" s="545" t="str">
        <f>IF('Marks Entry'!N58="","",'Marks Entry'!N58)</f>
        <v/>
      </c>
      <c r="O58" s="546" t="str">
        <f t="shared" si="48"/>
        <v/>
      </c>
      <c r="P58" s="545" t="str">
        <f>IF('Marks Entry'!O58="","",'Marks Entry'!O58)</f>
        <v/>
      </c>
      <c r="Q58" s="547" t="str">
        <f t="shared" si="49"/>
        <v/>
      </c>
      <c r="R58" s="152">
        <f t="shared" si="50"/>
        <v>0</v>
      </c>
      <c r="S58" s="152">
        <f t="shared" si="51"/>
        <v>0</v>
      </c>
      <c r="T58" s="153" t="str">
        <f t="shared" si="52"/>
        <v/>
      </c>
      <c r="U58" s="152" t="str">
        <f t="shared" si="53"/>
        <v/>
      </c>
      <c r="V58" s="152" t="str">
        <f t="shared" si="54"/>
        <v/>
      </c>
      <c r="W58" s="152" t="str">
        <f t="shared" si="55"/>
        <v/>
      </c>
      <c r="X58" s="545" t="str">
        <f>IF('Marks Entry'!P58="","",'Marks Entry'!P58)</f>
        <v/>
      </c>
      <c r="Y58" s="545" t="str">
        <f>IF('Marks Entry'!Q58="","",'Marks Entry'!Q58)</f>
        <v/>
      </c>
      <c r="Z58" s="545" t="str">
        <f>IF('Marks Entry'!R58="","",'Marks Entry'!R58)</f>
        <v/>
      </c>
      <c r="AA58" s="546" t="str">
        <f t="shared" si="56"/>
        <v/>
      </c>
      <c r="AB58" s="545" t="str">
        <f>IF('Marks Entry'!S58="","",'Marks Entry'!S58)</f>
        <v/>
      </c>
      <c r="AC58" s="546" t="str">
        <f t="shared" si="57"/>
        <v/>
      </c>
      <c r="AD58" s="545" t="str">
        <f>IF('Marks Entry'!T58="","",'Marks Entry'!T58)</f>
        <v/>
      </c>
      <c r="AE58" s="547" t="str">
        <f t="shared" si="58"/>
        <v/>
      </c>
      <c r="AF58" s="152">
        <f t="shared" si="59"/>
        <v>0</v>
      </c>
      <c r="AG58" s="152">
        <f t="shared" si="60"/>
        <v>0</v>
      </c>
      <c r="AH58" s="153" t="str">
        <f t="shared" si="61"/>
        <v/>
      </c>
      <c r="AI58" s="152" t="str">
        <f t="shared" si="62"/>
        <v/>
      </c>
      <c r="AJ58" s="152" t="str">
        <f t="shared" si="63"/>
        <v/>
      </c>
      <c r="AK58" s="152" t="str">
        <f t="shared" si="64"/>
        <v/>
      </c>
      <c r="AL58" s="573" t="str">
        <f>IF('Marks Entry'!U58="","",'Marks Entry'!U58)</f>
        <v/>
      </c>
      <c r="AM58" s="573" t="str">
        <f>IF('Marks Entry'!V58="","",'Marks Entry'!V58)</f>
        <v/>
      </c>
      <c r="AN58" s="573" t="str">
        <f>IF('Marks Entry'!W58="","",'Marks Entry'!W58)</f>
        <v/>
      </c>
      <c r="AO58" s="573" t="str">
        <f>IF('Marks Entry'!X58="","",'Marks Entry'!X58)</f>
        <v/>
      </c>
      <c r="AP58" s="572" t="str">
        <f t="shared" si="65"/>
        <v/>
      </c>
      <c r="AQ58" s="573" t="str">
        <f>IF('Marks Entry'!Y58="","",'Marks Entry'!Y58)</f>
        <v/>
      </c>
      <c r="AR58" s="573" t="str">
        <f>IF('Marks Entry'!Z58="","",'Marks Entry'!Z58)</f>
        <v/>
      </c>
      <c r="AS58" s="572" t="str">
        <f t="shared" si="66"/>
        <v/>
      </c>
      <c r="AT58" s="572" t="str">
        <f t="shared" si="67"/>
        <v/>
      </c>
      <c r="AU58" s="573" t="str">
        <f>IF('Marks Entry'!AA58="","",'Marks Entry'!AA58)</f>
        <v/>
      </c>
      <c r="AV58" s="573" t="str">
        <f>IF('Marks Entry'!AB58="","",'Marks Entry'!AB58)</f>
        <v/>
      </c>
      <c r="AW58" s="572" t="str">
        <f t="shared" si="68"/>
        <v/>
      </c>
      <c r="AX58" s="156" t="str">
        <f t="shared" si="69"/>
        <v/>
      </c>
      <c r="AY58" s="156" t="str">
        <f t="shared" si="70"/>
        <v/>
      </c>
      <c r="AZ58" s="191" t="str">
        <f t="shared" si="71"/>
        <v/>
      </c>
      <c r="BA58" s="152">
        <f t="shared" si="72"/>
        <v>0</v>
      </c>
      <c r="BB58" s="153">
        <f t="shared" si="73"/>
        <v>0</v>
      </c>
      <c r="BC58" s="153" t="str">
        <f t="shared" si="74"/>
        <v/>
      </c>
      <c r="BD58" s="153" t="str">
        <f t="shared" si="75"/>
        <v/>
      </c>
      <c r="BE58" s="153" t="str">
        <f t="shared" si="76"/>
        <v/>
      </c>
      <c r="BF58" s="152" t="str">
        <f t="shared" si="77"/>
        <v/>
      </c>
      <c r="BG58" s="153" t="str">
        <f t="shared" si="175"/>
        <v/>
      </c>
      <c r="BH58" s="152" t="str">
        <f t="shared" si="78"/>
        <v/>
      </c>
      <c r="BI58" s="580" t="str">
        <f>IF('Marks Entry'!AC58="","",'Marks Entry'!AC58)</f>
        <v/>
      </c>
      <c r="BJ58" s="580" t="str">
        <f>IF('Marks Entry'!AD58="","",'Marks Entry'!AD58)</f>
        <v/>
      </c>
      <c r="BK58" s="580" t="str">
        <f>IF('Marks Entry'!AE58="","",'Marks Entry'!AE58)</f>
        <v/>
      </c>
      <c r="BL58" s="580" t="str">
        <f>IF('Marks Entry'!AF58="","",'Marks Entry'!AF58)</f>
        <v/>
      </c>
      <c r="BM58" s="581" t="str">
        <f t="shared" si="79"/>
        <v/>
      </c>
      <c r="BN58" s="580" t="str">
        <f>IF('Marks Entry'!AG58="","",'Marks Entry'!AG58)</f>
        <v/>
      </c>
      <c r="BO58" s="580" t="str">
        <f>IF('Marks Entry'!AH58="","",'Marks Entry'!AH58)</f>
        <v/>
      </c>
      <c r="BP58" s="581" t="str">
        <f t="shared" si="80"/>
        <v/>
      </c>
      <c r="BQ58" s="581" t="str">
        <f t="shared" si="81"/>
        <v/>
      </c>
      <c r="BR58" s="580" t="str">
        <f>IF('Marks Entry'!AI58="","",'Marks Entry'!AI58)</f>
        <v/>
      </c>
      <c r="BS58" s="580" t="str">
        <f>IF('Marks Entry'!AJ58="","",'Marks Entry'!AJ58)</f>
        <v/>
      </c>
      <c r="BT58" s="581" t="str">
        <f t="shared" si="82"/>
        <v/>
      </c>
      <c r="BU58" s="156" t="str">
        <f t="shared" si="83"/>
        <v/>
      </c>
      <c r="BV58" s="156" t="str">
        <f t="shared" si="84"/>
        <v/>
      </c>
      <c r="BW58" s="191" t="str">
        <f t="shared" si="85"/>
        <v/>
      </c>
      <c r="BX58" s="152">
        <f t="shared" si="86"/>
        <v>0</v>
      </c>
      <c r="BY58" s="153">
        <f t="shared" si="87"/>
        <v>0</v>
      </c>
      <c r="BZ58" s="153" t="str">
        <f t="shared" si="88"/>
        <v/>
      </c>
      <c r="CA58" s="153" t="str">
        <f t="shared" si="89"/>
        <v/>
      </c>
      <c r="CB58" s="153" t="str">
        <f t="shared" si="90"/>
        <v/>
      </c>
      <c r="CC58" s="152" t="str">
        <f t="shared" si="91"/>
        <v/>
      </c>
      <c r="CD58" s="153" t="str">
        <f t="shared" si="92"/>
        <v/>
      </c>
      <c r="CE58" s="152" t="str">
        <f t="shared" si="93"/>
        <v/>
      </c>
      <c r="CF58" s="580" t="str">
        <f>IF('Marks Entry'!AK58="","",'Marks Entry'!AK58)</f>
        <v/>
      </c>
      <c r="CG58" s="580" t="str">
        <f>IF('Marks Entry'!AL58="","",'Marks Entry'!AL58)</f>
        <v/>
      </c>
      <c r="CH58" s="580" t="str">
        <f>IF('Marks Entry'!AM58="","",'Marks Entry'!AM58)</f>
        <v/>
      </c>
      <c r="CI58" s="580" t="str">
        <f>IF('Marks Entry'!AN58="","",'Marks Entry'!AN58)</f>
        <v/>
      </c>
      <c r="CJ58" s="581" t="str">
        <f t="shared" si="94"/>
        <v/>
      </c>
      <c r="CK58" s="580" t="str">
        <f>IF('Marks Entry'!AO58="","",'Marks Entry'!AO58)</f>
        <v/>
      </c>
      <c r="CL58" s="580" t="str">
        <f>IF('Marks Entry'!AP58="","",'Marks Entry'!AP58)</f>
        <v/>
      </c>
      <c r="CM58" s="581" t="str">
        <f t="shared" si="95"/>
        <v/>
      </c>
      <c r="CN58" s="581" t="str">
        <f t="shared" si="96"/>
        <v/>
      </c>
      <c r="CO58" s="580" t="str">
        <f>IF('Marks Entry'!AQ58="","",'Marks Entry'!AQ58)</f>
        <v/>
      </c>
      <c r="CP58" s="580" t="str">
        <f>IF('Marks Entry'!AR58="","",'Marks Entry'!AR58)</f>
        <v/>
      </c>
      <c r="CQ58" s="581" t="str">
        <f t="shared" si="97"/>
        <v/>
      </c>
      <c r="CR58" s="156" t="str">
        <f t="shared" si="98"/>
        <v/>
      </c>
      <c r="CS58" s="156" t="str">
        <f t="shared" si="99"/>
        <v/>
      </c>
      <c r="CT58" s="191" t="str">
        <f t="shared" si="100"/>
        <v/>
      </c>
      <c r="CU58" s="152">
        <f t="shared" si="101"/>
        <v>0</v>
      </c>
      <c r="CV58" s="153">
        <f t="shared" si="102"/>
        <v>0</v>
      </c>
      <c r="CW58" s="153" t="str">
        <f t="shared" si="103"/>
        <v/>
      </c>
      <c r="CX58" s="153" t="str">
        <f t="shared" si="104"/>
        <v/>
      </c>
      <c r="CY58" s="153" t="str">
        <f t="shared" si="176"/>
        <v/>
      </c>
      <c r="CZ58" s="152" t="str">
        <f t="shared" si="105"/>
        <v/>
      </c>
      <c r="DA58" s="153" t="str">
        <f t="shared" si="106"/>
        <v/>
      </c>
      <c r="DB58" s="152" t="str">
        <f t="shared" si="107"/>
        <v/>
      </c>
      <c r="DC58" s="153">
        <f t="shared" si="108"/>
        <v>0</v>
      </c>
      <c r="DD58" s="851" t="str">
        <f>IF('Marks Entry'!AS58="","",IF(OR('Master Sheet'!$D$19="YES",'Marks Entry'!$BA$1=1),'Marks Entry'!AS58,""))</f>
        <v/>
      </c>
      <c r="DE58" s="851" t="str">
        <f>IF('Marks Entry'!AT58="","",IF(OR('Master Sheet'!$D$19="YES",'Marks Entry'!$BA$1=1),'Marks Entry'!AT58,""))</f>
        <v/>
      </c>
      <c r="DF58" s="851" t="str">
        <f>IF('Marks Entry'!AU58="","",IF(OR('Master Sheet'!$D$19="YES",'Marks Entry'!$BA$1=1),'Marks Entry'!AU58,""))</f>
        <v/>
      </c>
      <c r="DG58" s="851" t="str">
        <f>IF('Marks Entry'!AV58="","",IF(OR('Master Sheet'!$D$19="YES",'Marks Entry'!$BA$1=1),'Marks Entry'!AV58,""))</f>
        <v/>
      </c>
      <c r="DH58" s="852" t="str">
        <f t="shared" si="109"/>
        <v/>
      </c>
      <c r="DI58" s="851" t="str">
        <f>IF('Marks Entry'!AW58="","",IF(OR('Master Sheet'!$D$19="YES",'Marks Entry'!$BA$1=1),'Marks Entry'!AW58,""))</f>
        <v/>
      </c>
      <c r="DJ58" s="851" t="str">
        <f>IF('Marks Entry'!AX58="","",IF(OR('Master Sheet'!$D$19="YES",'Marks Entry'!$BA$1=1),'Marks Entry'!AX58,""))</f>
        <v/>
      </c>
      <c r="DK58" s="852" t="str">
        <f t="shared" si="110"/>
        <v/>
      </c>
      <c r="DL58" s="852" t="str">
        <f t="shared" si="111"/>
        <v/>
      </c>
      <c r="DM58" s="851" t="str">
        <f>IF('Marks Entry'!AY58="","",IF(OR('Master Sheet'!$D$19="YES",'Marks Entry'!$BA$1=1),'Marks Entry'!AY58,""))</f>
        <v/>
      </c>
      <c r="DN58" s="851" t="str">
        <f>IF('Marks Entry'!AZ58="","",IF(OR('Master Sheet'!$D$19="YES",'Marks Entry'!$BA$1=1),'Marks Entry'!AZ58,""))</f>
        <v/>
      </c>
      <c r="DO58" s="851" t="str">
        <f>IF('Marks Entry'!BA58="","",IF(OR('Master Sheet'!$D$19="YES",'Marks Entry'!$BA$1=1),'Marks Entry'!BA58,""))</f>
        <v/>
      </c>
      <c r="DP58" s="852" t="str">
        <f t="shared" si="112"/>
        <v/>
      </c>
      <c r="DQ58" s="156" t="str">
        <f t="shared" si="113"/>
        <v/>
      </c>
      <c r="DR58" s="156" t="str">
        <f t="shared" si="114"/>
        <v/>
      </c>
      <c r="DS58" s="156" t="str">
        <f t="shared" si="115"/>
        <v/>
      </c>
      <c r="DT58" s="191" t="str">
        <f t="shared" si="116"/>
        <v/>
      </c>
      <c r="DU58" s="152">
        <f t="shared" si="117"/>
        <v>0</v>
      </c>
      <c r="DV58" s="153">
        <f t="shared" si="118"/>
        <v>0</v>
      </c>
      <c r="DW58" s="153" t="str">
        <f t="shared" si="119"/>
        <v/>
      </c>
      <c r="DX58" s="153" t="str">
        <f>IF(OR($B58="NSO",$B58=0,DS58=""),"",IF(AND(DJ58="",DO58=""),"",IF('Master Sheet'!$D$19="YES",$DO$6-COUNTIF(DO58,"ML")*DO$6,DS$6-(COUNTIF(DJ58,"ML")*DJ$6)-(COUNTIF(DO58,"ML")*DO$6))))</f>
        <v/>
      </c>
      <c r="DY58" s="153" t="str">
        <f>IF(OR($B58="NSO",$B58=0),"",IF(AND(DH58="",DI58="",DM58=""),"",IF(AND('Master Sheet'!$D$19="YES",'Marks Entry'!$BA$1=1),100,IF(AND(DJ58="",DO58=""),SUM(($DQ$7+$DR$7)-(DU58+DV58)),SUM(($DQ$6+$DR$6)-(DU58+DV58))))))</f>
        <v/>
      </c>
      <c r="DZ58" s="152" t="str">
        <f t="shared" si="120"/>
        <v/>
      </c>
      <c r="EA58" s="153" t="str">
        <f t="shared" si="121"/>
        <v/>
      </c>
      <c r="EB58" s="152" t="str">
        <f t="shared" si="122"/>
        <v/>
      </c>
      <c r="EC58" s="584" t="str">
        <f>IF('Marks Entry'!BB58="","",'Marks Entry'!BB58)</f>
        <v/>
      </c>
      <c r="ED58" s="584" t="str">
        <f>IF('Marks Entry'!BC58="","",'Marks Entry'!BC58)</f>
        <v/>
      </c>
      <c r="EE58" s="584" t="str">
        <f>IF('Marks Entry'!BD58="","",'Marks Entry'!BD58)</f>
        <v/>
      </c>
      <c r="EF58" s="590" t="str">
        <f t="shared" si="123"/>
        <v/>
      </c>
      <c r="EG58" s="595">
        <f t="shared" si="124"/>
        <v>0</v>
      </c>
      <c r="EH58" s="595">
        <f t="shared" si="125"/>
        <v>0</v>
      </c>
      <c r="EI58" s="192" t="str">
        <f t="shared" si="126"/>
        <v/>
      </c>
      <c r="EJ58" s="595" t="str">
        <f t="shared" si="127"/>
        <v/>
      </c>
      <c r="EK58" s="595" t="str">
        <f t="shared" si="128"/>
        <v/>
      </c>
      <c r="EL58" s="193" t="str">
        <f t="shared" si="129"/>
        <v/>
      </c>
      <c r="EM58" s="193" t="str">
        <f t="shared" si="130"/>
        <v/>
      </c>
      <c r="EN58" s="193" t="str">
        <f t="shared" si="131"/>
        <v/>
      </c>
      <c r="EO58" s="193" t="str">
        <f t="shared" si="132"/>
        <v/>
      </c>
      <c r="EP58" s="193" t="str">
        <f t="shared" si="133"/>
        <v/>
      </c>
      <c r="EQ58" s="193" t="str">
        <f t="shared" si="134"/>
        <v/>
      </c>
      <c r="ER58" s="194">
        <f t="shared" si="135"/>
        <v>0</v>
      </c>
      <c r="ES58" s="194">
        <f t="shared" si="136"/>
        <v>0</v>
      </c>
      <c r="ET58" s="194">
        <f t="shared" si="137"/>
        <v>0</v>
      </c>
      <c r="EU58" s="194">
        <f t="shared" si="138"/>
        <v>0</v>
      </c>
      <c r="EV58" s="194">
        <f t="shared" si="139"/>
        <v>0</v>
      </c>
      <c r="EW58" s="194" t="str">
        <f t="shared" si="140"/>
        <v/>
      </c>
      <c r="EX58" s="195" t="str">
        <f t="shared" si="141"/>
        <v/>
      </c>
      <c r="EY58" s="196" t="str">
        <f>IF('Marks Entry'!BE58="","",'Marks Entry'!BE58)</f>
        <v/>
      </c>
      <c r="EZ58" s="196" t="str">
        <f>IF('Marks Entry'!BF58="","",'Marks Entry'!BF58)</f>
        <v/>
      </c>
      <c r="FA58" s="196" t="str">
        <f>IF('Marks Entry'!BG58="","",'Marks Entry'!BG58)</f>
        <v/>
      </c>
      <c r="FB58" s="596" t="str">
        <f t="shared" si="142"/>
        <v/>
      </c>
      <c r="FC58" s="196" t="str">
        <f>IF('Marks Entry'!BH58="","",'Marks Entry'!BH58)</f>
        <v/>
      </c>
      <c r="FD58" s="196" t="str">
        <f>IF('Marks Entry'!BI58="","",'Marks Entry'!BI58)</f>
        <v/>
      </c>
      <c r="FE58" s="197" t="str">
        <f t="shared" si="143"/>
        <v/>
      </c>
      <c r="FF58" s="198" t="str">
        <f t="shared" si="144"/>
        <v/>
      </c>
      <c r="FG58" s="199" t="str">
        <f>IF(AND(E58=""),"",IF('Student DATA Entry'!L54="","",'Student DATA Entry'!L54))</f>
        <v/>
      </c>
      <c r="FH58" s="200" t="str">
        <f>IF(AND(E58=""),"",IF('Student DATA Entry'!M54="","",'Student DATA Entry'!M54))</f>
        <v/>
      </c>
      <c r="FI58" s="201" t="str">
        <f t="shared" si="145"/>
        <v/>
      </c>
      <c r="FJ58" s="188" t="str">
        <f t="shared" si="146"/>
        <v/>
      </c>
      <c r="FK58" s="188" t="str">
        <f t="shared" si="147"/>
        <v/>
      </c>
      <c r="FL58" s="202" t="str">
        <f t="shared" si="178"/>
        <v/>
      </c>
      <c r="FM58" s="188" t="str">
        <f t="shared" si="148"/>
        <v/>
      </c>
      <c r="FN58" s="203" t="str">
        <f t="shared" si="149"/>
        <v/>
      </c>
      <c r="FO58" s="202" t="str">
        <f t="shared" si="179"/>
        <v/>
      </c>
      <c r="FP58" s="204" t="str">
        <f t="shared" si="150"/>
        <v/>
      </c>
      <c r="FQ58" s="188" t="str">
        <f t="shared" si="180"/>
        <v/>
      </c>
      <c r="FR58" s="188" t="str">
        <f t="shared" si="181"/>
        <v/>
      </c>
      <c r="FS58" s="188" t="str">
        <f t="shared" si="182"/>
        <v/>
      </c>
      <c r="FT58" s="188" t="str">
        <f t="shared" si="183"/>
        <v/>
      </c>
      <c r="FU58" s="188" t="str">
        <f t="shared" si="151"/>
        <v/>
      </c>
      <c r="FV58" s="205" t="str">
        <f t="shared" si="184"/>
        <v/>
      </c>
      <c r="FW58" s="204" t="str">
        <f t="shared" si="152"/>
        <v/>
      </c>
      <c r="FX58" s="188" t="str">
        <f t="shared" si="185"/>
        <v/>
      </c>
      <c r="FY58" s="188" t="str">
        <f t="shared" si="186"/>
        <v/>
      </c>
      <c r="FZ58" s="188" t="str">
        <f t="shared" si="187"/>
        <v/>
      </c>
      <c r="GA58" s="188" t="str">
        <f t="shared" si="188"/>
        <v/>
      </c>
      <c r="GB58" s="188" t="str">
        <f t="shared" si="153"/>
        <v/>
      </c>
      <c r="GC58" s="205" t="str">
        <f t="shared" si="189"/>
        <v/>
      </c>
      <c r="GD58" s="204" t="str">
        <f t="shared" si="154"/>
        <v/>
      </c>
      <c r="GE58" s="188" t="str">
        <f t="shared" si="190"/>
        <v/>
      </c>
      <c r="GF58" s="188" t="str">
        <f t="shared" si="191"/>
        <v/>
      </c>
      <c r="GG58" s="188" t="str">
        <f t="shared" si="192"/>
        <v/>
      </c>
      <c r="GH58" s="188" t="str">
        <f t="shared" si="193"/>
        <v/>
      </c>
      <c r="GI58" s="188" t="str">
        <f t="shared" si="155"/>
        <v/>
      </c>
      <c r="GJ58" s="205" t="str">
        <f t="shared" si="194"/>
        <v/>
      </c>
      <c r="GK58" s="204" t="str">
        <f t="shared" si="156"/>
        <v/>
      </c>
      <c r="GL58" s="188" t="str">
        <f t="shared" si="195"/>
        <v/>
      </c>
      <c r="GM58" s="188" t="str">
        <f t="shared" si="196"/>
        <v/>
      </c>
      <c r="GN58" s="188" t="str">
        <f t="shared" si="197"/>
        <v/>
      </c>
      <c r="GO58" s="188" t="str">
        <f t="shared" si="198"/>
        <v/>
      </c>
      <c r="GP58" s="188" t="str">
        <f t="shared" si="157"/>
        <v/>
      </c>
      <c r="GQ58" s="205" t="str">
        <f t="shared" si="199"/>
        <v/>
      </c>
      <c r="GR58" s="188" t="str">
        <f t="shared" si="158"/>
        <v/>
      </c>
      <c r="GS58" s="188" t="str">
        <f t="shared" si="159"/>
        <v/>
      </c>
      <c r="GT58" s="206" t="str">
        <f t="shared" si="177"/>
        <v xml:space="preserve">    </v>
      </c>
      <c r="GU58" s="206" t="str">
        <f t="shared" si="160"/>
        <v xml:space="preserve">    </v>
      </c>
      <c r="GV58" s="206" t="str">
        <f t="shared" si="161"/>
        <v xml:space="preserve">    </v>
      </c>
      <c r="GW58" s="206" t="str">
        <f t="shared" si="162"/>
        <v xml:space="preserve">       </v>
      </c>
      <c r="GX58" s="598" t="str">
        <f t="shared" si="163"/>
        <v xml:space="preserve">     </v>
      </c>
      <c r="GY58" s="207" t="str">
        <f t="shared" si="200"/>
        <v/>
      </c>
      <c r="GZ58" s="606" t="str">
        <f>IF(AND(Q58="",AE58="",AZ58="",BW58="",CT58=""),"",IF(AND('Master Sheet'!$D$19="YES",'Marks Entry'!$BA$1=1),SUM(Q58,AE58,AZ58,BW58,DT58),SUM(Q58,AE58,AZ58,BW58,CT58)))</f>
        <v/>
      </c>
      <c r="HA58" s="208" t="str">
        <f>IF(GZ58="","",IF(AND('Master Sheet'!$D$19="YES",'Marks Entry'!$BA$1=1),GZ58/((900)-DC58)*100,GZ58/((1000)-DC58)*100))</f>
        <v/>
      </c>
      <c r="HB58" s="611" t="str">
        <f t="shared" si="165"/>
        <v/>
      </c>
      <c r="HC58" s="609" t="str">
        <f t="shared" si="166"/>
        <v/>
      </c>
      <c r="HD58" s="610" t="str">
        <f t="shared" si="167"/>
        <v/>
      </c>
      <c r="HE58" s="209" t="str">
        <f>IFERROR(IF(OR(GY58="SUPPLEMENTARY",GY58="RE-EXAM"),'Supp. Result Entry'!AS57,""),"")</f>
        <v/>
      </c>
      <c r="HF58" s="613" t="str">
        <f t="shared" si="168"/>
        <v/>
      </c>
      <c r="HG58" s="598" t="str">
        <f t="shared" si="169"/>
        <v/>
      </c>
      <c r="HH58" s="598" t="str">
        <f>IF(AND(HE58="",HF58="",HG58=""),"",IF(OR(GY58="SUPPLEMENTARY",GY58="RE-EXAM"),'Supp. Result Entry'!AS57,GY58))</f>
        <v/>
      </c>
      <c r="HI58" s="179"/>
      <c r="HY58" s="211" t="str">
        <f>IF('Supp. Result Entry'!U57="","",'Supp. Result Entry'!$U$6)</f>
        <v/>
      </c>
      <c r="HZ58" s="212" t="str">
        <f>IF('Supp. Result Entry'!X57="","",'Supp. Result Entry'!$X$6)</f>
        <v/>
      </c>
      <c r="IA58" s="212" t="str">
        <f>IF('Supp. Result Entry'!AA57="","",'Supp. Result Entry'!$AA$6)</f>
        <v/>
      </c>
      <c r="IB58" s="212" t="str">
        <f>IF('Supp. Result Entry'!AD57="","",'Supp. Result Entry'!$AD$6)</f>
        <v/>
      </c>
      <c r="IC58" s="212" t="str">
        <f>IF('Supp. Result Entry'!AG57="","",'Supp. Result Entry'!$AG$6)</f>
        <v/>
      </c>
      <c r="ID58" s="212" t="str">
        <f>IF('Supp. Result Entry'!AJ57="","",'Supp. Result Entry'!$AJ$6)</f>
        <v/>
      </c>
      <c r="IE58" s="212" t="str">
        <f>IF('Supp. Result Entry'!V57="","",'Supp. Result Entry'!V57)</f>
        <v/>
      </c>
      <c r="IF58" s="212" t="str">
        <f>IF('Supp. Result Entry'!Y57="","",'Supp. Result Entry'!Y57)</f>
        <v/>
      </c>
      <c r="IG58" s="212" t="str">
        <f>IF('Supp. Result Entry'!AB57="","",'Supp. Result Entry'!AB57)</f>
        <v/>
      </c>
      <c r="IH58" s="212" t="str">
        <f>IF('Supp. Result Entry'!AE57="","",'Supp. Result Entry'!AE57)</f>
        <v/>
      </c>
      <c r="II58" s="212" t="str">
        <f>IF('Supp. Result Entry'!AH57="","",'Supp. Result Entry'!AH57)</f>
        <v/>
      </c>
      <c r="IJ58" s="212" t="str">
        <f>IF('Supp. Result Entry'!AK57="","",'Supp. Result Entry'!AK57)</f>
        <v/>
      </c>
      <c r="IK58" s="212" t="str">
        <f>IF('Supp. Result Entry'!W57="","",'Supp. Result Entry'!W57)</f>
        <v/>
      </c>
      <c r="IL58" s="212" t="str">
        <f>IF('Supp. Result Entry'!Z57="","",'Supp. Result Entry'!Z57)</f>
        <v/>
      </c>
      <c r="IM58" s="212" t="str">
        <f>IF('Supp. Result Entry'!AC57="","",'Supp. Result Entry'!AC57)</f>
        <v/>
      </c>
      <c r="IN58" s="212" t="str">
        <f>IF('Supp. Result Entry'!AF57="","",'Supp. Result Entry'!AF57)</f>
        <v/>
      </c>
      <c r="IO58" s="212" t="str">
        <f>IF('Supp. Result Entry'!AI57="","",'Supp. Result Entry'!AI57)</f>
        <v/>
      </c>
      <c r="IP58" s="212" t="str">
        <f>IF('Supp. Result Entry'!AL57="","",'Supp. Result Entry'!AL57)</f>
        <v/>
      </c>
      <c r="IQ58" s="212">
        <f>COUNTIF('Supp. Result Entry'!K57:Q57,"S")</f>
        <v>0</v>
      </c>
      <c r="IR58" s="212">
        <f t="shared" si="170"/>
        <v>0</v>
      </c>
      <c r="IS58" s="212">
        <f t="shared" si="171"/>
        <v>0</v>
      </c>
      <c r="IT58" s="212" t="str">
        <f t="shared" si="41"/>
        <v/>
      </c>
      <c r="IU58" s="212" t="str">
        <f t="shared" si="42"/>
        <v/>
      </c>
      <c r="IV58" s="212" t="str">
        <f t="shared" si="43"/>
        <v/>
      </c>
      <c r="IW58" s="212" t="str">
        <f t="shared" si="44"/>
        <v/>
      </c>
      <c r="IX58" s="212" t="str">
        <f t="shared" si="45"/>
        <v/>
      </c>
      <c r="IY58" s="212" t="str">
        <f t="shared" si="172"/>
        <v/>
      </c>
      <c r="IZ58" s="212" t="str">
        <f t="shared" si="173"/>
        <v/>
      </c>
      <c r="JA58" s="212" t="str">
        <f t="shared" si="46"/>
        <v/>
      </c>
      <c r="JB58" s="210" t="str">
        <f t="shared" si="174"/>
        <v/>
      </c>
    </row>
    <row r="59" spans="1:262" s="210" customFormat="1" ht="21" customHeight="1">
      <c r="A59" s="183">
        <v>52</v>
      </c>
      <c r="B59" s="184" t="str">
        <f>IF('Marks Entry'!B59="","",'Marks Entry'!B59)</f>
        <v/>
      </c>
      <c r="C59" s="185" t="str">
        <f>IF('Marks Entry'!D59="","",'Marks Entry'!D59)</f>
        <v/>
      </c>
      <c r="D59" s="186" t="str">
        <f>IF('Marks Entry'!E59="","",'Marks Entry'!E59)</f>
        <v/>
      </c>
      <c r="E59" s="187" t="str">
        <f>IF('Marks Entry'!F59="","",'Marks Entry'!F59)</f>
        <v/>
      </c>
      <c r="F59" s="187" t="str">
        <f>IF('Marks Entry'!G59="","",'Marks Entry'!G59)</f>
        <v/>
      </c>
      <c r="G59" s="187" t="str">
        <f>IF('Marks Entry'!H59="","",'Marks Entry'!H59)</f>
        <v/>
      </c>
      <c r="H59" s="188" t="str">
        <f>IF('Marks Entry'!I59="","",'Marks Entry'!I59)</f>
        <v/>
      </c>
      <c r="I59" s="189" t="str">
        <f>IF('Marks Entry'!J59="","",'Marks Entry'!J59)</f>
        <v/>
      </c>
      <c r="J59" s="545" t="str">
        <f>IF('Marks Entry'!K59="","",'Marks Entry'!K59)</f>
        <v/>
      </c>
      <c r="K59" s="545" t="str">
        <f>IF('Marks Entry'!L59="","",'Marks Entry'!L59)</f>
        <v/>
      </c>
      <c r="L59" s="545" t="str">
        <f>IF('Marks Entry'!M59="","",'Marks Entry'!M59)</f>
        <v/>
      </c>
      <c r="M59" s="546" t="str">
        <f t="shared" si="47"/>
        <v/>
      </c>
      <c r="N59" s="545" t="str">
        <f>IF('Marks Entry'!N59="","",'Marks Entry'!N59)</f>
        <v/>
      </c>
      <c r="O59" s="546" t="str">
        <f t="shared" si="48"/>
        <v/>
      </c>
      <c r="P59" s="545" t="str">
        <f>IF('Marks Entry'!O59="","",'Marks Entry'!O59)</f>
        <v/>
      </c>
      <c r="Q59" s="547" t="str">
        <f t="shared" si="49"/>
        <v/>
      </c>
      <c r="R59" s="152">
        <f t="shared" si="50"/>
        <v>0</v>
      </c>
      <c r="S59" s="152">
        <f t="shared" si="51"/>
        <v>0</v>
      </c>
      <c r="T59" s="153" t="str">
        <f t="shared" si="52"/>
        <v/>
      </c>
      <c r="U59" s="152" t="str">
        <f t="shared" si="53"/>
        <v/>
      </c>
      <c r="V59" s="152" t="str">
        <f t="shared" si="54"/>
        <v/>
      </c>
      <c r="W59" s="152" t="str">
        <f t="shared" si="55"/>
        <v/>
      </c>
      <c r="X59" s="545" t="str">
        <f>IF('Marks Entry'!P59="","",'Marks Entry'!P59)</f>
        <v/>
      </c>
      <c r="Y59" s="545" t="str">
        <f>IF('Marks Entry'!Q59="","",'Marks Entry'!Q59)</f>
        <v/>
      </c>
      <c r="Z59" s="545" t="str">
        <f>IF('Marks Entry'!R59="","",'Marks Entry'!R59)</f>
        <v/>
      </c>
      <c r="AA59" s="546" t="str">
        <f t="shared" si="56"/>
        <v/>
      </c>
      <c r="AB59" s="545" t="str">
        <f>IF('Marks Entry'!S59="","",'Marks Entry'!S59)</f>
        <v/>
      </c>
      <c r="AC59" s="546" t="str">
        <f t="shared" si="57"/>
        <v/>
      </c>
      <c r="AD59" s="545" t="str">
        <f>IF('Marks Entry'!T59="","",'Marks Entry'!T59)</f>
        <v/>
      </c>
      <c r="AE59" s="547" t="str">
        <f t="shared" si="58"/>
        <v/>
      </c>
      <c r="AF59" s="152">
        <f t="shared" si="59"/>
        <v>0</v>
      </c>
      <c r="AG59" s="152">
        <f t="shared" si="60"/>
        <v>0</v>
      </c>
      <c r="AH59" s="153" t="str">
        <f t="shared" si="61"/>
        <v/>
      </c>
      <c r="AI59" s="152" t="str">
        <f t="shared" si="62"/>
        <v/>
      </c>
      <c r="AJ59" s="152" t="str">
        <f t="shared" si="63"/>
        <v/>
      </c>
      <c r="AK59" s="152" t="str">
        <f t="shared" si="64"/>
        <v/>
      </c>
      <c r="AL59" s="573" t="str">
        <f>IF('Marks Entry'!U59="","",'Marks Entry'!U59)</f>
        <v/>
      </c>
      <c r="AM59" s="573" t="str">
        <f>IF('Marks Entry'!V59="","",'Marks Entry'!V59)</f>
        <v/>
      </c>
      <c r="AN59" s="573" t="str">
        <f>IF('Marks Entry'!W59="","",'Marks Entry'!W59)</f>
        <v/>
      </c>
      <c r="AO59" s="573" t="str">
        <f>IF('Marks Entry'!X59="","",'Marks Entry'!X59)</f>
        <v/>
      </c>
      <c r="AP59" s="572" t="str">
        <f t="shared" si="65"/>
        <v/>
      </c>
      <c r="AQ59" s="573" t="str">
        <f>IF('Marks Entry'!Y59="","",'Marks Entry'!Y59)</f>
        <v/>
      </c>
      <c r="AR59" s="573" t="str">
        <f>IF('Marks Entry'!Z59="","",'Marks Entry'!Z59)</f>
        <v/>
      </c>
      <c r="AS59" s="572" t="str">
        <f t="shared" si="66"/>
        <v/>
      </c>
      <c r="AT59" s="572" t="str">
        <f t="shared" si="67"/>
        <v/>
      </c>
      <c r="AU59" s="573" t="str">
        <f>IF('Marks Entry'!AA59="","",'Marks Entry'!AA59)</f>
        <v/>
      </c>
      <c r="AV59" s="573" t="str">
        <f>IF('Marks Entry'!AB59="","",'Marks Entry'!AB59)</f>
        <v/>
      </c>
      <c r="AW59" s="572" t="str">
        <f t="shared" si="68"/>
        <v/>
      </c>
      <c r="AX59" s="156" t="str">
        <f t="shared" si="69"/>
        <v/>
      </c>
      <c r="AY59" s="156" t="str">
        <f t="shared" si="70"/>
        <v/>
      </c>
      <c r="AZ59" s="191" t="str">
        <f t="shared" si="71"/>
        <v/>
      </c>
      <c r="BA59" s="152">
        <f t="shared" si="72"/>
        <v>0</v>
      </c>
      <c r="BB59" s="153">
        <f t="shared" si="73"/>
        <v>0</v>
      </c>
      <c r="BC59" s="153" t="str">
        <f t="shared" si="74"/>
        <v/>
      </c>
      <c r="BD59" s="153" t="str">
        <f t="shared" si="75"/>
        <v/>
      </c>
      <c r="BE59" s="153" t="str">
        <f t="shared" si="76"/>
        <v/>
      </c>
      <c r="BF59" s="152" t="str">
        <f t="shared" si="77"/>
        <v/>
      </c>
      <c r="BG59" s="153" t="str">
        <f t="shared" si="175"/>
        <v/>
      </c>
      <c r="BH59" s="152" t="str">
        <f t="shared" si="78"/>
        <v/>
      </c>
      <c r="BI59" s="580" t="str">
        <f>IF('Marks Entry'!AC59="","",'Marks Entry'!AC59)</f>
        <v/>
      </c>
      <c r="BJ59" s="580" t="str">
        <f>IF('Marks Entry'!AD59="","",'Marks Entry'!AD59)</f>
        <v/>
      </c>
      <c r="BK59" s="580" t="str">
        <f>IF('Marks Entry'!AE59="","",'Marks Entry'!AE59)</f>
        <v/>
      </c>
      <c r="BL59" s="580" t="str">
        <f>IF('Marks Entry'!AF59="","",'Marks Entry'!AF59)</f>
        <v/>
      </c>
      <c r="BM59" s="581" t="str">
        <f t="shared" si="79"/>
        <v/>
      </c>
      <c r="BN59" s="580" t="str">
        <f>IF('Marks Entry'!AG59="","",'Marks Entry'!AG59)</f>
        <v/>
      </c>
      <c r="BO59" s="580" t="str">
        <f>IF('Marks Entry'!AH59="","",'Marks Entry'!AH59)</f>
        <v/>
      </c>
      <c r="BP59" s="581" t="str">
        <f t="shared" si="80"/>
        <v/>
      </c>
      <c r="BQ59" s="581" t="str">
        <f t="shared" si="81"/>
        <v/>
      </c>
      <c r="BR59" s="580" t="str">
        <f>IF('Marks Entry'!AI59="","",'Marks Entry'!AI59)</f>
        <v/>
      </c>
      <c r="BS59" s="580" t="str">
        <f>IF('Marks Entry'!AJ59="","",'Marks Entry'!AJ59)</f>
        <v/>
      </c>
      <c r="BT59" s="581" t="str">
        <f t="shared" si="82"/>
        <v/>
      </c>
      <c r="BU59" s="156" t="str">
        <f t="shared" si="83"/>
        <v/>
      </c>
      <c r="BV59" s="156" t="str">
        <f t="shared" si="84"/>
        <v/>
      </c>
      <c r="BW59" s="191" t="str">
        <f t="shared" si="85"/>
        <v/>
      </c>
      <c r="BX59" s="152">
        <f t="shared" si="86"/>
        <v>0</v>
      </c>
      <c r="BY59" s="153">
        <f t="shared" si="87"/>
        <v>0</v>
      </c>
      <c r="BZ59" s="153" t="str">
        <f t="shared" si="88"/>
        <v/>
      </c>
      <c r="CA59" s="153" t="str">
        <f t="shared" si="89"/>
        <v/>
      </c>
      <c r="CB59" s="153" t="str">
        <f t="shared" si="90"/>
        <v/>
      </c>
      <c r="CC59" s="152" t="str">
        <f t="shared" si="91"/>
        <v/>
      </c>
      <c r="CD59" s="153" t="str">
        <f t="shared" si="92"/>
        <v/>
      </c>
      <c r="CE59" s="152" t="str">
        <f t="shared" si="93"/>
        <v/>
      </c>
      <c r="CF59" s="580" t="str">
        <f>IF('Marks Entry'!AK59="","",'Marks Entry'!AK59)</f>
        <v/>
      </c>
      <c r="CG59" s="580" t="str">
        <f>IF('Marks Entry'!AL59="","",'Marks Entry'!AL59)</f>
        <v/>
      </c>
      <c r="CH59" s="580" t="str">
        <f>IF('Marks Entry'!AM59="","",'Marks Entry'!AM59)</f>
        <v/>
      </c>
      <c r="CI59" s="580" t="str">
        <f>IF('Marks Entry'!AN59="","",'Marks Entry'!AN59)</f>
        <v/>
      </c>
      <c r="CJ59" s="581" t="str">
        <f t="shared" si="94"/>
        <v/>
      </c>
      <c r="CK59" s="580" t="str">
        <f>IF('Marks Entry'!AO59="","",'Marks Entry'!AO59)</f>
        <v/>
      </c>
      <c r="CL59" s="580" t="str">
        <f>IF('Marks Entry'!AP59="","",'Marks Entry'!AP59)</f>
        <v/>
      </c>
      <c r="CM59" s="581" t="str">
        <f t="shared" si="95"/>
        <v/>
      </c>
      <c r="CN59" s="581" t="str">
        <f t="shared" si="96"/>
        <v/>
      </c>
      <c r="CO59" s="580" t="str">
        <f>IF('Marks Entry'!AQ59="","",'Marks Entry'!AQ59)</f>
        <v/>
      </c>
      <c r="CP59" s="580" t="str">
        <f>IF('Marks Entry'!AR59="","",'Marks Entry'!AR59)</f>
        <v/>
      </c>
      <c r="CQ59" s="581" t="str">
        <f t="shared" si="97"/>
        <v/>
      </c>
      <c r="CR59" s="156" t="str">
        <f t="shared" si="98"/>
        <v/>
      </c>
      <c r="CS59" s="156" t="str">
        <f t="shared" si="99"/>
        <v/>
      </c>
      <c r="CT59" s="191" t="str">
        <f t="shared" si="100"/>
        <v/>
      </c>
      <c r="CU59" s="152">
        <f t="shared" si="101"/>
        <v>0</v>
      </c>
      <c r="CV59" s="153">
        <f t="shared" si="102"/>
        <v>0</v>
      </c>
      <c r="CW59" s="153" t="str">
        <f t="shared" si="103"/>
        <v/>
      </c>
      <c r="CX59" s="153" t="str">
        <f t="shared" si="104"/>
        <v/>
      </c>
      <c r="CY59" s="153" t="str">
        <f t="shared" si="176"/>
        <v/>
      </c>
      <c r="CZ59" s="152" t="str">
        <f t="shared" si="105"/>
        <v/>
      </c>
      <c r="DA59" s="153" t="str">
        <f t="shared" si="106"/>
        <v/>
      </c>
      <c r="DB59" s="152" t="str">
        <f t="shared" si="107"/>
        <v/>
      </c>
      <c r="DC59" s="153">
        <f t="shared" si="108"/>
        <v>0</v>
      </c>
      <c r="DD59" s="851" t="str">
        <f>IF('Marks Entry'!AS59="","",IF(OR('Master Sheet'!$D$19="YES",'Marks Entry'!$BA$1=1),'Marks Entry'!AS59,""))</f>
        <v/>
      </c>
      <c r="DE59" s="851" t="str">
        <f>IF('Marks Entry'!AT59="","",IF(OR('Master Sheet'!$D$19="YES",'Marks Entry'!$BA$1=1),'Marks Entry'!AT59,""))</f>
        <v/>
      </c>
      <c r="DF59" s="851" t="str">
        <f>IF('Marks Entry'!AU59="","",IF(OR('Master Sheet'!$D$19="YES",'Marks Entry'!$BA$1=1),'Marks Entry'!AU59,""))</f>
        <v/>
      </c>
      <c r="DG59" s="851" t="str">
        <f>IF('Marks Entry'!AV59="","",IF(OR('Master Sheet'!$D$19="YES",'Marks Entry'!$BA$1=1),'Marks Entry'!AV59,""))</f>
        <v/>
      </c>
      <c r="DH59" s="852" t="str">
        <f t="shared" si="109"/>
        <v/>
      </c>
      <c r="DI59" s="851" t="str">
        <f>IF('Marks Entry'!AW59="","",IF(OR('Master Sheet'!$D$19="YES",'Marks Entry'!$BA$1=1),'Marks Entry'!AW59,""))</f>
        <v/>
      </c>
      <c r="DJ59" s="851" t="str">
        <f>IF('Marks Entry'!AX59="","",IF(OR('Master Sheet'!$D$19="YES",'Marks Entry'!$BA$1=1),'Marks Entry'!AX59,""))</f>
        <v/>
      </c>
      <c r="DK59" s="852" t="str">
        <f t="shared" si="110"/>
        <v/>
      </c>
      <c r="DL59" s="852" t="str">
        <f t="shared" si="111"/>
        <v/>
      </c>
      <c r="DM59" s="851" t="str">
        <f>IF('Marks Entry'!AY59="","",IF(OR('Master Sheet'!$D$19="YES",'Marks Entry'!$BA$1=1),'Marks Entry'!AY59,""))</f>
        <v/>
      </c>
      <c r="DN59" s="851" t="str">
        <f>IF('Marks Entry'!AZ59="","",IF(OR('Master Sheet'!$D$19="YES",'Marks Entry'!$BA$1=1),'Marks Entry'!AZ59,""))</f>
        <v/>
      </c>
      <c r="DO59" s="851" t="str">
        <f>IF('Marks Entry'!BA59="","",IF(OR('Master Sheet'!$D$19="YES",'Marks Entry'!$BA$1=1),'Marks Entry'!BA59,""))</f>
        <v/>
      </c>
      <c r="DP59" s="852" t="str">
        <f t="shared" si="112"/>
        <v/>
      </c>
      <c r="DQ59" s="156" t="str">
        <f t="shared" si="113"/>
        <v/>
      </c>
      <c r="DR59" s="156" t="str">
        <f t="shared" si="114"/>
        <v/>
      </c>
      <c r="DS59" s="156" t="str">
        <f t="shared" si="115"/>
        <v/>
      </c>
      <c r="DT59" s="191" t="str">
        <f t="shared" si="116"/>
        <v/>
      </c>
      <c r="DU59" s="152">
        <f t="shared" si="117"/>
        <v>0</v>
      </c>
      <c r="DV59" s="153">
        <f t="shared" si="118"/>
        <v>0</v>
      </c>
      <c r="DW59" s="153" t="str">
        <f t="shared" si="119"/>
        <v/>
      </c>
      <c r="DX59" s="153" t="str">
        <f>IF(OR($B59="NSO",$B59=0,DS59=""),"",IF(AND(DJ59="",DO59=""),"",IF('Master Sheet'!$D$19="YES",$DO$6-COUNTIF(DO59,"ML")*DO$6,DS$6-(COUNTIF(DJ59,"ML")*DJ$6)-(COUNTIF(DO59,"ML")*DO$6))))</f>
        <v/>
      </c>
      <c r="DY59" s="153" t="str">
        <f>IF(OR($B59="NSO",$B59=0),"",IF(AND(DH59="",DI59="",DM59=""),"",IF(AND('Master Sheet'!$D$19="YES",'Marks Entry'!$BA$1=1),100,IF(AND(DJ59="",DO59=""),SUM(($DQ$7+$DR$7)-(DU59+DV59)),SUM(($DQ$6+$DR$6)-(DU59+DV59))))))</f>
        <v/>
      </c>
      <c r="DZ59" s="152" t="str">
        <f t="shared" si="120"/>
        <v/>
      </c>
      <c r="EA59" s="153" t="str">
        <f t="shared" si="121"/>
        <v/>
      </c>
      <c r="EB59" s="152" t="str">
        <f t="shared" si="122"/>
        <v/>
      </c>
      <c r="EC59" s="584" t="str">
        <f>IF('Marks Entry'!BB59="","",'Marks Entry'!BB59)</f>
        <v/>
      </c>
      <c r="ED59" s="584" t="str">
        <f>IF('Marks Entry'!BC59="","",'Marks Entry'!BC59)</f>
        <v/>
      </c>
      <c r="EE59" s="584" t="str">
        <f>IF('Marks Entry'!BD59="","",'Marks Entry'!BD59)</f>
        <v/>
      </c>
      <c r="EF59" s="590" t="str">
        <f t="shared" si="123"/>
        <v/>
      </c>
      <c r="EG59" s="595">
        <f t="shared" si="124"/>
        <v>0</v>
      </c>
      <c r="EH59" s="595">
        <f t="shared" si="125"/>
        <v>0</v>
      </c>
      <c r="EI59" s="192" t="str">
        <f t="shared" si="126"/>
        <v/>
      </c>
      <c r="EJ59" s="595" t="str">
        <f t="shared" si="127"/>
        <v/>
      </c>
      <c r="EK59" s="595" t="str">
        <f t="shared" si="128"/>
        <v/>
      </c>
      <c r="EL59" s="193" t="str">
        <f t="shared" si="129"/>
        <v/>
      </c>
      <c r="EM59" s="193" t="str">
        <f t="shared" si="130"/>
        <v/>
      </c>
      <c r="EN59" s="193" t="str">
        <f t="shared" si="131"/>
        <v/>
      </c>
      <c r="EO59" s="193" t="str">
        <f t="shared" si="132"/>
        <v/>
      </c>
      <c r="EP59" s="193" t="str">
        <f t="shared" si="133"/>
        <v/>
      </c>
      <c r="EQ59" s="193" t="str">
        <f t="shared" si="134"/>
        <v/>
      </c>
      <c r="ER59" s="194">
        <f t="shared" si="135"/>
        <v>0</v>
      </c>
      <c r="ES59" s="194">
        <f t="shared" si="136"/>
        <v>0</v>
      </c>
      <c r="ET59" s="194">
        <f t="shared" si="137"/>
        <v>0</v>
      </c>
      <c r="EU59" s="194">
        <f t="shared" si="138"/>
        <v>0</v>
      </c>
      <c r="EV59" s="194">
        <f t="shared" si="139"/>
        <v>0</v>
      </c>
      <c r="EW59" s="194" t="str">
        <f t="shared" si="140"/>
        <v/>
      </c>
      <c r="EX59" s="195" t="str">
        <f t="shared" si="141"/>
        <v/>
      </c>
      <c r="EY59" s="196" t="str">
        <f>IF('Marks Entry'!BE59="","",'Marks Entry'!BE59)</f>
        <v/>
      </c>
      <c r="EZ59" s="196" t="str">
        <f>IF('Marks Entry'!BF59="","",'Marks Entry'!BF59)</f>
        <v/>
      </c>
      <c r="FA59" s="196" t="str">
        <f>IF('Marks Entry'!BG59="","",'Marks Entry'!BG59)</f>
        <v/>
      </c>
      <c r="FB59" s="596" t="str">
        <f t="shared" si="142"/>
        <v/>
      </c>
      <c r="FC59" s="196" t="str">
        <f>IF('Marks Entry'!BH59="","",'Marks Entry'!BH59)</f>
        <v/>
      </c>
      <c r="FD59" s="196" t="str">
        <f>IF('Marks Entry'!BI59="","",'Marks Entry'!BI59)</f>
        <v/>
      </c>
      <c r="FE59" s="197" t="str">
        <f t="shared" si="143"/>
        <v/>
      </c>
      <c r="FF59" s="198" t="str">
        <f t="shared" si="144"/>
        <v/>
      </c>
      <c r="FG59" s="199" t="str">
        <f>IF(AND(E59=""),"",IF('Student DATA Entry'!L55="","",'Student DATA Entry'!L55))</f>
        <v/>
      </c>
      <c r="FH59" s="200" t="str">
        <f>IF(AND(E59=""),"",IF('Student DATA Entry'!M55="","",'Student DATA Entry'!M55))</f>
        <v/>
      </c>
      <c r="FI59" s="201" t="str">
        <f t="shared" si="145"/>
        <v/>
      </c>
      <c r="FJ59" s="188" t="str">
        <f t="shared" si="146"/>
        <v/>
      </c>
      <c r="FK59" s="188" t="str">
        <f t="shared" si="147"/>
        <v/>
      </c>
      <c r="FL59" s="202" t="str">
        <f t="shared" si="178"/>
        <v/>
      </c>
      <c r="FM59" s="188" t="str">
        <f t="shared" si="148"/>
        <v/>
      </c>
      <c r="FN59" s="203" t="str">
        <f t="shared" si="149"/>
        <v/>
      </c>
      <c r="FO59" s="202" t="str">
        <f t="shared" si="179"/>
        <v/>
      </c>
      <c r="FP59" s="204" t="str">
        <f t="shared" si="150"/>
        <v/>
      </c>
      <c r="FQ59" s="188" t="str">
        <f t="shared" si="180"/>
        <v/>
      </c>
      <c r="FR59" s="188" t="str">
        <f t="shared" si="181"/>
        <v/>
      </c>
      <c r="FS59" s="188" t="str">
        <f t="shared" si="182"/>
        <v/>
      </c>
      <c r="FT59" s="188" t="str">
        <f t="shared" si="183"/>
        <v/>
      </c>
      <c r="FU59" s="188" t="str">
        <f t="shared" si="151"/>
        <v/>
      </c>
      <c r="FV59" s="205" t="str">
        <f t="shared" si="184"/>
        <v/>
      </c>
      <c r="FW59" s="204" t="str">
        <f t="shared" si="152"/>
        <v/>
      </c>
      <c r="FX59" s="188" t="str">
        <f t="shared" si="185"/>
        <v/>
      </c>
      <c r="FY59" s="188" t="str">
        <f t="shared" si="186"/>
        <v/>
      </c>
      <c r="FZ59" s="188" t="str">
        <f t="shared" si="187"/>
        <v/>
      </c>
      <c r="GA59" s="188" t="str">
        <f t="shared" si="188"/>
        <v/>
      </c>
      <c r="GB59" s="188" t="str">
        <f t="shared" si="153"/>
        <v/>
      </c>
      <c r="GC59" s="205" t="str">
        <f t="shared" si="189"/>
        <v/>
      </c>
      <c r="GD59" s="204" t="str">
        <f t="shared" si="154"/>
        <v/>
      </c>
      <c r="GE59" s="188" t="str">
        <f t="shared" si="190"/>
        <v/>
      </c>
      <c r="GF59" s="188" t="str">
        <f t="shared" si="191"/>
        <v/>
      </c>
      <c r="GG59" s="188" t="str">
        <f t="shared" si="192"/>
        <v/>
      </c>
      <c r="GH59" s="188" t="str">
        <f t="shared" si="193"/>
        <v/>
      </c>
      <c r="GI59" s="188" t="str">
        <f t="shared" si="155"/>
        <v/>
      </c>
      <c r="GJ59" s="205" t="str">
        <f t="shared" si="194"/>
        <v/>
      </c>
      <c r="GK59" s="204" t="str">
        <f t="shared" si="156"/>
        <v/>
      </c>
      <c r="GL59" s="188" t="str">
        <f t="shared" si="195"/>
        <v/>
      </c>
      <c r="GM59" s="188" t="str">
        <f t="shared" si="196"/>
        <v/>
      </c>
      <c r="GN59" s="188" t="str">
        <f t="shared" si="197"/>
        <v/>
      </c>
      <c r="GO59" s="188" t="str">
        <f t="shared" si="198"/>
        <v/>
      </c>
      <c r="GP59" s="188" t="str">
        <f t="shared" si="157"/>
        <v/>
      </c>
      <c r="GQ59" s="205" t="str">
        <f t="shared" si="199"/>
        <v/>
      </c>
      <c r="GR59" s="188" t="str">
        <f t="shared" si="158"/>
        <v/>
      </c>
      <c r="GS59" s="188" t="str">
        <f t="shared" si="159"/>
        <v/>
      </c>
      <c r="GT59" s="206" t="str">
        <f t="shared" si="177"/>
        <v xml:space="preserve">    </v>
      </c>
      <c r="GU59" s="206" t="str">
        <f t="shared" si="160"/>
        <v xml:space="preserve">    </v>
      </c>
      <c r="GV59" s="206" t="str">
        <f t="shared" si="161"/>
        <v xml:space="preserve">    </v>
      </c>
      <c r="GW59" s="206" t="str">
        <f t="shared" si="162"/>
        <v xml:space="preserve">       </v>
      </c>
      <c r="GX59" s="598" t="str">
        <f t="shared" si="163"/>
        <v xml:space="preserve">     </v>
      </c>
      <c r="GY59" s="207" t="str">
        <f t="shared" si="200"/>
        <v/>
      </c>
      <c r="GZ59" s="606" t="str">
        <f>IF(AND(Q59="",AE59="",AZ59="",BW59="",CT59=""),"",IF(AND('Master Sheet'!$D$19="YES",'Marks Entry'!$BA$1=1),SUM(Q59,AE59,AZ59,BW59,DT59),SUM(Q59,AE59,AZ59,BW59,CT59)))</f>
        <v/>
      </c>
      <c r="HA59" s="208" t="str">
        <f>IF(GZ59="","",IF(AND('Master Sheet'!$D$19="YES",'Marks Entry'!$BA$1=1),GZ59/((900)-DC59)*100,GZ59/((1000)-DC59)*100))</f>
        <v/>
      </c>
      <c r="HB59" s="611" t="str">
        <f t="shared" si="165"/>
        <v/>
      </c>
      <c r="HC59" s="609" t="str">
        <f t="shared" si="166"/>
        <v/>
      </c>
      <c r="HD59" s="610" t="str">
        <f t="shared" si="167"/>
        <v/>
      </c>
      <c r="HE59" s="209" t="str">
        <f>IFERROR(IF(OR(GY59="SUPPLEMENTARY",GY59="RE-EXAM"),'Supp. Result Entry'!AS58,""),"")</f>
        <v/>
      </c>
      <c r="HF59" s="613" t="str">
        <f t="shared" si="168"/>
        <v/>
      </c>
      <c r="HG59" s="598" t="str">
        <f t="shared" si="169"/>
        <v/>
      </c>
      <c r="HH59" s="598" t="str">
        <f>IF(AND(HE59="",HF59="",HG59=""),"",IF(OR(GY59="SUPPLEMENTARY",GY59="RE-EXAM"),'Supp. Result Entry'!AS58,GY59))</f>
        <v/>
      </c>
      <c r="HI59" s="179"/>
      <c r="HY59" s="211" t="str">
        <f>IF('Supp. Result Entry'!U58="","",'Supp. Result Entry'!$U$6)</f>
        <v/>
      </c>
      <c r="HZ59" s="212" t="str">
        <f>IF('Supp. Result Entry'!X58="","",'Supp. Result Entry'!$X$6)</f>
        <v/>
      </c>
      <c r="IA59" s="212" t="str">
        <f>IF('Supp. Result Entry'!AA58="","",'Supp. Result Entry'!$AA$6)</f>
        <v/>
      </c>
      <c r="IB59" s="212" t="str">
        <f>IF('Supp. Result Entry'!AD58="","",'Supp. Result Entry'!$AD$6)</f>
        <v/>
      </c>
      <c r="IC59" s="212" t="str">
        <f>IF('Supp. Result Entry'!AG58="","",'Supp. Result Entry'!$AG$6)</f>
        <v/>
      </c>
      <c r="ID59" s="212" t="str">
        <f>IF('Supp. Result Entry'!AJ58="","",'Supp. Result Entry'!$AJ$6)</f>
        <v/>
      </c>
      <c r="IE59" s="212" t="str">
        <f>IF('Supp. Result Entry'!V58="","",'Supp. Result Entry'!V58)</f>
        <v/>
      </c>
      <c r="IF59" s="212" t="str">
        <f>IF('Supp. Result Entry'!Y58="","",'Supp. Result Entry'!Y58)</f>
        <v/>
      </c>
      <c r="IG59" s="212" t="str">
        <f>IF('Supp. Result Entry'!AB58="","",'Supp. Result Entry'!AB58)</f>
        <v/>
      </c>
      <c r="IH59" s="212" t="str">
        <f>IF('Supp. Result Entry'!AE58="","",'Supp. Result Entry'!AE58)</f>
        <v/>
      </c>
      <c r="II59" s="212" t="str">
        <f>IF('Supp. Result Entry'!AH58="","",'Supp. Result Entry'!AH58)</f>
        <v/>
      </c>
      <c r="IJ59" s="212" t="str">
        <f>IF('Supp. Result Entry'!AK58="","",'Supp. Result Entry'!AK58)</f>
        <v/>
      </c>
      <c r="IK59" s="212" t="str">
        <f>IF('Supp. Result Entry'!W58="","",'Supp. Result Entry'!W58)</f>
        <v/>
      </c>
      <c r="IL59" s="212" t="str">
        <f>IF('Supp. Result Entry'!Z58="","",'Supp. Result Entry'!Z58)</f>
        <v/>
      </c>
      <c r="IM59" s="212" t="str">
        <f>IF('Supp. Result Entry'!AC58="","",'Supp. Result Entry'!AC58)</f>
        <v/>
      </c>
      <c r="IN59" s="212" t="str">
        <f>IF('Supp. Result Entry'!AF58="","",'Supp. Result Entry'!AF58)</f>
        <v/>
      </c>
      <c r="IO59" s="212" t="str">
        <f>IF('Supp. Result Entry'!AI58="","",'Supp. Result Entry'!AI58)</f>
        <v/>
      </c>
      <c r="IP59" s="212" t="str">
        <f>IF('Supp. Result Entry'!AL58="","",'Supp. Result Entry'!AL58)</f>
        <v/>
      </c>
      <c r="IQ59" s="212">
        <f>COUNTIF('Supp. Result Entry'!K58:Q58,"S")</f>
        <v>0</v>
      </c>
      <c r="IR59" s="212">
        <f t="shared" si="170"/>
        <v>0</v>
      </c>
      <c r="IS59" s="212">
        <f t="shared" si="171"/>
        <v>0</v>
      </c>
      <c r="IT59" s="212" t="str">
        <f t="shared" si="41"/>
        <v/>
      </c>
      <c r="IU59" s="212" t="str">
        <f t="shared" si="42"/>
        <v/>
      </c>
      <c r="IV59" s="212" t="str">
        <f t="shared" si="43"/>
        <v/>
      </c>
      <c r="IW59" s="212" t="str">
        <f t="shared" si="44"/>
        <v/>
      </c>
      <c r="IX59" s="212" t="str">
        <f t="shared" si="45"/>
        <v/>
      </c>
      <c r="IY59" s="212" t="str">
        <f t="shared" si="172"/>
        <v/>
      </c>
      <c r="IZ59" s="212" t="str">
        <f t="shared" si="173"/>
        <v/>
      </c>
      <c r="JA59" s="212" t="str">
        <f t="shared" si="46"/>
        <v/>
      </c>
      <c r="JB59" s="210" t="str">
        <f t="shared" si="174"/>
        <v/>
      </c>
    </row>
    <row r="60" spans="1:262" s="210" customFormat="1" ht="21" customHeight="1">
      <c r="A60" s="183">
        <v>53</v>
      </c>
      <c r="B60" s="184" t="str">
        <f>IF('Marks Entry'!B60="","",'Marks Entry'!B60)</f>
        <v/>
      </c>
      <c r="C60" s="185" t="str">
        <f>IF('Marks Entry'!D60="","",'Marks Entry'!D60)</f>
        <v/>
      </c>
      <c r="D60" s="186" t="str">
        <f>IF('Marks Entry'!E60="","",'Marks Entry'!E60)</f>
        <v/>
      </c>
      <c r="E60" s="187" t="str">
        <f>IF('Marks Entry'!F60="","",'Marks Entry'!F60)</f>
        <v/>
      </c>
      <c r="F60" s="187" t="str">
        <f>IF('Marks Entry'!G60="","",'Marks Entry'!G60)</f>
        <v/>
      </c>
      <c r="G60" s="187" t="str">
        <f>IF('Marks Entry'!H60="","",'Marks Entry'!H60)</f>
        <v/>
      </c>
      <c r="H60" s="188" t="str">
        <f>IF('Marks Entry'!I60="","",'Marks Entry'!I60)</f>
        <v/>
      </c>
      <c r="I60" s="189" t="str">
        <f>IF('Marks Entry'!J60="","",'Marks Entry'!J60)</f>
        <v/>
      </c>
      <c r="J60" s="545" t="str">
        <f>IF('Marks Entry'!K60="","",'Marks Entry'!K60)</f>
        <v/>
      </c>
      <c r="K60" s="545" t="str">
        <f>IF('Marks Entry'!L60="","",'Marks Entry'!L60)</f>
        <v/>
      </c>
      <c r="L60" s="545" t="str">
        <f>IF('Marks Entry'!M60="","",'Marks Entry'!M60)</f>
        <v/>
      </c>
      <c r="M60" s="546" t="str">
        <f t="shared" si="47"/>
        <v/>
      </c>
      <c r="N60" s="545" t="str">
        <f>IF('Marks Entry'!N60="","",'Marks Entry'!N60)</f>
        <v/>
      </c>
      <c r="O60" s="546" t="str">
        <f t="shared" si="48"/>
        <v/>
      </c>
      <c r="P60" s="545" t="str">
        <f>IF('Marks Entry'!O60="","",'Marks Entry'!O60)</f>
        <v/>
      </c>
      <c r="Q60" s="547" t="str">
        <f t="shared" si="49"/>
        <v/>
      </c>
      <c r="R60" s="152">
        <f t="shared" si="50"/>
        <v>0</v>
      </c>
      <c r="S60" s="152">
        <f t="shared" si="51"/>
        <v>0</v>
      </c>
      <c r="T60" s="153" t="str">
        <f t="shared" si="52"/>
        <v/>
      </c>
      <c r="U60" s="152" t="str">
        <f t="shared" si="53"/>
        <v/>
      </c>
      <c r="V60" s="152" t="str">
        <f t="shared" si="54"/>
        <v/>
      </c>
      <c r="W60" s="152" t="str">
        <f t="shared" si="55"/>
        <v/>
      </c>
      <c r="X60" s="545" t="str">
        <f>IF('Marks Entry'!P60="","",'Marks Entry'!P60)</f>
        <v/>
      </c>
      <c r="Y60" s="545" t="str">
        <f>IF('Marks Entry'!Q60="","",'Marks Entry'!Q60)</f>
        <v/>
      </c>
      <c r="Z60" s="545" t="str">
        <f>IF('Marks Entry'!R60="","",'Marks Entry'!R60)</f>
        <v/>
      </c>
      <c r="AA60" s="546" t="str">
        <f t="shared" si="56"/>
        <v/>
      </c>
      <c r="AB60" s="545" t="str">
        <f>IF('Marks Entry'!S60="","",'Marks Entry'!S60)</f>
        <v/>
      </c>
      <c r="AC60" s="546" t="str">
        <f t="shared" si="57"/>
        <v/>
      </c>
      <c r="AD60" s="545" t="str">
        <f>IF('Marks Entry'!T60="","",'Marks Entry'!T60)</f>
        <v/>
      </c>
      <c r="AE60" s="547" t="str">
        <f t="shared" si="58"/>
        <v/>
      </c>
      <c r="AF60" s="152">
        <f t="shared" si="59"/>
        <v>0</v>
      </c>
      <c r="AG60" s="152">
        <f t="shared" si="60"/>
        <v>0</v>
      </c>
      <c r="AH60" s="153" t="str">
        <f t="shared" si="61"/>
        <v/>
      </c>
      <c r="AI60" s="152" t="str">
        <f t="shared" si="62"/>
        <v/>
      </c>
      <c r="AJ60" s="152" t="str">
        <f t="shared" si="63"/>
        <v/>
      </c>
      <c r="AK60" s="152" t="str">
        <f t="shared" si="64"/>
        <v/>
      </c>
      <c r="AL60" s="573" t="str">
        <f>IF('Marks Entry'!U60="","",'Marks Entry'!U60)</f>
        <v/>
      </c>
      <c r="AM60" s="573" t="str">
        <f>IF('Marks Entry'!V60="","",'Marks Entry'!V60)</f>
        <v/>
      </c>
      <c r="AN60" s="573" t="str">
        <f>IF('Marks Entry'!W60="","",'Marks Entry'!W60)</f>
        <v/>
      </c>
      <c r="AO60" s="573" t="str">
        <f>IF('Marks Entry'!X60="","",'Marks Entry'!X60)</f>
        <v/>
      </c>
      <c r="AP60" s="572" t="str">
        <f t="shared" si="65"/>
        <v/>
      </c>
      <c r="AQ60" s="573" t="str">
        <f>IF('Marks Entry'!Y60="","",'Marks Entry'!Y60)</f>
        <v/>
      </c>
      <c r="AR60" s="573" t="str">
        <f>IF('Marks Entry'!Z60="","",'Marks Entry'!Z60)</f>
        <v/>
      </c>
      <c r="AS60" s="572" t="str">
        <f t="shared" si="66"/>
        <v/>
      </c>
      <c r="AT60" s="572" t="str">
        <f t="shared" si="67"/>
        <v/>
      </c>
      <c r="AU60" s="573" t="str">
        <f>IF('Marks Entry'!AA60="","",'Marks Entry'!AA60)</f>
        <v/>
      </c>
      <c r="AV60" s="573" t="str">
        <f>IF('Marks Entry'!AB60="","",'Marks Entry'!AB60)</f>
        <v/>
      </c>
      <c r="AW60" s="572" t="str">
        <f t="shared" si="68"/>
        <v/>
      </c>
      <c r="AX60" s="156" t="str">
        <f t="shared" si="69"/>
        <v/>
      </c>
      <c r="AY60" s="156" t="str">
        <f t="shared" si="70"/>
        <v/>
      </c>
      <c r="AZ60" s="191" t="str">
        <f t="shared" si="71"/>
        <v/>
      </c>
      <c r="BA60" s="152">
        <f t="shared" si="72"/>
        <v>0</v>
      </c>
      <c r="BB60" s="153">
        <f t="shared" si="73"/>
        <v>0</v>
      </c>
      <c r="BC60" s="153" t="str">
        <f t="shared" si="74"/>
        <v/>
      </c>
      <c r="BD60" s="153" t="str">
        <f t="shared" si="75"/>
        <v/>
      </c>
      <c r="BE60" s="153" t="str">
        <f t="shared" si="76"/>
        <v/>
      </c>
      <c r="BF60" s="152" t="str">
        <f t="shared" si="77"/>
        <v/>
      </c>
      <c r="BG60" s="153" t="str">
        <f t="shared" si="175"/>
        <v/>
      </c>
      <c r="BH60" s="152" t="str">
        <f t="shared" si="78"/>
        <v/>
      </c>
      <c r="BI60" s="580" t="str">
        <f>IF('Marks Entry'!AC60="","",'Marks Entry'!AC60)</f>
        <v/>
      </c>
      <c r="BJ60" s="580" t="str">
        <f>IF('Marks Entry'!AD60="","",'Marks Entry'!AD60)</f>
        <v/>
      </c>
      <c r="BK60" s="580" t="str">
        <f>IF('Marks Entry'!AE60="","",'Marks Entry'!AE60)</f>
        <v/>
      </c>
      <c r="BL60" s="580" t="str">
        <f>IF('Marks Entry'!AF60="","",'Marks Entry'!AF60)</f>
        <v/>
      </c>
      <c r="BM60" s="581" t="str">
        <f t="shared" si="79"/>
        <v/>
      </c>
      <c r="BN60" s="580" t="str">
        <f>IF('Marks Entry'!AG60="","",'Marks Entry'!AG60)</f>
        <v/>
      </c>
      <c r="BO60" s="580" t="str">
        <f>IF('Marks Entry'!AH60="","",'Marks Entry'!AH60)</f>
        <v/>
      </c>
      <c r="BP60" s="581" t="str">
        <f t="shared" si="80"/>
        <v/>
      </c>
      <c r="BQ60" s="581" t="str">
        <f t="shared" si="81"/>
        <v/>
      </c>
      <c r="BR60" s="580" t="str">
        <f>IF('Marks Entry'!AI60="","",'Marks Entry'!AI60)</f>
        <v/>
      </c>
      <c r="BS60" s="580" t="str">
        <f>IF('Marks Entry'!AJ60="","",'Marks Entry'!AJ60)</f>
        <v/>
      </c>
      <c r="BT60" s="581" t="str">
        <f t="shared" si="82"/>
        <v/>
      </c>
      <c r="BU60" s="156" t="str">
        <f t="shared" si="83"/>
        <v/>
      </c>
      <c r="BV60" s="156" t="str">
        <f t="shared" si="84"/>
        <v/>
      </c>
      <c r="BW60" s="191" t="str">
        <f t="shared" si="85"/>
        <v/>
      </c>
      <c r="BX60" s="152">
        <f t="shared" si="86"/>
        <v>0</v>
      </c>
      <c r="BY60" s="153">
        <f t="shared" si="87"/>
        <v>0</v>
      </c>
      <c r="BZ60" s="153" t="str">
        <f t="shared" si="88"/>
        <v/>
      </c>
      <c r="CA60" s="153" t="str">
        <f t="shared" si="89"/>
        <v/>
      </c>
      <c r="CB60" s="153" t="str">
        <f t="shared" si="90"/>
        <v/>
      </c>
      <c r="CC60" s="152" t="str">
        <f t="shared" si="91"/>
        <v/>
      </c>
      <c r="CD60" s="153" t="str">
        <f t="shared" si="92"/>
        <v/>
      </c>
      <c r="CE60" s="152" t="str">
        <f t="shared" si="93"/>
        <v/>
      </c>
      <c r="CF60" s="580" t="str">
        <f>IF('Marks Entry'!AK60="","",'Marks Entry'!AK60)</f>
        <v/>
      </c>
      <c r="CG60" s="580" t="str">
        <f>IF('Marks Entry'!AL60="","",'Marks Entry'!AL60)</f>
        <v/>
      </c>
      <c r="CH60" s="580" t="str">
        <f>IF('Marks Entry'!AM60="","",'Marks Entry'!AM60)</f>
        <v/>
      </c>
      <c r="CI60" s="580" t="str">
        <f>IF('Marks Entry'!AN60="","",'Marks Entry'!AN60)</f>
        <v/>
      </c>
      <c r="CJ60" s="581" t="str">
        <f t="shared" si="94"/>
        <v/>
      </c>
      <c r="CK60" s="580" t="str">
        <f>IF('Marks Entry'!AO60="","",'Marks Entry'!AO60)</f>
        <v/>
      </c>
      <c r="CL60" s="580" t="str">
        <f>IF('Marks Entry'!AP60="","",'Marks Entry'!AP60)</f>
        <v/>
      </c>
      <c r="CM60" s="581" t="str">
        <f t="shared" si="95"/>
        <v/>
      </c>
      <c r="CN60" s="581" t="str">
        <f t="shared" si="96"/>
        <v/>
      </c>
      <c r="CO60" s="580" t="str">
        <f>IF('Marks Entry'!AQ60="","",'Marks Entry'!AQ60)</f>
        <v/>
      </c>
      <c r="CP60" s="580" t="str">
        <f>IF('Marks Entry'!AR60="","",'Marks Entry'!AR60)</f>
        <v/>
      </c>
      <c r="CQ60" s="581" t="str">
        <f t="shared" si="97"/>
        <v/>
      </c>
      <c r="CR60" s="156" t="str">
        <f t="shared" si="98"/>
        <v/>
      </c>
      <c r="CS60" s="156" t="str">
        <f t="shared" si="99"/>
        <v/>
      </c>
      <c r="CT60" s="191" t="str">
        <f t="shared" si="100"/>
        <v/>
      </c>
      <c r="CU60" s="152">
        <f t="shared" si="101"/>
        <v>0</v>
      </c>
      <c r="CV60" s="153">
        <f t="shared" si="102"/>
        <v>0</v>
      </c>
      <c r="CW60" s="153" t="str">
        <f t="shared" si="103"/>
        <v/>
      </c>
      <c r="CX60" s="153" t="str">
        <f t="shared" si="104"/>
        <v/>
      </c>
      <c r="CY60" s="153" t="str">
        <f t="shared" si="176"/>
        <v/>
      </c>
      <c r="CZ60" s="152" t="str">
        <f t="shared" si="105"/>
        <v/>
      </c>
      <c r="DA60" s="153" t="str">
        <f t="shared" si="106"/>
        <v/>
      </c>
      <c r="DB60" s="152" t="str">
        <f t="shared" si="107"/>
        <v/>
      </c>
      <c r="DC60" s="153">
        <f t="shared" si="108"/>
        <v>0</v>
      </c>
      <c r="DD60" s="851" t="str">
        <f>IF('Marks Entry'!AS60="","",IF(OR('Master Sheet'!$D$19="YES",'Marks Entry'!$BA$1=1),'Marks Entry'!AS60,""))</f>
        <v/>
      </c>
      <c r="DE60" s="851" t="str">
        <f>IF('Marks Entry'!AT60="","",IF(OR('Master Sheet'!$D$19="YES",'Marks Entry'!$BA$1=1),'Marks Entry'!AT60,""))</f>
        <v/>
      </c>
      <c r="DF60" s="851" t="str">
        <f>IF('Marks Entry'!AU60="","",IF(OR('Master Sheet'!$D$19="YES",'Marks Entry'!$BA$1=1),'Marks Entry'!AU60,""))</f>
        <v/>
      </c>
      <c r="DG60" s="851" t="str">
        <f>IF('Marks Entry'!AV60="","",IF(OR('Master Sheet'!$D$19="YES",'Marks Entry'!$BA$1=1),'Marks Entry'!AV60,""))</f>
        <v/>
      </c>
      <c r="DH60" s="852" t="str">
        <f t="shared" si="109"/>
        <v/>
      </c>
      <c r="DI60" s="851" t="str">
        <f>IF('Marks Entry'!AW60="","",IF(OR('Master Sheet'!$D$19="YES",'Marks Entry'!$BA$1=1),'Marks Entry'!AW60,""))</f>
        <v/>
      </c>
      <c r="DJ60" s="851" t="str">
        <f>IF('Marks Entry'!AX60="","",IF(OR('Master Sheet'!$D$19="YES",'Marks Entry'!$BA$1=1),'Marks Entry'!AX60,""))</f>
        <v/>
      </c>
      <c r="DK60" s="852" t="str">
        <f t="shared" si="110"/>
        <v/>
      </c>
      <c r="DL60" s="852" t="str">
        <f t="shared" si="111"/>
        <v/>
      </c>
      <c r="DM60" s="851" t="str">
        <f>IF('Marks Entry'!AY60="","",IF(OR('Master Sheet'!$D$19="YES",'Marks Entry'!$BA$1=1),'Marks Entry'!AY60,""))</f>
        <v/>
      </c>
      <c r="DN60" s="851" t="str">
        <f>IF('Marks Entry'!AZ60="","",IF(OR('Master Sheet'!$D$19="YES",'Marks Entry'!$BA$1=1),'Marks Entry'!AZ60,""))</f>
        <v/>
      </c>
      <c r="DO60" s="851" t="str">
        <f>IF('Marks Entry'!BA60="","",IF(OR('Master Sheet'!$D$19="YES",'Marks Entry'!$BA$1=1),'Marks Entry'!BA60,""))</f>
        <v/>
      </c>
      <c r="DP60" s="852" t="str">
        <f t="shared" si="112"/>
        <v/>
      </c>
      <c r="DQ60" s="156" t="str">
        <f t="shared" si="113"/>
        <v/>
      </c>
      <c r="DR60" s="156" t="str">
        <f t="shared" si="114"/>
        <v/>
      </c>
      <c r="DS60" s="156" t="str">
        <f t="shared" si="115"/>
        <v/>
      </c>
      <c r="DT60" s="191" t="str">
        <f t="shared" si="116"/>
        <v/>
      </c>
      <c r="DU60" s="152">
        <f t="shared" si="117"/>
        <v>0</v>
      </c>
      <c r="DV60" s="153">
        <f t="shared" si="118"/>
        <v>0</v>
      </c>
      <c r="DW60" s="153" t="str">
        <f t="shared" si="119"/>
        <v/>
      </c>
      <c r="DX60" s="153" t="str">
        <f>IF(OR($B60="NSO",$B60=0,DS60=""),"",IF(AND(DJ60="",DO60=""),"",IF('Master Sheet'!$D$19="YES",$DO$6-COUNTIF(DO60,"ML")*DO$6,DS$6-(COUNTIF(DJ60,"ML")*DJ$6)-(COUNTIF(DO60,"ML")*DO$6))))</f>
        <v/>
      </c>
      <c r="DY60" s="153" t="str">
        <f>IF(OR($B60="NSO",$B60=0),"",IF(AND(DH60="",DI60="",DM60=""),"",IF(AND('Master Sheet'!$D$19="YES",'Marks Entry'!$BA$1=1),100,IF(AND(DJ60="",DO60=""),SUM(($DQ$7+$DR$7)-(DU60+DV60)),SUM(($DQ$6+$DR$6)-(DU60+DV60))))))</f>
        <v/>
      </c>
      <c r="DZ60" s="152" t="str">
        <f t="shared" si="120"/>
        <v/>
      </c>
      <c r="EA60" s="153" t="str">
        <f t="shared" si="121"/>
        <v/>
      </c>
      <c r="EB60" s="152" t="str">
        <f t="shared" si="122"/>
        <v/>
      </c>
      <c r="EC60" s="584" t="str">
        <f>IF('Marks Entry'!BB60="","",'Marks Entry'!BB60)</f>
        <v/>
      </c>
      <c r="ED60" s="584" t="str">
        <f>IF('Marks Entry'!BC60="","",'Marks Entry'!BC60)</f>
        <v/>
      </c>
      <c r="EE60" s="584" t="str">
        <f>IF('Marks Entry'!BD60="","",'Marks Entry'!BD60)</f>
        <v/>
      </c>
      <c r="EF60" s="590" t="str">
        <f t="shared" si="123"/>
        <v/>
      </c>
      <c r="EG60" s="595">
        <f t="shared" si="124"/>
        <v>0</v>
      </c>
      <c r="EH60" s="595">
        <f t="shared" si="125"/>
        <v>0</v>
      </c>
      <c r="EI60" s="192" t="str">
        <f t="shared" si="126"/>
        <v/>
      </c>
      <c r="EJ60" s="595" t="str">
        <f t="shared" si="127"/>
        <v/>
      </c>
      <c r="EK60" s="595" t="str">
        <f t="shared" si="128"/>
        <v/>
      </c>
      <c r="EL60" s="193" t="str">
        <f t="shared" si="129"/>
        <v/>
      </c>
      <c r="EM60" s="193" t="str">
        <f t="shared" si="130"/>
        <v/>
      </c>
      <c r="EN60" s="193" t="str">
        <f t="shared" si="131"/>
        <v/>
      </c>
      <c r="EO60" s="193" t="str">
        <f t="shared" si="132"/>
        <v/>
      </c>
      <c r="EP60" s="193" t="str">
        <f t="shared" si="133"/>
        <v/>
      </c>
      <c r="EQ60" s="193" t="str">
        <f t="shared" si="134"/>
        <v/>
      </c>
      <c r="ER60" s="194">
        <f t="shared" si="135"/>
        <v>0</v>
      </c>
      <c r="ES60" s="194">
        <f t="shared" si="136"/>
        <v>0</v>
      </c>
      <c r="ET60" s="194">
        <f t="shared" si="137"/>
        <v>0</v>
      </c>
      <c r="EU60" s="194">
        <f t="shared" si="138"/>
        <v>0</v>
      </c>
      <c r="EV60" s="194">
        <f t="shared" si="139"/>
        <v>0</v>
      </c>
      <c r="EW60" s="194" t="str">
        <f t="shared" si="140"/>
        <v/>
      </c>
      <c r="EX60" s="195" t="str">
        <f t="shared" si="141"/>
        <v/>
      </c>
      <c r="EY60" s="196" t="str">
        <f>IF('Marks Entry'!BE60="","",'Marks Entry'!BE60)</f>
        <v/>
      </c>
      <c r="EZ60" s="196" t="str">
        <f>IF('Marks Entry'!BF60="","",'Marks Entry'!BF60)</f>
        <v/>
      </c>
      <c r="FA60" s="196" t="str">
        <f>IF('Marks Entry'!BG60="","",'Marks Entry'!BG60)</f>
        <v/>
      </c>
      <c r="FB60" s="596" t="str">
        <f t="shared" si="142"/>
        <v/>
      </c>
      <c r="FC60" s="196" t="str">
        <f>IF('Marks Entry'!BH60="","",'Marks Entry'!BH60)</f>
        <v/>
      </c>
      <c r="FD60" s="196" t="str">
        <f>IF('Marks Entry'!BI60="","",'Marks Entry'!BI60)</f>
        <v/>
      </c>
      <c r="FE60" s="197" t="str">
        <f t="shared" si="143"/>
        <v/>
      </c>
      <c r="FF60" s="198" t="str">
        <f t="shared" si="144"/>
        <v/>
      </c>
      <c r="FG60" s="199" t="str">
        <f>IF(AND(E60=""),"",IF('Student DATA Entry'!L56="","",'Student DATA Entry'!L56))</f>
        <v/>
      </c>
      <c r="FH60" s="200" t="str">
        <f>IF(AND(E60=""),"",IF('Student DATA Entry'!M56="","",'Student DATA Entry'!M56))</f>
        <v/>
      </c>
      <c r="FI60" s="201" t="str">
        <f t="shared" si="145"/>
        <v/>
      </c>
      <c r="FJ60" s="188" t="str">
        <f t="shared" si="146"/>
        <v/>
      </c>
      <c r="FK60" s="188" t="str">
        <f t="shared" si="147"/>
        <v/>
      </c>
      <c r="FL60" s="202" t="str">
        <f t="shared" si="178"/>
        <v/>
      </c>
      <c r="FM60" s="188" t="str">
        <f t="shared" si="148"/>
        <v/>
      </c>
      <c r="FN60" s="203" t="str">
        <f t="shared" si="149"/>
        <v/>
      </c>
      <c r="FO60" s="202" t="str">
        <f t="shared" si="179"/>
        <v/>
      </c>
      <c r="FP60" s="204" t="str">
        <f t="shared" si="150"/>
        <v/>
      </c>
      <c r="FQ60" s="188" t="str">
        <f t="shared" si="180"/>
        <v/>
      </c>
      <c r="FR60" s="188" t="str">
        <f t="shared" si="181"/>
        <v/>
      </c>
      <c r="FS60" s="188" t="str">
        <f t="shared" si="182"/>
        <v/>
      </c>
      <c r="FT60" s="188" t="str">
        <f t="shared" si="183"/>
        <v/>
      </c>
      <c r="FU60" s="188" t="str">
        <f t="shared" si="151"/>
        <v/>
      </c>
      <c r="FV60" s="205" t="str">
        <f t="shared" si="184"/>
        <v/>
      </c>
      <c r="FW60" s="204" t="str">
        <f t="shared" si="152"/>
        <v/>
      </c>
      <c r="FX60" s="188" t="str">
        <f t="shared" si="185"/>
        <v/>
      </c>
      <c r="FY60" s="188" t="str">
        <f t="shared" si="186"/>
        <v/>
      </c>
      <c r="FZ60" s="188" t="str">
        <f t="shared" si="187"/>
        <v/>
      </c>
      <c r="GA60" s="188" t="str">
        <f t="shared" si="188"/>
        <v/>
      </c>
      <c r="GB60" s="188" t="str">
        <f t="shared" si="153"/>
        <v/>
      </c>
      <c r="GC60" s="205" t="str">
        <f t="shared" si="189"/>
        <v/>
      </c>
      <c r="GD60" s="204" t="str">
        <f t="shared" si="154"/>
        <v/>
      </c>
      <c r="GE60" s="188" t="str">
        <f t="shared" si="190"/>
        <v/>
      </c>
      <c r="GF60" s="188" t="str">
        <f t="shared" si="191"/>
        <v/>
      </c>
      <c r="GG60" s="188" t="str">
        <f t="shared" si="192"/>
        <v/>
      </c>
      <c r="GH60" s="188" t="str">
        <f t="shared" si="193"/>
        <v/>
      </c>
      <c r="GI60" s="188" t="str">
        <f t="shared" si="155"/>
        <v/>
      </c>
      <c r="GJ60" s="205" t="str">
        <f t="shared" si="194"/>
        <v/>
      </c>
      <c r="GK60" s="204" t="str">
        <f t="shared" si="156"/>
        <v/>
      </c>
      <c r="GL60" s="188" t="str">
        <f t="shared" si="195"/>
        <v/>
      </c>
      <c r="GM60" s="188" t="str">
        <f t="shared" si="196"/>
        <v/>
      </c>
      <c r="GN60" s="188" t="str">
        <f t="shared" si="197"/>
        <v/>
      </c>
      <c r="GO60" s="188" t="str">
        <f t="shared" si="198"/>
        <v/>
      </c>
      <c r="GP60" s="188" t="str">
        <f t="shared" si="157"/>
        <v/>
      </c>
      <c r="GQ60" s="205" t="str">
        <f t="shared" si="199"/>
        <v/>
      </c>
      <c r="GR60" s="188" t="str">
        <f t="shared" si="158"/>
        <v/>
      </c>
      <c r="GS60" s="188" t="str">
        <f t="shared" si="159"/>
        <v/>
      </c>
      <c r="GT60" s="206" t="str">
        <f t="shared" si="177"/>
        <v xml:space="preserve">    </v>
      </c>
      <c r="GU60" s="206" t="str">
        <f t="shared" si="160"/>
        <v xml:space="preserve">    </v>
      </c>
      <c r="GV60" s="206" t="str">
        <f t="shared" si="161"/>
        <v xml:space="preserve">    </v>
      </c>
      <c r="GW60" s="206" t="str">
        <f t="shared" si="162"/>
        <v xml:space="preserve">       </v>
      </c>
      <c r="GX60" s="598" t="str">
        <f t="shared" si="163"/>
        <v xml:space="preserve">     </v>
      </c>
      <c r="GY60" s="207" t="str">
        <f t="shared" si="200"/>
        <v/>
      </c>
      <c r="GZ60" s="606" t="str">
        <f>IF(AND(Q60="",AE60="",AZ60="",BW60="",CT60=""),"",IF(AND('Master Sheet'!$D$19="YES",'Marks Entry'!$BA$1=1),SUM(Q60,AE60,AZ60,BW60,DT60),SUM(Q60,AE60,AZ60,BW60,CT60)))</f>
        <v/>
      </c>
      <c r="HA60" s="208" t="str">
        <f>IF(GZ60="","",IF(AND('Master Sheet'!$D$19="YES",'Marks Entry'!$BA$1=1),GZ60/((900)-DC60)*100,GZ60/((1000)-DC60)*100))</f>
        <v/>
      </c>
      <c r="HB60" s="611" t="str">
        <f t="shared" si="165"/>
        <v/>
      </c>
      <c r="HC60" s="609" t="str">
        <f t="shared" si="166"/>
        <v/>
      </c>
      <c r="HD60" s="610" t="str">
        <f t="shared" si="167"/>
        <v/>
      </c>
      <c r="HE60" s="209" t="str">
        <f>IFERROR(IF(OR(GY60="SUPPLEMENTARY",GY60="RE-EXAM"),'Supp. Result Entry'!AS59,""),"")</f>
        <v/>
      </c>
      <c r="HF60" s="613" t="str">
        <f t="shared" si="168"/>
        <v/>
      </c>
      <c r="HG60" s="598" t="str">
        <f t="shared" si="169"/>
        <v/>
      </c>
      <c r="HH60" s="598" t="str">
        <f>IF(AND(HE60="",HF60="",HG60=""),"",IF(OR(GY60="SUPPLEMENTARY",GY60="RE-EXAM"),'Supp. Result Entry'!AS59,GY60))</f>
        <v/>
      </c>
      <c r="HI60" s="179"/>
      <c r="HY60" s="211" t="str">
        <f>IF('Supp. Result Entry'!U59="","",'Supp. Result Entry'!$U$6)</f>
        <v/>
      </c>
      <c r="HZ60" s="212" t="str">
        <f>IF('Supp. Result Entry'!X59="","",'Supp. Result Entry'!$X$6)</f>
        <v/>
      </c>
      <c r="IA60" s="212" t="str">
        <f>IF('Supp. Result Entry'!AA59="","",'Supp. Result Entry'!$AA$6)</f>
        <v/>
      </c>
      <c r="IB60" s="212" t="str">
        <f>IF('Supp. Result Entry'!AD59="","",'Supp. Result Entry'!$AD$6)</f>
        <v/>
      </c>
      <c r="IC60" s="212" t="str">
        <f>IF('Supp. Result Entry'!AG59="","",'Supp. Result Entry'!$AG$6)</f>
        <v/>
      </c>
      <c r="ID60" s="212" t="str">
        <f>IF('Supp. Result Entry'!AJ59="","",'Supp. Result Entry'!$AJ$6)</f>
        <v/>
      </c>
      <c r="IE60" s="212" t="str">
        <f>IF('Supp. Result Entry'!V59="","",'Supp. Result Entry'!V59)</f>
        <v/>
      </c>
      <c r="IF60" s="212" t="str">
        <f>IF('Supp. Result Entry'!Y59="","",'Supp. Result Entry'!Y59)</f>
        <v/>
      </c>
      <c r="IG60" s="212" t="str">
        <f>IF('Supp. Result Entry'!AB59="","",'Supp. Result Entry'!AB59)</f>
        <v/>
      </c>
      <c r="IH60" s="212" t="str">
        <f>IF('Supp. Result Entry'!AE59="","",'Supp. Result Entry'!AE59)</f>
        <v/>
      </c>
      <c r="II60" s="212" t="str">
        <f>IF('Supp. Result Entry'!AH59="","",'Supp. Result Entry'!AH59)</f>
        <v/>
      </c>
      <c r="IJ60" s="212" t="str">
        <f>IF('Supp. Result Entry'!AK59="","",'Supp. Result Entry'!AK59)</f>
        <v/>
      </c>
      <c r="IK60" s="212" t="str">
        <f>IF('Supp. Result Entry'!W59="","",'Supp. Result Entry'!W59)</f>
        <v/>
      </c>
      <c r="IL60" s="212" t="str">
        <f>IF('Supp. Result Entry'!Z59="","",'Supp. Result Entry'!Z59)</f>
        <v/>
      </c>
      <c r="IM60" s="212" t="str">
        <f>IF('Supp. Result Entry'!AC59="","",'Supp. Result Entry'!AC59)</f>
        <v/>
      </c>
      <c r="IN60" s="212" t="str">
        <f>IF('Supp. Result Entry'!AF59="","",'Supp. Result Entry'!AF59)</f>
        <v/>
      </c>
      <c r="IO60" s="212" t="str">
        <f>IF('Supp. Result Entry'!AI59="","",'Supp. Result Entry'!AI59)</f>
        <v/>
      </c>
      <c r="IP60" s="212" t="str">
        <f>IF('Supp. Result Entry'!AL59="","",'Supp. Result Entry'!AL59)</f>
        <v/>
      </c>
      <c r="IQ60" s="212">
        <f>COUNTIF('Supp. Result Entry'!K59:Q59,"S")</f>
        <v>0</v>
      </c>
      <c r="IR60" s="212">
        <f t="shared" si="170"/>
        <v>0</v>
      </c>
      <c r="IS60" s="212">
        <f t="shared" si="171"/>
        <v>0</v>
      </c>
      <c r="IT60" s="212" t="str">
        <f t="shared" si="41"/>
        <v/>
      </c>
      <c r="IU60" s="212" t="str">
        <f t="shared" si="42"/>
        <v/>
      </c>
      <c r="IV60" s="212" t="str">
        <f t="shared" si="43"/>
        <v/>
      </c>
      <c r="IW60" s="212" t="str">
        <f t="shared" si="44"/>
        <v/>
      </c>
      <c r="IX60" s="212" t="str">
        <f t="shared" si="45"/>
        <v/>
      </c>
      <c r="IY60" s="212" t="str">
        <f t="shared" si="172"/>
        <v/>
      </c>
      <c r="IZ60" s="212" t="str">
        <f t="shared" si="173"/>
        <v/>
      </c>
      <c r="JA60" s="212" t="str">
        <f t="shared" si="46"/>
        <v/>
      </c>
      <c r="JB60" s="210" t="str">
        <f t="shared" si="174"/>
        <v/>
      </c>
    </row>
    <row r="61" spans="1:262" s="210" customFormat="1" ht="21" customHeight="1">
      <c r="A61" s="183">
        <v>54</v>
      </c>
      <c r="B61" s="184" t="str">
        <f>IF('Marks Entry'!B61="","",'Marks Entry'!B61)</f>
        <v/>
      </c>
      <c r="C61" s="185" t="str">
        <f>IF('Marks Entry'!D61="","",'Marks Entry'!D61)</f>
        <v/>
      </c>
      <c r="D61" s="186" t="str">
        <f>IF('Marks Entry'!E61="","",'Marks Entry'!E61)</f>
        <v/>
      </c>
      <c r="E61" s="187" t="str">
        <f>IF('Marks Entry'!F61="","",'Marks Entry'!F61)</f>
        <v/>
      </c>
      <c r="F61" s="187" t="str">
        <f>IF('Marks Entry'!G61="","",'Marks Entry'!G61)</f>
        <v/>
      </c>
      <c r="G61" s="187" t="str">
        <f>IF('Marks Entry'!H61="","",'Marks Entry'!H61)</f>
        <v/>
      </c>
      <c r="H61" s="188" t="str">
        <f>IF('Marks Entry'!I61="","",'Marks Entry'!I61)</f>
        <v/>
      </c>
      <c r="I61" s="189" t="str">
        <f>IF('Marks Entry'!J61="","",'Marks Entry'!J61)</f>
        <v/>
      </c>
      <c r="J61" s="545" t="str">
        <f>IF('Marks Entry'!K61="","",'Marks Entry'!K61)</f>
        <v/>
      </c>
      <c r="K61" s="545" t="str">
        <f>IF('Marks Entry'!L61="","",'Marks Entry'!L61)</f>
        <v/>
      </c>
      <c r="L61" s="545" t="str">
        <f>IF('Marks Entry'!M61="","",'Marks Entry'!M61)</f>
        <v/>
      </c>
      <c r="M61" s="546" t="str">
        <f t="shared" si="47"/>
        <v/>
      </c>
      <c r="N61" s="545" t="str">
        <f>IF('Marks Entry'!N61="","",'Marks Entry'!N61)</f>
        <v/>
      </c>
      <c r="O61" s="546" t="str">
        <f t="shared" si="48"/>
        <v/>
      </c>
      <c r="P61" s="545" t="str">
        <f>IF('Marks Entry'!O61="","",'Marks Entry'!O61)</f>
        <v/>
      </c>
      <c r="Q61" s="547" t="str">
        <f t="shared" si="49"/>
        <v/>
      </c>
      <c r="R61" s="152">
        <f t="shared" si="50"/>
        <v>0</v>
      </c>
      <c r="S61" s="152">
        <f t="shared" si="51"/>
        <v>0</v>
      </c>
      <c r="T61" s="153" t="str">
        <f t="shared" si="52"/>
        <v/>
      </c>
      <c r="U61" s="152" t="str">
        <f t="shared" si="53"/>
        <v/>
      </c>
      <c r="V61" s="152" t="str">
        <f t="shared" si="54"/>
        <v/>
      </c>
      <c r="W61" s="152" t="str">
        <f t="shared" si="55"/>
        <v/>
      </c>
      <c r="X61" s="545" t="str">
        <f>IF('Marks Entry'!P61="","",'Marks Entry'!P61)</f>
        <v/>
      </c>
      <c r="Y61" s="545" t="str">
        <f>IF('Marks Entry'!Q61="","",'Marks Entry'!Q61)</f>
        <v/>
      </c>
      <c r="Z61" s="545" t="str">
        <f>IF('Marks Entry'!R61="","",'Marks Entry'!R61)</f>
        <v/>
      </c>
      <c r="AA61" s="546" t="str">
        <f t="shared" si="56"/>
        <v/>
      </c>
      <c r="AB61" s="545" t="str">
        <f>IF('Marks Entry'!S61="","",'Marks Entry'!S61)</f>
        <v/>
      </c>
      <c r="AC61" s="546" t="str">
        <f t="shared" si="57"/>
        <v/>
      </c>
      <c r="AD61" s="545" t="str">
        <f>IF('Marks Entry'!T61="","",'Marks Entry'!T61)</f>
        <v/>
      </c>
      <c r="AE61" s="547" t="str">
        <f t="shared" si="58"/>
        <v/>
      </c>
      <c r="AF61" s="152">
        <f t="shared" si="59"/>
        <v>0</v>
      </c>
      <c r="AG61" s="152">
        <f t="shared" si="60"/>
        <v>0</v>
      </c>
      <c r="AH61" s="153" t="str">
        <f t="shared" si="61"/>
        <v/>
      </c>
      <c r="AI61" s="152" t="str">
        <f t="shared" si="62"/>
        <v/>
      </c>
      <c r="AJ61" s="152" t="str">
        <f t="shared" si="63"/>
        <v/>
      </c>
      <c r="AK61" s="152" t="str">
        <f t="shared" si="64"/>
        <v/>
      </c>
      <c r="AL61" s="573" t="str">
        <f>IF('Marks Entry'!U61="","",'Marks Entry'!U61)</f>
        <v/>
      </c>
      <c r="AM61" s="573" t="str">
        <f>IF('Marks Entry'!V61="","",'Marks Entry'!V61)</f>
        <v/>
      </c>
      <c r="AN61" s="573" t="str">
        <f>IF('Marks Entry'!W61="","",'Marks Entry'!W61)</f>
        <v/>
      </c>
      <c r="AO61" s="573" t="str">
        <f>IF('Marks Entry'!X61="","",'Marks Entry'!X61)</f>
        <v/>
      </c>
      <c r="AP61" s="572" t="str">
        <f t="shared" si="65"/>
        <v/>
      </c>
      <c r="AQ61" s="573" t="str">
        <f>IF('Marks Entry'!Y61="","",'Marks Entry'!Y61)</f>
        <v/>
      </c>
      <c r="AR61" s="573" t="str">
        <f>IF('Marks Entry'!Z61="","",'Marks Entry'!Z61)</f>
        <v/>
      </c>
      <c r="AS61" s="572" t="str">
        <f t="shared" si="66"/>
        <v/>
      </c>
      <c r="AT61" s="572" t="str">
        <f t="shared" si="67"/>
        <v/>
      </c>
      <c r="AU61" s="573" t="str">
        <f>IF('Marks Entry'!AA61="","",'Marks Entry'!AA61)</f>
        <v/>
      </c>
      <c r="AV61" s="573" t="str">
        <f>IF('Marks Entry'!AB61="","",'Marks Entry'!AB61)</f>
        <v/>
      </c>
      <c r="AW61" s="572" t="str">
        <f t="shared" si="68"/>
        <v/>
      </c>
      <c r="AX61" s="156" t="str">
        <f t="shared" si="69"/>
        <v/>
      </c>
      <c r="AY61" s="156" t="str">
        <f t="shared" si="70"/>
        <v/>
      </c>
      <c r="AZ61" s="191" t="str">
        <f t="shared" si="71"/>
        <v/>
      </c>
      <c r="BA61" s="152">
        <f t="shared" si="72"/>
        <v>0</v>
      </c>
      <c r="BB61" s="153">
        <f t="shared" si="73"/>
        <v>0</v>
      </c>
      <c r="BC61" s="153" t="str">
        <f t="shared" si="74"/>
        <v/>
      </c>
      <c r="BD61" s="153" t="str">
        <f t="shared" si="75"/>
        <v/>
      </c>
      <c r="BE61" s="153" t="str">
        <f t="shared" si="76"/>
        <v/>
      </c>
      <c r="BF61" s="152" t="str">
        <f t="shared" si="77"/>
        <v/>
      </c>
      <c r="BG61" s="153" t="str">
        <f t="shared" si="175"/>
        <v/>
      </c>
      <c r="BH61" s="152" t="str">
        <f t="shared" si="78"/>
        <v/>
      </c>
      <c r="BI61" s="580" t="str">
        <f>IF('Marks Entry'!AC61="","",'Marks Entry'!AC61)</f>
        <v/>
      </c>
      <c r="BJ61" s="580" t="str">
        <f>IF('Marks Entry'!AD61="","",'Marks Entry'!AD61)</f>
        <v/>
      </c>
      <c r="BK61" s="580" t="str">
        <f>IF('Marks Entry'!AE61="","",'Marks Entry'!AE61)</f>
        <v/>
      </c>
      <c r="BL61" s="580" t="str">
        <f>IF('Marks Entry'!AF61="","",'Marks Entry'!AF61)</f>
        <v/>
      </c>
      <c r="BM61" s="581" t="str">
        <f t="shared" si="79"/>
        <v/>
      </c>
      <c r="BN61" s="580" t="str">
        <f>IF('Marks Entry'!AG61="","",'Marks Entry'!AG61)</f>
        <v/>
      </c>
      <c r="BO61" s="580" t="str">
        <f>IF('Marks Entry'!AH61="","",'Marks Entry'!AH61)</f>
        <v/>
      </c>
      <c r="BP61" s="581" t="str">
        <f t="shared" si="80"/>
        <v/>
      </c>
      <c r="BQ61" s="581" t="str">
        <f t="shared" si="81"/>
        <v/>
      </c>
      <c r="BR61" s="580" t="str">
        <f>IF('Marks Entry'!AI61="","",'Marks Entry'!AI61)</f>
        <v/>
      </c>
      <c r="BS61" s="580" t="str">
        <f>IF('Marks Entry'!AJ61="","",'Marks Entry'!AJ61)</f>
        <v/>
      </c>
      <c r="BT61" s="581" t="str">
        <f t="shared" si="82"/>
        <v/>
      </c>
      <c r="BU61" s="156" t="str">
        <f t="shared" si="83"/>
        <v/>
      </c>
      <c r="BV61" s="156" t="str">
        <f t="shared" si="84"/>
        <v/>
      </c>
      <c r="BW61" s="191" t="str">
        <f t="shared" si="85"/>
        <v/>
      </c>
      <c r="BX61" s="152">
        <f t="shared" si="86"/>
        <v>0</v>
      </c>
      <c r="BY61" s="153">
        <f t="shared" si="87"/>
        <v>0</v>
      </c>
      <c r="BZ61" s="153" t="str">
        <f t="shared" si="88"/>
        <v/>
      </c>
      <c r="CA61" s="153" t="str">
        <f t="shared" si="89"/>
        <v/>
      </c>
      <c r="CB61" s="153" t="str">
        <f t="shared" si="90"/>
        <v/>
      </c>
      <c r="CC61" s="152" t="str">
        <f t="shared" si="91"/>
        <v/>
      </c>
      <c r="CD61" s="153" t="str">
        <f t="shared" si="92"/>
        <v/>
      </c>
      <c r="CE61" s="152" t="str">
        <f t="shared" si="93"/>
        <v/>
      </c>
      <c r="CF61" s="580" t="str">
        <f>IF('Marks Entry'!AK61="","",'Marks Entry'!AK61)</f>
        <v/>
      </c>
      <c r="CG61" s="580" t="str">
        <f>IF('Marks Entry'!AL61="","",'Marks Entry'!AL61)</f>
        <v/>
      </c>
      <c r="CH61" s="580" t="str">
        <f>IF('Marks Entry'!AM61="","",'Marks Entry'!AM61)</f>
        <v/>
      </c>
      <c r="CI61" s="580" t="str">
        <f>IF('Marks Entry'!AN61="","",'Marks Entry'!AN61)</f>
        <v/>
      </c>
      <c r="CJ61" s="581" t="str">
        <f t="shared" si="94"/>
        <v/>
      </c>
      <c r="CK61" s="580" t="str">
        <f>IF('Marks Entry'!AO61="","",'Marks Entry'!AO61)</f>
        <v/>
      </c>
      <c r="CL61" s="580" t="str">
        <f>IF('Marks Entry'!AP61="","",'Marks Entry'!AP61)</f>
        <v/>
      </c>
      <c r="CM61" s="581" t="str">
        <f t="shared" si="95"/>
        <v/>
      </c>
      <c r="CN61" s="581" t="str">
        <f t="shared" si="96"/>
        <v/>
      </c>
      <c r="CO61" s="580" t="str">
        <f>IF('Marks Entry'!AQ61="","",'Marks Entry'!AQ61)</f>
        <v/>
      </c>
      <c r="CP61" s="580" t="str">
        <f>IF('Marks Entry'!AR61="","",'Marks Entry'!AR61)</f>
        <v/>
      </c>
      <c r="CQ61" s="581" t="str">
        <f t="shared" si="97"/>
        <v/>
      </c>
      <c r="CR61" s="156" t="str">
        <f t="shared" si="98"/>
        <v/>
      </c>
      <c r="CS61" s="156" t="str">
        <f t="shared" si="99"/>
        <v/>
      </c>
      <c r="CT61" s="191" t="str">
        <f t="shared" si="100"/>
        <v/>
      </c>
      <c r="CU61" s="152">
        <f t="shared" si="101"/>
        <v>0</v>
      </c>
      <c r="CV61" s="153">
        <f t="shared" si="102"/>
        <v>0</v>
      </c>
      <c r="CW61" s="153" t="str">
        <f t="shared" si="103"/>
        <v/>
      </c>
      <c r="CX61" s="153" t="str">
        <f t="shared" si="104"/>
        <v/>
      </c>
      <c r="CY61" s="153" t="str">
        <f t="shared" si="176"/>
        <v/>
      </c>
      <c r="CZ61" s="152" t="str">
        <f t="shared" si="105"/>
        <v/>
      </c>
      <c r="DA61" s="153" t="str">
        <f t="shared" si="106"/>
        <v/>
      </c>
      <c r="DB61" s="152" t="str">
        <f t="shared" si="107"/>
        <v/>
      </c>
      <c r="DC61" s="153">
        <f t="shared" si="108"/>
        <v>0</v>
      </c>
      <c r="DD61" s="851" t="str">
        <f>IF('Marks Entry'!AS61="","",IF(OR('Master Sheet'!$D$19="YES",'Marks Entry'!$BA$1=1),'Marks Entry'!AS61,""))</f>
        <v/>
      </c>
      <c r="DE61" s="851" t="str">
        <f>IF('Marks Entry'!AT61="","",IF(OR('Master Sheet'!$D$19="YES",'Marks Entry'!$BA$1=1),'Marks Entry'!AT61,""))</f>
        <v/>
      </c>
      <c r="DF61" s="851" t="str">
        <f>IF('Marks Entry'!AU61="","",IF(OR('Master Sheet'!$D$19="YES",'Marks Entry'!$BA$1=1),'Marks Entry'!AU61,""))</f>
        <v/>
      </c>
      <c r="DG61" s="851" t="str">
        <f>IF('Marks Entry'!AV61="","",IF(OR('Master Sheet'!$D$19="YES",'Marks Entry'!$BA$1=1),'Marks Entry'!AV61,""))</f>
        <v/>
      </c>
      <c r="DH61" s="852" t="str">
        <f t="shared" si="109"/>
        <v/>
      </c>
      <c r="DI61" s="851" t="str">
        <f>IF('Marks Entry'!AW61="","",IF(OR('Master Sheet'!$D$19="YES",'Marks Entry'!$BA$1=1),'Marks Entry'!AW61,""))</f>
        <v/>
      </c>
      <c r="DJ61" s="851" t="str">
        <f>IF('Marks Entry'!AX61="","",IF(OR('Master Sheet'!$D$19="YES",'Marks Entry'!$BA$1=1),'Marks Entry'!AX61,""))</f>
        <v/>
      </c>
      <c r="DK61" s="852" t="str">
        <f t="shared" si="110"/>
        <v/>
      </c>
      <c r="DL61" s="852" t="str">
        <f t="shared" si="111"/>
        <v/>
      </c>
      <c r="DM61" s="851" t="str">
        <f>IF('Marks Entry'!AY61="","",IF(OR('Master Sheet'!$D$19="YES",'Marks Entry'!$BA$1=1),'Marks Entry'!AY61,""))</f>
        <v/>
      </c>
      <c r="DN61" s="851" t="str">
        <f>IF('Marks Entry'!AZ61="","",IF(OR('Master Sheet'!$D$19="YES",'Marks Entry'!$BA$1=1),'Marks Entry'!AZ61,""))</f>
        <v/>
      </c>
      <c r="DO61" s="851" t="str">
        <f>IF('Marks Entry'!BA61="","",IF(OR('Master Sheet'!$D$19="YES",'Marks Entry'!$BA$1=1),'Marks Entry'!BA61,""))</f>
        <v/>
      </c>
      <c r="DP61" s="852" t="str">
        <f t="shared" si="112"/>
        <v/>
      </c>
      <c r="DQ61" s="156" t="str">
        <f t="shared" si="113"/>
        <v/>
      </c>
      <c r="DR61" s="156" t="str">
        <f t="shared" si="114"/>
        <v/>
      </c>
      <c r="DS61" s="156" t="str">
        <f t="shared" si="115"/>
        <v/>
      </c>
      <c r="DT61" s="191" t="str">
        <f t="shared" si="116"/>
        <v/>
      </c>
      <c r="DU61" s="152">
        <f t="shared" si="117"/>
        <v>0</v>
      </c>
      <c r="DV61" s="153">
        <f t="shared" si="118"/>
        <v>0</v>
      </c>
      <c r="DW61" s="153" t="str">
        <f t="shared" si="119"/>
        <v/>
      </c>
      <c r="DX61" s="153" t="str">
        <f>IF(OR($B61="NSO",$B61=0,DS61=""),"",IF(AND(DJ61="",DO61=""),"",IF('Master Sheet'!$D$19="YES",$DO$6-COUNTIF(DO61,"ML")*DO$6,DS$6-(COUNTIF(DJ61,"ML")*DJ$6)-(COUNTIF(DO61,"ML")*DO$6))))</f>
        <v/>
      </c>
      <c r="DY61" s="153" t="str">
        <f>IF(OR($B61="NSO",$B61=0),"",IF(AND(DH61="",DI61="",DM61=""),"",IF(AND('Master Sheet'!$D$19="YES",'Marks Entry'!$BA$1=1),100,IF(AND(DJ61="",DO61=""),SUM(($DQ$7+$DR$7)-(DU61+DV61)),SUM(($DQ$6+$DR$6)-(DU61+DV61))))))</f>
        <v/>
      </c>
      <c r="DZ61" s="152" t="str">
        <f t="shared" si="120"/>
        <v/>
      </c>
      <c r="EA61" s="153" t="str">
        <f t="shared" si="121"/>
        <v/>
      </c>
      <c r="EB61" s="152" t="str">
        <f t="shared" si="122"/>
        <v/>
      </c>
      <c r="EC61" s="584" t="str">
        <f>IF('Marks Entry'!BB61="","",'Marks Entry'!BB61)</f>
        <v/>
      </c>
      <c r="ED61" s="584" t="str">
        <f>IF('Marks Entry'!BC61="","",'Marks Entry'!BC61)</f>
        <v/>
      </c>
      <c r="EE61" s="584" t="str">
        <f>IF('Marks Entry'!BD61="","",'Marks Entry'!BD61)</f>
        <v/>
      </c>
      <c r="EF61" s="590" t="str">
        <f t="shared" si="123"/>
        <v/>
      </c>
      <c r="EG61" s="595">
        <f t="shared" si="124"/>
        <v>0</v>
      </c>
      <c r="EH61" s="595">
        <f t="shared" si="125"/>
        <v>0</v>
      </c>
      <c r="EI61" s="192" t="str">
        <f t="shared" si="126"/>
        <v/>
      </c>
      <c r="EJ61" s="595" t="str">
        <f t="shared" si="127"/>
        <v/>
      </c>
      <c r="EK61" s="595" t="str">
        <f t="shared" si="128"/>
        <v/>
      </c>
      <c r="EL61" s="193" t="str">
        <f t="shared" si="129"/>
        <v/>
      </c>
      <c r="EM61" s="193" t="str">
        <f t="shared" si="130"/>
        <v/>
      </c>
      <c r="EN61" s="193" t="str">
        <f t="shared" si="131"/>
        <v/>
      </c>
      <c r="EO61" s="193" t="str">
        <f t="shared" si="132"/>
        <v/>
      </c>
      <c r="EP61" s="193" t="str">
        <f t="shared" si="133"/>
        <v/>
      </c>
      <c r="EQ61" s="193" t="str">
        <f t="shared" si="134"/>
        <v/>
      </c>
      <c r="ER61" s="194">
        <f t="shared" si="135"/>
        <v>0</v>
      </c>
      <c r="ES61" s="194">
        <f t="shared" si="136"/>
        <v>0</v>
      </c>
      <c r="ET61" s="194">
        <f t="shared" si="137"/>
        <v>0</v>
      </c>
      <c r="EU61" s="194">
        <f t="shared" si="138"/>
        <v>0</v>
      </c>
      <c r="EV61" s="194">
        <f t="shared" si="139"/>
        <v>0</v>
      </c>
      <c r="EW61" s="194" t="str">
        <f t="shared" si="140"/>
        <v/>
      </c>
      <c r="EX61" s="195" t="str">
        <f t="shared" si="141"/>
        <v/>
      </c>
      <c r="EY61" s="196" t="str">
        <f>IF('Marks Entry'!BE61="","",'Marks Entry'!BE61)</f>
        <v/>
      </c>
      <c r="EZ61" s="196" t="str">
        <f>IF('Marks Entry'!BF61="","",'Marks Entry'!BF61)</f>
        <v/>
      </c>
      <c r="FA61" s="196" t="str">
        <f>IF('Marks Entry'!BG61="","",'Marks Entry'!BG61)</f>
        <v/>
      </c>
      <c r="FB61" s="596" t="str">
        <f t="shared" si="142"/>
        <v/>
      </c>
      <c r="FC61" s="196" t="str">
        <f>IF('Marks Entry'!BH61="","",'Marks Entry'!BH61)</f>
        <v/>
      </c>
      <c r="FD61" s="196" t="str">
        <f>IF('Marks Entry'!BI61="","",'Marks Entry'!BI61)</f>
        <v/>
      </c>
      <c r="FE61" s="197" t="str">
        <f t="shared" si="143"/>
        <v/>
      </c>
      <c r="FF61" s="198" t="str">
        <f t="shared" si="144"/>
        <v/>
      </c>
      <c r="FG61" s="199" t="str">
        <f>IF(AND(E61=""),"",IF('Student DATA Entry'!L57="","",'Student DATA Entry'!L57))</f>
        <v/>
      </c>
      <c r="FH61" s="200" t="str">
        <f>IF(AND(E61=""),"",IF('Student DATA Entry'!M57="","",'Student DATA Entry'!M57))</f>
        <v/>
      </c>
      <c r="FI61" s="201" t="str">
        <f t="shared" si="145"/>
        <v/>
      </c>
      <c r="FJ61" s="188" t="str">
        <f t="shared" si="146"/>
        <v/>
      </c>
      <c r="FK61" s="188" t="str">
        <f t="shared" si="147"/>
        <v/>
      </c>
      <c r="FL61" s="202" t="str">
        <f t="shared" si="178"/>
        <v/>
      </c>
      <c r="FM61" s="188" t="str">
        <f t="shared" si="148"/>
        <v/>
      </c>
      <c r="FN61" s="203" t="str">
        <f t="shared" si="149"/>
        <v/>
      </c>
      <c r="FO61" s="202" t="str">
        <f t="shared" si="179"/>
        <v/>
      </c>
      <c r="FP61" s="204" t="str">
        <f t="shared" si="150"/>
        <v/>
      </c>
      <c r="FQ61" s="188" t="str">
        <f t="shared" si="180"/>
        <v/>
      </c>
      <c r="FR61" s="188" t="str">
        <f t="shared" si="181"/>
        <v/>
      </c>
      <c r="FS61" s="188" t="str">
        <f t="shared" si="182"/>
        <v/>
      </c>
      <c r="FT61" s="188" t="str">
        <f t="shared" si="183"/>
        <v/>
      </c>
      <c r="FU61" s="188" t="str">
        <f t="shared" si="151"/>
        <v/>
      </c>
      <c r="FV61" s="205" t="str">
        <f t="shared" si="184"/>
        <v/>
      </c>
      <c r="FW61" s="204" t="str">
        <f t="shared" si="152"/>
        <v/>
      </c>
      <c r="FX61" s="188" t="str">
        <f t="shared" si="185"/>
        <v/>
      </c>
      <c r="FY61" s="188" t="str">
        <f t="shared" si="186"/>
        <v/>
      </c>
      <c r="FZ61" s="188" t="str">
        <f t="shared" si="187"/>
        <v/>
      </c>
      <c r="GA61" s="188" t="str">
        <f t="shared" si="188"/>
        <v/>
      </c>
      <c r="GB61" s="188" t="str">
        <f t="shared" si="153"/>
        <v/>
      </c>
      <c r="GC61" s="205" t="str">
        <f t="shared" si="189"/>
        <v/>
      </c>
      <c r="GD61" s="204" t="str">
        <f t="shared" si="154"/>
        <v/>
      </c>
      <c r="GE61" s="188" t="str">
        <f t="shared" si="190"/>
        <v/>
      </c>
      <c r="GF61" s="188" t="str">
        <f t="shared" si="191"/>
        <v/>
      </c>
      <c r="GG61" s="188" t="str">
        <f t="shared" si="192"/>
        <v/>
      </c>
      <c r="GH61" s="188" t="str">
        <f t="shared" si="193"/>
        <v/>
      </c>
      <c r="GI61" s="188" t="str">
        <f t="shared" si="155"/>
        <v/>
      </c>
      <c r="GJ61" s="205" t="str">
        <f t="shared" si="194"/>
        <v/>
      </c>
      <c r="GK61" s="204" t="str">
        <f t="shared" si="156"/>
        <v/>
      </c>
      <c r="GL61" s="188" t="str">
        <f t="shared" si="195"/>
        <v/>
      </c>
      <c r="GM61" s="188" t="str">
        <f t="shared" si="196"/>
        <v/>
      </c>
      <c r="GN61" s="188" t="str">
        <f t="shared" si="197"/>
        <v/>
      </c>
      <c r="GO61" s="188" t="str">
        <f t="shared" si="198"/>
        <v/>
      </c>
      <c r="GP61" s="188" t="str">
        <f t="shared" si="157"/>
        <v/>
      </c>
      <c r="GQ61" s="205" t="str">
        <f t="shared" si="199"/>
        <v/>
      </c>
      <c r="GR61" s="188" t="str">
        <f t="shared" si="158"/>
        <v/>
      </c>
      <c r="GS61" s="188" t="str">
        <f t="shared" si="159"/>
        <v/>
      </c>
      <c r="GT61" s="206" t="str">
        <f t="shared" si="177"/>
        <v xml:space="preserve">    </v>
      </c>
      <c r="GU61" s="206" t="str">
        <f t="shared" si="160"/>
        <v xml:space="preserve">    </v>
      </c>
      <c r="GV61" s="206" t="str">
        <f t="shared" si="161"/>
        <v xml:space="preserve">    </v>
      </c>
      <c r="GW61" s="206" t="str">
        <f t="shared" si="162"/>
        <v xml:space="preserve">       </v>
      </c>
      <c r="GX61" s="598" t="str">
        <f t="shared" si="163"/>
        <v xml:space="preserve">     </v>
      </c>
      <c r="GY61" s="207" t="str">
        <f t="shared" si="200"/>
        <v/>
      </c>
      <c r="GZ61" s="606" t="str">
        <f>IF(AND(Q61="",AE61="",AZ61="",BW61="",CT61=""),"",IF(AND('Master Sheet'!$D$19="YES",'Marks Entry'!$BA$1=1),SUM(Q61,AE61,AZ61,BW61,DT61),SUM(Q61,AE61,AZ61,BW61,CT61)))</f>
        <v/>
      </c>
      <c r="HA61" s="208" t="str">
        <f>IF(GZ61="","",IF(AND('Master Sheet'!$D$19="YES",'Marks Entry'!$BA$1=1),GZ61/((900)-DC61)*100,GZ61/((1000)-DC61)*100))</f>
        <v/>
      </c>
      <c r="HB61" s="611" t="str">
        <f t="shared" si="165"/>
        <v/>
      </c>
      <c r="HC61" s="609" t="str">
        <f t="shared" si="166"/>
        <v/>
      </c>
      <c r="HD61" s="610" t="str">
        <f t="shared" si="167"/>
        <v/>
      </c>
      <c r="HE61" s="209" t="str">
        <f>IFERROR(IF(OR(GY61="SUPPLEMENTARY",GY61="RE-EXAM"),'Supp. Result Entry'!AS60,""),"")</f>
        <v/>
      </c>
      <c r="HF61" s="613" t="str">
        <f t="shared" si="168"/>
        <v/>
      </c>
      <c r="HG61" s="598" t="str">
        <f t="shared" si="169"/>
        <v/>
      </c>
      <c r="HH61" s="598" t="str">
        <f>IF(AND(HE61="",HF61="",HG61=""),"",IF(OR(GY61="SUPPLEMENTARY",GY61="RE-EXAM"),'Supp. Result Entry'!AS60,GY61))</f>
        <v/>
      </c>
      <c r="HI61" s="179"/>
      <c r="HY61" s="211" t="str">
        <f>IF('Supp. Result Entry'!U60="","",'Supp. Result Entry'!$U$6)</f>
        <v/>
      </c>
      <c r="HZ61" s="212" t="str">
        <f>IF('Supp. Result Entry'!X60="","",'Supp. Result Entry'!$X$6)</f>
        <v/>
      </c>
      <c r="IA61" s="212" t="str">
        <f>IF('Supp. Result Entry'!AA60="","",'Supp. Result Entry'!$AA$6)</f>
        <v/>
      </c>
      <c r="IB61" s="212" t="str">
        <f>IF('Supp. Result Entry'!AD60="","",'Supp. Result Entry'!$AD$6)</f>
        <v/>
      </c>
      <c r="IC61" s="212" t="str">
        <f>IF('Supp. Result Entry'!AG60="","",'Supp. Result Entry'!$AG$6)</f>
        <v/>
      </c>
      <c r="ID61" s="212" t="str">
        <f>IF('Supp. Result Entry'!AJ60="","",'Supp. Result Entry'!$AJ$6)</f>
        <v/>
      </c>
      <c r="IE61" s="212" t="str">
        <f>IF('Supp. Result Entry'!V60="","",'Supp. Result Entry'!V60)</f>
        <v/>
      </c>
      <c r="IF61" s="212" t="str">
        <f>IF('Supp. Result Entry'!Y60="","",'Supp. Result Entry'!Y60)</f>
        <v/>
      </c>
      <c r="IG61" s="212" t="str">
        <f>IF('Supp. Result Entry'!AB60="","",'Supp. Result Entry'!AB60)</f>
        <v/>
      </c>
      <c r="IH61" s="212" t="str">
        <f>IF('Supp. Result Entry'!AE60="","",'Supp. Result Entry'!AE60)</f>
        <v/>
      </c>
      <c r="II61" s="212" t="str">
        <f>IF('Supp. Result Entry'!AH60="","",'Supp. Result Entry'!AH60)</f>
        <v/>
      </c>
      <c r="IJ61" s="212" t="str">
        <f>IF('Supp. Result Entry'!AK60="","",'Supp. Result Entry'!AK60)</f>
        <v/>
      </c>
      <c r="IK61" s="212" t="str">
        <f>IF('Supp. Result Entry'!W60="","",'Supp. Result Entry'!W60)</f>
        <v/>
      </c>
      <c r="IL61" s="212" t="str">
        <f>IF('Supp. Result Entry'!Z60="","",'Supp. Result Entry'!Z60)</f>
        <v/>
      </c>
      <c r="IM61" s="212" t="str">
        <f>IF('Supp. Result Entry'!AC60="","",'Supp. Result Entry'!AC60)</f>
        <v/>
      </c>
      <c r="IN61" s="212" t="str">
        <f>IF('Supp. Result Entry'!AF60="","",'Supp. Result Entry'!AF60)</f>
        <v/>
      </c>
      <c r="IO61" s="212" t="str">
        <f>IF('Supp. Result Entry'!AI60="","",'Supp. Result Entry'!AI60)</f>
        <v/>
      </c>
      <c r="IP61" s="212" t="str">
        <f>IF('Supp. Result Entry'!AL60="","",'Supp. Result Entry'!AL60)</f>
        <v/>
      </c>
      <c r="IQ61" s="212">
        <f>COUNTIF('Supp. Result Entry'!K60:Q60,"S")</f>
        <v>0</v>
      </c>
      <c r="IR61" s="212">
        <f t="shared" si="170"/>
        <v>0</v>
      </c>
      <c r="IS61" s="212">
        <f t="shared" si="171"/>
        <v>0</v>
      </c>
      <c r="IT61" s="212" t="str">
        <f t="shared" si="41"/>
        <v/>
      </c>
      <c r="IU61" s="212" t="str">
        <f t="shared" si="42"/>
        <v/>
      </c>
      <c r="IV61" s="212" t="str">
        <f t="shared" si="43"/>
        <v/>
      </c>
      <c r="IW61" s="212" t="str">
        <f t="shared" si="44"/>
        <v/>
      </c>
      <c r="IX61" s="212" t="str">
        <f t="shared" si="45"/>
        <v/>
      </c>
      <c r="IY61" s="212" t="str">
        <f t="shared" si="172"/>
        <v/>
      </c>
      <c r="IZ61" s="212" t="str">
        <f t="shared" si="173"/>
        <v/>
      </c>
      <c r="JA61" s="212" t="str">
        <f t="shared" si="46"/>
        <v/>
      </c>
      <c r="JB61" s="210" t="str">
        <f t="shared" si="174"/>
        <v/>
      </c>
    </row>
    <row r="62" spans="1:262" s="210" customFormat="1" ht="21" customHeight="1">
      <c r="A62" s="183">
        <v>55</v>
      </c>
      <c r="B62" s="184" t="str">
        <f>IF('Marks Entry'!B62="","",'Marks Entry'!B62)</f>
        <v/>
      </c>
      <c r="C62" s="185" t="str">
        <f>IF('Marks Entry'!D62="","",'Marks Entry'!D62)</f>
        <v/>
      </c>
      <c r="D62" s="186" t="str">
        <f>IF('Marks Entry'!E62="","",'Marks Entry'!E62)</f>
        <v/>
      </c>
      <c r="E62" s="187" t="str">
        <f>IF('Marks Entry'!F62="","",'Marks Entry'!F62)</f>
        <v/>
      </c>
      <c r="F62" s="187" t="str">
        <f>IF('Marks Entry'!G62="","",'Marks Entry'!G62)</f>
        <v/>
      </c>
      <c r="G62" s="187" t="str">
        <f>IF('Marks Entry'!H62="","",'Marks Entry'!H62)</f>
        <v/>
      </c>
      <c r="H62" s="188" t="str">
        <f>IF('Marks Entry'!I62="","",'Marks Entry'!I62)</f>
        <v/>
      </c>
      <c r="I62" s="189" t="str">
        <f>IF('Marks Entry'!J62="","",'Marks Entry'!J62)</f>
        <v/>
      </c>
      <c r="J62" s="545" t="str">
        <f>IF('Marks Entry'!K62="","",'Marks Entry'!K62)</f>
        <v/>
      </c>
      <c r="K62" s="545" t="str">
        <f>IF('Marks Entry'!L62="","",'Marks Entry'!L62)</f>
        <v/>
      </c>
      <c r="L62" s="545" t="str">
        <f>IF('Marks Entry'!M62="","",'Marks Entry'!M62)</f>
        <v/>
      </c>
      <c r="M62" s="546" t="str">
        <f t="shared" si="47"/>
        <v/>
      </c>
      <c r="N62" s="545" t="str">
        <f>IF('Marks Entry'!N62="","",'Marks Entry'!N62)</f>
        <v/>
      </c>
      <c r="O62" s="546" t="str">
        <f t="shared" si="48"/>
        <v/>
      </c>
      <c r="P62" s="545" t="str">
        <f>IF('Marks Entry'!O62="","",'Marks Entry'!O62)</f>
        <v/>
      </c>
      <c r="Q62" s="547" t="str">
        <f t="shared" si="49"/>
        <v/>
      </c>
      <c r="R62" s="152">
        <f t="shared" si="50"/>
        <v>0</v>
      </c>
      <c r="S62" s="152">
        <f t="shared" si="51"/>
        <v>0</v>
      </c>
      <c r="T62" s="153" t="str">
        <f t="shared" si="52"/>
        <v/>
      </c>
      <c r="U62" s="152" t="str">
        <f t="shared" si="53"/>
        <v/>
      </c>
      <c r="V62" s="152" t="str">
        <f t="shared" si="54"/>
        <v/>
      </c>
      <c r="W62" s="152" t="str">
        <f t="shared" si="55"/>
        <v/>
      </c>
      <c r="X62" s="545" t="str">
        <f>IF('Marks Entry'!P62="","",'Marks Entry'!P62)</f>
        <v/>
      </c>
      <c r="Y62" s="545" t="str">
        <f>IF('Marks Entry'!Q62="","",'Marks Entry'!Q62)</f>
        <v/>
      </c>
      <c r="Z62" s="545" t="str">
        <f>IF('Marks Entry'!R62="","",'Marks Entry'!R62)</f>
        <v/>
      </c>
      <c r="AA62" s="546" t="str">
        <f t="shared" si="56"/>
        <v/>
      </c>
      <c r="AB62" s="545" t="str">
        <f>IF('Marks Entry'!S62="","",'Marks Entry'!S62)</f>
        <v/>
      </c>
      <c r="AC62" s="546" t="str">
        <f t="shared" si="57"/>
        <v/>
      </c>
      <c r="AD62" s="545" t="str">
        <f>IF('Marks Entry'!T62="","",'Marks Entry'!T62)</f>
        <v/>
      </c>
      <c r="AE62" s="547" t="str">
        <f t="shared" si="58"/>
        <v/>
      </c>
      <c r="AF62" s="152">
        <f t="shared" si="59"/>
        <v>0</v>
      </c>
      <c r="AG62" s="152">
        <f t="shared" si="60"/>
        <v>0</v>
      </c>
      <c r="AH62" s="153" t="str">
        <f t="shared" si="61"/>
        <v/>
      </c>
      <c r="AI62" s="152" t="str">
        <f t="shared" si="62"/>
        <v/>
      </c>
      <c r="AJ62" s="152" t="str">
        <f t="shared" si="63"/>
        <v/>
      </c>
      <c r="AK62" s="152" t="str">
        <f t="shared" si="64"/>
        <v/>
      </c>
      <c r="AL62" s="573" t="str">
        <f>IF('Marks Entry'!U62="","",'Marks Entry'!U62)</f>
        <v/>
      </c>
      <c r="AM62" s="573" t="str">
        <f>IF('Marks Entry'!V62="","",'Marks Entry'!V62)</f>
        <v/>
      </c>
      <c r="AN62" s="573" t="str">
        <f>IF('Marks Entry'!W62="","",'Marks Entry'!W62)</f>
        <v/>
      </c>
      <c r="AO62" s="573" t="str">
        <f>IF('Marks Entry'!X62="","",'Marks Entry'!X62)</f>
        <v/>
      </c>
      <c r="AP62" s="572" t="str">
        <f t="shared" si="65"/>
        <v/>
      </c>
      <c r="AQ62" s="573" t="str">
        <f>IF('Marks Entry'!Y62="","",'Marks Entry'!Y62)</f>
        <v/>
      </c>
      <c r="AR62" s="573" t="str">
        <f>IF('Marks Entry'!Z62="","",'Marks Entry'!Z62)</f>
        <v/>
      </c>
      <c r="AS62" s="572" t="str">
        <f t="shared" si="66"/>
        <v/>
      </c>
      <c r="AT62" s="572" t="str">
        <f t="shared" si="67"/>
        <v/>
      </c>
      <c r="AU62" s="573" t="str">
        <f>IF('Marks Entry'!AA62="","",'Marks Entry'!AA62)</f>
        <v/>
      </c>
      <c r="AV62" s="573" t="str">
        <f>IF('Marks Entry'!AB62="","",'Marks Entry'!AB62)</f>
        <v/>
      </c>
      <c r="AW62" s="572" t="str">
        <f t="shared" si="68"/>
        <v/>
      </c>
      <c r="AX62" s="156" t="str">
        <f t="shared" si="69"/>
        <v/>
      </c>
      <c r="AY62" s="156" t="str">
        <f t="shared" si="70"/>
        <v/>
      </c>
      <c r="AZ62" s="191" t="str">
        <f t="shared" si="71"/>
        <v/>
      </c>
      <c r="BA62" s="152">
        <f t="shared" si="72"/>
        <v>0</v>
      </c>
      <c r="BB62" s="153">
        <f t="shared" si="73"/>
        <v>0</v>
      </c>
      <c r="BC62" s="153" t="str">
        <f t="shared" si="74"/>
        <v/>
      </c>
      <c r="BD62" s="153" t="str">
        <f t="shared" si="75"/>
        <v/>
      </c>
      <c r="BE62" s="153" t="str">
        <f t="shared" si="76"/>
        <v/>
      </c>
      <c r="BF62" s="152" t="str">
        <f t="shared" si="77"/>
        <v/>
      </c>
      <c r="BG62" s="153" t="str">
        <f t="shared" si="175"/>
        <v/>
      </c>
      <c r="BH62" s="152" t="str">
        <f t="shared" si="78"/>
        <v/>
      </c>
      <c r="BI62" s="580" t="str">
        <f>IF('Marks Entry'!AC62="","",'Marks Entry'!AC62)</f>
        <v/>
      </c>
      <c r="BJ62" s="580" t="str">
        <f>IF('Marks Entry'!AD62="","",'Marks Entry'!AD62)</f>
        <v/>
      </c>
      <c r="BK62" s="580" t="str">
        <f>IF('Marks Entry'!AE62="","",'Marks Entry'!AE62)</f>
        <v/>
      </c>
      <c r="BL62" s="580" t="str">
        <f>IF('Marks Entry'!AF62="","",'Marks Entry'!AF62)</f>
        <v/>
      </c>
      <c r="BM62" s="581" t="str">
        <f t="shared" si="79"/>
        <v/>
      </c>
      <c r="BN62" s="580" t="str">
        <f>IF('Marks Entry'!AG62="","",'Marks Entry'!AG62)</f>
        <v/>
      </c>
      <c r="BO62" s="580" t="str">
        <f>IF('Marks Entry'!AH62="","",'Marks Entry'!AH62)</f>
        <v/>
      </c>
      <c r="BP62" s="581" t="str">
        <f t="shared" si="80"/>
        <v/>
      </c>
      <c r="BQ62" s="581" t="str">
        <f t="shared" si="81"/>
        <v/>
      </c>
      <c r="BR62" s="580" t="str">
        <f>IF('Marks Entry'!AI62="","",'Marks Entry'!AI62)</f>
        <v/>
      </c>
      <c r="BS62" s="580" t="str">
        <f>IF('Marks Entry'!AJ62="","",'Marks Entry'!AJ62)</f>
        <v/>
      </c>
      <c r="BT62" s="581" t="str">
        <f t="shared" si="82"/>
        <v/>
      </c>
      <c r="BU62" s="156" t="str">
        <f t="shared" si="83"/>
        <v/>
      </c>
      <c r="BV62" s="156" t="str">
        <f t="shared" si="84"/>
        <v/>
      </c>
      <c r="BW62" s="191" t="str">
        <f t="shared" si="85"/>
        <v/>
      </c>
      <c r="BX62" s="152">
        <f t="shared" si="86"/>
        <v>0</v>
      </c>
      <c r="BY62" s="153">
        <f t="shared" si="87"/>
        <v>0</v>
      </c>
      <c r="BZ62" s="153" t="str">
        <f t="shared" si="88"/>
        <v/>
      </c>
      <c r="CA62" s="153" t="str">
        <f t="shared" si="89"/>
        <v/>
      </c>
      <c r="CB62" s="153" t="str">
        <f t="shared" si="90"/>
        <v/>
      </c>
      <c r="CC62" s="152" t="str">
        <f t="shared" si="91"/>
        <v/>
      </c>
      <c r="CD62" s="153" t="str">
        <f t="shared" si="92"/>
        <v/>
      </c>
      <c r="CE62" s="152" t="str">
        <f t="shared" si="93"/>
        <v/>
      </c>
      <c r="CF62" s="580" t="str">
        <f>IF('Marks Entry'!AK62="","",'Marks Entry'!AK62)</f>
        <v/>
      </c>
      <c r="CG62" s="580" t="str">
        <f>IF('Marks Entry'!AL62="","",'Marks Entry'!AL62)</f>
        <v/>
      </c>
      <c r="CH62" s="580" t="str">
        <f>IF('Marks Entry'!AM62="","",'Marks Entry'!AM62)</f>
        <v/>
      </c>
      <c r="CI62" s="580" t="str">
        <f>IF('Marks Entry'!AN62="","",'Marks Entry'!AN62)</f>
        <v/>
      </c>
      <c r="CJ62" s="581" t="str">
        <f t="shared" si="94"/>
        <v/>
      </c>
      <c r="CK62" s="580" t="str">
        <f>IF('Marks Entry'!AO62="","",'Marks Entry'!AO62)</f>
        <v/>
      </c>
      <c r="CL62" s="580" t="str">
        <f>IF('Marks Entry'!AP62="","",'Marks Entry'!AP62)</f>
        <v/>
      </c>
      <c r="CM62" s="581" t="str">
        <f t="shared" si="95"/>
        <v/>
      </c>
      <c r="CN62" s="581" t="str">
        <f t="shared" si="96"/>
        <v/>
      </c>
      <c r="CO62" s="580" t="str">
        <f>IF('Marks Entry'!AQ62="","",'Marks Entry'!AQ62)</f>
        <v/>
      </c>
      <c r="CP62" s="580" t="str">
        <f>IF('Marks Entry'!AR62="","",'Marks Entry'!AR62)</f>
        <v/>
      </c>
      <c r="CQ62" s="581" t="str">
        <f t="shared" si="97"/>
        <v/>
      </c>
      <c r="CR62" s="156" t="str">
        <f t="shared" si="98"/>
        <v/>
      </c>
      <c r="CS62" s="156" t="str">
        <f t="shared" si="99"/>
        <v/>
      </c>
      <c r="CT62" s="191" t="str">
        <f t="shared" si="100"/>
        <v/>
      </c>
      <c r="CU62" s="152">
        <f t="shared" si="101"/>
        <v>0</v>
      </c>
      <c r="CV62" s="153">
        <f t="shared" si="102"/>
        <v>0</v>
      </c>
      <c r="CW62" s="153" t="str">
        <f t="shared" si="103"/>
        <v/>
      </c>
      <c r="CX62" s="153" t="str">
        <f t="shared" si="104"/>
        <v/>
      </c>
      <c r="CY62" s="153" t="str">
        <f t="shared" si="176"/>
        <v/>
      </c>
      <c r="CZ62" s="152" t="str">
        <f t="shared" si="105"/>
        <v/>
      </c>
      <c r="DA62" s="153" t="str">
        <f t="shared" si="106"/>
        <v/>
      </c>
      <c r="DB62" s="152" t="str">
        <f t="shared" si="107"/>
        <v/>
      </c>
      <c r="DC62" s="153">
        <f t="shared" si="108"/>
        <v>0</v>
      </c>
      <c r="DD62" s="851" t="str">
        <f>IF('Marks Entry'!AS62="","",IF(OR('Master Sheet'!$D$19="YES",'Marks Entry'!$BA$1=1),'Marks Entry'!AS62,""))</f>
        <v/>
      </c>
      <c r="DE62" s="851" t="str">
        <f>IF('Marks Entry'!AT62="","",IF(OR('Master Sheet'!$D$19="YES",'Marks Entry'!$BA$1=1),'Marks Entry'!AT62,""))</f>
        <v/>
      </c>
      <c r="DF62" s="851" t="str">
        <f>IF('Marks Entry'!AU62="","",IF(OR('Master Sheet'!$D$19="YES",'Marks Entry'!$BA$1=1),'Marks Entry'!AU62,""))</f>
        <v/>
      </c>
      <c r="DG62" s="851" t="str">
        <f>IF('Marks Entry'!AV62="","",IF(OR('Master Sheet'!$D$19="YES",'Marks Entry'!$BA$1=1),'Marks Entry'!AV62,""))</f>
        <v/>
      </c>
      <c r="DH62" s="852" t="str">
        <f t="shared" si="109"/>
        <v/>
      </c>
      <c r="DI62" s="851" t="str">
        <f>IF('Marks Entry'!AW62="","",IF(OR('Master Sheet'!$D$19="YES",'Marks Entry'!$BA$1=1),'Marks Entry'!AW62,""))</f>
        <v/>
      </c>
      <c r="DJ62" s="851" t="str">
        <f>IF('Marks Entry'!AX62="","",IF(OR('Master Sheet'!$D$19="YES",'Marks Entry'!$BA$1=1),'Marks Entry'!AX62,""))</f>
        <v/>
      </c>
      <c r="DK62" s="852" t="str">
        <f t="shared" si="110"/>
        <v/>
      </c>
      <c r="DL62" s="852" t="str">
        <f t="shared" si="111"/>
        <v/>
      </c>
      <c r="DM62" s="851" t="str">
        <f>IF('Marks Entry'!AY62="","",IF(OR('Master Sheet'!$D$19="YES",'Marks Entry'!$BA$1=1),'Marks Entry'!AY62,""))</f>
        <v/>
      </c>
      <c r="DN62" s="851" t="str">
        <f>IF('Marks Entry'!AZ62="","",IF(OR('Master Sheet'!$D$19="YES",'Marks Entry'!$BA$1=1),'Marks Entry'!AZ62,""))</f>
        <v/>
      </c>
      <c r="DO62" s="851" t="str">
        <f>IF('Marks Entry'!BA62="","",IF(OR('Master Sheet'!$D$19="YES",'Marks Entry'!$BA$1=1),'Marks Entry'!BA62,""))</f>
        <v/>
      </c>
      <c r="DP62" s="852" t="str">
        <f t="shared" si="112"/>
        <v/>
      </c>
      <c r="DQ62" s="156" t="str">
        <f t="shared" si="113"/>
        <v/>
      </c>
      <c r="DR62" s="156" t="str">
        <f t="shared" si="114"/>
        <v/>
      </c>
      <c r="DS62" s="156" t="str">
        <f t="shared" si="115"/>
        <v/>
      </c>
      <c r="DT62" s="191" t="str">
        <f t="shared" si="116"/>
        <v/>
      </c>
      <c r="DU62" s="152">
        <f t="shared" si="117"/>
        <v>0</v>
      </c>
      <c r="DV62" s="153">
        <f t="shared" si="118"/>
        <v>0</v>
      </c>
      <c r="DW62" s="153" t="str">
        <f t="shared" si="119"/>
        <v/>
      </c>
      <c r="DX62" s="153" t="str">
        <f>IF(OR($B62="NSO",$B62=0,DS62=""),"",IF(AND(DJ62="",DO62=""),"",IF('Master Sheet'!$D$19="YES",$DO$6-COUNTIF(DO62,"ML")*DO$6,DS$6-(COUNTIF(DJ62,"ML")*DJ$6)-(COUNTIF(DO62,"ML")*DO$6))))</f>
        <v/>
      </c>
      <c r="DY62" s="153" t="str">
        <f>IF(OR($B62="NSO",$B62=0),"",IF(AND(DH62="",DI62="",DM62=""),"",IF(AND('Master Sheet'!$D$19="YES",'Marks Entry'!$BA$1=1),100,IF(AND(DJ62="",DO62=""),SUM(($DQ$7+$DR$7)-(DU62+DV62)),SUM(($DQ$6+$DR$6)-(DU62+DV62))))))</f>
        <v/>
      </c>
      <c r="DZ62" s="152" t="str">
        <f t="shared" si="120"/>
        <v/>
      </c>
      <c r="EA62" s="153" t="str">
        <f t="shared" si="121"/>
        <v/>
      </c>
      <c r="EB62" s="152" t="str">
        <f t="shared" si="122"/>
        <v/>
      </c>
      <c r="EC62" s="584" t="str">
        <f>IF('Marks Entry'!BB62="","",'Marks Entry'!BB62)</f>
        <v/>
      </c>
      <c r="ED62" s="584" t="str">
        <f>IF('Marks Entry'!BC62="","",'Marks Entry'!BC62)</f>
        <v/>
      </c>
      <c r="EE62" s="584" t="str">
        <f>IF('Marks Entry'!BD62="","",'Marks Entry'!BD62)</f>
        <v/>
      </c>
      <c r="EF62" s="590" t="str">
        <f t="shared" si="123"/>
        <v/>
      </c>
      <c r="EG62" s="595">
        <f t="shared" si="124"/>
        <v>0</v>
      </c>
      <c r="EH62" s="595">
        <f t="shared" si="125"/>
        <v>0</v>
      </c>
      <c r="EI62" s="192" t="str">
        <f t="shared" si="126"/>
        <v/>
      </c>
      <c r="EJ62" s="595" t="str">
        <f t="shared" si="127"/>
        <v/>
      </c>
      <c r="EK62" s="595" t="str">
        <f t="shared" si="128"/>
        <v/>
      </c>
      <c r="EL62" s="193" t="str">
        <f t="shared" si="129"/>
        <v/>
      </c>
      <c r="EM62" s="193" t="str">
        <f t="shared" si="130"/>
        <v/>
      </c>
      <c r="EN62" s="193" t="str">
        <f t="shared" si="131"/>
        <v/>
      </c>
      <c r="EO62" s="193" t="str">
        <f t="shared" si="132"/>
        <v/>
      </c>
      <c r="EP62" s="193" t="str">
        <f t="shared" si="133"/>
        <v/>
      </c>
      <c r="EQ62" s="193" t="str">
        <f t="shared" si="134"/>
        <v/>
      </c>
      <c r="ER62" s="194">
        <f t="shared" si="135"/>
        <v>0</v>
      </c>
      <c r="ES62" s="194">
        <f t="shared" si="136"/>
        <v>0</v>
      </c>
      <c r="ET62" s="194">
        <f t="shared" si="137"/>
        <v>0</v>
      </c>
      <c r="EU62" s="194">
        <f t="shared" si="138"/>
        <v>0</v>
      </c>
      <c r="EV62" s="194">
        <f t="shared" si="139"/>
        <v>0</v>
      </c>
      <c r="EW62" s="194" t="str">
        <f t="shared" si="140"/>
        <v/>
      </c>
      <c r="EX62" s="195" t="str">
        <f t="shared" si="141"/>
        <v/>
      </c>
      <c r="EY62" s="196" t="str">
        <f>IF('Marks Entry'!BE62="","",'Marks Entry'!BE62)</f>
        <v/>
      </c>
      <c r="EZ62" s="196" t="str">
        <f>IF('Marks Entry'!BF62="","",'Marks Entry'!BF62)</f>
        <v/>
      </c>
      <c r="FA62" s="196" t="str">
        <f>IF('Marks Entry'!BG62="","",'Marks Entry'!BG62)</f>
        <v/>
      </c>
      <c r="FB62" s="596" t="str">
        <f t="shared" si="142"/>
        <v/>
      </c>
      <c r="FC62" s="196" t="str">
        <f>IF('Marks Entry'!BH62="","",'Marks Entry'!BH62)</f>
        <v/>
      </c>
      <c r="FD62" s="196" t="str">
        <f>IF('Marks Entry'!BI62="","",'Marks Entry'!BI62)</f>
        <v/>
      </c>
      <c r="FE62" s="197" t="str">
        <f t="shared" si="143"/>
        <v/>
      </c>
      <c r="FF62" s="198" t="str">
        <f t="shared" si="144"/>
        <v/>
      </c>
      <c r="FG62" s="199" t="str">
        <f>IF(AND(E62=""),"",IF('Student DATA Entry'!L58="","",'Student DATA Entry'!L58))</f>
        <v/>
      </c>
      <c r="FH62" s="200" t="str">
        <f>IF(AND(E62=""),"",IF('Student DATA Entry'!M58="","",'Student DATA Entry'!M58))</f>
        <v/>
      </c>
      <c r="FI62" s="201" t="str">
        <f t="shared" si="145"/>
        <v/>
      </c>
      <c r="FJ62" s="188" t="str">
        <f t="shared" si="146"/>
        <v/>
      </c>
      <c r="FK62" s="188" t="str">
        <f t="shared" si="147"/>
        <v/>
      </c>
      <c r="FL62" s="202" t="str">
        <f t="shared" si="178"/>
        <v/>
      </c>
      <c r="FM62" s="188" t="str">
        <f t="shared" si="148"/>
        <v/>
      </c>
      <c r="FN62" s="203" t="str">
        <f t="shared" si="149"/>
        <v/>
      </c>
      <c r="FO62" s="202" t="str">
        <f t="shared" si="179"/>
        <v/>
      </c>
      <c r="FP62" s="204" t="str">
        <f t="shared" si="150"/>
        <v/>
      </c>
      <c r="FQ62" s="188" t="str">
        <f t="shared" si="180"/>
        <v/>
      </c>
      <c r="FR62" s="188" t="str">
        <f t="shared" si="181"/>
        <v/>
      </c>
      <c r="FS62" s="188" t="str">
        <f t="shared" si="182"/>
        <v/>
      </c>
      <c r="FT62" s="188" t="str">
        <f t="shared" si="183"/>
        <v/>
      </c>
      <c r="FU62" s="188" t="str">
        <f t="shared" si="151"/>
        <v/>
      </c>
      <c r="FV62" s="205" t="str">
        <f t="shared" si="184"/>
        <v/>
      </c>
      <c r="FW62" s="204" t="str">
        <f t="shared" si="152"/>
        <v/>
      </c>
      <c r="FX62" s="188" t="str">
        <f t="shared" si="185"/>
        <v/>
      </c>
      <c r="FY62" s="188" t="str">
        <f t="shared" si="186"/>
        <v/>
      </c>
      <c r="FZ62" s="188" t="str">
        <f t="shared" si="187"/>
        <v/>
      </c>
      <c r="GA62" s="188" t="str">
        <f t="shared" si="188"/>
        <v/>
      </c>
      <c r="GB62" s="188" t="str">
        <f t="shared" si="153"/>
        <v/>
      </c>
      <c r="GC62" s="205" t="str">
        <f t="shared" si="189"/>
        <v/>
      </c>
      <c r="GD62" s="204" t="str">
        <f t="shared" si="154"/>
        <v/>
      </c>
      <c r="GE62" s="188" t="str">
        <f t="shared" si="190"/>
        <v/>
      </c>
      <c r="GF62" s="188" t="str">
        <f t="shared" si="191"/>
        <v/>
      </c>
      <c r="GG62" s="188" t="str">
        <f t="shared" si="192"/>
        <v/>
      </c>
      <c r="GH62" s="188" t="str">
        <f t="shared" si="193"/>
        <v/>
      </c>
      <c r="GI62" s="188" t="str">
        <f t="shared" si="155"/>
        <v/>
      </c>
      <c r="GJ62" s="205" t="str">
        <f t="shared" si="194"/>
        <v/>
      </c>
      <c r="GK62" s="204" t="str">
        <f t="shared" si="156"/>
        <v/>
      </c>
      <c r="GL62" s="188" t="str">
        <f t="shared" si="195"/>
        <v/>
      </c>
      <c r="GM62" s="188" t="str">
        <f t="shared" si="196"/>
        <v/>
      </c>
      <c r="GN62" s="188" t="str">
        <f t="shared" si="197"/>
        <v/>
      </c>
      <c r="GO62" s="188" t="str">
        <f t="shared" si="198"/>
        <v/>
      </c>
      <c r="GP62" s="188" t="str">
        <f t="shared" si="157"/>
        <v/>
      </c>
      <c r="GQ62" s="205" t="str">
        <f t="shared" si="199"/>
        <v/>
      </c>
      <c r="GR62" s="188" t="str">
        <f t="shared" si="158"/>
        <v/>
      </c>
      <c r="GS62" s="188" t="str">
        <f t="shared" si="159"/>
        <v/>
      </c>
      <c r="GT62" s="206" t="str">
        <f t="shared" si="177"/>
        <v xml:space="preserve">    </v>
      </c>
      <c r="GU62" s="206" t="str">
        <f t="shared" si="160"/>
        <v xml:space="preserve">    </v>
      </c>
      <c r="GV62" s="206" t="str">
        <f t="shared" si="161"/>
        <v xml:space="preserve">    </v>
      </c>
      <c r="GW62" s="206" t="str">
        <f t="shared" si="162"/>
        <v xml:space="preserve">       </v>
      </c>
      <c r="GX62" s="598" t="str">
        <f t="shared" si="163"/>
        <v xml:space="preserve">     </v>
      </c>
      <c r="GY62" s="207" t="str">
        <f t="shared" si="200"/>
        <v/>
      </c>
      <c r="GZ62" s="606" t="str">
        <f>IF(AND(Q62="",AE62="",AZ62="",BW62="",CT62=""),"",IF(AND('Master Sheet'!$D$19="YES",'Marks Entry'!$BA$1=1),SUM(Q62,AE62,AZ62,BW62,DT62),SUM(Q62,AE62,AZ62,BW62,CT62)))</f>
        <v/>
      </c>
      <c r="HA62" s="208" t="str">
        <f>IF(GZ62="","",IF(AND('Master Sheet'!$D$19="YES",'Marks Entry'!$BA$1=1),GZ62/((900)-DC62)*100,GZ62/((1000)-DC62)*100))</f>
        <v/>
      </c>
      <c r="HB62" s="611" t="str">
        <f t="shared" si="165"/>
        <v/>
      </c>
      <c r="HC62" s="609" t="str">
        <f t="shared" si="166"/>
        <v/>
      </c>
      <c r="HD62" s="610" t="str">
        <f t="shared" si="167"/>
        <v/>
      </c>
      <c r="HE62" s="209" t="str">
        <f>IFERROR(IF(OR(GY62="SUPPLEMENTARY",GY62="RE-EXAM"),'Supp. Result Entry'!AS61,""),"")</f>
        <v/>
      </c>
      <c r="HF62" s="613" t="str">
        <f t="shared" si="168"/>
        <v/>
      </c>
      <c r="HG62" s="598" t="str">
        <f t="shared" si="169"/>
        <v/>
      </c>
      <c r="HH62" s="598" t="str">
        <f>IF(AND(HE62="",HF62="",HG62=""),"",IF(OR(GY62="SUPPLEMENTARY",GY62="RE-EXAM"),'Supp. Result Entry'!AS61,GY62))</f>
        <v/>
      </c>
      <c r="HI62" s="179"/>
      <c r="HY62" s="211" t="str">
        <f>IF('Supp. Result Entry'!U61="","",'Supp. Result Entry'!$U$6)</f>
        <v/>
      </c>
      <c r="HZ62" s="212" t="str">
        <f>IF('Supp. Result Entry'!X61="","",'Supp. Result Entry'!$X$6)</f>
        <v/>
      </c>
      <c r="IA62" s="212" t="str">
        <f>IF('Supp. Result Entry'!AA61="","",'Supp. Result Entry'!$AA$6)</f>
        <v/>
      </c>
      <c r="IB62" s="212" t="str">
        <f>IF('Supp. Result Entry'!AD61="","",'Supp. Result Entry'!$AD$6)</f>
        <v/>
      </c>
      <c r="IC62" s="212" t="str">
        <f>IF('Supp. Result Entry'!AG61="","",'Supp. Result Entry'!$AG$6)</f>
        <v/>
      </c>
      <c r="ID62" s="212" t="str">
        <f>IF('Supp. Result Entry'!AJ61="","",'Supp. Result Entry'!$AJ$6)</f>
        <v/>
      </c>
      <c r="IE62" s="212" t="str">
        <f>IF('Supp. Result Entry'!V61="","",'Supp. Result Entry'!V61)</f>
        <v/>
      </c>
      <c r="IF62" s="212" t="str">
        <f>IF('Supp. Result Entry'!Y61="","",'Supp. Result Entry'!Y61)</f>
        <v/>
      </c>
      <c r="IG62" s="212" t="str">
        <f>IF('Supp. Result Entry'!AB61="","",'Supp. Result Entry'!AB61)</f>
        <v/>
      </c>
      <c r="IH62" s="212" t="str">
        <f>IF('Supp. Result Entry'!AE61="","",'Supp. Result Entry'!AE61)</f>
        <v/>
      </c>
      <c r="II62" s="212" t="str">
        <f>IF('Supp. Result Entry'!AH61="","",'Supp. Result Entry'!AH61)</f>
        <v/>
      </c>
      <c r="IJ62" s="212" t="str">
        <f>IF('Supp. Result Entry'!AK61="","",'Supp. Result Entry'!AK61)</f>
        <v/>
      </c>
      <c r="IK62" s="212" t="str">
        <f>IF('Supp. Result Entry'!W61="","",'Supp. Result Entry'!W61)</f>
        <v/>
      </c>
      <c r="IL62" s="212" t="str">
        <f>IF('Supp. Result Entry'!Z61="","",'Supp. Result Entry'!Z61)</f>
        <v/>
      </c>
      <c r="IM62" s="212" t="str">
        <f>IF('Supp. Result Entry'!AC61="","",'Supp. Result Entry'!AC61)</f>
        <v/>
      </c>
      <c r="IN62" s="212" t="str">
        <f>IF('Supp. Result Entry'!AF61="","",'Supp. Result Entry'!AF61)</f>
        <v/>
      </c>
      <c r="IO62" s="212" t="str">
        <f>IF('Supp. Result Entry'!AI61="","",'Supp. Result Entry'!AI61)</f>
        <v/>
      </c>
      <c r="IP62" s="212" t="str">
        <f>IF('Supp. Result Entry'!AL61="","",'Supp. Result Entry'!AL61)</f>
        <v/>
      </c>
      <c r="IQ62" s="212">
        <f>COUNTIF('Supp. Result Entry'!K61:Q61,"S")</f>
        <v>0</v>
      </c>
      <c r="IR62" s="212">
        <f t="shared" si="170"/>
        <v>0</v>
      </c>
      <c r="IS62" s="212">
        <f t="shared" si="171"/>
        <v>0</v>
      </c>
      <c r="IT62" s="212" t="str">
        <f t="shared" si="41"/>
        <v/>
      </c>
      <c r="IU62" s="212" t="str">
        <f t="shared" si="42"/>
        <v/>
      </c>
      <c r="IV62" s="212" t="str">
        <f t="shared" si="43"/>
        <v/>
      </c>
      <c r="IW62" s="212" t="str">
        <f t="shared" si="44"/>
        <v/>
      </c>
      <c r="IX62" s="212" t="str">
        <f t="shared" si="45"/>
        <v/>
      </c>
      <c r="IY62" s="212" t="str">
        <f t="shared" si="172"/>
        <v/>
      </c>
      <c r="IZ62" s="212" t="str">
        <f t="shared" si="173"/>
        <v/>
      </c>
      <c r="JA62" s="212" t="str">
        <f t="shared" si="46"/>
        <v/>
      </c>
      <c r="JB62" s="210" t="str">
        <f t="shared" si="174"/>
        <v/>
      </c>
    </row>
    <row r="63" spans="1:262" s="210" customFormat="1" ht="21" customHeight="1">
      <c r="A63" s="183">
        <v>56</v>
      </c>
      <c r="B63" s="184" t="str">
        <f>IF('Marks Entry'!B63="","",'Marks Entry'!B63)</f>
        <v/>
      </c>
      <c r="C63" s="185" t="str">
        <f>IF('Marks Entry'!D63="","",'Marks Entry'!D63)</f>
        <v/>
      </c>
      <c r="D63" s="186" t="str">
        <f>IF('Marks Entry'!E63="","",'Marks Entry'!E63)</f>
        <v/>
      </c>
      <c r="E63" s="187" t="str">
        <f>IF('Marks Entry'!F63="","",'Marks Entry'!F63)</f>
        <v/>
      </c>
      <c r="F63" s="187" t="str">
        <f>IF('Marks Entry'!G63="","",'Marks Entry'!G63)</f>
        <v/>
      </c>
      <c r="G63" s="187" t="str">
        <f>IF('Marks Entry'!H63="","",'Marks Entry'!H63)</f>
        <v/>
      </c>
      <c r="H63" s="188" t="str">
        <f>IF('Marks Entry'!I63="","",'Marks Entry'!I63)</f>
        <v/>
      </c>
      <c r="I63" s="189" t="str">
        <f>IF('Marks Entry'!J63="","",'Marks Entry'!J63)</f>
        <v/>
      </c>
      <c r="J63" s="545" t="str">
        <f>IF('Marks Entry'!K63="","",'Marks Entry'!K63)</f>
        <v/>
      </c>
      <c r="K63" s="545" t="str">
        <f>IF('Marks Entry'!L63="","",'Marks Entry'!L63)</f>
        <v/>
      </c>
      <c r="L63" s="545" t="str">
        <f>IF('Marks Entry'!M63="","",'Marks Entry'!M63)</f>
        <v/>
      </c>
      <c r="M63" s="546" t="str">
        <f t="shared" si="47"/>
        <v/>
      </c>
      <c r="N63" s="545" t="str">
        <f>IF('Marks Entry'!N63="","",'Marks Entry'!N63)</f>
        <v/>
      </c>
      <c r="O63" s="546" t="str">
        <f t="shared" si="48"/>
        <v/>
      </c>
      <c r="P63" s="545" t="str">
        <f>IF('Marks Entry'!O63="","",'Marks Entry'!O63)</f>
        <v/>
      </c>
      <c r="Q63" s="547" t="str">
        <f t="shared" si="49"/>
        <v/>
      </c>
      <c r="R63" s="152">
        <f t="shared" si="50"/>
        <v>0</v>
      </c>
      <c r="S63" s="152">
        <f t="shared" si="51"/>
        <v>0</v>
      </c>
      <c r="T63" s="153" t="str">
        <f t="shared" si="52"/>
        <v/>
      </c>
      <c r="U63" s="152" t="str">
        <f t="shared" si="53"/>
        <v/>
      </c>
      <c r="V63" s="152" t="str">
        <f t="shared" si="54"/>
        <v/>
      </c>
      <c r="W63" s="152" t="str">
        <f t="shared" si="55"/>
        <v/>
      </c>
      <c r="X63" s="545" t="str">
        <f>IF('Marks Entry'!P63="","",'Marks Entry'!P63)</f>
        <v/>
      </c>
      <c r="Y63" s="545" t="str">
        <f>IF('Marks Entry'!Q63="","",'Marks Entry'!Q63)</f>
        <v/>
      </c>
      <c r="Z63" s="545" t="str">
        <f>IF('Marks Entry'!R63="","",'Marks Entry'!R63)</f>
        <v/>
      </c>
      <c r="AA63" s="546" t="str">
        <f t="shared" si="56"/>
        <v/>
      </c>
      <c r="AB63" s="545" t="str">
        <f>IF('Marks Entry'!S63="","",'Marks Entry'!S63)</f>
        <v/>
      </c>
      <c r="AC63" s="546" t="str">
        <f t="shared" si="57"/>
        <v/>
      </c>
      <c r="AD63" s="545" t="str">
        <f>IF('Marks Entry'!T63="","",'Marks Entry'!T63)</f>
        <v/>
      </c>
      <c r="AE63" s="547" t="str">
        <f t="shared" si="58"/>
        <v/>
      </c>
      <c r="AF63" s="152">
        <f t="shared" si="59"/>
        <v>0</v>
      </c>
      <c r="AG63" s="152">
        <f t="shared" si="60"/>
        <v>0</v>
      </c>
      <c r="AH63" s="153" t="str">
        <f t="shared" si="61"/>
        <v/>
      </c>
      <c r="AI63" s="152" t="str">
        <f t="shared" si="62"/>
        <v/>
      </c>
      <c r="AJ63" s="152" t="str">
        <f t="shared" si="63"/>
        <v/>
      </c>
      <c r="AK63" s="152" t="str">
        <f t="shared" si="64"/>
        <v/>
      </c>
      <c r="AL63" s="573" t="str">
        <f>IF('Marks Entry'!U63="","",'Marks Entry'!U63)</f>
        <v/>
      </c>
      <c r="AM63" s="573" t="str">
        <f>IF('Marks Entry'!V63="","",'Marks Entry'!V63)</f>
        <v/>
      </c>
      <c r="AN63" s="573" t="str">
        <f>IF('Marks Entry'!W63="","",'Marks Entry'!W63)</f>
        <v/>
      </c>
      <c r="AO63" s="573" t="str">
        <f>IF('Marks Entry'!X63="","",'Marks Entry'!X63)</f>
        <v/>
      </c>
      <c r="AP63" s="572" t="str">
        <f t="shared" si="65"/>
        <v/>
      </c>
      <c r="AQ63" s="573" t="str">
        <f>IF('Marks Entry'!Y63="","",'Marks Entry'!Y63)</f>
        <v/>
      </c>
      <c r="AR63" s="573" t="str">
        <f>IF('Marks Entry'!Z63="","",'Marks Entry'!Z63)</f>
        <v/>
      </c>
      <c r="AS63" s="572" t="str">
        <f t="shared" si="66"/>
        <v/>
      </c>
      <c r="AT63" s="572" t="str">
        <f t="shared" si="67"/>
        <v/>
      </c>
      <c r="AU63" s="573" t="str">
        <f>IF('Marks Entry'!AA63="","",'Marks Entry'!AA63)</f>
        <v/>
      </c>
      <c r="AV63" s="573" t="str">
        <f>IF('Marks Entry'!AB63="","",'Marks Entry'!AB63)</f>
        <v/>
      </c>
      <c r="AW63" s="572" t="str">
        <f t="shared" si="68"/>
        <v/>
      </c>
      <c r="AX63" s="156" t="str">
        <f t="shared" si="69"/>
        <v/>
      </c>
      <c r="AY63" s="156" t="str">
        <f t="shared" si="70"/>
        <v/>
      </c>
      <c r="AZ63" s="191" t="str">
        <f t="shared" si="71"/>
        <v/>
      </c>
      <c r="BA63" s="152">
        <f t="shared" si="72"/>
        <v>0</v>
      </c>
      <c r="BB63" s="153">
        <f t="shared" si="73"/>
        <v>0</v>
      </c>
      <c r="BC63" s="153" t="str">
        <f t="shared" si="74"/>
        <v/>
      </c>
      <c r="BD63" s="153" t="str">
        <f t="shared" si="75"/>
        <v/>
      </c>
      <c r="BE63" s="153" t="str">
        <f t="shared" si="76"/>
        <v/>
      </c>
      <c r="BF63" s="152" t="str">
        <f t="shared" si="77"/>
        <v/>
      </c>
      <c r="BG63" s="153" t="str">
        <f t="shared" si="175"/>
        <v/>
      </c>
      <c r="BH63" s="152" t="str">
        <f t="shared" si="78"/>
        <v/>
      </c>
      <c r="BI63" s="580" t="str">
        <f>IF('Marks Entry'!AC63="","",'Marks Entry'!AC63)</f>
        <v/>
      </c>
      <c r="BJ63" s="580" t="str">
        <f>IF('Marks Entry'!AD63="","",'Marks Entry'!AD63)</f>
        <v/>
      </c>
      <c r="BK63" s="580" t="str">
        <f>IF('Marks Entry'!AE63="","",'Marks Entry'!AE63)</f>
        <v/>
      </c>
      <c r="BL63" s="580" t="str">
        <f>IF('Marks Entry'!AF63="","",'Marks Entry'!AF63)</f>
        <v/>
      </c>
      <c r="BM63" s="581" t="str">
        <f t="shared" si="79"/>
        <v/>
      </c>
      <c r="BN63" s="580" t="str">
        <f>IF('Marks Entry'!AG63="","",'Marks Entry'!AG63)</f>
        <v/>
      </c>
      <c r="BO63" s="580" t="str">
        <f>IF('Marks Entry'!AH63="","",'Marks Entry'!AH63)</f>
        <v/>
      </c>
      <c r="BP63" s="581" t="str">
        <f t="shared" si="80"/>
        <v/>
      </c>
      <c r="BQ63" s="581" t="str">
        <f t="shared" si="81"/>
        <v/>
      </c>
      <c r="BR63" s="580" t="str">
        <f>IF('Marks Entry'!AI63="","",'Marks Entry'!AI63)</f>
        <v/>
      </c>
      <c r="BS63" s="580" t="str">
        <f>IF('Marks Entry'!AJ63="","",'Marks Entry'!AJ63)</f>
        <v/>
      </c>
      <c r="BT63" s="581" t="str">
        <f t="shared" si="82"/>
        <v/>
      </c>
      <c r="BU63" s="156" t="str">
        <f t="shared" si="83"/>
        <v/>
      </c>
      <c r="BV63" s="156" t="str">
        <f t="shared" si="84"/>
        <v/>
      </c>
      <c r="BW63" s="191" t="str">
        <f t="shared" si="85"/>
        <v/>
      </c>
      <c r="BX63" s="152">
        <f t="shared" si="86"/>
        <v>0</v>
      </c>
      <c r="BY63" s="153">
        <f t="shared" si="87"/>
        <v>0</v>
      </c>
      <c r="BZ63" s="153" t="str">
        <f t="shared" si="88"/>
        <v/>
      </c>
      <c r="CA63" s="153" t="str">
        <f t="shared" si="89"/>
        <v/>
      </c>
      <c r="CB63" s="153" t="str">
        <f t="shared" si="90"/>
        <v/>
      </c>
      <c r="CC63" s="152" t="str">
        <f t="shared" si="91"/>
        <v/>
      </c>
      <c r="CD63" s="153" t="str">
        <f t="shared" si="92"/>
        <v/>
      </c>
      <c r="CE63" s="152" t="str">
        <f t="shared" si="93"/>
        <v/>
      </c>
      <c r="CF63" s="580" t="str">
        <f>IF('Marks Entry'!AK63="","",'Marks Entry'!AK63)</f>
        <v/>
      </c>
      <c r="CG63" s="580" t="str">
        <f>IF('Marks Entry'!AL63="","",'Marks Entry'!AL63)</f>
        <v/>
      </c>
      <c r="CH63" s="580" t="str">
        <f>IF('Marks Entry'!AM63="","",'Marks Entry'!AM63)</f>
        <v/>
      </c>
      <c r="CI63" s="580" t="str">
        <f>IF('Marks Entry'!AN63="","",'Marks Entry'!AN63)</f>
        <v/>
      </c>
      <c r="CJ63" s="581" t="str">
        <f t="shared" si="94"/>
        <v/>
      </c>
      <c r="CK63" s="580" t="str">
        <f>IF('Marks Entry'!AO63="","",'Marks Entry'!AO63)</f>
        <v/>
      </c>
      <c r="CL63" s="580" t="str">
        <f>IF('Marks Entry'!AP63="","",'Marks Entry'!AP63)</f>
        <v/>
      </c>
      <c r="CM63" s="581" t="str">
        <f t="shared" si="95"/>
        <v/>
      </c>
      <c r="CN63" s="581" t="str">
        <f t="shared" si="96"/>
        <v/>
      </c>
      <c r="CO63" s="580" t="str">
        <f>IF('Marks Entry'!AQ63="","",'Marks Entry'!AQ63)</f>
        <v/>
      </c>
      <c r="CP63" s="580" t="str">
        <f>IF('Marks Entry'!AR63="","",'Marks Entry'!AR63)</f>
        <v/>
      </c>
      <c r="CQ63" s="581" t="str">
        <f t="shared" si="97"/>
        <v/>
      </c>
      <c r="CR63" s="156" t="str">
        <f t="shared" si="98"/>
        <v/>
      </c>
      <c r="CS63" s="156" t="str">
        <f t="shared" si="99"/>
        <v/>
      </c>
      <c r="CT63" s="191" t="str">
        <f t="shared" si="100"/>
        <v/>
      </c>
      <c r="CU63" s="152">
        <f t="shared" si="101"/>
        <v>0</v>
      </c>
      <c r="CV63" s="153">
        <f t="shared" si="102"/>
        <v>0</v>
      </c>
      <c r="CW63" s="153" t="str">
        <f t="shared" si="103"/>
        <v/>
      </c>
      <c r="CX63" s="153" t="str">
        <f t="shared" si="104"/>
        <v/>
      </c>
      <c r="CY63" s="153" t="str">
        <f t="shared" si="176"/>
        <v/>
      </c>
      <c r="CZ63" s="152" t="str">
        <f t="shared" si="105"/>
        <v/>
      </c>
      <c r="DA63" s="153" t="str">
        <f t="shared" si="106"/>
        <v/>
      </c>
      <c r="DB63" s="152" t="str">
        <f t="shared" si="107"/>
        <v/>
      </c>
      <c r="DC63" s="153">
        <f t="shared" si="108"/>
        <v>0</v>
      </c>
      <c r="DD63" s="851" t="str">
        <f>IF('Marks Entry'!AS63="","",IF(OR('Master Sheet'!$D$19="YES",'Marks Entry'!$BA$1=1),'Marks Entry'!AS63,""))</f>
        <v/>
      </c>
      <c r="DE63" s="851" t="str">
        <f>IF('Marks Entry'!AT63="","",IF(OR('Master Sheet'!$D$19="YES",'Marks Entry'!$BA$1=1),'Marks Entry'!AT63,""))</f>
        <v/>
      </c>
      <c r="DF63" s="851" t="str">
        <f>IF('Marks Entry'!AU63="","",IF(OR('Master Sheet'!$D$19="YES",'Marks Entry'!$BA$1=1),'Marks Entry'!AU63,""))</f>
        <v/>
      </c>
      <c r="DG63" s="851" t="str">
        <f>IF('Marks Entry'!AV63="","",IF(OR('Master Sheet'!$D$19="YES",'Marks Entry'!$BA$1=1),'Marks Entry'!AV63,""))</f>
        <v/>
      </c>
      <c r="DH63" s="852" t="str">
        <f t="shared" si="109"/>
        <v/>
      </c>
      <c r="DI63" s="851" t="str">
        <f>IF('Marks Entry'!AW63="","",IF(OR('Master Sheet'!$D$19="YES",'Marks Entry'!$BA$1=1),'Marks Entry'!AW63,""))</f>
        <v/>
      </c>
      <c r="DJ63" s="851" t="str">
        <f>IF('Marks Entry'!AX63="","",IF(OR('Master Sheet'!$D$19="YES",'Marks Entry'!$BA$1=1),'Marks Entry'!AX63,""))</f>
        <v/>
      </c>
      <c r="DK63" s="852" t="str">
        <f t="shared" si="110"/>
        <v/>
      </c>
      <c r="DL63" s="852" t="str">
        <f t="shared" si="111"/>
        <v/>
      </c>
      <c r="DM63" s="851" t="str">
        <f>IF('Marks Entry'!AY63="","",IF(OR('Master Sheet'!$D$19="YES",'Marks Entry'!$BA$1=1),'Marks Entry'!AY63,""))</f>
        <v/>
      </c>
      <c r="DN63" s="851" t="str">
        <f>IF('Marks Entry'!AZ63="","",IF(OR('Master Sheet'!$D$19="YES",'Marks Entry'!$BA$1=1),'Marks Entry'!AZ63,""))</f>
        <v/>
      </c>
      <c r="DO63" s="851" t="str">
        <f>IF('Marks Entry'!BA63="","",IF(OR('Master Sheet'!$D$19="YES",'Marks Entry'!$BA$1=1),'Marks Entry'!BA63,""))</f>
        <v/>
      </c>
      <c r="DP63" s="852" t="str">
        <f t="shared" si="112"/>
        <v/>
      </c>
      <c r="DQ63" s="156" t="str">
        <f t="shared" si="113"/>
        <v/>
      </c>
      <c r="DR63" s="156" t="str">
        <f t="shared" si="114"/>
        <v/>
      </c>
      <c r="DS63" s="156" t="str">
        <f t="shared" si="115"/>
        <v/>
      </c>
      <c r="DT63" s="191" t="str">
        <f t="shared" si="116"/>
        <v/>
      </c>
      <c r="DU63" s="152">
        <f t="shared" si="117"/>
        <v>0</v>
      </c>
      <c r="DV63" s="153">
        <f t="shared" si="118"/>
        <v>0</v>
      </c>
      <c r="DW63" s="153" t="str">
        <f t="shared" si="119"/>
        <v/>
      </c>
      <c r="DX63" s="153" t="str">
        <f>IF(OR($B63="NSO",$B63=0,DS63=""),"",IF(AND(DJ63="",DO63=""),"",IF('Master Sheet'!$D$19="YES",$DO$6-COUNTIF(DO63,"ML")*DO$6,DS$6-(COUNTIF(DJ63,"ML")*DJ$6)-(COUNTIF(DO63,"ML")*DO$6))))</f>
        <v/>
      </c>
      <c r="DY63" s="153" t="str">
        <f>IF(OR($B63="NSO",$B63=0),"",IF(AND(DH63="",DI63="",DM63=""),"",IF(AND('Master Sheet'!$D$19="YES",'Marks Entry'!$BA$1=1),100,IF(AND(DJ63="",DO63=""),SUM(($DQ$7+$DR$7)-(DU63+DV63)),SUM(($DQ$6+$DR$6)-(DU63+DV63))))))</f>
        <v/>
      </c>
      <c r="DZ63" s="152" t="str">
        <f t="shared" si="120"/>
        <v/>
      </c>
      <c r="EA63" s="153" t="str">
        <f t="shared" si="121"/>
        <v/>
      </c>
      <c r="EB63" s="152" t="str">
        <f t="shared" si="122"/>
        <v/>
      </c>
      <c r="EC63" s="584" t="str">
        <f>IF('Marks Entry'!BB63="","",'Marks Entry'!BB63)</f>
        <v/>
      </c>
      <c r="ED63" s="584" t="str">
        <f>IF('Marks Entry'!BC63="","",'Marks Entry'!BC63)</f>
        <v/>
      </c>
      <c r="EE63" s="584" t="str">
        <f>IF('Marks Entry'!BD63="","",'Marks Entry'!BD63)</f>
        <v/>
      </c>
      <c r="EF63" s="590" t="str">
        <f t="shared" si="123"/>
        <v/>
      </c>
      <c r="EG63" s="595">
        <f t="shared" si="124"/>
        <v>0</v>
      </c>
      <c r="EH63" s="595">
        <f t="shared" si="125"/>
        <v>0</v>
      </c>
      <c r="EI63" s="192" t="str">
        <f t="shared" si="126"/>
        <v/>
      </c>
      <c r="EJ63" s="595" t="str">
        <f t="shared" si="127"/>
        <v/>
      </c>
      <c r="EK63" s="595" t="str">
        <f t="shared" si="128"/>
        <v/>
      </c>
      <c r="EL63" s="193" t="str">
        <f t="shared" si="129"/>
        <v/>
      </c>
      <c r="EM63" s="193" t="str">
        <f t="shared" si="130"/>
        <v/>
      </c>
      <c r="EN63" s="193" t="str">
        <f t="shared" si="131"/>
        <v/>
      </c>
      <c r="EO63" s="193" t="str">
        <f t="shared" si="132"/>
        <v/>
      </c>
      <c r="EP63" s="193" t="str">
        <f t="shared" si="133"/>
        <v/>
      </c>
      <c r="EQ63" s="193" t="str">
        <f t="shared" si="134"/>
        <v/>
      </c>
      <c r="ER63" s="194">
        <f t="shared" si="135"/>
        <v>0</v>
      </c>
      <c r="ES63" s="194">
        <f t="shared" si="136"/>
        <v>0</v>
      </c>
      <c r="ET63" s="194">
        <f t="shared" si="137"/>
        <v>0</v>
      </c>
      <c r="EU63" s="194">
        <f t="shared" si="138"/>
        <v>0</v>
      </c>
      <c r="EV63" s="194">
        <f t="shared" si="139"/>
        <v>0</v>
      </c>
      <c r="EW63" s="194" t="str">
        <f t="shared" si="140"/>
        <v/>
      </c>
      <c r="EX63" s="195" t="str">
        <f t="shared" si="141"/>
        <v/>
      </c>
      <c r="EY63" s="196" t="str">
        <f>IF('Marks Entry'!BE63="","",'Marks Entry'!BE63)</f>
        <v/>
      </c>
      <c r="EZ63" s="196" t="str">
        <f>IF('Marks Entry'!BF63="","",'Marks Entry'!BF63)</f>
        <v/>
      </c>
      <c r="FA63" s="196" t="str">
        <f>IF('Marks Entry'!BG63="","",'Marks Entry'!BG63)</f>
        <v/>
      </c>
      <c r="FB63" s="596" t="str">
        <f t="shared" si="142"/>
        <v/>
      </c>
      <c r="FC63" s="196" t="str">
        <f>IF('Marks Entry'!BH63="","",'Marks Entry'!BH63)</f>
        <v/>
      </c>
      <c r="FD63" s="196" t="str">
        <f>IF('Marks Entry'!BI63="","",'Marks Entry'!BI63)</f>
        <v/>
      </c>
      <c r="FE63" s="197" t="str">
        <f t="shared" si="143"/>
        <v/>
      </c>
      <c r="FF63" s="198" t="str">
        <f t="shared" si="144"/>
        <v/>
      </c>
      <c r="FG63" s="199" t="str">
        <f>IF(AND(E63=""),"",IF('Student DATA Entry'!L59="","",'Student DATA Entry'!L59))</f>
        <v/>
      </c>
      <c r="FH63" s="200" t="str">
        <f>IF(AND(E63=""),"",IF('Student DATA Entry'!M59="","",'Student DATA Entry'!M59))</f>
        <v/>
      </c>
      <c r="FI63" s="201" t="str">
        <f t="shared" si="145"/>
        <v/>
      </c>
      <c r="FJ63" s="188" t="str">
        <f t="shared" si="146"/>
        <v/>
      </c>
      <c r="FK63" s="188" t="str">
        <f t="shared" si="147"/>
        <v/>
      </c>
      <c r="FL63" s="202" t="str">
        <f t="shared" si="178"/>
        <v/>
      </c>
      <c r="FM63" s="188" t="str">
        <f t="shared" si="148"/>
        <v/>
      </c>
      <c r="FN63" s="203" t="str">
        <f t="shared" si="149"/>
        <v/>
      </c>
      <c r="FO63" s="202" t="str">
        <f t="shared" si="179"/>
        <v/>
      </c>
      <c r="FP63" s="204" t="str">
        <f t="shared" si="150"/>
        <v/>
      </c>
      <c r="FQ63" s="188" t="str">
        <f t="shared" si="180"/>
        <v/>
      </c>
      <c r="FR63" s="188" t="str">
        <f t="shared" si="181"/>
        <v/>
      </c>
      <c r="FS63" s="188" t="str">
        <f t="shared" si="182"/>
        <v/>
      </c>
      <c r="FT63" s="188" t="str">
        <f t="shared" si="183"/>
        <v/>
      </c>
      <c r="FU63" s="188" t="str">
        <f t="shared" si="151"/>
        <v/>
      </c>
      <c r="FV63" s="205" t="str">
        <f t="shared" si="184"/>
        <v/>
      </c>
      <c r="FW63" s="204" t="str">
        <f t="shared" si="152"/>
        <v/>
      </c>
      <c r="FX63" s="188" t="str">
        <f t="shared" si="185"/>
        <v/>
      </c>
      <c r="FY63" s="188" t="str">
        <f t="shared" si="186"/>
        <v/>
      </c>
      <c r="FZ63" s="188" t="str">
        <f t="shared" si="187"/>
        <v/>
      </c>
      <c r="GA63" s="188" t="str">
        <f t="shared" si="188"/>
        <v/>
      </c>
      <c r="GB63" s="188" t="str">
        <f t="shared" si="153"/>
        <v/>
      </c>
      <c r="GC63" s="205" t="str">
        <f t="shared" si="189"/>
        <v/>
      </c>
      <c r="GD63" s="204" t="str">
        <f t="shared" si="154"/>
        <v/>
      </c>
      <c r="GE63" s="188" t="str">
        <f t="shared" si="190"/>
        <v/>
      </c>
      <c r="GF63" s="188" t="str">
        <f t="shared" si="191"/>
        <v/>
      </c>
      <c r="GG63" s="188" t="str">
        <f t="shared" si="192"/>
        <v/>
      </c>
      <c r="GH63" s="188" t="str">
        <f t="shared" si="193"/>
        <v/>
      </c>
      <c r="GI63" s="188" t="str">
        <f t="shared" si="155"/>
        <v/>
      </c>
      <c r="GJ63" s="205" t="str">
        <f t="shared" si="194"/>
        <v/>
      </c>
      <c r="GK63" s="204" t="str">
        <f t="shared" si="156"/>
        <v/>
      </c>
      <c r="GL63" s="188" t="str">
        <f t="shared" si="195"/>
        <v/>
      </c>
      <c r="GM63" s="188" t="str">
        <f t="shared" si="196"/>
        <v/>
      </c>
      <c r="GN63" s="188" t="str">
        <f t="shared" si="197"/>
        <v/>
      </c>
      <c r="GO63" s="188" t="str">
        <f t="shared" si="198"/>
        <v/>
      </c>
      <c r="GP63" s="188" t="str">
        <f t="shared" si="157"/>
        <v/>
      </c>
      <c r="GQ63" s="205" t="str">
        <f t="shared" si="199"/>
        <v/>
      </c>
      <c r="GR63" s="188" t="str">
        <f t="shared" si="158"/>
        <v/>
      </c>
      <c r="GS63" s="188" t="str">
        <f t="shared" si="159"/>
        <v/>
      </c>
      <c r="GT63" s="206" t="str">
        <f t="shared" si="177"/>
        <v xml:space="preserve">    </v>
      </c>
      <c r="GU63" s="206" t="str">
        <f t="shared" si="160"/>
        <v xml:space="preserve">    </v>
      </c>
      <c r="GV63" s="206" t="str">
        <f t="shared" si="161"/>
        <v xml:space="preserve">    </v>
      </c>
      <c r="GW63" s="206" t="str">
        <f t="shared" si="162"/>
        <v xml:space="preserve">       </v>
      </c>
      <c r="GX63" s="598" t="str">
        <f t="shared" si="163"/>
        <v xml:space="preserve">     </v>
      </c>
      <c r="GY63" s="207" t="str">
        <f t="shared" si="200"/>
        <v/>
      </c>
      <c r="GZ63" s="606" t="str">
        <f>IF(AND(Q63="",AE63="",AZ63="",BW63="",CT63=""),"",IF(AND('Master Sheet'!$D$19="YES",'Marks Entry'!$BA$1=1),SUM(Q63,AE63,AZ63,BW63,DT63),SUM(Q63,AE63,AZ63,BW63,CT63)))</f>
        <v/>
      </c>
      <c r="HA63" s="208" t="str">
        <f>IF(GZ63="","",IF(AND('Master Sheet'!$D$19="YES",'Marks Entry'!$BA$1=1),GZ63/((900)-DC63)*100,GZ63/((1000)-DC63)*100))</f>
        <v/>
      </c>
      <c r="HB63" s="611" t="str">
        <f t="shared" si="165"/>
        <v/>
      </c>
      <c r="HC63" s="609" t="str">
        <f t="shared" si="166"/>
        <v/>
      </c>
      <c r="HD63" s="610" t="str">
        <f t="shared" si="167"/>
        <v/>
      </c>
      <c r="HE63" s="209" t="str">
        <f>IFERROR(IF(OR(GY63="SUPPLEMENTARY",GY63="RE-EXAM"),'Supp. Result Entry'!AS62,""),"")</f>
        <v/>
      </c>
      <c r="HF63" s="613" t="str">
        <f t="shared" si="168"/>
        <v/>
      </c>
      <c r="HG63" s="598" t="str">
        <f t="shared" si="169"/>
        <v/>
      </c>
      <c r="HH63" s="598" t="str">
        <f>IF(AND(HE63="",HF63="",HG63=""),"",IF(OR(GY63="SUPPLEMENTARY",GY63="RE-EXAM"),'Supp. Result Entry'!AS62,GY63))</f>
        <v/>
      </c>
      <c r="HI63" s="179"/>
      <c r="HY63" s="211" t="str">
        <f>IF('Supp. Result Entry'!U62="","",'Supp. Result Entry'!$U$6)</f>
        <v/>
      </c>
      <c r="HZ63" s="212" t="str">
        <f>IF('Supp. Result Entry'!X62="","",'Supp. Result Entry'!$X$6)</f>
        <v/>
      </c>
      <c r="IA63" s="212" t="str">
        <f>IF('Supp. Result Entry'!AA62="","",'Supp. Result Entry'!$AA$6)</f>
        <v/>
      </c>
      <c r="IB63" s="212" t="str">
        <f>IF('Supp. Result Entry'!AD62="","",'Supp. Result Entry'!$AD$6)</f>
        <v/>
      </c>
      <c r="IC63" s="212" t="str">
        <f>IF('Supp. Result Entry'!AG62="","",'Supp. Result Entry'!$AG$6)</f>
        <v/>
      </c>
      <c r="ID63" s="212" t="str">
        <f>IF('Supp. Result Entry'!AJ62="","",'Supp. Result Entry'!$AJ$6)</f>
        <v/>
      </c>
      <c r="IE63" s="212" t="str">
        <f>IF('Supp. Result Entry'!V62="","",'Supp. Result Entry'!V62)</f>
        <v/>
      </c>
      <c r="IF63" s="212" t="str">
        <f>IF('Supp. Result Entry'!Y62="","",'Supp. Result Entry'!Y62)</f>
        <v/>
      </c>
      <c r="IG63" s="212" t="str">
        <f>IF('Supp. Result Entry'!AB62="","",'Supp. Result Entry'!AB62)</f>
        <v/>
      </c>
      <c r="IH63" s="212" t="str">
        <f>IF('Supp. Result Entry'!AE62="","",'Supp. Result Entry'!AE62)</f>
        <v/>
      </c>
      <c r="II63" s="212" t="str">
        <f>IF('Supp. Result Entry'!AH62="","",'Supp. Result Entry'!AH62)</f>
        <v/>
      </c>
      <c r="IJ63" s="212" t="str">
        <f>IF('Supp. Result Entry'!AK62="","",'Supp. Result Entry'!AK62)</f>
        <v/>
      </c>
      <c r="IK63" s="212" t="str">
        <f>IF('Supp. Result Entry'!W62="","",'Supp. Result Entry'!W62)</f>
        <v/>
      </c>
      <c r="IL63" s="212" t="str">
        <f>IF('Supp. Result Entry'!Z62="","",'Supp. Result Entry'!Z62)</f>
        <v/>
      </c>
      <c r="IM63" s="212" t="str">
        <f>IF('Supp. Result Entry'!AC62="","",'Supp. Result Entry'!AC62)</f>
        <v/>
      </c>
      <c r="IN63" s="212" t="str">
        <f>IF('Supp. Result Entry'!AF62="","",'Supp. Result Entry'!AF62)</f>
        <v/>
      </c>
      <c r="IO63" s="212" t="str">
        <f>IF('Supp. Result Entry'!AI62="","",'Supp. Result Entry'!AI62)</f>
        <v/>
      </c>
      <c r="IP63" s="212" t="str">
        <f>IF('Supp. Result Entry'!AL62="","",'Supp. Result Entry'!AL62)</f>
        <v/>
      </c>
      <c r="IQ63" s="212">
        <f>COUNTIF('Supp. Result Entry'!K62:Q62,"S")</f>
        <v>0</v>
      </c>
      <c r="IR63" s="212">
        <f t="shared" si="170"/>
        <v>0</v>
      </c>
      <c r="IS63" s="212">
        <f t="shared" si="171"/>
        <v>0</v>
      </c>
      <c r="IT63" s="212" t="str">
        <f t="shared" si="41"/>
        <v/>
      </c>
      <c r="IU63" s="212" t="str">
        <f t="shared" si="42"/>
        <v/>
      </c>
      <c r="IV63" s="212" t="str">
        <f t="shared" si="43"/>
        <v/>
      </c>
      <c r="IW63" s="212" t="str">
        <f t="shared" si="44"/>
        <v/>
      </c>
      <c r="IX63" s="212" t="str">
        <f t="shared" si="45"/>
        <v/>
      </c>
      <c r="IY63" s="212" t="str">
        <f t="shared" si="172"/>
        <v/>
      </c>
      <c r="IZ63" s="212" t="str">
        <f t="shared" si="173"/>
        <v/>
      </c>
      <c r="JA63" s="212" t="str">
        <f t="shared" si="46"/>
        <v/>
      </c>
      <c r="JB63" s="210" t="str">
        <f t="shared" si="174"/>
        <v/>
      </c>
    </row>
    <row r="64" spans="1:262" s="210" customFormat="1" ht="21" customHeight="1">
      <c r="A64" s="183">
        <v>57</v>
      </c>
      <c r="B64" s="184" t="str">
        <f>IF('Marks Entry'!B64="","",'Marks Entry'!B64)</f>
        <v/>
      </c>
      <c r="C64" s="185" t="str">
        <f>IF('Marks Entry'!D64="","",'Marks Entry'!D64)</f>
        <v/>
      </c>
      <c r="D64" s="186" t="str">
        <f>IF('Marks Entry'!E64="","",'Marks Entry'!E64)</f>
        <v/>
      </c>
      <c r="E64" s="187" t="str">
        <f>IF('Marks Entry'!F64="","",'Marks Entry'!F64)</f>
        <v/>
      </c>
      <c r="F64" s="187" t="str">
        <f>IF('Marks Entry'!G64="","",'Marks Entry'!G64)</f>
        <v/>
      </c>
      <c r="G64" s="187" t="str">
        <f>IF('Marks Entry'!H64="","",'Marks Entry'!H64)</f>
        <v/>
      </c>
      <c r="H64" s="188" t="str">
        <f>IF('Marks Entry'!I64="","",'Marks Entry'!I64)</f>
        <v/>
      </c>
      <c r="I64" s="189" t="str">
        <f>IF('Marks Entry'!J64="","",'Marks Entry'!J64)</f>
        <v/>
      </c>
      <c r="J64" s="545" t="str">
        <f>IF('Marks Entry'!K64="","",'Marks Entry'!K64)</f>
        <v/>
      </c>
      <c r="K64" s="545" t="str">
        <f>IF('Marks Entry'!L64="","",'Marks Entry'!L64)</f>
        <v/>
      </c>
      <c r="L64" s="545" t="str">
        <f>IF('Marks Entry'!M64="","",'Marks Entry'!M64)</f>
        <v/>
      </c>
      <c r="M64" s="546" t="str">
        <f t="shared" si="47"/>
        <v/>
      </c>
      <c r="N64" s="545" t="str">
        <f>IF('Marks Entry'!N64="","",'Marks Entry'!N64)</f>
        <v/>
      </c>
      <c r="O64" s="546" t="str">
        <f t="shared" si="48"/>
        <v/>
      </c>
      <c r="P64" s="545" t="str">
        <f>IF('Marks Entry'!O64="","",'Marks Entry'!O64)</f>
        <v/>
      </c>
      <c r="Q64" s="547" t="str">
        <f t="shared" si="49"/>
        <v/>
      </c>
      <c r="R64" s="152">
        <f t="shared" si="50"/>
        <v>0</v>
      </c>
      <c r="S64" s="152">
        <f t="shared" si="51"/>
        <v>0</v>
      </c>
      <c r="T64" s="153" t="str">
        <f t="shared" si="52"/>
        <v/>
      </c>
      <c r="U64" s="152" t="str">
        <f t="shared" si="53"/>
        <v/>
      </c>
      <c r="V64" s="152" t="str">
        <f t="shared" si="54"/>
        <v/>
      </c>
      <c r="W64" s="152" t="str">
        <f t="shared" si="55"/>
        <v/>
      </c>
      <c r="X64" s="545" t="str">
        <f>IF('Marks Entry'!P64="","",'Marks Entry'!P64)</f>
        <v/>
      </c>
      <c r="Y64" s="545" t="str">
        <f>IF('Marks Entry'!Q64="","",'Marks Entry'!Q64)</f>
        <v/>
      </c>
      <c r="Z64" s="545" t="str">
        <f>IF('Marks Entry'!R64="","",'Marks Entry'!R64)</f>
        <v/>
      </c>
      <c r="AA64" s="546" t="str">
        <f t="shared" si="56"/>
        <v/>
      </c>
      <c r="AB64" s="545" t="str">
        <f>IF('Marks Entry'!S64="","",'Marks Entry'!S64)</f>
        <v/>
      </c>
      <c r="AC64" s="546" t="str">
        <f t="shared" si="57"/>
        <v/>
      </c>
      <c r="AD64" s="545" t="str">
        <f>IF('Marks Entry'!T64="","",'Marks Entry'!T64)</f>
        <v/>
      </c>
      <c r="AE64" s="547" t="str">
        <f t="shared" si="58"/>
        <v/>
      </c>
      <c r="AF64" s="152">
        <f t="shared" si="59"/>
        <v>0</v>
      </c>
      <c r="AG64" s="152">
        <f t="shared" si="60"/>
        <v>0</v>
      </c>
      <c r="AH64" s="153" t="str">
        <f t="shared" si="61"/>
        <v/>
      </c>
      <c r="AI64" s="152" t="str">
        <f t="shared" si="62"/>
        <v/>
      </c>
      <c r="AJ64" s="152" t="str">
        <f t="shared" si="63"/>
        <v/>
      </c>
      <c r="AK64" s="152" t="str">
        <f t="shared" si="64"/>
        <v/>
      </c>
      <c r="AL64" s="573" t="str">
        <f>IF('Marks Entry'!U64="","",'Marks Entry'!U64)</f>
        <v/>
      </c>
      <c r="AM64" s="573" t="str">
        <f>IF('Marks Entry'!V64="","",'Marks Entry'!V64)</f>
        <v/>
      </c>
      <c r="AN64" s="573" t="str">
        <f>IF('Marks Entry'!W64="","",'Marks Entry'!W64)</f>
        <v/>
      </c>
      <c r="AO64" s="573" t="str">
        <f>IF('Marks Entry'!X64="","",'Marks Entry'!X64)</f>
        <v/>
      </c>
      <c r="AP64" s="572" t="str">
        <f t="shared" si="65"/>
        <v/>
      </c>
      <c r="AQ64" s="573" t="str">
        <f>IF('Marks Entry'!Y64="","",'Marks Entry'!Y64)</f>
        <v/>
      </c>
      <c r="AR64" s="573" t="str">
        <f>IF('Marks Entry'!Z64="","",'Marks Entry'!Z64)</f>
        <v/>
      </c>
      <c r="AS64" s="572" t="str">
        <f t="shared" si="66"/>
        <v/>
      </c>
      <c r="AT64" s="572" t="str">
        <f t="shared" si="67"/>
        <v/>
      </c>
      <c r="AU64" s="573" t="str">
        <f>IF('Marks Entry'!AA64="","",'Marks Entry'!AA64)</f>
        <v/>
      </c>
      <c r="AV64" s="573" t="str">
        <f>IF('Marks Entry'!AB64="","",'Marks Entry'!AB64)</f>
        <v/>
      </c>
      <c r="AW64" s="572" t="str">
        <f t="shared" si="68"/>
        <v/>
      </c>
      <c r="AX64" s="156" t="str">
        <f t="shared" si="69"/>
        <v/>
      </c>
      <c r="AY64" s="156" t="str">
        <f t="shared" si="70"/>
        <v/>
      </c>
      <c r="AZ64" s="191" t="str">
        <f t="shared" si="71"/>
        <v/>
      </c>
      <c r="BA64" s="152">
        <f t="shared" si="72"/>
        <v>0</v>
      </c>
      <c r="BB64" s="153">
        <f t="shared" si="73"/>
        <v>0</v>
      </c>
      <c r="BC64" s="153" t="str">
        <f t="shared" si="74"/>
        <v/>
      </c>
      <c r="BD64" s="153" t="str">
        <f t="shared" si="75"/>
        <v/>
      </c>
      <c r="BE64" s="153" t="str">
        <f t="shared" si="76"/>
        <v/>
      </c>
      <c r="BF64" s="152" t="str">
        <f t="shared" si="77"/>
        <v/>
      </c>
      <c r="BG64" s="153" t="str">
        <f t="shared" si="175"/>
        <v/>
      </c>
      <c r="BH64" s="152" t="str">
        <f t="shared" si="78"/>
        <v/>
      </c>
      <c r="BI64" s="580" t="str">
        <f>IF('Marks Entry'!AC64="","",'Marks Entry'!AC64)</f>
        <v/>
      </c>
      <c r="BJ64" s="580" t="str">
        <f>IF('Marks Entry'!AD64="","",'Marks Entry'!AD64)</f>
        <v/>
      </c>
      <c r="BK64" s="580" t="str">
        <f>IF('Marks Entry'!AE64="","",'Marks Entry'!AE64)</f>
        <v/>
      </c>
      <c r="BL64" s="580" t="str">
        <f>IF('Marks Entry'!AF64="","",'Marks Entry'!AF64)</f>
        <v/>
      </c>
      <c r="BM64" s="581" t="str">
        <f t="shared" si="79"/>
        <v/>
      </c>
      <c r="BN64" s="580" t="str">
        <f>IF('Marks Entry'!AG64="","",'Marks Entry'!AG64)</f>
        <v/>
      </c>
      <c r="BO64" s="580" t="str">
        <f>IF('Marks Entry'!AH64="","",'Marks Entry'!AH64)</f>
        <v/>
      </c>
      <c r="BP64" s="581" t="str">
        <f t="shared" si="80"/>
        <v/>
      </c>
      <c r="BQ64" s="581" t="str">
        <f t="shared" si="81"/>
        <v/>
      </c>
      <c r="BR64" s="580" t="str">
        <f>IF('Marks Entry'!AI64="","",'Marks Entry'!AI64)</f>
        <v/>
      </c>
      <c r="BS64" s="580" t="str">
        <f>IF('Marks Entry'!AJ64="","",'Marks Entry'!AJ64)</f>
        <v/>
      </c>
      <c r="BT64" s="581" t="str">
        <f t="shared" si="82"/>
        <v/>
      </c>
      <c r="BU64" s="156" t="str">
        <f t="shared" si="83"/>
        <v/>
      </c>
      <c r="BV64" s="156" t="str">
        <f t="shared" si="84"/>
        <v/>
      </c>
      <c r="BW64" s="191" t="str">
        <f t="shared" si="85"/>
        <v/>
      </c>
      <c r="BX64" s="152">
        <f t="shared" si="86"/>
        <v>0</v>
      </c>
      <c r="BY64" s="153">
        <f t="shared" si="87"/>
        <v>0</v>
      </c>
      <c r="BZ64" s="153" t="str">
        <f t="shared" si="88"/>
        <v/>
      </c>
      <c r="CA64" s="153" t="str">
        <f t="shared" si="89"/>
        <v/>
      </c>
      <c r="CB64" s="153" t="str">
        <f t="shared" si="90"/>
        <v/>
      </c>
      <c r="CC64" s="152" t="str">
        <f t="shared" si="91"/>
        <v/>
      </c>
      <c r="CD64" s="153" t="str">
        <f t="shared" si="92"/>
        <v/>
      </c>
      <c r="CE64" s="152" t="str">
        <f t="shared" si="93"/>
        <v/>
      </c>
      <c r="CF64" s="580" t="str">
        <f>IF('Marks Entry'!AK64="","",'Marks Entry'!AK64)</f>
        <v/>
      </c>
      <c r="CG64" s="580" t="str">
        <f>IF('Marks Entry'!AL64="","",'Marks Entry'!AL64)</f>
        <v/>
      </c>
      <c r="CH64" s="580" t="str">
        <f>IF('Marks Entry'!AM64="","",'Marks Entry'!AM64)</f>
        <v/>
      </c>
      <c r="CI64" s="580" t="str">
        <f>IF('Marks Entry'!AN64="","",'Marks Entry'!AN64)</f>
        <v/>
      </c>
      <c r="CJ64" s="581" t="str">
        <f t="shared" si="94"/>
        <v/>
      </c>
      <c r="CK64" s="580" t="str">
        <f>IF('Marks Entry'!AO64="","",'Marks Entry'!AO64)</f>
        <v/>
      </c>
      <c r="CL64" s="580" t="str">
        <f>IF('Marks Entry'!AP64="","",'Marks Entry'!AP64)</f>
        <v/>
      </c>
      <c r="CM64" s="581" t="str">
        <f t="shared" si="95"/>
        <v/>
      </c>
      <c r="CN64" s="581" t="str">
        <f t="shared" si="96"/>
        <v/>
      </c>
      <c r="CO64" s="580" t="str">
        <f>IF('Marks Entry'!AQ64="","",'Marks Entry'!AQ64)</f>
        <v/>
      </c>
      <c r="CP64" s="580" t="str">
        <f>IF('Marks Entry'!AR64="","",'Marks Entry'!AR64)</f>
        <v/>
      </c>
      <c r="CQ64" s="581" t="str">
        <f t="shared" si="97"/>
        <v/>
      </c>
      <c r="CR64" s="156" t="str">
        <f t="shared" si="98"/>
        <v/>
      </c>
      <c r="CS64" s="156" t="str">
        <f t="shared" si="99"/>
        <v/>
      </c>
      <c r="CT64" s="191" t="str">
        <f t="shared" si="100"/>
        <v/>
      </c>
      <c r="CU64" s="152">
        <f t="shared" si="101"/>
        <v>0</v>
      </c>
      <c r="CV64" s="153">
        <f t="shared" si="102"/>
        <v>0</v>
      </c>
      <c r="CW64" s="153" t="str">
        <f t="shared" si="103"/>
        <v/>
      </c>
      <c r="CX64" s="153" t="str">
        <f t="shared" si="104"/>
        <v/>
      </c>
      <c r="CY64" s="153" t="str">
        <f t="shared" si="176"/>
        <v/>
      </c>
      <c r="CZ64" s="152" t="str">
        <f t="shared" si="105"/>
        <v/>
      </c>
      <c r="DA64" s="153" t="str">
        <f t="shared" si="106"/>
        <v/>
      </c>
      <c r="DB64" s="152" t="str">
        <f t="shared" si="107"/>
        <v/>
      </c>
      <c r="DC64" s="153">
        <f t="shared" si="108"/>
        <v>0</v>
      </c>
      <c r="DD64" s="851" t="str">
        <f>IF('Marks Entry'!AS64="","",IF(OR('Master Sheet'!$D$19="YES",'Marks Entry'!$BA$1=1),'Marks Entry'!AS64,""))</f>
        <v/>
      </c>
      <c r="DE64" s="851" t="str">
        <f>IF('Marks Entry'!AT64="","",IF(OR('Master Sheet'!$D$19="YES",'Marks Entry'!$BA$1=1),'Marks Entry'!AT64,""))</f>
        <v/>
      </c>
      <c r="DF64" s="851" t="str">
        <f>IF('Marks Entry'!AU64="","",IF(OR('Master Sheet'!$D$19="YES",'Marks Entry'!$BA$1=1),'Marks Entry'!AU64,""))</f>
        <v/>
      </c>
      <c r="DG64" s="851" t="str">
        <f>IF('Marks Entry'!AV64="","",IF(OR('Master Sheet'!$D$19="YES",'Marks Entry'!$BA$1=1),'Marks Entry'!AV64,""))</f>
        <v/>
      </c>
      <c r="DH64" s="852" t="str">
        <f t="shared" si="109"/>
        <v/>
      </c>
      <c r="DI64" s="851" t="str">
        <f>IF('Marks Entry'!AW64="","",IF(OR('Master Sheet'!$D$19="YES",'Marks Entry'!$BA$1=1),'Marks Entry'!AW64,""))</f>
        <v/>
      </c>
      <c r="DJ64" s="851" t="str">
        <f>IF('Marks Entry'!AX64="","",IF(OR('Master Sheet'!$D$19="YES",'Marks Entry'!$BA$1=1),'Marks Entry'!AX64,""))</f>
        <v/>
      </c>
      <c r="DK64" s="852" t="str">
        <f t="shared" si="110"/>
        <v/>
      </c>
      <c r="DL64" s="852" t="str">
        <f t="shared" si="111"/>
        <v/>
      </c>
      <c r="DM64" s="851" t="str">
        <f>IF('Marks Entry'!AY64="","",IF(OR('Master Sheet'!$D$19="YES",'Marks Entry'!$BA$1=1),'Marks Entry'!AY64,""))</f>
        <v/>
      </c>
      <c r="DN64" s="851" t="str">
        <f>IF('Marks Entry'!AZ64="","",IF(OR('Master Sheet'!$D$19="YES",'Marks Entry'!$BA$1=1),'Marks Entry'!AZ64,""))</f>
        <v/>
      </c>
      <c r="DO64" s="851" t="str">
        <f>IF('Marks Entry'!BA64="","",IF(OR('Master Sheet'!$D$19="YES",'Marks Entry'!$BA$1=1),'Marks Entry'!BA64,""))</f>
        <v/>
      </c>
      <c r="DP64" s="852" t="str">
        <f t="shared" si="112"/>
        <v/>
      </c>
      <c r="DQ64" s="156" t="str">
        <f t="shared" si="113"/>
        <v/>
      </c>
      <c r="DR64" s="156" t="str">
        <f t="shared" si="114"/>
        <v/>
      </c>
      <c r="DS64" s="156" t="str">
        <f t="shared" si="115"/>
        <v/>
      </c>
      <c r="DT64" s="191" t="str">
        <f t="shared" si="116"/>
        <v/>
      </c>
      <c r="DU64" s="152">
        <f t="shared" si="117"/>
        <v>0</v>
      </c>
      <c r="DV64" s="153">
        <f t="shared" si="118"/>
        <v>0</v>
      </c>
      <c r="DW64" s="153" t="str">
        <f t="shared" si="119"/>
        <v/>
      </c>
      <c r="DX64" s="153" t="str">
        <f>IF(OR($B64="NSO",$B64=0,DS64=""),"",IF(AND(DJ64="",DO64=""),"",IF('Master Sheet'!$D$19="YES",$DO$6-COUNTIF(DO64,"ML")*DO$6,DS$6-(COUNTIF(DJ64,"ML")*DJ$6)-(COUNTIF(DO64,"ML")*DO$6))))</f>
        <v/>
      </c>
      <c r="DY64" s="153" t="str">
        <f>IF(OR($B64="NSO",$B64=0),"",IF(AND(DH64="",DI64="",DM64=""),"",IF(AND('Master Sheet'!$D$19="YES",'Marks Entry'!$BA$1=1),100,IF(AND(DJ64="",DO64=""),SUM(($DQ$7+$DR$7)-(DU64+DV64)),SUM(($DQ$6+$DR$6)-(DU64+DV64))))))</f>
        <v/>
      </c>
      <c r="DZ64" s="152" t="str">
        <f t="shared" si="120"/>
        <v/>
      </c>
      <c r="EA64" s="153" t="str">
        <f t="shared" si="121"/>
        <v/>
      </c>
      <c r="EB64" s="152" t="str">
        <f t="shared" si="122"/>
        <v/>
      </c>
      <c r="EC64" s="584" t="str">
        <f>IF('Marks Entry'!BB64="","",'Marks Entry'!BB64)</f>
        <v/>
      </c>
      <c r="ED64" s="584" t="str">
        <f>IF('Marks Entry'!BC64="","",'Marks Entry'!BC64)</f>
        <v/>
      </c>
      <c r="EE64" s="584" t="str">
        <f>IF('Marks Entry'!BD64="","",'Marks Entry'!BD64)</f>
        <v/>
      </c>
      <c r="EF64" s="590" t="str">
        <f t="shared" si="123"/>
        <v/>
      </c>
      <c r="EG64" s="595">
        <f t="shared" si="124"/>
        <v>0</v>
      </c>
      <c r="EH64" s="595">
        <f t="shared" si="125"/>
        <v>0</v>
      </c>
      <c r="EI64" s="192" t="str">
        <f t="shared" si="126"/>
        <v/>
      </c>
      <c r="EJ64" s="595" t="str">
        <f t="shared" si="127"/>
        <v/>
      </c>
      <c r="EK64" s="595" t="str">
        <f t="shared" si="128"/>
        <v/>
      </c>
      <c r="EL64" s="193" t="str">
        <f t="shared" si="129"/>
        <v/>
      </c>
      <c r="EM64" s="193" t="str">
        <f t="shared" si="130"/>
        <v/>
      </c>
      <c r="EN64" s="193" t="str">
        <f t="shared" si="131"/>
        <v/>
      </c>
      <c r="EO64" s="193" t="str">
        <f t="shared" si="132"/>
        <v/>
      </c>
      <c r="EP64" s="193" t="str">
        <f t="shared" si="133"/>
        <v/>
      </c>
      <c r="EQ64" s="193" t="str">
        <f t="shared" si="134"/>
        <v/>
      </c>
      <c r="ER64" s="194">
        <f t="shared" si="135"/>
        <v>0</v>
      </c>
      <c r="ES64" s="194">
        <f t="shared" si="136"/>
        <v>0</v>
      </c>
      <c r="ET64" s="194">
        <f t="shared" si="137"/>
        <v>0</v>
      </c>
      <c r="EU64" s="194">
        <f t="shared" si="138"/>
        <v>0</v>
      </c>
      <c r="EV64" s="194">
        <f t="shared" si="139"/>
        <v>0</v>
      </c>
      <c r="EW64" s="194" t="str">
        <f t="shared" si="140"/>
        <v/>
      </c>
      <c r="EX64" s="195" t="str">
        <f t="shared" si="141"/>
        <v/>
      </c>
      <c r="EY64" s="196" t="str">
        <f>IF('Marks Entry'!BE64="","",'Marks Entry'!BE64)</f>
        <v/>
      </c>
      <c r="EZ64" s="196" t="str">
        <f>IF('Marks Entry'!BF64="","",'Marks Entry'!BF64)</f>
        <v/>
      </c>
      <c r="FA64" s="196" t="str">
        <f>IF('Marks Entry'!BG64="","",'Marks Entry'!BG64)</f>
        <v/>
      </c>
      <c r="FB64" s="596" t="str">
        <f t="shared" si="142"/>
        <v/>
      </c>
      <c r="FC64" s="196" t="str">
        <f>IF('Marks Entry'!BH64="","",'Marks Entry'!BH64)</f>
        <v/>
      </c>
      <c r="FD64" s="196" t="str">
        <f>IF('Marks Entry'!BI64="","",'Marks Entry'!BI64)</f>
        <v/>
      </c>
      <c r="FE64" s="197" t="str">
        <f t="shared" si="143"/>
        <v/>
      </c>
      <c r="FF64" s="198" t="str">
        <f t="shared" si="144"/>
        <v/>
      </c>
      <c r="FG64" s="199" t="str">
        <f>IF(AND(E64=""),"",IF('Student DATA Entry'!L60="","",'Student DATA Entry'!L60))</f>
        <v/>
      </c>
      <c r="FH64" s="200" t="str">
        <f>IF(AND(E64=""),"",IF('Student DATA Entry'!M60="","",'Student DATA Entry'!M60))</f>
        <v/>
      </c>
      <c r="FI64" s="201" t="str">
        <f t="shared" si="145"/>
        <v/>
      </c>
      <c r="FJ64" s="188" t="str">
        <f t="shared" si="146"/>
        <v/>
      </c>
      <c r="FK64" s="188" t="str">
        <f t="shared" si="147"/>
        <v/>
      </c>
      <c r="FL64" s="202" t="str">
        <f t="shared" si="178"/>
        <v/>
      </c>
      <c r="FM64" s="188" t="str">
        <f t="shared" si="148"/>
        <v/>
      </c>
      <c r="FN64" s="203" t="str">
        <f t="shared" si="149"/>
        <v/>
      </c>
      <c r="FO64" s="202" t="str">
        <f t="shared" si="179"/>
        <v/>
      </c>
      <c r="FP64" s="204" t="str">
        <f t="shared" si="150"/>
        <v/>
      </c>
      <c r="FQ64" s="188" t="str">
        <f t="shared" si="180"/>
        <v/>
      </c>
      <c r="FR64" s="188" t="str">
        <f t="shared" si="181"/>
        <v/>
      </c>
      <c r="FS64" s="188" t="str">
        <f t="shared" si="182"/>
        <v/>
      </c>
      <c r="FT64" s="188" t="str">
        <f t="shared" si="183"/>
        <v/>
      </c>
      <c r="FU64" s="188" t="str">
        <f t="shared" si="151"/>
        <v/>
      </c>
      <c r="FV64" s="205" t="str">
        <f t="shared" si="184"/>
        <v/>
      </c>
      <c r="FW64" s="204" t="str">
        <f t="shared" si="152"/>
        <v/>
      </c>
      <c r="FX64" s="188" t="str">
        <f t="shared" si="185"/>
        <v/>
      </c>
      <c r="FY64" s="188" t="str">
        <f t="shared" si="186"/>
        <v/>
      </c>
      <c r="FZ64" s="188" t="str">
        <f t="shared" si="187"/>
        <v/>
      </c>
      <c r="GA64" s="188" t="str">
        <f t="shared" si="188"/>
        <v/>
      </c>
      <c r="GB64" s="188" t="str">
        <f t="shared" si="153"/>
        <v/>
      </c>
      <c r="GC64" s="205" t="str">
        <f t="shared" si="189"/>
        <v/>
      </c>
      <c r="GD64" s="204" t="str">
        <f t="shared" si="154"/>
        <v/>
      </c>
      <c r="GE64" s="188" t="str">
        <f t="shared" si="190"/>
        <v/>
      </c>
      <c r="GF64" s="188" t="str">
        <f t="shared" si="191"/>
        <v/>
      </c>
      <c r="GG64" s="188" t="str">
        <f t="shared" si="192"/>
        <v/>
      </c>
      <c r="GH64" s="188" t="str">
        <f t="shared" si="193"/>
        <v/>
      </c>
      <c r="GI64" s="188" t="str">
        <f t="shared" si="155"/>
        <v/>
      </c>
      <c r="GJ64" s="205" t="str">
        <f t="shared" si="194"/>
        <v/>
      </c>
      <c r="GK64" s="204" t="str">
        <f t="shared" si="156"/>
        <v/>
      </c>
      <c r="GL64" s="188" t="str">
        <f t="shared" si="195"/>
        <v/>
      </c>
      <c r="GM64" s="188" t="str">
        <f t="shared" si="196"/>
        <v/>
      </c>
      <c r="GN64" s="188" t="str">
        <f t="shared" si="197"/>
        <v/>
      </c>
      <c r="GO64" s="188" t="str">
        <f t="shared" si="198"/>
        <v/>
      </c>
      <c r="GP64" s="188" t="str">
        <f t="shared" si="157"/>
        <v/>
      </c>
      <c r="GQ64" s="205" t="str">
        <f t="shared" si="199"/>
        <v/>
      </c>
      <c r="GR64" s="188" t="str">
        <f t="shared" si="158"/>
        <v/>
      </c>
      <c r="GS64" s="188" t="str">
        <f t="shared" si="159"/>
        <v/>
      </c>
      <c r="GT64" s="206" t="str">
        <f t="shared" si="177"/>
        <v xml:space="preserve">    </v>
      </c>
      <c r="GU64" s="206" t="str">
        <f t="shared" si="160"/>
        <v xml:space="preserve">    </v>
      </c>
      <c r="GV64" s="206" t="str">
        <f t="shared" si="161"/>
        <v xml:space="preserve">    </v>
      </c>
      <c r="GW64" s="206" t="str">
        <f t="shared" si="162"/>
        <v xml:space="preserve">       </v>
      </c>
      <c r="GX64" s="598" t="str">
        <f t="shared" si="163"/>
        <v xml:space="preserve">     </v>
      </c>
      <c r="GY64" s="207" t="str">
        <f t="shared" si="200"/>
        <v/>
      </c>
      <c r="GZ64" s="606" t="str">
        <f>IF(AND(Q64="",AE64="",AZ64="",BW64="",CT64=""),"",IF(AND('Master Sheet'!$D$19="YES",'Marks Entry'!$BA$1=1),SUM(Q64,AE64,AZ64,BW64,DT64),SUM(Q64,AE64,AZ64,BW64,CT64)))</f>
        <v/>
      </c>
      <c r="HA64" s="208" t="str">
        <f>IF(GZ64="","",IF(AND('Master Sheet'!$D$19="YES",'Marks Entry'!$BA$1=1),GZ64/((900)-DC64)*100,GZ64/((1000)-DC64)*100))</f>
        <v/>
      </c>
      <c r="HB64" s="611" t="str">
        <f t="shared" si="165"/>
        <v/>
      </c>
      <c r="HC64" s="609" t="str">
        <f t="shared" si="166"/>
        <v/>
      </c>
      <c r="HD64" s="610" t="str">
        <f t="shared" si="167"/>
        <v/>
      </c>
      <c r="HE64" s="209" t="str">
        <f>IFERROR(IF(OR(GY64="SUPPLEMENTARY",GY64="RE-EXAM"),'Supp. Result Entry'!AS63,""),"")</f>
        <v/>
      </c>
      <c r="HF64" s="613" t="str">
        <f t="shared" si="168"/>
        <v/>
      </c>
      <c r="HG64" s="598" t="str">
        <f t="shared" si="169"/>
        <v/>
      </c>
      <c r="HH64" s="598" t="str">
        <f>IF(AND(HE64="",HF64="",HG64=""),"",IF(OR(GY64="SUPPLEMENTARY",GY64="RE-EXAM"),'Supp. Result Entry'!AS63,GY64))</f>
        <v/>
      </c>
      <c r="HI64" s="179"/>
      <c r="HY64" s="211" t="str">
        <f>IF('Supp. Result Entry'!U63="","",'Supp. Result Entry'!$U$6)</f>
        <v/>
      </c>
      <c r="HZ64" s="212" t="str">
        <f>IF('Supp. Result Entry'!X63="","",'Supp. Result Entry'!$X$6)</f>
        <v/>
      </c>
      <c r="IA64" s="212" t="str">
        <f>IF('Supp. Result Entry'!AA63="","",'Supp. Result Entry'!$AA$6)</f>
        <v/>
      </c>
      <c r="IB64" s="212" t="str">
        <f>IF('Supp. Result Entry'!AD63="","",'Supp. Result Entry'!$AD$6)</f>
        <v/>
      </c>
      <c r="IC64" s="212" t="str">
        <f>IF('Supp. Result Entry'!AG63="","",'Supp. Result Entry'!$AG$6)</f>
        <v/>
      </c>
      <c r="ID64" s="212" t="str">
        <f>IF('Supp. Result Entry'!AJ63="","",'Supp. Result Entry'!$AJ$6)</f>
        <v/>
      </c>
      <c r="IE64" s="212" t="str">
        <f>IF('Supp. Result Entry'!V63="","",'Supp. Result Entry'!V63)</f>
        <v/>
      </c>
      <c r="IF64" s="212" t="str">
        <f>IF('Supp. Result Entry'!Y63="","",'Supp. Result Entry'!Y63)</f>
        <v/>
      </c>
      <c r="IG64" s="212" t="str">
        <f>IF('Supp. Result Entry'!AB63="","",'Supp. Result Entry'!AB63)</f>
        <v/>
      </c>
      <c r="IH64" s="212" t="str">
        <f>IF('Supp. Result Entry'!AE63="","",'Supp. Result Entry'!AE63)</f>
        <v/>
      </c>
      <c r="II64" s="212" t="str">
        <f>IF('Supp. Result Entry'!AH63="","",'Supp. Result Entry'!AH63)</f>
        <v/>
      </c>
      <c r="IJ64" s="212" t="str">
        <f>IF('Supp. Result Entry'!AK63="","",'Supp. Result Entry'!AK63)</f>
        <v/>
      </c>
      <c r="IK64" s="212" t="str">
        <f>IF('Supp. Result Entry'!W63="","",'Supp. Result Entry'!W63)</f>
        <v/>
      </c>
      <c r="IL64" s="212" t="str">
        <f>IF('Supp. Result Entry'!Z63="","",'Supp. Result Entry'!Z63)</f>
        <v/>
      </c>
      <c r="IM64" s="212" t="str">
        <f>IF('Supp. Result Entry'!AC63="","",'Supp. Result Entry'!AC63)</f>
        <v/>
      </c>
      <c r="IN64" s="212" t="str">
        <f>IF('Supp. Result Entry'!AF63="","",'Supp. Result Entry'!AF63)</f>
        <v/>
      </c>
      <c r="IO64" s="212" t="str">
        <f>IF('Supp. Result Entry'!AI63="","",'Supp. Result Entry'!AI63)</f>
        <v/>
      </c>
      <c r="IP64" s="212" t="str">
        <f>IF('Supp. Result Entry'!AL63="","",'Supp. Result Entry'!AL63)</f>
        <v/>
      </c>
      <c r="IQ64" s="212">
        <f>COUNTIF('Supp. Result Entry'!K63:Q63,"S")</f>
        <v>0</v>
      </c>
      <c r="IR64" s="212">
        <f t="shared" si="170"/>
        <v>0</v>
      </c>
      <c r="IS64" s="212">
        <f t="shared" si="171"/>
        <v>0</v>
      </c>
      <c r="IT64" s="212" t="str">
        <f t="shared" si="41"/>
        <v/>
      </c>
      <c r="IU64" s="212" t="str">
        <f t="shared" si="42"/>
        <v/>
      </c>
      <c r="IV64" s="212" t="str">
        <f t="shared" si="43"/>
        <v/>
      </c>
      <c r="IW64" s="212" t="str">
        <f t="shared" si="44"/>
        <v/>
      </c>
      <c r="IX64" s="212" t="str">
        <f t="shared" si="45"/>
        <v/>
      </c>
      <c r="IY64" s="212" t="str">
        <f t="shared" si="172"/>
        <v/>
      </c>
      <c r="IZ64" s="212" t="str">
        <f t="shared" si="173"/>
        <v/>
      </c>
      <c r="JA64" s="212" t="str">
        <f t="shared" si="46"/>
        <v/>
      </c>
      <c r="JB64" s="210" t="str">
        <f t="shared" si="174"/>
        <v/>
      </c>
    </row>
    <row r="65" spans="1:262" s="210" customFormat="1" ht="21" customHeight="1">
      <c r="A65" s="183">
        <v>58</v>
      </c>
      <c r="B65" s="184" t="str">
        <f>IF('Marks Entry'!B65="","",'Marks Entry'!B65)</f>
        <v/>
      </c>
      <c r="C65" s="185" t="str">
        <f>IF('Marks Entry'!D65="","",'Marks Entry'!D65)</f>
        <v/>
      </c>
      <c r="D65" s="186" t="str">
        <f>IF('Marks Entry'!E65="","",'Marks Entry'!E65)</f>
        <v/>
      </c>
      <c r="E65" s="187" t="str">
        <f>IF('Marks Entry'!F65="","",'Marks Entry'!F65)</f>
        <v/>
      </c>
      <c r="F65" s="187" t="str">
        <f>IF('Marks Entry'!G65="","",'Marks Entry'!G65)</f>
        <v/>
      </c>
      <c r="G65" s="187" t="str">
        <f>IF('Marks Entry'!H65="","",'Marks Entry'!H65)</f>
        <v/>
      </c>
      <c r="H65" s="188" t="str">
        <f>IF('Marks Entry'!I65="","",'Marks Entry'!I65)</f>
        <v/>
      </c>
      <c r="I65" s="189" t="str">
        <f>IF('Marks Entry'!J65="","",'Marks Entry'!J65)</f>
        <v/>
      </c>
      <c r="J65" s="545" t="str">
        <f>IF('Marks Entry'!K65="","",'Marks Entry'!K65)</f>
        <v/>
      </c>
      <c r="K65" s="545" t="str">
        <f>IF('Marks Entry'!L65="","",'Marks Entry'!L65)</f>
        <v/>
      </c>
      <c r="L65" s="545" t="str">
        <f>IF('Marks Entry'!M65="","",'Marks Entry'!M65)</f>
        <v/>
      </c>
      <c r="M65" s="546" t="str">
        <f t="shared" si="47"/>
        <v/>
      </c>
      <c r="N65" s="545" t="str">
        <f>IF('Marks Entry'!N65="","",'Marks Entry'!N65)</f>
        <v/>
      </c>
      <c r="O65" s="546" t="str">
        <f t="shared" si="48"/>
        <v/>
      </c>
      <c r="P65" s="545" t="str">
        <f>IF('Marks Entry'!O65="","",'Marks Entry'!O65)</f>
        <v/>
      </c>
      <c r="Q65" s="547" t="str">
        <f t="shared" si="49"/>
        <v/>
      </c>
      <c r="R65" s="152">
        <f t="shared" si="50"/>
        <v>0</v>
      </c>
      <c r="S65" s="152">
        <f t="shared" si="51"/>
        <v>0</v>
      </c>
      <c r="T65" s="153" t="str">
        <f t="shared" si="52"/>
        <v/>
      </c>
      <c r="U65" s="152" t="str">
        <f t="shared" si="53"/>
        <v/>
      </c>
      <c r="V65" s="152" t="str">
        <f t="shared" si="54"/>
        <v/>
      </c>
      <c r="W65" s="152" t="str">
        <f t="shared" si="55"/>
        <v/>
      </c>
      <c r="X65" s="545" t="str">
        <f>IF('Marks Entry'!P65="","",'Marks Entry'!P65)</f>
        <v/>
      </c>
      <c r="Y65" s="545" t="str">
        <f>IF('Marks Entry'!Q65="","",'Marks Entry'!Q65)</f>
        <v/>
      </c>
      <c r="Z65" s="545" t="str">
        <f>IF('Marks Entry'!R65="","",'Marks Entry'!R65)</f>
        <v/>
      </c>
      <c r="AA65" s="546" t="str">
        <f t="shared" si="56"/>
        <v/>
      </c>
      <c r="AB65" s="545" t="str">
        <f>IF('Marks Entry'!S65="","",'Marks Entry'!S65)</f>
        <v/>
      </c>
      <c r="AC65" s="546" t="str">
        <f t="shared" si="57"/>
        <v/>
      </c>
      <c r="AD65" s="545" t="str">
        <f>IF('Marks Entry'!T65="","",'Marks Entry'!T65)</f>
        <v/>
      </c>
      <c r="AE65" s="547" t="str">
        <f t="shared" si="58"/>
        <v/>
      </c>
      <c r="AF65" s="152">
        <f t="shared" si="59"/>
        <v>0</v>
      </c>
      <c r="AG65" s="152">
        <f t="shared" si="60"/>
        <v>0</v>
      </c>
      <c r="AH65" s="153" t="str">
        <f t="shared" si="61"/>
        <v/>
      </c>
      <c r="AI65" s="152" t="str">
        <f t="shared" si="62"/>
        <v/>
      </c>
      <c r="AJ65" s="152" t="str">
        <f t="shared" si="63"/>
        <v/>
      </c>
      <c r="AK65" s="152" t="str">
        <f t="shared" si="64"/>
        <v/>
      </c>
      <c r="AL65" s="573" t="str">
        <f>IF('Marks Entry'!U65="","",'Marks Entry'!U65)</f>
        <v/>
      </c>
      <c r="AM65" s="573" t="str">
        <f>IF('Marks Entry'!V65="","",'Marks Entry'!V65)</f>
        <v/>
      </c>
      <c r="AN65" s="573" t="str">
        <f>IF('Marks Entry'!W65="","",'Marks Entry'!W65)</f>
        <v/>
      </c>
      <c r="AO65" s="573" t="str">
        <f>IF('Marks Entry'!X65="","",'Marks Entry'!X65)</f>
        <v/>
      </c>
      <c r="AP65" s="572" t="str">
        <f t="shared" si="65"/>
        <v/>
      </c>
      <c r="AQ65" s="573" t="str">
        <f>IF('Marks Entry'!Y65="","",'Marks Entry'!Y65)</f>
        <v/>
      </c>
      <c r="AR65" s="573" t="str">
        <f>IF('Marks Entry'!Z65="","",'Marks Entry'!Z65)</f>
        <v/>
      </c>
      <c r="AS65" s="572" t="str">
        <f t="shared" si="66"/>
        <v/>
      </c>
      <c r="AT65" s="572" t="str">
        <f t="shared" si="67"/>
        <v/>
      </c>
      <c r="AU65" s="573" t="str">
        <f>IF('Marks Entry'!AA65="","",'Marks Entry'!AA65)</f>
        <v/>
      </c>
      <c r="AV65" s="573" t="str">
        <f>IF('Marks Entry'!AB65="","",'Marks Entry'!AB65)</f>
        <v/>
      </c>
      <c r="AW65" s="572" t="str">
        <f t="shared" si="68"/>
        <v/>
      </c>
      <c r="AX65" s="156" t="str">
        <f t="shared" si="69"/>
        <v/>
      </c>
      <c r="AY65" s="156" t="str">
        <f t="shared" si="70"/>
        <v/>
      </c>
      <c r="AZ65" s="191" t="str">
        <f t="shared" si="71"/>
        <v/>
      </c>
      <c r="BA65" s="152">
        <f t="shared" si="72"/>
        <v>0</v>
      </c>
      <c r="BB65" s="153">
        <f t="shared" si="73"/>
        <v>0</v>
      </c>
      <c r="BC65" s="153" t="str">
        <f t="shared" si="74"/>
        <v/>
      </c>
      <c r="BD65" s="153" t="str">
        <f t="shared" si="75"/>
        <v/>
      </c>
      <c r="BE65" s="153" t="str">
        <f t="shared" si="76"/>
        <v/>
      </c>
      <c r="BF65" s="152" t="str">
        <f t="shared" si="77"/>
        <v/>
      </c>
      <c r="BG65" s="153" t="str">
        <f t="shared" si="175"/>
        <v/>
      </c>
      <c r="BH65" s="152" t="str">
        <f t="shared" si="78"/>
        <v/>
      </c>
      <c r="BI65" s="580" t="str">
        <f>IF('Marks Entry'!AC65="","",'Marks Entry'!AC65)</f>
        <v/>
      </c>
      <c r="BJ65" s="580" t="str">
        <f>IF('Marks Entry'!AD65="","",'Marks Entry'!AD65)</f>
        <v/>
      </c>
      <c r="BK65" s="580" t="str">
        <f>IF('Marks Entry'!AE65="","",'Marks Entry'!AE65)</f>
        <v/>
      </c>
      <c r="BL65" s="580" t="str">
        <f>IF('Marks Entry'!AF65="","",'Marks Entry'!AF65)</f>
        <v/>
      </c>
      <c r="BM65" s="581" t="str">
        <f t="shared" si="79"/>
        <v/>
      </c>
      <c r="BN65" s="580" t="str">
        <f>IF('Marks Entry'!AG65="","",'Marks Entry'!AG65)</f>
        <v/>
      </c>
      <c r="BO65" s="580" t="str">
        <f>IF('Marks Entry'!AH65="","",'Marks Entry'!AH65)</f>
        <v/>
      </c>
      <c r="BP65" s="581" t="str">
        <f t="shared" si="80"/>
        <v/>
      </c>
      <c r="BQ65" s="581" t="str">
        <f t="shared" si="81"/>
        <v/>
      </c>
      <c r="BR65" s="580" t="str">
        <f>IF('Marks Entry'!AI65="","",'Marks Entry'!AI65)</f>
        <v/>
      </c>
      <c r="BS65" s="580" t="str">
        <f>IF('Marks Entry'!AJ65="","",'Marks Entry'!AJ65)</f>
        <v/>
      </c>
      <c r="BT65" s="581" t="str">
        <f t="shared" si="82"/>
        <v/>
      </c>
      <c r="BU65" s="156" t="str">
        <f t="shared" si="83"/>
        <v/>
      </c>
      <c r="BV65" s="156" t="str">
        <f t="shared" si="84"/>
        <v/>
      </c>
      <c r="BW65" s="191" t="str">
        <f t="shared" si="85"/>
        <v/>
      </c>
      <c r="BX65" s="152">
        <f t="shared" si="86"/>
        <v>0</v>
      </c>
      <c r="BY65" s="153">
        <f t="shared" si="87"/>
        <v>0</v>
      </c>
      <c r="BZ65" s="153" t="str">
        <f t="shared" si="88"/>
        <v/>
      </c>
      <c r="CA65" s="153" t="str">
        <f t="shared" si="89"/>
        <v/>
      </c>
      <c r="CB65" s="153" t="str">
        <f t="shared" si="90"/>
        <v/>
      </c>
      <c r="CC65" s="152" t="str">
        <f t="shared" si="91"/>
        <v/>
      </c>
      <c r="CD65" s="153" t="str">
        <f t="shared" si="92"/>
        <v/>
      </c>
      <c r="CE65" s="152" t="str">
        <f t="shared" si="93"/>
        <v/>
      </c>
      <c r="CF65" s="580" t="str">
        <f>IF('Marks Entry'!AK65="","",'Marks Entry'!AK65)</f>
        <v/>
      </c>
      <c r="CG65" s="580" t="str">
        <f>IF('Marks Entry'!AL65="","",'Marks Entry'!AL65)</f>
        <v/>
      </c>
      <c r="CH65" s="580" t="str">
        <f>IF('Marks Entry'!AM65="","",'Marks Entry'!AM65)</f>
        <v/>
      </c>
      <c r="CI65" s="580" t="str">
        <f>IF('Marks Entry'!AN65="","",'Marks Entry'!AN65)</f>
        <v/>
      </c>
      <c r="CJ65" s="581" t="str">
        <f t="shared" si="94"/>
        <v/>
      </c>
      <c r="CK65" s="580" t="str">
        <f>IF('Marks Entry'!AO65="","",'Marks Entry'!AO65)</f>
        <v/>
      </c>
      <c r="CL65" s="580" t="str">
        <f>IF('Marks Entry'!AP65="","",'Marks Entry'!AP65)</f>
        <v/>
      </c>
      <c r="CM65" s="581" t="str">
        <f t="shared" si="95"/>
        <v/>
      </c>
      <c r="CN65" s="581" t="str">
        <f t="shared" si="96"/>
        <v/>
      </c>
      <c r="CO65" s="580" t="str">
        <f>IF('Marks Entry'!AQ65="","",'Marks Entry'!AQ65)</f>
        <v/>
      </c>
      <c r="CP65" s="580" t="str">
        <f>IF('Marks Entry'!AR65="","",'Marks Entry'!AR65)</f>
        <v/>
      </c>
      <c r="CQ65" s="581" t="str">
        <f t="shared" si="97"/>
        <v/>
      </c>
      <c r="CR65" s="156" t="str">
        <f t="shared" si="98"/>
        <v/>
      </c>
      <c r="CS65" s="156" t="str">
        <f t="shared" si="99"/>
        <v/>
      </c>
      <c r="CT65" s="191" t="str">
        <f t="shared" si="100"/>
        <v/>
      </c>
      <c r="CU65" s="152">
        <f t="shared" si="101"/>
        <v>0</v>
      </c>
      <c r="CV65" s="153">
        <f t="shared" si="102"/>
        <v>0</v>
      </c>
      <c r="CW65" s="153" t="str">
        <f t="shared" si="103"/>
        <v/>
      </c>
      <c r="CX65" s="153" t="str">
        <f t="shared" si="104"/>
        <v/>
      </c>
      <c r="CY65" s="153" t="str">
        <f t="shared" si="176"/>
        <v/>
      </c>
      <c r="CZ65" s="152" t="str">
        <f t="shared" si="105"/>
        <v/>
      </c>
      <c r="DA65" s="153" t="str">
        <f t="shared" si="106"/>
        <v/>
      </c>
      <c r="DB65" s="152" t="str">
        <f t="shared" si="107"/>
        <v/>
      </c>
      <c r="DC65" s="153">
        <f t="shared" si="108"/>
        <v>0</v>
      </c>
      <c r="DD65" s="851" t="str">
        <f>IF('Marks Entry'!AS65="","",IF(OR('Master Sheet'!$D$19="YES",'Marks Entry'!$BA$1=1),'Marks Entry'!AS65,""))</f>
        <v/>
      </c>
      <c r="DE65" s="851" t="str">
        <f>IF('Marks Entry'!AT65="","",IF(OR('Master Sheet'!$D$19="YES",'Marks Entry'!$BA$1=1),'Marks Entry'!AT65,""))</f>
        <v/>
      </c>
      <c r="DF65" s="851" t="str">
        <f>IF('Marks Entry'!AU65="","",IF(OR('Master Sheet'!$D$19="YES",'Marks Entry'!$BA$1=1),'Marks Entry'!AU65,""))</f>
        <v/>
      </c>
      <c r="DG65" s="851" t="str">
        <f>IF('Marks Entry'!AV65="","",IF(OR('Master Sheet'!$D$19="YES",'Marks Entry'!$BA$1=1),'Marks Entry'!AV65,""))</f>
        <v/>
      </c>
      <c r="DH65" s="852" t="str">
        <f t="shared" si="109"/>
        <v/>
      </c>
      <c r="DI65" s="851" t="str">
        <f>IF('Marks Entry'!AW65="","",IF(OR('Master Sheet'!$D$19="YES",'Marks Entry'!$BA$1=1),'Marks Entry'!AW65,""))</f>
        <v/>
      </c>
      <c r="DJ65" s="851" t="str">
        <f>IF('Marks Entry'!AX65="","",IF(OR('Master Sheet'!$D$19="YES",'Marks Entry'!$BA$1=1),'Marks Entry'!AX65,""))</f>
        <v/>
      </c>
      <c r="DK65" s="852" t="str">
        <f t="shared" si="110"/>
        <v/>
      </c>
      <c r="DL65" s="852" t="str">
        <f t="shared" si="111"/>
        <v/>
      </c>
      <c r="DM65" s="851" t="str">
        <f>IF('Marks Entry'!AY65="","",IF(OR('Master Sheet'!$D$19="YES",'Marks Entry'!$BA$1=1),'Marks Entry'!AY65,""))</f>
        <v/>
      </c>
      <c r="DN65" s="851" t="str">
        <f>IF('Marks Entry'!AZ65="","",IF(OR('Master Sheet'!$D$19="YES",'Marks Entry'!$BA$1=1),'Marks Entry'!AZ65,""))</f>
        <v/>
      </c>
      <c r="DO65" s="851" t="str">
        <f>IF('Marks Entry'!BA65="","",IF(OR('Master Sheet'!$D$19="YES",'Marks Entry'!$BA$1=1),'Marks Entry'!BA65,""))</f>
        <v/>
      </c>
      <c r="DP65" s="852" t="str">
        <f t="shared" si="112"/>
        <v/>
      </c>
      <c r="DQ65" s="156" t="str">
        <f t="shared" si="113"/>
        <v/>
      </c>
      <c r="DR65" s="156" t="str">
        <f t="shared" si="114"/>
        <v/>
      </c>
      <c r="DS65" s="156" t="str">
        <f t="shared" si="115"/>
        <v/>
      </c>
      <c r="DT65" s="191" t="str">
        <f t="shared" si="116"/>
        <v/>
      </c>
      <c r="DU65" s="152">
        <f t="shared" si="117"/>
        <v>0</v>
      </c>
      <c r="DV65" s="153">
        <f t="shared" si="118"/>
        <v>0</v>
      </c>
      <c r="DW65" s="153" t="str">
        <f t="shared" si="119"/>
        <v/>
      </c>
      <c r="DX65" s="153" t="str">
        <f>IF(OR($B65="NSO",$B65=0,DS65=""),"",IF(AND(DJ65="",DO65=""),"",IF('Master Sheet'!$D$19="YES",$DO$6-COUNTIF(DO65,"ML")*DO$6,DS$6-(COUNTIF(DJ65,"ML")*DJ$6)-(COUNTIF(DO65,"ML")*DO$6))))</f>
        <v/>
      </c>
      <c r="DY65" s="153" t="str">
        <f>IF(OR($B65="NSO",$B65=0),"",IF(AND(DH65="",DI65="",DM65=""),"",IF(AND('Master Sheet'!$D$19="YES",'Marks Entry'!$BA$1=1),100,IF(AND(DJ65="",DO65=""),SUM(($DQ$7+$DR$7)-(DU65+DV65)),SUM(($DQ$6+$DR$6)-(DU65+DV65))))))</f>
        <v/>
      </c>
      <c r="DZ65" s="152" t="str">
        <f t="shared" si="120"/>
        <v/>
      </c>
      <c r="EA65" s="153" t="str">
        <f t="shared" si="121"/>
        <v/>
      </c>
      <c r="EB65" s="152" t="str">
        <f t="shared" si="122"/>
        <v/>
      </c>
      <c r="EC65" s="584" t="str">
        <f>IF('Marks Entry'!BB65="","",'Marks Entry'!BB65)</f>
        <v/>
      </c>
      <c r="ED65" s="584" t="str">
        <f>IF('Marks Entry'!BC65="","",'Marks Entry'!BC65)</f>
        <v/>
      </c>
      <c r="EE65" s="584" t="str">
        <f>IF('Marks Entry'!BD65="","",'Marks Entry'!BD65)</f>
        <v/>
      </c>
      <c r="EF65" s="590" t="str">
        <f t="shared" si="123"/>
        <v/>
      </c>
      <c r="EG65" s="595">
        <f t="shared" si="124"/>
        <v>0</v>
      </c>
      <c r="EH65" s="595">
        <f t="shared" si="125"/>
        <v>0</v>
      </c>
      <c r="EI65" s="192" t="str">
        <f t="shared" si="126"/>
        <v/>
      </c>
      <c r="EJ65" s="595" t="str">
        <f t="shared" si="127"/>
        <v/>
      </c>
      <c r="EK65" s="595" t="str">
        <f t="shared" si="128"/>
        <v/>
      </c>
      <c r="EL65" s="193" t="str">
        <f t="shared" si="129"/>
        <v/>
      </c>
      <c r="EM65" s="193" t="str">
        <f t="shared" si="130"/>
        <v/>
      </c>
      <c r="EN65" s="193" t="str">
        <f t="shared" si="131"/>
        <v/>
      </c>
      <c r="EO65" s="193" t="str">
        <f t="shared" si="132"/>
        <v/>
      </c>
      <c r="EP65" s="193" t="str">
        <f t="shared" si="133"/>
        <v/>
      </c>
      <c r="EQ65" s="193" t="str">
        <f t="shared" si="134"/>
        <v/>
      </c>
      <c r="ER65" s="194">
        <f t="shared" si="135"/>
        <v>0</v>
      </c>
      <c r="ES65" s="194">
        <f t="shared" si="136"/>
        <v>0</v>
      </c>
      <c r="ET65" s="194">
        <f t="shared" si="137"/>
        <v>0</v>
      </c>
      <c r="EU65" s="194">
        <f t="shared" si="138"/>
        <v>0</v>
      </c>
      <c r="EV65" s="194">
        <f t="shared" si="139"/>
        <v>0</v>
      </c>
      <c r="EW65" s="194" t="str">
        <f t="shared" si="140"/>
        <v/>
      </c>
      <c r="EX65" s="195" t="str">
        <f t="shared" si="141"/>
        <v/>
      </c>
      <c r="EY65" s="196" t="str">
        <f>IF('Marks Entry'!BE65="","",'Marks Entry'!BE65)</f>
        <v/>
      </c>
      <c r="EZ65" s="196" t="str">
        <f>IF('Marks Entry'!BF65="","",'Marks Entry'!BF65)</f>
        <v/>
      </c>
      <c r="FA65" s="196" t="str">
        <f>IF('Marks Entry'!BG65="","",'Marks Entry'!BG65)</f>
        <v/>
      </c>
      <c r="FB65" s="596" t="str">
        <f t="shared" si="142"/>
        <v/>
      </c>
      <c r="FC65" s="196" t="str">
        <f>IF('Marks Entry'!BH65="","",'Marks Entry'!BH65)</f>
        <v/>
      </c>
      <c r="FD65" s="196" t="str">
        <f>IF('Marks Entry'!BI65="","",'Marks Entry'!BI65)</f>
        <v/>
      </c>
      <c r="FE65" s="197" t="str">
        <f t="shared" si="143"/>
        <v/>
      </c>
      <c r="FF65" s="198" t="str">
        <f t="shared" si="144"/>
        <v/>
      </c>
      <c r="FG65" s="199" t="str">
        <f>IF(AND(E65=""),"",IF('Student DATA Entry'!L61="","",'Student DATA Entry'!L61))</f>
        <v/>
      </c>
      <c r="FH65" s="200" t="str">
        <f>IF(AND(E65=""),"",IF('Student DATA Entry'!M61="","",'Student DATA Entry'!M61))</f>
        <v/>
      </c>
      <c r="FI65" s="201" t="str">
        <f t="shared" si="145"/>
        <v/>
      </c>
      <c r="FJ65" s="188" t="str">
        <f t="shared" si="146"/>
        <v/>
      </c>
      <c r="FK65" s="188" t="str">
        <f t="shared" si="147"/>
        <v/>
      </c>
      <c r="FL65" s="202" t="str">
        <f t="shared" si="178"/>
        <v/>
      </c>
      <c r="FM65" s="188" t="str">
        <f t="shared" si="148"/>
        <v/>
      </c>
      <c r="FN65" s="203" t="str">
        <f t="shared" si="149"/>
        <v/>
      </c>
      <c r="FO65" s="202" t="str">
        <f t="shared" si="179"/>
        <v/>
      </c>
      <c r="FP65" s="204" t="str">
        <f t="shared" si="150"/>
        <v/>
      </c>
      <c r="FQ65" s="188" t="str">
        <f t="shared" si="180"/>
        <v/>
      </c>
      <c r="FR65" s="188" t="str">
        <f t="shared" si="181"/>
        <v/>
      </c>
      <c r="FS65" s="188" t="str">
        <f t="shared" si="182"/>
        <v/>
      </c>
      <c r="FT65" s="188" t="str">
        <f t="shared" si="183"/>
        <v/>
      </c>
      <c r="FU65" s="188" t="str">
        <f t="shared" si="151"/>
        <v/>
      </c>
      <c r="FV65" s="205" t="str">
        <f t="shared" si="184"/>
        <v/>
      </c>
      <c r="FW65" s="204" t="str">
        <f t="shared" si="152"/>
        <v/>
      </c>
      <c r="FX65" s="188" t="str">
        <f t="shared" si="185"/>
        <v/>
      </c>
      <c r="FY65" s="188" t="str">
        <f t="shared" si="186"/>
        <v/>
      </c>
      <c r="FZ65" s="188" t="str">
        <f t="shared" si="187"/>
        <v/>
      </c>
      <c r="GA65" s="188" t="str">
        <f t="shared" si="188"/>
        <v/>
      </c>
      <c r="GB65" s="188" t="str">
        <f t="shared" si="153"/>
        <v/>
      </c>
      <c r="GC65" s="205" t="str">
        <f t="shared" si="189"/>
        <v/>
      </c>
      <c r="GD65" s="204" t="str">
        <f t="shared" si="154"/>
        <v/>
      </c>
      <c r="GE65" s="188" t="str">
        <f t="shared" si="190"/>
        <v/>
      </c>
      <c r="GF65" s="188" t="str">
        <f t="shared" si="191"/>
        <v/>
      </c>
      <c r="GG65" s="188" t="str">
        <f t="shared" si="192"/>
        <v/>
      </c>
      <c r="GH65" s="188" t="str">
        <f t="shared" si="193"/>
        <v/>
      </c>
      <c r="GI65" s="188" t="str">
        <f t="shared" si="155"/>
        <v/>
      </c>
      <c r="GJ65" s="205" t="str">
        <f t="shared" si="194"/>
        <v/>
      </c>
      <c r="GK65" s="204" t="str">
        <f t="shared" si="156"/>
        <v/>
      </c>
      <c r="GL65" s="188" t="str">
        <f t="shared" si="195"/>
        <v/>
      </c>
      <c r="GM65" s="188" t="str">
        <f t="shared" si="196"/>
        <v/>
      </c>
      <c r="GN65" s="188" t="str">
        <f t="shared" si="197"/>
        <v/>
      </c>
      <c r="GO65" s="188" t="str">
        <f t="shared" si="198"/>
        <v/>
      </c>
      <c r="GP65" s="188" t="str">
        <f t="shared" si="157"/>
        <v/>
      </c>
      <c r="GQ65" s="205" t="str">
        <f t="shared" si="199"/>
        <v/>
      </c>
      <c r="GR65" s="188" t="str">
        <f t="shared" si="158"/>
        <v/>
      </c>
      <c r="GS65" s="188" t="str">
        <f t="shared" si="159"/>
        <v/>
      </c>
      <c r="GT65" s="206" t="str">
        <f t="shared" si="177"/>
        <v xml:space="preserve">    </v>
      </c>
      <c r="GU65" s="206" t="str">
        <f t="shared" si="160"/>
        <v xml:space="preserve">    </v>
      </c>
      <c r="GV65" s="206" t="str">
        <f t="shared" si="161"/>
        <v xml:space="preserve">    </v>
      </c>
      <c r="GW65" s="206" t="str">
        <f t="shared" si="162"/>
        <v xml:space="preserve">       </v>
      </c>
      <c r="GX65" s="598" t="str">
        <f t="shared" si="163"/>
        <v xml:space="preserve">     </v>
      </c>
      <c r="GY65" s="207" t="str">
        <f t="shared" si="200"/>
        <v/>
      </c>
      <c r="GZ65" s="606" t="str">
        <f>IF(AND(Q65="",AE65="",AZ65="",BW65="",CT65=""),"",IF(AND('Master Sheet'!$D$19="YES",'Marks Entry'!$BA$1=1),SUM(Q65,AE65,AZ65,BW65,DT65),SUM(Q65,AE65,AZ65,BW65,CT65)))</f>
        <v/>
      </c>
      <c r="HA65" s="208" t="str">
        <f>IF(GZ65="","",IF(AND('Master Sheet'!$D$19="YES",'Marks Entry'!$BA$1=1),GZ65/((900)-DC65)*100,GZ65/((1000)-DC65)*100))</f>
        <v/>
      </c>
      <c r="HB65" s="611" t="str">
        <f t="shared" si="165"/>
        <v/>
      </c>
      <c r="HC65" s="609" t="str">
        <f t="shared" si="166"/>
        <v/>
      </c>
      <c r="HD65" s="610" t="str">
        <f t="shared" si="167"/>
        <v/>
      </c>
      <c r="HE65" s="209" t="str">
        <f>IFERROR(IF(OR(GY65="SUPPLEMENTARY",GY65="RE-EXAM"),'Supp. Result Entry'!AS64,""),"")</f>
        <v/>
      </c>
      <c r="HF65" s="613" t="str">
        <f t="shared" si="168"/>
        <v/>
      </c>
      <c r="HG65" s="598" t="str">
        <f t="shared" si="169"/>
        <v/>
      </c>
      <c r="HH65" s="598" t="str">
        <f>IF(AND(HE65="",HF65="",HG65=""),"",IF(OR(GY65="SUPPLEMENTARY",GY65="RE-EXAM"),'Supp. Result Entry'!AS64,GY65))</f>
        <v/>
      </c>
      <c r="HI65" s="179"/>
      <c r="HY65" s="211" t="str">
        <f>IF('Supp. Result Entry'!U64="","",'Supp. Result Entry'!$U$6)</f>
        <v/>
      </c>
      <c r="HZ65" s="212" t="str">
        <f>IF('Supp. Result Entry'!X64="","",'Supp. Result Entry'!$X$6)</f>
        <v/>
      </c>
      <c r="IA65" s="212" t="str">
        <f>IF('Supp. Result Entry'!AA64="","",'Supp. Result Entry'!$AA$6)</f>
        <v/>
      </c>
      <c r="IB65" s="212" t="str">
        <f>IF('Supp. Result Entry'!AD64="","",'Supp. Result Entry'!$AD$6)</f>
        <v/>
      </c>
      <c r="IC65" s="212" t="str">
        <f>IF('Supp. Result Entry'!AG64="","",'Supp. Result Entry'!$AG$6)</f>
        <v/>
      </c>
      <c r="ID65" s="212" t="str">
        <f>IF('Supp. Result Entry'!AJ64="","",'Supp. Result Entry'!$AJ$6)</f>
        <v/>
      </c>
      <c r="IE65" s="212" t="str">
        <f>IF('Supp. Result Entry'!V64="","",'Supp. Result Entry'!V64)</f>
        <v/>
      </c>
      <c r="IF65" s="212" t="str">
        <f>IF('Supp. Result Entry'!Y64="","",'Supp. Result Entry'!Y64)</f>
        <v/>
      </c>
      <c r="IG65" s="212" t="str">
        <f>IF('Supp. Result Entry'!AB64="","",'Supp. Result Entry'!AB64)</f>
        <v/>
      </c>
      <c r="IH65" s="212" t="str">
        <f>IF('Supp. Result Entry'!AE64="","",'Supp. Result Entry'!AE64)</f>
        <v/>
      </c>
      <c r="II65" s="212" t="str">
        <f>IF('Supp. Result Entry'!AH64="","",'Supp. Result Entry'!AH64)</f>
        <v/>
      </c>
      <c r="IJ65" s="212" t="str">
        <f>IF('Supp. Result Entry'!AK64="","",'Supp. Result Entry'!AK64)</f>
        <v/>
      </c>
      <c r="IK65" s="212" t="str">
        <f>IF('Supp. Result Entry'!W64="","",'Supp. Result Entry'!W64)</f>
        <v/>
      </c>
      <c r="IL65" s="212" t="str">
        <f>IF('Supp. Result Entry'!Z64="","",'Supp. Result Entry'!Z64)</f>
        <v/>
      </c>
      <c r="IM65" s="212" t="str">
        <f>IF('Supp. Result Entry'!AC64="","",'Supp. Result Entry'!AC64)</f>
        <v/>
      </c>
      <c r="IN65" s="212" t="str">
        <f>IF('Supp. Result Entry'!AF64="","",'Supp. Result Entry'!AF64)</f>
        <v/>
      </c>
      <c r="IO65" s="212" t="str">
        <f>IF('Supp. Result Entry'!AI64="","",'Supp. Result Entry'!AI64)</f>
        <v/>
      </c>
      <c r="IP65" s="212" t="str">
        <f>IF('Supp. Result Entry'!AL64="","",'Supp. Result Entry'!AL64)</f>
        <v/>
      </c>
      <c r="IQ65" s="212">
        <f>COUNTIF('Supp. Result Entry'!K64:Q64,"S")</f>
        <v>0</v>
      </c>
      <c r="IR65" s="212">
        <f t="shared" si="170"/>
        <v>0</v>
      </c>
      <c r="IS65" s="212">
        <f t="shared" si="171"/>
        <v>0</v>
      </c>
      <c r="IT65" s="212" t="str">
        <f t="shared" si="41"/>
        <v/>
      </c>
      <c r="IU65" s="212" t="str">
        <f t="shared" si="42"/>
        <v/>
      </c>
      <c r="IV65" s="212" t="str">
        <f t="shared" si="43"/>
        <v/>
      </c>
      <c r="IW65" s="212" t="str">
        <f t="shared" si="44"/>
        <v/>
      </c>
      <c r="IX65" s="212" t="str">
        <f t="shared" si="45"/>
        <v/>
      </c>
      <c r="IY65" s="212" t="str">
        <f t="shared" si="172"/>
        <v/>
      </c>
      <c r="IZ65" s="212" t="str">
        <f t="shared" si="173"/>
        <v/>
      </c>
      <c r="JA65" s="212" t="str">
        <f t="shared" si="46"/>
        <v/>
      </c>
      <c r="JB65" s="210" t="str">
        <f t="shared" si="174"/>
        <v/>
      </c>
    </row>
    <row r="66" spans="1:262" s="210" customFormat="1" ht="21" customHeight="1">
      <c r="A66" s="183">
        <v>59</v>
      </c>
      <c r="B66" s="184" t="str">
        <f>IF('Marks Entry'!B66="","",'Marks Entry'!B66)</f>
        <v/>
      </c>
      <c r="C66" s="185" t="str">
        <f>IF('Marks Entry'!D66="","",'Marks Entry'!D66)</f>
        <v/>
      </c>
      <c r="D66" s="186" t="str">
        <f>IF('Marks Entry'!E66="","",'Marks Entry'!E66)</f>
        <v/>
      </c>
      <c r="E66" s="187" t="str">
        <f>IF('Marks Entry'!F66="","",'Marks Entry'!F66)</f>
        <v/>
      </c>
      <c r="F66" s="187" t="str">
        <f>IF('Marks Entry'!G66="","",'Marks Entry'!G66)</f>
        <v/>
      </c>
      <c r="G66" s="187" t="str">
        <f>IF('Marks Entry'!H66="","",'Marks Entry'!H66)</f>
        <v/>
      </c>
      <c r="H66" s="188" t="str">
        <f>IF('Marks Entry'!I66="","",'Marks Entry'!I66)</f>
        <v/>
      </c>
      <c r="I66" s="189" t="str">
        <f>IF('Marks Entry'!J66="","",'Marks Entry'!J66)</f>
        <v/>
      </c>
      <c r="J66" s="545" t="str">
        <f>IF('Marks Entry'!K66="","",'Marks Entry'!K66)</f>
        <v/>
      </c>
      <c r="K66" s="545" t="str">
        <f>IF('Marks Entry'!L66="","",'Marks Entry'!L66)</f>
        <v/>
      </c>
      <c r="L66" s="545" t="str">
        <f>IF('Marks Entry'!M66="","",'Marks Entry'!M66)</f>
        <v/>
      </c>
      <c r="M66" s="546" t="str">
        <f t="shared" si="47"/>
        <v/>
      </c>
      <c r="N66" s="545" t="str">
        <f>IF('Marks Entry'!N66="","",'Marks Entry'!N66)</f>
        <v/>
      </c>
      <c r="O66" s="546" t="str">
        <f t="shared" si="48"/>
        <v/>
      </c>
      <c r="P66" s="545" t="str">
        <f>IF('Marks Entry'!O66="","",'Marks Entry'!O66)</f>
        <v/>
      </c>
      <c r="Q66" s="547" t="str">
        <f t="shared" si="49"/>
        <v/>
      </c>
      <c r="R66" s="152">
        <f t="shared" si="50"/>
        <v>0</v>
      </c>
      <c r="S66" s="152">
        <f t="shared" si="51"/>
        <v>0</v>
      </c>
      <c r="T66" s="153" t="str">
        <f t="shared" si="52"/>
        <v/>
      </c>
      <c r="U66" s="152" t="str">
        <f t="shared" si="53"/>
        <v/>
      </c>
      <c r="V66" s="152" t="str">
        <f t="shared" si="54"/>
        <v/>
      </c>
      <c r="W66" s="152" t="str">
        <f t="shared" si="55"/>
        <v/>
      </c>
      <c r="X66" s="545" t="str">
        <f>IF('Marks Entry'!P66="","",'Marks Entry'!P66)</f>
        <v/>
      </c>
      <c r="Y66" s="545" t="str">
        <f>IF('Marks Entry'!Q66="","",'Marks Entry'!Q66)</f>
        <v/>
      </c>
      <c r="Z66" s="545" t="str">
        <f>IF('Marks Entry'!R66="","",'Marks Entry'!R66)</f>
        <v/>
      </c>
      <c r="AA66" s="546" t="str">
        <f t="shared" si="56"/>
        <v/>
      </c>
      <c r="AB66" s="545" t="str">
        <f>IF('Marks Entry'!S66="","",'Marks Entry'!S66)</f>
        <v/>
      </c>
      <c r="AC66" s="546" t="str">
        <f t="shared" si="57"/>
        <v/>
      </c>
      <c r="AD66" s="545" t="str">
        <f>IF('Marks Entry'!T66="","",'Marks Entry'!T66)</f>
        <v/>
      </c>
      <c r="AE66" s="547" t="str">
        <f t="shared" si="58"/>
        <v/>
      </c>
      <c r="AF66" s="152">
        <f t="shared" si="59"/>
        <v>0</v>
      </c>
      <c r="AG66" s="152">
        <f t="shared" si="60"/>
        <v>0</v>
      </c>
      <c r="AH66" s="153" t="str">
        <f t="shared" si="61"/>
        <v/>
      </c>
      <c r="AI66" s="152" t="str">
        <f t="shared" si="62"/>
        <v/>
      </c>
      <c r="AJ66" s="152" t="str">
        <f t="shared" si="63"/>
        <v/>
      </c>
      <c r="AK66" s="152" t="str">
        <f t="shared" si="64"/>
        <v/>
      </c>
      <c r="AL66" s="573" t="str">
        <f>IF('Marks Entry'!U66="","",'Marks Entry'!U66)</f>
        <v/>
      </c>
      <c r="AM66" s="573" t="str">
        <f>IF('Marks Entry'!V66="","",'Marks Entry'!V66)</f>
        <v/>
      </c>
      <c r="AN66" s="573" t="str">
        <f>IF('Marks Entry'!W66="","",'Marks Entry'!W66)</f>
        <v/>
      </c>
      <c r="AO66" s="573" t="str">
        <f>IF('Marks Entry'!X66="","",'Marks Entry'!X66)</f>
        <v/>
      </c>
      <c r="AP66" s="572" t="str">
        <f t="shared" si="65"/>
        <v/>
      </c>
      <c r="AQ66" s="573" t="str">
        <f>IF('Marks Entry'!Y66="","",'Marks Entry'!Y66)</f>
        <v/>
      </c>
      <c r="AR66" s="573" t="str">
        <f>IF('Marks Entry'!Z66="","",'Marks Entry'!Z66)</f>
        <v/>
      </c>
      <c r="AS66" s="572" t="str">
        <f t="shared" si="66"/>
        <v/>
      </c>
      <c r="AT66" s="572" t="str">
        <f t="shared" si="67"/>
        <v/>
      </c>
      <c r="AU66" s="573" t="str">
        <f>IF('Marks Entry'!AA66="","",'Marks Entry'!AA66)</f>
        <v/>
      </c>
      <c r="AV66" s="573" t="str">
        <f>IF('Marks Entry'!AB66="","",'Marks Entry'!AB66)</f>
        <v/>
      </c>
      <c r="AW66" s="572" t="str">
        <f t="shared" si="68"/>
        <v/>
      </c>
      <c r="AX66" s="156" t="str">
        <f t="shared" si="69"/>
        <v/>
      </c>
      <c r="AY66" s="156" t="str">
        <f t="shared" si="70"/>
        <v/>
      </c>
      <c r="AZ66" s="191" t="str">
        <f t="shared" si="71"/>
        <v/>
      </c>
      <c r="BA66" s="152">
        <f t="shared" si="72"/>
        <v>0</v>
      </c>
      <c r="BB66" s="153">
        <f t="shared" si="73"/>
        <v>0</v>
      </c>
      <c r="BC66" s="153" t="str">
        <f t="shared" si="74"/>
        <v/>
      </c>
      <c r="BD66" s="153" t="str">
        <f t="shared" si="75"/>
        <v/>
      </c>
      <c r="BE66" s="153" t="str">
        <f t="shared" si="76"/>
        <v/>
      </c>
      <c r="BF66" s="152" t="str">
        <f t="shared" si="77"/>
        <v/>
      </c>
      <c r="BG66" s="153" t="str">
        <f t="shared" si="175"/>
        <v/>
      </c>
      <c r="BH66" s="152" t="str">
        <f t="shared" si="78"/>
        <v/>
      </c>
      <c r="BI66" s="580" t="str">
        <f>IF('Marks Entry'!AC66="","",'Marks Entry'!AC66)</f>
        <v/>
      </c>
      <c r="BJ66" s="580" t="str">
        <f>IF('Marks Entry'!AD66="","",'Marks Entry'!AD66)</f>
        <v/>
      </c>
      <c r="BK66" s="580" t="str">
        <f>IF('Marks Entry'!AE66="","",'Marks Entry'!AE66)</f>
        <v/>
      </c>
      <c r="BL66" s="580" t="str">
        <f>IF('Marks Entry'!AF66="","",'Marks Entry'!AF66)</f>
        <v/>
      </c>
      <c r="BM66" s="581" t="str">
        <f t="shared" si="79"/>
        <v/>
      </c>
      <c r="BN66" s="580" t="str">
        <f>IF('Marks Entry'!AG66="","",'Marks Entry'!AG66)</f>
        <v/>
      </c>
      <c r="BO66" s="580" t="str">
        <f>IF('Marks Entry'!AH66="","",'Marks Entry'!AH66)</f>
        <v/>
      </c>
      <c r="BP66" s="581" t="str">
        <f t="shared" si="80"/>
        <v/>
      </c>
      <c r="BQ66" s="581" t="str">
        <f t="shared" si="81"/>
        <v/>
      </c>
      <c r="BR66" s="580" t="str">
        <f>IF('Marks Entry'!AI66="","",'Marks Entry'!AI66)</f>
        <v/>
      </c>
      <c r="BS66" s="580" t="str">
        <f>IF('Marks Entry'!AJ66="","",'Marks Entry'!AJ66)</f>
        <v/>
      </c>
      <c r="BT66" s="581" t="str">
        <f t="shared" si="82"/>
        <v/>
      </c>
      <c r="BU66" s="156" t="str">
        <f t="shared" si="83"/>
        <v/>
      </c>
      <c r="BV66" s="156" t="str">
        <f t="shared" si="84"/>
        <v/>
      </c>
      <c r="BW66" s="191" t="str">
        <f t="shared" si="85"/>
        <v/>
      </c>
      <c r="BX66" s="152">
        <f t="shared" si="86"/>
        <v>0</v>
      </c>
      <c r="BY66" s="153">
        <f t="shared" si="87"/>
        <v>0</v>
      </c>
      <c r="BZ66" s="153" t="str">
        <f t="shared" si="88"/>
        <v/>
      </c>
      <c r="CA66" s="153" t="str">
        <f t="shared" si="89"/>
        <v/>
      </c>
      <c r="CB66" s="153" t="str">
        <f t="shared" si="90"/>
        <v/>
      </c>
      <c r="CC66" s="152" t="str">
        <f t="shared" si="91"/>
        <v/>
      </c>
      <c r="CD66" s="153" t="str">
        <f t="shared" si="92"/>
        <v/>
      </c>
      <c r="CE66" s="152" t="str">
        <f t="shared" si="93"/>
        <v/>
      </c>
      <c r="CF66" s="580" t="str">
        <f>IF('Marks Entry'!AK66="","",'Marks Entry'!AK66)</f>
        <v/>
      </c>
      <c r="CG66" s="580" t="str">
        <f>IF('Marks Entry'!AL66="","",'Marks Entry'!AL66)</f>
        <v/>
      </c>
      <c r="CH66" s="580" t="str">
        <f>IF('Marks Entry'!AM66="","",'Marks Entry'!AM66)</f>
        <v/>
      </c>
      <c r="CI66" s="580" t="str">
        <f>IF('Marks Entry'!AN66="","",'Marks Entry'!AN66)</f>
        <v/>
      </c>
      <c r="CJ66" s="581" t="str">
        <f t="shared" si="94"/>
        <v/>
      </c>
      <c r="CK66" s="580" t="str">
        <f>IF('Marks Entry'!AO66="","",'Marks Entry'!AO66)</f>
        <v/>
      </c>
      <c r="CL66" s="580" t="str">
        <f>IF('Marks Entry'!AP66="","",'Marks Entry'!AP66)</f>
        <v/>
      </c>
      <c r="CM66" s="581" t="str">
        <f t="shared" si="95"/>
        <v/>
      </c>
      <c r="CN66" s="581" t="str">
        <f t="shared" si="96"/>
        <v/>
      </c>
      <c r="CO66" s="580" t="str">
        <f>IF('Marks Entry'!AQ66="","",'Marks Entry'!AQ66)</f>
        <v/>
      </c>
      <c r="CP66" s="580" t="str">
        <f>IF('Marks Entry'!AR66="","",'Marks Entry'!AR66)</f>
        <v/>
      </c>
      <c r="CQ66" s="581" t="str">
        <f t="shared" si="97"/>
        <v/>
      </c>
      <c r="CR66" s="156" t="str">
        <f t="shared" si="98"/>
        <v/>
      </c>
      <c r="CS66" s="156" t="str">
        <f t="shared" si="99"/>
        <v/>
      </c>
      <c r="CT66" s="191" t="str">
        <f t="shared" si="100"/>
        <v/>
      </c>
      <c r="CU66" s="152">
        <f t="shared" si="101"/>
        <v>0</v>
      </c>
      <c r="CV66" s="153">
        <f t="shared" si="102"/>
        <v>0</v>
      </c>
      <c r="CW66" s="153" t="str">
        <f t="shared" si="103"/>
        <v/>
      </c>
      <c r="CX66" s="153" t="str">
        <f t="shared" si="104"/>
        <v/>
      </c>
      <c r="CY66" s="153" t="str">
        <f t="shared" si="176"/>
        <v/>
      </c>
      <c r="CZ66" s="152" t="str">
        <f t="shared" si="105"/>
        <v/>
      </c>
      <c r="DA66" s="153" t="str">
        <f t="shared" si="106"/>
        <v/>
      </c>
      <c r="DB66" s="152" t="str">
        <f t="shared" si="107"/>
        <v/>
      </c>
      <c r="DC66" s="153">
        <f t="shared" si="108"/>
        <v>0</v>
      </c>
      <c r="DD66" s="851" t="str">
        <f>IF('Marks Entry'!AS66="","",IF(OR('Master Sheet'!$D$19="YES",'Marks Entry'!$BA$1=1),'Marks Entry'!AS66,""))</f>
        <v/>
      </c>
      <c r="DE66" s="851" t="str">
        <f>IF('Marks Entry'!AT66="","",IF(OR('Master Sheet'!$D$19="YES",'Marks Entry'!$BA$1=1),'Marks Entry'!AT66,""))</f>
        <v/>
      </c>
      <c r="DF66" s="851" t="str">
        <f>IF('Marks Entry'!AU66="","",IF(OR('Master Sheet'!$D$19="YES",'Marks Entry'!$BA$1=1),'Marks Entry'!AU66,""))</f>
        <v/>
      </c>
      <c r="DG66" s="851" t="str">
        <f>IF('Marks Entry'!AV66="","",IF(OR('Master Sheet'!$D$19="YES",'Marks Entry'!$BA$1=1),'Marks Entry'!AV66,""))</f>
        <v/>
      </c>
      <c r="DH66" s="852" t="str">
        <f t="shared" si="109"/>
        <v/>
      </c>
      <c r="DI66" s="851" t="str">
        <f>IF('Marks Entry'!AW66="","",IF(OR('Master Sheet'!$D$19="YES",'Marks Entry'!$BA$1=1),'Marks Entry'!AW66,""))</f>
        <v/>
      </c>
      <c r="DJ66" s="851" t="str">
        <f>IF('Marks Entry'!AX66="","",IF(OR('Master Sheet'!$D$19="YES",'Marks Entry'!$BA$1=1),'Marks Entry'!AX66,""))</f>
        <v/>
      </c>
      <c r="DK66" s="852" t="str">
        <f t="shared" si="110"/>
        <v/>
      </c>
      <c r="DL66" s="852" t="str">
        <f t="shared" si="111"/>
        <v/>
      </c>
      <c r="DM66" s="851" t="str">
        <f>IF('Marks Entry'!AY66="","",IF(OR('Master Sheet'!$D$19="YES",'Marks Entry'!$BA$1=1),'Marks Entry'!AY66,""))</f>
        <v/>
      </c>
      <c r="DN66" s="851" t="str">
        <f>IF('Marks Entry'!AZ66="","",IF(OR('Master Sheet'!$D$19="YES",'Marks Entry'!$BA$1=1),'Marks Entry'!AZ66,""))</f>
        <v/>
      </c>
      <c r="DO66" s="851" t="str">
        <f>IF('Marks Entry'!BA66="","",IF(OR('Master Sheet'!$D$19="YES",'Marks Entry'!$BA$1=1),'Marks Entry'!BA66,""))</f>
        <v/>
      </c>
      <c r="DP66" s="852" t="str">
        <f t="shared" si="112"/>
        <v/>
      </c>
      <c r="DQ66" s="156" t="str">
        <f t="shared" si="113"/>
        <v/>
      </c>
      <c r="DR66" s="156" t="str">
        <f t="shared" si="114"/>
        <v/>
      </c>
      <c r="DS66" s="156" t="str">
        <f t="shared" si="115"/>
        <v/>
      </c>
      <c r="DT66" s="191" t="str">
        <f t="shared" si="116"/>
        <v/>
      </c>
      <c r="DU66" s="152">
        <f t="shared" si="117"/>
        <v>0</v>
      </c>
      <c r="DV66" s="153">
        <f t="shared" si="118"/>
        <v>0</v>
      </c>
      <c r="DW66" s="153" t="str">
        <f t="shared" si="119"/>
        <v/>
      </c>
      <c r="DX66" s="153" t="str">
        <f>IF(OR($B66="NSO",$B66=0,DS66=""),"",IF(AND(DJ66="",DO66=""),"",IF('Master Sheet'!$D$19="YES",$DO$6-COUNTIF(DO66,"ML")*DO$6,DS$6-(COUNTIF(DJ66,"ML")*DJ$6)-(COUNTIF(DO66,"ML")*DO$6))))</f>
        <v/>
      </c>
      <c r="DY66" s="153" t="str">
        <f>IF(OR($B66="NSO",$B66=0),"",IF(AND(DH66="",DI66="",DM66=""),"",IF(AND('Master Sheet'!$D$19="YES",'Marks Entry'!$BA$1=1),100,IF(AND(DJ66="",DO66=""),SUM(($DQ$7+$DR$7)-(DU66+DV66)),SUM(($DQ$6+$DR$6)-(DU66+DV66))))))</f>
        <v/>
      </c>
      <c r="DZ66" s="152" t="str">
        <f t="shared" si="120"/>
        <v/>
      </c>
      <c r="EA66" s="153" t="str">
        <f t="shared" si="121"/>
        <v/>
      </c>
      <c r="EB66" s="152" t="str">
        <f t="shared" si="122"/>
        <v/>
      </c>
      <c r="EC66" s="584" t="str">
        <f>IF('Marks Entry'!BB66="","",'Marks Entry'!BB66)</f>
        <v/>
      </c>
      <c r="ED66" s="584" t="str">
        <f>IF('Marks Entry'!BC66="","",'Marks Entry'!BC66)</f>
        <v/>
      </c>
      <c r="EE66" s="584" t="str">
        <f>IF('Marks Entry'!BD66="","",'Marks Entry'!BD66)</f>
        <v/>
      </c>
      <c r="EF66" s="590" t="str">
        <f t="shared" si="123"/>
        <v/>
      </c>
      <c r="EG66" s="595">
        <f t="shared" si="124"/>
        <v>0</v>
      </c>
      <c r="EH66" s="595">
        <f t="shared" si="125"/>
        <v>0</v>
      </c>
      <c r="EI66" s="192" t="str">
        <f t="shared" si="126"/>
        <v/>
      </c>
      <c r="EJ66" s="595" t="str">
        <f t="shared" si="127"/>
        <v/>
      </c>
      <c r="EK66" s="595" t="str">
        <f t="shared" si="128"/>
        <v/>
      </c>
      <c r="EL66" s="193" t="str">
        <f t="shared" si="129"/>
        <v/>
      </c>
      <c r="EM66" s="193" t="str">
        <f t="shared" si="130"/>
        <v/>
      </c>
      <c r="EN66" s="193" t="str">
        <f t="shared" si="131"/>
        <v/>
      </c>
      <c r="EO66" s="193" t="str">
        <f t="shared" si="132"/>
        <v/>
      </c>
      <c r="EP66" s="193" t="str">
        <f t="shared" si="133"/>
        <v/>
      </c>
      <c r="EQ66" s="193" t="str">
        <f t="shared" si="134"/>
        <v/>
      </c>
      <c r="ER66" s="194">
        <f t="shared" si="135"/>
        <v>0</v>
      </c>
      <c r="ES66" s="194">
        <f t="shared" si="136"/>
        <v>0</v>
      </c>
      <c r="ET66" s="194">
        <f t="shared" si="137"/>
        <v>0</v>
      </c>
      <c r="EU66" s="194">
        <f t="shared" si="138"/>
        <v>0</v>
      </c>
      <c r="EV66" s="194">
        <f t="shared" si="139"/>
        <v>0</v>
      </c>
      <c r="EW66" s="194" t="str">
        <f t="shared" si="140"/>
        <v/>
      </c>
      <c r="EX66" s="195" t="str">
        <f t="shared" si="141"/>
        <v/>
      </c>
      <c r="EY66" s="196" t="str">
        <f>IF('Marks Entry'!BE66="","",'Marks Entry'!BE66)</f>
        <v/>
      </c>
      <c r="EZ66" s="196" t="str">
        <f>IF('Marks Entry'!BF66="","",'Marks Entry'!BF66)</f>
        <v/>
      </c>
      <c r="FA66" s="196" t="str">
        <f>IF('Marks Entry'!BG66="","",'Marks Entry'!BG66)</f>
        <v/>
      </c>
      <c r="FB66" s="596" t="str">
        <f t="shared" si="142"/>
        <v/>
      </c>
      <c r="FC66" s="196" t="str">
        <f>IF('Marks Entry'!BH66="","",'Marks Entry'!BH66)</f>
        <v/>
      </c>
      <c r="FD66" s="196" t="str">
        <f>IF('Marks Entry'!BI66="","",'Marks Entry'!BI66)</f>
        <v/>
      </c>
      <c r="FE66" s="197" t="str">
        <f t="shared" si="143"/>
        <v/>
      </c>
      <c r="FF66" s="198" t="str">
        <f t="shared" si="144"/>
        <v/>
      </c>
      <c r="FG66" s="199" t="str">
        <f>IF(AND(E66=""),"",IF('Student DATA Entry'!L62="","",'Student DATA Entry'!L62))</f>
        <v/>
      </c>
      <c r="FH66" s="200" t="str">
        <f>IF(AND(E66=""),"",IF('Student DATA Entry'!M62="","",'Student DATA Entry'!M62))</f>
        <v/>
      </c>
      <c r="FI66" s="201" t="str">
        <f t="shared" si="145"/>
        <v/>
      </c>
      <c r="FJ66" s="188" t="str">
        <f t="shared" si="146"/>
        <v/>
      </c>
      <c r="FK66" s="188" t="str">
        <f t="shared" si="147"/>
        <v/>
      </c>
      <c r="FL66" s="202" t="str">
        <f t="shared" si="178"/>
        <v/>
      </c>
      <c r="FM66" s="188" t="str">
        <f t="shared" si="148"/>
        <v/>
      </c>
      <c r="FN66" s="203" t="str">
        <f t="shared" si="149"/>
        <v/>
      </c>
      <c r="FO66" s="202" t="str">
        <f t="shared" si="179"/>
        <v/>
      </c>
      <c r="FP66" s="204" t="str">
        <f t="shared" si="150"/>
        <v/>
      </c>
      <c r="FQ66" s="188" t="str">
        <f t="shared" si="180"/>
        <v/>
      </c>
      <c r="FR66" s="188" t="str">
        <f t="shared" si="181"/>
        <v/>
      </c>
      <c r="FS66" s="188" t="str">
        <f t="shared" si="182"/>
        <v/>
      </c>
      <c r="FT66" s="188" t="str">
        <f t="shared" si="183"/>
        <v/>
      </c>
      <c r="FU66" s="188" t="str">
        <f t="shared" si="151"/>
        <v/>
      </c>
      <c r="FV66" s="205" t="str">
        <f t="shared" si="184"/>
        <v/>
      </c>
      <c r="FW66" s="204" t="str">
        <f t="shared" si="152"/>
        <v/>
      </c>
      <c r="FX66" s="188" t="str">
        <f t="shared" si="185"/>
        <v/>
      </c>
      <c r="FY66" s="188" t="str">
        <f t="shared" si="186"/>
        <v/>
      </c>
      <c r="FZ66" s="188" t="str">
        <f t="shared" si="187"/>
        <v/>
      </c>
      <c r="GA66" s="188" t="str">
        <f t="shared" si="188"/>
        <v/>
      </c>
      <c r="GB66" s="188" t="str">
        <f t="shared" si="153"/>
        <v/>
      </c>
      <c r="GC66" s="205" t="str">
        <f t="shared" si="189"/>
        <v/>
      </c>
      <c r="GD66" s="204" t="str">
        <f t="shared" si="154"/>
        <v/>
      </c>
      <c r="GE66" s="188" t="str">
        <f t="shared" si="190"/>
        <v/>
      </c>
      <c r="GF66" s="188" t="str">
        <f t="shared" si="191"/>
        <v/>
      </c>
      <c r="GG66" s="188" t="str">
        <f t="shared" si="192"/>
        <v/>
      </c>
      <c r="GH66" s="188" t="str">
        <f t="shared" si="193"/>
        <v/>
      </c>
      <c r="GI66" s="188" t="str">
        <f t="shared" si="155"/>
        <v/>
      </c>
      <c r="GJ66" s="205" t="str">
        <f t="shared" si="194"/>
        <v/>
      </c>
      <c r="GK66" s="204" t="str">
        <f t="shared" si="156"/>
        <v/>
      </c>
      <c r="GL66" s="188" t="str">
        <f t="shared" si="195"/>
        <v/>
      </c>
      <c r="GM66" s="188" t="str">
        <f t="shared" si="196"/>
        <v/>
      </c>
      <c r="GN66" s="188" t="str">
        <f t="shared" si="197"/>
        <v/>
      </c>
      <c r="GO66" s="188" t="str">
        <f t="shared" si="198"/>
        <v/>
      </c>
      <c r="GP66" s="188" t="str">
        <f t="shared" si="157"/>
        <v/>
      </c>
      <c r="GQ66" s="205" t="str">
        <f t="shared" si="199"/>
        <v/>
      </c>
      <c r="GR66" s="188" t="str">
        <f t="shared" si="158"/>
        <v/>
      </c>
      <c r="GS66" s="188" t="str">
        <f t="shared" si="159"/>
        <v/>
      </c>
      <c r="GT66" s="206" t="str">
        <f t="shared" si="177"/>
        <v xml:space="preserve">    </v>
      </c>
      <c r="GU66" s="206" t="str">
        <f t="shared" si="160"/>
        <v xml:space="preserve">    </v>
      </c>
      <c r="GV66" s="206" t="str">
        <f t="shared" si="161"/>
        <v xml:space="preserve">    </v>
      </c>
      <c r="GW66" s="206" t="str">
        <f t="shared" si="162"/>
        <v xml:space="preserve">       </v>
      </c>
      <c r="GX66" s="598" t="str">
        <f t="shared" si="163"/>
        <v xml:space="preserve">     </v>
      </c>
      <c r="GY66" s="207" t="str">
        <f t="shared" si="200"/>
        <v/>
      </c>
      <c r="GZ66" s="606" t="str">
        <f>IF(AND(Q66="",AE66="",AZ66="",BW66="",CT66=""),"",IF(AND('Master Sheet'!$D$19="YES",'Marks Entry'!$BA$1=1),SUM(Q66,AE66,AZ66,BW66,DT66),SUM(Q66,AE66,AZ66,BW66,CT66)))</f>
        <v/>
      </c>
      <c r="HA66" s="208" t="str">
        <f>IF(GZ66="","",IF(AND('Master Sheet'!$D$19="YES",'Marks Entry'!$BA$1=1),GZ66/((900)-DC66)*100,GZ66/((1000)-DC66)*100))</f>
        <v/>
      </c>
      <c r="HB66" s="611" t="str">
        <f t="shared" si="165"/>
        <v/>
      </c>
      <c r="HC66" s="609" t="str">
        <f t="shared" si="166"/>
        <v/>
      </c>
      <c r="HD66" s="610" t="str">
        <f t="shared" si="167"/>
        <v/>
      </c>
      <c r="HE66" s="209" t="str">
        <f>IFERROR(IF(OR(GY66="SUPPLEMENTARY",GY66="RE-EXAM"),'Supp. Result Entry'!AS65,""),"")</f>
        <v/>
      </c>
      <c r="HF66" s="613" t="str">
        <f t="shared" si="168"/>
        <v/>
      </c>
      <c r="HG66" s="598" t="str">
        <f t="shared" si="169"/>
        <v/>
      </c>
      <c r="HH66" s="598" t="str">
        <f>IF(AND(HE66="",HF66="",HG66=""),"",IF(OR(GY66="SUPPLEMENTARY",GY66="RE-EXAM"),'Supp. Result Entry'!AS65,GY66))</f>
        <v/>
      </c>
      <c r="HI66" s="179"/>
      <c r="HY66" s="211" t="str">
        <f>IF('Supp. Result Entry'!U65="","",'Supp. Result Entry'!$U$6)</f>
        <v/>
      </c>
      <c r="HZ66" s="212" t="str">
        <f>IF('Supp. Result Entry'!X65="","",'Supp. Result Entry'!$X$6)</f>
        <v/>
      </c>
      <c r="IA66" s="212" t="str">
        <f>IF('Supp. Result Entry'!AA65="","",'Supp. Result Entry'!$AA$6)</f>
        <v/>
      </c>
      <c r="IB66" s="212" t="str">
        <f>IF('Supp. Result Entry'!AD65="","",'Supp. Result Entry'!$AD$6)</f>
        <v/>
      </c>
      <c r="IC66" s="212" t="str">
        <f>IF('Supp. Result Entry'!AG65="","",'Supp. Result Entry'!$AG$6)</f>
        <v/>
      </c>
      <c r="ID66" s="212" t="str">
        <f>IF('Supp. Result Entry'!AJ65="","",'Supp. Result Entry'!$AJ$6)</f>
        <v/>
      </c>
      <c r="IE66" s="212" t="str">
        <f>IF('Supp. Result Entry'!V65="","",'Supp. Result Entry'!V65)</f>
        <v/>
      </c>
      <c r="IF66" s="212" t="str">
        <f>IF('Supp. Result Entry'!Y65="","",'Supp. Result Entry'!Y65)</f>
        <v/>
      </c>
      <c r="IG66" s="212" t="str">
        <f>IF('Supp. Result Entry'!AB65="","",'Supp. Result Entry'!AB65)</f>
        <v/>
      </c>
      <c r="IH66" s="212" t="str">
        <f>IF('Supp. Result Entry'!AE65="","",'Supp. Result Entry'!AE65)</f>
        <v/>
      </c>
      <c r="II66" s="212" t="str">
        <f>IF('Supp. Result Entry'!AH65="","",'Supp. Result Entry'!AH65)</f>
        <v/>
      </c>
      <c r="IJ66" s="212" t="str">
        <f>IF('Supp. Result Entry'!AK65="","",'Supp. Result Entry'!AK65)</f>
        <v/>
      </c>
      <c r="IK66" s="212" t="str">
        <f>IF('Supp. Result Entry'!W65="","",'Supp. Result Entry'!W65)</f>
        <v/>
      </c>
      <c r="IL66" s="212" t="str">
        <f>IF('Supp. Result Entry'!Z65="","",'Supp. Result Entry'!Z65)</f>
        <v/>
      </c>
      <c r="IM66" s="212" t="str">
        <f>IF('Supp. Result Entry'!AC65="","",'Supp. Result Entry'!AC65)</f>
        <v/>
      </c>
      <c r="IN66" s="212" t="str">
        <f>IF('Supp. Result Entry'!AF65="","",'Supp. Result Entry'!AF65)</f>
        <v/>
      </c>
      <c r="IO66" s="212" t="str">
        <f>IF('Supp. Result Entry'!AI65="","",'Supp. Result Entry'!AI65)</f>
        <v/>
      </c>
      <c r="IP66" s="212" t="str">
        <f>IF('Supp. Result Entry'!AL65="","",'Supp. Result Entry'!AL65)</f>
        <v/>
      </c>
      <c r="IQ66" s="212">
        <f>COUNTIF('Supp. Result Entry'!K65:Q65,"S")</f>
        <v>0</v>
      </c>
      <c r="IR66" s="212">
        <f t="shared" si="170"/>
        <v>0</v>
      </c>
      <c r="IS66" s="212">
        <f t="shared" si="171"/>
        <v>0</v>
      </c>
      <c r="IT66" s="212" t="str">
        <f t="shared" si="41"/>
        <v/>
      </c>
      <c r="IU66" s="212" t="str">
        <f t="shared" si="42"/>
        <v/>
      </c>
      <c r="IV66" s="212" t="str">
        <f t="shared" si="43"/>
        <v/>
      </c>
      <c r="IW66" s="212" t="str">
        <f t="shared" si="44"/>
        <v/>
      </c>
      <c r="IX66" s="212" t="str">
        <f t="shared" si="45"/>
        <v/>
      </c>
      <c r="IY66" s="212" t="str">
        <f t="shared" si="172"/>
        <v/>
      </c>
      <c r="IZ66" s="212" t="str">
        <f t="shared" si="173"/>
        <v/>
      </c>
      <c r="JA66" s="212" t="str">
        <f t="shared" si="46"/>
        <v/>
      </c>
      <c r="JB66" s="210" t="str">
        <f t="shared" si="174"/>
        <v/>
      </c>
    </row>
    <row r="67" spans="1:262" s="210" customFormat="1" ht="21" customHeight="1">
      <c r="A67" s="183">
        <v>60</v>
      </c>
      <c r="B67" s="184" t="str">
        <f>IF('Marks Entry'!B67="","",'Marks Entry'!B67)</f>
        <v/>
      </c>
      <c r="C67" s="185" t="str">
        <f>IF('Marks Entry'!D67="","",'Marks Entry'!D67)</f>
        <v/>
      </c>
      <c r="D67" s="186" t="str">
        <f>IF('Marks Entry'!E67="","",'Marks Entry'!E67)</f>
        <v/>
      </c>
      <c r="E67" s="187" t="str">
        <f>IF('Marks Entry'!F67="","",'Marks Entry'!F67)</f>
        <v/>
      </c>
      <c r="F67" s="187" t="str">
        <f>IF('Marks Entry'!G67="","",'Marks Entry'!G67)</f>
        <v/>
      </c>
      <c r="G67" s="187" t="str">
        <f>IF('Marks Entry'!H67="","",'Marks Entry'!H67)</f>
        <v/>
      </c>
      <c r="H67" s="188" t="str">
        <f>IF('Marks Entry'!I67="","",'Marks Entry'!I67)</f>
        <v/>
      </c>
      <c r="I67" s="189" t="str">
        <f>IF('Marks Entry'!J67="","",'Marks Entry'!J67)</f>
        <v/>
      </c>
      <c r="J67" s="545" t="str">
        <f>IF('Marks Entry'!K67="","",'Marks Entry'!K67)</f>
        <v/>
      </c>
      <c r="K67" s="545" t="str">
        <f>IF('Marks Entry'!L67="","",'Marks Entry'!L67)</f>
        <v/>
      </c>
      <c r="L67" s="545" t="str">
        <f>IF('Marks Entry'!M67="","",'Marks Entry'!M67)</f>
        <v/>
      </c>
      <c r="M67" s="546" t="str">
        <f t="shared" si="47"/>
        <v/>
      </c>
      <c r="N67" s="545" t="str">
        <f>IF('Marks Entry'!N67="","",'Marks Entry'!N67)</f>
        <v/>
      </c>
      <c r="O67" s="546" t="str">
        <f t="shared" si="48"/>
        <v/>
      </c>
      <c r="P67" s="545" t="str">
        <f>IF('Marks Entry'!O67="","",'Marks Entry'!O67)</f>
        <v/>
      </c>
      <c r="Q67" s="547" t="str">
        <f t="shared" si="49"/>
        <v/>
      </c>
      <c r="R67" s="152">
        <f t="shared" si="50"/>
        <v>0</v>
      </c>
      <c r="S67" s="152">
        <f t="shared" si="51"/>
        <v>0</v>
      </c>
      <c r="T67" s="153" t="str">
        <f t="shared" si="52"/>
        <v/>
      </c>
      <c r="U67" s="152" t="str">
        <f t="shared" si="53"/>
        <v/>
      </c>
      <c r="V67" s="152" t="str">
        <f t="shared" si="54"/>
        <v/>
      </c>
      <c r="W67" s="152" t="str">
        <f t="shared" si="55"/>
        <v/>
      </c>
      <c r="X67" s="545" t="str">
        <f>IF('Marks Entry'!P67="","",'Marks Entry'!P67)</f>
        <v/>
      </c>
      <c r="Y67" s="545" t="str">
        <f>IF('Marks Entry'!Q67="","",'Marks Entry'!Q67)</f>
        <v/>
      </c>
      <c r="Z67" s="545" t="str">
        <f>IF('Marks Entry'!R67="","",'Marks Entry'!R67)</f>
        <v/>
      </c>
      <c r="AA67" s="546" t="str">
        <f t="shared" si="56"/>
        <v/>
      </c>
      <c r="AB67" s="545" t="str">
        <f>IF('Marks Entry'!S67="","",'Marks Entry'!S67)</f>
        <v/>
      </c>
      <c r="AC67" s="546" t="str">
        <f t="shared" si="57"/>
        <v/>
      </c>
      <c r="AD67" s="545" t="str">
        <f>IF('Marks Entry'!T67="","",'Marks Entry'!T67)</f>
        <v/>
      </c>
      <c r="AE67" s="547" t="str">
        <f t="shared" si="58"/>
        <v/>
      </c>
      <c r="AF67" s="152">
        <f t="shared" si="59"/>
        <v>0</v>
      </c>
      <c r="AG67" s="152">
        <f t="shared" si="60"/>
        <v>0</v>
      </c>
      <c r="AH67" s="153" t="str">
        <f t="shared" si="61"/>
        <v/>
      </c>
      <c r="AI67" s="152" t="str">
        <f t="shared" si="62"/>
        <v/>
      </c>
      <c r="AJ67" s="152" t="str">
        <f t="shared" si="63"/>
        <v/>
      </c>
      <c r="AK67" s="152" t="str">
        <f t="shared" si="64"/>
        <v/>
      </c>
      <c r="AL67" s="573" t="str">
        <f>IF('Marks Entry'!U67="","",'Marks Entry'!U67)</f>
        <v/>
      </c>
      <c r="AM67" s="573" t="str">
        <f>IF('Marks Entry'!V67="","",'Marks Entry'!V67)</f>
        <v/>
      </c>
      <c r="AN67" s="573" t="str">
        <f>IF('Marks Entry'!W67="","",'Marks Entry'!W67)</f>
        <v/>
      </c>
      <c r="AO67" s="573" t="str">
        <f>IF('Marks Entry'!X67="","",'Marks Entry'!X67)</f>
        <v/>
      </c>
      <c r="AP67" s="572" t="str">
        <f t="shared" si="65"/>
        <v/>
      </c>
      <c r="AQ67" s="573" t="str">
        <f>IF('Marks Entry'!Y67="","",'Marks Entry'!Y67)</f>
        <v/>
      </c>
      <c r="AR67" s="573" t="str">
        <f>IF('Marks Entry'!Z67="","",'Marks Entry'!Z67)</f>
        <v/>
      </c>
      <c r="AS67" s="572" t="str">
        <f t="shared" si="66"/>
        <v/>
      </c>
      <c r="AT67" s="572" t="str">
        <f t="shared" si="67"/>
        <v/>
      </c>
      <c r="AU67" s="573" t="str">
        <f>IF('Marks Entry'!AA67="","",'Marks Entry'!AA67)</f>
        <v/>
      </c>
      <c r="AV67" s="573" t="str">
        <f>IF('Marks Entry'!AB67="","",'Marks Entry'!AB67)</f>
        <v/>
      </c>
      <c r="AW67" s="572" t="str">
        <f t="shared" si="68"/>
        <v/>
      </c>
      <c r="AX67" s="156" t="str">
        <f t="shared" si="69"/>
        <v/>
      </c>
      <c r="AY67" s="156" t="str">
        <f t="shared" si="70"/>
        <v/>
      </c>
      <c r="AZ67" s="191" t="str">
        <f t="shared" si="71"/>
        <v/>
      </c>
      <c r="BA67" s="152">
        <f t="shared" si="72"/>
        <v>0</v>
      </c>
      <c r="BB67" s="153">
        <f t="shared" si="73"/>
        <v>0</v>
      </c>
      <c r="BC67" s="153" t="str">
        <f t="shared" si="74"/>
        <v/>
      </c>
      <c r="BD67" s="153" t="str">
        <f t="shared" si="75"/>
        <v/>
      </c>
      <c r="BE67" s="153" t="str">
        <f t="shared" si="76"/>
        <v/>
      </c>
      <c r="BF67" s="152" t="str">
        <f t="shared" si="77"/>
        <v/>
      </c>
      <c r="BG67" s="153" t="str">
        <f t="shared" si="175"/>
        <v/>
      </c>
      <c r="BH67" s="152" t="str">
        <f t="shared" si="78"/>
        <v/>
      </c>
      <c r="BI67" s="580" t="str">
        <f>IF('Marks Entry'!AC67="","",'Marks Entry'!AC67)</f>
        <v/>
      </c>
      <c r="BJ67" s="580" t="str">
        <f>IF('Marks Entry'!AD67="","",'Marks Entry'!AD67)</f>
        <v/>
      </c>
      <c r="BK67" s="580" t="str">
        <f>IF('Marks Entry'!AE67="","",'Marks Entry'!AE67)</f>
        <v/>
      </c>
      <c r="BL67" s="580" t="str">
        <f>IF('Marks Entry'!AF67="","",'Marks Entry'!AF67)</f>
        <v/>
      </c>
      <c r="BM67" s="581" t="str">
        <f t="shared" si="79"/>
        <v/>
      </c>
      <c r="BN67" s="580" t="str">
        <f>IF('Marks Entry'!AG67="","",'Marks Entry'!AG67)</f>
        <v/>
      </c>
      <c r="BO67" s="580" t="str">
        <f>IF('Marks Entry'!AH67="","",'Marks Entry'!AH67)</f>
        <v/>
      </c>
      <c r="BP67" s="581" t="str">
        <f t="shared" si="80"/>
        <v/>
      </c>
      <c r="BQ67" s="581" t="str">
        <f t="shared" si="81"/>
        <v/>
      </c>
      <c r="BR67" s="580" t="str">
        <f>IF('Marks Entry'!AI67="","",'Marks Entry'!AI67)</f>
        <v/>
      </c>
      <c r="BS67" s="580" t="str">
        <f>IF('Marks Entry'!AJ67="","",'Marks Entry'!AJ67)</f>
        <v/>
      </c>
      <c r="BT67" s="581" t="str">
        <f t="shared" si="82"/>
        <v/>
      </c>
      <c r="BU67" s="156" t="str">
        <f t="shared" si="83"/>
        <v/>
      </c>
      <c r="BV67" s="156" t="str">
        <f t="shared" si="84"/>
        <v/>
      </c>
      <c r="BW67" s="191" t="str">
        <f t="shared" si="85"/>
        <v/>
      </c>
      <c r="BX67" s="152">
        <f t="shared" si="86"/>
        <v>0</v>
      </c>
      <c r="BY67" s="153">
        <f t="shared" si="87"/>
        <v>0</v>
      </c>
      <c r="BZ67" s="153" t="str">
        <f t="shared" si="88"/>
        <v/>
      </c>
      <c r="CA67" s="153" t="str">
        <f t="shared" si="89"/>
        <v/>
      </c>
      <c r="CB67" s="153" t="str">
        <f t="shared" si="90"/>
        <v/>
      </c>
      <c r="CC67" s="152" t="str">
        <f t="shared" si="91"/>
        <v/>
      </c>
      <c r="CD67" s="153" t="str">
        <f t="shared" si="92"/>
        <v/>
      </c>
      <c r="CE67" s="152" t="str">
        <f t="shared" si="93"/>
        <v/>
      </c>
      <c r="CF67" s="580" t="str">
        <f>IF('Marks Entry'!AK67="","",'Marks Entry'!AK67)</f>
        <v/>
      </c>
      <c r="CG67" s="580" t="str">
        <f>IF('Marks Entry'!AL67="","",'Marks Entry'!AL67)</f>
        <v/>
      </c>
      <c r="CH67" s="580" t="str">
        <f>IF('Marks Entry'!AM67="","",'Marks Entry'!AM67)</f>
        <v/>
      </c>
      <c r="CI67" s="580" t="str">
        <f>IF('Marks Entry'!AN67="","",'Marks Entry'!AN67)</f>
        <v/>
      </c>
      <c r="CJ67" s="581" t="str">
        <f t="shared" si="94"/>
        <v/>
      </c>
      <c r="CK67" s="580" t="str">
        <f>IF('Marks Entry'!AO67="","",'Marks Entry'!AO67)</f>
        <v/>
      </c>
      <c r="CL67" s="580" t="str">
        <f>IF('Marks Entry'!AP67="","",'Marks Entry'!AP67)</f>
        <v/>
      </c>
      <c r="CM67" s="581" t="str">
        <f t="shared" si="95"/>
        <v/>
      </c>
      <c r="CN67" s="581" t="str">
        <f t="shared" si="96"/>
        <v/>
      </c>
      <c r="CO67" s="580" t="str">
        <f>IF('Marks Entry'!AQ67="","",'Marks Entry'!AQ67)</f>
        <v/>
      </c>
      <c r="CP67" s="580" t="str">
        <f>IF('Marks Entry'!AR67="","",'Marks Entry'!AR67)</f>
        <v/>
      </c>
      <c r="CQ67" s="581" t="str">
        <f t="shared" si="97"/>
        <v/>
      </c>
      <c r="CR67" s="156" t="str">
        <f t="shared" si="98"/>
        <v/>
      </c>
      <c r="CS67" s="156" t="str">
        <f t="shared" si="99"/>
        <v/>
      </c>
      <c r="CT67" s="191" t="str">
        <f t="shared" si="100"/>
        <v/>
      </c>
      <c r="CU67" s="152">
        <f t="shared" si="101"/>
        <v>0</v>
      </c>
      <c r="CV67" s="153">
        <f t="shared" si="102"/>
        <v>0</v>
      </c>
      <c r="CW67" s="153" t="str">
        <f t="shared" si="103"/>
        <v/>
      </c>
      <c r="CX67" s="153" t="str">
        <f t="shared" si="104"/>
        <v/>
      </c>
      <c r="CY67" s="153" t="str">
        <f t="shared" si="176"/>
        <v/>
      </c>
      <c r="CZ67" s="152" t="str">
        <f t="shared" si="105"/>
        <v/>
      </c>
      <c r="DA67" s="153" t="str">
        <f t="shared" si="106"/>
        <v/>
      </c>
      <c r="DB67" s="152" t="str">
        <f t="shared" si="107"/>
        <v/>
      </c>
      <c r="DC67" s="153">
        <f t="shared" si="108"/>
        <v>0</v>
      </c>
      <c r="DD67" s="851" t="str">
        <f>IF('Marks Entry'!AS67="","",IF(OR('Master Sheet'!$D$19="YES",'Marks Entry'!$BA$1=1),'Marks Entry'!AS67,""))</f>
        <v/>
      </c>
      <c r="DE67" s="851" t="str">
        <f>IF('Marks Entry'!AT67="","",IF(OR('Master Sheet'!$D$19="YES",'Marks Entry'!$BA$1=1),'Marks Entry'!AT67,""))</f>
        <v/>
      </c>
      <c r="DF67" s="851" t="str">
        <f>IF('Marks Entry'!AU67="","",IF(OR('Master Sheet'!$D$19="YES",'Marks Entry'!$BA$1=1),'Marks Entry'!AU67,""))</f>
        <v/>
      </c>
      <c r="DG67" s="851" t="str">
        <f>IF('Marks Entry'!AV67="","",IF(OR('Master Sheet'!$D$19="YES",'Marks Entry'!$BA$1=1),'Marks Entry'!AV67,""))</f>
        <v/>
      </c>
      <c r="DH67" s="852" t="str">
        <f t="shared" si="109"/>
        <v/>
      </c>
      <c r="DI67" s="851" t="str">
        <f>IF('Marks Entry'!AW67="","",IF(OR('Master Sheet'!$D$19="YES",'Marks Entry'!$BA$1=1),'Marks Entry'!AW67,""))</f>
        <v/>
      </c>
      <c r="DJ67" s="851" t="str">
        <f>IF('Marks Entry'!AX67="","",IF(OR('Master Sheet'!$D$19="YES",'Marks Entry'!$BA$1=1),'Marks Entry'!AX67,""))</f>
        <v/>
      </c>
      <c r="DK67" s="852" t="str">
        <f t="shared" si="110"/>
        <v/>
      </c>
      <c r="DL67" s="852" t="str">
        <f t="shared" si="111"/>
        <v/>
      </c>
      <c r="DM67" s="851" t="str">
        <f>IF('Marks Entry'!AY67="","",IF(OR('Master Sheet'!$D$19="YES",'Marks Entry'!$BA$1=1),'Marks Entry'!AY67,""))</f>
        <v/>
      </c>
      <c r="DN67" s="851" t="str">
        <f>IF('Marks Entry'!AZ67="","",IF(OR('Master Sheet'!$D$19="YES",'Marks Entry'!$BA$1=1),'Marks Entry'!AZ67,""))</f>
        <v/>
      </c>
      <c r="DO67" s="851" t="str">
        <f>IF('Marks Entry'!BA67="","",IF(OR('Master Sheet'!$D$19="YES",'Marks Entry'!$BA$1=1),'Marks Entry'!BA67,""))</f>
        <v/>
      </c>
      <c r="DP67" s="852" t="str">
        <f t="shared" si="112"/>
        <v/>
      </c>
      <c r="DQ67" s="156" t="str">
        <f t="shared" si="113"/>
        <v/>
      </c>
      <c r="DR67" s="156" t="str">
        <f t="shared" si="114"/>
        <v/>
      </c>
      <c r="DS67" s="156" t="str">
        <f t="shared" si="115"/>
        <v/>
      </c>
      <c r="DT67" s="191" t="str">
        <f t="shared" si="116"/>
        <v/>
      </c>
      <c r="DU67" s="152">
        <f t="shared" si="117"/>
        <v>0</v>
      </c>
      <c r="DV67" s="153">
        <f t="shared" si="118"/>
        <v>0</v>
      </c>
      <c r="DW67" s="153" t="str">
        <f t="shared" si="119"/>
        <v/>
      </c>
      <c r="DX67" s="153" t="str">
        <f>IF(OR($B67="NSO",$B67=0,DS67=""),"",IF(AND(DJ67="",DO67=""),"",IF('Master Sheet'!$D$19="YES",$DO$6-COUNTIF(DO67,"ML")*DO$6,DS$6-(COUNTIF(DJ67,"ML")*DJ$6)-(COUNTIF(DO67,"ML")*DO$6))))</f>
        <v/>
      </c>
      <c r="DY67" s="153" t="str">
        <f>IF(OR($B67="NSO",$B67=0),"",IF(AND(DH67="",DI67="",DM67=""),"",IF(AND('Master Sheet'!$D$19="YES",'Marks Entry'!$BA$1=1),100,IF(AND(DJ67="",DO67=""),SUM(($DQ$7+$DR$7)-(DU67+DV67)),SUM(($DQ$6+$DR$6)-(DU67+DV67))))))</f>
        <v/>
      </c>
      <c r="DZ67" s="152" t="str">
        <f t="shared" si="120"/>
        <v/>
      </c>
      <c r="EA67" s="153" t="str">
        <f t="shared" si="121"/>
        <v/>
      </c>
      <c r="EB67" s="152" t="str">
        <f t="shared" si="122"/>
        <v/>
      </c>
      <c r="EC67" s="584" t="str">
        <f>IF('Marks Entry'!BB67="","",'Marks Entry'!BB67)</f>
        <v/>
      </c>
      <c r="ED67" s="584" t="str">
        <f>IF('Marks Entry'!BC67="","",'Marks Entry'!BC67)</f>
        <v/>
      </c>
      <c r="EE67" s="584" t="str">
        <f>IF('Marks Entry'!BD67="","",'Marks Entry'!BD67)</f>
        <v/>
      </c>
      <c r="EF67" s="590" t="str">
        <f t="shared" si="123"/>
        <v/>
      </c>
      <c r="EG67" s="595">
        <f t="shared" si="124"/>
        <v>0</v>
      </c>
      <c r="EH67" s="595">
        <f t="shared" si="125"/>
        <v>0</v>
      </c>
      <c r="EI67" s="192" t="str">
        <f t="shared" si="126"/>
        <v/>
      </c>
      <c r="EJ67" s="595" t="str">
        <f t="shared" si="127"/>
        <v/>
      </c>
      <c r="EK67" s="595" t="str">
        <f t="shared" si="128"/>
        <v/>
      </c>
      <c r="EL67" s="193" t="str">
        <f t="shared" si="129"/>
        <v/>
      </c>
      <c r="EM67" s="193" t="str">
        <f t="shared" si="130"/>
        <v/>
      </c>
      <c r="EN67" s="193" t="str">
        <f t="shared" si="131"/>
        <v/>
      </c>
      <c r="EO67" s="193" t="str">
        <f t="shared" si="132"/>
        <v/>
      </c>
      <c r="EP67" s="193" t="str">
        <f t="shared" si="133"/>
        <v/>
      </c>
      <c r="EQ67" s="193" t="str">
        <f t="shared" si="134"/>
        <v/>
      </c>
      <c r="ER67" s="194">
        <f t="shared" si="135"/>
        <v>0</v>
      </c>
      <c r="ES67" s="194">
        <f t="shared" si="136"/>
        <v>0</v>
      </c>
      <c r="ET67" s="194">
        <f t="shared" si="137"/>
        <v>0</v>
      </c>
      <c r="EU67" s="194">
        <f t="shared" si="138"/>
        <v>0</v>
      </c>
      <c r="EV67" s="194">
        <f t="shared" si="139"/>
        <v>0</v>
      </c>
      <c r="EW67" s="194" t="str">
        <f t="shared" si="140"/>
        <v/>
      </c>
      <c r="EX67" s="195" t="str">
        <f t="shared" si="141"/>
        <v/>
      </c>
      <c r="EY67" s="196" t="str">
        <f>IF('Marks Entry'!BE67="","",'Marks Entry'!BE67)</f>
        <v/>
      </c>
      <c r="EZ67" s="196" t="str">
        <f>IF('Marks Entry'!BF67="","",'Marks Entry'!BF67)</f>
        <v/>
      </c>
      <c r="FA67" s="196" t="str">
        <f>IF('Marks Entry'!BG67="","",'Marks Entry'!BG67)</f>
        <v/>
      </c>
      <c r="FB67" s="596" t="str">
        <f t="shared" si="142"/>
        <v/>
      </c>
      <c r="FC67" s="196" t="str">
        <f>IF('Marks Entry'!BH67="","",'Marks Entry'!BH67)</f>
        <v/>
      </c>
      <c r="FD67" s="196" t="str">
        <f>IF('Marks Entry'!BI67="","",'Marks Entry'!BI67)</f>
        <v/>
      </c>
      <c r="FE67" s="197" t="str">
        <f t="shared" si="143"/>
        <v/>
      </c>
      <c r="FF67" s="198" t="str">
        <f t="shared" si="144"/>
        <v/>
      </c>
      <c r="FG67" s="199" t="str">
        <f>IF(AND(E67=""),"",IF('Student DATA Entry'!L63="","",'Student DATA Entry'!L63))</f>
        <v/>
      </c>
      <c r="FH67" s="200" t="str">
        <f>IF(AND(E67=""),"",IF('Student DATA Entry'!M63="","",'Student DATA Entry'!M63))</f>
        <v/>
      </c>
      <c r="FI67" s="201" t="str">
        <f t="shared" si="145"/>
        <v/>
      </c>
      <c r="FJ67" s="188" t="str">
        <f t="shared" si="146"/>
        <v/>
      </c>
      <c r="FK67" s="188" t="str">
        <f t="shared" si="147"/>
        <v/>
      </c>
      <c r="FL67" s="202" t="str">
        <f t="shared" si="178"/>
        <v/>
      </c>
      <c r="FM67" s="188" t="str">
        <f t="shared" si="148"/>
        <v/>
      </c>
      <c r="FN67" s="203" t="str">
        <f t="shared" si="149"/>
        <v/>
      </c>
      <c r="FO67" s="202" t="str">
        <f t="shared" si="179"/>
        <v/>
      </c>
      <c r="FP67" s="204" t="str">
        <f t="shared" si="150"/>
        <v/>
      </c>
      <c r="FQ67" s="188" t="str">
        <f t="shared" si="180"/>
        <v/>
      </c>
      <c r="FR67" s="188" t="str">
        <f t="shared" si="181"/>
        <v/>
      </c>
      <c r="FS67" s="188" t="str">
        <f t="shared" si="182"/>
        <v/>
      </c>
      <c r="FT67" s="188" t="str">
        <f t="shared" si="183"/>
        <v/>
      </c>
      <c r="FU67" s="188" t="str">
        <f t="shared" si="151"/>
        <v/>
      </c>
      <c r="FV67" s="205" t="str">
        <f t="shared" si="184"/>
        <v/>
      </c>
      <c r="FW67" s="204" t="str">
        <f t="shared" si="152"/>
        <v/>
      </c>
      <c r="FX67" s="188" t="str">
        <f t="shared" si="185"/>
        <v/>
      </c>
      <c r="FY67" s="188" t="str">
        <f t="shared" si="186"/>
        <v/>
      </c>
      <c r="FZ67" s="188" t="str">
        <f t="shared" si="187"/>
        <v/>
      </c>
      <c r="GA67" s="188" t="str">
        <f t="shared" si="188"/>
        <v/>
      </c>
      <c r="GB67" s="188" t="str">
        <f t="shared" si="153"/>
        <v/>
      </c>
      <c r="GC67" s="205" t="str">
        <f t="shared" si="189"/>
        <v/>
      </c>
      <c r="GD67" s="204" t="str">
        <f t="shared" si="154"/>
        <v/>
      </c>
      <c r="GE67" s="188" t="str">
        <f t="shared" si="190"/>
        <v/>
      </c>
      <c r="GF67" s="188" t="str">
        <f t="shared" si="191"/>
        <v/>
      </c>
      <c r="GG67" s="188" t="str">
        <f t="shared" si="192"/>
        <v/>
      </c>
      <c r="GH67" s="188" t="str">
        <f t="shared" si="193"/>
        <v/>
      </c>
      <c r="GI67" s="188" t="str">
        <f t="shared" si="155"/>
        <v/>
      </c>
      <c r="GJ67" s="205" t="str">
        <f t="shared" si="194"/>
        <v/>
      </c>
      <c r="GK67" s="204" t="str">
        <f t="shared" si="156"/>
        <v/>
      </c>
      <c r="GL67" s="188" t="str">
        <f t="shared" si="195"/>
        <v/>
      </c>
      <c r="GM67" s="188" t="str">
        <f t="shared" si="196"/>
        <v/>
      </c>
      <c r="GN67" s="188" t="str">
        <f t="shared" si="197"/>
        <v/>
      </c>
      <c r="GO67" s="188" t="str">
        <f t="shared" si="198"/>
        <v/>
      </c>
      <c r="GP67" s="188" t="str">
        <f t="shared" si="157"/>
        <v/>
      </c>
      <c r="GQ67" s="205" t="str">
        <f t="shared" si="199"/>
        <v/>
      </c>
      <c r="GR67" s="188" t="str">
        <f t="shared" si="158"/>
        <v/>
      </c>
      <c r="GS67" s="188" t="str">
        <f t="shared" si="159"/>
        <v/>
      </c>
      <c r="GT67" s="206" t="str">
        <f t="shared" si="177"/>
        <v xml:space="preserve">    </v>
      </c>
      <c r="GU67" s="206" t="str">
        <f t="shared" si="160"/>
        <v xml:space="preserve">    </v>
      </c>
      <c r="GV67" s="206" t="str">
        <f t="shared" si="161"/>
        <v xml:space="preserve">    </v>
      </c>
      <c r="GW67" s="206" t="str">
        <f t="shared" si="162"/>
        <v xml:space="preserve">       </v>
      </c>
      <c r="GX67" s="598" t="str">
        <f t="shared" si="163"/>
        <v xml:space="preserve">     </v>
      </c>
      <c r="GY67" s="207" t="str">
        <f t="shared" si="200"/>
        <v/>
      </c>
      <c r="GZ67" s="606" t="str">
        <f>IF(AND(Q67="",AE67="",AZ67="",BW67="",CT67=""),"",IF(AND('Master Sheet'!$D$19="YES",'Marks Entry'!$BA$1=1),SUM(Q67,AE67,AZ67,BW67,DT67),SUM(Q67,AE67,AZ67,BW67,CT67)))</f>
        <v/>
      </c>
      <c r="HA67" s="208" t="str">
        <f>IF(GZ67="","",IF(AND('Master Sheet'!$D$19="YES",'Marks Entry'!$BA$1=1),GZ67/((900)-DC67)*100,GZ67/((1000)-DC67)*100))</f>
        <v/>
      </c>
      <c r="HB67" s="611" t="str">
        <f t="shared" si="165"/>
        <v/>
      </c>
      <c r="HC67" s="609" t="str">
        <f t="shared" si="166"/>
        <v/>
      </c>
      <c r="HD67" s="610" t="str">
        <f t="shared" si="167"/>
        <v/>
      </c>
      <c r="HE67" s="209" t="str">
        <f>IFERROR(IF(OR(GY67="SUPPLEMENTARY",GY67="RE-EXAM"),'Supp. Result Entry'!AS66,""),"")</f>
        <v/>
      </c>
      <c r="HF67" s="613" t="str">
        <f t="shared" si="168"/>
        <v/>
      </c>
      <c r="HG67" s="598" t="str">
        <f t="shared" si="169"/>
        <v/>
      </c>
      <c r="HH67" s="598" t="str">
        <f>IF(AND(HE67="",HF67="",HG67=""),"",IF(OR(GY67="SUPPLEMENTARY",GY67="RE-EXAM"),'Supp. Result Entry'!AS66,GY67))</f>
        <v/>
      </c>
      <c r="HI67" s="179"/>
      <c r="HY67" s="211" t="str">
        <f>IF('Supp. Result Entry'!U66="","",'Supp. Result Entry'!$U$6)</f>
        <v/>
      </c>
      <c r="HZ67" s="212" t="str">
        <f>IF('Supp. Result Entry'!X66="","",'Supp. Result Entry'!$X$6)</f>
        <v/>
      </c>
      <c r="IA67" s="212" t="str">
        <f>IF('Supp. Result Entry'!AA66="","",'Supp. Result Entry'!$AA$6)</f>
        <v/>
      </c>
      <c r="IB67" s="212" t="str">
        <f>IF('Supp. Result Entry'!AD66="","",'Supp. Result Entry'!$AD$6)</f>
        <v/>
      </c>
      <c r="IC67" s="212" t="str">
        <f>IF('Supp. Result Entry'!AG66="","",'Supp. Result Entry'!$AG$6)</f>
        <v/>
      </c>
      <c r="ID67" s="212" t="str">
        <f>IF('Supp. Result Entry'!AJ66="","",'Supp. Result Entry'!$AJ$6)</f>
        <v/>
      </c>
      <c r="IE67" s="212" t="str">
        <f>IF('Supp. Result Entry'!V66="","",'Supp. Result Entry'!V66)</f>
        <v/>
      </c>
      <c r="IF67" s="212" t="str">
        <f>IF('Supp. Result Entry'!Y66="","",'Supp. Result Entry'!Y66)</f>
        <v/>
      </c>
      <c r="IG67" s="212" t="str">
        <f>IF('Supp. Result Entry'!AB66="","",'Supp. Result Entry'!AB66)</f>
        <v/>
      </c>
      <c r="IH67" s="212" t="str">
        <f>IF('Supp. Result Entry'!AE66="","",'Supp. Result Entry'!AE66)</f>
        <v/>
      </c>
      <c r="II67" s="212" t="str">
        <f>IF('Supp. Result Entry'!AH66="","",'Supp. Result Entry'!AH66)</f>
        <v/>
      </c>
      <c r="IJ67" s="212" t="str">
        <f>IF('Supp. Result Entry'!AK66="","",'Supp. Result Entry'!AK66)</f>
        <v/>
      </c>
      <c r="IK67" s="212" t="str">
        <f>IF('Supp. Result Entry'!W66="","",'Supp. Result Entry'!W66)</f>
        <v/>
      </c>
      <c r="IL67" s="212" t="str">
        <f>IF('Supp. Result Entry'!Z66="","",'Supp. Result Entry'!Z66)</f>
        <v/>
      </c>
      <c r="IM67" s="212" t="str">
        <f>IF('Supp. Result Entry'!AC66="","",'Supp. Result Entry'!AC66)</f>
        <v/>
      </c>
      <c r="IN67" s="212" t="str">
        <f>IF('Supp. Result Entry'!AF66="","",'Supp. Result Entry'!AF66)</f>
        <v/>
      </c>
      <c r="IO67" s="212" t="str">
        <f>IF('Supp. Result Entry'!AI66="","",'Supp. Result Entry'!AI66)</f>
        <v/>
      </c>
      <c r="IP67" s="212" t="str">
        <f>IF('Supp. Result Entry'!AL66="","",'Supp. Result Entry'!AL66)</f>
        <v/>
      </c>
      <c r="IQ67" s="212">
        <f>COUNTIF('Supp. Result Entry'!K66:Q66,"S")</f>
        <v>0</v>
      </c>
      <c r="IR67" s="212">
        <f t="shared" si="170"/>
        <v>0</v>
      </c>
      <c r="IS67" s="212">
        <f t="shared" si="171"/>
        <v>0</v>
      </c>
      <c r="IT67" s="212" t="str">
        <f t="shared" si="41"/>
        <v/>
      </c>
      <c r="IU67" s="212" t="str">
        <f t="shared" si="42"/>
        <v/>
      </c>
      <c r="IV67" s="212" t="str">
        <f t="shared" si="43"/>
        <v/>
      </c>
      <c r="IW67" s="212" t="str">
        <f t="shared" si="44"/>
        <v/>
      </c>
      <c r="IX67" s="212" t="str">
        <f t="shared" si="45"/>
        <v/>
      </c>
      <c r="IY67" s="212" t="str">
        <f t="shared" si="172"/>
        <v/>
      </c>
      <c r="IZ67" s="212" t="str">
        <f t="shared" si="173"/>
        <v/>
      </c>
      <c r="JA67" s="212" t="str">
        <f t="shared" si="46"/>
        <v/>
      </c>
      <c r="JB67" s="210" t="str">
        <f t="shared" si="174"/>
        <v/>
      </c>
    </row>
    <row r="68" spans="1:262" s="210" customFormat="1" ht="21" customHeight="1">
      <c r="A68" s="183">
        <v>61</v>
      </c>
      <c r="B68" s="184" t="str">
        <f>IF('Marks Entry'!B68="","",'Marks Entry'!B68)</f>
        <v/>
      </c>
      <c r="C68" s="185" t="str">
        <f>IF('Marks Entry'!D68="","",'Marks Entry'!D68)</f>
        <v/>
      </c>
      <c r="D68" s="186" t="str">
        <f>IF('Marks Entry'!E68="","",'Marks Entry'!E68)</f>
        <v/>
      </c>
      <c r="E68" s="187" t="str">
        <f>IF('Marks Entry'!F68="","",'Marks Entry'!F68)</f>
        <v/>
      </c>
      <c r="F68" s="187" t="str">
        <f>IF('Marks Entry'!G68="","",'Marks Entry'!G68)</f>
        <v/>
      </c>
      <c r="G68" s="187" t="str">
        <f>IF('Marks Entry'!H68="","",'Marks Entry'!H68)</f>
        <v/>
      </c>
      <c r="H68" s="188" t="str">
        <f>IF('Marks Entry'!I68="","",'Marks Entry'!I68)</f>
        <v/>
      </c>
      <c r="I68" s="189" t="str">
        <f>IF('Marks Entry'!J68="","",'Marks Entry'!J68)</f>
        <v/>
      </c>
      <c r="J68" s="545" t="str">
        <f>IF('Marks Entry'!K68="","",'Marks Entry'!K68)</f>
        <v/>
      </c>
      <c r="K68" s="545" t="str">
        <f>IF('Marks Entry'!L68="","",'Marks Entry'!L68)</f>
        <v/>
      </c>
      <c r="L68" s="545" t="str">
        <f>IF('Marks Entry'!M68="","",'Marks Entry'!M68)</f>
        <v/>
      </c>
      <c r="M68" s="546" t="str">
        <f t="shared" si="47"/>
        <v/>
      </c>
      <c r="N68" s="545" t="str">
        <f>IF('Marks Entry'!N68="","",'Marks Entry'!N68)</f>
        <v/>
      </c>
      <c r="O68" s="546" t="str">
        <f t="shared" si="48"/>
        <v/>
      </c>
      <c r="P68" s="545" t="str">
        <f>IF('Marks Entry'!O68="","",'Marks Entry'!O68)</f>
        <v/>
      </c>
      <c r="Q68" s="547" t="str">
        <f t="shared" si="49"/>
        <v/>
      </c>
      <c r="R68" s="152">
        <f t="shared" si="50"/>
        <v>0</v>
      </c>
      <c r="S68" s="152">
        <f t="shared" si="51"/>
        <v>0</v>
      </c>
      <c r="T68" s="153" t="str">
        <f t="shared" si="52"/>
        <v/>
      </c>
      <c r="U68" s="152" t="str">
        <f t="shared" si="53"/>
        <v/>
      </c>
      <c r="V68" s="152" t="str">
        <f t="shared" si="54"/>
        <v/>
      </c>
      <c r="W68" s="152" t="str">
        <f t="shared" si="55"/>
        <v/>
      </c>
      <c r="X68" s="545" t="str">
        <f>IF('Marks Entry'!P68="","",'Marks Entry'!P68)</f>
        <v/>
      </c>
      <c r="Y68" s="545" t="str">
        <f>IF('Marks Entry'!Q68="","",'Marks Entry'!Q68)</f>
        <v/>
      </c>
      <c r="Z68" s="545" t="str">
        <f>IF('Marks Entry'!R68="","",'Marks Entry'!R68)</f>
        <v/>
      </c>
      <c r="AA68" s="546" t="str">
        <f t="shared" si="56"/>
        <v/>
      </c>
      <c r="AB68" s="545" t="str">
        <f>IF('Marks Entry'!S68="","",'Marks Entry'!S68)</f>
        <v/>
      </c>
      <c r="AC68" s="546" t="str">
        <f t="shared" si="57"/>
        <v/>
      </c>
      <c r="AD68" s="545" t="str">
        <f>IF('Marks Entry'!T68="","",'Marks Entry'!T68)</f>
        <v/>
      </c>
      <c r="AE68" s="547" t="str">
        <f t="shared" si="58"/>
        <v/>
      </c>
      <c r="AF68" s="152">
        <f t="shared" si="59"/>
        <v>0</v>
      </c>
      <c r="AG68" s="152">
        <f t="shared" si="60"/>
        <v>0</v>
      </c>
      <c r="AH68" s="153" t="str">
        <f t="shared" si="61"/>
        <v/>
      </c>
      <c r="AI68" s="152" t="str">
        <f t="shared" si="62"/>
        <v/>
      </c>
      <c r="AJ68" s="152" t="str">
        <f t="shared" si="63"/>
        <v/>
      </c>
      <c r="AK68" s="152" t="str">
        <f t="shared" si="64"/>
        <v/>
      </c>
      <c r="AL68" s="573" t="str">
        <f>IF('Marks Entry'!U68="","",'Marks Entry'!U68)</f>
        <v/>
      </c>
      <c r="AM68" s="573" t="str">
        <f>IF('Marks Entry'!V68="","",'Marks Entry'!V68)</f>
        <v/>
      </c>
      <c r="AN68" s="573" t="str">
        <f>IF('Marks Entry'!W68="","",'Marks Entry'!W68)</f>
        <v/>
      </c>
      <c r="AO68" s="573" t="str">
        <f>IF('Marks Entry'!X68="","",'Marks Entry'!X68)</f>
        <v/>
      </c>
      <c r="AP68" s="572" t="str">
        <f t="shared" si="65"/>
        <v/>
      </c>
      <c r="AQ68" s="573" t="str">
        <f>IF('Marks Entry'!Y68="","",'Marks Entry'!Y68)</f>
        <v/>
      </c>
      <c r="AR68" s="573" t="str">
        <f>IF('Marks Entry'!Z68="","",'Marks Entry'!Z68)</f>
        <v/>
      </c>
      <c r="AS68" s="572" t="str">
        <f t="shared" si="66"/>
        <v/>
      </c>
      <c r="AT68" s="572" t="str">
        <f t="shared" si="67"/>
        <v/>
      </c>
      <c r="AU68" s="573" t="str">
        <f>IF('Marks Entry'!AA68="","",'Marks Entry'!AA68)</f>
        <v/>
      </c>
      <c r="AV68" s="573" t="str">
        <f>IF('Marks Entry'!AB68="","",'Marks Entry'!AB68)</f>
        <v/>
      </c>
      <c r="AW68" s="572" t="str">
        <f t="shared" si="68"/>
        <v/>
      </c>
      <c r="AX68" s="156" t="str">
        <f t="shared" si="69"/>
        <v/>
      </c>
      <c r="AY68" s="156" t="str">
        <f t="shared" si="70"/>
        <v/>
      </c>
      <c r="AZ68" s="191" t="str">
        <f t="shared" si="71"/>
        <v/>
      </c>
      <c r="BA68" s="152">
        <f t="shared" si="72"/>
        <v>0</v>
      </c>
      <c r="BB68" s="153">
        <f t="shared" si="73"/>
        <v>0</v>
      </c>
      <c r="BC68" s="153" t="str">
        <f t="shared" si="74"/>
        <v/>
      </c>
      <c r="BD68" s="153" t="str">
        <f t="shared" si="75"/>
        <v/>
      </c>
      <c r="BE68" s="153" t="str">
        <f t="shared" si="76"/>
        <v/>
      </c>
      <c r="BF68" s="152" t="str">
        <f t="shared" si="77"/>
        <v/>
      </c>
      <c r="BG68" s="153" t="str">
        <f t="shared" si="175"/>
        <v/>
      </c>
      <c r="BH68" s="152" t="str">
        <f t="shared" si="78"/>
        <v/>
      </c>
      <c r="BI68" s="580" t="str">
        <f>IF('Marks Entry'!AC68="","",'Marks Entry'!AC68)</f>
        <v/>
      </c>
      <c r="BJ68" s="580" t="str">
        <f>IF('Marks Entry'!AD68="","",'Marks Entry'!AD68)</f>
        <v/>
      </c>
      <c r="BK68" s="580" t="str">
        <f>IF('Marks Entry'!AE68="","",'Marks Entry'!AE68)</f>
        <v/>
      </c>
      <c r="BL68" s="580" t="str">
        <f>IF('Marks Entry'!AF68="","",'Marks Entry'!AF68)</f>
        <v/>
      </c>
      <c r="BM68" s="581" t="str">
        <f t="shared" si="79"/>
        <v/>
      </c>
      <c r="BN68" s="580" t="str">
        <f>IF('Marks Entry'!AG68="","",'Marks Entry'!AG68)</f>
        <v/>
      </c>
      <c r="BO68" s="580" t="str">
        <f>IF('Marks Entry'!AH68="","",'Marks Entry'!AH68)</f>
        <v/>
      </c>
      <c r="BP68" s="581" t="str">
        <f t="shared" si="80"/>
        <v/>
      </c>
      <c r="BQ68" s="581" t="str">
        <f t="shared" si="81"/>
        <v/>
      </c>
      <c r="BR68" s="580" t="str">
        <f>IF('Marks Entry'!AI68="","",'Marks Entry'!AI68)</f>
        <v/>
      </c>
      <c r="BS68" s="580" t="str">
        <f>IF('Marks Entry'!AJ68="","",'Marks Entry'!AJ68)</f>
        <v/>
      </c>
      <c r="BT68" s="581" t="str">
        <f t="shared" si="82"/>
        <v/>
      </c>
      <c r="BU68" s="156" t="str">
        <f t="shared" si="83"/>
        <v/>
      </c>
      <c r="BV68" s="156" t="str">
        <f t="shared" si="84"/>
        <v/>
      </c>
      <c r="BW68" s="191" t="str">
        <f t="shared" si="85"/>
        <v/>
      </c>
      <c r="BX68" s="152">
        <f t="shared" si="86"/>
        <v>0</v>
      </c>
      <c r="BY68" s="153">
        <f t="shared" si="87"/>
        <v>0</v>
      </c>
      <c r="BZ68" s="153" t="str">
        <f t="shared" si="88"/>
        <v/>
      </c>
      <c r="CA68" s="153" t="str">
        <f t="shared" si="89"/>
        <v/>
      </c>
      <c r="CB68" s="153" t="str">
        <f t="shared" si="90"/>
        <v/>
      </c>
      <c r="CC68" s="152" t="str">
        <f t="shared" si="91"/>
        <v/>
      </c>
      <c r="CD68" s="153" t="str">
        <f t="shared" si="92"/>
        <v/>
      </c>
      <c r="CE68" s="152" t="str">
        <f t="shared" si="93"/>
        <v/>
      </c>
      <c r="CF68" s="580" t="str">
        <f>IF('Marks Entry'!AK68="","",'Marks Entry'!AK68)</f>
        <v/>
      </c>
      <c r="CG68" s="580" t="str">
        <f>IF('Marks Entry'!AL68="","",'Marks Entry'!AL68)</f>
        <v/>
      </c>
      <c r="CH68" s="580" t="str">
        <f>IF('Marks Entry'!AM68="","",'Marks Entry'!AM68)</f>
        <v/>
      </c>
      <c r="CI68" s="580" t="str">
        <f>IF('Marks Entry'!AN68="","",'Marks Entry'!AN68)</f>
        <v/>
      </c>
      <c r="CJ68" s="581" t="str">
        <f t="shared" si="94"/>
        <v/>
      </c>
      <c r="CK68" s="580" t="str">
        <f>IF('Marks Entry'!AO68="","",'Marks Entry'!AO68)</f>
        <v/>
      </c>
      <c r="CL68" s="580" t="str">
        <f>IF('Marks Entry'!AP68="","",'Marks Entry'!AP68)</f>
        <v/>
      </c>
      <c r="CM68" s="581" t="str">
        <f t="shared" si="95"/>
        <v/>
      </c>
      <c r="CN68" s="581" t="str">
        <f t="shared" si="96"/>
        <v/>
      </c>
      <c r="CO68" s="580" t="str">
        <f>IF('Marks Entry'!AQ68="","",'Marks Entry'!AQ68)</f>
        <v/>
      </c>
      <c r="CP68" s="580" t="str">
        <f>IF('Marks Entry'!AR68="","",'Marks Entry'!AR68)</f>
        <v/>
      </c>
      <c r="CQ68" s="581" t="str">
        <f t="shared" si="97"/>
        <v/>
      </c>
      <c r="CR68" s="156" t="str">
        <f t="shared" si="98"/>
        <v/>
      </c>
      <c r="CS68" s="156" t="str">
        <f t="shared" si="99"/>
        <v/>
      </c>
      <c r="CT68" s="191" t="str">
        <f t="shared" si="100"/>
        <v/>
      </c>
      <c r="CU68" s="152">
        <f t="shared" si="101"/>
        <v>0</v>
      </c>
      <c r="CV68" s="153">
        <f t="shared" si="102"/>
        <v>0</v>
      </c>
      <c r="CW68" s="153" t="str">
        <f t="shared" si="103"/>
        <v/>
      </c>
      <c r="CX68" s="153" t="str">
        <f t="shared" si="104"/>
        <v/>
      </c>
      <c r="CY68" s="153" t="str">
        <f t="shared" si="176"/>
        <v/>
      </c>
      <c r="CZ68" s="152" t="str">
        <f t="shared" si="105"/>
        <v/>
      </c>
      <c r="DA68" s="153" t="str">
        <f t="shared" si="106"/>
        <v/>
      </c>
      <c r="DB68" s="152" t="str">
        <f t="shared" si="107"/>
        <v/>
      </c>
      <c r="DC68" s="153">
        <f t="shared" si="108"/>
        <v>0</v>
      </c>
      <c r="DD68" s="851" t="str">
        <f>IF('Marks Entry'!AS68="","",IF(OR('Master Sheet'!$D$19="YES",'Marks Entry'!$BA$1=1),'Marks Entry'!AS68,""))</f>
        <v/>
      </c>
      <c r="DE68" s="851" t="str">
        <f>IF('Marks Entry'!AT68="","",IF(OR('Master Sheet'!$D$19="YES",'Marks Entry'!$BA$1=1),'Marks Entry'!AT68,""))</f>
        <v/>
      </c>
      <c r="DF68" s="851" t="str">
        <f>IF('Marks Entry'!AU68="","",IF(OR('Master Sheet'!$D$19="YES",'Marks Entry'!$BA$1=1),'Marks Entry'!AU68,""))</f>
        <v/>
      </c>
      <c r="DG68" s="851" t="str">
        <f>IF('Marks Entry'!AV68="","",IF(OR('Master Sheet'!$D$19="YES",'Marks Entry'!$BA$1=1),'Marks Entry'!AV68,""))</f>
        <v/>
      </c>
      <c r="DH68" s="852" t="str">
        <f t="shared" si="109"/>
        <v/>
      </c>
      <c r="DI68" s="851" t="str">
        <f>IF('Marks Entry'!AW68="","",IF(OR('Master Sheet'!$D$19="YES",'Marks Entry'!$BA$1=1),'Marks Entry'!AW68,""))</f>
        <v/>
      </c>
      <c r="DJ68" s="851" t="str">
        <f>IF('Marks Entry'!AX68="","",IF(OR('Master Sheet'!$D$19="YES",'Marks Entry'!$BA$1=1),'Marks Entry'!AX68,""))</f>
        <v/>
      </c>
      <c r="DK68" s="852" t="str">
        <f t="shared" si="110"/>
        <v/>
      </c>
      <c r="DL68" s="852" t="str">
        <f t="shared" si="111"/>
        <v/>
      </c>
      <c r="DM68" s="851" t="str">
        <f>IF('Marks Entry'!AY68="","",IF(OR('Master Sheet'!$D$19="YES",'Marks Entry'!$BA$1=1),'Marks Entry'!AY68,""))</f>
        <v/>
      </c>
      <c r="DN68" s="851" t="str">
        <f>IF('Marks Entry'!AZ68="","",IF(OR('Master Sheet'!$D$19="YES",'Marks Entry'!$BA$1=1),'Marks Entry'!AZ68,""))</f>
        <v/>
      </c>
      <c r="DO68" s="851" t="str">
        <f>IF('Marks Entry'!BA68="","",IF(OR('Master Sheet'!$D$19="YES",'Marks Entry'!$BA$1=1),'Marks Entry'!BA68,""))</f>
        <v/>
      </c>
      <c r="DP68" s="852" t="str">
        <f t="shared" si="112"/>
        <v/>
      </c>
      <c r="DQ68" s="156" t="str">
        <f t="shared" si="113"/>
        <v/>
      </c>
      <c r="DR68" s="156" t="str">
        <f t="shared" si="114"/>
        <v/>
      </c>
      <c r="DS68" s="156" t="str">
        <f t="shared" si="115"/>
        <v/>
      </c>
      <c r="DT68" s="191" t="str">
        <f t="shared" si="116"/>
        <v/>
      </c>
      <c r="DU68" s="152">
        <f t="shared" si="117"/>
        <v>0</v>
      </c>
      <c r="DV68" s="153">
        <f t="shared" si="118"/>
        <v>0</v>
      </c>
      <c r="DW68" s="153" t="str">
        <f t="shared" si="119"/>
        <v/>
      </c>
      <c r="DX68" s="153" t="str">
        <f>IF(OR($B68="NSO",$B68=0,DS68=""),"",IF(AND(DJ68="",DO68=""),"",IF('Master Sheet'!$D$19="YES",$DO$6-COUNTIF(DO68,"ML")*DO$6,DS$6-(COUNTIF(DJ68,"ML")*DJ$6)-(COUNTIF(DO68,"ML")*DO$6))))</f>
        <v/>
      </c>
      <c r="DY68" s="153" t="str">
        <f>IF(OR($B68="NSO",$B68=0),"",IF(AND(DH68="",DI68="",DM68=""),"",IF(AND('Master Sheet'!$D$19="YES",'Marks Entry'!$BA$1=1),100,IF(AND(DJ68="",DO68=""),SUM(($DQ$7+$DR$7)-(DU68+DV68)),SUM(($DQ$6+$DR$6)-(DU68+DV68))))))</f>
        <v/>
      </c>
      <c r="DZ68" s="152" t="str">
        <f t="shared" si="120"/>
        <v/>
      </c>
      <c r="EA68" s="153" t="str">
        <f t="shared" si="121"/>
        <v/>
      </c>
      <c r="EB68" s="152" t="str">
        <f t="shared" si="122"/>
        <v/>
      </c>
      <c r="EC68" s="584" t="str">
        <f>IF('Marks Entry'!BB68="","",'Marks Entry'!BB68)</f>
        <v/>
      </c>
      <c r="ED68" s="584" t="str">
        <f>IF('Marks Entry'!BC68="","",'Marks Entry'!BC68)</f>
        <v/>
      </c>
      <c r="EE68" s="584" t="str">
        <f>IF('Marks Entry'!BD68="","",'Marks Entry'!BD68)</f>
        <v/>
      </c>
      <c r="EF68" s="590" t="str">
        <f t="shared" si="123"/>
        <v/>
      </c>
      <c r="EG68" s="595">
        <f t="shared" si="124"/>
        <v>0</v>
      </c>
      <c r="EH68" s="595">
        <f t="shared" si="125"/>
        <v>0</v>
      </c>
      <c r="EI68" s="192" t="str">
        <f t="shared" si="126"/>
        <v/>
      </c>
      <c r="EJ68" s="595" t="str">
        <f t="shared" si="127"/>
        <v/>
      </c>
      <c r="EK68" s="595" t="str">
        <f t="shared" si="128"/>
        <v/>
      </c>
      <c r="EL68" s="193" t="str">
        <f t="shared" si="129"/>
        <v/>
      </c>
      <c r="EM68" s="193" t="str">
        <f t="shared" si="130"/>
        <v/>
      </c>
      <c r="EN68" s="193" t="str">
        <f t="shared" si="131"/>
        <v/>
      </c>
      <c r="EO68" s="193" t="str">
        <f t="shared" si="132"/>
        <v/>
      </c>
      <c r="EP68" s="193" t="str">
        <f t="shared" si="133"/>
        <v/>
      </c>
      <c r="EQ68" s="193" t="str">
        <f t="shared" si="134"/>
        <v/>
      </c>
      <c r="ER68" s="194">
        <f t="shared" si="135"/>
        <v>0</v>
      </c>
      <c r="ES68" s="194">
        <f t="shared" si="136"/>
        <v>0</v>
      </c>
      <c r="ET68" s="194">
        <f t="shared" si="137"/>
        <v>0</v>
      </c>
      <c r="EU68" s="194">
        <f t="shared" si="138"/>
        <v>0</v>
      </c>
      <c r="EV68" s="194">
        <f t="shared" si="139"/>
        <v>0</v>
      </c>
      <c r="EW68" s="194" t="str">
        <f t="shared" si="140"/>
        <v/>
      </c>
      <c r="EX68" s="195" t="str">
        <f t="shared" si="141"/>
        <v/>
      </c>
      <c r="EY68" s="196" t="str">
        <f>IF('Marks Entry'!BE68="","",'Marks Entry'!BE68)</f>
        <v/>
      </c>
      <c r="EZ68" s="196" t="str">
        <f>IF('Marks Entry'!BF68="","",'Marks Entry'!BF68)</f>
        <v/>
      </c>
      <c r="FA68" s="196" t="str">
        <f>IF('Marks Entry'!BG68="","",'Marks Entry'!BG68)</f>
        <v/>
      </c>
      <c r="FB68" s="596" t="str">
        <f t="shared" si="142"/>
        <v/>
      </c>
      <c r="FC68" s="196" t="str">
        <f>IF('Marks Entry'!BH68="","",'Marks Entry'!BH68)</f>
        <v/>
      </c>
      <c r="FD68" s="196" t="str">
        <f>IF('Marks Entry'!BI68="","",'Marks Entry'!BI68)</f>
        <v/>
      </c>
      <c r="FE68" s="197" t="str">
        <f t="shared" si="143"/>
        <v/>
      </c>
      <c r="FF68" s="198" t="str">
        <f t="shared" si="144"/>
        <v/>
      </c>
      <c r="FG68" s="199" t="str">
        <f>IF(AND(E68=""),"",IF('Student DATA Entry'!L64="","",'Student DATA Entry'!L64))</f>
        <v/>
      </c>
      <c r="FH68" s="200" t="str">
        <f>IF(AND(E68=""),"",IF('Student DATA Entry'!M64="","",'Student DATA Entry'!M64))</f>
        <v/>
      </c>
      <c r="FI68" s="201" t="str">
        <f t="shared" si="145"/>
        <v/>
      </c>
      <c r="FJ68" s="188" t="str">
        <f t="shared" si="146"/>
        <v/>
      </c>
      <c r="FK68" s="188" t="str">
        <f t="shared" si="147"/>
        <v/>
      </c>
      <c r="FL68" s="202" t="str">
        <f t="shared" si="178"/>
        <v/>
      </c>
      <c r="FM68" s="188" t="str">
        <f t="shared" si="148"/>
        <v/>
      </c>
      <c r="FN68" s="203" t="str">
        <f t="shared" si="149"/>
        <v/>
      </c>
      <c r="FO68" s="202" t="str">
        <f t="shared" si="179"/>
        <v/>
      </c>
      <c r="FP68" s="204" t="str">
        <f t="shared" si="150"/>
        <v/>
      </c>
      <c r="FQ68" s="188" t="str">
        <f t="shared" si="180"/>
        <v/>
      </c>
      <c r="FR68" s="188" t="str">
        <f t="shared" si="181"/>
        <v/>
      </c>
      <c r="FS68" s="188" t="str">
        <f t="shared" si="182"/>
        <v/>
      </c>
      <c r="FT68" s="188" t="str">
        <f t="shared" si="183"/>
        <v/>
      </c>
      <c r="FU68" s="188" t="str">
        <f t="shared" si="151"/>
        <v/>
      </c>
      <c r="FV68" s="205" t="str">
        <f t="shared" si="184"/>
        <v/>
      </c>
      <c r="FW68" s="204" t="str">
        <f t="shared" si="152"/>
        <v/>
      </c>
      <c r="FX68" s="188" t="str">
        <f t="shared" si="185"/>
        <v/>
      </c>
      <c r="FY68" s="188" t="str">
        <f t="shared" si="186"/>
        <v/>
      </c>
      <c r="FZ68" s="188" t="str">
        <f t="shared" si="187"/>
        <v/>
      </c>
      <c r="GA68" s="188" t="str">
        <f t="shared" si="188"/>
        <v/>
      </c>
      <c r="GB68" s="188" t="str">
        <f t="shared" si="153"/>
        <v/>
      </c>
      <c r="GC68" s="205" t="str">
        <f t="shared" si="189"/>
        <v/>
      </c>
      <c r="GD68" s="204" t="str">
        <f t="shared" si="154"/>
        <v/>
      </c>
      <c r="GE68" s="188" t="str">
        <f t="shared" si="190"/>
        <v/>
      </c>
      <c r="GF68" s="188" t="str">
        <f t="shared" si="191"/>
        <v/>
      </c>
      <c r="GG68" s="188" t="str">
        <f t="shared" si="192"/>
        <v/>
      </c>
      <c r="GH68" s="188" t="str">
        <f t="shared" si="193"/>
        <v/>
      </c>
      <c r="GI68" s="188" t="str">
        <f t="shared" si="155"/>
        <v/>
      </c>
      <c r="GJ68" s="205" t="str">
        <f t="shared" si="194"/>
        <v/>
      </c>
      <c r="GK68" s="204" t="str">
        <f t="shared" si="156"/>
        <v/>
      </c>
      <c r="GL68" s="188" t="str">
        <f t="shared" si="195"/>
        <v/>
      </c>
      <c r="GM68" s="188" t="str">
        <f t="shared" si="196"/>
        <v/>
      </c>
      <c r="GN68" s="188" t="str">
        <f t="shared" si="197"/>
        <v/>
      </c>
      <c r="GO68" s="188" t="str">
        <f t="shared" si="198"/>
        <v/>
      </c>
      <c r="GP68" s="188" t="str">
        <f t="shared" si="157"/>
        <v/>
      </c>
      <c r="GQ68" s="205" t="str">
        <f t="shared" si="199"/>
        <v/>
      </c>
      <c r="GR68" s="188" t="str">
        <f t="shared" si="158"/>
        <v/>
      </c>
      <c r="GS68" s="188" t="str">
        <f t="shared" si="159"/>
        <v/>
      </c>
      <c r="GT68" s="206" t="str">
        <f t="shared" si="177"/>
        <v xml:space="preserve">    </v>
      </c>
      <c r="GU68" s="206" t="str">
        <f t="shared" si="160"/>
        <v xml:space="preserve">    </v>
      </c>
      <c r="GV68" s="206" t="str">
        <f t="shared" si="161"/>
        <v xml:space="preserve">    </v>
      </c>
      <c r="GW68" s="206" t="str">
        <f t="shared" si="162"/>
        <v xml:space="preserve">       </v>
      </c>
      <c r="GX68" s="598" t="str">
        <f t="shared" si="163"/>
        <v xml:space="preserve">     </v>
      </c>
      <c r="GY68" s="207" t="str">
        <f t="shared" si="200"/>
        <v/>
      </c>
      <c r="GZ68" s="606" t="str">
        <f>IF(AND(Q68="",AE68="",AZ68="",BW68="",CT68=""),"",IF(AND('Master Sheet'!$D$19="YES",'Marks Entry'!$BA$1=1),SUM(Q68,AE68,AZ68,BW68,DT68),SUM(Q68,AE68,AZ68,BW68,CT68)))</f>
        <v/>
      </c>
      <c r="HA68" s="208" t="str">
        <f>IF(GZ68="","",IF(AND('Master Sheet'!$D$19="YES",'Marks Entry'!$BA$1=1),GZ68/((900)-DC68)*100,GZ68/((1000)-DC68)*100))</f>
        <v/>
      </c>
      <c r="HB68" s="611" t="str">
        <f t="shared" si="165"/>
        <v/>
      </c>
      <c r="HC68" s="609" t="str">
        <f t="shared" si="166"/>
        <v/>
      </c>
      <c r="HD68" s="610" t="str">
        <f t="shared" si="167"/>
        <v/>
      </c>
      <c r="HE68" s="209" t="str">
        <f>IFERROR(IF(OR(GY68="SUPPLEMENTARY",GY68="RE-EXAM"),'Supp. Result Entry'!AS67,""),"")</f>
        <v/>
      </c>
      <c r="HF68" s="613" t="str">
        <f t="shared" si="168"/>
        <v/>
      </c>
      <c r="HG68" s="598" t="str">
        <f t="shared" si="169"/>
        <v/>
      </c>
      <c r="HH68" s="598" t="str">
        <f>IF(AND(HE68="",HF68="",HG68=""),"",IF(OR(GY68="SUPPLEMENTARY",GY68="RE-EXAM"),'Supp. Result Entry'!AS67,GY68))</f>
        <v/>
      </c>
      <c r="HI68" s="179"/>
      <c r="HY68" s="211" t="str">
        <f>IF('Supp. Result Entry'!U67="","",'Supp. Result Entry'!$U$6)</f>
        <v/>
      </c>
      <c r="HZ68" s="212" t="str">
        <f>IF('Supp. Result Entry'!X67="","",'Supp. Result Entry'!$X$6)</f>
        <v/>
      </c>
      <c r="IA68" s="212" t="str">
        <f>IF('Supp. Result Entry'!AA67="","",'Supp. Result Entry'!$AA$6)</f>
        <v/>
      </c>
      <c r="IB68" s="212" t="str">
        <f>IF('Supp. Result Entry'!AD67="","",'Supp. Result Entry'!$AD$6)</f>
        <v/>
      </c>
      <c r="IC68" s="212" t="str">
        <f>IF('Supp. Result Entry'!AG67="","",'Supp. Result Entry'!$AG$6)</f>
        <v/>
      </c>
      <c r="ID68" s="212" t="str">
        <f>IF('Supp. Result Entry'!AJ67="","",'Supp. Result Entry'!$AJ$6)</f>
        <v/>
      </c>
      <c r="IE68" s="212" t="str">
        <f>IF('Supp. Result Entry'!V67="","",'Supp. Result Entry'!V67)</f>
        <v/>
      </c>
      <c r="IF68" s="212" t="str">
        <f>IF('Supp. Result Entry'!Y67="","",'Supp. Result Entry'!Y67)</f>
        <v/>
      </c>
      <c r="IG68" s="212" t="str">
        <f>IF('Supp. Result Entry'!AB67="","",'Supp. Result Entry'!AB67)</f>
        <v/>
      </c>
      <c r="IH68" s="212" t="str">
        <f>IF('Supp. Result Entry'!AE67="","",'Supp. Result Entry'!AE67)</f>
        <v/>
      </c>
      <c r="II68" s="212" t="str">
        <f>IF('Supp. Result Entry'!AH67="","",'Supp. Result Entry'!AH67)</f>
        <v/>
      </c>
      <c r="IJ68" s="212" t="str">
        <f>IF('Supp. Result Entry'!AK67="","",'Supp. Result Entry'!AK67)</f>
        <v/>
      </c>
      <c r="IK68" s="212" t="str">
        <f>IF('Supp. Result Entry'!W67="","",'Supp. Result Entry'!W67)</f>
        <v/>
      </c>
      <c r="IL68" s="212" t="str">
        <f>IF('Supp. Result Entry'!Z67="","",'Supp. Result Entry'!Z67)</f>
        <v/>
      </c>
      <c r="IM68" s="212" t="str">
        <f>IF('Supp. Result Entry'!AC67="","",'Supp. Result Entry'!AC67)</f>
        <v/>
      </c>
      <c r="IN68" s="212" t="str">
        <f>IF('Supp. Result Entry'!AF67="","",'Supp. Result Entry'!AF67)</f>
        <v/>
      </c>
      <c r="IO68" s="212" t="str">
        <f>IF('Supp. Result Entry'!AI67="","",'Supp. Result Entry'!AI67)</f>
        <v/>
      </c>
      <c r="IP68" s="212" t="str">
        <f>IF('Supp. Result Entry'!AL67="","",'Supp. Result Entry'!AL67)</f>
        <v/>
      </c>
      <c r="IQ68" s="212">
        <f>COUNTIF('Supp. Result Entry'!K67:Q67,"S")</f>
        <v>0</v>
      </c>
      <c r="IR68" s="212">
        <f t="shared" si="170"/>
        <v>0</v>
      </c>
      <c r="IS68" s="212">
        <f t="shared" si="171"/>
        <v>0</v>
      </c>
      <c r="IT68" s="212" t="str">
        <f t="shared" si="41"/>
        <v/>
      </c>
      <c r="IU68" s="212" t="str">
        <f t="shared" si="42"/>
        <v/>
      </c>
      <c r="IV68" s="212" t="str">
        <f t="shared" si="43"/>
        <v/>
      </c>
      <c r="IW68" s="212" t="str">
        <f t="shared" si="44"/>
        <v/>
      </c>
      <c r="IX68" s="212" t="str">
        <f t="shared" si="45"/>
        <v/>
      </c>
      <c r="IY68" s="212" t="str">
        <f t="shared" si="172"/>
        <v/>
      </c>
      <c r="IZ68" s="212" t="str">
        <f t="shared" si="173"/>
        <v/>
      </c>
      <c r="JA68" s="212" t="str">
        <f t="shared" si="46"/>
        <v/>
      </c>
      <c r="JB68" s="210" t="str">
        <f t="shared" si="174"/>
        <v/>
      </c>
    </row>
    <row r="69" spans="1:262" s="210" customFormat="1" ht="21" customHeight="1">
      <c r="A69" s="183">
        <v>62</v>
      </c>
      <c r="B69" s="184" t="str">
        <f>IF('Marks Entry'!B69="","",'Marks Entry'!B69)</f>
        <v/>
      </c>
      <c r="C69" s="185" t="str">
        <f>IF('Marks Entry'!D69="","",'Marks Entry'!D69)</f>
        <v/>
      </c>
      <c r="D69" s="186" t="str">
        <f>IF('Marks Entry'!E69="","",'Marks Entry'!E69)</f>
        <v/>
      </c>
      <c r="E69" s="187" t="str">
        <f>IF('Marks Entry'!F69="","",'Marks Entry'!F69)</f>
        <v/>
      </c>
      <c r="F69" s="187" t="str">
        <f>IF('Marks Entry'!G69="","",'Marks Entry'!G69)</f>
        <v/>
      </c>
      <c r="G69" s="187" t="str">
        <f>IF('Marks Entry'!H69="","",'Marks Entry'!H69)</f>
        <v/>
      </c>
      <c r="H69" s="188" t="str">
        <f>IF('Marks Entry'!I69="","",'Marks Entry'!I69)</f>
        <v/>
      </c>
      <c r="I69" s="189" t="str">
        <f>IF('Marks Entry'!J69="","",'Marks Entry'!J69)</f>
        <v/>
      </c>
      <c r="J69" s="545" t="str">
        <f>IF('Marks Entry'!K69="","",'Marks Entry'!K69)</f>
        <v/>
      </c>
      <c r="K69" s="545" t="str">
        <f>IF('Marks Entry'!L69="","",'Marks Entry'!L69)</f>
        <v/>
      </c>
      <c r="L69" s="545" t="str">
        <f>IF('Marks Entry'!M69="","",'Marks Entry'!M69)</f>
        <v/>
      </c>
      <c r="M69" s="546" t="str">
        <f t="shared" si="47"/>
        <v/>
      </c>
      <c r="N69" s="545" t="str">
        <f>IF('Marks Entry'!N69="","",'Marks Entry'!N69)</f>
        <v/>
      </c>
      <c r="O69" s="546" t="str">
        <f t="shared" si="48"/>
        <v/>
      </c>
      <c r="P69" s="545" t="str">
        <f>IF('Marks Entry'!O69="","",'Marks Entry'!O69)</f>
        <v/>
      </c>
      <c r="Q69" s="547" t="str">
        <f t="shared" si="49"/>
        <v/>
      </c>
      <c r="R69" s="152">
        <f t="shared" si="50"/>
        <v>0</v>
      </c>
      <c r="S69" s="152">
        <f t="shared" si="51"/>
        <v>0</v>
      </c>
      <c r="T69" s="153" t="str">
        <f t="shared" si="52"/>
        <v/>
      </c>
      <c r="U69" s="152" t="str">
        <f t="shared" si="53"/>
        <v/>
      </c>
      <c r="V69" s="152" t="str">
        <f t="shared" si="54"/>
        <v/>
      </c>
      <c r="W69" s="152" t="str">
        <f t="shared" si="55"/>
        <v/>
      </c>
      <c r="X69" s="545" t="str">
        <f>IF('Marks Entry'!P69="","",'Marks Entry'!P69)</f>
        <v/>
      </c>
      <c r="Y69" s="545" t="str">
        <f>IF('Marks Entry'!Q69="","",'Marks Entry'!Q69)</f>
        <v/>
      </c>
      <c r="Z69" s="545" t="str">
        <f>IF('Marks Entry'!R69="","",'Marks Entry'!R69)</f>
        <v/>
      </c>
      <c r="AA69" s="546" t="str">
        <f t="shared" si="56"/>
        <v/>
      </c>
      <c r="AB69" s="545" t="str">
        <f>IF('Marks Entry'!S69="","",'Marks Entry'!S69)</f>
        <v/>
      </c>
      <c r="AC69" s="546" t="str">
        <f t="shared" si="57"/>
        <v/>
      </c>
      <c r="AD69" s="545" t="str">
        <f>IF('Marks Entry'!T69="","",'Marks Entry'!T69)</f>
        <v/>
      </c>
      <c r="AE69" s="547" t="str">
        <f t="shared" si="58"/>
        <v/>
      </c>
      <c r="AF69" s="152">
        <f t="shared" si="59"/>
        <v>0</v>
      </c>
      <c r="AG69" s="152">
        <f t="shared" si="60"/>
        <v>0</v>
      </c>
      <c r="AH69" s="153" t="str">
        <f t="shared" si="61"/>
        <v/>
      </c>
      <c r="AI69" s="152" t="str">
        <f t="shared" si="62"/>
        <v/>
      </c>
      <c r="AJ69" s="152" t="str">
        <f t="shared" si="63"/>
        <v/>
      </c>
      <c r="AK69" s="152" t="str">
        <f t="shared" si="64"/>
        <v/>
      </c>
      <c r="AL69" s="573" t="str">
        <f>IF('Marks Entry'!U69="","",'Marks Entry'!U69)</f>
        <v/>
      </c>
      <c r="AM69" s="573" t="str">
        <f>IF('Marks Entry'!V69="","",'Marks Entry'!V69)</f>
        <v/>
      </c>
      <c r="AN69" s="573" t="str">
        <f>IF('Marks Entry'!W69="","",'Marks Entry'!W69)</f>
        <v/>
      </c>
      <c r="AO69" s="573" t="str">
        <f>IF('Marks Entry'!X69="","",'Marks Entry'!X69)</f>
        <v/>
      </c>
      <c r="AP69" s="572" t="str">
        <f t="shared" si="65"/>
        <v/>
      </c>
      <c r="AQ69" s="573" t="str">
        <f>IF('Marks Entry'!Y69="","",'Marks Entry'!Y69)</f>
        <v/>
      </c>
      <c r="AR69" s="573" t="str">
        <f>IF('Marks Entry'!Z69="","",'Marks Entry'!Z69)</f>
        <v/>
      </c>
      <c r="AS69" s="572" t="str">
        <f t="shared" si="66"/>
        <v/>
      </c>
      <c r="AT69" s="572" t="str">
        <f t="shared" si="67"/>
        <v/>
      </c>
      <c r="AU69" s="573" t="str">
        <f>IF('Marks Entry'!AA69="","",'Marks Entry'!AA69)</f>
        <v/>
      </c>
      <c r="AV69" s="573" t="str">
        <f>IF('Marks Entry'!AB69="","",'Marks Entry'!AB69)</f>
        <v/>
      </c>
      <c r="AW69" s="572" t="str">
        <f t="shared" si="68"/>
        <v/>
      </c>
      <c r="AX69" s="156" t="str">
        <f t="shared" si="69"/>
        <v/>
      </c>
      <c r="AY69" s="156" t="str">
        <f t="shared" si="70"/>
        <v/>
      </c>
      <c r="AZ69" s="191" t="str">
        <f t="shared" si="71"/>
        <v/>
      </c>
      <c r="BA69" s="152">
        <f t="shared" si="72"/>
        <v>0</v>
      </c>
      <c r="BB69" s="153">
        <f t="shared" si="73"/>
        <v>0</v>
      </c>
      <c r="BC69" s="153" t="str">
        <f t="shared" si="74"/>
        <v/>
      </c>
      <c r="BD69" s="153" t="str">
        <f t="shared" si="75"/>
        <v/>
      </c>
      <c r="BE69" s="153" t="str">
        <f t="shared" si="76"/>
        <v/>
      </c>
      <c r="BF69" s="152" t="str">
        <f t="shared" si="77"/>
        <v/>
      </c>
      <c r="BG69" s="153" t="str">
        <f t="shared" si="175"/>
        <v/>
      </c>
      <c r="BH69" s="152" t="str">
        <f t="shared" si="78"/>
        <v/>
      </c>
      <c r="BI69" s="580" t="str">
        <f>IF('Marks Entry'!AC69="","",'Marks Entry'!AC69)</f>
        <v/>
      </c>
      <c r="BJ69" s="580" t="str">
        <f>IF('Marks Entry'!AD69="","",'Marks Entry'!AD69)</f>
        <v/>
      </c>
      <c r="BK69" s="580" t="str">
        <f>IF('Marks Entry'!AE69="","",'Marks Entry'!AE69)</f>
        <v/>
      </c>
      <c r="BL69" s="580" t="str">
        <f>IF('Marks Entry'!AF69="","",'Marks Entry'!AF69)</f>
        <v/>
      </c>
      <c r="BM69" s="581" t="str">
        <f t="shared" si="79"/>
        <v/>
      </c>
      <c r="BN69" s="580" t="str">
        <f>IF('Marks Entry'!AG69="","",'Marks Entry'!AG69)</f>
        <v/>
      </c>
      <c r="BO69" s="580" t="str">
        <f>IF('Marks Entry'!AH69="","",'Marks Entry'!AH69)</f>
        <v/>
      </c>
      <c r="BP69" s="581" t="str">
        <f t="shared" si="80"/>
        <v/>
      </c>
      <c r="BQ69" s="581" t="str">
        <f t="shared" si="81"/>
        <v/>
      </c>
      <c r="BR69" s="580" t="str">
        <f>IF('Marks Entry'!AI69="","",'Marks Entry'!AI69)</f>
        <v/>
      </c>
      <c r="BS69" s="580" t="str">
        <f>IF('Marks Entry'!AJ69="","",'Marks Entry'!AJ69)</f>
        <v/>
      </c>
      <c r="BT69" s="581" t="str">
        <f t="shared" si="82"/>
        <v/>
      </c>
      <c r="BU69" s="156" t="str">
        <f t="shared" si="83"/>
        <v/>
      </c>
      <c r="BV69" s="156" t="str">
        <f t="shared" si="84"/>
        <v/>
      </c>
      <c r="BW69" s="191" t="str">
        <f t="shared" si="85"/>
        <v/>
      </c>
      <c r="BX69" s="152">
        <f t="shared" si="86"/>
        <v>0</v>
      </c>
      <c r="BY69" s="153">
        <f t="shared" si="87"/>
        <v>0</v>
      </c>
      <c r="BZ69" s="153" t="str">
        <f t="shared" si="88"/>
        <v/>
      </c>
      <c r="CA69" s="153" t="str">
        <f t="shared" si="89"/>
        <v/>
      </c>
      <c r="CB69" s="153" t="str">
        <f t="shared" si="90"/>
        <v/>
      </c>
      <c r="CC69" s="152" t="str">
        <f t="shared" si="91"/>
        <v/>
      </c>
      <c r="CD69" s="153" t="str">
        <f t="shared" si="92"/>
        <v/>
      </c>
      <c r="CE69" s="152" t="str">
        <f t="shared" si="93"/>
        <v/>
      </c>
      <c r="CF69" s="580" t="str">
        <f>IF('Marks Entry'!AK69="","",'Marks Entry'!AK69)</f>
        <v/>
      </c>
      <c r="CG69" s="580" t="str">
        <f>IF('Marks Entry'!AL69="","",'Marks Entry'!AL69)</f>
        <v/>
      </c>
      <c r="CH69" s="580" t="str">
        <f>IF('Marks Entry'!AM69="","",'Marks Entry'!AM69)</f>
        <v/>
      </c>
      <c r="CI69" s="580" t="str">
        <f>IF('Marks Entry'!AN69="","",'Marks Entry'!AN69)</f>
        <v/>
      </c>
      <c r="CJ69" s="581" t="str">
        <f t="shared" si="94"/>
        <v/>
      </c>
      <c r="CK69" s="580" t="str">
        <f>IF('Marks Entry'!AO69="","",'Marks Entry'!AO69)</f>
        <v/>
      </c>
      <c r="CL69" s="580" t="str">
        <f>IF('Marks Entry'!AP69="","",'Marks Entry'!AP69)</f>
        <v/>
      </c>
      <c r="CM69" s="581" t="str">
        <f t="shared" si="95"/>
        <v/>
      </c>
      <c r="CN69" s="581" t="str">
        <f t="shared" si="96"/>
        <v/>
      </c>
      <c r="CO69" s="580" t="str">
        <f>IF('Marks Entry'!AQ69="","",'Marks Entry'!AQ69)</f>
        <v/>
      </c>
      <c r="CP69" s="580" t="str">
        <f>IF('Marks Entry'!AR69="","",'Marks Entry'!AR69)</f>
        <v/>
      </c>
      <c r="CQ69" s="581" t="str">
        <f t="shared" si="97"/>
        <v/>
      </c>
      <c r="CR69" s="156" t="str">
        <f t="shared" si="98"/>
        <v/>
      </c>
      <c r="CS69" s="156" t="str">
        <f t="shared" si="99"/>
        <v/>
      </c>
      <c r="CT69" s="191" t="str">
        <f t="shared" si="100"/>
        <v/>
      </c>
      <c r="CU69" s="152">
        <f t="shared" si="101"/>
        <v>0</v>
      </c>
      <c r="CV69" s="153">
        <f t="shared" si="102"/>
        <v>0</v>
      </c>
      <c r="CW69" s="153" t="str">
        <f t="shared" si="103"/>
        <v/>
      </c>
      <c r="CX69" s="153" t="str">
        <f t="shared" si="104"/>
        <v/>
      </c>
      <c r="CY69" s="153" t="str">
        <f t="shared" si="176"/>
        <v/>
      </c>
      <c r="CZ69" s="152" t="str">
        <f t="shared" si="105"/>
        <v/>
      </c>
      <c r="DA69" s="153" t="str">
        <f t="shared" si="106"/>
        <v/>
      </c>
      <c r="DB69" s="152" t="str">
        <f t="shared" si="107"/>
        <v/>
      </c>
      <c r="DC69" s="153">
        <f t="shared" si="108"/>
        <v>0</v>
      </c>
      <c r="DD69" s="851" t="str">
        <f>IF('Marks Entry'!AS69="","",IF(OR('Master Sheet'!$D$19="YES",'Marks Entry'!$BA$1=1),'Marks Entry'!AS69,""))</f>
        <v/>
      </c>
      <c r="DE69" s="851" t="str">
        <f>IF('Marks Entry'!AT69="","",IF(OR('Master Sheet'!$D$19="YES",'Marks Entry'!$BA$1=1),'Marks Entry'!AT69,""))</f>
        <v/>
      </c>
      <c r="DF69" s="851" t="str">
        <f>IF('Marks Entry'!AU69="","",IF(OR('Master Sheet'!$D$19="YES",'Marks Entry'!$BA$1=1),'Marks Entry'!AU69,""))</f>
        <v/>
      </c>
      <c r="DG69" s="851" t="str">
        <f>IF('Marks Entry'!AV69="","",IF(OR('Master Sheet'!$D$19="YES",'Marks Entry'!$BA$1=1),'Marks Entry'!AV69,""))</f>
        <v/>
      </c>
      <c r="DH69" s="852" t="str">
        <f t="shared" si="109"/>
        <v/>
      </c>
      <c r="DI69" s="851" t="str">
        <f>IF('Marks Entry'!AW69="","",IF(OR('Master Sheet'!$D$19="YES",'Marks Entry'!$BA$1=1),'Marks Entry'!AW69,""))</f>
        <v/>
      </c>
      <c r="DJ69" s="851" t="str">
        <f>IF('Marks Entry'!AX69="","",IF(OR('Master Sheet'!$D$19="YES",'Marks Entry'!$BA$1=1),'Marks Entry'!AX69,""))</f>
        <v/>
      </c>
      <c r="DK69" s="852" t="str">
        <f t="shared" si="110"/>
        <v/>
      </c>
      <c r="DL69" s="852" t="str">
        <f t="shared" si="111"/>
        <v/>
      </c>
      <c r="DM69" s="851" t="str">
        <f>IF('Marks Entry'!AY69="","",IF(OR('Master Sheet'!$D$19="YES",'Marks Entry'!$BA$1=1),'Marks Entry'!AY69,""))</f>
        <v/>
      </c>
      <c r="DN69" s="851" t="str">
        <f>IF('Marks Entry'!AZ69="","",IF(OR('Master Sheet'!$D$19="YES",'Marks Entry'!$BA$1=1),'Marks Entry'!AZ69,""))</f>
        <v/>
      </c>
      <c r="DO69" s="851" t="str">
        <f>IF('Marks Entry'!BA69="","",IF(OR('Master Sheet'!$D$19="YES",'Marks Entry'!$BA$1=1),'Marks Entry'!BA69,""))</f>
        <v/>
      </c>
      <c r="DP69" s="852" t="str">
        <f t="shared" si="112"/>
        <v/>
      </c>
      <c r="DQ69" s="156" t="str">
        <f t="shared" si="113"/>
        <v/>
      </c>
      <c r="DR69" s="156" t="str">
        <f t="shared" si="114"/>
        <v/>
      </c>
      <c r="DS69" s="156" t="str">
        <f t="shared" si="115"/>
        <v/>
      </c>
      <c r="DT69" s="191" t="str">
        <f t="shared" si="116"/>
        <v/>
      </c>
      <c r="DU69" s="152">
        <f t="shared" si="117"/>
        <v>0</v>
      </c>
      <c r="DV69" s="153">
        <f t="shared" si="118"/>
        <v>0</v>
      </c>
      <c r="DW69" s="153" t="str">
        <f t="shared" si="119"/>
        <v/>
      </c>
      <c r="DX69" s="153" t="str">
        <f>IF(OR($B69="NSO",$B69=0,DS69=""),"",IF(AND(DJ69="",DO69=""),"",IF('Master Sheet'!$D$19="YES",$DO$6-COUNTIF(DO69,"ML")*DO$6,DS$6-(COUNTIF(DJ69,"ML")*DJ$6)-(COUNTIF(DO69,"ML")*DO$6))))</f>
        <v/>
      </c>
      <c r="DY69" s="153" t="str">
        <f>IF(OR($B69="NSO",$B69=0),"",IF(AND(DH69="",DI69="",DM69=""),"",IF(AND('Master Sheet'!$D$19="YES",'Marks Entry'!$BA$1=1),100,IF(AND(DJ69="",DO69=""),SUM(($DQ$7+$DR$7)-(DU69+DV69)),SUM(($DQ$6+$DR$6)-(DU69+DV69))))))</f>
        <v/>
      </c>
      <c r="DZ69" s="152" t="str">
        <f t="shared" si="120"/>
        <v/>
      </c>
      <c r="EA69" s="153" t="str">
        <f t="shared" si="121"/>
        <v/>
      </c>
      <c r="EB69" s="152" t="str">
        <f t="shared" si="122"/>
        <v/>
      </c>
      <c r="EC69" s="584" t="str">
        <f>IF('Marks Entry'!BB69="","",'Marks Entry'!BB69)</f>
        <v/>
      </c>
      <c r="ED69" s="584" t="str">
        <f>IF('Marks Entry'!BC69="","",'Marks Entry'!BC69)</f>
        <v/>
      </c>
      <c r="EE69" s="584" t="str">
        <f>IF('Marks Entry'!BD69="","",'Marks Entry'!BD69)</f>
        <v/>
      </c>
      <c r="EF69" s="590" t="str">
        <f t="shared" si="123"/>
        <v/>
      </c>
      <c r="EG69" s="595">
        <f t="shared" si="124"/>
        <v>0</v>
      </c>
      <c r="EH69" s="595">
        <f t="shared" si="125"/>
        <v>0</v>
      </c>
      <c r="EI69" s="192" t="str">
        <f t="shared" si="126"/>
        <v/>
      </c>
      <c r="EJ69" s="595" t="str">
        <f t="shared" si="127"/>
        <v/>
      </c>
      <c r="EK69" s="595" t="str">
        <f t="shared" si="128"/>
        <v/>
      </c>
      <c r="EL69" s="193" t="str">
        <f t="shared" si="129"/>
        <v/>
      </c>
      <c r="EM69" s="193" t="str">
        <f t="shared" si="130"/>
        <v/>
      </c>
      <c r="EN69" s="193" t="str">
        <f t="shared" si="131"/>
        <v/>
      </c>
      <c r="EO69" s="193" t="str">
        <f t="shared" si="132"/>
        <v/>
      </c>
      <c r="EP69" s="193" t="str">
        <f t="shared" si="133"/>
        <v/>
      </c>
      <c r="EQ69" s="193" t="str">
        <f t="shared" si="134"/>
        <v/>
      </c>
      <c r="ER69" s="194">
        <f t="shared" si="135"/>
        <v>0</v>
      </c>
      <c r="ES69" s="194">
        <f t="shared" si="136"/>
        <v>0</v>
      </c>
      <c r="ET69" s="194">
        <f t="shared" si="137"/>
        <v>0</v>
      </c>
      <c r="EU69" s="194">
        <f t="shared" si="138"/>
        <v>0</v>
      </c>
      <c r="EV69" s="194">
        <f t="shared" si="139"/>
        <v>0</v>
      </c>
      <c r="EW69" s="194" t="str">
        <f t="shared" si="140"/>
        <v/>
      </c>
      <c r="EX69" s="195" t="str">
        <f t="shared" si="141"/>
        <v/>
      </c>
      <c r="EY69" s="196" t="str">
        <f>IF('Marks Entry'!BE69="","",'Marks Entry'!BE69)</f>
        <v/>
      </c>
      <c r="EZ69" s="196" t="str">
        <f>IF('Marks Entry'!BF69="","",'Marks Entry'!BF69)</f>
        <v/>
      </c>
      <c r="FA69" s="196" t="str">
        <f>IF('Marks Entry'!BG69="","",'Marks Entry'!BG69)</f>
        <v/>
      </c>
      <c r="FB69" s="596" t="str">
        <f t="shared" si="142"/>
        <v/>
      </c>
      <c r="FC69" s="196" t="str">
        <f>IF('Marks Entry'!BH69="","",'Marks Entry'!BH69)</f>
        <v/>
      </c>
      <c r="FD69" s="196" t="str">
        <f>IF('Marks Entry'!BI69="","",'Marks Entry'!BI69)</f>
        <v/>
      </c>
      <c r="FE69" s="197" t="str">
        <f t="shared" si="143"/>
        <v/>
      </c>
      <c r="FF69" s="198" t="str">
        <f t="shared" si="144"/>
        <v/>
      </c>
      <c r="FG69" s="199" t="str">
        <f>IF(AND(E69=""),"",IF('Student DATA Entry'!L65="","",'Student DATA Entry'!L65))</f>
        <v/>
      </c>
      <c r="FH69" s="200" t="str">
        <f>IF(AND(E69=""),"",IF('Student DATA Entry'!M65="","",'Student DATA Entry'!M65))</f>
        <v/>
      </c>
      <c r="FI69" s="201" t="str">
        <f t="shared" si="145"/>
        <v/>
      </c>
      <c r="FJ69" s="188" t="str">
        <f t="shared" si="146"/>
        <v/>
      </c>
      <c r="FK69" s="188" t="str">
        <f t="shared" si="147"/>
        <v/>
      </c>
      <c r="FL69" s="202" t="str">
        <f t="shared" si="178"/>
        <v/>
      </c>
      <c r="FM69" s="188" t="str">
        <f t="shared" si="148"/>
        <v/>
      </c>
      <c r="FN69" s="203" t="str">
        <f t="shared" si="149"/>
        <v/>
      </c>
      <c r="FO69" s="202" t="str">
        <f t="shared" si="179"/>
        <v/>
      </c>
      <c r="FP69" s="204" t="str">
        <f t="shared" si="150"/>
        <v/>
      </c>
      <c r="FQ69" s="188" t="str">
        <f t="shared" si="180"/>
        <v/>
      </c>
      <c r="FR69" s="188" t="str">
        <f t="shared" si="181"/>
        <v/>
      </c>
      <c r="FS69" s="188" t="str">
        <f t="shared" si="182"/>
        <v/>
      </c>
      <c r="FT69" s="188" t="str">
        <f t="shared" si="183"/>
        <v/>
      </c>
      <c r="FU69" s="188" t="str">
        <f t="shared" si="151"/>
        <v/>
      </c>
      <c r="FV69" s="205" t="str">
        <f t="shared" si="184"/>
        <v/>
      </c>
      <c r="FW69" s="204" t="str">
        <f t="shared" si="152"/>
        <v/>
      </c>
      <c r="FX69" s="188" t="str">
        <f t="shared" si="185"/>
        <v/>
      </c>
      <c r="FY69" s="188" t="str">
        <f t="shared" si="186"/>
        <v/>
      </c>
      <c r="FZ69" s="188" t="str">
        <f t="shared" si="187"/>
        <v/>
      </c>
      <c r="GA69" s="188" t="str">
        <f t="shared" si="188"/>
        <v/>
      </c>
      <c r="GB69" s="188" t="str">
        <f t="shared" si="153"/>
        <v/>
      </c>
      <c r="GC69" s="205" t="str">
        <f t="shared" si="189"/>
        <v/>
      </c>
      <c r="GD69" s="204" t="str">
        <f t="shared" si="154"/>
        <v/>
      </c>
      <c r="GE69" s="188" t="str">
        <f t="shared" si="190"/>
        <v/>
      </c>
      <c r="GF69" s="188" t="str">
        <f t="shared" si="191"/>
        <v/>
      </c>
      <c r="GG69" s="188" t="str">
        <f t="shared" si="192"/>
        <v/>
      </c>
      <c r="GH69" s="188" t="str">
        <f t="shared" si="193"/>
        <v/>
      </c>
      <c r="GI69" s="188" t="str">
        <f t="shared" si="155"/>
        <v/>
      </c>
      <c r="GJ69" s="205" t="str">
        <f t="shared" si="194"/>
        <v/>
      </c>
      <c r="GK69" s="204" t="str">
        <f t="shared" si="156"/>
        <v/>
      </c>
      <c r="GL69" s="188" t="str">
        <f t="shared" si="195"/>
        <v/>
      </c>
      <c r="GM69" s="188" t="str">
        <f t="shared" si="196"/>
        <v/>
      </c>
      <c r="GN69" s="188" t="str">
        <f t="shared" si="197"/>
        <v/>
      </c>
      <c r="GO69" s="188" t="str">
        <f t="shared" si="198"/>
        <v/>
      </c>
      <c r="GP69" s="188" t="str">
        <f t="shared" si="157"/>
        <v/>
      </c>
      <c r="GQ69" s="205" t="str">
        <f t="shared" si="199"/>
        <v/>
      </c>
      <c r="GR69" s="188" t="str">
        <f t="shared" si="158"/>
        <v/>
      </c>
      <c r="GS69" s="188" t="str">
        <f t="shared" si="159"/>
        <v/>
      </c>
      <c r="GT69" s="206" t="str">
        <f t="shared" si="177"/>
        <v xml:space="preserve">    </v>
      </c>
      <c r="GU69" s="206" t="str">
        <f t="shared" si="160"/>
        <v xml:space="preserve">    </v>
      </c>
      <c r="GV69" s="206" t="str">
        <f t="shared" si="161"/>
        <v xml:space="preserve">    </v>
      </c>
      <c r="GW69" s="206" t="str">
        <f t="shared" si="162"/>
        <v xml:space="preserve">       </v>
      </c>
      <c r="GX69" s="598" t="str">
        <f t="shared" si="163"/>
        <v xml:space="preserve">     </v>
      </c>
      <c r="GY69" s="207" t="str">
        <f t="shared" si="200"/>
        <v/>
      </c>
      <c r="GZ69" s="606" t="str">
        <f>IF(AND(Q69="",AE69="",AZ69="",BW69="",CT69=""),"",IF(AND('Master Sheet'!$D$19="YES",'Marks Entry'!$BA$1=1),SUM(Q69,AE69,AZ69,BW69,DT69),SUM(Q69,AE69,AZ69,BW69,CT69)))</f>
        <v/>
      </c>
      <c r="HA69" s="208" t="str">
        <f>IF(GZ69="","",IF(AND('Master Sheet'!$D$19="YES",'Marks Entry'!$BA$1=1),GZ69/((900)-DC69)*100,GZ69/((1000)-DC69)*100))</f>
        <v/>
      </c>
      <c r="HB69" s="611" t="str">
        <f t="shared" si="165"/>
        <v/>
      </c>
      <c r="HC69" s="609" t="str">
        <f t="shared" si="166"/>
        <v/>
      </c>
      <c r="HD69" s="610" t="str">
        <f t="shared" si="167"/>
        <v/>
      </c>
      <c r="HE69" s="209" t="str">
        <f>IFERROR(IF(OR(GY69="SUPPLEMENTARY",GY69="RE-EXAM"),'Supp. Result Entry'!AS68,""),"")</f>
        <v/>
      </c>
      <c r="HF69" s="613" t="str">
        <f t="shared" si="168"/>
        <v/>
      </c>
      <c r="HG69" s="598" t="str">
        <f t="shared" si="169"/>
        <v/>
      </c>
      <c r="HH69" s="598" t="str">
        <f>IF(AND(HE69="",HF69="",HG69=""),"",IF(OR(GY69="SUPPLEMENTARY",GY69="RE-EXAM"),'Supp. Result Entry'!AS68,GY69))</f>
        <v/>
      </c>
      <c r="HI69" s="179"/>
      <c r="HY69" s="211" t="str">
        <f>IF('Supp. Result Entry'!U68="","",'Supp. Result Entry'!$U$6)</f>
        <v/>
      </c>
      <c r="HZ69" s="212" t="str">
        <f>IF('Supp. Result Entry'!X68="","",'Supp. Result Entry'!$X$6)</f>
        <v/>
      </c>
      <c r="IA69" s="212" t="str">
        <f>IF('Supp. Result Entry'!AA68="","",'Supp. Result Entry'!$AA$6)</f>
        <v/>
      </c>
      <c r="IB69" s="212" t="str">
        <f>IF('Supp. Result Entry'!AD68="","",'Supp. Result Entry'!$AD$6)</f>
        <v/>
      </c>
      <c r="IC69" s="212" t="str">
        <f>IF('Supp. Result Entry'!AG68="","",'Supp. Result Entry'!$AG$6)</f>
        <v/>
      </c>
      <c r="ID69" s="212" t="str">
        <f>IF('Supp. Result Entry'!AJ68="","",'Supp. Result Entry'!$AJ$6)</f>
        <v/>
      </c>
      <c r="IE69" s="212" t="str">
        <f>IF('Supp. Result Entry'!V68="","",'Supp. Result Entry'!V68)</f>
        <v/>
      </c>
      <c r="IF69" s="212" t="str">
        <f>IF('Supp. Result Entry'!Y68="","",'Supp. Result Entry'!Y68)</f>
        <v/>
      </c>
      <c r="IG69" s="212" t="str">
        <f>IF('Supp. Result Entry'!AB68="","",'Supp. Result Entry'!AB68)</f>
        <v/>
      </c>
      <c r="IH69" s="212" t="str">
        <f>IF('Supp. Result Entry'!AE68="","",'Supp. Result Entry'!AE68)</f>
        <v/>
      </c>
      <c r="II69" s="212" t="str">
        <f>IF('Supp. Result Entry'!AH68="","",'Supp. Result Entry'!AH68)</f>
        <v/>
      </c>
      <c r="IJ69" s="212" t="str">
        <f>IF('Supp. Result Entry'!AK68="","",'Supp. Result Entry'!AK68)</f>
        <v/>
      </c>
      <c r="IK69" s="212" t="str">
        <f>IF('Supp. Result Entry'!W68="","",'Supp. Result Entry'!W68)</f>
        <v/>
      </c>
      <c r="IL69" s="212" t="str">
        <f>IF('Supp. Result Entry'!Z68="","",'Supp. Result Entry'!Z68)</f>
        <v/>
      </c>
      <c r="IM69" s="212" t="str">
        <f>IF('Supp. Result Entry'!AC68="","",'Supp. Result Entry'!AC68)</f>
        <v/>
      </c>
      <c r="IN69" s="212" t="str">
        <f>IF('Supp. Result Entry'!AF68="","",'Supp. Result Entry'!AF68)</f>
        <v/>
      </c>
      <c r="IO69" s="212" t="str">
        <f>IF('Supp. Result Entry'!AI68="","",'Supp. Result Entry'!AI68)</f>
        <v/>
      </c>
      <c r="IP69" s="212" t="str">
        <f>IF('Supp. Result Entry'!AL68="","",'Supp. Result Entry'!AL68)</f>
        <v/>
      </c>
      <c r="IQ69" s="212">
        <f>COUNTIF('Supp. Result Entry'!K68:Q68,"S")</f>
        <v>0</v>
      </c>
      <c r="IR69" s="212">
        <f t="shared" si="170"/>
        <v>0</v>
      </c>
      <c r="IS69" s="212">
        <f t="shared" si="171"/>
        <v>0</v>
      </c>
      <c r="IT69" s="212" t="str">
        <f t="shared" si="41"/>
        <v/>
      </c>
      <c r="IU69" s="212" t="str">
        <f t="shared" si="42"/>
        <v/>
      </c>
      <c r="IV69" s="212" t="str">
        <f t="shared" si="43"/>
        <v/>
      </c>
      <c r="IW69" s="212" t="str">
        <f t="shared" si="44"/>
        <v/>
      </c>
      <c r="IX69" s="212" t="str">
        <f t="shared" si="45"/>
        <v/>
      </c>
      <c r="IY69" s="212" t="str">
        <f t="shared" si="172"/>
        <v/>
      </c>
      <c r="IZ69" s="212" t="str">
        <f t="shared" si="173"/>
        <v/>
      </c>
      <c r="JA69" s="212" t="str">
        <f t="shared" si="46"/>
        <v/>
      </c>
      <c r="JB69" s="210" t="str">
        <f t="shared" si="174"/>
        <v/>
      </c>
    </row>
    <row r="70" spans="1:262" s="210" customFormat="1" ht="21" customHeight="1">
      <c r="A70" s="183">
        <v>63</v>
      </c>
      <c r="B70" s="184" t="str">
        <f>IF('Marks Entry'!B70="","",'Marks Entry'!B70)</f>
        <v/>
      </c>
      <c r="C70" s="185" t="str">
        <f>IF('Marks Entry'!D70="","",'Marks Entry'!D70)</f>
        <v/>
      </c>
      <c r="D70" s="186" t="str">
        <f>IF('Marks Entry'!E70="","",'Marks Entry'!E70)</f>
        <v/>
      </c>
      <c r="E70" s="187" t="str">
        <f>IF('Marks Entry'!F70="","",'Marks Entry'!F70)</f>
        <v/>
      </c>
      <c r="F70" s="187" t="str">
        <f>IF('Marks Entry'!G70="","",'Marks Entry'!G70)</f>
        <v/>
      </c>
      <c r="G70" s="187" t="str">
        <f>IF('Marks Entry'!H70="","",'Marks Entry'!H70)</f>
        <v/>
      </c>
      <c r="H70" s="188" t="str">
        <f>IF('Marks Entry'!I70="","",'Marks Entry'!I70)</f>
        <v/>
      </c>
      <c r="I70" s="189" t="str">
        <f>IF('Marks Entry'!J70="","",'Marks Entry'!J70)</f>
        <v/>
      </c>
      <c r="J70" s="545" t="str">
        <f>IF('Marks Entry'!K70="","",'Marks Entry'!K70)</f>
        <v/>
      </c>
      <c r="K70" s="545" t="str">
        <f>IF('Marks Entry'!L70="","",'Marks Entry'!L70)</f>
        <v/>
      </c>
      <c r="L70" s="545" t="str">
        <f>IF('Marks Entry'!M70="","",'Marks Entry'!M70)</f>
        <v/>
      </c>
      <c r="M70" s="546" t="str">
        <f t="shared" si="47"/>
        <v/>
      </c>
      <c r="N70" s="545" t="str">
        <f>IF('Marks Entry'!N70="","",'Marks Entry'!N70)</f>
        <v/>
      </c>
      <c r="O70" s="546" t="str">
        <f t="shared" si="48"/>
        <v/>
      </c>
      <c r="P70" s="545" t="str">
        <f>IF('Marks Entry'!O70="","",'Marks Entry'!O70)</f>
        <v/>
      </c>
      <c r="Q70" s="547" t="str">
        <f t="shared" si="49"/>
        <v/>
      </c>
      <c r="R70" s="152">
        <f t="shared" si="50"/>
        <v>0</v>
      </c>
      <c r="S70" s="152">
        <f t="shared" si="51"/>
        <v>0</v>
      </c>
      <c r="T70" s="153" t="str">
        <f t="shared" si="52"/>
        <v/>
      </c>
      <c r="U70" s="152" t="str">
        <f t="shared" si="53"/>
        <v/>
      </c>
      <c r="V70" s="152" t="str">
        <f t="shared" si="54"/>
        <v/>
      </c>
      <c r="W70" s="152" t="str">
        <f t="shared" si="55"/>
        <v/>
      </c>
      <c r="X70" s="545" t="str">
        <f>IF('Marks Entry'!P70="","",'Marks Entry'!P70)</f>
        <v/>
      </c>
      <c r="Y70" s="545" t="str">
        <f>IF('Marks Entry'!Q70="","",'Marks Entry'!Q70)</f>
        <v/>
      </c>
      <c r="Z70" s="545" t="str">
        <f>IF('Marks Entry'!R70="","",'Marks Entry'!R70)</f>
        <v/>
      </c>
      <c r="AA70" s="546" t="str">
        <f t="shared" si="56"/>
        <v/>
      </c>
      <c r="AB70" s="545" t="str">
        <f>IF('Marks Entry'!S70="","",'Marks Entry'!S70)</f>
        <v/>
      </c>
      <c r="AC70" s="546" t="str">
        <f t="shared" si="57"/>
        <v/>
      </c>
      <c r="AD70" s="545" t="str">
        <f>IF('Marks Entry'!T70="","",'Marks Entry'!T70)</f>
        <v/>
      </c>
      <c r="AE70" s="547" t="str">
        <f t="shared" si="58"/>
        <v/>
      </c>
      <c r="AF70" s="152">
        <f t="shared" si="59"/>
        <v>0</v>
      </c>
      <c r="AG70" s="152">
        <f t="shared" si="60"/>
        <v>0</v>
      </c>
      <c r="AH70" s="153" t="str">
        <f t="shared" si="61"/>
        <v/>
      </c>
      <c r="AI70" s="152" t="str">
        <f t="shared" si="62"/>
        <v/>
      </c>
      <c r="AJ70" s="152" t="str">
        <f t="shared" si="63"/>
        <v/>
      </c>
      <c r="AK70" s="152" t="str">
        <f t="shared" si="64"/>
        <v/>
      </c>
      <c r="AL70" s="573" t="str">
        <f>IF('Marks Entry'!U70="","",'Marks Entry'!U70)</f>
        <v/>
      </c>
      <c r="AM70" s="573" t="str">
        <f>IF('Marks Entry'!V70="","",'Marks Entry'!V70)</f>
        <v/>
      </c>
      <c r="AN70" s="573" t="str">
        <f>IF('Marks Entry'!W70="","",'Marks Entry'!W70)</f>
        <v/>
      </c>
      <c r="AO70" s="573" t="str">
        <f>IF('Marks Entry'!X70="","",'Marks Entry'!X70)</f>
        <v/>
      </c>
      <c r="AP70" s="572" t="str">
        <f t="shared" si="65"/>
        <v/>
      </c>
      <c r="AQ70" s="573" t="str">
        <f>IF('Marks Entry'!Y70="","",'Marks Entry'!Y70)</f>
        <v/>
      </c>
      <c r="AR70" s="573" t="str">
        <f>IF('Marks Entry'!Z70="","",'Marks Entry'!Z70)</f>
        <v/>
      </c>
      <c r="AS70" s="572" t="str">
        <f t="shared" si="66"/>
        <v/>
      </c>
      <c r="AT70" s="572" t="str">
        <f t="shared" si="67"/>
        <v/>
      </c>
      <c r="AU70" s="573" t="str">
        <f>IF('Marks Entry'!AA70="","",'Marks Entry'!AA70)</f>
        <v/>
      </c>
      <c r="AV70" s="573" t="str">
        <f>IF('Marks Entry'!AB70="","",'Marks Entry'!AB70)</f>
        <v/>
      </c>
      <c r="AW70" s="572" t="str">
        <f t="shared" si="68"/>
        <v/>
      </c>
      <c r="AX70" s="156" t="str">
        <f t="shared" si="69"/>
        <v/>
      </c>
      <c r="AY70" s="156" t="str">
        <f t="shared" si="70"/>
        <v/>
      </c>
      <c r="AZ70" s="191" t="str">
        <f t="shared" si="71"/>
        <v/>
      </c>
      <c r="BA70" s="152">
        <f t="shared" si="72"/>
        <v>0</v>
      </c>
      <c r="BB70" s="153">
        <f t="shared" si="73"/>
        <v>0</v>
      </c>
      <c r="BC70" s="153" t="str">
        <f t="shared" si="74"/>
        <v/>
      </c>
      <c r="BD70" s="153" t="str">
        <f t="shared" si="75"/>
        <v/>
      </c>
      <c r="BE70" s="153" t="str">
        <f t="shared" si="76"/>
        <v/>
      </c>
      <c r="BF70" s="152" t="str">
        <f t="shared" si="77"/>
        <v/>
      </c>
      <c r="BG70" s="153" t="str">
        <f t="shared" si="175"/>
        <v/>
      </c>
      <c r="BH70" s="152" t="str">
        <f t="shared" si="78"/>
        <v/>
      </c>
      <c r="BI70" s="580" t="str">
        <f>IF('Marks Entry'!AC70="","",'Marks Entry'!AC70)</f>
        <v/>
      </c>
      <c r="BJ70" s="580" t="str">
        <f>IF('Marks Entry'!AD70="","",'Marks Entry'!AD70)</f>
        <v/>
      </c>
      <c r="BK70" s="580" t="str">
        <f>IF('Marks Entry'!AE70="","",'Marks Entry'!AE70)</f>
        <v/>
      </c>
      <c r="BL70" s="580" t="str">
        <f>IF('Marks Entry'!AF70="","",'Marks Entry'!AF70)</f>
        <v/>
      </c>
      <c r="BM70" s="581" t="str">
        <f t="shared" si="79"/>
        <v/>
      </c>
      <c r="BN70" s="580" t="str">
        <f>IF('Marks Entry'!AG70="","",'Marks Entry'!AG70)</f>
        <v/>
      </c>
      <c r="BO70" s="580" t="str">
        <f>IF('Marks Entry'!AH70="","",'Marks Entry'!AH70)</f>
        <v/>
      </c>
      <c r="BP70" s="581" t="str">
        <f t="shared" si="80"/>
        <v/>
      </c>
      <c r="BQ70" s="581" t="str">
        <f t="shared" si="81"/>
        <v/>
      </c>
      <c r="BR70" s="580" t="str">
        <f>IF('Marks Entry'!AI70="","",'Marks Entry'!AI70)</f>
        <v/>
      </c>
      <c r="BS70" s="580" t="str">
        <f>IF('Marks Entry'!AJ70="","",'Marks Entry'!AJ70)</f>
        <v/>
      </c>
      <c r="BT70" s="581" t="str">
        <f t="shared" si="82"/>
        <v/>
      </c>
      <c r="BU70" s="156" t="str">
        <f t="shared" si="83"/>
        <v/>
      </c>
      <c r="BV70" s="156" t="str">
        <f t="shared" si="84"/>
        <v/>
      </c>
      <c r="BW70" s="191" t="str">
        <f t="shared" si="85"/>
        <v/>
      </c>
      <c r="BX70" s="152">
        <f t="shared" si="86"/>
        <v>0</v>
      </c>
      <c r="BY70" s="153">
        <f t="shared" si="87"/>
        <v>0</v>
      </c>
      <c r="BZ70" s="153" t="str">
        <f t="shared" si="88"/>
        <v/>
      </c>
      <c r="CA70" s="153" t="str">
        <f t="shared" si="89"/>
        <v/>
      </c>
      <c r="CB70" s="153" t="str">
        <f t="shared" si="90"/>
        <v/>
      </c>
      <c r="CC70" s="152" t="str">
        <f t="shared" si="91"/>
        <v/>
      </c>
      <c r="CD70" s="153" t="str">
        <f t="shared" si="92"/>
        <v/>
      </c>
      <c r="CE70" s="152" t="str">
        <f t="shared" si="93"/>
        <v/>
      </c>
      <c r="CF70" s="580" t="str">
        <f>IF('Marks Entry'!AK70="","",'Marks Entry'!AK70)</f>
        <v/>
      </c>
      <c r="CG70" s="580" t="str">
        <f>IF('Marks Entry'!AL70="","",'Marks Entry'!AL70)</f>
        <v/>
      </c>
      <c r="CH70" s="580" t="str">
        <f>IF('Marks Entry'!AM70="","",'Marks Entry'!AM70)</f>
        <v/>
      </c>
      <c r="CI70" s="580" t="str">
        <f>IF('Marks Entry'!AN70="","",'Marks Entry'!AN70)</f>
        <v/>
      </c>
      <c r="CJ70" s="581" t="str">
        <f t="shared" si="94"/>
        <v/>
      </c>
      <c r="CK70" s="580" t="str">
        <f>IF('Marks Entry'!AO70="","",'Marks Entry'!AO70)</f>
        <v/>
      </c>
      <c r="CL70" s="580" t="str">
        <f>IF('Marks Entry'!AP70="","",'Marks Entry'!AP70)</f>
        <v/>
      </c>
      <c r="CM70" s="581" t="str">
        <f t="shared" si="95"/>
        <v/>
      </c>
      <c r="CN70" s="581" t="str">
        <f t="shared" si="96"/>
        <v/>
      </c>
      <c r="CO70" s="580" t="str">
        <f>IF('Marks Entry'!AQ70="","",'Marks Entry'!AQ70)</f>
        <v/>
      </c>
      <c r="CP70" s="580" t="str">
        <f>IF('Marks Entry'!AR70="","",'Marks Entry'!AR70)</f>
        <v/>
      </c>
      <c r="CQ70" s="581" t="str">
        <f t="shared" si="97"/>
        <v/>
      </c>
      <c r="CR70" s="156" t="str">
        <f t="shared" si="98"/>
        <v/>
      </c>
      <c r="CS70" s="156" t="str">
        <f t="shared" si="99"/>
        <v/>
      </c>
      <c r="CT70" s="191" t="str">
        <f t="shared" si="100"/>
        <v/>
      </c>
      <c r="CU70" s="152">
        <f t="shared" si="101"/>
        <v>0</v>
      </c>
      <c r="CV70" s="153">
        <f t="shared" si="102"/>
        <v>0</v>
      </c>
      <c r="CW70" s="153" t="str">
        <f t="shared" si="103"/>
        <v/>
      </c>
      <c r="CX70" s="153" t="str">
        <f t="shared" si="104"/>
        <v/>
      </c>
      <c r="CY70" s="153" t="str">
        <f t="shared" si="176"/>
        <v/>
      </c>
      <c r="CZ70" s="152" t="str">
        <f t="shared" si="105"/>
        <v/>
      </c>
      <c r="DA70" s="153" t="str">
        <f t="shared" si="106"/>
        <v/>
      </c>
      <c r="DB70" s="152" t="str">
        <f t="shared" si="107"/>
        <v/>
      </c>
      <c r="DC70" s="153">
        <f t="shared" si="108"/>
        <v>0</v>
      </c>
      <c r="DD70" s="851" t="str">
        <f>IF('Marks Entry'!AS70="","",IF(OR('Master Sheet'!$D$19="YES",'Marks Entry'!$BA$1=1),'Marks Entry'!AS70,""))</f>
        <v/>
      </c>
      <c r="DE70" s="851" t="str">
        <f>IF('Marks Entry'!AT70="","",IF(OR('Master Sheet'!$D$19="YES",'Marks Entry'!$BA$1=1),'Marks Entry'!AT70,""))</f>
        <v/>
      </c>
      <c r="DF70" s="851" t="str">
        <f>IF('Marks Entry'!AU70="","",IF(OR('Master Sheet'!$D$19="YES",'Marks Entry'!$BA$1=1),'Marks Entry'!AU70,""))</f>
        <v/>
      </c>
      <c r="DG70" s="851" t="str">
        <f>IF('Marks Entry'!AV70="","",IF(OR('Master Sheet'!$D$19="YES",'Marks Entry'!$BA$1=1),'Marks Entry'!AV70,""))</f>
        <v/>
      </c>
      <c r="DH70" s="852" t="str">
        <f t="shared" si="109"/>
        <v/>
      </c>
      <c r="DI70" s="851" t="str">
        <f>IF('Marks Entry'!AW70="","",IF(OR('Master Sheet'!$D$19="YES",'Marks Entry'!$BA$1=1),'Marks Entry'!AW70,""))</f>
        <v/>
      </c>
      <c r="DJ70" s="851" t="str">
        <f>IF('Marks Entry'!AX70="","",IF(OR('Master Sheet'!$D$19="YES",'Marks Entry'!$BA$1=1),'Marks Entry'!AX70,""))</f>
        <v/>
      </c>
      <c r="DK70" s="852" t="str">
        <f t="shared" si="110"/>
        <v/>
      </c>
      <c r="DL70" s="852" t="str">
        <f t="shared" si="111"/>
        <v/>
      </c>
      <c r="DM70" s="851" t="str">
        <f>IF('Marks Entry'!AY70="","",IF(OR('Master Sheet'!$D$19="YES",'Marks Entry'!$BA$1=1),'Marks Entry'!AY70,""))</f>
        <v/>
      </c>
      <c r="DN70" s="851" t="str">
        <f>IF('Marks Entry'!AZ70="","",IF(OR('Master Sheet'!$D$19="YES",'Marks Entry'!$BA$1=1),'Marks Entry'!AZ70,""))</f>
        <v/>
      </c>
      <c r="DO70" s="851" t="str">
        <f>IF('Marks Entry'!BA70="","",IF(OR('Master Sheet'!$D$19="YES",'Marks Entry'!$BA$1=1),'Marks Entry'!BA70,""))</f>
        <v/>
      </c>
      <c r="DP70" s="852" t="str">
        <f t="shared" si="112"/>
        <v/>
      </c>
      <c r="DQ70" s="156" t="str">
        <f t="shared" si="113"/>
        <v/>
      </c>
      <c r="DR70" s="156" t="str">
        <f t="shared" si="114"/>
        <v/>
      </c>
      <c r="DS70" s="156" t="str">
        <f t="shared" si="115"/>
        <v/>
      </c>
      <c r="DT70" s="191" t="str">
        <f t="shared" si="116"/>
        <v/>
      </c>
      <c r="DU70" s="152">
        <f t="shared" si="117"/>
        <v>0</v>
      </c>
      <c r="DV70" s="153">
        <f t="shared" si="118"/>
        <v>0</v>
      </c>
      <c r="DW70" s="153" t="str">
        <f t="shared" si="119"/>
        <v/>
      </c>
      <c r="DX70" s="153" t="str">
        <f>IF(OR($B70="NSO",$B70=0,DS70=""),"",IF(AND(DJ70="",DO70=""),"",IF('Master Sheet'!$D$19="YES",$DO$6-COUNTIF(DO70,"ML")*DO$6,DS$6-(COUNTIF(DJ70,"ML")*DJ$6)-(COUNTIF(DO70,"ML")*DO$6))))</f>
        <v/>
      </c>
      <c r="DY70" s="153" t="str">
        <f>IF(OR($B70="NSO",$B70=0),"",IF(AND(DH70="",DI70="",DM70=""),"",IF(AND('Master Sheet'!$D$19="YES",'Marks Entry'!$BA$1=1),100,IF(AND(DJ70="",DO70=""),SUM(($DQ$7+$DR$7)-(DU70+DV70)),SUM(($DQ$6+$DR$6)-(DU70+DV70))))))</f>
        <v/>
      </c>
      <c r="DZ70" s="152" t="str">
        <f t="shared" si="120"/>
        <v/>
      </c>
      <c r="EA70" s="153" t="str">
        <f t="shared" si="121"/>
        <v/>
      </c>
      <c r="EB70" s="152" t="str">
        <f t="shared" si="122"/>
        <v/>
      </c>
      <c r="EC70" s="584" t="str">
        <f>IF('Marks Entry'!BB70="","",'Marks Entry'!BB70)</f>
        <v/>
      </c>
      <c r="ED70" s="584" t="str">
        <f>IF('Marks Entry'!BC70="","",'Marks Entry'!BC70)</f>
        <v/>
      </c>
      <c r="EE70" s="584" t="str">
        <f>IF('Marks Entry'!BD70="","",'Marks Entry'!BD70)</f>
        <v/>
      </c>
      <c r="EF70" s="590" t="str">
        <f t="shared" si="123"/>
        <v/>
      </c>
      <c r="EG70" s="595">
        <f t="shared" si="124"/>
        <v>0</v>
      </c>
      <c r="EH70" s="595">
        <f t="shared" si="125"/>
        <v>0</v>
      </c>
      <c r="EI70" s="192" t="str">
        <f t="shared" si="126"/>
        <v/>
      </c>
      <c r="EJ70" s="595" t="str">
        <f t="shared" si="127"/>
        <v/>
      </c>
      <c r="EK70" s="595" t="str">
        <f t="shared" si="128"/>
        <v/>
      </c>
      <c r="EL70" s="193" t="str">
        <f t="shared" si="129"/>
        <v/>
      </c>
      <c r="EM70" s="193" t="str">
        <f t="shared" si="130"/>
        <v/>
      </c>
      <c r="EN70" s="193" t="str">
        <f t="shared" si="131"/>
        <v/>
      </c>
      <c r="EO70" s="193" t="str">
        <f t="shared" si="132"/>
        <v/>
      </c>
      <c r="EP70" s="193" t="str">
        <f t="shared" si="133"/>
        <v/>
      </c>
      <c r="EQ70" s="193" t="str">
        <f t="shared" si="134"/>
        <v/>
      </c>
      <c r="ER70" s="194">
        <f t="shared" si="135"/>
        <v>0</v>
      </c>
      <c r="ES70" s="194">
        <f t="shared" si="136"/>
        <v>0</v>
      </c>
      <c r="ET70" s="194">
        <f t="shared" si="137"/>
        <v>0</v>
      </c>
      <c r="EU70" s="194">
        <f t="shared" si="138"/>
        <v>0</v>
      </c>
      <c r="EV70" s="194">
        <f t="shared" si="139"/>
        <v>0</v>
      </c>
      <c r="EW70" s="194" t="str">
        <f t="shared" si="140"/>
        <v/>
      </c>
      <c r="EX70" s="195" t="str">
        <f t="shared" si="141"/>
        <v/>
      </c>
      <c r="EY70" s="196" t="str">
        <f>IF('Marks Entry'!BE70="","",'Marks Entry'!BE70)</f>
        <v/>
      </c>
      <c r="EZ70" s="196" t="str">
        <f>IF('Marks Entry'!BF70="","",'Marks Entry'!BF70)</f>
        <v/>
      </c>
      <c r="FA70" s="196" t="str">
        <f>IF('Marks Entry'!BG70="","",'Marks Entry'!BG70)</f>
        <v/>
      </c>
      <c r="FB70" s="596" t="str">
        <f t="shared" si="142"/>
        <v/>
      </c>
      <c r="FC70" s="196" t="str">
        <f>IF('Marks Entry'!BH70="","",'Marks Entry'!BH70)</f>
        <v/>
      </c>
      <c r="FD70" s="196" t="str">
        <f>IF('Marks Entry'!BI70="","",'Marks Entry'!BI70)</f>
        <v/>
      </c>
      <c r="FE70" s="197" t="str">
        <f t="shared" si="143"/>
        <v/>
      </c>
      <c r="FF70" s="198" t="str">
        <f t="shared" si="144"/>
        <v/>
      </c>
      <c r="FG70" s="199" t="str">
        <f>IF(AND(E70=""),"",IF('Student DATA Entry'!L66="","",'Student DATA Entry'!L66))</f>
        <v/>
      </c>
      <c r="FH70" s="200" t="str">
        <f>IF(AND(E70=""),"",IF('Student DATA Entry'!M66="","",'Student DATA Entry'!M66))</f>
        <v/>
      </c>
      <c r="FI70" s="201" t="str">
        <f t="shared" si="145"/>
        <v/>
      </c>
      <c r="FJ70" s="188" t="str">
        <f t="shared" si="146"/>
        <v/>
      </c>
      <c r="FK70" s="188" t="str">
        <f t="shared" si="147"/>
        <v/>
      </c>
      <c r="FL70" s="202" t="str">
        <f t="shared" si="178"/>
        <v/>
      </c>
      <c r="FM70" s="188" t="str">
        <f t="shared" si="148"/>
        <v/>
      </c>
      <c r="FN70" s="203" t="str">
        <f t="shared" si="149"/>
        <v/>
      </c>
      <c r="FO70" s="202" t="str">
        <f t="shared" si="179"/>
        <v/>
      </c>
      <c r="FP70" s="204" t="str">
        <f t="shared" si="150"/>
        <v/>
      </c>
      <c r="FQ70" s="188" t="str">
        <f t="shared" si="180"/>
        <v/>
      </c>
      <c r="FR70" s="188" t="str">
        <f t="shared" si="181"/>
        <v/>
      </c>
      <c r="FS70" s="188" t="str">
        <f t="shared" si="182"/>
        <v/>
      </c>
      <c r="FT70" s="188" t="str">
        <f t="shared" si="183"/>
        <v/>
      </c>
      <c r="FU70" s="188" t="str">
        <f t="shared" si="151"/>
        <v/>
      </c>
      <c r="FV70" s="205" t="str">
        <f t="shared" si="184"/>
        <v/>
      </c>
      <c r="FW70" s="204" t="str">
        <f t="shared" si="152"/>
        <v/>
      </c>
      <c r="FX70" s="188" t="str">
        <f t="shared" si="185"/>
        <v/>
      </c>
      <c r="FY70" s="188" t="str">
        <f t="shared" si="186"/>
        <v/>
      </c>
      <c r="FZ70" s="188" t="str">
        <f t="shared" si="187"/>
        <v/>
      </c>
      <c r="GA70" s="188" t="str">
        <f t="shared" si="188"/>
        <v/>
      </c>
      <c r="GB70" s="188" t="str">
        <f t="shared" si="153"/>
        <v/>
      </c>
      <c r="GC70" s="205" t="str">
        <f t="shared" si="189"/>
        <v/>
      </c>
      <c r="GD70" s="204" t="str">
        <f t="shared" si="154"/>
        <v/>
      </c>
      <c r="GE70" s="188" t="str">
        <f t="shared" si="190"/>
        <v/>
      </c>
      <c r="GF70" s="188" t="str">
        <f t="shared" si="191"/>
        <v/>
      </c>
      <c r="GG70" s="188" t="str">
        <f t="shared" si="192"/>
        <v/>
      </c>
      <c r="GH70" s="188" t="str">
        <f t="shared" si="193"/>
        <v/>
      </c>
      <c r="GI70" s="188" t="str">
        <f t="shared" si="155"/>
        <v/>
      </c>
      <c r="GJ70" s="205" t="str">
        <f t="shared" si="194"/>
        <v/>
      </c>
      <c r="GK70" s="204" t="str">
        <f t="shared" si="156"/>
        <v/>
      </c>
      <c r="GL70" s="188" t="str">
        <f t="shared" si="195"/>
        <v/>
      </c>
      <c r="GM70" s="188" t="str">
        <f t="shared" si="196"/>
        <v/>
      </c>
      <c r="GN70" s="188" t="str">
        <f t="shared" si="197"/>
        <v/>
      </c>
      <c r="GO70" s="188" t="str">
        <f t="shared" si="198"/>
        <v/>
      </c>
      <c r="GP70" s="188" t="str">
        <f t="shared" si="157"/>
        <v/>
      </c>
      <c r="GQ70" s="205" t="str">
        <f t="shared" si="199"/>
        <v/>
      </c>
      <c r="GR70" s="188" t="str">
        <f t="shared" si="158"/>
        <v/>
      </c>
      <c r="GS70" s="188" t="str">
        <f t="shared" si="159"/>
        <v/>
      </c>
      <c r="GT70" s="206" t="str">
        <f t="shared" si="177"/>
        <v xml:space="preserve">    </v>
      </c>
      <c r="GU70" s="206" t="str">
        <f t="shared" si="160"/>
        <v xml:space="preserve">    </v>
      </c>
      <c r="GV70" s="206" t="str">
        <f t="shared" si="161"/>
        <v xml:space="preserve">    </v>
      </c>
      <c r="GW70" s="206" t="str">
        <f t="shared" si="162"/>
        <v xml:space="preserve">       </v>
      </c>
      <c r="GX70" s="598" t="str">
        <f t="shared" si="163"/>
        <v xml:space="preserve">     </v>
      </c>
      <c r="GY70" s="207" t="str">
        <f t="shared" si="200"/>
        <v/>
      </c>
      <c r="GZ70" s="606" t="str">
        <f>IF(AND(Q70="",AE70="",AZ70="",BW70="",CT70=""),"",IF(AND('Master Sheet'!$D$19="YES",'Marks Entry'!$BA$1=1),SUM(Q70,AE70,AZ70,BW70,DT70),SUM(Q70,AE70,AZ70,BW70,CT70)))</f>
        <v/>
      </c>
      <c r="HA70" s="208" t="str">
        <f>IF(GZ70="","",IF(AND('Master Sheet'!$D$19="YES",'Marks Entry'!$BA$1=1),GZ70/((900)-DC70)*100,GZ70/((1000)-DC70)*100))</f>
        <v/>
      </c>
      <c r="HB70" s="611" t="str">
        <f t="shared" si="165"/>
        <v/>
      </c>
      <c r="HC70" s="609" t="str">
        <f t="shared" si="166"/>
        <v/>
      </c>
      <c r="HD70" s="610" t="str">
        <f t="shared" si="167"/>
        <v/>
      </c>
      <c r="HE70" s="209" t="str">
        <f>IFERROR(IF(OR(GY70="SUPPLEMENTARY",GY70="RE-EXAM"),'Supp. Result Entry'!AS69,""),"")</f>
        <v/>
      </c>
      <c r="HF70" s="613" t="str">
        <f t="shared" si="168"/>
        <v/>
      </c>
      <c r="HG70" s="598" t="str">
        <f t="shared" si="169"/>
        <v/>
      </c>
      <c r="HH70" s="598" t="str">
        <f>IF(AND(HE70="",HF70="",HG70=""),"",IF(OR(GY70="SUPPLEMENTARY",GY70="RE-EXAM"),'Supp. Result Entry'!AS69,GY70))</f>
        <v/>
      </c>
      <c r="HI70" s="179"/>
      <c r="HY70" s="211" t="str">
        <f>IF('Supp. Result Entry'!U69="","",'Supp. Result Entry'!$U$6)</f>
        <v/>
      </c>
      <c r="HZ70" s="212" t="str">
        <f>IF('Supp. Result Entry'!X69="","",'Supp. Result Entry'!$X$6)</f>
        <v/>
      </c>
      <c r="IA70" s="212" t="str">
        <f>IF('Supp. Result Entry'!AA69="","",'Supp. Result Entry'!$AA$6)</f>
        <v/>
      </c>
      <c r="IB70" s="212" t="str">
        <f>IF('Supp. Result Entry'!AD69="","",'Supp. Result Entry'!$AD$6)</f>
        <v/>
      </c>
      <c r="IC70" s="212" t="str">
        <f>IF('Supp. Result Entry'!AG69="","",'Supp. Result Entry'!$AG$6)</f>
        <v/>
      </c>
      <c r="ID70" s="212" t="str">
        <f>IF('Supp. Result Entry'!AJ69="","",'Supp. Result Entry'!$AJ$6)</f>
        <v/>
      </c>
      <c r="IE70" s="212" t="str">
        <f>IF('Supp. Result Entry'!V69="","",'Supp. Result Entry'!V69)</f>
        <v/>
      </c>
      <c r="IF70" s="212" t="str">
        <f>IF('Supp. Result Entry'!Y69="","",'Supp. Result Entry'!Y69)</f>
        <v/>
      </c>
      <c r="IG70" s="212" t="str">
        <f>IF('Supp. Result Entry'!AB69="","",'Supp. Result Entry'!AB69)</f>
        <v/>
      </c>
      <c r="IH70" s="212" t="str">
        <f>IF('Supp. Result Entry'!AE69="","",'Supp. Result Entry'!AE69)</f>
        <v/>
      </c>
      <c r="II70" s="212" t="str">
        <f>IF('Supp. Result Entry'!AH69="","",'Supp. Result Entry'!AH69)</f>
        <v/>
      </c>
      <c r="IJ70" s="212" t="str">
        <f>IF('Supp. Result Entry'!AK69="","",'Supp. Result Entry'!AK69)</f>
        <v/>
      </c>
      <c r="IK70" s="212" t="str">
        <f>IF('Supp. Result Entry'!W69="","",'Supp. Result Entry'!W69)</f>
        <v/>
      </c>
      <c r="IL70" s="212" t="str">
        <f>IF('Supp. Result Entry'!Z69="","",'Supp. Result Entry'!Z69)</f>
        <v/>
      </c>
      <c r="IM70" s="212" t="str">
        <f>IF('Supp. Result Entry'!AC69="","",'Supp. Result Entry'!AC69)</f>
        <v/>
      </c>
      <c r="IN70" s="212" t="str">
        <f>IF('Supp. Result Entry'!AF69="","",'Supp. Result Entry'!AF69)</f>
        <v/>
      </c>
      <c r="IO70" s="212" t="str">
        <f>IF('Supp. Result Entry'!AI69="","",'Supp. Result Entry'!AI69)</f>
        <v/>
      </c>
      <c r="IP70" s="212" t="str">
        <f>IF('Supp. Result Entry'!AL69="","",'Supp. Result Entry'!AL69)</f>
        <v/>
      </c>
      <c r="IQ70" s="212">
        <f>COUNTIF('Supp. Result Entry'!K69:Q69,"S")</f>
        <v>0</v>
      </c>
      <c r="IR70" s="212">
        <f t="shared" si="170"/>
        <v>0</v>
      </c>
      <c r="IS70" s="212">
        <f t="shared" si="171"/>
        <v>0</v>
      </c>
      <c r="IT70" s="212" t="str">
        <f t="shared" si="41"/>
        <v/>
      </c>
      <c r="IU70" s="212" t="str">
        <f t="shared" si="42"/>
        <v/>
      </c>
      <c r="IV70" s="212" t="str">
        <f t="shared" si="43"/>
        <v/>
      </c>
      <c r="IW70" s="212" t="str">
        <f t="shared" si="44"/>
        <v/>
      </c>
      <c r="IX70" s="212" t="str">
        <f t="shared" si="45"/>
        <v/>
      </c>
      <c r="IY70" s="212" t="str">
        <f t="shared" si="172"/>
        <v/>
      </c>
      <c r="IZ70" s="212" t="str">
        <f t="shared" si="173"/>
        <v/>
      </c>
      <c r="JA70" s="212" t="str">
        <f t="shared" si="46"/>
        <v/>
      </c>
      <c r="JB70" s="210" t="str">
        <f t="shared" si="174"/>
        <v/>
      </c>
    </row>
    <row r="71" spans="1:262" s="210" customFormat="1" ht="21" customHeight="1">
      <c r="A71" s="183">
        <v>64</v>
      </c>
      <c r="B71" s="184" t="str">
        <f>IF('Marks Entry'!B71="","",'Marks Entry'!B71)</f>
        <v/>
      </c>
      <c r="C71" s="185" t="str">
        <f>IF('Marks Entry'!D71="","",'Marks Entry'!D71)</f>
        <v/>
      </c>
      <c r="D71" s="186" t="str">
        <f>IF('Marks Entry'!E71="","",'Marks Entry'!E71)</f>
        <v/>
      </c>
      <c r="E71" s="187" t="str">
        <f>IF('Marks Entry'!F71="","",'Marks Entry'!F71)</f>
        <v/>
      </c>
      <c r="F71" s="187" t="str">
        <f>IF('Marks Entry'!G71="","",'Marks Entry'!G71)</f>
        <v/>
      </c>
      <c r="G71" s="187" t="str">
        <f>IF('Marks Entry'!H71="","",'Marks Entry'!H71)</f>
        <v/>
      </c>
      <c r="H71" s="188" t="str">
        <f>IF('Marks Entry'!I71="","",'Marks Entry'!I71)</f>
        <v/>
      </c>
      <c r="I71" s="189" t="str">
        <f>IF('Marks Entry'!J71="","",'Marks Entry'!J71)</f>
        <v/>
      </c>
      <c r="J71" s="545" t="str">
        <f>IF('Marks Entry'!K71="","",'Marks Entry'!K71)</f>
        <v/>
      </c>
      <c r="K71" s="545" t="str">
        <f>IF('Marks Entry'!L71="","",'Marks Entry'!L71)</f>
        <v/>
      </c>
      <c r="L71" s="545" t="str">
        <f>IF('Marks Entry'!M71="","",'Marks Entry'!M71)</f>
        <v/>
      </c>
      <c r="M71" s="546" t="str">
        <f t="shared" si="47"/>
        <v/>
      </c>
      <c r="N71" s="545" t="str">
        <f>IF('Marks Entry'!N71="","",'Marks Entry'!N71)</f>
        <v/>
      </c>
      <c r="O71" s="546" t="str">
        <f t="shared" si="48"/>
        <v/>
      </c>
      <c r="P71" s="545" t="str">
        <f>IF('Marks Entry'!O71="","",'Marks Entry'!O71)</f>
        <v/>
      </c>
      <c r="Q71" s="547" t="str">
        <f t="shared" si="49"/>
        <v/>
      </c>
      <c r="R71" s="152">
        <f t="shared" si="50"/>
        <v>0</v>
      </c>
      <c r="S71" s="152">
        <f t="shared" si="51"/>
        <v>0</v>
      </c>
      <c r="T71" s="153" t="str">
        <f t="shared" si="52"/>
        <v/>
      </c>
      <c r="U71" s="152" t="str">
        <f t="shared" si="53"/>
        <v/>
      </c>
      <c r="V71" s="152" t="str">
        <f t="shared" si="54"/>
        <v/>
      </c>
      <c r="W71" s="152" t="str">
        <f t="shared" si="55"/>
        <v/>
      </c>
      <c r="X71" s="545" t="str">
        <f>IF('Marks Entry'!P71="","",'Marks Entry'!P71)</f>
        <v/>
      </c>
      <c r="Y71" s="545" t="str">
        <f>IF('Marks Entry'!Q71="","",'Marks Entry'!Q71)</f>
        <v/>
      </c>
      <c r="Z71" s="545" t="str">
        <f>IF('Marks Entry'!R71="","",'Marks Entry'!R71)</f>
        <v/>
      </c>
      <c r="AA71" s="546" t="str">
        <f t="shared" si="56"/>
        <v/>
      </c>
      <c r="AB71" s="545" t="str">
        <f>IF('Marks Entry'!S71="","",'Marks Entry'!S71)</f>
        <v/>
      </c>
      <c r="AC71" s="546" t="str">
        <f t="shared" si="57"/>
        <v/>
      </c>
      <c r="AD71" s="545" t="str">
        <f>IF('Marks Entry'!T71="","",'Marks Entry'!T71)</f>
        <v/>
      </c>
      <c r="AE71" s="547" t="str">
        <f t="shared" si="58"/>
        <v/>
      </c>
      <c r="AF71" s="152">
        <f t="shared" si="59"/>
        <v>0</v>
      </c>
      <c r="AG71" s="152">
        <f t="shared" si="60"/>
        <v>0</v>
      </c>
      <c r="AH71" s="153" t="str">
        <f t="shared" si="61"/>
        <v/>
      </c>
      <c r="AI71" s="152" t="str">
        <f t="shared" si="62"/>
        <v/>
      </c>
      <c r="AJ71" s="152" t="str">
        <f t="shared" si="63"/>
        <v/>
      </c>
      <c r="AK71" s="152" t="str">
        <f t="shared" si="64"/>
        <v/>
      </c>
      <c r="AL71" s="573" t="str">
        <f>IF('Marks Entry'!U71="","",'Marks Entry'!U71)</f>
        <v/>
      </c>
      <c r="AM71" s="573" t="str">
        <f>IF('Marks Entry'!V71="","",'Marks Entry'!V71)</f>
        <v/>
      </c>
      <c r="AN71" s="573" t="str">
        <f>IF('Marks Entry'!W71="","",'Marks Entry'!W71)</f>
        <v/>
      </c>
      <c r="AO71" s="573" t="str">
        <f>IF('Marks Entry'!X71="","",'Marks Entry'!X71)</f>
        <v/>
      </c>
      <c r="AP71" s="572" t="str">
        <f t="shared" si="65"/>
        <v/>
      </c>
      <c r="AQ71" s="573" t="str">
        <f>IF('Marks Entry'!Y71="","",'Marks Entry'!Y71)</f>
        <v/>
      </c>
      <c r="AR71" s="573" t="str">
        <f>IF('Marks Entry'!Z71="","",'Marks Entry'!Z71)</f>
        <v/>
      </c>
      <c r="AS71" s="572" t="str">
        <f t="shared" si="66"/>
        <v/>
      </c>
      <c r="AT71" s="572" t="str">
        <f t="shared" si="67"/>
        <v/>
      </c>
      <c r="AU71" s="573" t="str">
        <f>IF('Marks Entry'!AA71="","",'Marks Entry'!AA71)</f>
        <v/>
      </c>
      <c r="AV71" s="573" t="str">
        <f>IF('Marks Entry'!AB71="","",'Marks Entry'!AB71)</f>
        <v/>
      </c>
      <c r="AW71" s="572" t="str">
        <f t="shared" si="68"/>
        <v/>
      </c>
      <c r="AX71" s="156" t="str">
        <f t="shared" si="69"/>
        <v/>
      </c>
      <c r="AY71" s="156" t="str">
        <f t="shared" si="70"/>
        <v/>
      </c>
      <c r="AZ71" s="191" t="str">
        <f t="shared" si="71"/>
        <v/>
      </c>
      <c r="BA71" s="152">
        <f t="shared" si="72"/>
        <v>0</v>
      </c>
      <c r="BB71" s="153">
        <f t="shared" si="73"/>
        <v>0</v>
      </c>
      <c r="BC71" s="153" t="str">
        <f t="shared" si="74"/>
        <v/>
      </c>
      <c r="BD71" s="153" t="str">
        <f t="shared" si="75"/>
        <v/>
      </c>
      <c r="BE71" s="153" t="str">
        <f t="shared" si="76"/>
        <v/>
      </c>
      <c r="BF71" s="152" t="str">
        <f t="shared" si="77"/>
        <v/>
      </c>
      <c r="BG71" s="153" t="str">
        <f t="shared" si="175"/>
        <v/>
      </c>
      <c r="BH71" s="152" t="str">
        <f t="shared" si="78"/>
        <v/>
      </c>
      <c r="BI71" s="580" t="str">
        <f>IF('Marks Entry'!AC71="","",'Marks Entry'!AC71)</f>
        <v/>
      </c>
      <c r="BJ71" s="580" t="str">
        <f>IF('Marks Entry'!AD71="","",'Marks Entry'!AD71)</f>
        <v/>
      </c>
      <c r="BK71" s="580" t="str">
        <f>IF('Marks Entry'!AE71="","",'Marks Entry'!AE71)</f>
        <v/>
      </c>
      <c r="BL71" s="580" t="str">
        <f>IF('Marks Entry'!AF71="","",'Marks Entry'!AF71)</f>
        <v/>
      </c>
      <c r="BM71" s="581" t="str">
        <f t="shared" si="79"/>
        <v/>
      </c>
      <c r="BN71" s="580" t="str">
        <f>IF('Marks Entry'!AG71="","",'Marks Entry'!AG71)</f>
        <v/>
      </c>
      <c r="BO71" s="580" t="str">
        <f>IF('Marks Entry'!AH71="","",'Marks Entry'!AH71)</f>
        <v/>
      </c>
      <c r="BP71" s="581" t="str">
        <f t="shared" si="80"/>
        <v/>
      </c>
      <c r="BQ71" s="581" t="str">
        <f t="shared" si="81"/>
        <v/>
      </c>
      <c r="BR71" s="580" t="str">
        <f>IF('Marks Entry'!AI71="","",'Marks Entry'!AI71)</f>
        <v/>
      </c>
      <c r="BS71" s="580" t="str">
        <f>IF('Marks Entry'!AJ71="","",'Marks Entry'!AJ71)</f>
        <v/>
      </c>
      <c r="BT71" s="581" t="str">
        <f t="shared" si="82"/>
        <v/>
      </c>
      <c r="BU71" s="156" t="str">
        <f t="shared" si="83"/>
        <v/>
      </c>
      <c r="BV71" s="156" t="str">
        <f t="shared" si="84"/>
        <v/>
      </c>
      <c r="BW71" s="191" t="str">
        <f t="shared" si="85"/>
        <v/>
      </c>
      <c r="BX71" s="152">
        <f t="shared" si="86"/>
        <v>0</v>
      </c>
      <c r="BY71" s="153">
        <f t="shared" si="87"/>
        <v>0</v>
      </c>
      <c r="BZ71" s="153" t="str">
        <f t="shared" si="88"/>
        <v/>
      </c>
      <c r="CA71" s="153" t="str">
        <f t="shared" si="89"/>
        <v/>
      </c>
      <c r="CB71" s="153" t="str">
        <f t="shared" si="90"/>
        <v/>
      </c>
      <c r="CC71" s="152" t="str">
        <f t="shared" si="91"/>
        <v/>
      </c>
      <c r="CD71" s="153" t="str">
        <f t="shared" si="92"/>
        <v/>
      </c>
      <c r="CE71" s="152" t="str">
        <f t="shared" si="93"/>
        <v/>
      </c>
      <c r="CF71" s="580" t="str">
        <f>IF('Marks Entry'!AK71="","",'Marks Entry'!AK71)</f>
        <v/>
      </c>
      <c r="CG71" s="580" t="str">
        <f>IF('Marks Entry'!AL71="","",'Marks Entry'!AL71)</f>
        <v/>
      </c>
      <c r="CH71" s="580" t="str">
        <f>IF('Marks Entry'!AM71="","",'Marks Entry'!AM71)</f>
        <v/>
      </c>
      <c r="CI71" s="580" t="str">
        <f>IF('Marks Entry'!AN71="","",'Marks Entry'!AN71)</f>
        <v/>
      </c>
      <c r="CJ71" s="581" t="str">
        <f t="shared" si="94"/>
        <v/>
      </c>
      <c r="CK71" s="580" t="str">
        <f>IF('Marks Entry'!AO71="","",'Marks Entry'!AO71)</f>
        <v/>
      </c>
      <c r="CL71" s="580" t="str">
        <f>IF('Marks Entry'!AP71="","",'Marks Entry'!AP71)</f>
        <v/>
      </c>
      <c r="CM71" s="581" t="str">
        <f t="shared" si="95"/>
        <v/>
      </c>
      <c r="CN71" s="581" t="str">
        <f t="shared" si="96"/>
        <v/>
      </c>
      <c r="CO71" s="580" t="str">
        <f>IF('Marks Entry'!AQ71="","",'Marks Entry'!AQ71)</f>
        <v/>
      </c>
      <c r="CP71" s="580" t="str">
        <f>IF('Marks Entry'!AR71="","",'Marks Entry'!AR71)</f>
        <v/>
      </c>
      <c r="CQ71" s="581" t="str">
        <f t="shared" si="97"/>
        <v/>
      </c>
      <c r="CR71" s="156" t="str">
        <f t="shared" si="98"/>
        <v/>
      </c>
      <c r="CS71" s="156" t="str">
        <f t="shared" si="99"/>
        <v/>
      </c>
      <c r="CT71" s="191" t="str">
        <f t="shared" si="100"/>
        <v/>
      </c>
      <c r="CU71" s="152">
        <f t="shared" si="101"/>
        <v>0</v>
      </c>
      <c r="CV71" s="153">
        <f t="shared" si="102"/>
        <v>0</v>
      </c>
      <c r="CW71" s="153" t="str">
        <f t="shared" si="103"/>
        <v/>
      </c>
      <c r="CX71" s="153" t="str">
        <f t="shared" si="104"/>
        <v/>
      </c>
      <c r="CY71" s="153" t="str">
        <f t="shared" si="176"/>
        <v/>
      </c>
      <c r="CZ71" s="152" t="str">
        <f t="shared" si="105"/>
        <v/>
      </c>
      <c r="DA71" s="153" t="str">
        <f t="shared" si="106"/>
        <v/>
      </c>
      <c r="DB71" s="152" t="str">
        <f t="shared" si="107"/>
        <v/>
      </c>
      <c r="DC71" s="153">
        <f t="shared" si="108"/>
        <v>0</v>
      </c>
      <c r="DD71" s="851" t="str">
        <f>IF('Marks Entry'!AS71="","",IF(OR('Master Sheet'!$D$19="YES",'Marks Entry'!$BA$1=1),'Marks Entry'!AS71,""))</f>
        <v/>
      </c>
      <c r="DE71" s="851" t="str">
        <f>IF('Marks Entry'!AT71="","",IF(OR('Master Sheet'!$D$19="YES",'Marks Entry'!$BA$1=1),'Marks Entry'!AT71,""))</f>
        <v/>
      </c>
      <c r="DF71" s="851" t="str">
        <f>IF('Marks Entry'!AU71="","",IF(OR('Master Sheet'!$D$19="YES",'Marks Entry'!$BA$1=1),'Marks Entry'!AU71,""))</f>
        <v/>
      </c>
      <c r="DG71" s="851" t="str">
        <f>IF('Marks Entry'!AV71="","",IF(OR('Master Sheet'!$D$19="YES",'Marks Entry'!$BA$1=1),'Marks Entry'!AV71,""))</f>
        <v/>
      </c>
      <c r="DH71" s="852" t="str">
        <f t="shared" si="109"/>
        <v/>
      </c>
      <c r="DI71" s="851" t="str">
        <f>IF('Marks Entry'!AW71="","",IF(OR('Master Sheet'!$D$19="YES",'Marks Entry'!$BA$1=1),'Marks Entry'!AW71,""))</f>
        <v/>
      </c>
      <c r="DJ71" s="851" t="str">
        <f>IF('Marks Entry'!AX71="","",IF(OR('Master Sheet'!$D$19="YES",'Marks Entry'!$BA$1=1),'Marks Entry'!AX71,""))</f>
        <v/>
      </c>
      <c r="DK71" s="852" t="str">
        <f t="shared" si="110"/>
        <v/>
      </c>
      <c r="DL71" s="852" t="str">
        <f t="shared" si="111"/>
        <v/>
      </c>
      <c r="DM71" s="851" t="str">
        <f>IF('Marks Entry'!AY71="","",IF(OR('Master Sheet'!$D$19="YES",'Marks Entry'!$BA$1=1),'Marks Entry'!AY71,""))</f>
        <v/>
      </c>
      <c r="DN71" s="851" t="str">
        <f>IF('Marks Entry'!AZ71="","",IF(OR('Master Sheet'!$D$19="YES",'Marks Entry'!$BA$1=1),'Marks Entry'!AZ71,""))</f>
        <v/>
      </c>
      <c r="DO71" s="851" t="str">
        <f>IF('Marks Entry'!BA71="","",IF(OR('Master Sheet'!$D$19="YES",'Marks Entry'!$BA$1=1),'Marks Entry'!BA71,""))</f>
        <v/>
      </c>
      <c r="DP71" s="852" t="str">
        <f t="shared" si="112"/>
        <v/>
      </c>
      <c r="DQ71" s="156" t="str">
        <f t="shared" si="113"/>
        <v/>
      </c>
      <c r="DR71" s="156" t="str">
        <f t="shared" si="114"/>
        <v/>
      </c>
      <c r="DS71" s="156" t="str">
        <f t="shared" si="115"/>
        <v/>
      </c>
      <c r="DT71" s="191" t="str">
        <f t="shared" si="116"/>
        <v/>
      </c>
      <c r="DU71" s="152">
        <f t="shared" si="117"/>
        <v>0</v>
      </c>
      <c r="DV71" s="153">
        <f t="shared" si="118"/>
        <v>0</v>
      </c>
      <c r="DW71" s="153" t="str">
        <f t="shared" si="119"/>
        <v/>
      </c>
      <c r="DX71" s="153" t="str">
        <f>IF(OR($B71="NSO",$B71=0,DS71=""),"",IF(AND(DJ71="",DO71=""),"",IF('Master Sheet'!$D$19="YES",$DO$6-COUNTIF(DO71,"ML")*DO$6,DS$6-(COUNTIF(DJ71,"ML")*DJ$6)-(COUNTIF(DO71,"ML")*DO$6))))</f>
        <v/>
      </c>
      <c r="DY71" s="153" t="str">
        <f>IF(OR($B71="NSO",$B71=0),"",IF(AND(DH71="",DI71="",DM71=""),"",IF(AND('Master Sheet'!$D$19="YES",'Marks Entry'!$BA$1=1),100,IF(AND(DJ71="",DO71=""),SUM(($DQ$7+$DR$7)-(DU71+DV71)),SUM(($DQ$6+$DR$6)-(DU71+DV71))))))</f>
        <v/>
      </c>
      <c r="DZ71" s="152" t="str">
        <f t="shared" si="120"/>
        <v/>
      </c>
      <c r="EA71" s="153" t="str">
        <f t="shared" si="121"/>
        <v/>
      </c>
      <c r="EB71" s="152" t="str">
        <f t="shared" si="122"/>
        <v/>
      </c>
      <c r="EC71" s="584" t="str">
        <f>IF('Marks Entry'!BB71="","",'Marks Entry'!BB71)</f>
        <v/>
      </c>
      <c r="ED71" s="584" t="str">
        <f>IF('Marks Entry'!BC71="","",'Marks Entry'!BC71)</f>
        <v/>
      </c>
      <c r="EE71" s="584" t="str">
        <f>IF('Marks Entry'!BD71="","",'Marks Entry'!BD71)</f>
        <v/>
      </c>
      <c r="EF71" s="590" t="str">
        <f t="shared" si="123"/>
        <v/>
      </c>
      <c r="EG71" s="595">
        <f t="shared" si="124"/>
        <v>0</v>
      </c>
      <c r="EH71" s="595">
        <f t="shared" si="125"/>
        <v>0</v>
      </c>
      <c r="EI71" s="192" t="str">
        <f t="shared" si="126"/>
        <v/>
      </c>
      <c r="EJ71" s="595" t="str">
        <f t="shared" si="127"/>
        <v/>
      </c>
      <c r="EK71" s="595" t="str">
        <f t="shared" si="128"/>
        <v/>
      </c>
      <c r="EL71" s="193" t="str">
        <f t="shared" si="129"/>
        <v/>
      </c>
      <c r="EM71" s="193" t="str">
        <f t="shared" si="130"/>
        <v/>
      </c>
      <c r="EN71" s="193" t="str">
        <f t="shared" si="131"/>
        <v/>
      </c>
      <c r="EO71" s="193" t="str">
        <f t="shared" si="132"/>
        <v/>
      </c>
      <c r="EP71" s="193" t="str">
        <f t="shared" si="133"/>
        <v/>
      </c>
      <c r="EQ71" s="193" t="str">
        <f t="shared" si="134"/>
        <v/>
      </c>
      <c r="ER71" s="194">
        <f t="shared" si="135"/>
        <v>0</v>
      </c>
      <c r="ES71" s="194">
        <f t="shared" si="136"/>
        <v>0</v>
      </c>
      <c r="ET71" s="194">
        <f t="shared" si="137"/>
        <v>0</v>
      </c>
      <c r="EU71" s="194">
        <f t="shared" si="138"/>
        <v>0</v>
      </c>
      <c r="EV71" s="194">
        <f t="shared" si="139"/>
        <v>0</v>
      </c>
      <c r="EW71" s="194" t="str">
        <f t="shared" si="140"/>
        <v/>
      </c>
      <c r="EX71" s="195" t="str">
        <f t="shared" si="141"/>
        <v/>
      </c>
      <c r="EY71" s="196" t="str">
        <f>IF('Marks Entry'!BE71="","",'Marks Entry'!BE71)</f>
        <v/>
      </c>
      <c r="EZ71" s="196" t="str">
        <f>IF('Marks Entry'!BF71="","",'Marks Entry'!BF71)</f>
        <v/>
      </c>
      <c r="FA71" s="196" t="str">
        <f>IF('Marks Entry'!BG71="","",'Marks Entry'!BG71)</f>
        <v/>
      </c>
      <c r="FB71" s="596" t="str">
        <f t="shared" si="142"/>
        <v/>
      </c>
      <c r="FC71" s="196" t="str">
        <f>IF('Marks Entry'!BH71="","",'Marks Entry'!BH71)</f>
        <v/>
      </c>
      <c r="FD71" s="196" t="str">
        <f>IF('Marks Entry'!BI71="","",'Marks Entry'!BI71)</f>
        <v/>
      </c>
      <c r="FE71" s="197" t="str">
        <f t="shared" si="143"/>
        <v/>
      </c>
      <c r="FF71" s="198" t="str">
        <f t="shared" si="144"/>
        <v/>
      </c>
      <c r="FG71" s="199" t="str">
        <f>IF(AND(E71=""),"",IF('Student DATA Entry'!L67="","",'Student DATA Entry'!L67))</f>
        <v/>
      </c>
      <c r="FH71" s="200" t="str">
        <f>IF(AND(E71=""),"",IF('Student DATA Entry'!M67="","",'Student DATA Entry'!M67))</f>
        <v/>
      </c>
      <c r="FI71" s="201" t="str">
        <f t="shared" si="145"/>
        <v/>
      </c>
      <c r="FJ71" s="188" t="str">
        <f t="shared" si="146"/>
        <v/>
      </c>
      <c r="FK71" s="188" t="str">
        <f t="shared" si="147"/>
        <v/>
      </c>
      <c r="FL71" s="202" t="str">
        <f t="shared" si="178"/>
        <v/>
      </c>
      <c r="FM71" s="188" t="str">
        <f t="shared" si="148"/>
        <v/>
      </c>
      <c r="FN71" s="203" t="str">
        <f t="shared" si="149"/>
        <v/>
      </c>
      <c r="FO71" s="202" t="str">
        <f t="shared" si="179"/>
        <v/>
      </c>
      <c r="FP71" s="204" t="str">
        <f t="shared" si="150"/>
        <v/>
      </c>
      <c r="FQ71" s="188" t="str">
        <f t="shared" si="180"/>
        <v/>
      </c>
      <c r="FR71" s="188" t="str">
        <f t="shared" si="181"/>
        <v/>
      </c>
      <c r="FS71" s="188" t="str">
        <f t="shared" si="182"/>
        <v/>
      </c>
      <c r="FT71" s="188" t="str">
        <f t="shared" si="183"/>
        <v/>
      </c>
      <c r="FU71" s="188" t="str">
        <f t="shared" si="151"/>
        <v/>
      </c>
      <c r="FV71" s="205" t="str">
        <f t="shared" si="184"/>
        <v/>
      </c>
      <c r="FW71" s="204" t="str">
        <f t="shared" si="152"/>
        <v/>
      </c>
      <c r="FX71" s="188" t="str">
        <f t="shared" si="185"/>
        <v/>
      </c>
      <c r="FY71" s="188" t="str">
        <f t="shared" si="186"/>
        <v/>
      </c>
      <c r="FZ71" s="188" t="str">
        <f t="shared" si="187"/>
        <v/>
      </c>
      <c r="GA71" s="188" t="str">
        <f t="shared" si="188"/>
        <v/>
      </c>
      <c r="GB71" s="188" t="str">
        <f t="shared" si="153"/>
        <v/>
      </c>
      <c r="GC71" s="205" t="str">
        <f t="shared" si="189"/>
        <v/>
      </c>
      <c r="GD71" s="204" t="str">
        <f t="shared" si="154"/>
        <v/>
      </c>
      <c r="GE71" s="188" t="str">
        <f t="shared" si="190"/>
        <v/>
      </c>
      <c r="GF71" s="188" t="str">
        <f t="shared" si="191"/>
        <v/>
      </c>
      <c r="GG71" s="188" t="str">
        <f t="shared" si="192"/>
        <v/>
      </c>
      <c r="GH71" s="188" t="str">
        <f t="shared" si="193"/>
        <v/>
      </c>
      <c r="GI71" s="188" t="str">
        <f t="shared" si="155"/>
        <v/>
      </c>
      <c r="GJ71" s="205" t="str">
        <f t="shared" si="194"/>
        <v/>
      </c>
      <c r="GK71" s="204" t="str">
        <f t="shared" si="156"/>
        <v/>
      </c>
      <c r="GL71" s="188" t="str">
        <f t="shared" si="195"/>
        <v/>
      </c>
      <c r="GM71" s="188" t="str">
        <f t="shared" si="196"/>
        <v/>
      </c>
      <c r="GN71" s="188" t="str">
        <f t="shared" si="197"/>
        <v/>
      </c>
      <c r="GO71" s="188" t="str">
        <f t="shared" si="198"/>
        <v/>
      </c>
      <c r="GP71" s="188" t="str">
        <f t="shared" si="157"/>
        <v/>
      </c>
      <c r="GQ71" s="205" t="str">
        <f t="shared" si="199"/>
        <v/>
      </c>
      <c r="GR71" s="188" t="str">
        <f t="shared" si="158"/>
        <v/>
      </c>
      <c r="GS71" s="188" t="str">
        <f t="shared" si="159"/>
        <v/>
      </c>
      <c r="GT71" s="206" t="str">
        <f t="shared" si="177"/>
        <v xml:space="preserve">    </v>
      </c>
      <c r="GU71" s="206" t="str">
        <f t="shared" si="160"/>
        <v xml:space="preserve">    </v>
      </c>
      <c r="GV71" s="206" t="str">
        <f t="shared" si="161"/>
        <v xml:space="preserve">    </v>
      </c>
      <c r="GW71" s="206" t="str">
        <f t="shared" si="162"/>
        <v xml:space="preserve">       </v>
      </c>
      <c r="GX71" s="598" t="str">
        <f t="shared" si="163"/>
        <v xml:space="preserve">     </v>
      </c>
      <c r="GY71" s="207" t="str">
        <f t="shared" si="200"/>
        <v/>
      </c>
      <c r="GZ71" s="606" t="str">
        <f>IF(AND(Q71="",AE71="",AZ71="",BW71="",CT71=""),"",IF(AND('Master Sheet'!$D$19="YES",'Marks Entry'!$BA$1=1),SUM(Q71,AE71,AZ71,BW71,DT71),SUM(Q71,AE71,AZ71,BW71,CT71)))</f>
        <v/>
      </c>
      <c r="HA71" s="208" t="str">
        <f>IF(GZ71="","",IF(AND('Master Sheet'!$D$19="YES",'Marks Entry'!$BA$1=1),GZ71/((900)-DC71)*100,GZ71/((1000)-DC71)*100))</f>
        <v/>
      </c>
      <c r="HB71" s="611" t="str">
        <f t="shared" si="165"/>
        <v/>
      </c>
      <c r="HC71" s="609" t="str">
        <f t="shared" si="166"/>
        <v/>
      </c>
      <c r="HD71" s="610" t="str">
        <f t="shared" si="167"/>
        <v/>
      </c>
      <c r="HE71" s="209" t="str">
        <f>IFERROR(IF(OR(GY71="SUPPLEMENTARY",GY71="RE-EXAM"),'Supp. Result Entry'!AS70,""),"")</f>
        <v/>
      </c>
      <c r="HF71" s="613" t="str">
        <f t="shared" si="168"/>
        <v/>
      </c>
      <c r="HG71" s="598" t="str">
        <f t="shared" si="169"/>
        <v/>
      </c>
      <c r="HH71" s="598" t="str">
        <f>IF(AND(HE71="",HF71="",HG71=""),"",IF(OR(GY71="SUPPLEMENTARY",GY71="RE-EXAM"),'Supp. Result Entry'!AS70,GY71))</f>
        <v/>
      </c>
      <c r="HI71" s="179"/>
      <c r="HY71" s="211" t="str">
        <f>IF('Supp. Result Entry'!U70="","",'Supp. Result Entry'!$U$6)</f>
        <v/>
      </c>
      <c r="HZ71" s="212" t="str">
        <f>IF('Supp. Result Entry'!X70="","",'Supp. Result Entry'!$X$6)</f>
        <v/>
      </c>
      <c r="IA71" s="212" t="str">
        <f>IF('Supp. Result Entry'!AA70="","",'Supp. Result Entry'!$AA$6)</f>
        <v/>
      </c>
      <c r="IB71" s="212" t="str">
        <f>IF('Supp. Result Entry'!AD70="","",'Supp. Result Entry'!$AD$6)</f>
        <v/>
      </c>
      <c r="IC71" s="212" t="str">
        <f>IF('Supp. Result Entry'!AG70="","",'Supp. Result Entry'!$AG$6)</f>
        <v/>
      </c>
      <c r="ID71" s="212" t="str">
        <f>IF('Supp. Result Entry'!AJ70="","",'Supp. Result Entry'!$AJ$6)</f>
        <v/>
      </c>
      <c r="IE71" s="212" t="str">
        <f>IF('Supp. Result Entry'!V70="","",'Supp. Result Entry'!V70)</f>
        <v/>
      </c>
      <c r="IF71" s="212" t="str">
        <f>IF('Supp. Result Entry'!Y70="","",'Supp. Result Entry'!Y70)</f>
        <v/>
      </c>
      <c r="IG71" s="212" t="str">
        <f>IF('Supp. Result Entry'!AB70="","",'Supp. Result Entry'!AB70)</f>
        <v/>
      </c>
      <c r="IH71" s="212" t="str">
        <f>IF('Supp. Result Entry'!AE70="","",'Supp. Result Entry'!AE70)</f>
        <v/>
      </c>
      <c r="II71" s="212" t="str">
        <f>IF('Supp. Result Entry'!AH70="","",'Supp. Result Entry'!AH70)</f>
        <v/>
      </c>
      <c r="IJ71" s="212" t="str">
        <f>IF('Supp. Result Entry'!AK70="","",'Supp. Result Entry'!AK70)</f>
        <v/>
      </c>
      <c r="IK71" s="212" t="str">
        <f>IF('Supp. Result Entry'!W70="","",'Supp. Result Entry'!W70)</f>
        <v/>
      </c>
      <c r="IL71" s="212" t="str">
        <f>IF('Supp. Result Entry'!Z70="","",'Supp. Result Entry'!Z70)</f>
        <v/>
      </c>
      <c r="IM71" s="212" t="str">
        <f>IF('Supp. Result Entry'!AC70="","",'Supp. Result Entry'!AC70)</f>
        <v/>
      </c>
      <c r="IN71" s="212" t="str">
        <f>IF('Supp. Result Entry'!AF70="","",'Supp. Result Entry'!AF70)</f>
        <v/>
      </c>
      <c r="IO71" s="212" t="str">
        <f>IF('Supp. Result Entry'!AI70="","",'Supp. Result Entry'!AI70)</f>
        <v/>
      </c>
      <c r="IP71" s="212" t="str">
        <f>IF('Supp. Result Entry'!AL70="","",'Supp. Result Entry'!AL70)</f>
        <v/>
      </c>
      <c r="IQ71" s="212">
        <f>COUNTIF('Supp. Result Entry'!K70:Q70,"S")</f>
        <v>0</v>
      </c>
      <c r="IR71" s="212">
        <f t="shared" si="170"/>
        <v>0</v>
      </c>
      <c r="IS71" s="212">
        <f t="shared" si="171"/>
        <v>0</v>
      </c>
      <c r="IT71" s="212" t="str">
        <f t="shared" si="41"/>
        <v/>
      </c>
      <c r="IU71" s="212" t="str">
        <f t="shared" si="42"/>
        <v/>
      </c>
      <c r="IV71" s="212" t="str">
        <f t="shared" si="43"/>
        <v/>
      </c>
      <c r="IW71" s="212" t="str">
        <f t="shared" si="44"/>
        <v/>
      </c>
      <c r="IX71" s="212" t="str">
        <f t="shared" si="45"/>
        <v/>
      </c>
      <c r="IY71" s="212" t="str">
        <f t="shared" si="172"/>
        <v/>
      </c>
      <c r="IZ71" s="212" t="str">
        <f t="shared" si="173"/>
        <v/>
      </c>
      <c r="JA71" s="212" t="str">
        <f t="shared" si="46"/>
        <v/>
      </c>
      <c r="JB71" s="210" t="str">
        <f t="shared" si="174"/>
        <v/>
      </c>
    </row>
    <row r="72" spans="1:262" s="210" customFormat="1" ht="21" customHeight="1">
      <c r="A72" s="183">
        <v>65</v>
      </c>
      <c r="B72" s="184" t="str">
        <f>IF('Marks Entry'!B72="","",'Marks Entry'!B72)</f>
        <v/>
      </c>
      <c r="C72" s="185" t="str">
        <f>IF('Marks Entry'!D72="","",'Marks Entry'!D72)</f>
        <v/>
      </c>
      <c r="D72" s="186" t="str">
        <f>IF('Marks Entry'!E72="","",'Marks Entry'!E72)</f>
        <v/>
      </c>
      <c r="E72" s="187" t="str">
        <f>IF('Marks Entry'!F72="","",'Marks Entry'!F72)</f>
        <v/>
      </c>
      <c r="F72" s="187" t="str">
        <f>IF('Marks Entry'!G72="","",'Marks Entry'!G72)</f>
        <v/>
      </c>
      <c r="G72" s="187" t="str">
        <f>IF('Marks Entry'!H72="","",'Marks Entry'!H72)</f>
        <v/>
      </c>
      <c r="H72" s="188" t="str">
        <f>IF('Marks Entry'!I72="","",'Marks Entry'!I72)</f>
        <v/>
      </c>
      <c r="I72" s="189" t="str">
        <f>IF('Marks Entry'!J72="","",'Marks Entry'!J72)</f>
        <v/>
      </c>
      <c r="J72" s="545" t="str">
        <f>IF('Marks Entry'!K72="","",'Marks Entry'!K72)</f>
        <v/>
      </c>
      <c r="K72" s="545" t="str">
        <f>IF('Marks Entry'!L72="","",'Marks Entry'!L72)</f>
        <v/>
      </c>
      <c r="L72" s="545" t="str">
        <f>IF('Marks Entry'!M72="","",'Marks Entry'!M72)</f>
        <v/>
      </c>
      <c r="M72" s="546" t="str">
        <f t="shared" si="47"/>
        <v/>
      </c>
      <c r="N72" s="545" t="str">
        <f>IF('Marks Entry'!N72="","",'Marks Entry'!N72)</f>
        <v/>
      </c>
      <c r="O72" s="546" t="str">
        <f t="shared" si="48"/>
        <v/>
      </c>
      <c r="P72" s="545" t="str">
        <f>IF('Marks Entry'!O72="","",'Marks Entry'!O72)</f>
        <v/>
      </c>
      <c r="Q72" s="547" t="str">
        <f t="shared" si="49"/>
        <v/>
      </c>
      <c r="R72" s="152">
        <f t="shared" si="50"/>
        <v>0</v>
      </c>
      <c r="S72" s="152">
        <f t="shared" si="51"/>
        <v>0</v>
      </c>
      <c r="T72" s="153" t="str">
        <f t="shared" si="52"/>
        <v/>
      </c>
      <c r="U72" s="152" t="str">
        <f t="shared" si="53"/>
        <v/>
      </c>
      <c r="V72" s="152" t="str">
        <f t="shared" si="54"/>
        <v/>
      </c>
      <c r="W72" s="152" t="str">
        <f t="shared" si="55"/>
        <v/>
      </c>
      <c r="X72" s="545" t="str">
        <f>IF('Marks Entry'!P72="","",'Marks Entry'!P72)</f>
        <v/>
      </c>
      <c r="Y72" s="545" t="str">
        <f>IF('Marks Entry'!Q72="","",'Marks Entry'!Q72)</f>
        <v/>
      </c>
      <c r="Z72" s="545" t="str">
        <f>IF('Marks Entry'!R72="","",'Marks Entry'!R72)</f>
        <v/>
      </c>
      <c r="AA72" s="546" t="str">
        <f t="shared" si="56"/>
        <v/>
      </c>
      <c r="AB72" s="545" t="str">
        <f>IF('Marks Entry'!S72="","",'Marks Entry'!S72)</f>
        <v/>
      </c>
      <c r="AC72" s="546" t="str">
        <f t="shared" si="57"/>
        <v/>
      </c>
      <c r="AD72" s="545" t="str">
        <f>IF('Marks Entry'!T72="","",'Marks Entry'!T72)</f>
        <v/>
      </c>
      <c r="AE72" s="547" t="str">
        <f t="shared" si="58"/>
        <v/>
      </c>
      <c r="AF72" s="152">
        <f t="shared" si="59"/>
        <v>0</v>
      </c>
      <c r="AG72" s="152">
        <f t="shared" si="60"/>
        <v>0</v>
      </c>
      <c r="AH72" s="153" t="str">
        <f t="shared" si="61"/>
        <v/>
      </c>
      <c r="AI72" s="152" t="str">
        <f t="shared" si="62"/>
        <v/>
      </c>
      <c r="AJ72" s="152" t="str">
        <f t="shared" si="63"/>
        <v/>
      </c>
      <c r="AK72" s="152" t="str">
        <f t="shared" si="64"/>
        <v/>
      </c>
      <c r="AL72" s="573" t="str">
        <f>IF('Marks Entry'!U72="","",'Marks Entry'!U72)</f>
        <v/>
      </c>
      <c r="AM72" s="573" t="str">
        <f>IF('Marks Entry'!V72="","",'Marks Entry'!V72)</f>
        <v/>
      </c>
      <c r="AN72" s="573" t="str">
        <f>IF('Marks Entry'!W72="","",'Marks Entry'!W72)</f>
        <v/>
      </c>
      <c r="AO72" s="573" t="str">
        <f>IF('Marks Entry'!X72="","",'Marks Entry'!X72)</f>
        <v/>
      </c>
      <c r="AP72" s="572" t="str">
        <f t="shared" si="65"/>
        <v/>
      </c>
      <c r="AQ72" s="573" t="str">
        <f>IF('Marks Entry'!Y72="","",'Marks Entry'!Y72)</f>
        <v/>
      </c>
      <c r="AR72" s="573" t="str">
        <f>IF('Marks Entry'!Z72="","",'Marks Entry'!Z72)</f>
        <v/>
      </c>
      <c r="AS72" s="572" t="str">
        <f t="shared" si="66"/>
        <v/>
      </c>
      <c r="AT72" s="572" t="str">
        <f t="shared" si="67"/>
        <v/>
      </c>
      <c r="AU72" s="573" t="str">
        <f>IF('Marks Entry'!AA72="","",'Marks Entry'!AA72)</f>
        <v/>
      </c>
      <c r="AV72" s="573" t="str">
        <f>IF('Marks Entry'!AB72="","",'Marks Entry'!AB72)</f>
        <v/>
      </c>
      <c r="AW72" s="572" t="str">
        <f t="shared" si="68"/>
        <v/>
      </c>
      <c r="AX72" s="156" t="str">
        <f t="shared" si="69"/>
        <v/>
      </c>
      <c r="AY72" s="156" t="str">
        <f t="shared" si="70"/>
        <v/>
      </c>
      <c r="AZ72" s="191" t="str">
        <f t="shared" si="71"/>
        <v/>
      </c>
      <c r="BA72" s="152">
        <f t="shared" si="72"/>
        <v>0</v>
      </c>
      <c r="BB72" s="153">
        <f t="shared" si="73"/>
        <v>0</v>
      </c>
      <c r="BC72" s="153" t="str">
        <f t="shared" si="74"/>
        <v/>
      </c>
      <c r="BD72" s="153" t="str">
        <f t="shared" si="75"/>
        <v/>
      </c>
      <c r="BE72" s="153" t="str">
        <f t="shared" si="76"/>
        <v/>
      </c>
      <c r="BF72" s="152" t="str">
        <f t="shared" si="77"/>
        <v/>
      </c>
      <c r="BG72" s="153" t="str">
        <f t="shared" si="175"/>
        <v/>
      </c>
      <c r="BH72" s="152" t="str">
        <f t="shared" si="78"/>
        <v/>
      </c>
      <c r="BI72" s="580" t="str">
        <f>IF('Marks Entry'!AC72="","",'Marks Entry'!AC72)</f>
        <v/>
      </c>
      <c r="BJ72" s="580" t="str">
        <f>IF('Marks Entry'!AD72="","",'Marks Entry'!AD72)</f>
        <v/>
      </c>
      <c r="BK72" s="580" t="str">
        <f>IF('Marks Entry'!AE72="","",'Marks Entry'!AE72)</f>
        <v/>
      </c>
      <c r="BL72" s="580" t="str">
        <f>IF('Marks Entry'!AF72="","",'Marks Entry'!AF72)</f>
        <v/>
      </c>
      <c r="BM72" s="581" t="str">
        <f t="shared" si="79"/>
        <v/>
      </c>
      <c r="BN72" s="580" t="str">
        <f>IF('Marks Entry'!AG72="","",'Marks Entry'!AG72)</f>
        <v/>
      </c>
      <c r="BO72" s="580" t="str">
        <f>IF('Marks Entry'!AH72="","",'Marks Entry'!AH72)</f>
        <v/>
      </c>
      <c r="BP72" s="581" t="str">
        <f t="shared" si="80"/>
        <v/>
      </c>
      <c r="BQ72" s="581" t="str">
        <f t="shared" si="81"/>
        <v/>
      </c>
      <c r="BR72" s="580" t="str">
        <f>IF('Marks Entry'!AI72="","",'Marks Entry'!AI72)</f>
        <v/>
      </c>
      <c r="BS72" s="580" t="str">
        <f>IF('Marks Entry'!AJ72="","",'Marks Entry'!AJ72)</f>
        <v/>
      </c>
      <c r="BT72" s="581" t="str">
        <f t="shared" si="82"/>
        <v/>
      </c>
      <c r="BU72" s="156" t="str">
        <f t="shared" si="83"/>
        <v/>
      </c>
      <c r="BV72" s="156" t="str">
        <f t="shared" si="84"/>
        <v/>
      </c>
      <c r="BW72" s="191" t="str">
        <f t="shared" si="85"/>
        <v/>
      </c>
      <c r="BX72" s="152">
        <f t="shared" si="86"/>
        <v>0</v>
      </c>
      <c r="BY72" s="153">
        <f t="shared" si="87"/>
        <v>0</v>
      </c>
      <c r="BZ72" s="153" t="str">
        <f t="shared" si="88"/>
        <v/>
      </c>
      <c r="CA72" s="153" t="str">
        <f t="shared" si="89"/>
        <v/>
      </c>
      <c r="CB72" s="153" t="str">
        <f t="shared" si="90"/>
        <v/>
      </c>
      <c r="CC72" s="152" t="str">
        <f t="shared" si="91"/>
        <v/>
      </c>
      <c r="CD72" s="153" t="str">
        <f t="shared" si="92"/>
        <v/>
      </c>
      <c r="CE72" s="152" t="str">
        <f t="shared" si="93"/>
        <v/>
      </c>
      <c r="CF72" s="580" t="str">
        <f>IF('Marks Entry'!AK72="","",'Marks Entry'!AK72)</f>
        <v/>
      </c>
      <c r="CG72" s="580" t="str">
        <f>IF('Marks Entry'!AL72="","",'Marks Entry'!AL72)</f>
        <v/>
      </c>
      <c r="CH72" s="580" t="str">
        <f>IF('Marks Entry'!AM72="","",'Marks Entry'!AM72)</f>
        <v/>
      </c>
      <c r="CI72" s="580" t="str">
        <f>IF('Marks Entry'!AN72="","",'Marks Entry'!AN72)</f>
        <v/>
      </c>
      <c r="CJ72" s="581" t="str">
        <f t="shared" si="94"/>
        <v/>
      </c>
      <c r="CK72" s="580" t="str">
        <f>IF('Marks Entry'!AO72="","",'Marks Entry'!AO72)</f>
        <v/>
      </c>
      <c r="CL72" s="580" t="str">
        <f>IF('Marks Entry'!AP72="","",'Marks Entry'!AP72)</f>
        <v/>
      </c>
      <c r="CM72" s="581" t="str">
        <f t="shared" si="95"/>
        <v/>
      </c>
      <c r="CN72" s="581" t="str">
        <f t="shared" si="96"/>
        <v/>
      </c>
      <c r="CO72" s="580" t="str">
        <f>IF('Marks Entry'!AQ72="","",'Marks Entry'!AQ72)</f>
        <v/>
      </c>
      <c r="CP72" s="580" t="str">
        <f>IF('Marks Entry'!AR72="","",'Marks Entry'!AR72)</f>
        <v/>
      </c>
      <c r="CQ72" s="581" t="str">
        <f t="shared" si="97"/>
        <v/>
      </c>
      <c r="CR72" s="156" t="str">
        <f t="shared" si="98"/>
        <v/>
      </c>
      <c r="CS72" s="156" t="str">
        <f t="shared" si="99"/>
        <v/>
      </c>
      <c r="CT72" s="191" t="str">
        <f t="shared" si="100"/>
        <v/>
      </c>
      <c r="CU72" s="152">
        <f t="shared" si="101"/>
        <v>0</v>
      </c>
      <c r="CV72" s="153">
        <f t="shared" si="102"/>
        <v>0</v>
      </c>
      <c r="CW72" s="153" t="str">
        <f t="shared" si="103"/>
        <v/>
      </c>
      <c r="CX72" s="153" t="str">
        <f t="shared" si="104"/>
        <v/>
      </c>
      <c r="CY72" s="153" t="str">
        <f t="shared" si="176"/>
        <v/>
      </c>
      <c r="CZ72" s="152" t="str">
        <f t="shared" si="105"/>
        <v/>
      </c>
      <c r="DA72" s="153" t="str">
        <f t="shared" si="106"/>
        <v/>
      </c>
      <c r="DB72" s="152" t="str">
        <f t="shared" si="107"/>
        <v/>
      </c>
      <c r="DC72" s="153">
        <f t="shared" si="108"/>
        <v>0</v>
      </c>
      <c r="DD72" s="851" t="str">
        <f>IF('Marks Entry'!AS72="","",IF(OR('Master Sheet'!$D$19="YES",'Marks Entry'!$BA$1=1),'Marks Entry'!AS72,""))</f>
        <v/>
      </c>
      <c r="DE72" s="851" t="str">
        <f>IF('Marks Entry'!AT72="","",IF(OR('Master Sheet'!$D$19="YES",'Marks Entry'!$BA$1=1),'Marks Entry'!AT72,""))</f>
        <v/>
      </c>
      <c r="DF72" s="851" t="str">
        <f>IF('Marks Entry'!AU72="","",IF(OR('Master Sheet'!$D$19="YES",'Marks Entry'!$BA$1=1),'Marks Entry'!AU72,""))</f>
        <v/>
      </c>
      <c r="DG72" s="851" t="str">
        <f>IF('Marks Entry'!AV72="","",IF(OR('Master Sheet'!$D$19="YES",'Marks Entry'!$BA$1=1),'Marks Entry'!AV72,""))</f>
        <v/>
      </c>
      <c r="DH72" s="852" t="str">
        <f t="shared" si="109"/>
        <v/>
      </c>
      <c r="DI72" s="851" t="str">
        <f>IF('Marks Entry'!AW72="","",IF(OR('Master Sheet'!$D$19="YES",'Marks Entry'!$BA$1=1),'Marks Entry'!AW72,""))</f>
        <v/>
      </c>
      <c r="DJ72" s="851" t="str">
        <f>IF('Marks Entry'!AX72="","",IF(OR('Master Sheet'!$D$19="YES",'Marks Entry'!$BA$1=1),'Marks Entry'!AX72,""))</f>
        <v/>
      </c>
      <c r="DK72" s="852" t="str">
        <f t="shared" si="110"/>
        <v/>
      </c>
      <c r="DL72" s="852" t="str">
        <f t="shared" si="111"/>
        <v/>
      </c>
      <c r="DM72" s="851" t="str">
        <f>IF('Marks Entry'!AY72="","",IF(OR('Master Sheet'!$D$19="YES",'Marks Entry'!$BA$1=1),'Marks Entry'!AY72,""))</f>
        <v/>
      </c>
      <c r="DN72" s="851" t="str">
        <f>IF('Marks Entry'!AZ72="","",IF(OR('Master Sheet'!$D$19="YES",'Marks Entry'!$BA$1=1),'Marks Entry'!AZ72,""))</f>
        <v/>
      </c>
      <c r="DO72" s="851" t="str">
        <f>IF('Marks Entry'!BA72="","",IF(OR('Master Sheet'!$D$19="YES",'Marks Entry'!$BA$1=1),'Marks Entry'!BA72,""))</f>
        <v/>
      </c>
      <c r="DP72" s="852" t="str">
        <f t="shared" si="112"/>
        <v/>
      </c>
      <c r="DQ72" s="156" t="str">
        <f t="shared" si="113"/>
        <v/>
      </c>
      <c r="DR72" s="156" t="str">
        <f t="shared" si="114"/>
        <v/>
      </c>
      <c r="DS72" s="156" t="str">
        <f t="shared" si="115"/>
        <v/>
      </c>
      <c r="DT72" s="191" t="str">
        <f t="shared" si="116"/>
        <v/>
      </c>
      <c r="DU72" s="152">
        <f t="shared" si="117"/>
        <v>0</v>
      </c>
      <c r="DV72" s="153">
        <f t="shared" si="118"/>
        <v>0</v>
      </c>
      <c r="DW72" s="153" t="str">
        <f t="shared" si="119"/>
        <v/>
      </c>
      <c r="DX72" s="153" t="str">
        <f>IF(OR($B72="NSO",$B72=0,DS72=""),"",IF(AND(DJ72="",DO72=""),"",IF('Master Sheet'!$D$19="YES",$DO$6-COUNTIF(DO72,"ML")*DO$6,DS$6-(COUNTIF(DJ72,"ML")*DJ$6)-(COUNTIF(DO72,"ML")*DO$6))))</f>
        <v/>
      </c>
      <c r="DY72" s="153" t="str">
        <f>IF(OR($B72="NSO",$B72=0),"",IF(AND(DH72="",DI72="",DM72=""),"",IF(AND('Master Sheet'!$D$19="YES",'Marks Entry'!$BA$1=1),100,IF(AND(DJ72="",DO72=""),SUM(($DQ$7+$DR$7)-(DU72+DV72)),SUM(($DQ$6+$DR$6)-(DU72+DV72))))))</f>
        <v/>
      </c>
      <c r="DZ72" s="152" t="str">
        <f t="shared" si="120"/>
        <v/>
      </c>
      <c r="EA72" s="153" t="str">
        <f t="shared" si="121"/>
        <v/>
      </c>
      <c r="EB72" s="152" t="str">
        <f t="shared" si="122"/>
        <v/>
      </c>
      <c r="EC72" s="584" t="str">
        <f>IF('Marks Entry'!BB72="","",'Marks Entry'!BB72)</f>
        <v/>
      </c>
      <c r="ED72" s="584" t="str">
        <f>IF('Marks Entry'!BC72="","",'Marks Entry'!BC72)</f>
        <v/>
      </c>
      <c r="EE72" s="584" t="str">
        <f>IF('Marks Entry'!BD72="","",'Marks Entry'!BD72)</f>
        <v/>
      </c>
      <c r="EF72" s="590" t="str">
        <f t="shared" si="123"/>
        <v/>
      </c>
      <c r="EG72" s="595">
        <f t="shared" si="124"/>
        <v>0</v>
      </c>
      <c r="EH72" s="595">
        <f t="shared" si="125"/>
        <v>0</v>
      </c>
      <c r="EI72" s="192" t="str">
        <f t="shared" si="126"/>
        <v/>
      </c>
      <c r="EJ72" s="595" t="str">
        <f t="shared" si="127"/>
        <v/>
      </c>
      <c r="EK72" s="595" t="str">
        <f t="shared" si="128"/>
        <v/>
      </c>
      <c r="EL72" s="193" t="str">
        <f t="shared" si="129"/>
        <v/>
      </c>
      <c r="EM72" s="193" t="str">
        <f t="shared" si="130"/>
        <v/>
      </c>
      <c r="EN72" s="193" t="str">
        <f t="shared" si="131"/>
        <v/>
      </c>
      <c r="EO72" s="193" t="str">
        <f t="shared" si="132"/>
        <v/>
      </c>
      <c r="EP72" s="193" t="str">
        <f t="shared" si="133"/>
        <v/>
      </c>
      <c r="EQ72" s="193" t="str">
        <f t="shared" si="134"/>
        <v/>
      </c>
      <c r="ER72" s="194">
        <f t="shared" si="135"/>
        <v>0</v>
      </c>
      <c r="ES72" s="194">
        <f t="shared" si="136"/>
        <v>0</v>
      </c>
      <c r="ET72" s="194">
        <f t="shared" si="137"/>
        <v>0</v>
      </c>
      <c r="EU72" s="194">
        <f t="shared" si="138"/>
        <v>0</v>
      </c>
      <c r="EV72" s="194">
        <f t="shared" si="139"/>
        <v>0</v>
      </c>
      <c r="EW72" s="194" t="str">
        <f t="shared" si="140"/>
        <v/>
      </c>
      <c r="EX72" s="195" t="str">
        <f t="shared" si="141"/>
        <v/>
      </c>
      <c r="EY72" s="196" t="str">
        <f>IF('Marks Entry'!BE72="","",'Marks Entry'!BE72)</f>
        <v/>
      </c>
      <c r="EZ72" s="196" t="str">
        <f>IF('Marks Entry'!BF72="","",'Marks Entry'!BF72)</f>
        <v/>
      </c>
      <c r="FA72" s="196" t="str">
        <f>IF('Marks Entry'!BG72="","",'Marks Entry'!BG72)</f>
        <v/>
      </c>
      <c r="FB72" s="596" t="str">
        <f t="shared" si="142"/>
        <v/>
      </c>
      <c r="FC72" s="196" t="str">
        <f>IF('Marks Entry'!BH72="","",'Marks Entry'!BH72)</f>
        <v/>
      </c>
      <c r="FD72" s="196" t="str">
        <f>IF('Marks Entry'!BI72="","",'Marks Entry'!BI72)</f>
        <v/>
      </c>
      <c r="FE72" s="197" t="str">
        <f t="shared" si="143"/>
        <v/>
      </c>
      <c r="FF72" s="198" t="str">
        <f t="shared" si="144"/>
        <v/>
      </c>
      <c r="FG72" s="199" t="str">
        <f>IF(AND(E72=""),"",IF('Student DATA Entry'!L68="","",'Student DATA Entry'!L68))</f>
        <v/>
      </c>
      <c r="FH72" s="200" t="str">
        <f>IF(AND(E72=""),"",IF('Student DATA Entry'!M68="","",'Student DATA Entry'!M68))</f>
        <v/>
      </c>
      <c r="FI72" s="201" t="str">
        <f t="shared" si="145"/>
        <v/>
      </c>
      <c r="FJ72" s="188" t="str">
        <f t="shared" si="146"/>
        <v/>
      </c>
      <c r="FK72" s="188" t="str">
        <f t="shared" si="147"/>
        <v/>
      </c>
      <c r="FL72" s="202" t="str">
        <f t="shared" ref="FL72:FL103" si="201">IF(FJ72="G",ROUNDUP(36%*T72-Q72,0),"")</f>
        <v/>
      </c>
      <c r="FM72" s="188" t="str">
        <f t="shared" si="148"/>
        <v/>
      </c>
      <c r="FN72" s="203" t="str">
        <f t="shared" si="149"/>
        <v/>
      </c>
      <c r="FO72" s="202" t="str">
        <f t="shared" ref="FO72:FO103" si="202">IF(FM72="G",ROUNDUP(36%*AH72-AE72,0),"")</f>
        <v/>
      </c>
      <c r="FP72" s="204" t="str">
        <f t="shared" si="150"/>
        <v/>
      </c>
      <c r="FQ72" s="188" t="str">
        <f t="shared" ref="FQ72:FQ103" si="203">IF(AL72="A",FP72,"")</f>
        <v/>
      </c>
      <c r="FR72" s="188" t="str">
        <f t="shared" ref="FR72:FR103" si="204">IF(AL72="B",FP72,"")</f>
        <v/>
      </c>
      <c r="FS72" s="188" t="str">
        <f t="shared" ref="FS72:FS103" si="205">IF(AL72="C",FP72,"")</f>
        <v/>
      </c>
      <c r="FT72" s="188" t="str">
        <f t="shared" ref="FT72:FT103" si="206">IF(AL72="D",FP72,"")</f>
        <v/>
      </c>
      <c r="FU72" s="188" t="str">
        <f t="shared" si="151"/>
        <v/>
      </c>
      <c r="FV72" s="205" t="str">
        <f t="shared" ref="FV72:FV103" si="207">IF(FP72="G",ROUNDUP(36%*BE72-AX72,0),"")</f>
        <v/>
      </c>
      <c r="FW72" s="204" t="str">
        <f t="shared" si="152"/>
        <v/>
      </c>
      <c r="FX72" s="188" t="str">
        <f t="shared" ref="FX72:FX103" si="208">IF(BI72="A",FW72,"")</f>
        <v/>
      </c>
      <c r="FY72" s="188" t="str">
        <f t="shared" ref="FY72:FY103" si="209">IF(BI72="B",FW72,"")</f>
        <v/>
      </c>
      <c r="FZ72" s="188" t="str">
        <f t="shared" ref="FZ72:FZ103" si="210">IF(BI72="C",FW72,"")</f>
        <v/>
      </c>
      <c r="GA72" s="188" t="str">
        <f t="shared" ref="GA72:GA103" si="211">IF(BI72="D",FW72,"")</f>
        <v/>
      </c>
      <c r="GB72" s="188" t="str">
        <f t="shared" si="153"/>
        <v/>
      </c>
      <c r="GC72" s="205" t="str">
        <f t="shared" ref="GC72:GC103" si="212">IF(FW72="G",ROUNDUP(36%*CB72-BU72,0),"")</f>
        <v/>
      </c>
      <c r="GD72" s="204" t="str">
        <f t="shared" si="154"/>
        <v/>
      </c>
      <c r="GE72" s="188" t="str">
        <f t="shared" ref="GE72:GE103" si="213">IF(CF72="A",GD72,"")</f>
        <v/>
      </c>
      <c r="GF72" s="188" t="str">
        <f t="shared" ref="GF72:GF103" si="214">IF(CF72="B",GD72,"")</f>
        <v/>
      </c>
      <c r="GG72" s="188" t="str">
        <f t="shared" ref="GG72:GG103" si="215">IF(CF72="C",GD72,"")</f>
        <v/>
      </c>
      <c r="GH72" s="188" t="str">
        <f t="shared" ref="GH72:GH103" si="216">IF(CF72="D",GD72,"")</f>
        <v/>
      </c>
      <c r="GI72" s="188" t="str">
        <f t="shared" si="155"/>
        <v/>
      </c>
      <c r="GJ72" s="205" t="str">
        <f t="shared" ref="GJ72:GJ103" si="217">IF(GD72="G",ROUNDUP(36%*CY72-CR72,0),"")</f>
        <v/>
      </c>
      <c r="GK72" s="204" t="str">
        <f t="shared" si="156"/>
        <v/>
      </c>
      <c r="GL72" s="188" t="str">
        <f t="shared" ref="GL72:GL103" si="218">IF(DD72="A",GK72,"")</f>
        <v/>
      </c>
      <c r="GM72" s="188" t="str">
        <f t="shared" ref="GM72:GM103" si="219">IF(DD72="B",GK72,"")</f>
        <v/>
      </c>
      <c r="GN72" s="188" t="str">
        <f t="shared" ref="GN72:GN103" si="220">IF(DD72="C",GK72,"")</f>
        <v/>
      </c>
      <c r="GO72" s="188" t="str">
        <f t="shared" ref="GO72:GO103" si="221">IF(DD72="D",GK72,"")</f>
        <v/>
      </c>
      <c r="GP72" s="188" t="str">
        <f t="shared" si="157"/>
        <v/>
      </c>
      <c r="GQ72" s="205" t="str">
        <f t="shared" ref="GQ72:GQ103" si="222">IF(GK72="G",ROUNDUP(36%*DY72-DQ72,0),"")</f>
        <v/>
      </c>
      <c r="GR72" s="188" t="str">
        <f t="shared" si="158"/>
        <v/>
      </c>
      <c r="GS72" s="188" t="str">
        <f t="shared" si="159"/>
        <v/>
      </c>
      <c r="GT72" s="206" t="str">
        <f t="shared" si="177"/>
        <v xml:space="preserve">    </v>
      </c>
      <c r="GU72" s="206" t="str">
        <f t="shared" si="160"/>
        <v xml:space="preserve">    </v>
      </c>
      <c r="GV72" s="206" t="str">
        <f t="shared" si="161"/>
        <v xml:space="preserve">    </v>
      </c>
      <c r="GW72" s="206" t="str">
        <f t="shared" si="162"/>
        <v xml:space="preserve">       </v>
      </c>
      <c r="GX72" s="598" t="str">
        <f t="shared" si="163"/>
        <v xml:space="preserve">     </v>
      </c>
      <c r="GY72" s="207" t="str">
        <f t="shared" ref="GY72:GY103" si="223">IF(B72="NSO","NSO",IF(AND(OR(EX72="PASS",EX72="BY GRACE PASS",EX72="RE-EXAM"),EW72="F"),"FAIL",IF(AND(OR(EX72="PASS",EX72="BY GRACE PASS"),EW72="RE"),"RE-EXAM",EX72)))</f>
        <v/>
      </c>
      <c r="GZ72" s="606" t="str">
        <f>IF(AND(Q72="",AE72="",AZ72="",BW72="",CT72=""),"",IF(AND('Master Sheet'!$D$19="YES",'Marks Entry'!$BA$1=1),SUM(Q72,AE72,AZ72,BW72,DT72),SUM(Q72,AE72,AZ72,BW72,CT72)))</f>
        <v/>
      </c>
      <c r="HA72" s="208" t="str">
        <f>IF(GZ72="","",IF(AND('Master Sheet'!$D$19="YES",'Marks Entry'!$BA$1=1),GZ72/((900)-DC72)*100,GZ72/((1000)-DC72)*100))</f>
        <v/>
      </c>
      <c r="HB72" s="611" t="str">
        <f t="shared" si="165"/>
        <v/>
      </c>
      <c r="HC72" s="609" t="str">
        <f t="shared" si="166"/>
        <v/>
      </c>
      <c r="HD72" s="610" t="str">
        <f t="shared" si="167"/>
        <v/>
      </c>
      <c r="HE72" s="209" t="str">
        <f>IFERROR(IF(OR(GY72="SUPPLEMENTARY",GY72="RE-EXAM"),'Supp. Result Entry'!AS71,""),"")</f>
        <v/>
      </c>
      <c r="HF72" s="613" t="str">
        <f t="shared" si="168"/>
        <v/>
      </c>
      <c r="HG72" s="598" t="str">
        <f t="shared" si="169"/>
        <v/>
      </c>
      <c r="HH72" s="598" t="str">
        <f>IF(AND(HE72="",HF72="",HG72=""),"",IF(OR(GY72="SUPPLEMENTARY",GY72="RE-EXAM"),'Supp. Result Entry'!AS71,GY72))</f>
        <v/>
      </c>
      <c r="HI72" s="179"/>
      <c r="HY72" s="211" t="str">
        <f>IF('Supp. Result Entry'!U71="","",'Supp. Result Entry'!$U$6)</f>
        <v/>
      </c>
      <c r="HZ72" s="212" t="str">
        <f>IF('Supp. Result Entry'!X71="","",'Supp. Result Entry'!$X$6)</f>
        <v/>
      </c>
      <c r="IA72" s="212" t="str">
        <f>IF('Supp. Result Entry'!AA71="","",'Supp. Result Entry'!$AA$6)</f>
        <v/>
      </c>
      <c r="IB72" s="212" t="str">
        <f>IF('Supp. Result Entry'!AD71="","",'Supp. Result Entry'!$AD$6)</f>
        <v/>
      </c>
      <c r="IC72" s="212" t="str">
        <f>IF('Supp. Result Entry'!AG71="","",'Supp. Result Entry'!$AG$6)</f>
        <v/>
      </c>
      <c r="ID72" s="212" t="str">
        <f>IF('Supp. Result Entry'!AJ71="","",'Supp. Result Entry'!$AJ$6)</f>
        <v/>
      </c>
      <c r="IE72" s="212" t="str">
        <f>IF('Supp. Result Entry'!V71="","",'Supp. Result Entry'!V71)</f>
        <v/>
      </c>
      <c r="IF72" s="212" t="str">
        <f>IF('Supp. Result Entry'!Y71="","",'Supp. Result Entry'!Y71)</f>
        <v/>
      </c>
      <c r="IG72" s="212" t="str">
        <f>IF('Supp. Result Entry'!AB71="","",'Supp. Result Entry'!AB71)</f>
        <v/>
      </c>
      <c r="IH72" s="212" t="str">
        <f>IF('Supp. Result Entry'!AE71="","",'Supp. Result Entry'!AE71)</f>
        <v/>
      </c>
      <c r="II72" s="212" t="str">
        <f>IF('Supp. Result Entry'!AH71="","",'Supp. Result Entry'!AH71)</f>
        <v/>
      </c>
      <c r="IJ72" s="212" t="str">
        <f>IF('Supp. Result Entry'!AK71="","",'Supp. Result Entry'!AK71)</f>
        <v/>
      </c>
      <c r="IK72" s="212" t="str">
        <f>IF('Supp. Result Entry'!W71="","",'Supp. Result Entry'!W71)</f>
        <v/>
      </c>
      <c r="IL72" s="212" t="str">
        <f>IF('Supp. Result Entry'!Z71="","",'Supp. Result Entry'!Z71)</f>
        <v/>
      </c>
      <c r="IM72" s="212" t="str">
        <f>IF('Supp. Result Entry'!AC71="","",'Supp. Result Entry'!AC71)</f>
        <v/>
      </c>
      <c r="IN72" s="212" t="str">
        <f>IF('Supp. Result Entry'!AF71="","",'Supp. Result Entry'!AF71)</f>
        <v/>
      </c>
      <c r="IO72" s="212" t="str">
        <f>IF('Supp. Result Entry'!AI71="","",'Supp. Result Entry'!AI71)</f>
        <v/>
      </c>
      <c r="IP72" s="212" t="str">
        <f>IF('Supp. Result Entry'!AL71="","",'Supp. Result Entry'!AL71)</f>
        <v/>
      </c>
      <c r="IQ72" s="212">
        <f>COUNTIF('Supp. Result Entry'!K71:Q71,"S")</f>
        <v>0</v>
      </c>
      <c r="IR72" s="212">
        <f t="shared" si="170"/>
        <v>0</v>
      </c>
      <c r="IS72" s="212">
        <f t="shared" si="171"/>
        <v>0</v>
      </c>
      <c r="IT72" s="212" t="str">
        <f t="shared" ref="IT72:IT135" si="224">IF(OR(IQ72=0,IQ72&lt;IS72),"",IF(OR(FJ72="RE",FJ72="REP"),SUM(Q72,IE72),IF(FJ72="S",IE72,Q72)))</f>
        <v/>
      </c>
      <c r="IU72" s="212" t="str">
        <f t="shared" ref="IU72:IU135" si="225">IF(OR(IQ72=0,IQ72&lt;IS72),"",IF(OR(FM72="RE",FM72="REP"),SUM(AE72,IF72),IF(FM72="S",IF72,AE72)))</f>
        <v/>
      </c>
      <c r="IV72" s="212" t="str">
        <f t="shared" ref="IV72:IV135" si="226">IF(OR(IQ72=0,IQ72&lt;IS72),"",IF(OR(FP72="RE",FP72="REP"),SUM(AZ72,IG72),IF(FP72="S",IG72,AZ72)))</f>
        <v/>
      </c>
      <c r="IW72" s="212" t="str">
        <f t="shared" ref="IW72:IW135" si="227">IF(OR(IQ72=0,IQ72&lt;IS72),"",IF(OR(FW72="RE",FW72="REP"),SUM(BW72,IH72),IF(FW72="S",IH72,BW72)))</f>
        <v/>
      </c>
      <c r="IX72" s="212" t="str">
        <f t="shared" ref="IX72:IX135" si="228">IF(OR(IQ72=0,IQ72&lt;IS72),"",IF(OR(GD72="RE",GD72="REP"),SUM(CT72,II72),IF(GD72="S",II72,CT72)))</f>
        <v/>
      </c>
      <c r="IY72" s="212" t="str">
        <f t="shared" si="172"/>
        <v/>
      </c>
      <c r="IZ72" s="212" t="str">
        <f t="shared" si="173"/>
        <v/>
      </c>
      <c r="JA72" s="212" t="str">
        <f t="shared" ref="JA72:JA135" si="229">IF(OR(IQ72=0,IQ72&lt;IS72),"",SUM(($Q$6+$AE$6+$AZ$6+$BW$6+$CT$6)))</f>
        <v/>
      </c>
      <c r="JB72" s="210" t="str">
        <f t="shared" si="174"/>
        <v/>
      </c>
    </row>
    <row r="73" spans="1:262" s="210" customFormat="1" ht="21" customHeight="1">
      <c r="A73" s="183">
        <v>66</v>
      </c>
      <c r="B73" s="184" t="str">
        <f>IF('Marks Entry'!B73="","",'Marks Entry'!B73)</f>
        <v/>
      </c>
      <c r="C73" s="185" t="str">
        <f>IF('Marks Entry'!D73="","",'Marks Entry'!D73)</f>
        <v/>
      </c>
      <c r="D73" s="186" t="str">
        <f>IF('Marks Entry'!E73="","",'Marks Entry'!E73)</f>
        <v/>
      </c>
      <c r="E73" s="187" t="str">
        <f>IF('Marks Entry'!F73="","",'Marks Entry'!F73)</f>
        <v/>
      </c>
      <c r="F73" s="187" t="str">
        <f>IF('Marks Entry'!G73="","",'Marks Entry'!G73)</f>
        <v/>
      </c>
      <c r="G73" s="187" t="str">
        <f>IF('Marks Entry'!H73="","",'Marks Entry'!H73)</f>
        <v/>
      </c>
      <c r="H73" s="188" t="str">
        <f>IF('Marks Entry'!I73="","",'Marks Entry'!I73)</f>
        <v/>
      </c>
      <c r="I73" s="189" t="str">
        <f>IF('Marks Entry'!J73="","",'Marks Entry'!J73)</f>
        <v/>
      </c>
      <c r="J73" s="545" t="str">
        <f>IF('Marks Entry'!K73="","",'Marks Entry'!K73)</f>
        <v/>
      </c>
      <c r="K73" s="545" t="str">
        <f>IF('Marks Entry'!L73="","",'Marks Entry'!L73)</f>
        <v/>
      </c>
      <c r="L73" s="545" t="str">
        <f>IF('Marks Entry'!M73="","",'Marks Entry'!M73)</f>
        <v/>
      </c>
      <c r="M73" s="546" t="str">
        <f t="shared" ref="M73:M136" si="230">IF(AND(J73="",K73="",L73=""),"",IF(AND(J73="AB",K73="AB",L73="AB"),"AB",IF(AND(J73="ML",K73="ML",L73="ML"),"ML",SUM(J73:L73))))</f>
        <v/>
      </c>
      <c r="N73" s="545" t="str">
        <f>IF('Marks Entry'!N73="","",'Marks Entry'!N73)</f>
        <v/>
      </c>
      <c r="O73" s="546" t="str">
        <f t="shared" ref="O73:O136" si="231">IF(AND(N73="",M73=""),"",IF(AND(N73="AB",M73="AB"),"AB",IF(AND(N73="ML",M73="ML"),"ML",SUM(M73,N73))))</f>
        <v/>
      </c>
      <c r="P73" s="545" t="str">
        <f>IF('Marks Entry'!O73="","",'Marks Entry'!O73)</f>
        <v/>
      </c>
      <c r="Q73" s="547" t="str">
        <f t="shared" ref="Q73:Q136" si="232">IF(AND(O73="",P73=""),"",IF(AND(O73="AB",P73="AB"),"AB",IF(AND(O73="ML",P73="ML"),"ML",SUM(O73,P73))))</f>
        <v/>
      </c>
      <c r="R73" s="152">
        <f t="shared" ref="R73:R136" si="233">COUNTIF(J73:L73,"NA")*10</f>
        <v>0</v>
      </c>
      <c r="S73" s="152">
        <f t="shared" ref="S73:S136" si="234">(COUNTIF(J73:L73,"ML")*10)+(COUNTIF(N73,"ML")*70)+(COUNTIF(P73,"ML")*100)</f>
        <v>0</v>
      </c>
      <c r="T73" s="153" t="str">
        <f t="shared" ref="T73:T136" si="235">IF(OR($B73="NSO",$B73=0),"",IF(AND(J73="",K73="",L73="",N73="",P73=""),"",IF(AND(K73="",J73="",O73="",N73=""),20-R73-S73,IF(AND(K73="",L73="",N73=""),20-R73-S73,IF(AND(N73="",P73=""),40-R73-S73,IF(P73="",100-R73-S73,200-R73-S73))))))</f>
        <v/>
      </c>
      <c r="U73" s="152" t="str">
        <f t="shared" ref="U73:U136" si="236">IF(OR($B73="",$C73="",$E73=""),"",IF(AND(OR(J73="ab",J73="ml",J73=""),OR(K73="ab",K73="ml",K73=""),OR(N73="ab",N73="ml",N73="")),"AB",IF(AND(OR(N73="ab",N73="ml",N73=""),OR(P73="ab",P73="ml",P73=""),OR(L73="ab",L73="ml")),"AB",IF(AND(OR(P73="ab",P73="ml",P73=""),OR(J73="ab",J73="ml",J73=""),OR(K73="ab",K73="ml",K73="")),"AB",""))))</f>
        <v/>
      </c>
      <c r="V73" s="152" t="str">
        <f t="shared" ref="V73:V136" si="237">IF(OR($B73="NSO",$B73="",Q73=""),"",IF(OR(U73="AB",P73="ab"),"AB",IF(P73="ML","RE",IF(AND(Q73&gt;=36%*T73,P73&gt;=20%*$P$6),"P",IF(AND(Q73&gt;=34%*T73,S73=0,P73&gt;=20%*$P$6),"G2",IF(AND(Q73&gt;=31%*T73,S73=0,P73&gt;=20%*$P$6),"G1",IF(Q73&gt;=25%*T73,"S","F")))))))</f>
        <v/>
      </c>
      <c r="W73" s="152" t="str">
        <f t="shared" ref="W73:W136" si="238">IF(OR(V73="",V73=0,V73="S",V73="RE",V73="F",V73="AB"),V73,IF(Q73&gt;=75%*T73,"D",IF(Q73&gt;=60%*T73,"I",IF(Q73&gt;=48%*T73,"II",IF(Q73&gt;=36%*T73,"III",V73)))))</f>
        <v/>
      </c>
      <c r="X73" s="545" t="str">
        <f>IF('Marks Entry'!P73="","",'Marks Entry'!P73)</f>
        <v/>
      </c>
      <c r="Y73" s="545" t="str">
        <f>IF('Marks Entry'!Q73="","",'Marks Entry'!Q73)</f>
        <v/>
      </c>
      <c r="Z73" s="545" t="str">
        <f>IF('Marks Entry'!R73="","",'Marks Entry'!R73)</f>
        <v/>
      </c>
      <c r="AA73" s="546" t="str">
        <f t="shared" ref="AA73:AA136" si="239">IF(AND(X73="",Y73="",Z73=""),"",IF(AND(X73="AB",Y73="AB",Z73="AB"),"AB",IF(AND(X73="ML",Y73="ML",Z73="ML"),"ML",SUM(X73:Z73))))</f>
        <v/>
      </c>
      <c r="AB73" s="545" t="str">
        <f>IF('Marks Entry'!S73="","",'Marks Entry'!S73)</f>
        <v/>
      </c>
      <c r="AC73" s="546" t="str">
        <f t="shared" ref="AC73:AC136" si="240">IF(AND(AB73="",AA73=""),"",IF(AND(AB73="AB",AA73="AB"),"AB",IF(AND(AB73="ML",AA73="ML"),"ML",SUM(AA73,AB73))))</f>
        <v/>
      </c>
      <c r="AD73" s="545" t="str">
        <f>IF('Marks Entry'!T73="","",'Marks Entry'!T73)</f>
        <v/>
      </c>
      <c r="AE73" s="547" t="str">
        <f t="shared" ref="AE73:AE136" si="241">IF(AND(AC73="",AD73=""),"",IF(AND(AC73="AB",AD73="AB"),"AB",IF(AND(AC73="ML",AD73="ML"),"ML",SUM(AC73,AD73))))</f>
        <v/>
      </c>
      <c r="AF73" s="152">
        <f t="shared" ref="AF73:AF136" si="242">COUNTIF(X73:Z73,"NA")*10</f>
        <v>0</v>
      </c>
      <c r="AG73" s="152">
        <f t="shared" ref="AG73:AG136" si="243">(COUNTIF(X73:Z73,"ML")*10)+(COUNTIF(AB73,"ML")*70)+(COUNTIF(AD73,"ML")*100)</f>
        <v>0</v>
      </c>
      <c r="AH73" s="153" t="str">
        <f t="shared" ref="AH73:AH136" si="244">IF(OR($B73="NSO",$B73=0),"",IF(AND(X73="",Y73="",Z73="",AB73="",AD73=""),"",IF(AND(Y73="",X73="",AC73="",AB73=""),20-AF73-AG73,IF(AND(Y73="",Z73="",AB73=""),20-AF73-AG73,IF(AND(AB73="",AD73=""),40-AF73-AG73,IF(AD73="",100-AF73-AG73,200-AF73-AG73))))))</f>
        <v/>
      </c>
      <c r="AI73" s="152" t="str">
        <f t="shared" ref="AI73:AI136" si="245">IF(OR($B73="",$C73="",$E73=""),"",IF(AND(OR(X73="ab",X73="ml",X73=""),OR(Y73="ab",Y73="ml",Y73=""),OR(AB73="ab",AB73="ml",AB73="")),"AB",IF(AND(OR(AB73="ab",AB73="ml",AB73=""),OR(AD73="ab",AD73="ml",AD73=""),OR(Z73="ab",Z73="ml")),"AB",IF(AND(OR(AD73="ab",AD73="ml",AD73=""),OR(X73="ab",X73="ml",X73=""),OR(Y73="ab",Y73="ml",Y73="")),"AB",""))))</f>
        <v/>
      </c>
      <c r="AJ73" s="152" t="str">
        <f t="shared" ref="AJ73:AJ136" si="246">IF(OR($B73="NSO",$B73="",AE73=""),"",IF(OR(AI73="AB",AD73="ab"),"AB",IF(AD73="ML","RE",IF(AND(AE73&gt;=36%*AH73,AD73&gt;=20%*$P$6),"P",IF(AND(AE73&gt;=34%*AH73,AG73=0,AD73&gt;=20%*$P$6),"G2",IF(AND(AE73&gt;=31%*AH73,AG73=0,AD73&gt;=20%*$P$6),"G1",IF(AE73&gt;=25%*AH73,"S","F")))))))</f>
        <v/>
      </c>
      <c r="AK73" s="152" t="str">
        <f t="shared" ref="AK73:AK136" si="247">IF(OR(AJ73="",AJ73=0,AJ73="S",AJ73="RE",AJ73="F",AJ73="AB"),AJ73,IF(AE73&gt;=75%*AH73,"D",IF(AE73&gt;=60%*AH73,"I",IF(AE73&gt;=48%*AH73,"II",IF(AE73&gt;=36%*AH73,"III",AJ73)))))</f>
        <v/>
      </c>
      <c r="AL73" s="573" t="str">
        <f>IF('Marks Entry'!U73="","",'Marks Entry'!U73)</f>
        <v/>
      </c>
      <c r="AM73" s="573" t="str">
        <f>IF('Marks Entry'!V73="","",'Marks Entry'!V73)</f>
        <v/>
      </c>
      <c r="AN73" s="573" t="str">
        <f>IF('Marks Entry'!W73="","",'Marks Entry'!W73)</f>
        <v/>
      </c>
      <c r="AO73" s="573" t="str">
        <f>IF('Marks Entry'!X73="","",'Marks Entry'!X73)</f>
        <v/>
      </c>
      <c r="AP73" s="572" t="str">
        <f t="shared" ref="AP73:AP136" si="248">IF(AND(AM73="",AN73="",AO73=""),"",IF(AND(AM73="AB",AN73="AB",AO73="AB"),"AB",IF(AND(AM73="ML",AN73="ML",AO73="ML"),"ML",SUM(AM73:AO73))))</f>
        <v/>
      </c>
      <c r="AQ73" s="573" t="str">
        <f>IF('Marks Entry'!Y73="","",'Marks Entry'!Y73)</f>
        <v/>
      </c>
      <c r="AR73" s="573" t="str">
        <f>IF('Marks Entry'!Z73="","",'Marks Entry'!Z73)</f>
        <v/>
      </c>
      <c r="AS73" s="572" t="str">
        <f t="shared" ref="AS73:AS136" si="249">IF(AND(AQ73="",AR73=""),"",IF(AND(AQ73="AB",AR73="AB"),"AB",IF(AND(AQ73="ML",AR73="ML"),"ML",SUM(AQ73:AR73))))</f>
        <v/>
      </c>
      <c r="AT73" s="572" t="str">
        <f t="shared" ref="AT73:AT136" si="250">IF(AND(AS73="",AP73=""),"",IF(AND(AS73="AB",AP73="AB"),"AB",IF(AND(AS73="ML",AP73="ML"),"ML",SUM(AP73,AS73))))</f>
        <v/>
      </c>
      <c r="AU73" s="573" t="str">
        <f>IF('Marks Entry'!AA73="","",'Marks Entry'!AA73)</f>
        <v/>
      </c>
      <c r="AV73" s="573" t="str">
        <f>IF('Marks Entry'!AB73="","",'Marks Entry'!AB73)</f>
        <v/>
      </c>
      <c r="AW73" s="572" t="str">
        <f t="shared" ref="AW73:AW136" si="251">IF(AND(AU73="",AV73=""),"",IF(AND(AU73="AB",AV73="AB"),"AB",IF(AND(AU73="ML",AV73="ML"),"ML",SUM(AU73:AV73))))</f>
        <v/>
      </c>
      <c r="AX73" s="156" t="str">
        <f t="shared" ref="AX73:AX136" si="252">IF(AND(AP73="",AQ73="",AU73=""),"",SUM(AP73,AQ73,AU73))</f>
        <v/>
      </c>
      <c r="AY73" s="156" t="str">
        <f t="shared" ref="AY73:AY136" si="253">IF(AND(AR73="",AV73=""),"",SUM(AR73,AV73))</f>
        <v/>
      </c>
      <c r="AZ73" s="191" t="str">
        <f t="shared" ref="AZ73:AZ136" si="254">IF(AND(AT73="",AW73=""),"",SUM(AT73,AW73))</f>
        <v/>
      </c>
      <c r="BA73" s="152">
        <f t="shared" ref="BA73:BA136" si="255">COUNTIF(AM73:AO73,"NA")*10</f>
        <v>0</v>
      </c>
      <c r="BB73" s="153">
        <f t="shared" ref="BB73:BB136" si="256">IF(AND(AQ73="",AU73=""),(COUNTIF(AM73:AO73,"ML")*10+(COUNTIF(AQ73,"ML"))*AQ$6+(COUNTIF(AU73,"ML"))*AU$6),(COUNTIF(AM73:AO73,"ML")*10+(COUNTIF(AQ73,"ML"))*AQ$6+(COUNTIF(AU73,"ML"))*AU$6))</f>
        <v>0</v>
      </c>
      <c r="BC73" s="153" t="str">
        <f t="shared" ref="BC73:BC136" si="257">IF(OR($B73="NSO",$B73=0,AX73=""),"",IF(AND(AR73="",AV73=""),SUM($AU$7),SUM($AU$6)))</f>
        <v/>
      </c>
      <c r="BD73" s="153" t="str">
        <f t="shared" ref="BD73:BD136" si="258">IF(OR($B73="NSO",$B73=0,AY73=""),"",IF(AND(AR73="",AV73=""),"",AY$6-(COUNTIF(AR73,"ML")*AR$6)-(COUNTIF(AV73,"ML")*AV$6)))</f>
        <v/>
      </c>
      <c r="BE73" s="153" t="str">
        <f t="shared" ref="BE73:BE136" si="259">IF(OR($B73="NSO",$B73=0),"",IF(AND(AP73="",AQ73="",AU73=""),"",IF(AND(AR73="",AV73=""),SUM(($AX$7)-(BA73+BB73)),SUM(($AX$6)-(BA73+BB73)))))</f>
        <v/>
      </c>
      <c r="BF73" s="152" t="str">
        <f t="shared" ref="BF73:BF136" si="260">IF(AND(OR(AM73="ab",AM73="ml"),OR(AQ73="ab",AQ73="ml"),OR(AN73="ab",AN73="ml")),"AB",IF(AND(OR(AM73="ab",AM73="ml"),OR(AQ73="ab",AQ73="ml"),OR(AU73="ab",AU73="ml")),"AB",IF(AND(OR(AQ73="ab",AQ73="ml"),OR(AO73="ab",AO73="ml"),OR(AN73="ab",AN73="ml")),"AB",IF(AND(OR(AQ73="ab",AQ73="ml"),OR(AU73="ab",AU73="ml"),OR(AN73="ab",AN73="ml")),"AB",IF(AND(OR(AQ73="ab",AQ73="ml"),OR(AU73="ab",AU73="ml")),"AB","")))))</f>
        <v/>
      </c>
      <c r="BG73" s="153" t="str">
        <f t="shared" ref="BG73:BG136" si="261">IF(OR($B73="NSO",$B73=0,AU73="",AW73="",AZ73=""),"",IF(OR(AU73="AB",AV73="AB",BF73="AB"),"AB",IF(OR(AU73="ML",AW73="ML"),"RE",IF(AV73="MLP","REP",IF(AV73&lt;33%*$AV$6,"FP",IF(AR73&lt;33%*$AR$6,"FP",IF(AND(AX73&gt;=36%*BE73,SUM(AU73)&gt;=20%*BC73,AY73&gt;=SUM(BD73)*36%),"P",IF(AND(AX73&gt;=34%*BE73,BB73=0,SUM(AU73)&gt;=20%*BC73,AY73&gt;=SUM(BD73)*36%),"G2",IF(AND(AX73&gt;=31%*BE73,BB73=0,SUM(AU73)&gt;=20%*BC73,AY73&gt;=SUM(BD73)*36%),"G1",IF(AND(AX73&gt;=25%*BE73,SUM(AU73)&gt;=20%*BC73),"S","F"))))))))))</f>
        <v/>
      </c>
      <c r="BH73" s="152" t="str">
        <f t="shared" ref="BH73:BH136" si="262">IF(OR(BG73="REP",BG73="RE",BG73=0,BG73="",BG73="F",BG73="AB"),BG73,IF(AND(AZ73&gt;=75%*($AZ$6-BA73-BB73),BG73="P"),"D",IF(AND(AZ73&gt;=60%*($AZ$6-BA73-BB73),BG73="P"),"I",IF(AND(AZ73&gt;=48%*($AZ$6-BA73-BB73),BG73="P"),"II",IF(AND(AZ73&gt;=36%*($AZ$6-BA73-BB73),BG73="P"),"III",BG73)))))</f>
        <v/>
      </c>
      <c r="BI73" s="580" t="str">
        <f>IF('Marks Entry'!AC73="","",'Marks Entry'!AC73)</f>
        <v/>
      </c>
      <c r="BJ73" s="580" t="str">
        <f>IF('Marks Entry'!AD73="","",'Marks Entry'!AD73)</f>
        <v/>
      </c>
      <c r="BK73" s="580" t="str">
        <f>IF('Marks Entry'!AE73="","",'Marks Entry'!AE73)</f>
        <v/>
      </c>
      <c r="BL73" s="580" t="str">
        <f>IF('Marks Entry'!AF73="","",'Marks Entry'!AF73)</f>
        <v/>
      </c>
      <c r="BM73" s="581" t="str">
        <f t="shared" ref="BM73:BM136" si="263">IF(AND(BJ73="",BK73="",BL73=""),"",IF(AND(BJ73="AB",BK73="AB",BL73="AB"),"AB",IF(AND(BJ73="ML",BK73="ML",BL73="ML"),"ML",SUM(BJ73:BL73))))</f>
        <v/>
      </c>
      <c r="BN73" s="580" t="str">
        <f>IF('Marks Entry'!AG73="","",'Marks Entry'!AG73)</f>
        <v/>
      </c>
      <c r="BO73" s="580" t="str">
        <f>IF('Marks Entry'!AH73="","",'Marks Entry'!AH73)</f>
        <v/>
      </c>
      <c r="BP73" s="581" t="str">
        <f t="shared" ref="BP73:BP136" si="264">IF(AND(BN73="",BO73=""),"",IF(AND(BN73="AB",BO73="AB"),"AB",IF(AND(BN73="ML",BO73="ML"),"ML",SUM(BN73:BO73))))</f>
        <v/>
      </c>
      <c r="BQ73" s="581" t="str">
        <f t="shared" ref="BQ73:BQ136" si="265">IF(AND(BP73="",BM73=""),"",IF(AND(BP73="AB",BM73="AB"),"AB",IF(AND(BP73="ML",BM73="ML"),"ML",SUM(BM73,BP73))))</f>
        <v/>
      </c>
      <c r="BR73" s="580" t="str">
        <f>IF('Marks Entry'!AI73="","",'Marks Entry'!AI73)</f>
        <v/>
      </c>
      <c r="BS73" s="580" t="str">
        <f>IF('Marks Entry'!AJ73="","",'Marks Entry'!AJ73)</f>
        <v/>
      </c>
      <c r="BT73" s="581" t="str">
        <f t="shared" ref="BT73:BT136" si="266">IF(AND(BR73="",BS73=""),"",IF(AND(BR73="AB",BS73="AB"),"AB",IF(AND(BR73="ML",BS73="ML"),"ML",SUM(BR73:BS73))))</f>
        <v/>
      </c>
      <c r="BU73" s="156" t="str">
        <f t="shared" ref="BU73:BU136" si="267">IF(AND(BM73="",BN73="",BR73=""),"",SUM(BM73,BN73,BR73))</f>
        <v/>
      </c>
      <c r="BV73" s="156" t="str">
        <f t="shared" ref="BV73:BV136" si="268">IF(AND(BO73="",BS73=""),"",SUM(BO73,BS73))</f>
        <v/>
      </c>
      <c r="BW73" s="191" t="str">
        <f t="shared" ref="BW73:BW136" si="269">IF(AND(BQ73="",BT73=""),"",SUM(BQ73,BT73))</f>
        <v/>
      </c>
      <c r="BX73" s="152">
        <f t="shared" ref="BX73:BX136" si="270">COUNTIF(BJ73:BL73,"NA")*10</f>
        <v>0</v>
      </c>
      <c r="BY73" s="153">
        <f t="shared" ref="BY73:BY136" si="271">IF(AND(BN73="",BR73=""),(COUNTIF(BJ73:BL73,"ML")*10+(COUNTIF(BN73,"ML"))*BN$6+(COUNTIF(BR73,"ML"))*BR$6),(COUNTIF(BJ73:BL73,"ML")*10+(COUNTIF(BN73,"ML"))*BN$6+(COUNTIF(BR73,"ML"))*BR$6))</f>
        <v>0</v>
      </c>
      <c r="BZ73" s="153" t="str">
        <f t="shared" ref="BZ73:BZ136" si="272">IF(OR($B73="NSO",$B73=0,BU73=""),"",IF(AND(BO73="",BS73=""),SUM($BR$7),SUM($BR$6)))</f>
        <v/>
      </c>
      <c r="CA73" s="153" t="str">
        <f t="shared" ref="CA73:CA136" si="273">IF(OR($B73="NSO",$B73=0,BV73=""),"",IF(AND(BO73="",BS73=""),"",BV$6-(COUNTIF(BO73,"ML")*BO$6)-(COUNTIF(BS73,"ML")*BS$6)))</f>
        <v/>
      </c>
      <c r="CB73" s="153" t="str">
        <f t="shared" ref="CB73:CB136" si="274">IF(OR($B73="NSO",$B73=0),"",IF(AND(BM73="",BN73="",BR73=""),"",IF(AND(BO73="",BS73=""),SUM(($BU$7)-(BX73+BY73)),SUM(($BU$6)-(BX73+BY73)))))</f>
        <v/>
      </c>
      <c r="CC73" s="152" t="str">
        <f t="shared" ref="CC73:CC136" si="275">IF(AND(OR(BJ73="ab",BJ73="ml"),OR(BN73="ab",BN73="ml"),OR(BK73="ab",BK73="ml")),"AB",IF(AND(OR(BJ73="ab",BJ73="ml"),OR(BN73="ab",BN73="ml"),OR(BR73="ab",BR73="ml")),"AB",IF(AND(OR(BN73="ab",BN73="ml"),OR(BL73="ab",BL73="ml"),OR(BK73="ab",BK73="ml")),"AB",IF(AND(OR(BN73="ab",BN73="ml"),OR(BR73="ab",BR73="ml"),OR(BK73="ab",BK73="ml")),"AB",IF(AND(OR(BN73="ab",BN73="ml"),OR(BR73="ab",BR73="ml")),"AB","")))))</f>
        <v/>
      </c>
      <c r="CD73" s="153" t="str">
        <f t="shared" ref="CD73:CD136" si="276">IF(OR($B73="NSO",$B73=0,BR73="",BT73="",BW73=""),"",IF(OR(BR73="AB",BS73="AB",CC73="AB"),"AB",IF(OR(BR73="ML",BT73="ML"),"RE",IF(BS73="MLP","REP",IF(BS73&lt;33%*$AV$6,"FP",IF(BO73&lt;33%*$AR$6,"FP",IF(AND(BU73&gt;=36%*CB73,SUM(BR73)&gt;=20%*BZ73,BV73&gt;=SUM(CA73)*36%),"P",IF(AND(BU73&gt;=34%*CB73,BY73=0,SUM(BR73)&gt;=20%*BZ73,BV73&gt;=SUM(CA73)*36%),"G2",IF(AND(BU73&gt;=31%*CB73,BY73=0,SUM(BR73)&gt;=20%*BZ73,BV73&gt;=SUM(CA73)*36%),"G1",IF(AND(BU73&gt;=25%*CB73,SUM(BR73)&gt;=20%*BZ73),"S","F"))))))))))</f>
        <v/>
      </c>
      <c r="CE73" s="152" t="str">
        <f t="shared" ref="CE73:CE136" si="277">IF(OR(CD73="REP",CD73="RE",CD73=0,CD73="",CD73="F",CD73="AB"),CD73,IF(AND(BW73&gt;=75%*($BW$6-BX73-BY73),CD73="P"),"D",IF(AND(BW73&gt;=60%*($BW$6-BX73-BY73),CD73="P"),"I",IF(AND(BW73&gt;=48%*($BW$6-BX73-BY73),CD73="P"),"II",IF(AND(BW73&gt;=36%*($BW$6-BX73-BY73),CD73="P"),"III",CD73)))))</f>
        <v/>
      </c>
      <c r="CF73" s="580" t="str">
        <f>IF('Marks Entry'!AK73="","",'Marks Entry'!AK73)</f>
        <v/>
      </c>
      <c r="CG73" s="580" t="str">
        <f>IF('Marks Entry'!AL73="","",'Marks Entry'!AL73)</f>
        <v/>
      </c>
      <c r="CH73" s="580" t="str">
        <f>IF('Marks Entry'!AM73="","",'Marks Entry'!AM73)</f>
        <v/>
      </c>
      <c r="CI73" s="580" t="str">
        <f>IF('Marks Entry'!AN73="","",'Marks Entry'!AN73)</f>
        <v/>
      </c>
      <c r="CJ73" s="581" t="str">
        <f t="shared" ref="CJ73:CJ136" si="278">IF(AND(CG73="",CH73="",CI73=""),"",IF(AND(CG73="AB",CH73="AB",CI73="AB"),"AB",IF(AND(CG73="ML",CH73="ML",CI73="ML"),"ML",SUM(CG73:CI73))))</f>
        <v/>
      </c>
      <c r="CK73" s="580" t="str">
        <f>IF('Marks Entry'!AO73="","",'Marks Entry'!AO73)</f>
        <v/>
      </c>
      <c r="CL73" s="580" t="str">
        <f>IF('Marks Entry'!AP73="","",'Marks Entry'!AP73)</f>
        <v/>
      </c>
      <c r="CM73" s="581" t="str">
        <f t="shared" ref="CM73:CM136" si="279">IF(AND(CK73="",CL73=""),"",IF(AND(CK73="AB",CL73="AB"),"AB",IF(AND(CK73="ML",CL73="ML"),"ML",SUM(CK73:CL73))))</f>
        <v/>
      </c>
      <c r="CN73" s="581" t="str">
        <f t="shared" ref="CN73:CN136" si="280">IF(AND(CM73="",CJ73=""),"",IF(AND(CM73="AB",CJ73="AB"),"AB",IF(AND(CM73="ML",CJ73="ML"),"ML",SUM(CJ73,CM73))))</f>
        <v/>
      </c>
      <c r="CO73" s="580" t="str">
        <f>IF('Marks Entry'!AQ73="","",'Marks Entry'!AQ73)</f>
        <v/>
      </c>
      <c r="CP73" s="580" t="str">
        <f>IF('Marks Entry'!AR73="","",'Marks Entry'!AR73)</f>
        <v/>
      </c>
      <c r="CQ73" s="581" t="str">
        <f t="shared" ref="CQ73:CQ136" si="281">IF(AND(CO73="",CP73=""),"",IF(AND(CO73="AB",CP73="AB"),"AB",IF(AND(CO73="ML",CP73="ML"),"ML",SUM(CO73:CP73))))</f>
        <v/>
      </c>
      <c r="CR73" s="156" t="str">
        <f t="shared" ref="CR73:CR136" si="282">IF(AND(CJ73="",CK73="",CO73=""),"",SUM(CJ73,CK73,CO73))</f>
        <v/>
      </c>
      <c r="CS73" s="156" t="str">
        <f t="shared" ref="CS73:CS136" si="283">IF(AND(CL73="",CP73=""),"",SUM(CL73,CP73))</f>
        <v/>
      </c>
      <c r="CT73" s="191" t="str">
        <f t="shared" ref="CT73:CT136" si="284">IF(AND(CN73="",CQ73=""),"",SUM(CN73,CQ73))</f>
        <v/>
      </c>
      <c r="CU73" s="152">
        <f t="shared" ref="CU73:CU136" si="285">COUNTIF(CG73:CI73,"NA")*10</f>
        <v>0</v>
      </c>
      <c r="CV73" s="153">
        <f t="shared" ref="CV73:CV136" si="286">IF(AND(CK73="",CO73=""),(COUNTIF(CG73:CI73,"ML")*10+(COUNTIF(CK73,"ML"))*CK$6+(COUNTIF(CO73,"ML"))*CO$6),(COUNTIF(CG73:CI73,"ML")*10+(COUNTIF(CK73,"ML"))*CK$6+(COUNTIF(CO73,"ML"))*CO$6))</f>
        <v>0</v>
      </c>
      <c r="CW73" s="153" t="str">
        <f t="shared" ref="CW73:CW136" si="287">IF(OR($B73="NSO",$B73=0,CR73=""),"",IF(AND(CL73="",CP73=""),SUM($CO$7),SUM($CO$6)))</f>
        <v/>
      </c>
      <c r="CX73" s="153" t="str">
        <f t="shared" ref="CX73:CX136" si="288">IF(OR($B73="NSO",$B73=0,CS73=""),"",IF(AND(CL73="",CP73=""),"",CS$6-(COUNTIF(CL73,"ML")*CL$6)-(COUNTIF(CP73,"ML")*CP$6)))</f>
        <v/>
      </c>
      <c r="CY73" s="153" t="str">
        <f t="shared" ref="CY73:CY136" si="289">IF(OR($B73="NSO",$B73=0),"",IF(AND(CJ73="",CK73="",CO73=""),"",IF(AND(CL73="",CP73=""),SUM((CR$7)-(CU73+CV73)),SUM((CR$6)-(CU73+CV73)))))</f>
        <v/>
      </c>
      <c r="CZ73" s="152" t="str">
        <f t="shared" ref="CZ73:CZ136" si="290">IF(AND(OR(CG73="ab",CG73="ml"),OR(CK73="ab",CK73="ml"),OR(CH73="ab",CH73="ml")),"AB",IF(AND(OR(CG73="ab",CG73="ml"),OR(CK73="ab",CK73="ml"),OR(CO73="ab",CO73="ml")),"AB",IF(AND(OR(CK73="ab",CK73="ml"),OR(CI73="ab",CI73="ml"),OR(CH73="ab",CH73="ml")),"AB",IF(AND(OR(CK73="ab",CK73="ml"),OR(CO73="ab",CO73="ml"),OR(CH73="ab",CH73="ml")),"AB",IF(AND(OR(CK73="ab",CK73="ml"),OR(CO73="ab",CO73="ml")),"AB","")))))</f>
        <v/>
      </c>
      <c r="DA73" s="153" t="str">
        <f t="shared" ref="DA73:DA136" si="291">IF(OR($B73="NSO",$B73=0,CO73="",CQ73="",CT73=""),"",IF(OR(CO73="AB",CP73="AB",CZ73="AB"),"AB",IF(OR(CO73="ML",CQ73="ML"),"RE",IF(CP73="MLP","REP",IF(CP73&lt;33%*$AV$6,"FP",IF(CL73&lt;33%*$AR$6,"FP",IF(AND(CR73&gt;=36%*CY73,SUM(CO73)&gt;=20%*CW73,CS73&gt;=SUM(CX73)*36%),"P",IF(AND(CR73&gt;=34%*CY73,CV73=0,SUM(CO73)&gt;=20%*CW73,CS73&gt;=SUM(CX73)*36%),"G2",IF(AND(CR73&gt;=31%*CY73,CV73=0,SUM(CO73)&gt;=20%*CW73,CS73&gt;=SUM(CX73)*36%),"G1",IF(AND(CR73&gt;=25%*CY73,SUM(CO73)&gt;=20%*CW73),"S","F"))))))))))</f>
        <v/>
      </c>
      <c r="DB73" s="152" t="str">
        <f t="shared" ref="DB73:DB136" si="292">IF(OR(DA73="REP",DA73="RE",DA73=0,DA73="",DA73="F",DA73="AB"),DA73,IF(AND(CT73&gt;=75%*($CT$6-CU73-CV73),DA73="P"),"D",IF(AND(CT73&gt;=60%*($CT$6-CU73-CV73),DA73="P"),"I",IF(AND(CT73&gt;=48%*($CT$6-CU73-CV73),DA73="P"),"II",IF(AND(CT73&gt;=36%*($CT$6-CU73-CV73),DA73="P"),"III",DA73)))))</f>
        <v/>
      </c>
      <c r="DC73" s="153">
        <f t="shared" ref="DC73:DC136" si="293">SUM(R73,S73,AF73,AG73,BA73,BB73,BX73,BY73,CU73,CV73)</f>
        <v>0</v>
      </c>
      <c r="DD73" s="851" t="str">
        <f>IF('Marks Entry'!AS73="","",IF(OR('Master Sheet'!$D$19="YES",'Marks Entry'!$BA$1=1),'Marks Entry'!AS73,""))</f>
        <v/>
      </c>
      <c r="DE73" s="851" t="str">
        <f>IF('Marks Entry'!AT73="","",IF(OR('Master Sheet'!$D$19="YES",'Marks Entry'!$BA$1=1),'Marks Entry'!AT73,""))</f>
        <v/>
      </c>
      <c r="DF73" s="851" t="str">
        <f>IF('Marks Entry'!AU73="","",IF(OR('Master Sheet'!$D$19="YES",'Marks Entry'!$BA$1=1),'Marks Entry'!AU73,""))</f>
        <v/>
      </c>
      <c r="DG73" s="851" t="str">
        <f>IF('Marks Entry'!AV73="","",IF(OR('Master Sheet'!$D$19="YES",'Marks Entry'!$BA$1=1),'Marks Entry'!AV73,""))</f>
        <v/>
      </c>
      <c r="DH73" s="852" t="str">
        <f t="shared" ref="DH73:DH136" si="294">IF(AND(DE73="",DF73="",DG73=""),"",IF(AND(DE73="AB",DF73="AB",DG73="AB"),"AB",IF(AND(DE73="ML",DF73="ML",DG73="ML"),"ML",SUM(DE73:DG73))))</f>
        <v/>
      </c>
      <c r="DI73" s="851" t="str">
        <f>IF('Marks Entry'!AW73="","",IF(OR('Master Sheet'!$D$19="YES",'Marks Entry'!$BA$1=1),'Marks Entry'!AW73,""))</f>
        <v/>
      </c>
      <c r="DJ73" s="851" t="str">
        <f>IF('Marks Entry'!AX73="","",IF(OR('Master Sheet'!$D$19="YES",'Marks Entry'!$BA$1=1),'Marks Entry'!AX73,""))</f>
        <v/>
      </c>
      <c r="DK73" s="852" t="str">
        <f t="shared" ref="DK73:DK136" si="295">IF(AND(DI73="",DJ73=""),"",IF(AND(DI73="AB",DJ73="AB"),"AB",IF(AND(DI73="ML",DJ73="ML"),"ML",SUM(DI73:DJ73))))</f>
        <v/>
      </c>
      <c r="DL73" s="852" t="str">
        <f t="shared" ref="DL73:DL136" si="296">IF(AND(DK73="",DH73=""),"",IF(AND(DK73="AB",DH73="AB"),"AB",IF(AND(DK73="ML",DH73="ML"),"ML",SUM(DH73,DK73))))</f>
        <v/>
      </c>
      <c r="DM73" s="851" t="str">
        <f>IF('Marks Entry'!AY73="","",IF(OR('Master Sheet'!$D$19="YES",'Marks Entry'!$BA$1=1),'Marks Entry'!AY73,""))</f>
        <v/>
      </c>
      <c r="DN73" s="851" t="str">
        <f>IF('Marks Entry'!AZ73="","",IF(OR('Master Sheet'!$D$19="YES",'Marks Entry'!$BA$1=1),'Marks Entry'!AZ73,""))</f>
        <v/>
      </c>
      <c r="DO73" s="851" t="str">
        <f>IF('Marks Entry'!BA73="","",IF(OR('Master Sheet'!$D$19="YES",'Marks Entry'!$BA$1=1),'Marks Entry'!BA73,""))</f>
        <v/>
      </c>
      <c r="DP73" s="852" t="str">
        <f t="shared" ref="DP73:DP136" si="297">IF(AND(DM73="",DN73="",DO73=""),"",IF(AND(DM73="AB",DN73="AB",DO73="AB"),"AB",IF(AND(DM73="ML",DN73="ML",DO73="ML"),"ML",SUM(DM73:DO73))))</f>
        <v/>
      </c>
      <c r="DQ73" s="156" t="str">
        <f t="shared" ref="DQ73:DQ136" si="298">IF(AND(DH73="",DI73="",DM73="",DN73=""),"",SUM(DH73,DI73,DM73))</f>
        <v/>
      </c>
      <c r="DR73" s="156" t="str">
        <f t="shared" ref="DR73:DR136" si="299">IF(AND(DN73=""),"",SUM(DN73))</f>
        <v/>
      </c>
      <c r="DS73" s="156" t="str">
        <f t="shared" ref="DS73:DS136" si="300">IF(AND(DJ73="",DO73=""),"",SUM(DJ73,DO73))</f>
        <v/>
      </c>
      <c r="DT73" s="191" t="str">
        <f t="shared" ref="DT73:DT136" si="301">IF(AND(DL73="",DP73=""),"",SUM(DL73,DP73))</f>
        <v/>
      </c>
      <c r="DU73" s="152">
        <f t="shared" ref="DU73:DU136" si="302">COUNTIF(DE73:DG73,"NA")*10</f>
        <v>0</v>
      </c>
      <c r="DV73" s="153">
        <f t="shared" ref="DV73:DV136" si="303">IF(AND(DI73="",DM73=""),(COUNTIF(DE73:DG73,"ML")*10+(COUNTIF(DI73,"ML"))*DI$6+(COUNTIF(DM73,"ML"))*DM$6),(COUNTIF(DE73:DG73,"ML")*10+(COUNTIF(DI73,"ML"))*DI$6+(COUNTIF(DM73,"ML"))*DM$6))</f>
        <v>0</v>
      </c>
      <c r="DW73" s="153" t="str">
        <f t="shared" ref="DW73:DW136" si="304">IF(OR($B73="NSO",$B73=0,DM73=""),"",IF(AND(DO73=""),SUM($DM$7,DN$7),SUM($DM$6,DN$6)))</f>
        <v/>
      </c>
      <c r="DX73" s="153" t="str">
        <f>IF(OR($B73="NSO",$B73=0,DS73=""),"",IF(AND(DJ73="",DO73=""),"",IF('Master Sheet'!$D$19="YES",$DO$6-COUNTIF(DO73,"ML")*DO$6,DS$6-(COUNTIF(DJ73,"ML")*DJ$6)-(COUNTIF(DO73,"ML")*DO$6))))</f>
        <v/>
      </c>
      <c r="DY73" s="153" t="str">
        <f>IF(OR($B73="NSO",$B73=0),"",IF(AND(DH73="",DI73="",DM73=""),"",IF(AND('Master Sheet'!$D$19="YES",'Marks Entry'!$BA$1=1),100,IF(AND(DJ73="",DO73=""),SUM(($DQ$7+$DR$7)-(DU73+DV73)),SUM(($DQ$6+$DR$6)-(DU73+DV73))))))</f>
        <v/>
      </c>
      <c r="DZ73" s="152" t="str">
        <f t="shared" ref="DZ73:DZ136" si="305">IF(AND(OR(DE73="ab",DF73="ml"),OR(DI73="ab",DI73="ml")),"AB",IF(AND(OR(DE73="ab",DE73="ml"),OR(DF73="ab",DF73="ml"),OR(DH73="ab",DH73="ml")),"AB",IF(AND(OR(DI73="ab",DI73="ml"),OR(DF73="ab",DF73="ml"),OR(DG73="ab",DG73="ml")),"AB",IF(AND(OR(DKJ73="ab",DI73="ml"),OR(DM73="ab",DM73="ml"),OR(DN73="ab",DN73="ml")),"AB",""))))</f>
        <v/>
      </c>
      <c r="EA73" s="153" t="str">
        <f t="shared" ref="EA73:EA136" si="306">IF(OR($B73="NSO",$B73=0,DM73="",DT73="",DQ73=""),"",IF(OR(DM73="AB",DO73="AB",DZ73="AB"),"AB",IF(OR(DM73="ML",DP73="ML"),"RE",IF(DO73="MLP","REP",IF(DO73&lt;33%*$DO$6,"FP",IF(DJ73&lt;33%*$DJ$6,"FP",IF(AND(DT73&gt;=36%*DY73,SUM(DM73)&gt;=20%*DW73,DS73&gt;=SUM(DX73)*36%),"P",IF(AND(DQ73&gt;=34%*DY73,DV73=0,SUM(DM73)&gt;=20%*DW73,DS73&gt;=SUM(DX73)*36%),"G2",IF(AND(DQ73&gt;=31%*DY73,DV73=0,SUM(DM73)&gt;=20%*DW73,DS73&gt;=SUM(DX73)*36%),"G1",IF(AND(DQ73&gt;=25%*DY73,SUM(DM73)&gt;=20%*DW73),"S","F"))))))))))</f>
        <v/>
      </c>
      <c r="EB73" s="152" t="str">
        <f t="shared" ref="EB73:EB136" si="307">IF(OR(EA73="REP",EA73="RE",EA73=0,EA73="",EA73="F",EA73="AB"),EA73,IF(AND(DT73&gt;=75%*($DT$6-DU73-DV73),EA73="P"),"D",IF(AND(DT73&gt;=60%*($DT$6-DU73-DV73),EA73="P"),"I",IF(AND(DT73&gt;=48%*($DT$6-DU73-DV73),EA73="P"),"II",IF(AND(DT73&gt;=36%*($DT$6-DU73-DV73),EA73="P"),"III",EA73)))))</f>
        <v/>
      </c>
      <c r="EC73" s="584" t="str">
        <f>IF('Marks Entry'!BB73="","",'Marks Entry'!BB73)</f>
        <v/>
      </c>
      <c r="ED73" s="584" t="str">
        <f>IF('Marks Entry'!BC73="","",'Marks Entry'!BC73)</f>
        <v/>
      </c>
      <c r="EE73" s="584" t="str">
        <f>IF('Marks Entry'!BD73="","",'Marks Entry'!BD73)</f>
        <v/>
      </c>
      <c r="EF73" s="590" t="str">
        <f t="shared" ref="EF73:EF136" si="308">IF(AND(EC73="",ED73="",EE73=""),"",SUM(EC73:EE73))</f>
        <v/>
      </c>
      <c r="EG73" s="595">
        <f t="shared" ref="EG73:EG136" si="309">COUNTIF(EC73,"NA")*$EC$6</f>
        <v>0</v>
      </c>
      <c r="EH73" s="595">
        <f t="shared" ref="EH73:EH136" si="310">(COUNTIF(EC73,"ML")*$EC$6)+(COUNTIF(ED73,"ML")*$ED$6)</f>
        <v>0</v>
      </c>
      <c r="EI73" s="192" t="str">
        <f t="shared" ref="EI73:EI136" si="311">IF(OR($B73="NSO",$B73=0),"",IF(AND(EC73="",ED73="",EE73=""),"",IF(AND(EC73="",ED73=""),30-EG73-EH73,IF(AND(ED73="",EE73=""),60-EG73-EH73,100-EG73-EH73))))</f>
        <v/>
      </c>
      <c r="EJ73" s="595" t="str">
        <f t="shared" ref="EJ73:EJ136" si="312">IF(OR(EE73="ab",EE73="ml"),EE73,"")</f>
        <v/>
      </c>
      <c r="EK73" s="595" t="str">
        <f t="shared" ref="EK73:EK136" si="313">IF(OR($B73="NSO",$B73=0,EF73=""),"",IF(OR(EJ73="AB",EE73="ab"),"AB",IF(AND(EX73="FAIL",(OR(EF73="ml",EF73&lt;20%*$EF$6,EF73&lt;36%*EI73))),"F",IF(OR(EE73="ML",EE73&lt;20%*$EE$6,EF73&lt;36%*EI73),"RE",IF(EF73&gt;80%*EI73,"A",IF(EF73&gt;60%*EI73,"B",IF(EF73&gt;40%*EI73,"C","D")))))))</f>
        <v/>
      </c>
      <c r="EL73" s="193" t="str">
        <f t="shared" ref="EL73:EL136" si="314">W73</f>
        <v/>
      </c>
      <c r="EM73" s="193" t="str">
        <f t="shared" ref="EM73:EM136" si="315">AK73</f>
        <v/>
      </c>
      <c r="EN73" s="193" t="str">
        <f t="shared" ref="EN73:EN136" si="316">BH73</f>
        <v/>
      </c>
      <c r="EO73" s="193" t="str">
        <f t="shared" ref="EO73:EO136" si="317">CE73</f>
        <v/>
      </c>
      <c r="EP73" s="193" t="str">
        <f t="shared" ref="EP73:EP136" si="318">DB73</f>
        <v/>
      </c>
      <c r="EQ73" s="193" t="str">
        <f t="shared" ref="EQ73:EQ136" si="319">EB73</f>
        <v/>
      </c>
      <c r="ER73" s="194">
        <f t="shared" ref="ER73:ER136" si="320">COUNTIF(EL73:EP73,"F")+COUNTIF(EL73:EP73,"AB")+COUNTIF(EN73:EP73,"FP")</f>
        <v>0</v>
      </c>
      <c r="ES73" s="194">
        <f t="shared" ref="ES73:ES136" si="321">COUNTIF(EL73:EP73,"S")</f>
        <v>0</v>
      </c>
      <c r="ET73" s="194">
        <f t="shared" ref="ET73:ET136" si="322">COUNTIF(EL73:EP73,"G1")</f>
        <v>0</v>
      </c>
      <c r="EU73" s="194">
        <f t="shared" ref="EU73:EU136" si="323">COUNTIF(EL73:EP73,"G2")</f>
        <v>0</v>
      </c>
      <c r="EV73" s="194">
        <f t="shared" ref="EV73:EV136" si="324">COUNTIF(EL73:EP73,"RE")+COUNTIF(EL73:EP73,"REP")</f>
        <v>0</v>
      </c>
      <c r="EW73" s="194" t="str">
        <f t="shared" ref="EW73:EW136" si="325">IF(OR(EK73="AB",EK73="F"),"D",IF(OR(EK73="RE"),"D",""))</f>
        <v/>
      </c>
      <c r="EX73" s="195" t="str">
        <f t="shared" ref="EX73:EX136" si="326">IF(B73="NSO","NSO",IF(OR(B73="",B73=0,P73="",AD73="",AW73="",BT73=""),"",IF(OR(ER73&gt;0,(ES73+ET73+EU73)&gt;2),"FAIL",IF(EV73&gt;0,"RE-EXAM",IF(OR(ES73&gt;0,ET73&gt;1),"SUPPLEMENTARY",IF(AND(ET73&gt;0,EU73&gt;0),"SUPPLEMENTARY",IF((ET73+EU73)&gt;0,"BY GRACE PASS","PASS")))))))</f>
        <v/>
      </c>
      <c r="EY73" s="196" t="str">
        <f>IF('Marks Entry'!BE73="","",'Marks Entry'!BE73)</f>
        <v/>
      </c>
      <c r="EZ73" s="196" t="str">
        <f>IF('Marks Entry'!BF73="","",'Marks Entry'!BF73)</f>
        <v/>
      </c>
      <c r="FA73" s="196" t="str">
        <f>IF('Marks Entry'!BG73="","",'Marks Entry'!BG73)</f>
        <v/>
      </c>
      <c r="FB73" s="596" t="str">
        <f t="shared" ref="FB73:FB136" si="327">IF(AND(EY73="",EZ73="",FA73=""),"",IF(AND(EY73="AB",EZ73="AB",FA73="AB"),"AB",IF(AND(EY73="ML",EZ73="ML",FA73="ML"),"ML",SUM(EY73:FA73))))</f>
        <v/>
      </c>
      <c r="FC73" s="196" t="str">
        <f>IF('Marks Entry'!BH73="","",'Marks Entry'!BH73)</f>
        <v/>
      </c>
      <c r="FD73" s="196" t="str">
        <f>IF('Marks Entry'!BI73="","",'Marks Entry'!BI73)</f>
        <v/>
      </c>
      <c r="FE73" s="197" t="str">
        <f t="shared" ref="FE73:FE136" si="328">IF(AND(EY73="",EZ73="",FA73="",FC73="",FD73=""),"",SUM(EY73,EZ73,FA73,FC73,FD73))</f>
        <v/>
      </c>
      <c r="FF73" s="198" t="str">
        <f t="shared" ref="FF73:FF136" si="329">IF(OR($B73="NSO",$B73=0,FE73=""),"",IF(OR(FE73="AB",FD73="ab"),"AB",IF(AND(EX73="FAIL",(OR(FE73&lt;36%*$FE$6))),"F",IF(OR(FD73="ML",FD73&lt;20%*$FD$6,FE73&lt;36%*$FE$6),"RE",IF(FE73&gt;80%*$FE$6,"A",IF(FE73&gt;60%*$FE$6,"B",IF(FE73&gt;40%*$FE$6,"C","D")))))))</f>
        <v/>
      </c>
      <c r="FG73" s="199" t="str">
        <f>IF(AND(E73=""),"",IF('Student DATA Entry'!L69="","",'Student DATA Entry'!L69))</f>
        <v/>
      </c>
      <c r="FH73" s="200" t="str">
        <f>IF(AND(E73=""),"",IF('Student DATA Entry'!M69="","",'Student DATA Entry'!M69))</f>
        <v/>
      </c>
      <c r="FI73" s="201" t="str">
        <f t="shared" ref="FI73:FI136" si="330">IF(OR(FG73=0,FH73=0,FG73="",FH73=""),"",FH73/FG73*100)</f>
        <v/>
      </c>
      <c r="FJ73" s="188" t="str">
        <f t="shared" ref="FJ73:FJ136" si="331">IF(AND(EX73="FAIL",(OR(EL73="G1",EL73="G2",EL73="S",EL73="RE"))),"F",IF(AND(EX73="RE-EXAM",(OR(EL73="G1",EL73="G2",EL73="S"))),"S",IF(AND(EX73="SUPPLEMENTARY",(OR(EL73="G1",EL73="G2"))),"S",IF(AND(EX73="BY GRACE PASS",(OR(EL73="G1",EL73="G2"))),"G",EL73))))</f>
        <v/>
      </c>
      <c r="FK73" s="188" t="str">
        <f t="shared" ref="FK73:FK136" si="332">IF(FJ73="G",",+","")</f>
        <v/>
      </c>
      <c r="FL73" s="202" t="str">
        <f t="shared" si="201"/>
        <v/>
      </c>
      <c r="FM73" s="188" t="str">
        <f t="shared" ref="FM73:FM136" si="333">IF(AND(EX73="vuqRrh.kZ",(OR(EM73="G1",EM73="G2",EM73="S",EM73="RE"))),"F",IF(AND(EX73="iqu% ijh{kk",(OR(EM73="G1",EM73="G2",EM73="S"))),"S",IF(AND(EX73="iwjd",(OR(EM73="G1",EM73="G2"))),"S",IF(AND(EX73="lk- mRrh.kZ",(OR(EM73="G1",EM73="G2"))),"G",EM73))))</f>
        <v/>
      </c>
      <c r="FN73" s="203" t="str">
        <f t="shared" ref="FN73:FN136" si="334">IF(FM73="G",",+","")</f>
        <v/>
      </c>
      <c r="FO73" s="202" t="str">
        <f t="shared" si="202"/>
        <v/>
      </c>
      <c r="FP73" s="204" t="str">
        <f t="shared" ref="FP73:FP136" si="335">IF(AND(EX73="FAIL",(OR(EN73="G1",EN73="G2",EN73="S",EN73="RE"))),"F",IF(AND(EX73="RE-EXAM",(OR(EN73="G1",EN73="G2",EN73="S"))),"S",IF(AND(EX73="SUPPLEMENTARY",(OR(EN73="G1",EN73="G2"))),"S",IF(AND(EX73="BY GRACE PASS",(OR(EN73="G1",EN73="G2"))),"G",EN73))))</f>
        <v/>
      </c>
      <c r="FQ73" s="188" t="str">
        <f t="shared" si="203"/>
        <v/>
      </c>
      <c r="FR73" s="188" t="str">
        <f t="shared" si="204"/>
        <v/>
      </c>
      <c r="FS73" s="188" t="str">
        <f t="shared" si="205"/>
        <v/>
      </c>
      <c r="FT73" s="188" t="str">
        <f t="shared" si="206"/>
        <v/>
      </c>
      <c r="FU73" s="188" t="str">
        <f t="shared" ref="FU73:FU136" si="336">IF(FP73="G",",+","")</f>
        <v/>
      </c>
      <c r="FV73" s="205" t="str">
        <f t="shared" si="207"/>
        <v/>
      </c>
      <c r="FW73" s="204" t="str">
        <f t="shared" ref="FW73:FW136" si="337">IF(AND(EX73="FAIL",(OR(EO73="G1",EO73="G2",EO73="S",EO73="RE",))),"F",IF(AND(EX73="RE-EXAM",(OR(EO73="G1",EO73="G2",EO73="S"))),"S",IF(AND(EX73="SUPPLEMENTARY",(OR(EO73="G1",EO73="G2"))),"S",IF(AND(EX73="BY GRACE PASS",(OR(EO73="G1",EO73="G2"))),"G",EO73))))</f>
        <v/>
      </c>
      <c r="FX73" s="188" t="str">
        <f t="shared" si="208"/>
        <v/>
      </c>
      <c r="FY73" s="188" t="str">
        <f t="shared" si="209"/>
        <v/>
      </c>
      <c r="FZ73" s="188" t="str">
        <f t="shared" si="210"/>
        <v/>
      </c>
      <c r="GA73" s="188" t="str">
        <f t="shared" si="211"/>
        <v/>
      </c>
      <c r="GB73" s="188" t="str">
        <f t="shared" ref="GB73:GB136" si="338">IF(FW73="G",",+","")</f>
        <v/>
      </c>
      <c r="GC73" s="205" t="str">
        <f t="shared" si="212"/>
        <v/>
      </c>
      <c r="GD73" s="204" t="str">
        <f t="shared" ref="GD73:GD136" si="339">IF(AND(EX73="FAIL",(OR(EP73="G1",EP73="G2",EP73="S",EP73="RE"))),"F",IF(AND(EX73="RE-EXAM",(OR(EP73="G1",EP73="G2",EP73="S"))),"S",IF(AND(EX73="SUPPLEMENTARY",(OR(EP73="G1",EP73="G2"))),"S",IF(AND(EX73="BY GRACE PASS",(OR(EP73="G1",EP73="G2"))),"G",EP73))))</f>
        <v/>
      </c>
      <c r="GE73" s="188" t="str">
        <f t="shared" si="213"/>
        <v/>
      </c>
      <c r="GF73" s="188" t="str">
        <f t="shared" si="214"/>
        <v/>
      </c>
      <c r="GG73" s="188" t="str">
        <f t="shared" si="215"/>
        <v/>
      </c>
      <c r="GH73" s="188" t="str">
        <f t="shared" si="216"/>
        <v/>
      </c>
      <c r="GI73" s="188" t="str">
        <f t="shared" ref="GI73:GI136" si="340">IF(GD73="G",",+","")</f>
        <v/>
      </c>
      <c r="GJ73" s="205" t="str">
        <f t="shared" si="217"/>
        <v/>
      </c>
      <c r="GK73" s="204" t="str">
        <f t="shared" ref="GK73:GK136" si="341">IF(AND(EX73="FAIL",(OR(EQ73="G1",EQ73="G2",EQ73="S",EQ73="RE"))),"F",IF(AND(EX73="RE-EXAM",(OR(EQ73="G1",EQ73="G2",EQ73="S"))),"S",IF(AND(EX73="SUPPLEMENTARY",(OR(EQ73="G1",EQ73="G2"))),"S",IF(AND(EX73="BY GRACE PASS",(OR(EQ73="G1",EQ73="G2"))),"G",EQ73))))</f>
        <v/>
      </c>
      <c r="GL73" s="188" t="str">
        <f t="shared" si="218"/>
        <v/>
      </c>
      <c r="GM73" s="188" t="str">
        <f t="shared" si="219"/>
        <v/>
      </c>
      <c r="GN73" s="188" t="str">
        <f t="shared" si="220"/>
        <v/>
      </c>
      <c r="GO73" s="188" t="str">
        <f t="shared" si="221"/>
        <v/>
      </c>
      <c r="GP73" s="188" t="str">
        <f t="shared" ref="GP73:GP136" si="342">IF(GK73="G",",+","")</f>
        <v/>
      </c>
      <c r="GQ73" s="205" t="str">
        <f t="shared" si="222"/>
        <v/>
      </c>
      <c r="GR73" s="188" t="str">
        <f t="shared" ref="GR73:GR136" si="343">IF(AND(EX73="FAIL",EK73="RE"),"F",EK73)</f>
        <v/>
      </c>
      <c r="GS73" s="188" t="str">
        <f t="shared" ref="GS73:GS136" si="344">IF(AND(EX73="FAIL",FF73="RE"),"F",FF73)</f>
        <v/>
      </c>
      <c r="GT73" s="206" t="str">
        <f t="shared" ref="GT73:GT136" si="345">CONCATENATE(IF(FJ73="F",$FJ$5,IF(FJ73="AB",$FJ$5,""))," ",IF(FM73="F",$FM$5,IF(FM73="AB",$FM$5,""))," ",IF(FQ73="F",$FQ$5,IF(FR73="F",$FR$5,IF(FS73="F",$FS$5,IF(FQ73="AB",$FQ$5,IF(FR73="AB",$FR$5,IF(FS73="AB",$FS$5,IF(FQ73="FP",$FQ$5,IF(FR73="FP",$FR$5,IF(FS73="FP",$FS$5,"")))))))))," ",IF(FX73="F",$FX$5,IF(FY73="F",$FY$5,IF(FZ73="F",$FZ$5,IF(FX73="AB",$FX$5,IF(FY73="AB",$FY$5,IF(FZ73="AB",$FZ$5,IF(FX73="FP",$FX$5,IF(FY73="FP",$FY$5,IF(FZ73="FP",$FZ$5,"")))))))))," ",IF(GE73="F",$GE$5,IF(GF73="F",$GF$5,IF(GG73="F",$GG$5,IF(GE73="AB",$GE$5,IF(GF73="AB",$GF$5,IF(GG73="AB",$GG$5,IF(GE73="FP",$GE$5,IF(GF73="FP",$GF$5,IF(GG73="FP",$GG$5,""))))))))),"",IF(GL73="F",$GL$5,IF(GM73="F",$GM$5,IF(GN73="F",$GN$5,IF(GL73="AB",$GL$5,IF(GM73="AB",$GM$5,IF(GN73="AB",$GN$5,IF(GL73="FP",$GL$5,IF(GM73="FP",$GM$5,IF(GN73="FP",$GN$5,""))))))))))</f>
        <v xml:space="preserve">    </v>
      </c>
      <c r="GU73" s="206" t="str">
        <f t="shared" ref="GU73:GU136" si="346">CONCATENATE(IF(FJ73="S",$FJ$5,"")," ",IF(FM73="S",$FM$5,"")," ",IF(FQ73="S",$FQ$5,IF(FR73="S",$FR$5,IF(FS73="S",$FS$5,IF(FT73="S",$FT$5,""))))," ",IF(FX73="S",$FX$5,IF(FY73="S",$FY$5,IF(FZ73="S",$FZ$5,IF(GA73="S",$GA$5,""))))," ",IF(GE73="S",$GE$5,IF(GF73="S",$GF$5,IF(GG73="S",$GG$5,IF(GH73="S",$GH$5,"")))))</f>
        <v xml:space="preserve">    </v>
      </c>
      <c r="GV73" s="206" t="str">
        <f t="shared" ref="GV73:GV136" si="347">CONCATENATE(IF(FJ73="G",$FJ$5,"")," ",IF(FM73="G",$FM$5,"")," ",IF(FQ73="G",$FQ$5,IF(FR73="G",$FR$5,IF(FS73="G",$FS$5,"")))," ",IF(FX73="G",$FX$5,IF(FY73="G",$FY$5,IF(FZ73="G",$FZ$5,"")))," ",IF(GE73="G",$GE$5,IF(GF73="G",$GF$5,IF(GG73="G",$GG$5,""))))</f>
        <v xml:space="preserve">    </v>
      </c>
      <c r="GW73" s="206" t="str">
        <f t="shared" ref="GW73:GW136" si="348">CONCATENATE(IF(FJ73="RE",$FJ$5,"")," ",IF(FM73="RE",$FM$5,"")," ",IF(OR(FQ73="RE",FQ73="REP"),$FQ$5,IF(OR(FR73="RE",FR73="REP"),$FR$5,IF(OR(FS73="RE",FS73="REP"),$FS$5,IF(OR(FT73="RE",FT73="REP"),$FT$5,""))))," ",IF(OR(FX73="RE",FX73="REP"),$FX$5,IF(OR(FY73="RE",FY73="REP"),$FY$5,IF(OR(FZ73="RE",FZ73="REP"),$FZ$5,IF(OR(GA73="RE",GA73="REP"),$GA$5,""))))," ",IF(OR(GE73="RE",GE73="REP"),$GE$5,IF(OR(GF73="RE",GF73="REP"),$GF$5,IF(OR(GG73="RE",GG73="REP"),$GG$5,IF(OR(GH73="RE",GH73="REP"),$GH$5,""))))," ",IF(GR73="RE",$GR$4," "),"",IF(GS73="RE",$GS$4," "),"",)</f>
        <v xml:space="preserve">       </v>
      </c>
      <c r="GX73" s="598" t="str">
        <f t="shared" ref="GX73:GX136" si="349">CONCATENATE(IF(FJ73="D",$FJ$5,"")," ",IF($FM73="D",$FM$5,"")," ",IF(FQ73="D",$FQ$5,IF(FR73="D",$FR$5,IF(FS73="D",$FS$5,IF(FT73="D",$FT$5,""))))," ",IF(FX73="D",$FX$5,IF(FY73="D",$FY$5,IF(FZ73="D",$FZ$5,IF(GA73="D",$GA$5,""))))," ",IF(GE73="D",$GE$5,IF(GF73="D",$GF$5,IF(GG73="D",$GG$5,IF(GH73="D",$GH$5,""))))," ",IF(GL73="D",$GL$5,IF(GM73="D",$GM$5,IF(GN73="D",$GN$5,IF(GO73="D",$GO$5,"")))))</f>
        <v xml:space="preserve">     </v>
      </c>
      <c r="GY73" s="207" t="str">
        <f t="shared" si="223"/>
        <v/>
      </c>
      <c r="GZ73" s="606" t="str">
        <f>IF(AND(Q73="",AE73="",AZ73="",BW73="",CT73=""),"",IF(AND('Master Sheet'!$D$19="YES",'Marks Entry'!$BA$1=1),SUM(Q73,AE73,AZ73,BW73,DT73),SUM(Q73,AE73,AZ73,BW73,CT73)))</f>
        <v/>
      </c>
      <c r="HA73" s="208" t="str">
        <f>IF(GZ73="","",IF(AND('Master Sheet'!$D$19="YES",'Marks Entry'!$BA$1=1),GZ73/((900)-DC73)*100,GZ73/((1000)-DC73)*100))</f>
        <v/>
      </c>
      <c r="HB73" s="611" t="str">
        <f t="shared" ref="HB73:HB136" si="350">IF(HA73="","",IF(AND(HA73&gt;=60,(GY73="PASS")),"I",IF(AND(HA73&gt;=60,(GY73="BY GRACE PASS")),"I",IF(AND(HA73&gt;=48,(GY73="PASS")),"II",IF(AND(HA73&gt;=48,(GY73="BY GRACE PASS")),"II",IF(AND(HA73&gt;=36,(GY73="PASS")),"III",IF(AND(HA73&gt;=36,(GY73="BY GRACE PASS")),"III","")))))))</f>
        <v/>
      </c>
      <c r="HC73" s="609" t="str">
        <f t="shared" ref="HC73:HC136" si="351">IF(OR(GY73="PASS",GY73="BY GRACE PASS"),HA73,"")</f>
        <v/>
      </c>
      <c r="HD73" s="610" t="str">
        <f t="shared" ref="HD73:HD136" si="352">IF(HC73="","",SUMPRODUCT((HC73&lt;HC$8:HC$207)/COUNTIF(HC$8:HC$207,HC$8:HC$207)))</f>
        <v/>
      </c>
      <c r="HE73" s="209" t="str">
        <f>IFERROR(IF(OR(GY73="SUPPLEMENTARY",GY73="RE-EXAM"),'Supp. Result Entry'!AS72,""),"")</f>
        <v/>
      </c>
      <c r="HF73" s="613" t="str">
        <f t="shared" ref="HF73:HF136" si="353">IF(OR(JB73="",IS73=0),"",IF(IZ73="","",IZ73))</f>
        <v/>
      </c>
      <c r="HG73" s="598" t="str">
        <f t="shared" ref="HG73:HG136" si="354">IF(AND(JB73=""),"",IF(HE73="","",IF(AND(JB73="FAIL"),"Failed",JB73)))</f>
        <v/>
      </c>
      <c r="HH73" s="598" t="str">
        <f>IF(AND(HE73="",HF73="",HG73=""),"",IF(OR(GY73="SUPPLEMENTARY",GY73="RE-EXAM"),'Supp. Result Entry'!AS72,GY73))</f>
        <v/>
      </c>
      <c r="HI73" s="179"/>
      <c r="HY73" s="211" t="str">
        <f>IF('Supp. Result Entry'!U72="","",'Supp. Result Entry'!$U$6)</f>
        <v/>
      </c>
      <c r="HZ73" s="212" t="str">
        <f>IF('Supp. Result Entry'!X72="","",'Supp. Result Entry'!$X$6)</f>
        <v/>
      </c>
      <c r="IA73" s="212" t="str">
        <f>IF('Supp. Result Entry'!AA72="","",'Supp. Result Entry'!$AA$6)</f>
        <v/>
      </c>
      <c r="IB73" s="212" t="str">
        <f>IF('Supp. Result Entry'!AD72="","",'Supp. Result Entry'!$AD$6)</f>
        <v/>
      </c>
      <c r="IC73" s="212" t="str">
        <f>IF('Supp. Result Entry'!AG72="","",'Supp. Result Entry'!$AG$6)</f>
        <v/>
      </c>
      <c r="ID73" s="212" t="str">
        <f>IF('Supp. Result Entry'!AJ72="","",'Supp. Result Entry'!$AJ$6)</f>
        <v/>
      </c>
      <c r="IE73" s="212" t="str">
        <f>IF('Supp. Result Entry'!V72="","",'Supp. Result Entry'!V72)</f>
        <v/>
      </c>
      <c r="IF73" s="212" t="str">
        <f>IF('Supp. Result Entry'!Y72="","",'Supp. Result Entry'!Y72)</f>
        <v/>
      </c>
      <c r="IG73" s="212" t="str">
        <f>IF('Supp. Result Entry'!AB72="","",'Supp. Result Entry'!AB72)</f>
        <v/>
      </c>
      <c r="IH73" s="212" t="str">
        <f>IF('Supp. Result Entry'!AE72="","",'Supp. Result Entry'!AE72)</f>
        <v/>
      </c>
      <c r="II73" s="212" t="str">
        <f>IF('Supp. Result Entry'!AH72="","",'Supp. Result Entry'!AH72)</f>
        <v/>
      </c>
      <c r="IJ73" s="212" t="str">
        <f>IF('Supp. Result Entry'!AK72="","",'Supp. Result Entry'!AK72)</f>
        <v/>
      </c>
      <c r="IK73" s="212" t="str">
        <f>IF('Supp. Result Entry'!W72="","",'Supp. Result Entry'!W72)</f>
        <v/>
      </c>
      <c r="IL73" s="212" t="str">
        <f>IF('Supp. Result Entry'!Z72="","",'Supp. Result Entry'!Z72)</f>
        <v/>
      </c>
      <c r="IM73" s="212" t="str">
        <f>IF('Supp. Result Entry'!AC72="","",'Supp. Result Entry'!AC72)</f>
        <v/>
      </c>
      <c r="IN73" s="212" t="str">
        <f>IF('Supp. Result Entry'!AF72="","",'Supp. Result Entry'!AF72)</f>
        <v/>
      </c>
      <c r="IO73" s="212" t="str">
        <f>IF('Supp. Result Entry'!AI72="","",'Supp. Result Entry'!AI72)</f>
        <v/>
      </c>
      <c r="IP73" s="212" t="str">
        <f>IF('Supp. Result Entry'!AL72="","",'Supp. Result Entry'!AL72)</f>
        <v/>
      </c>
      <c r="IQ73" s="212">
        <f>COUNTIF('Supp. Result Entry'!K72:Q72,"S")</f>
        <v>0</v>
      </c>
      <c r="IR73" s="212">
        <f t="shared" ref="IR73:IR136" si="355">COUNTIF(FJ73:GR73,"RE")+COUNTIF(FJ73:GR73,"REP")</f>
        <v>0</v>
      </c>
      <c r="IS73" s="212">
        <f t="shared" ref="IS73:IS136" si="356">COUNTIF(IK73:IP73,"P")</f>
        <v>0</v>
      </c>
      <c r="IT73" s="212" t="str">
        <f t="shared" si="224"/>
        <v/>
      </c>
      <c r="IU73" s="212" t="str">
        <f t="shared" si="225"/>
        <v/>
      </c>
      <c r="IV73" s="212" t="str">
        <f t="shared" si="226"/>
        <v/>
      </c>
      <c r="IW73" s="212" t="str">
        <f t="shared" si="227"/>
        <v/>
      </c>
      <c r="IX73" s="212" t="str">
        <f t="shared" si="228"/>
        <v/>
      </c>
      <c r="IY73" s="212" t="str">
        <f t="shared" ref="IY73:IY136" si="357">IF(OR(IQ73=0,IQ73&lt;IS73),"",SUM(IT73:IX73))</f>
        <v/>
      </c>
      <c r="IZ73" s="212" t="str">
        <f t="shared" ref="IZ73:IZ136" si="358">IF(OR(IQ73=0,IQ73&lt;IS73),"",IY73/JA73*100)</f>
        <v/>
      </c>
      <c r="JA73" s="212" t="str">
        <f t="shared" si="229"/>
        <v/>
      </c>
      <c r="JB73" s="210" t="str">
        <f t="shared" ref="JB73:JB136" si="359">IF(IZ73="","",IF(IZ73&gt;=60,"I",IF(IZ73&gt;=48,"II",IF(IZ73&gt;=36,"III",""))))</f>
        <v/>
      </c>
    </row>
    <row r="74" spans="1:262" s="210" customFormat="1" ht="21" customHeight="1">
      <c r="A74" s="183">
        <v>67</v>
      </c>
      <c r="B74" s="184" t="str">
        <f>IF('Marks Entry'!B74="","",'Marks Entry'!B74)</f>
        <v/>
      </c>
      <c r="C74" s="185" t="str">
        <f>IF('Marks Entry'!D74="","",'Marks Entry'!D74)</f>
        <v/>
      </c>
      <c r="D74" s="186" t="str">
        <f>IF('Marks Entry'!E74="","",'Marks Entry'!E74)</f>
        <v/>
      </c>
      <c r="E74" s="187" t="str">
        <f>IF('Marks Entry'!F74="","",'Marks Entry'!F74)</f>
        <v/>
      </c>
      <c r="F74" s="187" t="str">
        <f>IF('Marks Entry'!G74="","",'Marks Entry'!G74)</f>
        <v/>
      </c>
      <c r="G74" s="187" t="str">
        <f>IF('Marks Entry'!H74="","",'Marks Entry'!H74)</f>
        <v/>
      </c>
      <c r="H74" s="188" t="str">
        <f>IF('Marks Entry'!I74="","",'Marks Entry'!I74)</f>
        <v/>
      </c>
      <c r="I74" s="189" t="str">
        <f>IF('Marks Entry'!J74="","",'Marks Entry'!J74)</f>
        <v/>
      </c>
      <c r="J74" s="545" t="str">
        <f>IF('Marks Entry'!K74="","",'Marks Entry'!K74)</f>
        <v/>
      </c>
      <c r="K74" s="545" t="str">
        <f>IF('Marks Entry'!L74="","",'Marks Entry'!L74)</f>
        <v/>
      </c>
      <c r="L74" s="545" t="str">
        <f>IF('Marks Entry'!M74="","",'Marks Entry'!M74)</f>
        <v/>
      </c>
      <c r="M74" s="546" t="str">
        <f t="shared" si="230"/>
        <v/>
      </c>
      <c r="N74" s="545" t="str">
        <f>IF('Marks Entry'!N74="","",'Marks Entry'!N74)</f>
        <v/>
      </c>
      <c r="O74" s="546" t="str">
        <f t="shared" si="231"/>
        <v/>
      </c>
      <c r="P74" s="545" t="str">
        <f>IF('Marks Entry'!O74="","",'Marks Entry'!O74)</f>
        <v/>
      </c>
      <c r="Q74" s="547" t="str">
        <f t="shared" si="232"/>
        <v/>
      </c>
      <c r="R74" s="152">
        <f t="shared" si="233"/>
        <v>0</v>
      </c>
      <c r="S74" s="152">
        <f t="shared" si="234"/>
        <v>0</v>
      </c>
      <c r="T74" s="153" t="str">
        <f t="shared" si="235"/>
        <v/>
      </c>
      <c r="U74" s="152" t="str">
        <f t="shared" si="236"/>
        <v/>
      </c>
      <c r="V74" s="152" t="str">
        <f t="shared" si="237"/>
        <v/>
      </c>
      <c r="W74" s="152" t="str">
        <f t="shared" si="238"/>
        <v/>
      </c>
      <c r="X74" s="545" t="str">
        <f>IF('Marks Entry'!P74="","",'Marks Entry'!P74)</f>
        <v/>
      </c>
      <c r="Y74" s="545" t="str">
        <f>IF('Marks Entry'!Q74="","",'Marks Entry'!Q74)</f>
        <v/>
      </c>
      <c r="Z74" s="545" t="str">
        <f>IF('Marks Entry'!R74="","",'Marks Entry'!R74)</f>
        <v/>
      </c>
      <c r="AA74" s="546" t="str">
        <f t="shared" si="239"/>
        <v/>
      </c>
      <c r="AB74" s="545" t="str">
        <f>IF('Marks Entry'!S74="","",'Marks Entry'!S74)</f>
        <v/>
      </c>
      <c r="AC74" s="546" t="str">
        <f t="shared" si="240"/>
        <v/>
      </c>
      <c r="AD74" s="545" t="str">
        <f>IF('Marks Entry'!T74="","",'Marks Entry'!T74)</f>
        <v/>
      </c>
      <c r="AE74" s="547" t="str">
        <f t="shared" si="241"/>
        <v/>
      </c>
      <c r="AF74" s="152">
        <f t="shared" si="242"/>
        <v>0</v>
      </c>
      <c r="AG74" s="152">
        <f t="shared" si="243"/>
        <v>0</v>
      </c>
      <c r="AH74" s="153" t="str">
        <f t="shared" si="244"/>
        <v/>
      </c>
      <c r="AI74" s="152" t="str">
        <f t="shared" si="245"/>
        <v/>
      </c>
      <c r="AJ74" s="152" t="str">
        <f t="shared" si="246"/>
        <v/>
      </c>
      <c r="AK74" s="152" t="str">
        <f t="shared" si="247"/>
        <v/>
      </c>
      <c r="AL74" s="573" t="str">
        <f>IF('Marks Entry'!U74="","",'Marks Entry'!U74)</f>
        <v/>
      </c>
      <c r="AM74" s="573" t="str">
        <f>IF('Marks Entry'!V74="","",'Marks Entry'!V74)</f>
        <v/>
      </c>
      <c r="AN74" s="573" t="str">
        <f>IF('Marks Entry'!W74="","",'Marks Entry'!W74)</f>
        <v/>
      </c>
      <c r="AO74" s="573" t="str">
        <f>IF('Marks Entry'!X74="","",'Marks Entry'!X74)</f>
        <v/>
      </c>
      <c r="AP74" s="572" t="str">
        <f t="shared" si="248"/>
        <v/>
      </c>
      <c r="AQ74" s="573" t="str">
        <f>IF('Marks Entry'!Y74="","",'Marks Entry'!Y74)</f>
        <v/>
      </c>
      <c r="AR74" s="573" t="str">
        <f>IF('Marks Entry'!Z74="","",'Marks Entry'!Z74)</f>
        <v/>
      </c>
      <c r="AS74" s="572" t="str">
        <f t="shared" si="249"/>
        <v/>
      </c>
      <c r="AT74" s="572" t="str">
        <f t="shared" si="250"/>
        <v/>
      </c>
      <c r="AU74" s="573" t="str">
        <f>IF('Marks Entry'!AA74="","",'Marks Entry'!AA74)</f>
        <v/>
      </c>
      <c r="AV74" s="573" t="str">
        <f>IF('Marks Entry'!AB74="","",'Marks Entry'!AB74)</f>
        <v/>
      </c>
      <c r="AW74" s="572" t="str">
        <f t="shared" si="251"/>
        <v/>
      </c>
      <c r="AX74" s="156" t="str">
        <f t="shared" si="252"/>
        <v/>
      </c>
      <c r="AY74" s="156" t="str">
        <f t="shared" si="253"/>
        <v/>
      </c>
      <c r="AZ74" s="191" t="str">
        <f t="shared" si="254"/>
        <v/>
      </c>
      <c r="BA74" s="152">
        <f t="shared" si="255"/>
        <v>0</v>
      </c>
      <c r="BB74" s="153">
        <f t="shared" si="256"/>
        <v>0</v>
      </c>
      <c r="BC74" s="153" t="str">
        <f t="shared" si="257"/>
        <v/>
      </c>
      <c r="BD74" s="153" t="str">
        <f t="shared" si="258"/>
        <v/>
      </c>
      <c r="BE74" s="153" t="str">
        <f t="shared" si="259"/>
        <v/>
      </c>
      <c r="BF74" s="152" t="str">
        <f t="shared" si="260"/>
        <v/>
      </c>
      <c r="BG74" s="153" t="str">
        <f t="shared" si="261"/>
        <v/>
      </c>
      <c r="BH74" s="152" t="str">
        <f t="shared" si="262"/>
        <v/>
      </c>
      <c r="BI74" s="580" t="str">
        <f>IF('Marks Entry'!AC74="","",'Marks Entry'!AC74)</f>
        <v/>
      </c>
      <c r="BJ74" s="580" t="str">
        <f>IF('Marks Entry'!AD74="","",'Marks Entry'!AD74)</f>
        <v/>
      </c>
      <c r="BK74" s="580" t="str">
        <f>IF('Marks Entry'!AE74="","",'Marks Entry'!AE74)</f>
        <v/>
      </c>
      <c r="BL74" s="580" t="str">
        <f>IF('Marks Entry'!AF74="","",'Marks Entry'!AF74)</f>
        <v/>
      </c>
      <c r="BM74" s="581" t="str">
        <f t="shared" si="263"/>
        <v/>
      </c>
      <c r="BN74" s="580" t="str">
        <f>IF('Marks Entry'!AG74="","",'Marks Entry'!AG74)</f>
        <v/>
      </c>
      <c r="BO74" s="580" t="str">
        <f>IF('Marks Entry'!AH74="","",'Marks Entry'!AH74)</f>
        <v/>
      </c>
      <c r="BP74" s="581" t="str">
        <f t="shared" si="264"/>
        <v/>
      </c>
      <c r="BQ74" s="581" t="str">
        <f t="shared" si="265"/>
        <v/>
      </c>
      <c r="BR74" s="580" t="str">
        <f>IF('Marks Entry'!AI74="","",'Marks Entry'!AI74)</f>
        <v/>
      </c>
      <c r="BS74" s="580" t="str">
        <f>IF('Marks Entry'!AJ74="","",'Marks Entry'!AJ74)</f>
        <v/>
      </c>
      <c r="BT74" s="581" t="str">
        <f t="shared" si="266"/>
        <v/>
      </c>
      <c r="BU74" s="156" t="str">
        <f t="shared" si="267"/>
        <v/>
      </c>
      <c r="BV74" s="156" t="str">
        <f t="shared" si="268"/>
        <v/>
      </c>
      <c r="BW74" s="191" t="str">
        <f t="shared" si="269"/>
        <v/>
      </c>
      <c r="BX74" s="152">
        <f t="shared" si="270"/>
        <v>0</v>
      </c>
      <c r="BY74" s="153">
        <f t="shared" si="271"/>
        <v>0</v>
      </c>
      <c r="BZ74" s="153" t="str">
        <f t="shared" si="272"/>
        <v/>
      </c>
      <c r="CA74" s="153" t="str">
        <f t="shared" si="273"/>
        <v/>
      </c>
      <c r="CB74" s="153" t="str">
        <f t="shared" si="274"/>
        <v/>
      </c>
      <c r="CC74" s="152" t="str">
        <f t="shared" si="275"/>
        <v/>
      </c>
      <c r="CD74" s="153" t="str">
        <f t="shared" si="276"/>
        <v/>
      </c>
      <c r="CE74" s="152" t="str">
        <f t="shared" si="277"/>
        <v/>
      </c>
      <c r="CF74" s="580" t="str">
        <f>IF('Marks Entry'!AK74="","",'Marks Entry'!AK74)</f>
        <v/>
      </c>
      <c r="CG74" s="580" t="str">
        <f>IF('Marks Entry'!AL74="","",'Marks Entry'!AL74)</f>
        <v/>
      </c>
      <c r="CH74" s="580" t="str">
        <f>IF('Marks Entry'!AM74="","",'Marks Entry'!AM74)</f>
        <v/>
      </c>
      <c r="CI74" s="580" t="str">
        <f>IF('Marks Entry'!AN74="","",'Marks Entry'!AN74)</f>
        <v/>
      </c>
      <c r="CJ74" s="581" t="str">
        <f t="shared" si="278"/>
        <v/>
      </c>
      <c r="CK74" s="580" t="str">
        <f>IF('Marks Entry'!AO74="","",'Marks Entry'!AO74)</f>
        <v/>
      </c>
      <c r="CL74" s="580" t="str">
        <f>IF('Marks Entry'!AP74="","",'Marks Entry'!AP74)</f>
        <v/>
      </c>
      <c r="CM74" s="581" t="str">
        <f t="shared" si="279"/>
        <v/>
      </c>
      <c r="CN74" s="581" t="str">
        <f t="shared" si="280"/>
        <v/>
      </c>
      <c r="CO74" s="580" t="str">
        <f>IF('Marks Entry'!AQ74="","",'Marks Entry'!AQ74)</f>
        <v/>
      </c>
      <c r="CP74" s="580" t="str">
        <f>IF('Marks Entry'!AR74="","",'Marks Entry'!AR74)</f>
        <v/>
      </c>
      <c r="CQ74" s="581" t="str">
        <f t="shared" si="281"/>
        <v/>
      </c>
      <c r="CR74" s="156" t="str">
        <f t="shared" si="282"/>
        <v/>
      </c>
      <c r="CS74" s="156" t="str">
        <f t="shared" si="283"/>
        <v/>
      </c>
      <c r="CT74" s="191" t="str">
        <f t="shared" si="284"/>
        <v/>
      </c>
      <c r="CU74" s="152">
        <f t="shared" si="285"/>
        <v>0</v>
      </c>
      <c r="CV74" s="153">
        <f t="shared" si="286"/>
        <v>0</v>
      </c>
      <c r="CW74" s="153" t="str">
        <f t="shared" si="287"/>
        <v/>
      </c>
      <c r="CX74" s="153" t="str">
        <f t="shared" si="288"/>
        <v/>
      </c>
      <c r="CY74" s="153" t="str">
        <f t="shared" si="289"/>
        <v/>
      </c>
      <c r="CZ74" s="152" t="str">
        <f t="shared" si="290"/>
        <v/>
      </c>
      <c r="DA74" s="153" t="str">
        <f t="shared" si="291"/>
        <v/>
      </c>
      <c r="DB74" s="152" t="str">
        <f t="shared" si="292"/>
        <v/>
      </c>
      <c r="DC74" s="153">
        <f t="shared" si="293"/>
        <v>0</v>
      </c>
      <c r="DD74" s="851" t="str">
        <f>IF('Marks Entry'!AS74="","",IF(OR('Master Sheet'!$D$19="YES",'Marks Entry'!$BA$1=1),'Marks Entry'!AS74,""))</f>
        <v/>
      </c>
      <c r="DE74" s="851" t="str">
        <f>IF('Marks Entry'!AT74="","",IF(OR('Master Sheet'!$D$19="YES",'Marks Entry'!$BA$1=1),'Marks Entry'!AT74,""))</f>
        <v/>
      </c>
      <c r="DF74" s="851" t="str">
        <f>IF('Marks Entry'!AU74="","",IF(OR('Master Sheet'!$D$19="YES",'Marks Entry'!$BA$1=1),'Marks Entry'!AU74,""))</f>
        <v/>
      </c>
      <c r="DG74" s="851" t="str">
        <f>IF('Marks Entry'!AV74="","",IF(OR('Master Sheet'!$D$19="YES",'Marks Entry'!$BA$1=1),'Marks Entry'!AV74,""))</f>
        <v/>
      </c>
      <c r="DH74" s="852" t="str">
        <f t="shared" si="294"/>
        <v/>
      </c>
      <c r="DI74" s="851" t="str">
        <f>IF('Marks Entry'!AW74="","",IF(OR('Master Sheet'!$D$19="YES",'Marks Entry'!$BA$1=1),'Marks Entry'!AW74,""))</f>
        <v/>
      </c>
      <c r="DJ74" s="851" t="str">
        <f>IF('Marks Entry'!AX74="","",IF(OR('Master Sheet'!$D$19="YES",'Marks Entry'!$BA$1=1),'Marks Entry'!AX74,""))</f>
        <v/>
      </c>
      <c r="DK74" s="852" t="str">
        <f t="shared" si="295"/>
        <v/>
      </c>
      <c r="DL74" s="852" t="str">
        <f t="shared" si="296"/>
        <v/>
      </c>
      <c r="DM74" s="851" t="str">
        <f>IF('Marks Entry'!AY74="","",IF(OR('Master Sheet'!$D$19="YES",'Marks Entry'!$BA$1=1),'Marks Entry'!AY74,""))</f>
        <v/>
      </c>
      <c r="DN74" s="851" t="str">
        <f>IF('Marks Entry'!AZ74="","",IF(OR('Master Sheet'!$D$19="YES",'Marks Entry'!$BA$1=1),'Marks Entry'!AZ74,""))</f>
        <v/>
      </c>
      <c r="DO74" s="851" t="str">
        <f>IF('Marks Entry'!BA74="","",IF(OR('Master Sheet'!$D$19="YES",'Marks Entry'!$BA$1=1),'Marks Entry'!BA74,""))</f>
        <v/>
      </c>
      <c r="DP74" s="852" t="str">
        <f t="shared" si="297"/>
        <v/>
      </c>
      <c r="DQ74" s="156" t="str">
        <f t="shared" si="298"/>
        <v/>
      </c>
      <c r="DR74" s="156" t="str">
        <f t="shared" si="299"/>
        <v/>
      </c>
      <c r="DS74" s="156" t="str">
        <f t="shared" si="300"/>
        <v/>
      </c>
      <c r="DT74" s="191" t="str">
        <f t="shared" si="301"/>
        <v/>
      </c>
      <c r="DU74" s="152">
        <f t="shared" si="302"/>
        <v>0</v>
      </c>
      <c r="DV74" s="153">
        <f t="shared" si="303"/>
        <v>0</v>
      </c>
      <c r="DW74" s="153" t="str">
        <f t="shared" si="304"/>
        <v/>
      </c>
      <c r="DX74" s="153" t="str">
        <f>IF(OR($B74="NSO",$B74=0,DS74=""),"",IF(AND(DJ74="",DO74=""),"",IF('Master Sheet'!$D$19="YES",$DO$6-COUNTIF(DO74,"ML")*DO$6,DS$6-(COUNTIF(DJ74,"ML")*DJ$6)-(COUNTIF(DO74,"ML")*DO$6))))</f>
        <v/>
      </c>
      <c r="DY74" s="153" t="str">
        <f>IF(OR($B74="NSO",$B74=0),"",IF(AND(DH74="",DI74="",DM74=""),"",IF(AND('Master Sheet'!$D$19="YES",'Marks Entry'!$BA$1=1),100,IF(AND(DJ74="",DO74=""),SUM(($DQ$7+$DR$7)-(DU74+DV74)),SUM(($DQ$6+$DR$6)-(DU74+DV74))))))</f>
        <v/>
      </c>
      <c r="DZ74" s="152" t="str">
        <f t="shared" si="305"/>
        <v/>
      </c>
      <c r="EA74" s="153" t="str">
        <f t="shared" si="306"/>
        <v/>
      </c>
      <c r="EB74" s="152" t="str">
        <f t="shared" si="307"/>
        <v/>
      </c>
      <c r="EC74" s="584" t="str">
        <f>IF('Marks Entry'!BB74="","",'Marks Entry'!BB74)</f>
        <v/>
      </c>
      <c r="ED74" s="584" t="str">
        <f>IF('Marks Entry'!BC74="","",'Marks Entry'!BC74)</f>
        <v/>
      </c>
      <c r="EE74" s="584" t="str">
        <f>IF('Marks Entry'!BD74="","",'Marks Entry'!BD74)</f>
        <v/>
      </c>
      <c r="EF74" s="590" t="str">
        <f t="shared" si="308"/>
        <v/>
      </c>
      <c r="EG74" s="595">
        <f t="shared" si="309"/>
        <v>0</v>
      </c>
      <c r="EH74" s="595">
        <f t="shared" si="310"/>
        <v>0</v>
      </c>
      <c r="EI74" s="192" t="str">
        <f t="shared" si="311"/>
        <v/>
      </c>
      <c r="EJ74" s="595" t="str">
        <f t="shared" si="312"/>
        <v/>
      </c>
      <c r="EK74" s="595" t="str">
        <f t="shared" si="313"/>
        <v/>
      </c>
      <c r="EL74" s="193" t="str">
        <f t="shared" si="314"/>
        <v/>
      </c>
      <c r="EM74" s="193" t="str">
        <f t="shared" si="315"/>
        <v/>
      </c>
      <c r="EN74" s="193" t="str">
        <f t="shared" si="316"/>
        <v/>
      </c>
      <c r="EO74" s="193" t="str">
        <f t="shared" si="317"/>
        <v/>
      </c>
      <c r="EP74" s="193" t="str">
        <f t="shared" si="318"/>
        <v/>
      </c>
      <c r="EQ74" s="193" t="str">
        <f t="shared" si="319"/>
        <v/>
      </c>
      <c r="ER74" s="194">
        <f t="shared" si="320"/>
        <v>0</v>
      </c>
      <c r="ES74" s="194">
        <f t="shared" si="321"/>
        <v>0</v>
      </c>
      <c r="ET74" s="194">
        <f t="shared" si="322"/>
        <v>0</v>
      </c>
      <c r="EU74" s="194">
        <f t="shared" si="323"/>
        <v>0</v>
      </c>
      <c r="EV74" s="194">
        <f t="shared" si="324"/>
        <v>0</v>
      </c>
      <c r="EW74" s="194" t="str">
        <f t="shared" si="325"/>
        <v/>
      </c>
      <c r="EX74" s="195" t="str">
        <f t="shared" si="326"/>
        <v/>
      </c>
      <c r="EY74" s="196" t="str">
        <f>IF('Marks Entry'!BE74="","",'Marks Entry'!BE74)</f>
        <v/>
      </c>
      <c r="EZ74" s="196" t="str">
        <f>IF('Marks Entry'!BF74="","",'Marks Entry'!BF74)</f>
        <v/>
      </c>
      <c r="FA74" s="196" t="str">
        <f>IF('Marks Entry'!BG74="","",'Marks Entry'!BG74)</f>
        <v/>
      </c>
      <c r="FB74" s="596" t="str">
        <f t="shared" si="327"/>
        <v/>
      </c>
      <c r="FC74" s="196" t="str">
        <f>IF('Marks Entry'!BH74="","",'Marks Entry'!BH74)</f>
        <v/>
      </c>
      <c r="FD74" s="196" t="str">
        <f>IF('Marks Entry'!BI74="","",'Marks Entry'!BI74)</f>
        <v/>
      </c>
      <c r="FE74" s="197" t="str">
        <f t="shared" si="328"/>
        <v/>
      </c>
      <c r="FF74" s="198" t="str">
        <f t="shared" si="329"/>
        <v/>
      </c>
      <c r="FG74" s="199" t="str">
        <f>IF(AND(E74=""),"",IF('Student DATA Entry'!L70="","",'Student DATA Entry'!L70))</f>
        <v/>
      </c>
      <c r="FH74" s="200" t="str">
        <f>IF(AND(E74=""),"",IF('Student DATA Entry'!M70="","",'Student DATA Entry'!M70))</f>
        <v/>
      </c>
      <c r="FI74" s="201" t="str">
        <f t="shared" si="330"/>
        <v/>
      </c>
      <c r="FJ74" s="188" t="str">
        <f t="shared" si="331"/>
        <v/>
      </c>
      <c r="FK74" s="188" t="str">
        <f t="shared" si="332"/>
        <v/>
      </c>
      <c r="FL74" s="202" t="str">
        <f t="shared" si="201"/>
        <v/>
      </c>
      <c r="FM74" s="188" t="str">
        <f t="shared" si="333"/>
        <v/>
      </c>
      <c r="FN74" s="203" t="str">
        <f t="shared" si="334"/>
        <v/>
      </c>
      <c r="FO74" s="202" t="str">
        <f t="shared" si="202"/>
        <v/>
      </c>
      <c r="FP74" s="204" t="str">
        <f t="shared" si="335"/>
        <v/>
      </c>
      <c r="FQ74" s="188" t="str">
        <f t="shared" si="203"/>
        <v/>
      </c>
      <c r="FR74" s="188" t="str">
        <f t="shared" si="204"/>
        <v/>
      </c>
      <c r="FS74" s="188" t="str">
        <f t="shared" si="205"/>
        <v/>
      </c>
      <c r="FT74" s="188" t="str">
        <f t="shared" si="206"/>
        <v/>
      </c>
      <c r="FU74" s="188" t="str">
        <f t="shared" si="336"/>
        <v/>
      </c>
      <c r="FV74" s="205" t="str">
        <f t="shared" si="207"/>
        <v/>
      </c>
      <c r="FW74" s="204" t="str">
        <f t="shared" si="337"/>
        <v/>
      </c>
      <c r="FX74" s="188" t="str">
        <f t="shared" si="208"/>
        <v/>
      </c>
      <c r="FY74" s="188" t="str">
        <f t="shared" si="209"/>
        <v/>
      </c>
      <c r="FZ74" s="188" t="str">
        <f t="shared" si="210"/>
        <v/>
      </c>
      <c r="GA74" s="188" t="str">
        <f t="shared" si="211"/>
        <v/>
      </c>
      <c r="GB74" s="188" t="str">
        <f t="shared" si="338"/>
        <v/>
      </c>
      <c r="GC74" s="205" t="str">
        <f t="shared" si="212"/>
        <v/>
      </c>
      <c r="GD74" s="204" t="str">
        <f t="shared" si="339"/>
        <v/>
      </c>
      <c r="GE74" s="188" t="str">
        <f t="shared" si="213"/>
        <v/>
      </c>
      <c r="GF74" s="188" t="str">
        <f t="shared" si="214"/>
        <v/>
      </c>
      <c r="GG74" s="188" t="str">
        <f t="shared" si="215"/>
        <v/>
      </c>
      <c r="GH74" s="188" t="str">
        <f t="shared" si="216"/>
        <v/>
      </c>
      <c r="GI74" s="188" t="str">
        <f t="shared" si="340"/>
        <v/>
      </c>
      <c r="GJ74" s="205" t="str">
        <f t="shared" si="217"/>
        <v/>
      </c>
      <c r="GK74" s="204" t="str">
        <f t="shared" si="341"/>
        <v/>
      </c>
      <c r="GL74" s="188" t="str">
        <f t="shared" si="218"/>
        <v/>
      </c>
      <c r="GM74" s="188" t="str">
        <f t="shared" si="219"/>
        <v/>
      </c>
      <c r="GN74" s="188" t="str">
        <f t="shared" si="220"/>
        <v/>
      </c>
      <c r="GO74" s="188" t="str">
        <f t="shared" si="221"/>
        <v/>
      </c>
      <c r="GP74" s="188" t="str">
        <f t="shared" si="342"/>
        <v/>
      </c>
      <c r="GQ74" s="205" t="str">
        <f t="shared" si="222"/>
        <v/>
      </c>
      <c r="GR74" s="188" t="str">
        <f t="shared" si="343"/>
        <v/>
      </c>
      <c r="GS74" s="188" t="str">
        <f t="shared" si="344"/>
        <v/>
      </c>
      <c r="GT74" s="206" t="str">
        <f t="shared" si="345"/>
        <v xml:space="preserve">    </v>
      </c>
      <c r="GU74" s="206" t="str">
        <f t="shared" si="346"/>
        <v xml:space="preserve">    </v>
      </c>
      <c r="GV74" s="206" t="str">
        <f t="shared" si="347"/>
        <v xml:space="preserve">    </v>
      </c>
      <c r="GW74" s="206" t="str">
        <f t="shared" si="348"/>
        <v xml:space="preserve">       </v>
      </c>
      <c r="GX74" s="598" t="str">
        <f t="shared" si="349"/>
        <v xml:space="preserve">     </v>
      </c>
      <c r="GY74" s="207" t="str">
        <f t="shared" si="223"/>
        <v/>
      </c>
      <c r="GZ74" s="606" t="str">
        <f>IF(AND(Q74="",AE74="",AZ74="",BW74="",CT74=""),"",IF(AND('Master Sheet'!$D$19="YES",'Marks Entry'!$BA$1=1),SUM(Q74,AE74,AZ74,BW74,DT74),SUM(Q74,AE74,AZ74,BW74,CT74)))</f>
        <v/>
      </c>
      <c r="HA74" s="208" t="str">
        <f>IF(GZ74="","",IF(AND('Master Sheet'!$D$19="YES",'Marks Entry'!$BA$1=1),GZ74/((900)-DC74)*100,GZ74/((1000)-DC74)*100))</f>
        <v/>
      </c>
      <c r="HB74" s="611" t="str">
        <f t="shared" si="350"/>
        <v/>
      </c>
      <c r="HC74" s="609" t="str">
        <f t="shared" si="351"/>
        <v/>
      </c>
      <c r="HD74" s="610" t="str">
        <f t="shared" si="352"/>
        <v/>
      </c>
      <c r="HE74" s="209" t="str">
        <f>IFERROR(IF(OR(GY74="SUPPLEMENTARY",GY74="RE-EXAM"),'Supp. Result Entry'!AS73,""),"")</f>
        <v/>
      </c>
      <c r="HF74" s="613" t="str">
        <f t="shared" si="353"/>
        <v/>
      </c>
      <c r="HG74" s="598" t="str">
        <f t="shared" si="354"/>
        <v/>
      </c>
      <c r="HH74" s="598" t="str">
        <f>IF(AND(HE74="",HF74="",HG74=""),"",IF(OR(GY74="SUPPLEMENTARY",GY74="RE-EXAM"),'Supp. Result Entry'!AS73,GY74))</f>
        <v/>
      </c>
      <c r="HI74" s="179"/>
      <c r="HY74" s="211" t="str">
        <f>IF('Supp. Result Entry'!U73="","",'Supp. Result Entry'!$U$6)</f>
        <v/>
      </c>
      <c r="HZ74" s="212" t="str">
        <f>IF('Supp. Result Entry'!X73="","",'Supp. Result Entry'!$X$6)</f>
        <v/>
      </c>
      <c r="IA74" s="212" t="str">
        <f>IF('Supp. Result Entry'!AA73="","",'Supp. Result Entry'!$AA$6)</f>
        <v/>
      </c>
      <c r="IB74" s="212" t="str">
        <f>IF('Supp. Result Entry'!AD73="","",'Supp. Result Entry'!$AD$6)</f>
        <v/>
      </c>
      <c r="IC74" s="212" t="str">
        <f>IF('Supp. Result Entry'!AG73="","",'Supp. Result Entry'!$AG$6)</f>
        <v/>
      </c>
      <c r="ID74" s="212" t="str">
        <f>IF('Supp. Result Entry'!AJ73="","",'Supp. Result Entry'!$AJ$6)</f>
        <v/>
      </c>
      <c r="IE74" s="212" t="str">
        <f>IF('Supp. Result Entry'!V73="","",'Supp. Result Entry'!V73)</f>
        <v/>
      </c>
      <c r="IF74" s="212" t="str">
        <f>IF('Supp. Result Entry'!Y73="","",'Supp. Result Entry'!Y73)</f>
        <v/>
      </c>
      <c r="IG74" s="212" t="str">
        <f>IF('Supp. Result Entry'!AB73="","",'Supp. Result Entry'!AB73)</f>
        <v/>
      </c>
      <c r="IH74" s="212" t="str">
        <f>IF('Supp. Result Entry'!AE73="","",'Supp. Result Entry'!AE73)</f>
        <v/>
      </c>
      <c r="II74" s="212" t="str">
        <f>IF('Supp. Result Entry'!AH73="","",'Supp. Result Entry'!AH73)</f>
        <v/>
      </c>
      <c r="IJ74" s="212" t="str">
        <f>IF('Supp. Result Entry'!AK73="","",'Supp. Result Entry'!AK73)</f>
        <v/>
      </c>
      <c r="IK74" s="212" t="str">
        <f>IF('Supp. Result Entry'!W73="","",'Supp. Result Entry'!W73)</f>
        <v/>
      </c>
      <c r="IL74" s="212" t="str">
        <f>IF('Supp. Result Entry'!Z73="","",'Supp. Result Entry'!Z73)</f>
        <v/>
      </c>
      <c r="IM74" s="212" t="str">
        <f>IF('Supp. Result Entry'!AC73="","",'Supp. Result Entry'!AC73)</f>
        <v/>
      </c>
      <c r="IN74" s="212" t="str">
        <f>IF('Supp. Result Entry'!AF73="","",'Supp. Result Entry'!AF73)</f>
        <v/>
      </c>
      <c r="IO74" s="212" t="str">
        <f>IF('Supp. Result Entry'!AI73="","",'Supp. Result Entry'!AI73)</f>
        <v/>
      </c>
      <c r="IP74" s="212" t="str">
        <f>IF('Supp. Result Entry'!AL73="","",'Supp. Result Entry'!AL73)</f>
        <v/>
      </c>
      <c r="IQ74" s="212">
        <f>COUNTIF('Supp. Result Entry'!K73:Q73,"S")</f>
        <v>0</v>
      </c>
      <c r="IR74" s="212">
        <f t="shared" si="355"/>
        <v>0</v>
      </c>
      <c r="IS74" s="212">
        <f t="shared" si="356"/>
        <v>0</v>
      </c>
      <c r="IT74" s="212" t="str">
        <f t="shared" si="224"/>
        <v/>
      </c>
      <c r="IU74" s="212" t="str">
        <f t="shared" si="225"/>
        <v/>
      </c>
      <c r="IV74" s="212" t="str">
        <f t="shared" si="226"/>
        <v/>
      </c>
      <c r="IW74" s="212" t="str">
        <f t="shared" si="227"/>
        <v/>
      </c>
      <c r="IX74" s="212" t="str">
        <f t="shared" si="228"/>
        <v/>
      </c>
      <c r="IY74" s="212" t="str">
        <f t="shared" si="357"/>
        <v/>
      </c>
      <c r="IZ74" s="212" t="str">
        <f t="shared" si="358"/>
        <v/>
      </c>
      <c r="JA74" s="212" t="str">
        <f t="shared" si="229"/>
        <v/>
      </c>
      <c r="JB74" s="210" t="str">
        <f t="shared" si="359"/>
        <v/>
      </c>
    </row>
    <row r="75" spans="1:262" s="210" customFormat="1" ht="21" customHeight="1">
      <c r="A75" s="183">
        <v>68</v>
      </c>
      <c r="B75" s="184" t="str">
        <f>IF('Marks Entry'!B75="","",'Marks Entry'!B75)</f>
        <v/>
      </c>
      <c r="C75" s="185" t="str">
        <f>IF('Marks Entry'!D75="","",'Marks Entry'!D75)</f>
        <v/>
      </c>
      <c r="D75" s="186" t="str">
        <f>IF('Marks Entry'!E75="","",'Marks Entry'!E75)</f>
        <v/>
      </c>
      <c r="E75" s="187" t="str">
        <f>IF('Marks Entry'!F75="","",'Marks Entry'!F75)</f>
        <v/>
      </c>
      <c r="F75" s="187" t="str">
        <f>IF('Marks Entry'!G75="","",'Marks Entry'!G75)</f>
        <v/>
      </c>
      <c r="G75" s="187" t="str">
        <f>IF('Marks Entry'!H75="","",'Marks Entry'!H75)</f>
        <v/>
      </c>
      <c r="H75" s="188" t="str">
        <f>IF('Marks Entry'!I75="","",'Marks Entry'!I75)</f>
        <v/>
      </c>
      <c r="I75" s="189" t="str">
        <f>IF('Marks Entry'!J75="","",'Marks Entry'!J75)</f>
        <v/>
      </c>
      <c r="J75" s="545" t="str">
        <f>IF('Marks Entry'!K75="","",'Marks Entry'!K75)</f>
        <v/>
      </c>
      <c r="K75" s="545" t="str">
        <f>IF('Marks Entry'!L75="","",'Marks Entry'!L75)</f>
        <v/>
      </c>
      <c r="L75" s="545" t="str">
        <f>IF('Marks Entry'!M75="","",'Marks Entry'!M75)</f>
        <v/>
      </c>
      <c r="M75" s="546" t="str">
        <f t="shared" si="230"/>
        <v/>
      </c>
      <c r="N75" s="545" t="str">
        <f>IF('Marks Entry'!N75="","",'Marks Entry'!N75)</f>
        <v/>
      </c>
      <c r="O75" s="546" t="str">
        <f t="shared" si="231"/>
        <v/>
      </c>
      <c r="P75" s="545" t="str">
        <f>IF('Marks Entry'!O75="","",'Marks Entry'!O75)</f>
        <v/>
      </c>
      <c r="Q75" s="547" t="str">
        <f t="shared" si="232"/>
        <v/>
      </c>
      <c r="R75" s="152">
        <f t="shared" si="233"/>
        <v>0</v>
      </c>
      <c r="S75" s="152">
        <f t="shared" si="234"/>
        <v>0</v>
      </c>
      <c r="T75" s="153" t="str">
        <f t="shared" si="235"/>
        <v/>
      </c>
      <c r="U75" s="152" t="str">
        <f t="shared" si="236"/>
        <v/>
      </c>
      <c r="V75" s="152" t="str">
        <f t="shared" si="237"/>
        <v/>
      </c>
      <c r="W75" s="152" t="str">
        <f t="shared" si="238"/>
        <v/>
      </c>
      <c r="X75" s="545" t="str">
        <f>IF('Marks Entry'!P75="","",'Marks Entry'!P75)</f>
        <v/>
      </c>
      <c r="Y75" s="545" t="str">
        <f>IF('Marks Entry'!Q75="","",'Marks Entry'!Q75)</f>
        <v/>
      </c>
      <c r="Z75" s="545" t="str">
        <f>IF('Marks Entry'!R75="","",'Marks Entry'!R75)</f>
        <v/>
      </c>
      <c r="AA75" s="546" t="str">
        <f t="shared" si="239"/>
        <v/>
      </c>
      <c r="AB75" s="545" t="str">
        <f>IF('Marks Entry'!S75="","",'Marks Entry'!S75)</f>
        <v/>
      </c>
      <c r="AC75" s="546" t="str">
        <f t="shared" si="240"/>
        <v/>
      </c>
      <c r="AD75" s="545" t="str">
        <f>IF('Marks Entry'!T75="","",'Marks Entry'!T75)</f>
        <v/>
      </c>
      <c r="AE75" s="547" t="str">
        <f t="shared" si="241"/>
        <v/>
      </c>
      <c r="AF75" s="152">
        <f t="shared" si="242"/>
        <v>0</v>
      </c>
      <c r="AG75" s="152">
        <f t="shared" si="243"/>
        <v>0</v>
      </c>
      <c r="AH75" s="153" t="str">
        <f t="shared" si="244"/>
        <v/>
      </c>
      <c r="AI75" s="152" t="str">
        <f t="shared" si="245"/>
        <v/>
      </c>
      <c r="AJ75" s="152" t="str">
        <f t="shared" si="246"/>
        <v/>
      </c>
      <c r="AK75" s="152" t="str">
        <f t="shared" si="247"/>
        <v/>
      </c>
      <c r="AL75" s="573" t="str">
        <f>IF('Marks Entry'!U75="","",'Marks Entry'!U75)</f>
        <v/>
      </c>
      <c r="AM75" s="573" t="str">
        <f>IF('Marks Entry'!V75="","",'Marks Entry'!V75)</f>
        <v/>
      </c>
      <c r="AN75" s="573" t="str">
        <f>IF('Marks Entry'!W75="","",'Marks Entry'!W75)</f>
        <v/>
      </c>
      <c r="AO75" s="573" t="str">
        <f>IF('Marks Entry'!X75="","",'Marks Entry'!X75)</f>
        <v/>
      </c>
      <c r="AP75" s="572" t="str">
        <f t="shared" si="248"/>
        <v/>
      </c>
      <c r="AQ75" s="573" t="str">
        <f>IF('Marks Entry'!Y75="","",'Marks Entry'!Y75)</f>
        <v/>
      </c>
      <c r="AR75" s="573" t="str">
        <f>IF('Marks Entry'!Z75="","",'Marks Entry'!Z75)</f>
        <v/>
      </c>
      <c r="AS75" s="572" t="str">
        <f t="shared" si="249"/>
        <v/>
      </c>
      <c r="AT75" s="572" t="str">
        <f t="shared" si="250"/>
        <v/>
      </c>
      <c r="AU75" s="573" t="str">
        <f>IF('Marks Entry'!AA75="","",'Marks Entry'!AA75)</f>
        <v/>
      </c>
      <c r="AV75" s="573" t="str">
        <f>IF('Marks Entry'!AB75="","",'Marks Entry'!AB75)</f>
        <v/>
      </c>
      <c r="AW75" s="572" t="str">
        <f t="shared" si="251"/>
        <v/>
      </c>
      <c r="AX75" s="156" t="str">
        <f t="shared" si="252"/>
        <v/>
      </c>
      <c r="AY75" s="156" t="str">
        <f t="shared" si="253"/>
        <v/>
      </c>
      <c r="AZ75" s="191" t="str">
        <f t="shared" si="254"/>
        <v/>
      </c>
      <c r="BA75" s="152">
        <f t="shared" si="255"/>
        <v>0</v>
      </c>
      <c r="BB75" s="153">
        <f t="shared" si="256"/>
        <v>0</v>
      </c>
      <c r="BC75" s="153" t="str">
        <f t="shared" si="257"/>
        <v/>
      </c>
      <c r="BD75" s="153" t="str">
        <f t="shared" si="258"/>
        <v/>
      </c>
      <c r="BE75" s="153" t="str">
        <f t="shared" si="259"/>
        <v/>
      </c>
      <c r="BF75" s="152" t="str">
        <f t="shared" si="260"/>
        <v/>
      </c>
      <c r="BG75" s="153" t="str">
        <f t="shared" si="261"/>
        <v/>
      </c>
      <c r="BH75" s="152" t="str">
        <f t="shared" si="262"/>
        <v/>
      </c>
      <c r="BI75" s="580" t="str">
        <f>IF('Marks Entry'!AC75="","",'Marks Entry'!AC75)</f>
        <v/>
      </c>
      <c r="BJ75" s="580" t="str">
        <f>IF('Marks Entry'!AD75="","",'Marks Entry'!AD75)</f>
        <v/>
      </c>
      <c r="BK75" s="580" t="str">
        <f>IF('Marks Entry'!AE75="","",'Marks Entry'!AE75)</f>
        <v/>
      </c>
      <c r="BL75" s="580" t="str">
        <f>IF('Marks Entry'!AF75="","",'Marks Entry'!AF75)</f>
        <v/>
      </c>
      <c r="BM75" s="581" t="str">
        <f t="shared" si="263"/>
        <v/>
      </c>
      <c r="BN75" s="580" t="str">
        <f>IF('Marks Entry'!AG75="","",'Marks Entry'!AG75)</f>
        <v/>
      </c>
      <c r="BO75" s="580" t="str">
        <f>IF('Marks Entry'!AH75="","",'Marks Entry'!AH75)</f>
        <v/>
      </c>
      <c r="BP75" s="581" t="str">
        <f t="shared" si="264"/>
        <v/>
      </c>
      <c r="BQ75" s="581" t="str">
        <f t="shared" si="265"/>
        <v/>
      </c>
      <c r="BR75" s="580" t="str">
        <f>IF('Marks Entry'!AI75="","",'Marks Entry'!AI75)</f>
        <v/>
      </c>
      <c r="BS75" s="580" t="str">
        <f>IF('Marks Entry'!AJ75="","",'Marks Entry'!AJ75)</f>
        <v/>
      </c>
      <c r="BT75" s="581" t="str">
        <f t="shared" si="266"/>
        <v/>
      </c>
      <c r="BU75" s="156" t="str">
        <f t="shared" si="267"/>
        <v/>
      </c>
      <c r="BV75" s="156" t="str">
        <f t="shared" si="268"/>
        <v/>
      </c>
      <c r="BW75" s="191" t="str">
        <f t="shared" si="269"/>
        <v/>
      </c>
      <c r="BX75" s="152">
        <f t="shared" si="270"/>
        <v>0</v>
      </c>
      <c r="BY75" s="153">
        <f t="shared" si="271"/>
        <v>0</v>
      </c>
      <c r="BZ75" s="153" t="str">
        <f t="shared" si="272"/>
        <v/>
      </c>
      <c r="CA75" s="153" t="str">
        <f t="shared" si="273"/>
        <v/>
      </c>
      <c r="CB75" s="153" t="str">
        <f t="shared" si="274"/>
        <v/>
      </c>
      <c r="CC75" s="152" t="str">
        <f t="shared" si="275"/>
        <v/>
      </c>
      <c r="CD75" s="153" t="str">
        <f t="shared" si="276"/>
        <v/>
      </c>
      <c r="CE75" s="152" t="str">
        <f t="shared" si="277"/>
        <v/>
      </c>
      <c r="CF75" s="580" t="str">
        <f>IF('Marks Entry'!AK75="","",'Marks Entry'!AK75)</f>
        <v/>
      </c>
      <c r="CG75" s="580" t="str">
        <f>IF('Marks Entry'!AL75="","",'Marks Entry'!AL75)</f>
        <v/>
      </c>
      <c r="CH75" s="580" t="str">
        <f>IF('Marks Entry'!AM75="","",'Marks Entry'!AM75)</f>
        <v/>
      </c>
      <c r="CI75" s="580" t="str">
        <f>IF('Marks Entry'!AN75="","",'Marks Entry'!AN75)</f>
        <v/>
      </c>
      <c r="CJ75" s="581" t="str">
        <f t="shared" si="278"/>
        <v/>
      </c>
      <c r="CK75" s="580" t="str">
        <f>IF('Marks Entry'!AO75="","",'Marks Entry'!AO75)</f>
        <v/>
      </c>
      <c r="CL75" s="580" t="str">
        <f>IF('Marks Entry'!AP75="","",'Marks Entry'!AP75)</f>
        <v/>
      </c>
      <c r="CM75" s="581" t="str">
        <f t="shared" si="279"/>
        <v/>
      </c>
      <c r="CN75" s="581" t="str">
        <f t="shared" si="280"/>
        <v/>
      </c>
      <c r="CO75" s="580" t="str">
        <f>IF('Marks Entry'!AQ75="","",'Marks Entry'!AQ75)</f>
        <v/>
      </c>
      <c r="CP75" s="580" t="str">
        <f>IF('Marks Entry'!AR75="","",'Marks Entry'!AR75)</f>
        <v/>
      </c>
      <c r="CQ75" s="581" t="str">
        <f t="shared" si="281"/>
        <v/>
      </c>
      <c r="CR75" s="156" t="str">
        <f t="shared" si="282"/>
        <v/>
      </c>
      <c r="CS75" s="156" t="str">
        <f t="shared" si="283"/>
        <v/>
      </c>
      <c r="CT75" s="191" t="str">
        <f t="shared" si="284"/>
        <v/>
      </c>
      <c r="CU75" s="152">
        <f t="shared" si="285"/>
        <v>0</v>
      </c>
      <c r="CV75" s="153">
        <f t="shared" si="286"/>
        <v>0</v>
      </c>
      <c r="CW75" s="153" t="str">
        <f t="shared" si="287"/>
        <v/>
      </c>
      <c r="CX75" s="153" t="str">
        <f t="shared" si="288"/>
        <v/>
      </c>
      <c r="CY75" s="153" t="str">
        <f t="shared" si="289"/>
        <v/>
      </c>
      <c r="CZ75" s="152" t="str">
        <f t="shared" si="290"/>
        <v/>
      </c>
      <c r="DA75" s="153" t="str">
        <f t="shared" si="291"/>
        <v/>
      </c>
      <c r="DB75" s="152" t="str">
        <f t="shared" si="292"/>
        <v/>
      </c>
      <c r="DC75" s="153">
        <f t="shared" si="293"/>
        <v>0</v>
      </c>
      <c r="DD75" s="851" t="str">
        <f>IF('Marks Entry'!AS75="","",IF(OR('Master Sheet'!$D$19="YES",'Marks Entry'!$BA$1=1),'Marks Entry'!AS75,""))</f>
        <v/>
      </c>
      <c r="DE75" s="851" t="str">
        <f>IF('Marks Entry'!AT75="","",IF(OR('Master Sheet'!$D$19="YES",'Marks Entry'!$BA$1=1),'Marks Entry'!AT75,""))</f>
        <v/>
      </c>
      <c r="DF75" s="851" t="str">
        <f>IF('Marks Entry'!AU75="","",IF(OR('Master Sheet'!$D$19="YES",'Marks Entry'!$BA$1=1),'Marks Entry'!AU75,""))</f>
        <v/>
      </c>
      <c r="DG75" s="851" t="str">
        <f>IF('Marks Entry'!AV75="","",IF(OR('Master Sheet'!$D$19="YES",'Marks Entry'!$BA$1=1),'Marks Entry'!AV75,""))</f>
        <v/>
      </c>
      <c r="DH75" s="852" t="str">
        <f t="shared" si="294"/>
        <v/>
      </c>
      <c r="DI75" s="851" t="str">
        <f>IF('Marks Entry'!AW75="","",IF(OR('Master Sheet'!$D$19="YES",'Marks Entry'!$BA$1=1),'Marks Entry'!AW75,""))</f>
        <v/>
      </c>
      <c r="DJ75" s="851" t="str">
        <f>IF('Marks Entry'!AX75="","",IF(OR('Master Sheet'!$D$19="YES",'Marks Entry'!$BA$1=1),'Marks Entry'!AX75,""))</f>
        <v/>
      </c>
      <c r="DK75" s="852" t="str">
        <f t="shared" si="295"/>
        <v/>
      </c>
      <c r="DL75" s="852" t="str">
        <f t="shared" si="296"/>
        <v/>
      </c>
      <c r="DM75" s="851" t="str">
        <f>IF('Marks Entry'!AY75="","",IF(OR('Master Sheet'!$D$19="YES",'Marks Entry'!$BA$1=1),'Marks Entry'!AY75,""))</f>
        <v/>
      </c>
      <c r="DN75" s="851" t="str">
        <f>IF('Marks Entry'!AZ75="","",IF(OR('Master Sheet'!$D$19="YES",'Marks Entry'!$BA$1=1),'Marks Entry'!AZ75,""))</f>
        <v/>
      </c>
      <c r="DO75" s="851" t="str">
        <f>IF('Marks Entry'!BA75="","",IF(OR('Master Sheet'!$D$19="YES",'Marks Entry'!$BA$1=1),'Marks Entry'!BA75,""))</f>
        <v/>
      </c>
      <c r="DP75" s="852" t="str">
        <f t="shared" si="297"/>
        <v/>
      </c>
      <c r="DQ75" s="156" t="str">
        <f t="shared" si="298"/>
        <v/>
      </c>
      <c r="DR75" s="156" t="str">
        <f t="shared" si="299"/>
        <v/>
      </c>
      <c r="DS75" s="156" t="str">
        <f t="shared" si="300"/>
        <v/>
      </c>
      <c r="DT75" s="191" t="str">
        <f t="shared" si="301"/>
        <v/>
      </c>
      <c r="DU75" s="152">
        <f t="shared" si="302"/>
        <v>0</v>
      </c>
      <c r="DV75" s="153">
        <f t="shared" si="303"/>
        <v>0</v>
      </c>
      <c r="DW75" s="153" t="str">
        <f t="shared" si="304"/>
        <v/>
      </c>
      <c r="DX75" s="153" t="str">
        <f>IF(OR($B75="NSO",$B75=0,DS75=""),"",IF(AND(DJ75="",DO75=""),"",IF('Master Sheet'!$D$19="YES",$DO$6-COUNTIF(DO75,"ML")*DO$6,DS$6-(COUNTIF(DJ75,"ML")*DJ$6)-(COUNTIF(DO75,"ML")*DO$6))))</f>
        <v/>
      </c>
      <c r="DY75" s="153" t="str">
        <f>IF(OR($B75="NSO",$B75=0),"",IF(AND(DH75="",DI75="",DM75=""),"",IF(AND('Master Sheet'!$D$19="YES",'Marks Entry'!$BA$1=1),100,IF(AND(DJ75="",DO75=""),SUM(($DQ$7+$DR$7)-(DU75+DV75)),SUM(($DQ$6+$DR$6)-(DU75+DV75))))))</f>
        <v/>
      </c>
      <c r="DZ75" s="152" t="str">
        <f t="shared" si="305"/>
        <v/>
      </c>
      <c r="EA75" s="153" t="str">
        <f t="shared" si="306"/>
        <v/>
      </c>
      <c r="EB75" s="152" t="str">
        <f t="shared" si="307"/>
        <v/>
      </c>
      <c r="EC75" s="584" t="str">
        <f>IF('Marks Entry'!BB75="","",'Marks Entry'!BB75)</f>
        <v/>
      </c>
      <c r="ED75" s="584" t="str">
        <f>IF('Marks Entry'!BC75="","",'Marks Entry'!BC75)</f>
        <v/>
      </c>
      <c r="EE75" s="584" t="str">
        <f>IF('Marks Entry'!BD75="","",'Marks Entry'!BD75)</f>
        <v/>
      </c>
      <c r="EF75" s="590" t="str">
        <f t="shared" si="308"/>
        <v/>
      </c>
      <c r="EG75" s="595">
        <f t="shared" si="309"/>
        <v>0</v>
      </c>
      <c r="EH75" s="595">
        <f t="shared" si="310"/>
        <v>0</v>
      </c>
      <c r="EI75" s="192" t="str">
        <f t="shared" si="311"/>
        <v/>
      </c>
      <c r="EJ75" s="595" t="str">
        <f t="shared" si="312"/>
        <v/>
      </c>
      <c r="EK75" s="595" t="str">
        <f t="shared" si="313"/>
        <v/>
      </c>
      <c r="EL75" s="193" t="str">
        <f t="shared" si="314"/>
        <v/>
      </c>
      <c r="EM75" s="193" t="str">
        <f t="shared" si="315"/>
        <v/>
      </c>
      <c r="EN75" s="193" t="str">
        <f t="shared" si="316"/>
        <v/>
      </c>
      <c r="EO75" s="193" t="str">
        <f t="shared" si="317"/>
        <v/>
      </c>
      <c r="EP75" s="193" t="str">
        <f t="shared" si="318"/>
        <v/>
      </c>
      <c r="EQ75" s="193" t="str">
        <f t="shared" si="319"/>
        <v/>
      </c>
      <c r="ER75" s="194">
        <f t="shared" si="320"/>
        <v>0</v>
      </c>
      <c r="ES75" s="194">
        <f t="shared" si="321"/>
        <v>0</v>
      </c>
      <c r="ET75" s="194">
        <f t="shared" si="322"/>
        <v>0</v>
      </c>
      <c r="EU75" s="194">
        <f t="shared" si="323"/>
        <v>0</v>
      </c>
      <c r="EV75" s="194">
        <f t="shared" si="324"/>
        <v>0</v>
      </c>
      <c r="EW75" s="194" t="str">
        <f t="shared" si="325"/>
        <v/>
      </c>
      <c r="EX75" s="195" t="str">
        <f t="shared" si="326"/>
        <v/>
      </c>
      <c r="EY75" s="196" t="str">
        <f>IF('Marks Entry'!BE75="","",'Marks Entry'!BE75)</f>
        <v/>
      </c>
      <c r="EZ75" s="196" t="str">
        <f>IF('Marks Entry'!BF75="","",'Marks Entry'!BF75)</f>
        <v/>
      </c>
      <c r="FA75" s="196" t="str">
        <f>IF('Marks Entry'!BG75="","",'Marks Entry'!BG75)</f>
        <v/>
      </c>
      <c r="FB75" s="596" t="str">
        <f t="shared" si="327"/>
        <v/>
      </c>
      <c r="FC75" s="196" t="str">
        <f>IF('Marks Entry'!BH75="","",'Marks Entry'!BH75)</f>
        <v/>
      </c>
      <c r="FD75" s="196" t="str">
        <f>IF('Marks Entry'!BI75="","",'Marks Entry'!BI75)</f>
        <v/>
      </c>
      <c r="FE75" s="197" t="str">
        <f t="shared" si="328"/>
        <v/>
      </c>
      <c r="FF75" s="198" t="str">
        <f t="shared" si="329"/>
        <v/>
      </c>
      <c r="FG75" s="199" t="str">
        <f>IF(AND(E75=""),"",IF('Student DATA Entry'!L71="","",'Student DATA Entry'!L71))</f>
        <v/>
      </c>
      <c r="FH75" s="200" t="str">
        <f>IF(AND(E75=""),"",IF('Student DATA Entry'!M71="","",'Student DATA Entry'!M71))</f>
        <v/>
      </c>
      <c r="FI75" s="201" t="str">
        <f t="shared" si="330"/>
        <v/>
      </c>
      <c r="FJ75" s="188" t="str">
        <f t="shared" si="331"/>
        <v/>
      </c>
      <c r="FK75" s="188" t="str">
        <f t="shared" si="332"/>
        <v/>
      </c>
      <c r="FL75" s="202" t="str">
        <f t="shared" si="201"/>
        <v/>
      </c>
      <c r="FM75" s="188" t="str">
        <f t="shared" si="333"/>
        <v/>
      </c>
      <c r="FN75" s="203" t="str">
        <f t="shared" si="334"/>
        <v/>
      </c>
      <c r="FO75" s="202" t="str">
        <f t="shared" si="202"/>
        <v/>
      </c>
      <c r="FP75" s="204" t="str">
        <f t="shared" si="335"/>
        <v/>
      </c>
      <c r="FQ75" s="188" t="str">
        <f t="shared" si="203"/>
        <v/>
      </c>
      <c r="FR75" s="188" t="str">
        <f t="shared" si="204"/>
        <v/>
      </c>
      <c r="FS75" s="188" t="str">
        <f t="shared" si="205"/>
        <v/>
      </c>
      <c r="FT75" s="188" t="str">
        <f t="shared" si="206"/>
        <v/>
      </c>
      <c r="FU75" s="188" t="str">
        <f t="shared" si="336"/>
        <v/>
      </c>
      <c r="FV75" s="205" t="str">
        <f t="shared" si="207"/>
        <v/>
      </c>
      <c r="FW75" s="204" t="str">
        <f t="shared" si="337"/>
        <v/>
      </c>
      <c r="FX75" s="188" t="str">
        <f t="shared" si="208"/>
        <v/>
      </c>
      <c r="FY75" s="188" t="str">
        <f t="shared" si="209"/>
        <v/>
      </c>
      <c r="FZ75" s="188" t="str">
        <f t="shared" si="210"/>
        <v/>
      </c>
      <c r="GA75" s="188" t="str">
        <f t="shared" si="211"/>
        <v/>
      </c>
      <c r="GB75" s="188" t="str">
        <f t="shared" si="338"/>
        <v/>
      </c>
      <c r="GC75" s="205" t="str">
        <f t="shared" si="212"/>
        <v/>
      </c>
      <c r="GD75" s="204" t="str">
        <f t="shared" si="339"/>
        <v/>
      </c>
      <c r="GE75" s="188" t="str">
        <f t="shared" si="213"/>
        <v/>
      </c>
      <c r="GF75" s="188" t="str">
        <f t="shared" si="214"/>
        <v/>
      </c>
      <c r="GG75" s="188" t="str">
        <f t="shared" si="215"/>
        <v/>
      </c>
      <c r="GH75" s="188" t="str">
        <f t="shared" si="216"/>
        <v/>
      </c>
      <c r="GI75" s="188" t="str">
        <f t="shared" si="340"/>
        <v/>
      </c>
      <c r="GJ75" s="205" t="str">
        <f t="shared" si="217"/>
        <v/>
      </c>
      <c r="GK75" s="204" t="str">
        <f t="shared" si="341"/>
        <v/>
      </c>
      <c r="GL75" s="188" t="str">
        <f t="shared" si="218"/>
        <v/>
      </c>
      <c r="GM75" s="188" t="str">
        <f t="shared" si="219"/>
        <v/>
      </c>
      <c r="GN75" s="188" t="str">
        <f t="shared" si="220"/>
        <v/>
      </c>
      <c r="GO75" s="188" t="str">
        <f t="shared" si="221"/>
        <v/>
      </c>
      <c r="GP75" s="188" t="str">
        <f t="shared" si="342"/>
        <v/>
      </c>
      <c r="GQ75" s="205" t="str">
        <f t="shared" si="222"/>
        <v/>
      </c>
      <c r="GR75" s="188" t="str">
        <f t="shared" si="343"/>
        <v/>
      </c>
      <c r="GS75" s="188" t="str">
        <f t="shared" si="344"/>
        <v/>
      </c>
      <c r="GT75" s="206" t="str">
        <f t="shared" si="345"/>
        <v xml:space="preserve">    </v>
      </c>
      <c r="GU75" s="206" t="str">
        <f t="shared" si="346"/>
        <v xml:space="preserve">    </v>
      </c>
      <c r="GV75" s="206" t="str">
        <f t="shared" si="347"/>
        <v xml:space="preserve">    </v>
      </c>
      <c r="GW75" s="206" t="str">
        <f t="shared" si="348"/>
        <v xml:space="preserve">       </v>
      </c>
      <c r="GX75" s="598" t="str">
        <f t="shared" si="349"/>
        <v xml:space="preserve">     </v>
      </c>
      <c r="GY75" s="207" t="str">
        <f t="shared" si="223"/>
        <v/>
      </c>
      <c r="GZ75" s="606" t="str">
        <f>IF(AND(Q75="",AE75="",AZ75="",BW75="",CT75=""),"",IF(AND('Master Sheet'!$D$19="YES",'Marks Entry'!$BA$1=1),SUM(Q75,AE75,AZ75,BW75,DT75),SUM(Q75,AE75,AZ75,BW75,CT75)))</f>
        <v/>
      </c>
      <c r="HA75" s="208" t="str">
        <f>IF(GZ75="","",IF(AND('Master Sheet'!$D$19="YES",'Marks Entry'!$BA$1=1),GZ75/((900)-DC75)*100,GZ75/((1000)-DC75)*100))</f>
        <v/>
      </c>
      <c r="HB75" s="611" t="str">
        <f t="shared" si="350"/>
        <v/>
      </c>
      <c r="HC75" s="609" t="str">
        <f t="shared" si="351"/>
        <v/>
      </c>
      <c r="HD75" s="610" t="str">
        <f t="shared" si="352"/>
        <v/>
      </c>
      <c r="HE75" s="209" t="str">
        <f>IFERROR(IF(OR(GY75="SUPPLEMENTARY",GY75="RE-EXAM"),'Supp. Result Entry'!AS74,""),"")</f>
        <v/>
      </c>
      <c r="HF75" s="613" t="str">
        <f t="shared" si="353"/>
        <v/>
      </c>
      <c r="HG75" s="598" t="str">
        <f t="shared" si="354"/>
        <v/>
      </c>
      <c r="HH75" s="598" t="str">
        <f>IF(AND(HE75="",HF75="",HG75=""),"",IF(OR(GY75="SUPPLEMENTARY",GY75="RE-EXAM"),'Supp. Result Entry'!AS74,GY75))</f>
        <v/>
      </c>
      <c r="HI75" s="179"/>
      <c r="HY75" s="211" t="str">
        <f>IF('Supp. Result Entry'!U74="","",'Supp. Result Entry'!$U$6)</f>
        <v/>
      </c>
      <c r="HZ75" s="212" t="str">
        <f>IF('Supp. Result Entry'!X74="","",'Supp. Result Entry'!$X$6)</f>
        <v/>
      </c>
      <c r="IA75" s="212" t="str">
        <f>IF('Supp. Result Entry'!AA74="","",'Supp. Result Entry'!$AA$6)</f>
        <v/>
      </c>
      <c r="IB75" s="212" t="str">
        <f>IF('Supp. Result Entry'!AD74="","",'Supp. Result Entry'!$AD$6)</f>
        <v/>
      </c>
      <c r="IC75" s="212" t="str">
        <f>IF('Supp. Result Entry'!AG74="","",'Supp. Result Entry'!$AG$6)</f>
        <v/>
      </c>
      <c r="ID75" s="212" t="str">
        <f>IF('Supp. Result Entry'!AJ74="","",'Supp. Result Entry'!$AJ$6)</f>
        <v/>
      </c>
      <c r="IE75" s="212" t="str">
        <f>IF('Supp. Result Entry'!V74="","",'Supp. Result Entry'!V74)</f>
        <v/>
      </c>
      <c r="IF75" s="212" t="str">
        <f>IF('Supp. Result Entry'!Y74="","",'Supp. Result Entry'!Y74)</f>
        <v/>
      </c>
      <c r="IG75" s="212" t="str">
        <f>IF('Supp. Result Entry'!AB74="","",'Supp. Result Entry'!AB74)</f>
        <v/>
      </c>
      <c r="IH75" s="212" t="str">
        <f>IF('Supp. Result Entry'!AE74="","",'Supp. Result Entry'!AE74)</f>
        <v/>
      </c>
      <c r="II75" s="212" t="str">
        <f>IF('Supp. Result Entry'!AH74="","",'Supp. Result Entry'!AH74)</f>
        <v/>
      </c>
      <c r="IJ75" s="212" t="str">
        <f>IF('Supp. Result Entry'!AK74="","",'Supp. Result Entry'!AK74)</f>
        <v/>
      </c>
      <c r="IK75" s="212" t="str">
        <f>IF('Supp. Result Entry'!W74="","",'Supp. Result Entry'!W74)</f>
        <v/>
      </c>
      <c r="IL75" s="212" t="str">
        <f>IF('Supp. Result Entry'!Z74="","",'Supp. Result Entry'!Z74)</f>
        <v/>
      </c>
      <c r="IM75" s="212" t="str">
        <f>IF('Supp. Result Entry'!AC74="","",'Supp. Result Entry'!AC74)</f>
        <v/>
      </c>
      <c r="IN75" s="212" t="str">
        <f>IF('Supp. Result Entry'!AF74="","",'Supp. Result Entry'!AF74)</f>
        <v/>
      </c>
      <c r="IO75" s="212" t="str">
        <f>IF('Supp. Result Entry'!AI74="","",'Supp. Result Entry'!AI74)</f>
        <v/>
      </c>
      <c r="IP75" s="212" t="str">
        <f>IF('Supp. Result Entry'!AL74="","",'Supp. Result Entry'!AL74)</f>
        <v/>
      </c>
      <c r="IQ75" s="212">
        <f>COUNTIF('Supp. Result Entry'!K74:Q74,"S")</f>
        <v>0</v>
      </c>
      <c r="IR75" s="212">
        <f t="shared" si="355"/>
        <v>0</v>
      </c>
      <c r="IS75" s="212">
        <f t="shared" si="356"/>
        <v>0</v>
      </c>
      <c r="IT75" s="212" t="str">
        <f t="shared" si="224"/>
        <v/>
      </c>
      <c r="IU75" s="212" t="str">
        <f t="shared" si="225"/>
        <v/>
      </c>
      <c r="IV75" s="212" t="str">
        <f t="shared" si="226"/>
        <v/>
      </c>
      <c r="IW75" s="212" t="str">
        <f t="shared" si="227"/>
        <v/>
      </c>
      <c r="IX75" s="212" t="str">
        <f t="shared" si="228"/>
        <v/>
      </c>
      <c r="IY75" s="212" t="str">
        <f t="shared" si="357"/>
        <v/>
      </c>
      <c r="IZ75" s="212" t="str">
        <f t="shared" si="358"/>
        <v/>
      </c>
      <c r="JA75" s="212" t="str">
        <f t="shared" si="229"/>
        <v/>
      </c>
      <c r="JB75" s="210" t="str">
        <f t="shared" si="359"/>
        <v/>
      </c>
    </row>
    <row r="76" spans="1:262" s="210" customFormat="1" ht="21" customHeight="1">
      <c r="A76" s="183">
        <v>69</v>
      </c>
      <c r="B76" s="184" t="str">
        <f>IF('Marks Entry'!B76="","",'Marks Entry'!B76)</f>
        <v/>
      </c>
      <c r="C76" s="185" t="str">
        <f>IF('Marks Entry'!D76="","",'Marks Entry'!D76)</f>
        <v/>
      </c>
      <c r="D76" s="186" t="str">
        <f>IF('Marks Entry'!E76="","",'Marks Entry'!E76)</f>
        <v/>
      </c>
      <c r="E76" s="187" t="str">
        <f>IF('Marks Entry'!F76="","",'Marks Entry'!F76)</f>
        <v/>
      </c>
      <c r="F76" s="187" t="str">
        <f>IF('Marks Entry'!G76="","",'Marks Entry'!G76)</f>
        <v/>
      </c>
      <c r="G76" s="187" t="str">
        <f>IF('Marks Entry'!H76="","",'Marks Entry'!H76)</f>
        <v/>
      </c>
      <c r="H76" s="188" t="str">
        <f>IF('Marks Entry'!I76="","",'Marks Entry'!I76)</f>
        <v/>
      </c>
      <c r="I76" s="189" t="str">
        <f>IF('Marks Entry'!J76="","",'Marks Entry'!J76)</f>
        <v/>
      </c>
      <c r="J76" s="545" t="str">
        <f>IF('Marks Entry'!K76="","",'Marks Entry'!K76)</f>
        <v/>
      </c>
      <c r="K76" s="545" t="str">
        <f>IF('Marks Entry'!L76="","",'Marks Entry'!L76)</f>
        <v/>
      </c>
      <c r="L76" s="545" t="str">
        <f>IF('Marks Entry'!M76="","",'Marks Entry'!M76)</f>
        <v/>
      </c>
      <c r="M76" s="546" t="str">
        <f t="shared" si="230"/>
        <v/>
      </c>
      <c r="N76" s="545" t="str">
        <f>IF('Marks Entry'!N76="","",'Marks Entry'!N76)</f>
        <v/>
      </c>
      <c r="O76" s="546" t="str">
        <f t="shared" si="231"/>
        <v/>
      </c>
      <c r="P76" s="545" t="str">
        <f>IF('Marks Entry'!O76="","",'Marks Entry'!O76)</f>
        <v/>
      </c>
      <c r="Q76" s="547" t="str">
        <f t="shared" si="232"/>
        <v/>
      </c>
      <c r="R76" s="152">
        <f t="shared" si="233"/>
        <v>0</v>
      </c>
      <c r="S76" s="152">
        <f t="shared" si="234"/>
        <v>0</v>
      </c>
      <c r="T76" s="153" t="str">
        <f t="shared" si="235"/>
        <v/>
      </c>
      <c r="U76" s="152" t="str">
        <f t="shared" si="236"/>
        <v/>
      </c>
      <c r="V76" s="152" t="str">
        <f t="shared" si="237"/>
        <v/>
      </c>
      <c r="W76" s="152" t="str">
        <f t="shared" si="238"/>
        <v/>
      </c>
      <c r="X76" s="545" t="str">
        <f>IF('Marks Entry'!P76="","",'Marks Entry'!P76)</f>
        <v/>
      </c>
      <c r="Y76" s="545" t="str">
        <f>IF('Marks Entry'!Q76="","",'Marks Entry'!Q76)</f>
        <v/>
      </c>
      <c r="Z76" s="545" t="str">
        <f>IF('Marks Entry'!R76="","",'Marks Entry'!R76)</f>
        <v/>
      </c>
      <c r="AA76" s="546" t="str">
        <f t="shared" si="239"/>
        <v/>
      </c>
      <c r="AB76" s="545" t="str">
        <f>IF('Marks Entry'!S76="","",'Marks Entry'!S76)</f>
        <v/>
      </c>
      <c r="AC76" s="546" t="str">
        <f t="shared" si="240"/>
        <v/>
      </c>
      <c r="AD76" s="545" t="str">
        <f>IF('Marks Entry'!T76="","",'Marks Entry'!T76)</f>
        <v/>
      </c>
      <c r="AE76" s="547" t="str">
        <f t="shared" si="241"/>
        <v/>
      </c>
      <c r="AF76" s="152">
        <f t="shared" si="242"/>
        <v>0</v>
      </c>
      <c r="AG76" s="152">
        <f t="shared" si="243"/>
        <v>0</v>
      </c>
      <c r="AH76" s="153" t="str">
        <f t="shared" si="244"/>
        <v/>
      </c>
      <c r="AI76" s="152" t="str">
        <f t="shared" si="245"/>
        <v/>
      </c>
      <c r="AJ76" s="152" t="str">
        <f t="shared" si="246"/>
        <v/>
      </c>
      <c r="AK76" s="152" t="str">
        <f t="shared" si="247"/>
        <v/>
      </c>
      <c r="AL76" s="573" t="str">
        <f>IF('Marks Entry'!U76="","",'Marks Entry'!U76)</f>
        <v/>
      </c>
      <c r="AM76" s="573" t="str">
        <f>IF('Marks Entry'!V76="","",'Marks Entry'!V76)</f>
        <v/>
      </c>
      <c r="AN76" s="573" t="str">
        <f>IF('Marks Entry'!W76="","",'Marks Entry'!W76)</f>
        <v/>
      </c>
      <c r="AO76" s="573" t="str">
        <f>IF('Marks Entry'!X76="","",'Marks Entry'!X76)</f>
        <v/>
      </c>
      <c r="AP76" s="572" t="str">
        <f t="shared" si="248"/>
        <v/>
      </c>
      <c r="AQ76" s="573" t="str">
        <f>IF('Marks Entry'!Y76="","",'Marks Entry'!Y76)</f>
        <v/>
      </c>
      <c r="AR76" s="573" t="str">
        <f>IF('Marks Entry'!Z76="","",'Marks Entry'!Z76)</f>
        <v/>
      </c>
      <c r="AS76" s="572" t="str">
        <f t="shared" si="249"/>
        <v/>
      </c>
      <c r="AT76" s="572" t="str">
        <f t="shared" si="250"/>
        <v/>
      </c>
      <c r="AU76" s="573" t="str">
        <f>IF('Marks Entry'!AA76="","",'Marks Entry'!AA76)</f>
        <v/>
      </c>
      <c r="AV76" s="573" t="str">
        <f>IF('Marks Entry'!AB76="","",'Marks Entry'!AB76)</f>
        <v/>
      </c>
      <c r="AW76" s="572" t="str">
        <f t="shared" si="251"/>
        <v/>
      </c>
      <c r="AX76" s="156" t="str">
        <f t="shared" si="252"/>
        <v/>
      </c>
      <c r="AY76" s="156" t="str">
        <f t="shared" si="253"/>
        <v/>
      </c>
      <c r="AZ76" s="191" t="str">
        <f t="shared" si="254"/>
        <v/>
      </c>
      <c r="BA76" s="152">
        <f t="shared" si="255"/>
        <v>0</v>
      </c>
      <c r="BB76" s="153">
        <f t="shared" si="256"/>
        <v>0</v>
      </c>
      <c r="BC76" s="153" t="str">
        <f t="shared" si="257"/>
        <v/>
      </c>
      <c r="BD76" s="153" t="str">
        <f t="shared" si="258"/>
        <v/>
      </c>
      <c r="BE76" s="153" t="str">
        <f t="shared" si="259"/>
        <v/>
      </c>
      <c r="BF76" s="152" t="str">
        <f t="shared" si="260"/>
        <v/>
      </c>
      <c r="BG76" s="153" t="str">
        <f t="shared" si="261"/>
        <v/>
      </c>
      <c r="BH76" s="152" t="str">
        <f t="shared" si="262"/>
        <v/>
      </c>
      <c r="BI76" s="580" t="str">
        <f>IF('Marks Entry'!AC76="","",'Marks Entry'!AC76)</f>
        <v/>
      </c>
      <c r="BJ76" s="580" t="str">
        <f>IF('Marks Entry'!AD76="","",'Marks Entry'!AD76)</f>
        <v/>
      </c>
      <c r="BK76" s="580" t="str">
        <f>IF('Marks Entry'!AE76="","",'Marks Entry'!AE76)</f>
        <v/>
      </c>
      <c r="BL76" s="580" t="str">
        <f>IF('Marks Entry'!AF76="","",'Marks Entry'!AF76)</f>
        <v/>
      </c>
      <c r="BM76" s="581" t="str">
        <f t="shared" si="263"/>
        <v/>
      </c>
      <c r="BN76" s="580" t="str">
        <f>IF('Marks Entry'!AG76="","",'Marks Entry'!AG76)</f>
        <v/>
      </c>
      <c r="BO76" s="580" t="str">
        <f>IF('Marks Entry'!AH76="","",'Marks Entry'!AH76)</f>
        <v/>
      </c>
      <c r="BP76" s="581" t="str">
        <f t="shared" si="264"/>
        <v/>
      </c>
      <c r="BQ76" s="581" t="str">
        <f t="shared" si="265"/>
        <v/>
      </c>
      <c r="BR76" s="580" t="str">
        <f>IF('Marks Entry'!AI76="","",'Marks Entry'!AI76)</f>
        <v/>
      </c>
      <c r="BS76" s="580" t="str">
        <f>IF('Marks Entry'!AJ76="","",'Marks Entry'!AJ76)</f>
        <v/>
      </c>
      <c r="BT76" s="581" t="str">
        <f t="shared" si="266"/>
        <v/>
      </c>
      <c r="BU76" s="156" t="str">
        <f t="shared" si="267"/>
        <v/>
      </c>
      <c r="BV76" s="156" t="str">
        <f t="shared" si="268"/>
        <v/>
      </c>
      <c r="BW76" s="191" t="str">
        <f t="shared" si="269"/>
        <v/>
      </c>
      <c r="BX76" s="152">
        <f t="shared" si="270"/>
        <v>0</v>
      </c>
      <c r="BY76" s="153">
        <f t="shared" si="271"/>
        <v>0</v>
      </c>
      <c r="BZ76" s="153" t="str">
        <f t="shared" si="272"/>
        <v/>
      </c>
      <c r="CA76" s="153" t="str">
        <f t="shared" si="273"/>
        <v/>
      </c>
      <c r="CB76" s="153" t="str">
        <f t="shared" si="274"/>
        <v/>
      </c>
      <c r="CC76" s="152" t="str">
        <f t="shared" si="275"/>
        <v/>
      </c>
      <c r="CD76" s="153" t="str">
        <f t="shared" si="276"/>
        <v/>
      </c>
      <c r="CE76" s="152" t="str">
        <f t="shared" si="277"/>
        <v/>
      </c>
      <c r="CF76" s="580" t="str">
        <f>IF('Marks Entry'!AK76="","",'Marks Entry'!AK76)</f>
        <v/>
      </c>
      <c r="CG76" s="580" t="str">
        <f>IF('Marks Entry'!AL76="","",'Marks Entry'!AL76)</f>
        <v/>
      </c>
      <c r="CH76" s="580" t="str">
        <f>IF('Marks Entry'!AM76="","",'Marks Entry'!AM76)</f>
        <v/>
      </c>
      <c r="CI76" s="580" t="str">
        <f>IF('Marks Entry'!AN76="","",'Marks Entry'!AN76)</f>
        <v/>
      </c>
      <c r="CJ76" s="581" t="str">
        <f t="shared" si="278"/>
        <v/>
      </c>
      <c r="CK76" s="580" t="str">
        <f>IF('Marks Entry'!AO76="","",'Marks Entry'!AO76)</f>
        <v/>
      </c>
      <c r="CL76" s="580" t="str">
        <f>IF('Marks Entry'!AP76="","",'Marks Entry'!AP76)</f>
        <v/>
      </c>
      <c r="CM76" s="581" t="str">
        <f t="shared" si="279"/>
        <v/>
      </c>
      <c r="CN76" s="581" t="str">
        <f t="shared" si="280"/>
        <v/>
      </c>
      <c r="CO76" s="580" t="str">
        <f>IF('Marks Entry'!AQ76="","",'Marks Entry'!AQ76)</f>
        <v/>
      </c>
      <c r="CP76" s="580" t="str">
        <f>IF('Marks Entry'!AR76="","",'Marks Entry'!AR76)</f>
        <v/>
      </c>
      <c r="CQ76" s="581" t="str">
        <f t="shared" si="281"/>
        <v/>
      </c>
      <c r="CR76" s="156" t="str">
        <f t="shared" si="282"/>
        <v/>
      </c>
      <c r="CS76" s="156" t="str">
        <f t="shared" si="283"/>
        <v/>
      </c>
      <c r="CT76" s="191" t="str">
        <f t="shared" si="284"/>
        <v/>
      </c>
      <c r="CU76" s="152">
        <f t="shared" si="285"/>
        <v>0</v>
      </c>
      <c r="CV76" s="153">
        <f t="shared" si="286"/>
        <v>0</v>
      </c>
      <c r="CW76" s="153" t="str">
        <f t="shared" si="287"/>
        <v/>
      </c>
      <c r="CX76" s="153" t="str">
        <f t="shared" si="288"/>
        <v/>
      </c>
      <c r="CY76" s="153" t="str">
        <f t="shared" si="289"/>
        <v/>
      </c>
      <c r="CZ76" s="152" t="str">
        <f t="shared" si="290"/>
        <v/>
      </c>
      <c r="DA76" s="153" t="str">
        <f t="shared" si="291"/>
        <v/>
      </c>
      <c r="DB76" s="152" t="str">
        <f t="shared" si="292"/>
        <v/>
      </c>
      <c r="DC76" s="153">
        <f t="shared" si="293"/>
        <v>0</v>
      </c>
      <c r="DD76" s="851" t="str">
        <f>IF('Marks Entry'!AS76="","",IF(OR('Master Sheet'!$D$19="YES",'Marks Entry'!$BA$1=1),'Marks Entry'!AS76,""))</f>
        <v/>
      </c>
      <c r="DE76" s="851" t="str">
        <f>IF('Marks Entry'!AT76="","",IF(OR('Master Sheet'!$D$19="YES",'Marks Entry'!$BA$1=1),'Marks Entry'!AT76,""))</f>
        <v/>
      </c>
      <c r="DF76" s="851" t="str">
        <f>IF('Marks Entry'!AU76="","",IF(OR('Master Sheet'!$D$19="YES",'Marks Entry'!$BA$1=1),'Marks Entry'!AU76,""))</f>
        <v/>
      </c>
      <c r="DG76" s="851" t="str">
        <f>IF('Marks Entry'!AV76="","",IF(OR('Master Sheet'!$D$19="YES",'Marks Entry'!$BA$1=1),'Marks Entry'!AV76,""))</f>
        <v/>
      </c>
      <c r="DH76" s="852" t="str">
        <f t="shared" si="294"/>
        <v/>
      </c>
      <c r="DI76" s="851" t="str">
        <f>IF('Marks Entry'!AW76="","",IF(OR('Master Sheet'!$D$19="YES",'Marks Entry'!$BA$1=1),'Marks Entry'!AW76,""))</f>
        <v/>
      </c>
      <c r="DJ76" s="851" t="str">
        <f>IF('Marks Entry'!AX76="","",IF(OR('Master Sheet'!$D$19="YES",'Marks Entry'!$BA$1=1),'Marks Entry'!AX76,""))</f>
        <v/>
      </c>
      <c r="DK76" s="852" t="str">
        <f t="shared" si="295"/>
        <v/>
      </c>
      <c r="DL76" s="852" t="str">
        <f t="shared" si="296"/>
        <v/>
      </c>
      <c r="DM76" s="851" t="str">
        <f>IF('Marks Entry'!AY76="","",IF(OR('Master Sheet'!$D$19="YES",'Marks Entry'!$BA$1=1),'Marks Entry'!AY76,""))</f>
        <v/>
      </c>
      <c r="DN76" s="851" t="str">
        <f>IF('Marks Entry'!AZ76="","",IF(OR('Master Sheet'!$D$19="YES",'Marks Entry'!$BA$1=1),'Marks Entry'!AZ76,""))</f>
        <v/>
      </c>
      <c r="DO76" s="851" t="str">
        <f>IF('Marks Entry'!BA76="","",IF(OR('Master Sheet'!$D$19="YES",'Marks Entry'!$BA$1=1),'Marks Entry'!BA76,""))</f>
        <v/>
      </c>
      <c r="DP76" s="852" t="str">
        <f t="shared" si="297"/>
        <v/>
      </c>
      <c r="DQ76" s="156" t="str">
        <f t="shared" si="298"/>
        <v/>
      </c>
      <c r="DR76" s="156" t="str">
        <f t="shared" si="299"/>
        <v/>
      </c>
      <c r="DS76" s="156" t="str">
        <f t="shared" si="300"/>
        <v/>
      </c>
      <c r="DT76" s="191" t="str">
        <f t="shared" si="301"/>
        <v/>
      </c>
      <c r="DU76" s="152">
        <f t="shared" si="302"/>
        <v>0</v>
      </c>
      <c r="DV76" s="153">
        <f t="shared" si="303"/>
        <v>0</v>
      </c>
      <c r="DW76" s="153" t="str">
        <f t="shared" si="304"/>
        <v/>
      </c>
      <c r="DX76" s="153" t="str">
        <f>IF(OR($B76="NSO",$B76=0,DS76=""),"",IF(AND(DJ76="",DO76=""),"",IF('Master Sheet'!$D$19="YES",$DO$6-COUNTIF(DO76,"ML")*DO$6,DS$6-(COUNTIF(DJ76,"ML")*DJ$6)-(COUNTIF(DO76,"ML")*DO$6))))</f>
        <v/>
      </c>
      <c r="DY76" s="153" t="str">
        <f>IF(OR($B76="NSO",$B76=0),"",IF(AND(DH76="",DI76="",DM76=""),"",IF(AND('Master Sheet'!$D$19="YES",'Marks Entry'!$BA$1=1),100,IF(AND(DJ76="",DO76=""),SUM(($DQ$7+$DR$7)-(DU76+DV76)),SUM(($DQ$6+$DR$6)-(DU76+DV76))))))</f>
        <v/>
      </c>
      <c r="DZ76" s="152" t="str">
        <f t="shared" si="305"/>
        <v/>
      </c>
      <c r="EA76" s="153" t="str">
        <f t="shared" si="306"/>
        <v/>
      </c>
      <c r="EB76" s="152" t="str">
        <f t="shared" si="307"/>
        <v/>
      </c>
      <c r="EC76" s="584" t="str">
        <f>IF('Marks Entry'!BB76="","",'Marks Entry'!BB76)</f>
        <v/>
      </c>
      <c r="ED76" s="584" t="str">
        <f>IF('Marks Entry'!BC76="","",'Marks Entry'!BC76)</f>
        <v/>
      </c>
      <c r="EE76" s="584" t="str">
        <f>IF('Marks Entry'!BD76="","",'Marks Entry'!BD76)</f>
        <v/>
      </c>
      <c r="EF76" s="590" t="str">
        <f t="shared" si="308"/>
        <v/>
      </c>
      <c r="EG76" s="595">
        <f t="shared" si="309"/>
        <v>0</v>
      </c>
      <c r="EH76" s="595">
        <f t="shared" si="310"/>
        <v>0</v>
      </c>
      <c r="EI76" s="192" t="str">
        <f t="shared" si="311"/>
        <v/>
      </c>
      <c r="EJ76" s="595" t="str">
        <f t="shared" si="312"/>
        <v/>
      </c>
      <c r="EK76" s="595" t="str">
        <f t="shared" si="313"/>
        <v/>
      </c>
      <c r="EL76" s="193" t="str">
        <f t="shared" si="314"/>
        <v/>
      </c>
      <c r="EM76" s="193" t="str">
        <f t="shared" si="315"/>
        <v/>
      </c>
      <c r="EN76" s="193" t="str">
        <f t="shared" si="316"/>
        <v/>
      </c>
      <c r="EO76" s="193" t="str">
        <f t="shared" si="317"/>
        <v/>
      </c>
      <c r="EP76" s="193" t="str">
        <f t="shared" si="318"/>
        <v/>
      </c>
      <c r="EQ76" s="193" t="str">
        <f t="shared" si="319"/>
        <v/>
      </c>
      <c r="ER76" s="194">
        <f t="shared" si="320"/>
        <v>0</v>
      </c>
      <c r="ES76" s="194">
        <f t="shared" si="321"/>
        <v>0</v>
      </c>
      <c r="ET76" s="194">
        <f t="shared" si="322"/>
        <v>0</v>
      </c>
      <c r="EU76" s="194">
        <f t="shared" si="323"/>
        <v>0</v>
      </c>
      <c r="EV76" s="194">
        <f t="shared" si="324"/>
        <v>0</v>
      </c>
      <c r="EW76" s="194" t="str">
        <f t="shared" si="325"/>
        <v/>
      </c>
      <c r="EX76" s="195" t="str">
        <f t="shared" si="326"/>
        <v/>
      </c>
      <c r="EY76" s="196" t="str">
        <f>IF('Marks Entry'!BE76="","",'Marks Entry'!BE76)</f>
        <v/>
      </c>
      <c r="EZ76" s="196" t="str">
        <f>IF('Marks Entry'!BF76="","",'Marks Entry'!BF76)</f>
        <v/>
      </c>
      <c r="FA76" s="196" t="str">
        <f>IF('Marks Entry'!BG76="","",'Marks Entry'!BG76)</f>
        <v/>
      </c>
      <c r="FB76" s="596" t="str">
        <f t="shared" si="327"/>
        <v/>
      </c>
      <c r="FC76" s="196" t="str">
        <f>IF('Marks Entry'!BH76="","",'Marks Entry'!BH76)</f>
        <v/>
      </c>
      <c r="FD76" s="196" t="str">
        <f>IF('Marks Entry'!BI76="","",'Marks Entry'!BI76)</f>
        <v/>
      </c>
      <c r="FE76" s="197" t="str">
        <f t="shared" si="328"/>
        <v/>
      </c>
      <c r="FF76" s="198" t="str">
        <f t="shared" si="329"/>
        <v/>
      </c>
      <c r="FG76" s="199" t="str">
        <f>IF(AND(E76=""),"",IF('Student DATA Entry'!L72="","",'Student DATA Entry'!L72))</f>
        <v/>
      </c>
      <c r="FH76" s="200" t="str">
        <f>IF(AND(E76=""),"",IF('Student DATA Entry'!M72="","",'Student DATA Entry'!M72))</f>
        <v/>
      </c>
      <c r="FI76" s="201" t="str">
        <f t="shared" si="330"/>
        <v/>
      </c>
      <c r="FJ76" s="188" t="str">
        <f t="shared" si="331"/>
        <v/>
      </c>
      <c r="FK76" s="188" t="str">
        <f t="shared" si="332"/>
        <v/>
      </c>
      <c r="FL76" s="202" t="str">
        <f t="shared" si="201"/>
        <v/>
      </c>
      <c r="FM76" s="188" t="str">
        <f t="shared" si="333"/>
        <v/>
      </c>
      <c r="FN76" s="203" t="str">
        <f t="shared" si="334"/>
        <v/>
      </c>
      <c r="FO76" s="202" t="str">
        <f t="shared" si="202"/>
        <v/>
      </c>
      <c r="FP76" s="204" t="str">
        <f t="shared" si="335"/>
        <v/>
      </c>
      <c r="FQ76" s="188" t="str">
        <f t="shared" si="203"/>
        <v/>
      </c>
      <c r="FR76" s="188" t="str">
        <f t="shared" si="204"/>
        <v/>
      </c>
      <c r="FS76" s="188" t="str">
        <f t="shared" si="205"/>
        <v/>
      </c>
      <c r="FT76" s="188" t="str">
        <f t="shared" si="206"/>
        <v/>
      </c>
      <c r="FU76" s="188" t="str">
        <f t="shared" si="336"/>
        <v/>
      </c>
      <c r="FV76" s="205" t="str">
        <f t="shared" si="207"/>
        <v/>
      </c>
      <c r="FW76" s="204" t="str">
        <f t="shared" si="337"/>
        <v/>
      </c>
      <c r="FX76" s="188" t="str">
        <f t="shared" si="208"/>
        <v/>
      </c>
      <c r="FY76" s="188" t="str">
        <f t="shared" si="209"/>
        <v/>
      </c>
      <c r="FZ76" s="188" t="str">
        <f t="shared" si="210"/>
        <v/>
      </c>
      <c r="GA76" s="188" t="str">
        <f t="shared" si="211"/>
        <v/>
      </c>
      <c r="GB76" s="188" t="str">
        <f t="shared" si="338"/>
        <v/>
      </c>
      <c r="GC76" s="205" t="str">
        <f t="shared" si="212"/>
        <v/>
      </c>
      <c r="GD76" s="204" t="str">
        <f t="shared" si="339"/>
        <v/>
      </c>
      <c r="GE76" s="188" t="str">
        <f t="shared" si="213"/>
        <v/>
      </c>
      <c r="GF76" s="188" t="str">
        <f t="shared" si="214"/>
        <v/>
      </c>
      <c r="GG76" s="188" t="str">
        <f t="shared" si="215"/>
        <v/>
      </c>
      <c r="GH76" s="188" t="str">
        <f t="shared" si="216"/>
        <v/>
      </c>
      <c r="GI76" s="188" t="str">
        <f t="shared" si="340"/>
        <v/>
      </c>
      <c r="GJ76" s="205" t="str">
        <f t="shared" si="217"/>
        <v/>
      </c>
      <c r="GK76" s="204" t="str">
        <f t="shared" si="341"/>
        <v/>
      </c>
      <c r="GL76" s="188" t="str">
        <f t="shared" si="218"/>
        <v/>
      </c>
      <c r="GM76" s="188" t="str">
        <f t="shared" si="219"/>
        <v/>
      </c>
      <c r="GN76" s="188" t="str">
        <f t="shared" si="220"/>
        <v/>
      </c>
      <c r="GO76" s="188" t="str">
        <f t="shared" si="221"/>
        <v/>
      </c>
      <c r="GP76" s="188" t="str">
        <f t="shared" si="342"/>
        <v/>
      </c>
      <c r="GQ76" s="205" t="str">
        <f t="shared" si="222"/>
        <v/>
      </c>
      <c r="GR76" s="188" t="str">
        <f t="shared" si="343"/>
        <v/>
      </c>
      <c r="GS76" s="188" t="str">
        <f t="shared" si="344"/>
        <v/>
      </c>
      <c r="GT76" s="206" t="str">
        <f t="shared" si="345"/>
        <v xml:space="preserve">    </v>
      </c>
      <c r="GU76" s="206" t="str">
        <f t="shared" si="346"/>
        <v xml:space="preserve">    </v>
      </c>
      <c r="GV76" s="206" t="str">
        <f t="shared" si="347"/>
        <v xml:space="preserve">    </v>
      </c>
      <c r="GW76" s="206" t="str">
        <f t="shared" si="348"/>
        <v xml:space="preserve">       </v>
      </c>
      <c r="GX76" s="598" t="str">
        <f t="shared" si="349"/>
        <v xml:space="preserve">     </v>
      </c>
      <c r="GY76" s="207" t="str">
        <f t="shared" si="223"/>
        <v/>
      </c>
      <c r="GZ76" s="606" t="str">
        <f>IF(AND(Q76="",AE76="",AZ76="",BW76="",CT76=""),"",IF(AND('Master Sheet'!$D$19="YES",'Marks Entry'!$BA$1=1),SUM(Q76,AE76,AZ76,BW76,DT76),SUM(Q76,AE76,AZ76,BW76,CT76)))</f>
        <v/>
      </c>
      <c r="HA76" s="208" t="str">
        <f>IF(GZ76="","",IF(AND('Master Sheet'!$D$19="YES",'Marks Entry'!$BA$1=1),GZ76/((900)-DC76)*100,GZ76/((1000)-DC76)*100))</f>
        <v/>
      </c>
      <c r="HB76" s="611" t="str">
        <f t="shared" si="350"/>
        <v/>
      </c>
      <c r="HC76" s="609" t="str">
        <f t="shared" si="351"/>
        <v/>
      </c>
      <c r="HD76" s="610" t="str">
        <f t="shared" si="352"/>
        <v/>
      </c>
      <c r="HE76" s="209" t="str">
        <f>IFERROR(IF(OR(GY76="SUPPLEMENTARY",GY76="RE-EXAM"),'Supp. Result Entry'!AS75,""),"")</f>
        <v/>
      </c>
      <c r="HF76" s="613" t="str">
        <f t="shared" si="353"/>
        <v/>
      </c>
      <c r="HG76" s="598" t="str">
        <f t="shared" si="354"/>
        <v/>
      </c>
      <c r="HH76" s="598" t="str">
        <f>IF(AND(HE76="",HF76="",HG76=""),"",IF(OR(GY76="SUPPLEMENTARY",GY76="RE-EXAM"),'Supp. Result Entry'!AS75,GY76))</f>
        <v/>
      </c>
      <c r="HI76" s="179"/>
      <c r="HY76" s="211" t="str">
        <f>IF('Supp. Result Entry'!U75="","",'Supp. Result Entry'!$U$6)</f>
        <v/>
      </c>
      <c r="HZ76" s="212" t="str">
        <f>IF('Supp. Result Entry'!X75="","",'Supp. Result Entry'!$X$6)</f>
        <v/>
      </c>
      <c r="IA76" s="212" t="str">
        <f>IF('Supp. Result Entry'!AA75="","",'Supp. Result Entry'!$AA$6)</f>
        <v/>
      </c>
      <c r="IB76" s="212" t="str">
        <f>IF('Supp. Result Entry'!AD75="","",'Supp. Result Entry'!$AD$6)</f>
        <v/>
      </c>
      <c r="IC76" s="212" t="str">
        <f>IF('Supp. Result Entry'!AG75="","",'Supp. Result Entry'!$AG$6)</f>
        <v/>
      </c>
      <c r="ID76" s="212" t="str">
        <f>IF('Supp. Result Entry'!AJ75="","",'Supp. Result Entry'!$AJ$6)</f>
        <v/>
      </c>
      <c r="IE76" s="212" t="str">
        <f>IF('Supp. Result Entry'!V75="","",'Supp. Result Entry'!V75)</f>
        <v/>
      </c>
      <c r="IF76" s="212" t="str">
        <f>IF('Supp. Result Entry'!Y75="","",'Supp. Result Entry'!Y75)</f>
        <v/>
      </c>
      <c r="IG76" s="212" t="str">
        <f>IF('Supp. Result Entry'!AB75="","",'Supp. Result Entry'!AB75)</f>
        <v/>
      </c>
      <c r="IH76" s="212" t="str">
        <f>IF('Supp. Result Entry'!AE75="","",'Supp. Result Entry'!AE75)</f>
        <v/>
      </c>
      <c r="II76" s="212" t="str">
        <f>IF('Supp. Result Entry'!AH75="","",'Supp. Result Entry'!AH75)</f>
        <v/>
      </c>
      <c r="IJ76" s="212" t="str">
        <f>IF('Supp. Result Entry'!AK75="","",'Supp. Result Entry'!AK75)</f>
        <v/>
      </c>
      <c r="IK76" s="212" t="str">
        <f>IF('Supp. Result Entry'!W75="","",'Supp. Result Entry'!W75)</f>
        <v/>
      </c>
      <c r="IL76" s="212" t="str">
        <f>IF('Supp. Result Entry'!Z75="","",'Supp. Result Entry'!Z75)</f>
        <v/>
      </c>
      <c r="IM76" s="212" t="str">
        <f>IF('Supp. Result Entry'!AC75="","",'Supp. Result Entry'!AC75)</f>
        <v/>
      </c>
      <c r="IN76" s="212" t="str">
        <f>IF('Supp. Result Entry'!AF75="","",'Supp. Result Entry'!AF75)</f>
        <v/>
      </c>
      <c r="IO76" s="212" t="str">
        <f>IF('Supp. Result Entry'!AI75="","",'Supp. Result Entry'!AI75)</f>
        <v/>
      </c>
      <c r="IP76" s="212" t="str">
        <f>IF('Supp. Result Entry'!AL75="","",'Supp. Result Entry'!AL75)</f>
        <v/>
      </c>
      <c r="IQ76" s="212">
        <f>COUNTIF('Supp. Result Entry'!K75:Q75,"S")</f>
        <v>0</v>
      </c>
      <c r="IR76" s="212">
        <f t="shared" si="355"/>
        <v>0</v>
      </c>
      <c r="IS76" s="212">
        <f t="shared" si="356"/>
        <v>0</v>
      </c>
      <c r="IT76" s="212" t="str">
        <f t="shared" si="224"/>
        <v/>
      </c>
      <c r="IU76" s="212" t="str">
        <f t="shared" si="225"/>
        <v/>
      </c>
      <c r="IV76" s="212" t="str">
        <f t="shared" si="226"/>
        <v/>
      </c>
      <c r="IW76" s="212" t="str">
        <f t="shared" si="227"/>
        <v/>
      </c>
      <c r="IX76" s="212" t="str">
        <f t="shared" si="228"/>
        <v/>
      </c>
      <c r="IY76" s="212" t="str">
        <f t="shared" si="357"/>
        <v/>
      </c>
      <c r="IZ76" s="212" t="str">
        <f t="shared" si="358"/>
        <v/>
      </c>
      <c r="JA76" s="212" t="str">
        <f t="shared" si="229"/>
        <v/>
      </c>
      <c r="JB76" s="210" t="str">
        <f t="shared" si="359"/>
        <v/>
      </c>
    </row>
    <row r="77" spans="1:262" s="210" customFormat="1" ht="21" customHeight="1">
      <c r="A77" s="183">
        <v>70</v>
      </c>
      <c r="B77" s="184" t="str">
        <f>IF('Marks Entry'!B77="","",'Marks Entry'!B77)</f>
        <v/>
      </c>
      <c r="C77" s="185" t="str">
        <f>IF('Marks Entry'!D77="","",'Marks Entry'!D77)</f>
        <v/>
      </c>
      <c r="D77" s="186" t="str">
        <f>IF('Marks Entry'!E77="","",'Marks Entry'!E77)</f>
        <v/>
      </c>
      <c r="E77" s="187" t="str">
        <f>IF('Marks Entry'!F77="","",'Marks Entry'!F77)</f>
        <v/>
      </c>
      <c r="F77" s="187" t="str">
        <f>IF('Marks Entry'!G77="","",'Marks Entry'!G77)</f>
        <v/>
      </c>
      <c r="G77" s="187" t="str">
        <f>IF('Marks Entry'!H77="","",'Marks Entry'!H77)</f>
        <v/>
      </c>
      <c r="H77" s="188" t="str">
        <f>IF('Marks Entry'!I77="","",'Marks Entry'!I77)</f>
        <v/>
      </c>
      <c r="I77" s="189" t="str">
        <f>IF('Marks Entry'!J77="","",'Marks Entry'!J77)</f>
        <v/>
      </c>
      <c r="J77" s="545" t="str">
        <f>IF('Marks Entry'!K77="","",'Marks Entry'!K77)</f>
        <v/>
      </c>
      <c r="K77" s="545" t="str">
        <f>IF('Marks Entry'!L77="","",'Marks Entry'!L77)</f>
        <v/>
      </c>
      <c r="L77" s="545" t="str">
        <f>IF('Marks Entry'!M77="","",'Marks Entry'!M77)</f>
        <v/>
      </c>
      <c r="M77" s="546" t="str">
        <f t="shared" si="230"/>
        <v/>
      </c>
      <c r="N77" s="545" t="str">
        <f>IF('Marks Entry'!N77="","",'Marks Entry'!N77)</f>
        <v/>
      </c>
      <c r="O77" s="546" t="str">
        <f t="shared" si="231"/>
        <v/>
      </c>
      <c r="P77" s="545" t="str">
        <f>IF('Marks Entry'!O77="","",'Marks Entry'!O77)</f>
        <v/>
      </c>
      <c r="Q77" s="547" t="str">
        <f t="shared" si="232"/>
        <v/>
      </c>
      <c r="R77" s="152">
        <f t="shared" si="233"/>
        <v>0</v>
      </c>
      <c r="S77" s="152">
        <f t="shared" si="234"/>
        <v>0</v>
      </c>
      <c r="T77" s="153" t="str">
        <f t="shared" si="235"/>
        <v/>
      </c>
      <c r="U77" s="152" t="str">
        <f t="shared" si="236"/>
        <v/>
      </c>
      <c r="V77" s="152" t="str">
        <f t="shared" si="237"/>
        <v/>
      </c>
      <c r="W77" s="152" t="str">
        <f t="shared" si="238"/>
        <v/>
      </c>
      <c r="X77" s="545" t="str">
        <f>IF('Marks Entry'!P77="","",'Marks Entry'!P77)</f>
        <v/>
      </c>
      <c r="Y77" s="545" t="str">
        <f>IF('Marks Entry'!Q77="","",'Marks Entry'!Q77)</f>
        <v/>
      </c>
      <c r="Z77" s="545" t="str">
        <f>IF('Marks Entry'!R77="","",'Marks Entry'!R77)</f>
        <v/>
      </c>
      <c r="AA77" s="546" t="str">
        <f t="shared" si="239"/>
        <v/>
      </c>
      <c r="AB77" s="545" t="str">
        <f>IF('Marks Entry'!S77="","",'Marks Entry'!S77)</f>
        <v/>
      </c>
      <c r="AC77" s="546" t="str">
        <f t="shared" si="240"/>
        <v/>
      </c>
      <c r="AD77" s="545" t="str">
        <f>IF('Marks Entry'!T77="","",'Marks Entry'!T77)</f>
        <v/>
      </c>
      <c r="AE77" s="547" t="str">
        <f t="shared" si="241"/>
        <v/>
      </c>
      <c r="AF77" s="152">
        <f t="shared" si="242"/>
        <v>0</v>
      </c>
      <c r="AG77" s="152">
        <f t="shared" si="243"/>
        <v>0</v>
      </c>
      <c r="AH77" s="153" t="str">
        <f t="shared" si="244"/>
        <v/>
      </c>
      <c r="AI77" s="152" t="str">
        <f t="shared" si="245"/>
        <v/>
      </c>
      <c r="AJ77" s="152" t="str">
        <f t="shared" si="246"/>
        <v/>
      </c>
      <c r="AK77" s="152" t="str">
        <f t="shared" si="247"/>
        <v/>
      </c>
      <c r="AL77" s="573" t="str">
        <f>IF('Marks Entry'!U77="","",'Marks Entry'!U77)</f>
        <v/>
      </c>
      <c r="AM77" s="573" t="str">
        <f>IF('Marks Entry'!V77="","",'Marks Entry'!V77)</f>
        <v/>
      </c>
      <c r="AN77" s="573" t="str">
        <f>IF('Marks Entry'!W77="","",'Marks Entry'!W77)</f>
        <v/>
      </c>
      <c r="AO77" s="573" t="str">
        <f>IF('Marks Entry'!X77="","",'Marks Entry'!X77)</f>
        <v/>
      </c>
      <c r="AP77" s="572" t="str">
        <f t="shared" si="248"/>
        <v/>
      </c>
      <c r="AQ77" s="573" t="str">
        <f>IF('Marks Entry'!Y77="","",'Marks Entry'!Y77)</f>
        <v/>
      </c>
      <c r="AR77" s="573" t="str">
        <f>IF('Marks Entry'!Z77="","",'Marks Entry'!Z77)</f>
        <v/>
      </c>
      <c r="AS77" s="572" t="str">
        <f t="shared" si="249"/>
        <v/>
      </c>
      <c r="AT77" s="572" t="str">
        <f t="shared" si="250"/>
        <v/>
      </c>
      <c r="AU77" s="573" t="str">
        <f>IF('Marks Entry'!AA77="","",'Marks Entry'!AA77)</f>
        <v/>
      </c>
      <c r="AV77" s="573" t="str">
        <f>IF('Marks Entry'!AB77="","",'Marks Entry'!AB77)</f>
        <v/>
      </c>
      <c r="AW77" s="572" t="str">
        <f t="shared" si="251"/>
        <v/>
      </c>
      <c r="AX77" s="156" t="str">
        <f t="shared" si="252"/>
        <v/>
      </c>
      <c r="AY77" s="156" t="str">
        <f t="shared" si="253"/>
        <v/>
      </c>
      <c r="AZ77" s="191" t="str">
        <f t="shared" si="254"/>
        <v/>
      </c>
      <c r="BA77" s="152">
        <f t="shared" si="255"/>
        <v>0</v>
      </c>
      <c r="BB77" s="153">
        <f t="shared" si="256"/>
        <v>0</v>
      </c>
      <c r="BC77" s="153" t="str">
        <f t="shared" si="257"/>
        <v/>
      </c>
      <c r="BD77" s="153" t="str">
        <f t="shared" si="258"/>
        <v/>
      </c>
      <c r="BE77" s="153" t="str">
        <f t="shared" si="259"/>
        <v/>
      </c>
      <c r="BF77" s="152" t="str">
        <f t="shared" si="260"/>
        <v/>
      </c>
      <c r="BG77" s="153" t="str">
        <f t="shared" si="261"/>
        <v/>
      </c>
      <c r="BH77" s="152" t="str">
        <f t="shared" si="262"/>
        <v/>
      </c>
      <c r="BI77" s="580" t="str">
        <f>IF('Marks Entry'!AC77="","",'Marks Entry'!AC77)</f>
        <v/>
      </c>
      <c r="BJ77" s="580" t="str">
        <f>IF('Marks Entry'!AD77="","",'Marks Entry'!AD77)</f>
        <v/>
      </c>
      <c r="BK77" s="580" t="str">
        <f>IF('Marks Entry'!AE77="","",'Marks Entry'!AE77)</f>
        <v/>
      </c>
      <c r="BL77" s="580" t="str">
        <f>IF('Marks Entry'!AF77="","",'Marks Entry'!AF77)</f>
        <v/>
      </c>
      <c r="BM77" s="581" t="str">
        <f t="shared" si="263"/>
        <v/>
      </c>
      <c r="BN77" s="580" t="str">
        <f>IF('Marks Entry'!AG77="","",'Marks Entry'!AG77)</f>
        <v/>
      </c>
      <c r="BO77" s="580" t="str">
        <f>IF('Marks Entry'!AH77="","",'Marks Entry'!AH77)</f>
        <v/>
      </c>
      <c r="BP77" s="581" t="str">
        <f t="shared" si="264"/>
        <v/>
      </c>
      <c r="BQ77" s="581" t="str">
        <f t="shared" si="265"/>
        <v/>
      </c>
      <c r="BR77" s="580" t="str">
        <f>IF('Marks Entry'!AI77="","",'Marks Entry'!AI77)</f>
        <v/>
      </c>
      <c r="BS77" s="580" t="str">
        <f>IF('Marks Entry'!AJ77="","",'Marks Entry'!AJ77)</f>
        <v/>
      </c>
      <c r="BT77" s="581" t="str">
        <f t="shared" si="266"/>
        <v/>
      </c>
      <c r="BU77" s="156" t="str">
        <f t="shared" si="267"/>
        <v/>
      </c>
      <c r="BV77" s="156" t="str">
        <f t="shared" si="268"/>
        <v/>
      </c>
      <c r="BW77" s="191" t="str">
        <f t="shared" si="269"/>
        <v/>
      </c>
      <c r="BX77" s="152">
        <f t="shared" si="270"/>
        <v>0</v>
      </c>
      <c r="BY77" s="153">
        <f t="shared" si="271"/>
        <v>0</v>
      </c>
      <c r="BZ77" s="153" t="str">
        <f t="shared" si="272"/>
        <v/>
      </c>
      <c r="CA77" s="153" t="str">
        <f t="shared" si="273"/>
        <v/>
      </c>
      <c r="CB77" s="153" t="str">
        <f t="shared" si="274"/>
        <v/>
      </c>
      <c r="CC77" s="152" t="str">
        <f t="shared" si="275"/>
        <v/>
      </c>
      <c r="CD77" s="153" t="str">
        <f t="shared" si="276"/>
        <v/>
      </c>
      <c r="CE77" s="152" t="str">
        <f t="shared" si="277"/>
        <v/>
      </c>
      <c r="CF77" s="580" t="str">
        <f>IF('Marks Entry'!AK77="","",'Marks Entry'!AK77)</f>
        <v/>
      </c>
      <c r="CG77" s="580" t="str">
        <f>IF('Marks Entry'!AL77="","",'Marks Entry'!AL77)</f>
        <v/>
      </c>
      <c r="CH77" s="580" t="str">
        <f>IF('Marks Entry'!AM77="","",'Marks Entry'!AM77)</f>
        <v/>
      </c>
      <c r="CI77" s="580" t="str">
        <f>IF('Marks Entry'!AN77="","",'Marks Entry'!AN77)</f>
        <v/>
      </c>
      <c r="CJ77" s="581" t="str">
        <f t="shared" si="278"/>
        <v/>
      </c>
      <c r="CK77" s="580" t="str">
        <f>IF('Marks Entry'!AO77="","",'Marks Entry'!AO77)</f>
        <v/>
      </c>
      <c r="CL77" s="580" t="str">
        <f>IF('Marks Entry'!AP77="","",'Marks Entry'!AP77)</f>
        <v/>
      </c>
      <c r="CM77" s="581" t="str">
        <f t="shared" si="279"/>
        <v/>
      </c>
      <c r="CN77" s="581" t="str">
        <f t="shared" si="280"/>
        <v/>
      </c>
      <c r="CO77" s="580" t="str">
        <f>IF('Marks Entry'!AQ77="","",'Marks Entry'!AQ77)</f>
        <v/>
      </c>
      <c r="CP77" s="580" t="str">
        <f>IF('Marks Entry'!AR77="","",'Marks Entry'!AR77)</f>
        <v/>
      </c>
      <c r="CQ77" s="581" t="str">
        <f t="shared" si="281"/>
        <v/>
      </c>
      <c r="CR77" s="156" t="str">
        <f t="shared" si="282"/>
        <v/>
      </c>
      <c r="CS77" s="156" t="str">
        <f t="shared" si="283"/>
        <v/>
      </c>
      <c r="CT77" s="191" t="str">
        <f t="shared" si="284"/>
        <v/>
      </c>
      <c r="CU77" s="152">
        <f t="shared" si="285"/>
        <v>0</v>
      </c>
      <c r="CV77" s="153">
        <f t="shared" si="286"/>
        <v>0</v>
      </c>
      <c r="CW77" s="153" t="str">
        <f t="shared" si="287"/>
        <v/>
      </c>
      <c r="CX77" s="153" t="str">
        <f t="shared" si="288"/>
        <v/>
      </c>
      <c r="CY77" s="153" t="str">
        <f t="shared" si="289"/>
        <v/>
      </c>
      <c r="CZ77" s="152" t="str">
        <f t="shared" si="290"/>
        <v/>
      </c>
      <c r="DA77" s="153" t="str">
        <f t="shared" si="291"/>
        <v/>
      </c>
      <c r="DB77" s="152" t="str">
        <f t="shared" si="292"/>
        <v/>
      </c>
      <c r="DC77" s="153">
        <f t="shared" si="293"/>
        <v>0</v>
      </c>
      <c r="DD77" s="851" t="str">
        <f>IF('Marks Entry'!AS77="","",IF(OR('Master Sheet'!$D$19="YES",'Marks Entry'!$BA$1=1),'Marks Entry'!AS77,""))</f>
        <v/>
      </c>
      <c r="DE77" s="851" t="str">
        <f>IF('Marks Entry'!AT77="","",IF(OR('Master Sheet'!$D$19="YES",'Marks Entry'!$BA$1=1),'Marks Entry'!AT77,""))</f>
        <v/>
      </c>
      <c r="DF77" s="851" t="str">
        <f>IF('Marks Entry'!AU77="","",IF(OR('Master Sheet'!$D$19="YES",'Marks Entry'!$BA$1=1),'Marks Entry'!AU77,""))</f>
        <v/>
      </c>
      <c r="DG77" s="851" t="str">
        <f>IF('Marks Entry'!AV77="","",IF(OR('Master Sheet'!$D$19="YES",'Marks Entry'!$BA$1=1),'Marks Entry'!AV77,""))</f>
        <v/>
      </c>
      <c r="DH77" s="852" t="str">
        <f t="shared" si="294"/>
        <v/>
      </c>
      <c r="DI77" s="851" t="str">
        <f>IF('Marks Entry'!AW77="","",IF(OR('Master Sheet'!$D$19="YES",'Marks Entry'!$BA$1=1),'Marks Entry'!AW77,""))</f>
        <v/>
      </c>
      <c r="DJ77" s="851" t="str">
        <f>IF('Marks Entry'!AX77="","",IF(OR('Master Sheet'!$D$19="YES",'Marks Entry'!$BA$1=1),'Marks Entry'!AX77,""))</f>
        <v/>
      </c>
      <c r="DK77" s="852" t="str">
        <f t="shared" si="295"/>
        <v/>
      </c>
      <c r="DL77" s="852" t="str">
        <f t="shared" si="296"/>
        <v/>
      </c>
      <c r="DM77" s="851" t="str">
        <f>IF('Marks Entry'!AY77="","",IF(OR('Master Sheet'!$D$19="YES",'Marks Entry'!$BA$1=1),'Marks Entry'!AY77,""))</f>
        <v/>
      </c>
      <c r="DN77" s="851" t="str">
        <f>IF('Marks Entry'!AZ77="","",IF(OR('Master Sheet'!$D$19="YES",'Marks Entry'!$BA$1=1),'Marks Entry'!AZ77,""))</f>
        <v/>
      </c>
      <c r="DO77" s="851" t="str">
        <f>IF('Marks Entry'!BA77="","",IF(OR('Master Sheet'!$D$19="YES",'Marks Entry'!$BA$1=1),'Marks Entry'!BA77,""))</f>
        <v/>
      </c>
      <c r="DP77" s="852" t="str">
        <f t="shared" si="297"/>
        <v/>
      </c>
      <c r="DQ77" s="156" t="str">
        <f t="shared" si="298"/>
        <v/>
      </c>
      <c r="DR77" s="156" t="str">
        <f t="shared" si="299"/>
        <v/>
      </c>
      <c r="DS77" s="156" t="str">
        <f t="shared" si="300"/>
        <v/>
      </c>
      <c r="DT77" s="191" t="str">
        <f t="shared" si="301"/>
        <v/>
      </c>
      <c r="DU77" s="152">
        <f t="shared" si="302"/>
        <v>0</v>
      </c>
      <c r="DV77" s="153">
        <f t="shared" si="303"/>
        <v>0</v>
      </c>
      <c r="DW77" s="153" t="str">
        <f t="shared" si="304"/>
        <v/>
      </c>
      <c r="DX77" s="153" t="str">
        <f>IF(OR($B77="NSO",$B77=0,DS77=""),"",IF(AND(DJ77="",DO77=""),"",IF('Master Sheet'!$D$19="YES",$DO$6-COUNTIF(DO77,"ML")*DO$6,DS$6-(COUNTIF(DJ77,"ML")*DJ$6)-(COUNTIF(DO77,"ML")*DO$6))))</f>
        <v/>
      </c>
      <c r="DY77" s="153" t="str">
        <f>IF(OR($B77="NSO",$B77=0),"",IF(AND(DH77="",DI77="",DM77=""),"",IF(AND('Master Sheet'!$D$19="YES",'Marks Entry'!$BA$1=1),100,IF(AND(DJ77="",DO77=""),SUM(($DQ$7+$DR$7)-(DU77+DV77)),SUM(($DQ$6+$DR$6)-(DU77+DV77))))))</f>
        <v/>
      </c>
      <c r="DZ77" s="152" t="str">
        <f t="shared" si="305"/>
        <v/>
      </c>
      <c r="EA77" s="153" t="str">
        <f t="shared" si="306"/>
        <v/>
      </c>
      <c r="EB77" s="152" t="str">
        <f t="shared" si="307"/>
        <v/>
      </c>
      <c r="EC77" s="584" t="str">
        <f>IF('Marks Entry'!BB77="","",'Marks Entry'!BB77)</f>
        <v/>
      </c>
      <c r="ED77" s="584" t="str">
        <f>IF('Marks Entry'!BC77="","",'Marks Entry'!BC77)</f>
        <v/>
      </c>
      <c r="EE77" s="584" t="str">
        <f>IF('Marks Entry'!BD77="","",'Marks Entry'!BD77)</f>
        <v/>
      </c>
      <c r="EF77" s="590" t="str">
        <f t="shared" si="308"/>
        <v/>
      </c>
      <c r="EG77" s="595">
        <f t="shared" si="309"/>
        <v>0</v>
      </c>
      <c r="EH77" s="595">
        <f t="shared" si="310"/>
        <v>0</v>
      </c>
      <c r="EI77" s="192" t="str">
        <f t="shared" si="311"/>
        <v/>
      </c>
      <c r="EJ77" s="595" t="str">
        <f t="shared" si="312"/>
        <v/>
      </c>
      <c r="EK77" s="595" t="str">
        <f t="shared" si="313"/>
        <v/>
      </c>
      <c r="EL77" s="193" t="str">
        <f t="shared" si="314"/>
        <v/>
      </c>
      <c r="EM77" s="193" t="str">
        <f t="shared" si="315"/>
        <v/>
      </c>
      <c r="EN77" s="193" t="str">
        <f t="shared" si="316"/>
        <v/>
      </c>
      <c r="EO77" s="193" t="str">
        <f t="shared" si="317"/>
        <v/>
      </c>
      <c r="EP77" s="193" t="str">
        <f t="shared" si="318"/>
        <v/>
      </c>
      <c r="EQ77" s="193" t="str">
        <f t="shared" si="319"/>
        <v/>
      </c>
      <c r="ER77" s="194">
        <f t="shared" si="320"/>
        <v>0</v>
      </c>
      <c r="ES77" s="194">
        <f t="shared" si="321"/>
        <v>0</v>
      </c>
      <c r="ET77" s="194">
        <f t="shared" si="322"/>
        <v>0</v>
      </c>
      <c r="EU77" s="194">
        <f t="shared" si="323"/>
        <v>0</v>
      </c>
      <c r="EV77" s="194">
        <f t="shared" si="324"/>
        <v>0</v>
      </c>
      <c r="EW77" s="194" t="str">
        <f t="shared" si="325"/>
        <v/>
      </c>
      <c r="EX77" s="195" t="str">
        <f t="shared" si="326"/>
        <v/>
      </c>
      <c r="EY77" s="196" t="str">
        <f>IF('Marks Entry'!BE77="","",'Marks Entry'!BE77)</f>
        <v/>
      </c>
      <c r="EZ77" s="196" t="str">
        <f>IF('Marks Entry'!BF77="","",'Marks Entry'!BF77)</f>
        <v/>
      </c>
      <c r="FA77" s="196" t="str">
        <f>IF('Marks Entry'!BG77="","",'Marks Entry'!BG77)</f>
        <v/>
      </c>
      <c r="FB77" s="596" t="str">
        <f t="shared" si="327"/>
        <v/>
      </c>
      <c r="FC77" s="196" t="str">
        <f>IF('Marks Entry'!BH77="","",'Marks Entry'!BH77)</f>
        <v/>
      </c>
      <c r="FD77" s="196" t="str">
        <f>IF('Marks Entry'!BI77="","",'Marks Entry'!BI77)</f>
        <v/>
      </c>
      <c r="FE77" s="197" t="str">
        <f t="shared" si="328"/>
        <v/>
      </c>
      <c r="FF77" s="198" t="str">
        <f t="shared" si="329"/>
        <v/>
      </c>
      <c r="FG77" s="199" t="str">
        <f>IF(AND(E77=""),"",IF('Student DATA Entry'!L73="","",'Student DATA Entry'!L73))</f>
        <v/>
      </c>
      <c r="FH77" s="200" t="str">
        <f>IF(AND(E77=""),"",IF('Student DATA Entry'!M73="","",'Student DATA Entry'!M73))</f>
        <v/>
      </c>
      <c r="FI77" s="201" t="str">
        <f t="shared" si="330"/>
        <v/>
      </c>
      <c r="FJ77" s="188" t="str">
        <f t="shared" si="331"/>
        <v/>
      </c>
      <c r="FK77" s="188" t="str">
        <f t="shared" si="332"/>
        <v/>
      </c>
      <c r="FL77" s="202" t="str">
        <f t="shared" si="201"/>
        <v/>
      </c>
      <c r="FM77" s="188" t="str">
        <f t="shared" si="333"/>
        <v/>
      </c>
      <c r="FN77" s="203" t="str">
        <f t="shared" si="334"/>
        <v/>
      </c>
      <c r="FO77" s="202" t="str">
        <f t="shared" si="202"/>
        <v/>
      </c>
      <c r="FP77" s="204" t="str">
        <f t="shared" si="335"/>
        <v/>
      </c>
      <c r="FQ77" s="188" t="str">
        <f t="shared" si="203"/>
        <v/>
      </c>
      <c r="FR77" s="188" t="str">
        <f t="shared" si="204"/>
        <v/>
      </c>
      <c r="FS77" s="188" t="str">
        <f t="shared" si="205"/>
        <v/>
      </c>
      <c r="FT77" s="188" t="str">
        <f t="shared" si="206"/>
        <v/>
      </c>
      <c r="FU77" s="188" t="str">
        <f t="shared" si="336"/>
        <v/>
      </c>
      <c r="FV77" s="205" t="str">
        <f t="shared" si="207"/>
        <v/>
      </c>
      <c r="FW77" s="204" t="str">
        <f t="shared" si="337"/>
        <v/>
      </c>
      <c r="FX77" s="188" t="str">
        <f t="shared" si="208"/>
        <v/>
      </c>
      <c r="FY77" s="188" t="str">
        <f t="shared" si="209"/>
        <v/>
      </c>
      <c r="FZ77" s="188" t="str">
        <f t="shared" si="210"/>
        <v/>
      </c>
      <c r="GA77" s="188" t="str">
        <f t="shared" si="211"/>
        <v/>
      </c>
      <c r="GB77" s="188" t="str">
        <f t="shared" si="338"/>
        <v/>
      </c>
      <c r="GC77" s="205" t="str">
        <f t="shared" si="212"/>
        <v/>
      </c>
      <c r="GD77" s="204" t="str">
        <f t="shared" si="339"/>
        <v/>
      </c>
      <c r="GE77" s="188" t="str">
        <f t="shared" si="213"/>
        <v/>
      </c>
      <c r="GF77" s="188" t="str">
        <f t="shared" si="214"/>
        <v/>
      </c>
      <c r="GG77" s="188" t="str">
        <f t="shared" si="215"/>
        <v/>
      </c>
      <c r="GH77" s="188" t="str">
        <f t="shared" si="216"/>
        <v/>
      </c>
      <c r="GI77" s="188" t="str">
        <f t="shared" si="340"/>
        <v/>
      </c>
      <c r="GJ77" s="205" t="str">
        <f t="shared" si="217"/>
        <v/>
      </c>
      <c r="GK77" s="204" t="str">
        <f t="shared" si="341"/>
        <v/>
      </c>
      <c r="GL77" s="188" t="str">
        <f t="shared" si="218"/>
        <v/>
      </c>
      <c r="GM77" s="188" t="str">
        <f t="shared" si="219"/>
        <v/>
      </c>
      <c r="GN77" s="188" t="str">
        <f t="shared" si="220"/>
        <v/>
      </c>
      <c r="GO77" s="188" t="str">
        <f t="shared" si="221"/>
        <v/>
      </c>
      <c r="GP77" s="188" t="str">
        <f t="shared" si="342"/>
        <v/>
      </c>
      <c r="GQ77" s="205" t="str">
        <f t="shared" si="222"/>
        <v/>
      </c>
      <c r="GR77" s="188" t="str">
        <f t="shared" si="343"/>
        <v/>
      </c>
      <c r="GS77" s="188" t="str">
        <f t="shared" si="344"/>
        <v/>
      </c>
      <c r="GT77" s="206" t="str">
        <f t="shared" si="345"/>
        <v xml:space="preserve">    </v>
      </c>
      <c r="GU77" s="206" t="str">
        <f t="shared" si="346"/>
        <v xml:space="preserve">    </v>
      </c>
      <c r="GV77" s="206" t="str">
        <f t="shared" si="347"/>
        <v xml:space="preserve">    </v>
      </c>
      <c r="GW77" s="206" t="str">
        <f t="shared" si="348"/>
        <v xml:space="preserve">       </v>
      </c>
      <c r="GX77" s="598" t="str">
        <f t="shared" si="349"/>
        <v xml:space="preserve">     </v>
      </c>
      <c r="GY77" s="207" t="str">
        <f t="shared" si="223"/>
        <v/>
      </c>
      <c r="GZ77" s="606" t="str">
        <f>IF(AND(Q77="",AE77="",AZ77="",BW77="",CT77=""),"",IF(AND('Master Sheet'!$D$19="YES",'Marks Entry'!$BA$1=1),SUM(Q77,AE77,AZ77,BW77,DT77),SUM(Q77,AE77,AZ77,BW77,CT77)))</f>
        <v/>
      </c>
      <c r="HA77" s="208" t="str">
        <f>IF(GZ77="","",IF(AND('Master Sheet'!$D$19="YES",'Marks Entry'!$BA$1=1),GZ77/((900)-DC77)*100,GZ77/((1000)-DC77)*100))</f>
        <v/>
      </c>
      <c r="HB77" s="611" t="str">
        <f t="shared" si="350"/>
        <v/>
      </c>
      <c r="HC77" s="609" t="str">
        <f t="shared" si="351"/>
        <v/>
      </c>
      <c r="HD77" s="610" t="str">
        <f t="shared" si="352"/>
        <v/>
      </c>
      <c r="HE77" s="209" t="str">
        <f>IFERROR(IF(OR(GY77="SUPPLEMENTARY",GY77="RE-EXAM"),'Supp. Result Entry'!AS76,""),"")</f>
        <v/>
      </c>
      <c r="HF77" s="613" t="str">
        <f t="shared" si="353"/>
        <v/>
      </c>
      <c r="HG77" s="598" t="str">
        <f t="shared" si="354"/>
        <v/>
      </c>
      <c r="HH77" s="598" t="str">
        <f>IF(AND(HE77="",HF77="",HG77=""),"",IF(OR(GY77="SUPPLEMENTARY",GY77="RE-EXAM"),'Supp. Result Entry'!AS76,GY77))</f>
        <v/>
      </c>
      <c r="HI77" s="179"/>
      <c r="HY77" s="211" t="str">
        <f>IF('Supp. Result Entry'!U76="","",'Supp. Result Entry'!$U$6)</f>
        <v/>
      </c>
      <c r="HZ77" s="212" t="str">
        <f>IF('Supp. Result Entry'!X76="","",'Supp. Result Entry'!$X$6)</f>
        <v/>
      </c>
      <c r="IA77" s="212" t="str">
        <f>IF('Supp. Result Entry'!AA76="","",'Supp. Result Entry'!$AA$6)</f>
        <v/>
      </c>
      <c r="IB77" s="212" t="str">
        <f>IF('Supp. Result Entry'!AD76="","",'Supp. Result Entry'!$AD$6)</f>
        <v/>
      </c>
      <c r="IC77" s="212" t="str">
        <f>IF('Supp. Result Entry'!AG76="","",'Supp. Result Entry'!$AG$6)</f>
        <v/>
      </c>
      <c r="ID77" s="212" t="str">
        <f>IF('Supp. Result Entry'!AJ76="","",'Supp. Result Entry'!$AJ$6)</f>
        <v/>
      </c>
      <c r="IE77" s="212" t="str">
        <f>IF('Supp. Result Entry'!V76="","",'Supp. Result Entry'!V76)</f>
        <v/>
      </c>
      <c r="IF77" s="212" t="str">
        <f>IF('Supp. Result Entry'!Y76="","",'Supp. Result Entry'!Y76)</f>
        <v/>
      </c>
      <c r="IG77" s="212" t="str">
        <f>IF('Supp. Result Entry'!AB76="","",'Supp. Result Entry'!AB76)</f>
        <v/>
      </c>
      <c r="IH77" s="212" t="str">
        <f>IF('Supp. Result Entry'!AE76="","",'Supp. Result Entry'!AE76)</f>
        <v/>
      </c>
      <c r="II77" s="212" t="str">
        <f>IF('Supp. Result Entry'!AH76="","",'Supp. Result Entry'!AH76)</f>
        <v/>
      </c>
      <c r="IJ77" s="212" t="str">
        <f>IF('Supp. Result Entry'!AK76="","",'Supp. Result Entry'!AK76)</f>
        <v/>
      </c>
      <c r="IK77" s="212" t="str">
        <f>IF('Supp. Result Entry'!W76="","",'Supp. Result Entry'!W76)</f>
        <v/>
      </c>
      <c r="IL77" s="212" t="str">
        <f>IF('Supp. Result Entry'!Z76="","",'Supp. Result Entry'!Z76)</f>
        <v/>
      </c>
      <c r="IM77" s="212" t="str">
        <f>IF('Supp. Result Entry'!AC76="","",'Supp. Result Entry'!AC76)</f>
        <v/>
      </c>
      <c r="IN77" s="212" t="str">
        <f>IF('Supp. Result Entry'!AF76="","",'Supp. Result Entry'!AF76)</f>
        <v/>
      </c>
      <c r="IO77" s="212" t="str">
        <f>IF('Supp. Result Entry'!AI76="","",'Supp. Result Entry'!AI76)</f>
        <v/>
      </c>
      <c r="IP77" s="212" t="str">
        <f>IF('Supp. Result Entry'!AL76="","",'Supp. Result Entry'!AL76)</f>
        <v/>
      </c>
      <c r="IQ77" s="212">
        <f>COUNTIF('Supp. Result Entry'!K76:Q76,"S")</f>
        <v>0</v>
      </c>
      <c r="IR77" s="212">
        <f t="shared" si="355"/>
        <v>0</v>
      </c>
      <c r="IS77" s="212">
        <f t="shared" si="356"/>
        <v>0</v>
      </c>
      <c r="IT77" s="212" t="str">
        <f t="shared" si="224"/>
        <v/>
      </c>
      <c r="IU77" s="212" t="str">
        <f t="shared" si="225"/>
        <v/>
      </c>
      <c r="IV77" s="212" t="str">
        <f t="shared" si="226"/>
        <v/>
      </c>
      <c r="IW77" s="212" t="str">
        <f t="shared" si="227"/>
        <v/>
      </c>
      <c r="IX77" s="212" t="str">
        <f t="shared" si="228"/>
        <v/>
      </c>
      <c r="IY77" s="212" t="str">
        <f t="shared" si="357"/>
        <v/>
      </c>
      <c r="IZ77" s="212" t="str">
        <f t="shared" si="358"/>
        <v/>
      </c>
      <c r="JA77" s="212" t="str">
        <f t="shared" si="229"/>
        <v/>
      </c>
      <c r="JB77" s="210" t="str">
        <f t="shared" si="359"/>
        <v/>
      </c>
    </row>
    <row r="78" spans="1:262" s="210" customFormat="1" ht="21" customHeight="1">
      <c r="A78" s="183">
        <v>71</v>
      </c>
      <c r="B78" s="184" t="str">
        <f>IF('Marks Entry'!B78="","",'Marks Entry'!B78)</f>
        <v/>
      </c>
      <c r="C78" s="185" t="str">
        <f>IF('Marks Entry'!D78="","",'Marks Entry'!D78)</f>
        <v/>
      </c>
      <c r="D78" s="186" t="str">
        <f>IF('Marks Entry'!E78="","",'Marks Entry'!E78)</f>
        <v/>
      </c>
      <c r="E78" s="187" t="str">
        <f>IF('Marks Entry'!F78="","",'Marks Entry'!F78)</f>
        <v/>
      </c>
      <c r="F78" s="187" t="str">
        <f>IF('Marks Entry'!G78="","",'Marks Entry'!G78)</f>
        <v/>
      </c>
      <c r="G78" s="187" t="str">
        <f>IF('Marks Entry'!H78="","",'Marks Entry'!H78)</f>
        <v/>
      </c>
      <c r="H78" s="188" t="str">
        <f>IF('Marks Entry'!I78="","",'Marks Entry'!I78)</f>
        <v/>
      </c>
      <c r="I78" s="189" t="str">
        <f>IF('Marks Entry'!J78="","",'Marks Entry'!J78)</f>
        <v/>
      </c>
      <c r="J78" s="545" t="str">
        <f>IF('Marks Entry'!K78="","",'Marks Entry'!K78)</f>
        <v/>
      </c>
      <c r="K78" s="545" t="str">
        <f>IF('Marks Entry'!L78="","",'Marks Entry'!L78)</f>
        <v/>
      </c>
      <c r="L78" s="545" t="str">
        <f>IF('Marks Entry'!M78="","",'Marks Entry'!M78)</f>
        <v/>
      </c>
      <c r="M78" s="546" t="str">
        <f t="shared" si="230"/>
        <v/>
      </c>
      <c r="N78" s="545" t="str">
        <f>IF('Marks Entry'!N78="","",'Marks Entry'!N78)</f>
        <v/>
      </c>
      <c r="O78" s="546" t="str">
        <f t="shared" si="231"/>
        <v/>
      </c>
      <c r="P78" s="545" t="str">
        <f>IF('Marks Entry'!O78="","",'Marks Entry'!O78)</f>
        <v/>
      </c>
      <c r="Q78" s="547" t="str">
        <f t="shared" si="232"/>
        <v/>
      </c>
      <c r="R78" s="152">
        <f t="shared" si="233"/>
        <v>0</v>
      </c>
      <c r="S78" s="152">
        <f t="shared" si="234"/>
        <v>0</v>
      </c>
      <c r="T78" s="153" t="str">
        <f t="shared" si="235"/>
        <v/>
      </c>
      <c r="U78" s="152" t="str">
        <f t="shared" si="236"/>
        <v/>
      </c>
      <c r="V78" s="152" t="str">
        <f t="shared" si="237"/>
        <v/>
      </c>
      <c r="W78" s="152" t="str">
        <f t="shared" si="238"/>
        <v/>
      </c>
      <c r="X78" s="545" t="str">
        <f>IF('Marks Entry'!P78="","",'Marks Entry'!P78)</f>
        <v/>
      </c>
      <c r="Y78" s="545" t="str">
        <f>IF('Marks Entry'!Q78="","",'Marks Entry'!Q78)</f>
        <v/>
      </c>
      <c r="Z78" s="545" t="str">
        <f>IF('Marks Entry'!R78="","",'Marks Entry'!R78)</f>
        <v/>
      </c>
      <c r="AA78" s="546" t="str">
        <f t="shared" si="239"/>
        <v/>
      </c>
      <c r="AB78" s="545" t="str">
        <f>IF('Marks Entry'!S78="","",'Marks Entry'!S78)</f>
        <v/>
      </c>
      <c r="AC78" s="546" t="str">
        <f t="shared" si="240"/>
        <v/>
      </c>
      <c r="AD78" s="545" t="str">
        <f>IF('Marks Entry'!T78="","",'Marks Entry'!T78)</f>
        <v/>
      </c>
      <c r="AE78" s="547" t="str">
        <f t="shared" si="241"/>
        <v/>
      </c>
      <c r="AF78" s="152">
        <f t="shared" si="242"/>
        <v>0</v>
      </c>
      <c r="AG78" s="152">
        <f t="shared" si="243"/>
        <v>0</v>
      </c>
      <c r="AH78" s="153" t="str">
        <f t="shared" si="244"/>
        <v/>
      </c>
      <c r="AI78" s="152" t="str">
        <f t="shared" si="245"/>
        <v/>
      </c>
      <c r="AJ78" s="152" t="str">
        <f t="shared" si="246"/>
        <v/>
      </c>
      <c r="AK78" s="152" t="str">
        <f t="shared" si="247"/>
        <v/>
      </c>
      <c r="AL78" s="573" t="str">
        <f>IF('Marks Entry'!U78="","",'Marks Entry'!U78)</f>
        <v/>
      </c>
      <c r="AM78" s="573" t="str">
        <f>IF('Marks Entry'!V78="","",'Marks Entry'!V78)</f>
        <v/>
      </c>
      <c r="AN78" s="573" t="str">
        <f>IF('Marks Entry'!W78="","",'Marks Entry'!W78)</f>
        <v/>
      </c>
      <c r="AO78" s="573" t="str">
        <f>IF('Marks Entry'!X78="","",'Marks Entry'!X78)</f>
        <v/>
      </c>
      <c r="AP78" s="572" t="str">
        <f t="shared" si="248"/>
        <v/>
      </c>
      <c r="AQ78" s="573" t="str">
        <f>IF('Marks Entry'!Y78="","",'Marks Entry'!Y78)</f>
        <v/>
      </c>
      <c r="AR78" s="573" t="str">
        <f>IF('Marks Entry'!Z78="","",'Marks Entry'!Z78)</f>
        <v/>
      </c>
      <c r="AS78" s="572" t="str">
        <f t="shared" si="249"/>
        <v/>
      </c>
      <c r="AT78" s="572" t="str">
        <f t="shared" si="250"/>
        <v/>
      </c>
      <c r="AU78" s="573" t="str">
        <f>IF('Marks Entry'!AA78="","",'Marks Entry'!AA78)</f>
        <v/>
      </c>
      <c r="AV78" s="573" t="str">
        <f>IF('Marks Entry'!AB78="","",'Marks Entry'!AB78)</f>
        <v/>
      </c>
      <c r="AW78" s="572" t="str">
        <f t="shared" si="251"/>
        <v/>
      </c>
      <c r="AX78" s="156" t="str">
        <f t="shared" si="252"/>
        <v/>
      </c>
      <c r="AY78" s="156" t="str">
        <f t="shared" si="253"/>
        <v/>
      </c>
      <c r="AZ78" s="191" t="str">
        <f t="shared" si="254"/>
        <v/>
      </c>
      <c r="BA78" s="152">
        <f t="shared" si="255"/>
        <v>0</v>
      </c>
      <c r="BB78" s="153">
        <f t="shared" si="256"/>
        <v>0</v>
      </c>
      <c r="BC78" s="153" t="str">
        <f t="shared" si="257"/>
        <v/>
      </c>
      <c r="BD78" s="153" t="str">
        <f t="shared" si="258"/>
        <v/>
      </c>
      <c r="BE78" s="153" t="str">
        <f t="shared" si="259"/>
        <v/>
      </c>
      <c r="BF78" s="152" t="str">
        <f t="shared" si="260"/>
        <v/>
      </c>
      <c r="BG78" s="153" t="str">
        <f t="shared" si="261"/>
        <v/>
      </c>
      <c r="BH78" s="152" t="str">
        <f t="shared" si="262"/>
        <v/>
      </c>
      <c r="BI78" s="580" t="str">
        <f>IF('Marks Entry'!AC78="","",'Marks Entry'!AC78)</f>
        <v/>
      </c>
      <c r="BJ78" s="580" t="str">
        <f>IF('Marks Entry'!AD78="","",'Marks Entry'!AD78)</f>
        <v/>
      </c>
      <c r="BK78" s="580" t="str">
        <f>IF('Marks Entry'!AE78="","",'Marks Entry'!AE78)</f>
        <v/>
      </c>
      <c r="BL78" s="580" t="str">
        <f>IF('Marks Entry'!AF78="","",'Marks Entry'!AF78)</f>
        <v/>
      </c>
      <c r="BM78" s="581" t="str">
        <f t="shared" si="263"/>
        <v/>
      </c>
      <c r="BN78" s="580" t="str">
        <f>IF('Marks Entry'!AG78="","",'Marks Entry'!AG78)</f>
        <v/>
      </c>
      <c r="BO78" s="580" t="str">
        <f>IF('Marks Entry'!AH78="","",'Marks Entry'!AH78)</f>
        <v/>
      </c>
      <c r="BP78" s="581" t="str">
        <f t="shared" si="264"/>
        <v/>
      </c>
      <c r="BQ78" s="581" t="str">
        <f t="shared" si="265"/>
        <v/>
      </c>
      <c r="BR78" s="580" t="str">
        <f>IF('Marks Entry'!AI78="","",'Marks Entry'!AI78)</f>
        <v/>
      </c>
      <c r="BS78" s="580" t="str">
        <f>IF('Marks Entry'!AJ78="","",'Marks Entry'!AJ78)</f>
        <v/>
      </c>
      <c r="BT78" s="581" t="str">
        <f t="shared" si="266"/>
        <v/>
      </c>
      <c r="BU78" s="156" t="str">
        <f t="shared" si="267"/>
        <v/>
      </c>
      <c r="BV78" s="156" t="str">
        <f t="shared" si="268"/>
        <v/>
      </c>
      <c r="BW78" s="191" t="str">
        <f t="shared" si="269"/>
        <v/>
      </c>
      <c r="BX78" s="152">
        <f t="shared" si="270"/>
        <v>0</v>
      </c>
      <c r="BY78" s="153">
        <f t="shared" si="271"/>
        <v>0</v>
      </c>
      <c r="BZ78" s="153" t="str">
        <f t="shared" si="272"/>
        <v/>
      </c>
      <c r="CA78" s="153" t="str">
        <f t="shared" si="273"/>
        <v/>
      </c>
      <c r="CB78" s="153" t="str">
        <f t="shared" si="274"/>
        <v/>
      </c>
      <c r="CC78" s="152" t="str">
        <f t="shared" si="275"/>
        <v/>
      </c>
      <c r="CD78" s="153" t="str">
        <f t="shared" si="276"/>
        <v/>
      </c>
      <c r="CE78" s="152" t="str">
        <f t="shared" si="277"/>
        <v/>
      </c>
      <c r="CF78" s="580" t="str">
        <f>IF('Marks Entry'!AK78="","",'Marks Entry'!AK78)</f>
        <v/>
      </c>
      <c r="CG78" s="580" t="str">
        <f>IF('Marks Entry'!AL78="","",'Marks Entry'!AL78)</f>
        <v/>
      </c>
      <c r="CH78" s="580" t="str">
        <f>IF('Marks Entry'!AM78="","",'Marks Entry'!AM78)</f>
        <v/>
      </c>
      <c r="CI78" s="580" t="str">
        <f>IF('Marks Entry'!AN78="","",'Marks Entry'!AN78)</f>
        <v/>
      </c>
      <c r="CJ78" s="581" t="str">
        <f t="shared" si="278"/>
        <v/>
      </c>
      <c r="CK78" s="580" t="str">
        <f>IF('Marks Entry'!AO78="","",'Marks Entry'!AO78)</f>
        <v/>
      </c>
      <c r="CL78" s="580" t="str">
        <f>IF('Marks Entry'!AP78="","",'Marks Entry'!AP78)</f>
        <v/>
      </c>
      <c r="CM78" s="581" t="str">
        <f t="shared" si="279"/>
        <v/>
      </c>
      <c r="CN78" s="581" t="str">
        <f t="shared" si="280"/>
        <v/>
      </c>
      <c r="CO78" s="580" t="str">
        <f>IF('Marks Entry'!AQ78="","",'Marks Entry'!AQ78)</f>
        <v/>
      </c>
      <c r="CP78" s="580" t="str">
        <f>IF('Marks Entry'!AR78="","",'Marks Entry'!AR78)</f>
        <v/>
      </c>
      <c r="CQ78" s="581" t="str">
        <f t="shared" si="281"/>
        <v/>
      </c>
      <c r="CR78" s="156" t="str">
        <f t="shared" si="282"/>
        <v/>
      </c>
      <c r="CS78" s="156" t="str">
        <f t="shared" si="283"/>
        <v/>
      </c>
      <c r="CT78" s="191" t="str">
        <f t="shared" si="284"/>
        <v/>
      </c>
      <c r="CU78" s="152">
        <f t="shared" si="285"/>
        <v>0</v>
      </c>
      <c r="CV78" s="153">
        <f t="shared" si="286"/>
        <v>0</v>
      </c>
      <c r="CW78" s="153" t="str">
        <f t="shared" si="287"/>
        <v/>
      </c>
      <c r="CX78" s="153" t="str">
        <f t="shared" si="288"/>
        <v/>
      </c>
      <c r="CY78" s="153" t="str">
        <f t="shared" si="289"/>
        <v/>
      </c>
      <c r="CZ78" s="152" t="str">
        <f t="shared" si="290"/>
        <v/>
      </c>
      <c r="DA78" s="153" t="str">
        <f t="shared" si="291"/>
        <v/>
      </c>
      <c r="DB78" s="152" t="str">
        <f t="shared" si="292"/>
        <v/>
      </c>
      <c r="DC78" s="153">
        <f t="shared" si="293"/>
        <v>0</v>
      </c>
      <c r="DD78" s="851" t="str">
        <f>IF('Marks Entry'!AS78="","",IF(OR('Master Sheet'!$D$19="YES",'Marks Entry'!$BA$1=1),'Marks Entry'!AS78,""))</f>
        <v/>
      </c>
      <c r="DE78" s="851" t="str">
        <f>IF('Marks Entry'!AT78="","",IF(OR('Master Sheet'!$D$19="YES",'Marks Entry'!$BA$1=1),'Marks Entry'!AT78,""))</f>
        <v/>
      </c>
      <c r="DF78" s="851" t="str">
        <f>IF('Marks Entry'!AU78="","",IF(OR('Master Sheet'!$D$19="YES",'Marks Entry'!$BA$1=1),'Marks Entry'!AU78,""))</f>
        <v/>
      </c>
      <c r="DG78" s="851" t="str">
        <f>IF('Marks Entry'!AV78="","",IF(OR('Master Sheet'!$D$19="YES",'Marks Entry'!$BA$1=1),'Marks Entry'!AV78,""))</f>
        <v/>
      </c>
      <c r="DH78" s="852" t="str">
        <f t="shared" si="294"/>
        <v/>
      </c>
      <c r="DI78" s="851" t="str">
        <f>IF('Marks Entry'!AW78="","",IF(OR('Master Sheet'!$D$19="YES",'Marks Entry'!$BA$1=1),'Marks Entry'!AW78,""))</f>
        <v/>
      </c>
      <c r="DJ78" s="851" t="str">
        <f>IF('Marks Entry'!AX78="","",IF(OR('Master Sheet'!$D$19="YES",'Marks Entry'!$BA$1=1),'Marks Entry'!AX78,""))</f>
        <v/>
      </c>
      <c r="DK78" s="852" t="str">
        <f t="shared" si="295"/>
        <v/>
      </c>
      <c r="DL78" s="852" t="str">
        <f t="shared" si="296"/>
        <v/>
      </c>
      <c r="DM78" s="851" t="str">
        <f>IF('Marks Entry'!AY78="","",IF(OR('Master Sheet'!$D$19="YES",'Marks Entry'!$BA$1=1),'Marks Entry'!AY78,""))</f>
        <v/>
      </c>
      <c r="DN78" s="851" t="str">
        <f>IF('Marks Entry'!AZ78="","",IF(OR('Master Sheet'!$D$19="YES",'Marks Entry'!$BA$1=1),'Marks Entry'!AZ78,""))</f>
        <v/>
      </c>
      <c r="DO78" s="851" t="str">
        <f>IF('Marks Entry'!BA78="","",IF(OR('Master Sheet'!$D$19="YES",'Marks Entry'!$BA$1=1),'Marks Entry'!BA78,""))</f>
        <v/>
      </c>
      <c r="DP78" s="852" t="str">
        <f t="shared" si="297"/>
        <v/>
      </c>
      <c r="DQ78" s="156" t="str">
        <f t="shared" si="298"/>
        <v/>
      </c>
      <c r="DR78" s="156" t="str">
        <f t="shared" si="299"/>
        <v/>
      </c>
      <c r="DS78" s="156" t="str">
        <f t="shared" si="300"/>
        <v/>
      </c>
      <c r="DT78" s="191" t="str">
        <f t="shared" si="301"/>
        <v/>
      </c>
      <c r="DU78" s="152">
        <f t="shared" si="302"/>
        <v>0</v>
      </c>
      <c r="DV78" s="153">
        <f t="shared" si="303"/>
        <v>0</v>
      </c>
      <c r="DW78" s="153" t="str">
        <f t="shared" si="304"/>
        <v/>
      </c>
      <c r="DX78" s="153" t="str">
        <f>IF(OR($B78="NSO",$B78=0,DS78=""),"",IF(AND(DJ78="",DO78=""),"",IF('Master Sheet'!$D$19="YES",$DO$6-COUNTIF(DO78,"ML")*DO$6,DS$6-(COUNTIF(DJ78,"ML")*DJ$6)-(COUNTIF(DO78,"ML")*DO$6))))</f>
        <v/>
      </c>
      <c r="DY78" s="153" t="str">
        <f>IF(OR($B78="NSO",$B78=0),"",IF(AND(DH78="",DI78="",DM78=""),"",IF(AND('Master Sheet'!$D$19="YES",'Marks Entry'!$BA$1=1),100,IF(AND(DJ78="",DO78=""),SUM(($DQ$7+$DR$7)-(DU78+DV78)),SUM(($DQ$6+$DR$6)-(DU78+DV78))))))</f>
        <v/>
      </c>
      <c r="DZ78" s="152" t="str">
        <f t="shared" si="305"/>
        <v/>
      </c>
      <c r="EA78" s="153" t="str">
        <f t="shared" si="306"/>
        <v/>
      </c>
      <c r="EB78" s="152" t="str">
        <f t="shared" si="307"/>
        <v/>
      </c>
      <c r="EC78" s="584" t="str">
        <f>IF('Marks Entry'!BB78="","",'Marks Entry'!BB78)</f>
        <v/>
      </c>
      <c r="ED78" s="584" t="str">
        <f>IF('Marks Entry'!BC78="","",'Marks Entry'!BC78)</f>
        <v/>
      </c>
      <c r="EE78" s="584" t="str">
        <f>IF('Marks Entry'!BD78="","",'Marks Entry'!BD78)</f>
        <v/>
      </c>
      <c r="EF78" s="590" t="str">
        <f t="shared" si="308"/>
        <v/>
      </c>
      <c r="EG78" s="595">
        <f t="shared" si="309"/>
        <v>0</v>
      </c>
      <c r="EH78" s="595">
        <f t="shared" si="310"/>
        <v>0</v>
      </c>
      <c r="EI78" s="192" t="str">
        <f t="shared" si="311"/>
        <v/>
      </c>
      <c r="EJ78" s="595" t="str">
        <f t="shared" si="312"/>
        <v/>
      </c>
      <c r="EK78" s="595" t="str">
        <f t="shared" si="313"/>
        <v/>
      </c>
      <c r="EL78" s="193" t="str">
        <f t="shared" si="314"/>
        <v/>
      </c>
      <c r="EM78" s="193" t="str">
        <f t="shared" si="315"/>
        <v/>
      </c>
      <c r="EN78" s="193" t="str">
        <f t="shared" si="316"/>
        <v/>
      </c>
      <c r="EO78" s="193" t="str">
        <f t="shared" si="317"/>
        <v/>
      </c>
      <c r="EP78" s="193" t="str">
        <f t="shared" si="318"/>
        <v/>
      </c>
      <c r="EQ78" s="193" t="str">
        <f t="shared" si="319"/>
        <v/>
      </c>
      <c r="ER78" s="194">
        <f t="shared" si="320"/>
        <v>0</v>
      </c>
      <c r="ES78" s="194">
        <f t="shared" si="321"/>
        <v>0</v>
      </c>
      <c r="ET78" s="194">
        <f t="shared" si="322"/>
        <v>0</v>
      </c>
      <c r="EU78" s="194">
        <f t="shared" si="323"/>
        <v>0</v>
      </c>
      <c r="EV78" s="194">
        <f t="shared" si="324"/>
        <v>0</v>
      </c>
      <c r="EW78" s="194" t="str">
        <f t="shared" si="325"/>
        <v/>
      </c>
      <c r="EX78" s="195" t="str">
        <f t="shared" si="326"/>
        <v/>
      </c>
      <c r="EY78" s="196" t="str">
        <f>IF('Marks Entry'!BE78="","",'Marks Entry'!BE78)</f>
        <v/>
      </c>
      <c r="EZ78" s="196" t="str">
        <f>IF('Marks Entry'!BF78="","",'Marks Entry'!BF78)</f>
        <v/>
      </c>
      <c r="FA78" s="196" t="str">
        <f>IF('Marks Entry'!BG78="","",'Marks Entry'!BG78)</f>
        <v/>
      </c>
      <c r="FB78" s="596" t="str">
        <f t="shared" si="327"/>
        <v/>
      </c>
      <c r="FC78" s="196" t="str">
        <f>IF('Marks Entry'!BH78="","",'Marks Entry'!BH78)</f>
        <v/>
      </c>
      <c r="FD78" s="196" t="str">
        <f>IF('Marks Entry'!BI78="","",'Marks Entry'!BI78)</f>
        <v/>
      </c>
      <c r="FE78" s="197" t="str">
        <f t="shared" si="328"/>
        <v/>
      </c>
      <c r="FF78" s="198" t="str">
        <f t="shared" si="329"/>
        <v/>
      </c>
      <c r="FG78" s="199" t="str">
        <f>IF(AND(E78=""),"",IF('Student DATA Entry'!L74="","",'Student DATA Entry'!L74))</f>
        <v/>
      </c>
      <c r="FH78" s="200" t="str">
        <f>IF(AND(E78=""),"",IF('Student DATA Entry'!M74="","",'Student DATA Entry'!M74))</f>
        <v/>
      </c>
      <c r="FI78" s="201" t="str">
        <f t="shared" si="330"/>
        <v/>
      </c>
      <c r="FJ78" s="188" t="str">
        <f t="shared" si="331"/>
        <v/>
      </c>
      <c r="FK78" s="188" t="str">
        <f t="shared" si="332"/>
        <v/>
      </c>
      <c r="FL78" s="202" t="str">
        <f t="shared" si="201"/>
        <v/>
      </c>
      <c r="FM78" s="188" t="str">
        <f t="shared" si="333"/>
        <v/>
      </c>
      <c r="FN78" s="203" t="str">
        <f t="shared" si="334"/>
        <v/>
      </c>
      <c r="FO78" s="202" t="str">
        <f t="shared" si="202"/>
        <v/>
      </c>
      <c r="FP78" s="204" t="str">
        <f t="shared" si="335"/>
        <v/>
      </c>
      <c r="FQ78" s="188" t="str">
        <f t="shared" si="203"/>
        <v/>
      </c>
      <c r="FR78" s="188" t="str">
        <f t="shared" si="204"/>
        <v/>
      </c>
      <c r="FS78" s="188" t="str">
        <f t="shared" si="205"/>
        <v/>
      </c>
      <c r="FT78" s="188" t="str">
        <f t="shared" si="206"/>
        <v/>
      </c>
      <c r="FU78" s="188" t="str">
        <f t="shared" si="336"/>
        <v/>
      </c>
      <c r="FV78" s="205" t="str">
        <f t="shared" si="207"/>
        <v/>
      </c>
      <c r="FW78" s="204" t="str">
        <f t="shared" si="337"/>
        <v/>
      </c>
      <c r="FX78" s="188" t="str">
        <f t="shared" si="208"/>
        <v/>
      </c>
      <c r="FY78" s="188" t="str">
        <f t="shared" si="209"/>
        <v/>
      </c>
      <c r="FZ78" s="188" t="str">
        <f t="shared" si="210"/>
        <v/>
      </c>
      <c r="GA78" s="188" t="str">
        <f t="shared" si="211"/>
        <v/>
      </c>
      <c r="GB78" s="188" t="str">
        <f t="shared" si="338"/>
        <v/>
      </c>
      <c r="GC78" s="205" t="str">
        <f t="shared" si="212"/>
        <v/>
      </c>
      <c r="GD78" s="204" t="str">
        <f t="shared" si="339"/>
        <v/>
      </c>
      <c r="GE78" s="188" t="str">
        <f t="shared" si="213"/>
        <v/>
      </c>
      <c r="GF78" s="188" t="str">
        <f t="shared" si="214"/>
        <v/>
      </c>
      <c r="GG78" s="188" t="str">
        <f t="shared" si="215"/>
        <v/>
      </c>
      <c r="GH78" s="188" t="str">
        <f t="shared" si="216"/>
        <v/>
      </c>
      <c r="GI78" s="188" t="str">
        <f t="shared" si="340"/>
        <v/>
      </c>
      <c r="GJ78" s="205" t="str">
        <f t="shared" si="217"/>
        <v/>
      </c>
      <c r="GK78" s="204" t="str">
        <f t="shared" si="341"/>
        <v/>
      </c>
      <c r="GL78" s="188" t="str">
        <f t="shared" si="218"/>
        <v/>
      </c>
      <c r="GM78" s="188" t="str">
        <f t="shared" si="219"/>
        <v/>
      </c>
      <c r="GN78" s="188" t="str">
        <f t="shared" si="220"/>
        <v/>
      </c>
      <c r="GO78" s="188" t="str">
        <f t="shared" si="221"/>
        <v/>
      </c>
      <c r="GP78" s="188" t="str">
        <f t="shared" si="342"/>
        <v/>
      </c>
      <c r="GQ78" s="205" t="str">
        <f t="shared" si="222"/>
        <v/>
      </c>
      <c r="GR78" s="188" t="str">
        <f t="shared" si="343"/>
        <v/>
      </c>
      <c r="GS78" s="188" t="str">
        <f t="shared" si="344"/>
        <v/>
      </c>
      <c r="GT78" s="206" t="str">
        <f t="shared" si="345"/>
        <v xml:space="preserve">    </v>
      </c>
      <c r="GU78" s="206" t="str">
        <f t="shared" si="346"/>
        <v xml:space="preserve">    </v>
      </c>
      <c r="GV78" s="206" t="str">
        <f t="shared" si="347"/>
        <v xml:space="preserve">    </v>
      </c>
      <c r="GW78" s="206" t="str">
        <f t="shared" si="348"/>
        <v xml:space="preserve">       </v>
      </c>
      <c r="GX78" s="598" t="str">
        <f t="shared" si="349"/>
        <v xml:space="preserve">     </v>
      </c>
      <c r="GY78" s="207" t="str">
        <f t="shared" si="223"/>
        <v/>
      </c>
      <c r="GZ78" s="606" t="str">
        <f>IF(AND(Q78="",AE78="",AZ78="",BW78="",CT78=""),"",IF(AND('Master Sheet'!$D$19="YES",'Marks Entry'!$BA$1=1),SUM(Q78,AE78,AZ78,BW78,DT78),SUM(Q78,AE78,AZ78,BW78,CT78)))</f>
        <v/>
      </c>
      <c r="HA78" s="208" t="str">
        <f>IF(GZ78="","",IF(AND('Master Sheet'!$D$19="YES",'Marks Entry'!$BA$1=1),GZ78/((900)-DC78)*100,GZ78/((1000)-DC78)*100))</f>
        <v/>
      </c>
      <c r="HB78" s="611" t="str">
        <f t="shared" si="350"/>
        <v/>
      </c>
      <c r="HC78" s="609" t="str">
        <f t="shared" si="351"/>
        <v/>
      </c>
      <c r="HD78" s="610" t="str">
        <f t="shared" si="352"/>
        <v/>
      </c>
      <c r="HE78" s="209" t="str">
        <f>IFERROR(IF(OR(GY78="SUPPLEMENTARY",GY78="RE-EXAM"),'Supp. Result Entry'!AS77,""),"")</f>
        <v/>
      </c>
      <c r="HF78" s="613" t="str">
        <f t="shared" si="353"/>
        <v/>
      </c>
      <c r="HG78" s="598" t="str">
        <f t="shared" si="354"/>
        <v/>
      </c>
      <c r="HH78" s="598" t="str">
        <f>IF(AND(HE78="",HF78="",HG78=""),"",IF(OR(GY78="SUPPLEMENTARY",GY78="RE-EXAM"),'Supp. Result Entry'!AS77,GY78))</f>
        <v/>
      </c>
      <c r="HI78" s="179"/>
      <c r="HY78" s="211" t="str">
        <f>IF('Supp. Result Entry'!U77="","",'Supp. Result Entry'!$U$6)</f>
        <v/>
      </c>
      <c r="HZ78" s="212" t="str">
        <f>IF('Supp. Result Entry'!X77="","",'Supp. Result Entry'!$X$6)</f>
        <v/>
      </c>
      <c r="IA78" s="212" t="str">
        <f>IF('Supp. Result Entry'!AA77="","",'Supp. Result Entry'!$AA$6)</f>
        <v/>
      </c>
      <c r="IB78" s="212" t="str">
        <f>IF('Supp. Result Entry'!AD77="","",'Supp. Result Entry'!$AD$6)</f>
        <v/>
      </c>
      <c r="IC78" s="212" t="str">
        <f>IF('Supp. Result Entry'!AG77="","",'Supp. Result Entry'!$AG$6)</f>
        <v/>
      </c>
      <c r="ID78" s="212" t="str">
        <f>IF('Supp. Result Entry'!AJ77="","",'Supp. Result Entry'!$AJ$6)</f>
        <v/>
      </c>
      <c r="IE78" s="212" t="str">
        <f>IF('Supp. Result Entry'!V77="","",'Supp. Result Entry'!V77)</f>
        <v/>
      </c>
      <c r="IF78" s="212" t="str">
        <f>IF('Supp. Result Entry'!Y77="","",'Supp. Result Entry'!Y77)</f>
        <v/>
      </c>
      <c r="IG78" s="212" t="str">
        <f>IF('Supp. Result Entry'!AB77="","",'Supp. Result Entry'!AB77)</f>
        <v/>
      </c>
      <c r="IH78" s="212" t="str">
        <f>IF('Supp. Result Entry'!AE77="","",'Supp. Result Entry'!AE77)</f>
        <v/>
      </c>
      <c r="II78" s="212" t="str">
        <f>IF('Supp. Result Entry'!AH77="","",'Supp. Result Entry'!AH77)</f>
        <v/>
      </c>
      <c r="IJ78" s="212" t="str">
        <f>IF('Supp. Result Entry'!AK77="","",'Supp. Result Entry'!AK77)</f>
        <v/>
      </c>
      <c r="IK78" s="212" t="str">
        <f>IF('Supp. Result Entry'!W77="","",'Supp. Result Entry'!W77)</f>
        <v/>
      </c>
      <c r="IL78" s="212" t="str">
        <f>IF('Supp. Result Entry'!Z77="","",'Supp. Result Entry'!Z77)</f>
        <v/>
      </c>
      <c r="IM78" s="212" t="str">
        <f>IF('Supp. Result Entry'!AC77="","",'Supp. Result Entry'!AC77)</f>
        <v/>
      </c>
      <c r="IN78" s="212" t="str">
        <f>IF('Supp. Result Entry'!AF77="","",'Supp. Result Entry'!AF77)</f>
        <v/>
      </c>
      <c r="IO78" s="212" t="str">
        <f>IF('Supp. Result Entry'!AI77="","",'Supp. Result Entry'!AI77)</f>
        <v/>
      </c>
      <c r="IP78" s="212" t="str">
        <f>IF('Supp. Result Entry'!AL77="","",'Supp. Result Entry'!AL77)</f>
        <v/>
      </c>
      <c r="IQ78" s="212">
        <f>COUNTIF('Supp. Result Entry'!K77:Q77,"S")</f>
        <v>0</v>
      </c>
      <c r="IR78" s="212">
        <f t="shared" si="355"/>
        <v>0</v>
      </c>
      <c r="IS78" s="212">
        <f t="shared" si="356"/>
        <v>0</v>
      </c>
      <c r="IT78" s="212" t="str">
        <f t="shared" si="224"/>
        <v/>
      </c>
      <c r="IU78" s="212" t="str">
        <f t="shared" si="225"/>
        <v/>
      </c>
      <c r="IV78" s="212" t="str">
        <f t="shared" si="226"/>
        <v/>
      </c>
      <c r="IW78" s="212" t="str">
        <f t="shared" si="227"/>
        <v/>
      </c>
      <c r="IX78" s="212" t="str">
        <f t="shared" si="228"/>
        <v/>
      </c>
      <c r="IY78" s="212" t="str">
        <f t="shared" si="357"/>
        <v/>
      </c>
      <c r="IZ78" s="212" t="str">
        <f t="shared" si="358"/>
        <v/>
      </c>
      <c r="JA78" s="212" t="str">
        <f t="shared" si="229"/>
        <v/>
      </c>
      <c r="JB78" s="210" t="str">
        <f t="shared" si="359"/>
        <v/>
      </c>
    </row>
    <row r="79" spans="1:262" s="210" customFormat="1" ht="21" customHeight="1">
      <c r="A79" s="183">
        <v>72</v>
      </c>
      <c r="B79" s="184" t="str">
        <f>IF('Marks Entry'!B79="","",'Marks Entry'!B79)</f>
        <v/>
      </c>
      <c r="C79" s="185" t="str">
        <f>IF('Marks Entry'!D79="","",'Marks Entry'!D79)</f>
        <v/>
      </c>
      <c r="D79" s="186" t="str">
        <f>IF('Marks Entry'!E79="","",'Marks Entry'!E79)</f>
        <v/>
      </c>
      <c r="E79" s="187" t="str">
        <f>IF('Marks Entry'!F79="","",'Marks Entry'!F79)</f>
        <v/>
      </c>
      <c r="F79" s="187" t="str">
        <f>IF('Marks Entry'!G79="","",'Marks Entry'!G79)</f>
        <v/>
      </c>
      <c r="G79" s="187" t="str">
        <f>IF('Marks Entry'!H79="","",'Marks Entry'!H79)</f>
        <v/>
      </c>
      <c r="H79" s="188" t="str">
        <f>IF('Marks Entry'!I79="","",'Marks Entry'!I79)</f>
        <v/>
      </c>
      <c r="I79" s="189" t="str">
        <f>IF('Marks Entry'!J79="","",'Marks Entry'!J79)</f>
        <v/>
      </c>
      <c r="J79" s="545" t="str">
        <f>IF('Marks Entry'!K79="","",'Marks Entry'!K79)</f>
        <v/>
      </c>
      <c r="K79" s="545" t="str">
        <f>IF('Marks Entry'!L79="","",'Marks Entry'!L79)</f>
        <v/>
      </c>
      <c r="L79" s="545" t="str">
        <f>IF('Marks Entry'!M79="","",'Marks Entry'!M79)</f>
        <v/>
      </c>
      <c r="M79" s="546" t="str">
        <f t="shared" si="230"/>
        <v/>
      </c>
      <c r="N79" s="545" t="str">
        <f>IF('Marks Entry'!N79="","",'Marks Entry'!N79)</f>
        <v/>
      </c>
      <c r="O79" s="546" t="str">
        <f t="shared" si="231"/>
        <v/>
      </c>
      <c r="P79" s="545" t="str">
        <f>IF('Marks Entry'!O79="","",'Marks Entry'!O79)</f>
        <v/>
      </c>
      <c r="Q79" s="547" t="str">
        <f t="shared" si="232"/>
        <v/>
      </c>
      <c r="R79" s="152">
        <f t="shared" si="233"/>
        <v>0</v>
      </c>
      <c r="S79" s="152">
        <f t="shared" si="234"/>
        <v>0</v>
      </c>
      <c r="T79" s="153" t="str">
        <f t="shared" si="235"/>
        <v/>
      </c>
      <c r="U79" s="152" t="str">
        <f t="shared" si="236"/>
        <v/>
      </c>
      <c r="V79" s="152" t="str">
        <f t="shared" si="237"/>
        <v/>
      </c>
      <c r="W79" s="152" t="str">
        <f t="shared" si="238"/>
        <v/>
      </c>
      <c r="X79" s="545" t="str">
        <f>IF('Marks Entry'!P79="","",'Marks Entry'!P79)</f>
        <v/>
      </c>
      <c r="Y79" s="545" t="str">
        <f>IF('Marks Entry'!Q79="","",'Marks Entry'!Q79)</f>
        <v/>
      </c>
      <c r="Z79" s="545" t="str">
        <f>IF('Marks Entry'!R79="","",'Marks Entry'!R79)</f>
        <v/>
      </c>
      <c r="AA79" s="546" t="str">
        <f t="shared" si="239"/>
        <v/>
      </c>
      <c r="AB79" s="545" t="str">
        <f>IF('Marks Entry'!S79="","",'Marks Entry'!S79)</f>
        <v/>
      </c>
      <c r="AC79" s="546" t="str">
        <f t="shared" si="240"/>
        <v/>
      </c>
      <c r="AD79" s="545" t="str">
        <f>IF('Marks Entry'!T79="","",'Marks Entry'!T79)</f>
        <v/>
      </c>
      <c r="AE79" s="547" t="str">
        <f t="shared" si="241"/>
        <v/>
      </c>
      <c r="AF79" s="152">
        <f t="shared" si="242"/>
        <v>0</v>
      </c>
      <c r="AG79" s="152">
        <f t="shared" si="243"/>
        <v>0</v>
      </c>
      <c r="AH79" s="153" t="str">
        <f t="shared" si="244"/>
        <v/>
      </c>
      <c r="AI79" s="152" t="str">
        <f t="shared" si="245"/>
        <v/>
      </c>
      <c r="AJ79" s="152" t="str">
        <f t="shared" si="246"/>
        <v/>
      </c>
      <c r="AK79" s="152" t="str">
        <f t="shared" si="247"/>
        <v/>
      </c>
      <c r="AL79" s="573" t="str">
        <f>IF('Marks Entry'!U79="","",'Marks Entry'!U79)</f>
        <v/>
      </c>
      <c r="AM79" s="573" t="str">
        <f>IF('Marks Entry'!V79="","",'Marks Entry'!V79)</f>
        <v/>
      </c>
      <c r="AN79" s="573" t="str">
        <f>IF('Marks Entry'!W79="","",'Marks Entry'!W79)</f>
        <v/>
      </c>
      <c r="AO79" s="573" t="str">
        <f>IF('Marks Entry'!X79="","",'Marks Entry'!X79)</f>
        <v/>
      </c>
      <c r="AP79" s="572" t="str">
        <f t="shared" si="248"/>
        <v/>
      </c>
      <c r="AQ79" s="573" t="str">
        <f>IF('Marks Entry'!Y79="","",'Marks Entry'!Y79)</f>
        <v/>
      </c>
      <c r="AR79" s="573" t="str">
        <f>IF('Marks Entry'!Z79="","",'Marks Entry'!Z79)</f>
        <v/>
      </c>
      <c r="AS79" s="572" t="str">
        <f t="shared" si="249"/>
        <v/>
      </c>
      <c r="AT79" s="572" t="str">
        <f t="shared" si="250"/>
        <v/>
      </c>
      <c r="AU79" s="573" t="str">
        <f>IF('Marks Entry'!AA79="","",'Marks Entry'!AA79)</f>
        <v/>
      </c>
      <c r="AV79" s="573" t="str">
        <f>IF('Marks Entry'!AB79="","",'Marks Entry'!AB79)</f>
        <v/>
      </c>
      <c r="AW79" s="572" t="str">
        <f t="shared" si="251"/>
        <v/>
      </c>
      <c r="AX79" s="156" t="str">
        <f t="shared" si="252"/>
        <v/>
      </c>
      <c r="AY79" s="156" t="str">
        <f t="shared" si="253"/>
        <v/>
      </c>
      <c r="AZ79" s="191" t="str">
        <f t="shared" si="254"/>
        <v/>
      </c>
      <c r="BA79" s="152">
        <f t="shared" si="255"/>
        <v>0</v>
      </c>
      <c r="BB79" s="153">
        <f t="shared" si="256"/>
        <v>0</v>
      </c>
      <c r="BC79" s="153" t="str">
        <f t="shared" si="257"/>
        <v/>
      </c>
      <c r="BD79" s="153" t="str">
        <f t="shared" si="258"/>
        <v/>
      </c>
      <c r="BE79" s="153" t="str">
        <f t="shared" si="259"/>
        <v/>
      </c>
      <c r="BF79" s="152" t="str">
        <f t="shared" si="260"/>
        <v/>
      </c>
      <c r="BG79" s="153" t="str">
        <f t="shared" si="261"/>
        <v/>
      </c>
      <c r="BH79" s="152" t="str">
        <f t="shared" si="262"/>
        <v/>
      </c>
      <c r="BI79" s="580" t="str">
        <f>IF('Marks Entry'!AC79="","",'Marks Entry'!AC79)</f>
        <v/>
      </c>
      <c r="BJ79" s="580" t="str">
        <f>IF('Marks Entry'!AD79="","",'Marks Entry'!AD79)</f>
        <v/>
      </c>
      <c r="BK79" s="580" t="str">
        <f>IF('Marks Entry'!AE79="","",'Marks Entry'!AE79)</f>
        <v/>
      </c>
      <c r="BL79" s="580" t="str">
        <f>IF('Marks Entry'!AF79="","",'Marks Entry'!AF79)</f>
        <v/>
      </c>
      <c r="BM79" s="581" t="str">
        <f t="shared" si="263"/>
        <v/>
      </c>
      <c r="BN79" s="580" t="str">
        <f>IF('Marks Entry'!AG79="","",'Marks Entry'!AG79)</f>
        <v/>
      </c>
      <c r="BO79" s="580" t="str">
        <f>IF('Marks Entry'!AH79="","",'Marks Entry'!AH79)</f>
        <v/>
      </c>
      <c r="BP79" s="581" t="str">
        <f t="shared" si="264"/>
        <v/>
      </c>
      <c r="BQ79" s="581" t="str">
        <f t="shared" si="265"/>
        <v/>
      </c>
      <c r="BR79" s="580" t="str">
        <f>IF('Marks Entry'!AI79="","",'Marks Entry'!AI79)</f>
        <v/>
      </c>
      <c r="BS79" s="580" t="str">
        <f>IF('Marks Entry'!AJ79="","",'Marks Entry'!AJ79)</f>
        <v/>
      </c>
      <c r="BT79" s="581" t="str">
        <f t="shared" si="266"/>
        <v/>
      </c>
      <c r="BU79" s="156" t="str">
        <f t="shared" si="267"/>
        <v/>
      </c>
      <c r="BV79" s="156" t="str">
        <f t="shared" si="268"/>
        <v/>
      </c>
      <c r="BW79" s="191" t="str">
        <f t="shared" si="269"/>
        <v/>
      </c>
      <c r="BX79" s="152">
        <f t="shared" si="270"/>
        <v>0</v>
      </c>
      <c r="BY79" s="153">
        <f t="shared" si="271"/>
        <v>0</v>
      </c>
      <c r="BZ79" s="153" t="str">
        <f t="shared" si="272"/>
        <v/>
      </c>
      <c r="CA79" s="153" t="str">
        <f t="shared" si="273"/>
        <v/>
      </c>
      <c r="CB79" s="153" t="str">
        <f t="shared" si="274"/>
        <v/>
      </c>
      <c r="CC79" s="152" t="str">
        <f t="shared" si="275"/>
        <v/>
      </c>
      <c r="CD79" s="153" t="str">
        <f t="shared" si="276"/>
        <v/>
      </c>
      <c r="CE79" s="152" t="str">
        <f t="shared" si="277"/>
        <v/>
      </c>
      <c r="CF79" s="580" t="str">
        <f>IF('Marks Entry'!AK79="","",'Marks Entry'!AK79)</f>
        <v/>
      </c>
      <c r="CG79" s="580" t="str">
        <f>IF('Marks Entry'!AL79="","",'Marks Entry'!AL79)</f>
        <v/>
      </c>
      <c r="CH79" s="580" t="str">
        <f>IF('Marks Entry'!AM79="","",'Marks Entry'!AM79)</f>
        <v/>
      </c>
      <c r="CI79" s="580" t="str">
        <f>IF('Marks Entry'!AN79="","",'Marks Entry'!AN79)</f>
        <v/>
      </c>
      <c r="CJ79" s="581" t="str">
        <f t="shared" si="278"/>
        <v/>
      </c>
      <c r="CK79" s="580" t="str">
        <f>IF('Marks Entry'!AO79="","",'Marks Entry'!AO79)</f>
        <v/>
      </c>
      <c r="CL79" s="580" t="str">
        <f>IF('Marks Entry'!AP79="","",'Marks Entry'!AP79)</f>
        <v/>
      </c>
      <c r="CM79" s="581" t="str">
        <f t="shared" si="279"/>
        <v/>
      </c>
      <c r="CN79" s="581" t="str">
        <f t="shared" si="280"/>
        <v/>
      </c>
      <c r="CO79" s="580" t="str">
        <f>IF('Marks Entry'!AQ79="","",'Marks Entry'!AQ79)</f>
        <v/>
      </c>
      <c r="CP79" s="580" t="str">
        <f>IF('Marks Entry'!AR79="","",'Marks Entry'!AR79)</f>
        <v/>
      </c>
      <c r="CQ79" s="581" t="str">
        <f t="shared" si="281"/>
        <v/>
      </c>
      <c r="CR79" s="156" t="str">
        <f t="shared" si="282"/>
        <v/>
      </c>
      <c r="CS79" s="156" t="str">
        <f t="shared" si="283"/>
        <v/>
      </c>
      <c r="CT79" s="191" t="str">
        <f t="shared" si="284"/>
        <v/>
      </c>
      <c r="CU79" s="152">
        <f t="shared" si="285"/>
        <v>0</v>
      </c>
      <c r="CV79" s="153">
        <f t="shared" si="286"/>
        <v>0</v>
      </c>
      <c r="CW79" s="153" t="str">
        <f t="shared" si="287"/>
        <v/>
      </c>
      <c r="CX79" s="153" t="str">
        <f t="shared" si="288"/>
        <v/>
      </c>
      <c r="CY79" s="153" t="str">
        <f t="shared" si="289"/>
        <v/>
      </c>
      <c r="CZ79" s="152" t="str">
        <f t="shared" si="290"/>
        <v/>
      </c>
      <c r="DA79" s="153" t="str">
        <f t="shared" si="291"/>
        <v/>
      </c>
      <c r="DB79" s="152" t="str">
        <f t="shared" si="292"/>
        <v/>
      </c>
      <c r="DC79" s="153">
        <f t="shared" si="293"/>
        <v>0</v>
      </c>
      <c r="DD79" s="851" t="str">
        <f>IF('Marks Entry'!AS79="","",IF(OR('Master Sheet'!$D$19="YES",'Marks Entry'!$BA$1=1),'Marks Entry'!AS79,""))</f>
        <v/>
      </c>
      <c r="DE79" s="851" t="str">
        <f>IF('Marks Entry'!AT79="","",IF(OR('Master Sheet'!$D$19="YES",'Marks Entry'!$BA$1=1),'Marks Entry'!AT79,""))</f>
        <v/>
      </c>
      <c r="DF79" s="851" t="str">
        <f>IF('Marks Entry'!AU79="","",IF(OR('Master Sheet'!$D$19="YES",'Marks Entry'!$BA$1=1),'Marks Entry'!AU79,""))</f>
        <v/>
      </c>
      <c r="DG79" s="851" t="str">
        <f>IF('Marks Entry'!AV79="","",IF(OR('Master Sheet'!$D$19="YES",'Marks Entry'!$BA$1=1),'Marks Entry'!AV79,""))</f>
        <v/>
      </c>
      <c r="DH79" s="852" t="str">
        <f t="shared" si="294"/>
        <v/>
      </c>
      <c r="DI79" s="851" t="str">
        <f>IF('Marks Entry'!AW79="","",IF(OR('Master Sheet'!$D$19="YES",'Marks Entry'!$BA$1=1),'Marks Entry'!AW79,""))</f>
        <v/>
      </c>
      <c r="DJ79" s="851" t="str">
        <f>IF('Marks Entry'!AX79="","",IF(OR('Master Sheet'!$D$19="YES",'Marks Entry'!$BA$1=1),'Marks Entry'!AX79,""))</f>
        <v/>
      </c>
      <c r="DK79" s="852" t="str">
        <f t="shared" si="295"/>
        <v/>
      </c>
      <c r="DL79" s="852" t="str">
        <f t="shared" si="296"/>
        <v/>
      </c>
      <c r="DM79" s="851" t="str">
        <f>IF('Marks Entry'!AY79="","",IF(OR('Master Sheet'!$D$19="YES",'Marks Entry'!$BA$1=1),'Marks Entry'!AY79,""))</f>
        <v/>
      </c>
      <c r="DN79" s="851" t="str">
        <f>IF('Marks Entry'!AZ79="","",IF(OR('Master Sheet'!$D$19="YES",'Marks Entry'!$BA$1=1),'Marks Entry'!AZ79,""))</f>
        <v/>
      </c>
      <c r="DO79" s="851" t="str">
        <f>IF('Marks Entry'!BA79="","",IF(OR('Master Sheet'!$D$19="YES",'Marks Entry'!$BA$1=1),'Marks Entry'!BA79,""))</f>
        <v/>
      </c>
      <c r="DP79" s="852" t="str">
        <f t="shared" si="297"/>
        <v/>
      </c>
      <c r="DQ79" s="156" t="str">
        <f t="shared" si="298"/>
        <v/>
      </c>
      <c r="DR79" s="156" t="str">
        <f t="shared" si="299"/>
        <v/>
      </c>
      <c r="DS79" s="156" t="str">
        <f t="shared" si="300"/>
        <v/>
      </c>
      <c r="DT79" s="191" t="str">
        <f t="shared" si="301"/>
        <v/>
      </c>
      <c r="DU79" s="152">
        <f t="shared" si="302"/>
        <v>0</v>
      </c>
      <c r="DV79" s="153">
        <f t="shared" si="303"/>
        <v>0</v>
      </c>
      <c r="DW79" s="153" t="str">
        <f t="shared" si="304"/>
        <v/>
      </c>
      <c r="DX79" s="153" t="str">
        <f>IF(OR($B79="NSO",$B79=0,DS79=""),"",IF(AND(DJ79="",DO79=""),"",IF('Master Sheet'!$D$19="YES",$DO$6-COUNTIF(DO79,"ML")*DO$6,DS$6-(COUNTIF(DJ79,"ML")*DJ$6)-(COUNTIF(DO79,"ML")*DO$6))))</f>
        <v/>
      </c>
      <c r="DY79" s="153" t="str">
        <f>IF(OR($B79="NSO",$B79=0),"",IF(AND(DH79="",DI79="",DM79=""),"",IF(AND('Master Sheet'!$D$19="YES",'Marks Entry'!$BA$1=1),100,IF(AND(DJ79="",DO79=""),SUM(($DQ$7+$DR$7)-(DU79+DV79)),SUM(($DQ$6+$DR$6)-(DU79+DV79))))))</f>
        <v/>
      </c>
      <c r="DZ79" s="152" t="str">
        <f t="shared" si="305"/>
        <v/>
      </c>
      <c r="EA79" s="153" t="str">
        <f t="shared" si="306"/>
        <v/>
      </c>
      <c r="EB79" s="152" t="str">
        <f t="shared" si="307"/>
        <v/>
      </c>
      <c r="EC79" s="584" t="str">
        <f>IF('Marks Entry'!BB79="","",'Marks Entry'!BB79)</f>
        <v/>
      </c>
      <c r="ED79" s="584" t="str">
        <f>IF('Marks Entry'!BC79="","",'Marks Entry'!BC79)</f>
        <v/>
      </c>
      <c r="EE79" s="584" t="str">
        <f>IF('Marks Entry'!BD79="","",'Marks Entry'!BD79)</f>
        <v/>
      </c>
      <c r="EF79" s="590" t="str">
        <f t="shared" si="308"/>
        <v/>
      </c>
      <c r="EG79" s="595">
        <f t="shared" si="309"/>
        <v>0</v>
      </c>
      <c r="EH79" s="595">
        <f t="shared" si="310"/>
        <v>0</v>
      </c>
      <c r="EI79" s="192" t="str">
        <f t="shared" si="311"/>
        <v/>
      </c>
      <c r="EJ79" s="595" t="str">
        <f t="shared" si="312"/>
        <v/>
      </c>
      <c r="EK79" s="595" t="str">
        <f t="shared" si="313"/>
        <v/>
      </c>
      <c r="EL79" s="193" t="str">
        <f t="shared" si="314"/>
        <v/>
      </c>
      <c r="EM79" s="193" t="str">
        <f t="shared" si="315"/>
        <v/>
      </c>
      <c r="EN79" s="193" t="str">
        <f t="shared" si="316"/>
        <v/>
      </c>
      <c r="EO79" s="193" t="str">
        <f t="shared" si="317"/>
        <v/>
      </c>
      <c r="EP79" s="193" t="str">
        <f t="shared" si="318"/>
        <v/>
      </c>
      <c r="EQ79" s="193" t="str">
        <f t="shared" si="319"/>
        <v/>
      </c>
      <c r="ER79" s="194">
        <f t="shared" si="320"/>
        <v>0</v>
      </c>
      <c r="ES79" s="194">
        <f t="shared" si="321"/>
        <v>0</v>
      </c>
      <c r="ET79" s="194">
        <f t="shared" si="322"/>
        <v>0</v>
      </c>
      <c r="EU79" s="194">
        <f t="shared" si="323"/>
        <v>0</v>
      </c>
      <c r="EV79" s="194">
        <f t="shared" si="324"/>
        <v>0</v>
      </c>
      <c r="EW79" s="194" t="str">
        <f t="shared" si="325"/>
        <v/>
      </c>
      <c r="EX79" s="195" t="str">
        <f t="shared" si="326"/>
        <v/>
      </c>
      <c r="EY79" s="196" t="str">
        <f>IF('Marks Entry'!BE79="","",'Marks Entry'!BE79)</f>
        <v/>
      </c>
      <c r="EZ79" s="196" t="str">
        <f>IF('Marks Entry'!BF79="","",'Marks Entry'!BF79)</f>
        <v/>
      </c>
      <c r="FA79" s="196" t="str">
        <f>IF('Marks Entry'!BG79="","",'Marks Entry'!BG79)</f>
        <v/>
      </c>
      <c r="FB79" s="596" t="str">
        <f t="shared" si="327"/>
        <v/>
      </c>
      <c r="FC79" s="196" t="str">
        <f>IF('Marks Entry'!BH79="","",'Marks Entry'!BH79)</f>
        <v/>
      </c>
      <c r="FD79" s="196" t="str">
        <f>IF('Marks Entry'!BI79="","",'Marks Entry'!BI79)</f>
        <v/>
      </c>
      <c r="FE79" s="197" t="str">
        <f t="shared" si="328"/>
        <v/>
      </c>
      <c r="FF79" s="198" t="str">
        <f t="shared" si="329"/>
        <v/>
      </c>
      <c r="FG79" s="199" t="str">
        <f>IF(AND(E79=""),"",IF('Student DATA Entry'!L75="","",'Student DATA Entry'!L75))</f>
        <v/>
      </c>
      <c r="FH79" s="200" t="str">
        <f>IF(AND(E79=""),"",IF('Student DATA Entry'!M75="","",'Student DATA Entry'!M75))</f>
        <v/>
      </c>
      <c r="FI79" s="201" t="str">
        <f t="shared" si="330"/>
        <v/>
      </c>
      <c r="FJ79" s="188" t="str">
        <f t="shared" si="331"/>
        <v/>
      </c>
      <c r="FK79" s="188" t="str">
        <f t="shared" si="332"/>
        <v/>
      </c>
      <c r="FL79" s="202" t="str">
        <f t="shared" si="201"/>
        <v/>
      </c>
      <c r="FM79" s="188" t="str">
        <f t="shared" si="333"/>
        <v/>
      </c>
      <c r="FN79" s="203" t="str">
        <f t="shared" si="334"/>
        <v/>
      </c>
      <c r="FO79" s="202" t="str">
        <f t="shared" si="202"/>
        <v/>
      </c>
      <c r="FP79" s="204" t="str">
        <f t="shared" si="335"/>
        <v/>
      </c>
      <c r="FQ79" s="188" t="str">
        <f t="shared" si="203"/>
        <v/>
      </c>
      <c r="FR79" s="188" t="str">
        <f t="shared" si="204"/>
        <v/>
      </c>
      <c r="FS79" s="188" t="str">
        <f t="shared" si="205"/>
        <v/>
      </c>
      <c r="FT79" s="188" t="str">
        <f t="shared" si="206"/>
        <v/>
      </c>
      <c r="FU79" s="188" t="str">
        <f t="shared" si="336"/>
        <v/>
      </c>
      <c r="FV79" s="205" t="str">
        <f t="shared" si="207"/>
        <v/>
      </c>
      <c r="FW79" s="204" t="str">
        <f t="shared" si="337"/>
        <v/>
      </c>
      <c r="FX79" s="188" t="str">
        <f t="shared" si="208"/>
        <v/>
      </c>
      <c r="FY79" s="188" t="str">
        <f t="shared" si="209"/>
        <v/>
      </c>
      <c r="FZ79" s="188" t="str">
        <f t="shared" si="210"/>
        <v/>
      </c>
      <c r="GA79" s="188" t="str">
        <f t="shared" si="211"/>
        <v/>
      </c>
      <c r="GB79" s="188" t="str">
        <f t="shared" si="338"/>
        <v/>
      </c>
      <c r="GC79" s="205" t="str">
        <f t="shared" si="212"/>
        <v/>
      </c>
      <c r="GD79" s="204" t="str">
        <f t="shared" si="339"/>
        <v/>
      </c>
      <c r="GE79" s="188" t="str">
        <f t="shared" si="213"/>
        <v/>
      </c>
      <c r="GF79" s="188" t="str">
        <f t="shared" si="214"/>
        <v/>
      </c>
      <c r="GG79" s="188" t="str">
        <f t="shared" si="215"/>
        <v/>
      </c>
      <c r="GH79" s="188" t="str">
        <f t="shared" si="216"/>
        <v/>
      </c>
      <c r="GI79" s="188" t="str">
        <f t="shared" si="340"/>
        <v/>
      </c>
      <c r="GJ79" s="205" t="str">
        <f t="shared" si="217"/>
        <v/>
      </c>
      <c r="GK79" s="204" t="str">
        <f t="shared" si="341"/>
        <v/>
      </c>
      <c r="GL79" s="188" t="str">
        <f t="shared" si="218"/>
        <v/>
      </c>
      <c r="GM79" s="188" t="str">
        <f t="shared" si="219"/>
        <v/>
      </c>
      <c r="GN79" s="188" t="str">
        <f t="shared" si="220"/>
        <v/>
      </c>
      <c r="GO79" s="188" t="str">
        <f t="shared" si="221"/>
        <v/>
      </c>
      <c r="GP79" s="188" t="str">
        <f t="shared" si="342"/>
        <v/>
      </c>
      <c r="GQ79" s="205" t="str">
        <f t="shared" si="222"/>
        <v/>
      </c>
      <c r="GR79" s="188" t="str">
        <f t="shared" si="343"/>
        <v/>
      </c>
      <c r="GS79" s="188" t="str">
        <f t="shared" si="344"/>
        <v/>
      </c>
      <c r="GT79" s="206" t="str">
        <f t="shared" si="345"/>
        <v xml:space="preserve">    </v>
      </c>
      <c r="GU79" s="206" t="str">
        <f t="shared" si="346"/>
        <v xml:space="preserve">    </v>
      </c>
      <c r="GV79" s="206" t="str">
        <f t="shared" si="347"/>
        <v xml:space="preserve">    </v>
      </c>
      <c r="GW79" s="206" t="str">
        <f t="shared" si="348"/>
        <v xml:space="preserve">       </v>
      </c>
      <c r="GX79" s="598" t="str">
        <f t="shared" si="349"/>
        <v xml:space="preserve">     </v>
      </c>
      <c r="GY79" s="207" t="str">
        <f t="shared" si="223"/>
        <v/>
      </c>
      <c r="GZ79" s="606" t="str">
        <f>IF(AND(Q79="",AE79="",AZ79="",BW79="",CT79=""),"",IF(AND('Master Sheet'!$D$19="YES",'Marks Entry'!$BA$1=1),SUM(Q79,AE79,AZ79,BW79,DT79),SUM(Q79,AE79,AZ79,BW79,CT79)))</f>
        <v/>
      </c>
      <c r="HA79" s="208" t="str">
        <f>IF(GZ79="","",IF(AND('Master Sheet'!$D$19="YES",'Marks Entry'!$BA$1=1),GZ79/((900)-DC79)*100,GZ79/((1000)-DC79)*100))</f>
        <v/>
      </c>
      <c r="HB79" s="611" t="str">
        <f t="shared" si="350"/>
        <v/>
      </c>
      <c r="HC79" s="609" t="str">
        <f t="shared" si="351"/>
        <v/>
      </c>
      <c r="HD79" s="610" t="str">
        <f t="shared" si="352"/>
        <v/>
      </c>
      <c r="HE79" s="209" t="str">
        <f>IFERROR(IF(OR(GY79="SUPPLEMENTARY",GY79="RE-EXAM"),'Supp. Result Entry'!AS78,""),"")</f>
        <v/>
      </c>
      <c r="HF79" s="613" t="str">
        <f t="shared" si="353"/>
        <v/>
      </c>
      <c r="HG79" s="598" t="str">
        <f t="shared" si="354"/>
        <v/>
      </c>
      <c r="HH79" s="598" t="str">
        <f>IF(AND(HE79="",HF79="",HG79=""),"",IF(OR(GY79="SUPPLEMENTARY",GY79="RE-EXAM"),'Supp. Result Entry'!AS78,GY79))</f>
        <v/>
      </c>
      <c r="HI79" s="179"/>
      <c r="HY79" s="211" t="str">
        <f>IF('Supp. Result Entry'!U78="","",'Supp. Result Entry'!$U$6)</f>
        <v/>
      </c>
      <c r="HZ79" s="212" t="str">
        <f>IF('Supp. Result Entry'!X78="","",'Supp. Result Entry'!$X$6)</f>
        <v/>
      </c>
      <c r="IA79" s="212" t="str">
        <f>IF('Supp. Result Entry'!AA78="","",'Supp. Result Entry'!$AA$6)</f>
        <v/>
      </c>
      <c r="IB79" s="212" t="str">
        <f>IF('Supp. Result Entry'!AD78="","",'Supp. Result Entry'!$AD$6)</f>
        <v/>
      </c>
      <c r="IC79" s="212" t="str">
        <f>IF('Supp. Result Entry'!AG78="","",'Supp. Result Entry'!$AG$6)</f>
        <v/>
      </c>
      <c r="ID79" s="212" t="str">
        <f>IF('Supp. Result Entry'!AJ78="","",'Supp. Result Entry'!$AJ$6)</f>
        <v/>
      </c>
      <c r="IE79" s="212" t="str">
        <f>IF('Supp. Result Entry'!V78="","",'Supp. Result Entry'!V78)</f>
        <v/>
      </c>
      <c r="IF79" s="212" t="str">
        <f>IF('Supp. Result Entry'!Y78="","",'Supp. Result Entry'!Y78)</f>
        <v/>
      </c>
      <c r="IG79" s="212" t="str">
        <f>IF('Supp. Result Entry'!AB78="","",'Supp. Result Entry'!AB78)</f>
        <v/>
      </c>
      <c r="IH79" s="212" t="str">
        <f>IF('Supp. Result Entry'!AE78="","",'Supp. Result Entry'!AE78)</f>
        <v/>
      </c>
      <c r="II79" s="212" t="str">
        <f>IF('Supp. Result Entry'!AH78="","",'Supp. Result Entry'!AH78)</f>
        <v/>
      </c>
      <c r="IJ79" s="212" t="str">
        <f>IF('Supp. Result Entry'!AK78="","",'Supp. Result Entry'!AK78)</f>
        <v/>
      </c>
      <c r="IK79" s="212" t="str">
        <f>IF('Supp. Result Entry'!W78="","",'Supp. Result Entry'!W78)</f>
        <v/>
      </c>
      <c r="IL79" s="212" t="str">
        <f>IF('Supp. Result Entry'!Z78="","",'Supp. Result Entry'!Z78)</f>
        <v/>
      </c>
      <c r="IM79" s="212" t="str">
        <f>IF('Supp. Result Entry'!AC78="","",'Supp. Result Entry'!AC78)</f>
        <v/>
      </c>
      <c r="IN79" s="212" t="str">
        <f>IF('Supp. Result Entry'!AF78="","",'Supp. Result Entry'!AF78)</f>
        <v/>
      </c>
      <c r="IO79" s="212" t="str">
        <f>IF('Supp. Result Entry'!AI78="","",'Supp. Result Entry'!AI78)</f>
        <v/>
      </c>
      <c r="IP79" s="212" t="str">
        <f>IF('Supp. Result Entry'!AL78="","",'Supp. Result Entry'!AL78)</f>
        <v/>
      </c>
      <c r="IQ79" s="212">
        <f>COUNTIF('Supp. Result Entry'!K78:Q78,"S")</f>
        <v>0</v>
      </c>
      <c r="IR79" s="212">
        <f t="shared" si="355"/>
        <v>0</v>
      </c>
      <c r="IS79" s="212">
        <f t="shared" si="356"/>
        <v>0</v>
      </c>
      <c r="IT79" s="212" t="str">
        <f t="shared" si="224"/>
        <v/>
      </c>
      <c r="IU79" s="212" t="str">
        <f t="shared" si="225"/>
        <v/>
      </c>
      <c r="IV79" s="212" t="str">
        <f t="shared" si="226"/>
        <v/>
      </c>
      <c r="IW79" s="212" t="str">
        <f t="shared" si="227"/>
        <v/>
      </c>
      <c r="IX79" s="212" t="str">
        <f t="shared" si="228"/>
        <v/>
      </c>
      <c r="IY79" s="212" t="str">
        <f t="shared" si="357"/>
        <v/>
      </c>
      <c r="IZ79" s="212" t="str">
        <f t="shared" si="358"/>
        <v/>
      </c>
      <c r="JA79" s="212" t="str">
        <f t="shared" si="229"/>
        <v/>
      </c>
      <c r="JB79" s="210" t="str">
        <f t="shared" si="359"/>
        <v/>
      </c>
    </row>
    <row r="80" spans="1:262" s="210" customFormat="1" ht="21" customHeight="1">
      <c r="A80" s="183">
        <v>73</v>
      </c>
      <c r="B80" s="184" t="str">
        <f>IF('Marks Entry'!B80="","",'Marks Entry'!B80)</f>
        <v/>
      </c>
      <c r="C80" s="185" t="str">
        <f>IF('Marks Entry'!D80="","",'Marks Entry'!D80)</f>
        <v/>
      </c>
      <c r="D80" s="186" t="str">
        <f>IF('Marks Entry'!E80="","",'Marks Entry'!E80)</f>
        <v/>
      </c>
      <c r="E80" s="187" t="str">
        <f>IF('Marks Entry'!F80="","",'Marks Entry'!F80)</f>
        <v/>
      </c>
      <c r="F80" s="187" t="str">
        <f>IF('Marks Entry'!G80="","",'Marks Entry'!G80)</f>
        <v/>
      </c>
      <c r="G80" s="187" t="str">
        <f>IF('Marks Entry'!H80="","",'Marks Entry'!H80)</f>
        <v/>
      </c>
      <c r="H80" s="188" t="str">
        <f>IF('Marks Entry'!I80="","",'Marks Entry'!I80)</f>
        <v/>
      </c>
      <c r="I80" s="189" t="str">
        <f>IF('Marks Entry'!J80="","",'Marks Entry'!J80)</f>
        <v/>
      </c>
      <c r="J80" s="545" t="str">
        <f>IF('Marks Entry'!K80="","",'Marks Entry'!K80)</f>
        <v/>
      </c>
      <c r="K80" s="545" t="str">
        <f>IF('Marks Entry'!L80="","",'Marks Entry'!L80)</f>
        <v/>
      </c>
      <c r="L80" s="545" t="str">
        <f>IF('Marks Entry'!M80="","",'Marks Entry'!M80)</f>
        <v/>
      </c>
      <c r="M80" s="546" t="str">
        <f t="shared" si="230"/>
        <v/>
      </c>
      <c r="N80" s="545" t="str">
        <f>IF('Marks Entry'!N80="","",'Marks Entry'!N80)</f>
        <v/>
      </c>
      <c r="O80" s="546" t="str">
        <f t="shared" si="231"/>
        <v/>
      </c>
      <c r="P80" s="545" t="str">
        <f>IF('Marks Entry'!O80="","",'Marks Entry'!O80)</f>
        <v/>
      </c>
      <c r="Q80" s="547" t="str">
        <f t="shared" si="232"/>
        <v/>
      </c>
      <c r="R80" s="152">
        <f t="shared" si="233"/>
        <v>0</v>
      </c>
      <c r="S80" s="152">
        <f t="shared" si="234"/>
        <v>0</v>
      </c>
      <c r="T80" s="153" t="str">
        <f t="shared" si="235"/>
        <v/>
      </c>
      <c r="U80" s="152" t="str">
        <f t="shared" si="236"/>
        <v/>
      </c>
      <c r="V80" s="152" t="str">
        <f t="shared" si="237"/>
        <v/>
      </c>
      <c r="W80" s="152" t="str">
        <f t="shared" si="238"/>
        <v/>
      </c>
      <c r="X80" s="545" t="str">
        <f>IF('Marks Entry'!P80="","",'Marks Entry'!P80)</f>
        <v/>
      </c>
      <c r="Y80" s="545" t="str">
        <f>IF('Marks Entry'!Q80="","",'Marks Entry'!Q80)</f>
        <v/>
      </c>
      <c r="Z80" s="545" t="str">
        <f>IF('Marks Entry'!R80="","",'Marks Entry'!R80)</f>
        <v/>
      </c>
      <c r="AA80" s="546" t="str">
        <f t="shared" si="239"/>
        <v/>
      </c>
      <c r="AB80" s="545" t="str">
        <f>IF('Marks Entry'!S80="","",'Marks Entry'!S80)</f>
        <v/>
      </c>
      <c r="AC80" s="546" t="str">
        <f t="shared" si="240"/>
        <v/>
      </c>
      <c r="AD80" s="545" t="str">
        <f>IF('Marks Entry'!T80="","",'Marks Entry'!T80)</f>
        <v/>
      </c>
      <c r="AE80" s="547" t="str">
        <f t="shared" si="241"/>
        <v/>
      </c>
      <c r="AF80" s="152">
        <f t="shared" si="242"/>
        <v>0</v>
      </c>
      <c r="AG80" s="152">
        <f t="shared" si="243"/>
        <v>0</v>
      </c>
      <c r="AH80" s="153" t="str">
        <f t="shared" si="244"/>
        <v/>
      </c>
      <c r="AI80" s="152" t="str">
        <f t="shared" si="245"/>
        <v/>
      </c>
      <c r="AJ80" s="152" t="str">
        <f t="shared" si="246"/>
        <v/>
      </c>
      <c r="AK80" s="152" t="str">
        <f t="shared" si="247"/>
        <v/>
      </c>
      <c r="AL80" s="573" t="str">
        <f>IF('Marks Entry'!U80="","",'Marks Entry'!U80)</f>
        <v/>
      </c>
      <c r="AM80" s="573" t="str">
        <f>IF('Marks Entry'!V80="","",'Marks Entry'!V80)</f>
        <v/>
      </c>
      <c r="AN80" s="573" t="str">
        <f>IF('Marks Entry'!W80="","",'Marks Entry'!W80)</f>
        <v/>
      </c>
      <c r="AO80" s="573" t="str">
        <f>IF('Marks Entry'!X80="","",'Marks Entry'!X80)</f>
        <v/>
      </c>
      <c r="AP80" s="572" t="str">
        <f t="shared" si="248"/>
        <v/>
      </c>
      <c r="AQ80" s="573" t="str">
        <f>IF('Marks Entry'!Y80="","",'Marks Entry'!Y80)</f>
        <v/>
      </c>
      <c r="AR80" s="573" t="str">
        <f>IF('Marks Entry'!Z80="","",'Marks Entry'!Z80)</f>
        <v/>
      </c>
      <c r="AS80" s="572" t="str">
        <f t="shared" si="249"/>
        <v/>
      </c>
      <c r="AT80" s="572" t="str">
        <f t="shared" si="250"/>
        <v/>
      </c>
      <c r="AU80" s="573" t="str">
        <f>IF('Marks Entry'!AA80="","",'Marks Entry'!AA80)</f>
        <v/>
      </c>
      <c r="AV80" s="573" t="str">
        <f>IF('Marks Entry'!AB80="","",'Marks Entry'!AB80)</f>
        <v/>
      </c>
      <c r="AW80" s="572" t="str">
        <f t="shared" si="251"/>
        <v/>
      </c>
      <c r="AX80" s="156" t="str">
        <f t="shared" si="252"/>
        <v/>
      </c>
      <c r="AY80" s="156" t="str">
        <f t="shared" si="253"/>
        <v/>
      </c>
      <c r="AZ80" s="191" t="str">
        <f t="shared" si="254"/>
        <v/>
      </c>
      <c r="BA80" s="152">
        <f t="shared" si="255"/>
        <v>0</v>
      </c>
      <c r="BB80" s="153">
        <f t="shared" si="256"/>
        <v>0</v>
      </c>
      <c r="BC80" s="153" t="str">
        <f t="shared" si="257"/>
        <v/>
      </c>
      <c r="BD80" s="153" t="str">
        <f t="shared" si="258"/>
        <v/>
      </c>
      <c r="BE80" s="153" t="str">
        <f t="shared" si="259"/>
        <v/>
      </c>
      <c r="BF80" s="152" t="str">
        <f t="shared" si="260"/>
        <v/>
      </c>
      <c r="BG80" s="153" t="str">
        <f t="shared" si="261"/>
        <v/>
      </c>
      <c r="BH80" s="152" t="str">
        <f t="shared" si="262"/>
        <v/>
      </c>
      <c r="BI80" s="580" t="str">
        <f>IF('Marks Entry'!AC80="","",'Marks Entry'!AC80)</f>
        <v/>
      </c>
      <c r="BJ80" s="580" t="str">
        <f>IF('Marks Entry'!AD80="","",'Marks Entry'!AD80)</f>
        <v/>
      </c>
      <c r="BK80" s="580" t="str">
        <f>IF('Marks Entry'!AE80="","",'Marks Entry'!AE80)</f>
        <v/>
      </c>
      <c r="BL80" s="580" t="str">
        <f>IF('Marks Entry'!AF80="","",'Marks Entry'!AF80)</f>
        <v/>
      </c>
      <c r="BM80" s="581" t="str">
        <f t="shared" si="263"/>
        <v/>
      </c>
      <c r="BN80" s="580" t="str">
        <f>IF('Marks Entry'!AG80="","",'Marks Entry'!AG80)</f>
        <v/>
      </c>
      <c r="BO80" s="580" t="str">
        <f>IF('Marks Entry'!AH80="","",'Marks Entry'!AH80)</f>
        <v/>
      </c>
      <c r="BP80" s="581" t="str">
        <f t="shared" si="264"/>
        <v/>
      </c>
      <c r="BQ80" s="581" t="str">
        <f t="shared" si="265"/>
        <v/>
      </c>
      <c r="BR80" s="580" t="str">
        <f>IF('Marks Entry'!AI80="","",'Marks Entry'!AI80)</f>
        <v/>
      </c>
      <c r="BS80" s="580" t="str">
        <f>IF('Marks Entry'!AJ80="","",'Marks Entry'!AJ80)</f>
        <v/>
      </c>
      <c r="BT80" s="581" t="str">
        <f t="shared" si="266"/>
        <v/>
      </c>
      <c r="BU80" s="156" t="str">
        <f t="shared" si="267"/>
        <v/>
      </c>
      <c r="BV80" s="156" t="str">
        <f t="shared" si="268"/>
        <v/>
      </c>
      <c r="BW80" s="191" t="str">
        <f t="shared" si="269"/>
        <v/>
      </c>
      <c r="BX80" s="152">
        <f t="shared" si="270"/>
        <v>0</v>
      </c>
      <c r="BY80" s="153">
        <f t="shared" si="271"/>
        <v>0</v>
      </c>
      <c r="BZ80" s="153" t="str">
        <f t="shared" si="272"/>
        <v/>
      </c>
      <c r="CA80" s="153" t="str">
        <f t="shared" si="273"/>
        <v/>
      </c>
      <c r="CB80" s="153" t="str">
        <f t="shared" si="274"/>
        <v/>
      </c>
      <c r="CC80" s="152" t="str">
        <f t="shared" si="275"/>
        <v/>
      </c>
      <c r="CD80" s="153" t="str">
        <f t="shared" si="276"/>
        <v/>
      </c>
      <c r="CE80" s="152" t="str">
        <f t="shared" si="277"/>
        <v/>
      </c>
      <c r="CF80" s="580" t="str">
        <f>IF('Marks Entry'!AK80="","",'Marks Entry'!AK80)</f>
        <v/>
      </c>
      <c r="CG80" s="580" t="str">
        <f>IF('Marks Entry'!AL80="","",'Marks Entry'!AL80)</f>
        <v/>
      </c>
      <c r="CH80" s="580" t="str">
        <f>IF('Marks Entry'!AM80="","",'Marks Entry'!AM80)</f>
        <v/>
      </c>
      <c r="CI80" s="580" t="str">
        <f>IF('Marks Entry'!AN80="","",'Marks Entry'!AN80)</f>
        <v/>
      </c>
      <c r="CJ80" s="581" t="str">
        <f t="shared" si="278"/>
        <v/>
      </c>
      <c r="CK80" s="580" t="str">
        <f>IF('Marks Entry'!AO80="","",'Marks Entry'!AO80)</f>
        <v/>
      </c>
      <c r="CL80" s="580" t="str">
        <f>IF('Marks Entry'!AP80="","",'Marks Entry'!AP80)</f>
        <v/>
      </c>
      <c r="CM80" s="581" t="str">
        <f t="shared" si="279"/>
        <v/>
      </c>
      <c r="CN80" s="581" t="str">
        <f t="shared" si="280"/>
        <v/>
      </c>
      <c r="CO80" s="580" t="str">
        <f>IF('Marks Entry'!AQ80="","",'Marks Entry'!AQ80)</f>
        <v/>
      </c>
      <c r="CP80" s="580" t="str">
        <f>IF('Marks Entry'!AR80="","",'Marks Entry'!AR80)</f>
        <v/>
      </c>
      <c r="CQ80" s="581" t="str">
        <f t="shared" si="281"/>
        <v/>
      </c>
      <c r="CR80" s="156" t="str">
        <f t="shared" si="282"/>
        <v/>
      </c>
      <c r="CS80" s="156" t="str">
        <f t="shared" si="283"/>
        <v/>
      </c>
      <c r="CT80" s="191" t="str">
        <f t="shared" si="284"/>
        <v/>
      </c>
      <c r="CU80" s="152">
        <f t="shared" si="285"/>
        <v>0</v>
      </c>
      <c r="CV80" s="153">
        <f t="shared" si="286"/>
        <v>0</v>
      </c>
      <c r="CW80" s="153" t="str">
        <f t="shared" si="287"/>
        <v/>
      </c>
      <c r="CX80" s="153" t="str">
        <f t="shared" si="288"/>
        <v/>
      </c>
      <c r="CY80" s="153" t="str">
        <f t="shared" si="289"/>
        <v/>
      </c>
      <c r="CZ80" s="152" t="str">
        <f t="shared" si="290"/>
        <v/>
      </c>
      <c r="DA80" s="153" t="str">
        <f t="shared" si="291"/>
        <v/>
      </c>
      <c r="DB80" s="152" t="str">
        <f t="shared" si="292"/>
        <v/>
      </c>
      <c r="DC80" s="153">
        <f t="shared" si="293"/>
        <v>0</v>
      </c>
      <c r="DD80" s="851" t="str">
        <f>IF('Marks Entry'!AS80="","",IF(OR('Master Sheet'!$D$19="YES",'Marks Entry'!$BA$1=1),'Marks Entry'!AS80,""))</f>
        <v/>
      </c>
      <c r="DE80" s="851" t="str">
        <f>IF('Marks Entry'!AT80="","",IF(OR('Master Sheet'!$D$19="YES",'Marks Entry'!$BA$1=1),'Marks Entry'!AT80,""))</f>
        <v/>
      </c>
      <c r="DF80" s="851" t="str">
        <f>IF('Marks Entry'!AU80="","",IF(OR('Master Sheet'!$D$19="YES",'Marks Entry'!$BA$1=1),'Marks Entry'!AU80,""))</f>
        <v/>
      </c>
      <c r="DG80" s="851" t="str">
        <f>IF('Marks Entry'!AV80="","",IF(OR('Master Sheet'!$D$19="YES",'Marks Entry'!$BA$1=1),'Marks Entry'!AV80,""))</f>
        <v/>
      </c>
      <c r="DH80" s="852" t="str">
        <f t="shared" si="294"/>
        <v/>
      </c>
      <c r="DI80" s="851" t="str">
        <f>IF('Marks Entry'!AW80="","",IF(OR('Master Sheet'!$D$19="YES",'Marks Entry'!$BA$1=1),'Marks Entry'!AW80,""))</f>
        <v/>
      </c>
      <c r="DJ80" s="851" t="str">
        <f>IF('Marks Entry'!AX80="","",IF(OR('Master Sheet'!$D$19="YES",'Marks Entry'!$BA$1=1),'Marks Entry'!AX80,""))</f>
        <v/>
      </c>
      <c r="DK80" s="852" t="str">
        <f t="shared" si="295"/>
        <v/>
      </c>
      <c r="DL80" s="852" t="str">
        <f t="shared" si="296"/>
        <v/>
      </c>
      <c r="DM80" s="851" t="str">
        <f>IF('Marks Entry'!AY80="","",IF(OR('Master Sheet'!$D$19="YES",'Marks Entry'!$BA$1=1),'Marks Entry'!AY80,""))</f>
        <v/>
      </c>
      <c r="DN80" s="851" t="str">
        <f>IF('Marks Entry'!AZ80="","",IF(OR('Master Sheet'!$D$19="YES",'Marks Entry'!$BA$1=1),'Marks Entry'!AZ80,""))</f>
        <v/>
      </c>
      <c r="DO80" s="851" t="str">
        <f>IF('Marks Entry'!BA80="","",IF(OR('Master Sheet'!$D$19="YES",'Marks Entry'!$BA$1=1),'Marks Entry'!BA80,""))</f>
        <v/>
      </c>
      <c r="DP80" s="852" t="str">
        <f t="shared" si="297"/>
        <v/>
      </c>
      <c r="DQ80" s="156" t="str">
        <f t="shared" si="298"/>
        <v/>
      </c>
      <c r="DR80" s="156" t="str">
        <f t="shared" si="299"/>
        <v/>
      </c>
      <c r="DS80" s="156" t="str">
        <f t="shared" si="300"/>
        <v/>
      </c>
      <c r="DT80" s="191" t="str">
        <f t="shared" si="301"/>
        <v/>
      </c>
      <c r="DU80" s="152">
        <f t="shared" si="302"/>
        <v>0</v>
      </c>
      <c r="DV80" s="153">
        <f t="shared" si="303"/>
        <v>0</v>
      </c>
      <c r="DW80" s="153" t="str">
        <f t="shared" si="304"/>
        <v/>
      </c>
      <c r="DX80" s="153" t="str">
        <f>IF(OR($B80="NSO",$B80=0,DS80=""),"",IF(AND(DJ80="",DO80=""),"",IF('Master Sheet'!$D$19="YES",$DO$6-COUNTIF(DO80,"ML")*DO$6,DS$6-(COUNTIF(DJ80,"ML")*DJ$6)-(COUNTIF(DO80,"ML")*DO$6))))</f>
        <v/>
      </c>
      <c r="DY80" s="153" t="str">
        <f>IF(OR($B80="NSO",$B80=0),"",IF(AND(DH80="",DI80="",DM80=""),"",IF(AND('Master Sheet'!$D$19="YES",'Marks Entry'!$BA$1=1),100,IF(AND(DJ80="",DO80=""),SUM(($DQ$7+$DR$7)-(DU80+DV80)),SUM(($DQ$6+$DR$6)-(DU80+DV80))))))</f>
        <v/>
      </c>
      <c r="DZ80" s="152" t="str">
        <f t="shared" si="305"/>
        <v/>
      </c>
      <c r="EA80" s="153" t="str">
        <f t="shared" si="306"/>
        <v/>
      </c>
      <c r="EB80" s="152" t="str">
        <f t="shared" si="307"/>
        <v/>
      </c>
      <c r="EC80" s="584" t="str">
        <f>IF('Marks Entry'!BB80="","",'Marks Entry'!BB80)</f>
        <v/>
      </c>
      <c r="ED80" s="584" t="str">
        <f>IF('Marks Entry'!BC80="","",'Marks Entry'!BC80)</f>
        <v/>
      </c>
      <c r="EE80" s="584" t="str">
        <f>IF('Marks Entry'!BD80="","",'Marks Entry'!BD80)</f>
        <v/>
      </c>
      <c r="EF80" s="590" t="str">
        <f t="shared" si="308"/>
        <v/>
      </c>
      <c r="EG80" s="595">
        <f t="shared" si="309"/>
        <v>0</v>
      </c>
      <c r="EH80" s="595">
        <f t="shared" si="310"/>
        <v>0</v>
      </c>
      <c r="EI80" s="192" t="str">
        <f t="shared" si="311"/>
        <v/>
      </c>
      <c r="EJ80" s="595" t="str">
        <f t="shared" si="312"/>
        <v/>
      </c>
      <c r="EK80" s="595" t="str">
        <f t="shared" si="313"/>
        <v/>
      </c>
      <c r="EL80" s="193" t="str">
        <f t="shared" si="314"/>
        <v/>
      </c>
      <c r="EM80" s="193" t="str">
        <f t="shared" si="315"/>
        <v/>
      </c>
      <c r="EN80" s="193" t="str">
        <f t="shared" si="316"/>
        <v/>
      </c>
      <c r="EO80" s="193" t="str">
        <f t="shared" si="317"/>
        <v/>
      </c>
      <c r="EP80" s="193" t="str">
        <f t="shared" si="318"/>
        <v/>
      </c>
      <c r="EQ80" s="193" t="str">
        <f t="shared" si="319"/>
        <v/>
      </c>
      <c r="ER80" s="194">
        <f t="shared" si="320"/>
        <v>0</v>
      </c>
      <c r="ES80" s="194">
        <f t="shared" si="321"/>
        <v>0</v>
      </c>
      <c r="ET80" s="194">
        <f t="shared" si="322"/>
        <v>0</v>
      </c>
      <c r="EU80" s="194">
        <f t="shared" si="323"/>
        <v>0</v>
      </c>
      <c r="EV80" s="194">
        <f t="shared" si="324"/>
        <v>0</v>
      </c>
      <c r="EW80" s="194" t="str">
        <f t="shared" si="325"/>
        <v/>
      </c>
      <c r="EX80" s="195" t="str">
        <f t="shared" si="326"/>
        <v/>
      </c>
      <c r="EY80" s="196" t="str">
        <f>IF('Marks Entry'!BE80="","",'Marks Entry'!BE80)</f>
        <v/>
      </c>
      <c r="EZ80" s="196" t="str">
        <f>IF('Marks Entry'!BF80="","",'Marks Entry'!BF80)</f>
        <v/>
      </c>
      <c r="FA80" s="196" t="str">
        <f>IF('Marks Entry'!BG80="","",'Marks Entry'!BG80)</f>
        <v/>
      </c>
      <c r="FB80" s="596" t="str">
        <f t="shared" si="327"/>
        <v/>
      </c>
      <c r="FC80" s="196" t="str">
        <f>IF('Marks Entry'!BH80="","",'Marks Entry'!BH80)</f>
        <v/>
      </c>
      <c r="FD80" s="196" t="str">
        <f>IF('Marks Entry'!BI80="","",'Marks Entry'!BI80)</f>
        <v/>
      </c>
      <c r="FE80" s="197" t="str">
        <f t="shared" si="328"/>
        <v/>
      </c>
      <c r="FF80" s="198" t="str">
        <f t="shared" si="329"/>
        <v/>
      </c>
      <c r="FG80" s="199" t="str">
        <f>IF(AND(E80=""),"",IF('Student DATA Entry'!L76="","",'Student DATA Entry'!L76))</f>
        <v/>
      </c>
      <c r="FH80" s="200" t="str">
        <f>IF(AND(E80=""),"",IF('Student DATA Entry'!M76="","",'Student DATA Entry'!M76))</f>
        <v/>
      </c>
      <c r="FI80" s="201" t="str">
        <f t="shared" si="330"/>
        <v/>
      </c>
      <c r="FJ80" s="188" t="str">
        <f t="shared" si="331"/>
        <v/>
      </c>
      <c r="FK80" s="188" t="str">
        <f t="shared" si="332"/>
        <v/>
      </c>
      <c r="FL80" s="202" t="str">
        <f t="shared" si="201"/>
        <v/>
      </c>
      <c r="FM80" s="188" t="str">
        <f t="shared" si="333"/>
        <v/>
      </c>
      <c r="FN80" s="203" t="str">
        <f t="shared" si="334"/>
        <v/>
      </c>
      <c r="FO80" s="202" t="str">
        <f t="shared" si="202"/>
        <v/>
      </c>
      <c r="FP80" s="204" t="str">
        <f t="shared" si="335"/>
        <v/>
      </c>
      <c r="FQ80" s="188" t="str">
        <f t="shared" si="203"/>
        <v/>
      </c>
      <c r="FR80" s="188" t="str">
        <f t="shared" si="204"/>
        <v/>
      </c>
      <c r="FS80" s="188" t="str">
        <f t="shared" si="205"/>
        <v/>
      </c>
      <c r="FT80" s="188" t="str">
        <f t="shared" si="206"/>
        <v/>
      </c>
      <c r="FU80" s="188" t="str">
        <f t="shared" si="336"/>
        <v/>
      </c>
      <c r="FV80" s="205" t="str">
        <f t="shared" si="207"/>
        <v/>
      </c>
      <c r="FW80" s="204" t="str">
        <f t="shared" si="337"/>
        <v/>
      </c>
      <c r="FX80" s="188" t="str">
        <f t="shared" si="208"/>
        <v/>
      </c>
      <c r="FY80" s="188" t="str">
        <f t="shared" si="209"/>
        <v/>
      </c>
      <c r="FZ80" s="188" t="str">
        <f t="shared" si="210"/>
        <v/>
      </c>
      <c r="GA80" s="188" t="str">
        <f t="shared" si="211"/>
        <v/>
      </c>
      <c r="GB80" s="188" t="str">
        <f t="shared" si="338"/>
        <v/>
      </c>
      <c r="GC80" s="205" t="str">
        <f t="shared" si="212"/>
        <v/>
      </c>
      <c r="GD80" s="204" t="str">
        <f t="shared" si="339"/>
        <v/>
      </c>
      <c r="GE80" s="188" t="str">
        <f t="shared" si="213"/>
        <v/>
      </c>
      <c r="GF80" s="188" t="str">
        <f t="shared" si="214"/>
        <v/>
      </c>
      <c r="GG80" s="188" t="str">
        <f t="shared" si="215"/>
        <v/>
      </c>
      <c r="GH80" s="188" t="str">
        <f t="shared" si="216"/>
        <v/>
      </c>
      <c r="GI80" s="188" t="str">
        <f t="shared" si="340"/>
        <v/>
      </c>
      <c r="GJ80" s="205" t="str">
        <f t="shared" si="217"/>
        <v/>
      </c>
      <c r="GK80" s="204" t="str">
        <f t="shared" si="341"/>
        <v/>
      </c>
      <c r="GL80" s="188" t="str">
        <f t="shared" si="218"/>
        <v/>
      </c>
      <c r="GM80" s="188" t="str">
        <f t="shared" si="219"/>
        <v/>
      </c>
      <c r="GN80" s="188" t="str">
        <f t="shared" si="220"/>
        <v/>
      </c>
      <c r="GO80" s="188" t="str">
        <f t="shared" si="221"/>
        <v/>
      </c>
      <c r="GP80" s="188" t="str">
        <f t="shared" si="342"/>
        <v/>
      </c>
      <c r="GQ80" s="205" t="str">
        <f t="shared" si="222"/>
        <v/>
      </c>
      <c r="GR80" s="188" t="str">
        <f t="shared" si="343"/>
        <v/>
      </c>
      <c r="GS80" s="188" t="str">
        <f t="shared" si="344"/>
        <v/>
      </c>
      <c r="GT80" s="206" t="str">
        <f t="shared" si="345"/>
        <v xml:space="preserve">    </v>
      </c>
      <c r="GU80" s="206" t="str">
        <f t="shared" si="346"/>
        <v xml:space="preserve">    </v>
      </c>
      <c r="GV80" s="206" t="str">
        <f t="shared" si="347"/>
        <v xml:space="preserve">    </v>
      </c>
      <c r="GW80" s="206" t="str">
        <f t="shared" si="348"/>
        <v xml:space="preserve">       </v>
      </c>
      <c r="GX80" s="598" t="str">
        <f t="shared" si="349"/>
        <v xml:space="preserve">     </v>
      </c>
      <c r="GY80" s="207" t="str">
        <f t="shared" si="223"/>
        <v/>
      </c>
      <c r="GZ80" s="606" t="str">
        <f>IF(AND(Q80="",AE80="",AZ80="",BW80="",CT80=""),"",IF(AND('Master Sheet'!$D$19="YES",'Marks Entry'!$BA$1=1),SUM(Q80,AE80,AZ80,BW80,DT80),SUM(Q80,AE80,AZ80,BW80,CT80)))</f>
        <v/>
      </c>
      <c r="HA80" s="208" t="str">
        <f>IF(GZ80="","",IF(AND('Master Sheet'!$D$19="YES",'Marks Entry'!$BA$1=1),GZ80/((900)-DC80)*100,GZ80/((1000)-DC80)*100))</f>
        <v/>
      </c>
      <c r="HB80" s="611" t="str">
        <f t="shared" si="350"/>
        <v/>
      </c>
      <c r="HC80" s="609" t="str">
        <f t="shared" si="351"/>
        <v/>
      </c>
      <c r="HD80" s="610" t="str">
        <f t="shared" si="352"/>
        <v/>
      </c>
      <c r="HE80" s="209" t="str">
        <f>IFERROR(IF(OR(GY80="SUPPLEMENTARY",GY80="RE-EXAM"),'Supp. Result Entry'!AS79,""),"")</f>
        <v/>
      </c>
      <c r="HF80" s="613" t="str">
        <f t="shared" si="353"/>
        <v/>
      </c>
      <c r="HG80" s="598" t="str">
        <f t="shared" si="354"/>
        <v/>
      </c>
      <c r="HH80" s="598" t="str">
        <f>IF(AND(HE80="",HF80="",HG80=""),"",IF(OR(GY80="SUPPLEMENTARY",GY80="RE-EXAM"),'Supp. Result Entry'!AS79,GY80))</f>
        <v/>
      </c>
      <c r="HI80" s="179"/>
      <c r="HY80" s="211" t="str">
        <f>IF('Supp. Result Entry'!U79="","",'Supp. Result Entry'!$U$6)</f>
        <v/>
      </c>
      <c r="HZ80" s="212" t="str">
        <f>IF('Supp. Result Entry'!X79="","",'Supp. Result Entry'!$X$6)</f>
        <v/>
      </c>
      <c r="IA80" s="212" t="str">
        <f>IF('Supp. Result Entry'!AA79="","",'Supp. Result Entry'!$AA$6)</f>
        <v/>
      </c>
      <c r="IB80" s="212" t="str">
        <f>IF('Supp. Result Entry'!AD79="","",'Supp. Result Entry'!$AD$6)</f>
        <v/>
      </c>
      <c r="IC80" s="212" t="str">
        <f>IF('Supp. Result Entry'!AG79="","",'Supp. Result Entry'!$AG$6)</f>
        <v/>
      </c>
      <c r="ID80" s="212" t="str">
        <f>IF('Supp. Result Entry'!AJ79="","",'Supp. Result Entry'!$AJ$6)</f>
        <v/>
      </c>
      <c r="IE80" s="212" t="str">
        <f>IF('Supp. Result Entry'!V79="","",'Supp. Result Entry'!V79)</f>
        <v/>
      </c>
      <c r="IF80" s="212" t="str">
        <f>IF('Supp. Result Entry'!Y79="","",'Supp. Result Entry'!Y79)</f>
        <v/>
      </c>
      <c r="IG80" s="212" t="str">
        <f>IF('Supp. Result Entry'!AB79="","",'Supp. Result Entry'!AB79)</f>
        <v/>
      </c>
      <c r="IH80" s="212" t="str">
        <f>IF('Supp. Result Entry'!AE79="","",'Supp. Result Entry'!AE79)</f>
        <v/>
      </c>
      <c r="II80" s="212" t="str">
        <f>IF('Supp. Result Entry'!AH79="","",'Supp. Result Entry'!AH79)</f>
        <v/>
      </c>
      <c r="IJ80" s="212" t="str">
        <f>IF('Supp. Result Entry'!AK79="","",'Supp. Result Entry'!AK79)</f>
        <v/>
      </c>
      <c r="IK80" s="212" t="str">
        <f>IF('Supp. Result Entry'!W79="","",'Supp. Result Entry'!W79)</f>
        <v/>
      </c>
      <c r="IL80" s="212" t="str">
        <f>IF('Supp. Result Entry'!Z79="","",'Supp. Result Entry'!Z79)</f>
        <v/>
      </c>
      <c r="IM80" s="212" t="str">
        <f>IF('Supp. Result Entry'!AC79="","",'Supp. Result Entry'!AC79)</f>
        <v/>
      </c>
      <c r="IN80" s="212" t="str">
        <f>IF('Supp. Result Entry'!AF79="","",'Supp. Result Entry'!AF79)</f>
        <v/>
      </c>
      <c r="IO80" s="212" t="str">
        <f>IF('Supp. Result Entry'!AI79="","",'Supp. Result Entry'!AI79)</f>
        <v/>
      </c>
      <c r="IP80" s="212" t="str">
        <f>IF('Supp. Result Entry'!AL79="","",'Supp. Result Entry'!AL79)</f>
        <v/>
      </c>
      <c r="IQ80" s="212">
        <f>COUNTIF('Supp. Result Entry'!K79:Q79,"S")</f>
        <v>0</v>
      </c>
      <c r="IR80" s="212">
        <f t="shared" si="355"/>
        <v>0</v>
      </c>
      <c r="IS80" s="212">
        <f t="shared" si="356"/>
        <v>0</v>
      </c>
      <c r="IT80" s="212" t="str">
        <f t="shared" si="224"/>
        <v/>
      </c>
      <c r="IU80" s="212" t="str">
        <f t="shared" si="225"/>
        <v/>
      </c>
      <c r="IV80" s="212" t="str">
        <f t="shared" si="226"/>
        <v/>
      </c>
      <c r="IW80" s="212" t="str">
        <f t="shared" si="227"/>
        <v/>
      </c>
      <c r="IX80" s="212" t="str">
        <f t="shared" si="228"/>
        <v/>
      </c>
      <c r="IY80" s="212" t="str">
        <f t="shared" si="357"/>
        <v/>
      </c>
      <c r="IZ80" s="212" t="str">
        <f t="shared" si="358"/>
        <v/>
      </c>
      <c r="JA80" s="212" t="str">
        <f t="shared" si="229"/>
        <v/>
      </c>
      <c r="JB80" s="210" t="str">
        <f t="shared" si="359"/>
        <v/>
      </c>
    </row>
    <row r="81" spans="1:262" s="210" customFormat="1" ht="21" customHeight="1">
      <c r="A81" s="183">
        <v>74</v>
      </c>
      <c r="B81" s="184" t="str">
        <f>IF('Marks Entry'!B81="","",'Marks Entry'!B81)</f>
        <v/>
      </c>
      <c r="C81" s="185" t="str">
        <f>IF('Marks Entry'!D81="","",'Marks Entry'!D81)</f>
        <v/>
      </c>
      <c r="D81" s="186" t="str">
        <f>IF('Marks Entry'!E81="","",'Marks Entry'!E81)</f>
        <v/>
      </c>
      <c r="E81" s="187" t="str">
        <f>IF('Marks Entry'!F81="","",'Marks Entry'!F81)</f>
        <v/>
      </c>
      <c r="F81" s="187" t="str">
        <f>IF('Marks Entry'!G81="","",'Marks Entry'!G81)</f>
        <v/>
      </c>
      <c r="G81" s="187" t="str">
        <f>IF('Marks Entry'!H81="","",'Marks Entry'!H81)</f>
        <v/>
      </c>
      <c r="H81" s="188" t="str">
        <f>IF('Marks Entry'!I81="","",'Marks Entry'!I81)</f>
        <v/>
      </c>
      <c r="I81" s="189" t="str">
        <f>IF('Marks Entry'!J81="","",'Marks Entry'!J81)</f>
        <v/>
      </c>
      <c r="J81" s="545" t="str">
        <f>IF('Marks Entry'!K81="","",'Marks Entry'!K81)</f>
        <v/>
      </c>
      <c r="K81" s="545" t="str">
        <f>IF('Marks Entry'!L81="","",'Marks Entry'!L81)</f>
        <v/>
      </c>
      <c r="L81" s="545" t="str">
        <f>IF('Marks Entry'!M81="","",'Marks Entry'!M81)</f>
        <v/>
      </c>
      <c r="M81" s="546" t="str">
        <f t="shared" si="230"/>
        <v/>
      </c>
      <c r="N81" s="545" t="str">
        <f>IF('Marks Entry'!N81="","",'Marks Entry'!N81)</f>
        <v/>
      </c>
      <c r="O81" s="546" t="str">
        <f t="shared" si="231"/>
        <v/>
      </c>
      <c r="P81" s="545" t="str">
        <f>IF('Marks Entry'!O81="","",'Marks Entry'!O81)</f>
        <v/>
      </c>
      <c r="Q81" s="547" t="str">
        <f t="shared" si="232"/>
        <v/>
      </c>
      <c r="R81" s="152">
        <f t="shared" si="233"/>
        <v>0</v>
      </c>
      <c r="S81" s="152">
        <f t="shared" si="234"/>
        <v>0</v>
      </c>
      <c r="T81" s="153" t="str">
        <f t="shared" si="235"/>
        <v/>
      </c>
      <c r="U81" s="152" t="str">
        <f t="shared" si="236"/>
        <v/>
      </c>
      <c r="V81" s="152" t="str">
        <f t="shared" si="237"/>
        <v/>
      </c>
      <c r="W81" s="152" t="str">
        <f t="shared" si="238"/>
        <v/>
      </c>
      <c r="X81" s="545" t="str">
        <f>IF('Marks Entry'!P81="","",'Marks Entry'!P81)</f>
        <v/>
      </c>
      <c r="Y81" s="545" t="str">
        <f>IF('Marks Entry'!Q81="","",'Marks Entry'!Q81)</f>
        <v/>
      </c>
      <c r="Z81" s="545" t="str">
        <f>IF('Marks Entry'!R81="","",'Marks Entry'!R81)</f>
        <v/>
      </c>
      <c r="AA81" s="546" t="str">
        <f t="shared" si="239"/>
        <v/>
      </c>
      <c r="AB81" s="545" t="str">
        <f>IF('Marks Entry'!S81="","",'Marks Entry'!S81)</f>
        <v/>
      </c>
      <c r="AC81" s="546" t="str">
        <f t="shared" si="240"/>
        <v/>
      </c>
      <c r="AD81" s="545" t="str">
        <f>IF('Marks Entry'!T81="","",'Marks Entry'!T81)</f>
        <v/>
      </c>
      <c r="AE81" s="547" t="str">
        <f t="shared" si="241"/>
        <v/>
      </c>
      <c r="AF81" s="152">
        <f t="shared" si="242"/>
        <v>0</v>
      </c>
      <c r="AG81" s="152">
        <f t="shared" si="243"/>
        <v>0</v>
      </c>
      <c r="AH81" s="153" t="str">
        <f t="shared" si="244"/>
        <v/>
      </c>
      <c r="AI81" s="152" t="str">
        <f t="shared" si="245"/>
        <v/>
      </c>
      <c r="AJ81" s="152" t="str">
        <f t="shared" si="246"/>
        <v/>
      </c>
      <c r="AK81" s="152" t="str">
        <f t="shared" si="247"/>
        <v/>
      </c>
      <c r="AL81" s="573" t="str">
        <f>IF('Marks Entry'!U81="","",'Marks Entry'!U81)</f>
        <v/>
      </c>
      <c r="AM81" s="573" t="str">
        <f>IF('Marks Entry'!V81="","",'Marks Entry'!V81)</f>
        <v/>
      </c>
      <c r="AN81" s="573" t="str">
        <f>IF('Marks Entry'!W81="","",'Marks Entry'!W81)</f>
        <v/>
      </c>
      <c r="AO81" s="573" t="str">
        <f>IF('Marks Entry'!X81="","",'Marks Entry'!X81)</f>
        <v/>
      </c>
      <c r="AP81" s="572" t="str">
        <f t="shared" si="248"/>
        <v/>
      </c>
      <c r="AQ81" s="573" t="str">
        <f>IF('Marks Entry'!Y81="","",'Marks Entry'!Y81)</f>
        <v/>
      </c>
      <c r="AR81" s="573" t="str">
        <f>IF('Marks Entry'!Z81="","",'Marks Entry'!Z81)</f>
        <v/>
      </c>
      <c r="AS81" s="572" t="str">
        <f t="shared" si="249"/>
        <v/>
      </c>
      <c r="AT81" s="572" t="str">
        <f t="shared" si="250"/>
        <v/>
      </c>
      <c r="AU81" s="573" t="str">
        <f>IF('Marks Entry'!AA81="","",'Marks Entry'!AA81)</f>
        <v/>
      </c>
      <c r="AV81" s="573" t="str">
        <f>IF('Marks Entry'!AB81="","",'Marks Entry'!AB81)</f>
        <v/>
      </c>
      <c r="AW81" s="572" t="str">
        <f t="shared" si="251"/>
        <v/>
      </c>
      <c r="AX81" s="156" t="str">
        <f t="shared" si="252"/>
        <v/>
      </c>
      <c r="AY81" s="156" t="str">
        <f t="shared" si="253"/>
        <v/>
      </c>
      <c r="AZ81" s="191" t="str">
        <f t="shared" si="254"/>
        <v/>
      </c>
      <c r="BA81" s="152">
        <f t="shared" si="255"/>
        <v>0</v>
      </c>
      <c r="BB81" s="153">
        <f t="shared" si="256"/>
        <v>0</v>
      </c>
      <c r="BC81" s="153" t="str">
        <f t="shared" si="257"/>
        <v/>
      </c>
      <c r="BD81" s="153" t="str">
        <f t="shared" si="258"/>
        <v/>
      </c>
      <c r="BE81" s="153" t="str">
        <f t="shared" si="259"/>
        <v/>
      </c>
      <c r="BF81" s="152" t="str">
        <f t="shared" si="260"/>
        <v/>
      </c>
      <c r="BG81" s="153" t="str">
        <f t="shared" si="261"/>
        <v/>
      </c>
      <c r="BH81" s="152" t="str">
        <f t="shared" si="262"/>
        <v/>
      </c>
      <c r="BI81" s="580" t="str">
        <f>IF('Marks Entry'!AC81="","",'Marks Entry'!AC81)</f>
        <v/>
      </c>
      <c r="BJ81" s="580" t="str">
        <f>IF('Marks Entry'!AD81="","",'Marks Entry'!AD81)</f>
        <v/>
      </c>
      <c r="BK81" s="580" t="str">
        <f>IF('Marks Entry'!AE81="","",'Marks Entry'!AE81)</f>
        <v/>
      </c>
      <c r="BL81" s="580" t="str">
        <f>IF('Marks Entry'!AF81="","",'Marks Entry'!AF81)</f>
        <v/>
      </c>
      <c r="BM81" s="581" t="str">
        <f t="shared" si="263"/>
        <v/>
      </c>
      <c r="BN81" s="580" t="str">
        <f>IF('Marks Entry'!AG81="","",'Marks Entry'!AG81)</f>
        <v/>
      </c>
      <c r="BO81" s="580" t="str">
        <f>IF('Marks Entry'!AH81="","",'Marks Entry'!AH81)</f>
        <v/>
      </c>
      <c r="BP81" s="581" t="str">
        <f t="shared" si="264"/>
        <v/>
      </c>
      <c r="BQ81" s="581" t="str">
        <f t="shared" si="265"/>
        <v/>
      </c>
      <c r="BR81" s="580" t="str">
        <f>IF('Marks Entry'!AI81="","",'Marks Entry'!AI81)</f>
        <v/>
      </c>
      <c r="BS81" s="580" t="str">
        <f>IF('Marks Entry'!AJ81="","",'Marks Entry'!AJ81)</f>
        <v/>
      </c>
      <c r="BT81" s="581" t="str">
        <f t="shared" si="266"/>
        <v/>
      </c>
      <c r="BU81" s="156" t="str">
        <f t="shared" si="267"/>
        <v/>
      </c>
      <c r="BV81" s="156" t="str">
        <f t="shared" si="268"/>
        <v/>
      </c>
      <c r="BW81" s="191" t="str">
        <f t="shared" si="269"/>
        <v/>
      </c>
      <c r="BX81" s="152">
        <f t="shared" si="270"/>
        <v>0</v>
      </c>
      <c r="BY81" s="153">
        <f t="shared" si="271"/>
        <v>0</v>
      </c>
      <c r="BZ81" s="153" t="str">
        <f t="shared" si="272"/>
        <v/>
      </c>
      <c r="CA81" s="153" t="str">
        <f t="shared" si="273"/>
        <v/>
      </c>
      <c r="CB81" s="153" t="str">
        <f t="shared" si="274"/>
        <v/>
      </c>
      <c r="CC81" s="152" t="str">
        <f t="shared" si="275"/>
        <v/>
      </c>
      <c r="CD81" s="153" t="str">
        <f t="shared" si="276"/>
        <v/>
      </c>
      <c r="CE81" s="152" t="str">
        <f t="shared" si="277"/>
        <v/>
      </c>
      <c r="CF81" s="580" t="str">
        <f>IF('Marks Entry'!AK81="","",'Marks Entry'!AK81)</f>
        <v/>
      </c>
      <c r="CG81" s="580" t="str">
        <f>IF('Marks Entry'!AL81="","",'Marks Entry'!AL81)</f>
        <v/>
      </c>
      <c r="CH81" s="580" t="str">
        <f>IF('Marks Entry'!AM81="","",'Marks Entry'!AM81)</f>
        <v/>
      </c>
      <c r="CI81" s="580" t="str">
        <f>IF('Marks Entry'!AN81="","",'Marks Entry'!AN81)</f>
        <v/>
      </c>
      <c r="CJ81" s="581" t="str">
        <f t="shared" si="278"/>
        <v/>
      </c>
      <c r="CK81" s="580" t="str">
        <f>IF('Marks Entry'!AO81="","",'Marks Entry'!AO81)</f>
        <v/>
      </c>
      <c r="CL81" s="580" t="str">
        <f>IF('Marks Entry'!AP81="","",'Marks Entry'!AP81)</f>
        <v/>
      </c>
      <c r="CM81" s="581" t="str">
        <f t="shared" si="279"/>
        <v/>
      </c>
      <c r="CN81" s="581" t="str">
        <f t="shared" si="280"/>
        <v/>
      </c>
      <c r="CO81" s="580" t="str">
        <f>IF('Marks Entry'!AQ81="","",'Marks Entry'!AQ81)</f>
        <v/>
      </c>
      <c r="CP81" s="580" t="str">
        <f>IF('Marks Entry'!AR81="","",'Marks Entry'!AR81)</f>
        <v/>
      </c>
      <c r="CQ81" s="581" t="str">
        <f t="shared" si="281"/>
        <v/>
      </c>
      <c r="CR81" s="156" t="str">
        <f t="shared" si="282"/>
        <v/>
      </c>
      <c r="CS81" s="156" t="str">
        <f t="shared" si="283"/>
        <v/>
      </c>
      <c r="CT81" s="191" t="str">
        <f t="shared" si="284"/>
        <v/>
      </c>
      <c r="CU81" s="152">
        <f t="shared" si="285"/>
        <v>0</v>
      </c>
      <c r="CV81" s="153">
        <f t="shared" si="286"/>
        <v>0</v>
      </c>
      <c r="CW81" s="153" t="str">
        <f t="shared" si="287"/>
        <v/>
      </c>
      <c r="CX81" s="153" t="str">
        <f t="shared" si="288"/>
        <v/>
      </c>
      <c r="CY81" s="153" t="str">
        <f t="shared" si="289"/>
        <v/>
      </c>
      <c r="CZ81" s="152" t="str">
        <f t="shared" si="290"/>
        <v/>
      </c>
      <c r="DA81" s="153" t="str">
        <f t="shared" si="291"/>
        <v/>
      </c>
      <c r="DB81" s="152" t="str">
        <f t="shared" si="292"/>
        <v/>
      </c>
      <c r="DC81" s="153">
        <f t="shared" si="293"/>
        <v>0</v>
      </c>
      <c r="DD81" s="851" t="str">
        <f>IF('Marks Entry'!AS81="","",IF(OR('Master Sheet'!$D$19="YES",'Marks Entry'!$BA$1=1),'Marks Entry'!AS81,""))</f>
        <v/>
      </c>
      <c r="DE81" s="851" t="str">
        <f>IF('Marks Entry'!AT81="","",IF(OR('Master Sheet'!$D$19="YES",'Marks Entry'!$BA$1=1),'Marks Entry'!AT81,""))</f>
        <v/>
      </c>
      <c r="DF81" s="851" t="str">
        <f>IF('Marks Entry'!AU81="","",IF(OR('Master Sheet'!$D$19="YES",'Marks Entry'!$BA$1=1),'Marks Entry'!AU81,""))</f>
        <v/>
      </c>
      <c r="DG81" s="851" t="str">
        <f>IF('Marks Entry'!AV81="","",IF(OR('Master Sheet'!$D$19="YES",'Marks Entry'!$BA$1=1),'Marks Entry'!AV81,""))</f>
        <v/>
      </c>
      <c r="DH81" s="852" t="str">
        <f t="shared" si="294"/>
        <v/>
      </c>
      <c r="DI81" s="851" t="str">
        <f>IF('Marks Entry'!AW81="","",IF(OR('Master Sheet'!$D$19="YES",'Marks Entry'!$BA$1=1),'Marks Entry'!AW81,""))</f>
        <v/>
      </c>
      <c r="DJ81" s="851" t="str">
        <f>IF('Marks Entry'!AX81="","",IF(OR('Master Sheet'!$D$19="YES",'Marks Entry'!$BA$1=1),'Marks Entry'!AX81,""))</f>
        <v/>
      </c>
      <c r="DK81" s="852" t="str">
        <f t="shared" si="295"/>
        <v/>
      </c>
      <c r="DL81" s="852" t="str">
        <f t="shared" si="296"/>
        <v/>
      </c>
      <c r="DM81" s="851" t="str">
        <f>IF('Marks Entry'!AY81="","",IF(OR('Master Sheet'!$D$19="YES",'Marks Entry'!$BA$1=1),'Marks Entry'!AY81,""))</f>
        <v/>
      </c>
      <c r="DN81" s="851" t="str">
        <f>IF('Marks Entry'!AZ81="","",IF(OR('Master Sheet'!$D$19="YES",'Marks Entry'!$BA$1=1),'Marks Entry'!AZ81,""))</f>
        <v/>
      </c>
      <c r="DO81" s="851" t="str">
        <f>IF('Marks Entry'!BA81="","",IF(OR('Master Sheet'!$D$19="YES",'Marks Entry'!$BA$1=1),'Marks Entry'!BA81,""))</f>
        <v/>
      </c>
      <c r="DP81" s="852" t="str">
        <f t="shared" si="297"/>
        <v/>
      </c>
      <c r="DQ81" s="156" t="str">
        <f t="shared" si="298"/>
        <v/>
      </c>
      <c r="DR81" s="156" t="str">
        <f t="shared" si="299"/>
        <v/>
      </c>
      <c r="DS81" s="156" t="str">
        <f t="shared" si="300"/>
        <v/>
      </c>
      <c r="DT81" s="191" t="str">
        <f t="shared" si="301"/>
        <v/>
      </c>
      <c r="DU81" s="152">
        <f t="shared" si="302"/>
        <v>0</v>
      </c>
      <c r="DV81" s="153">
        <f t="shared" si="303"/>
        <v>0</v>
      </c>
      <c r="DW81" s="153" t="str">
        <f t="shared" si="304"/>
        <v/>
      </c>
      <c r="DX81" s="153" t="str">
        <f>IF(OR($B81="NSO",$B81=0,DS81=""),"",IF(AND(DJ81="",DO81=""),"",IF('Master Sheet'!$D$19="YES",$DO$6-COUNTIF(DO81,"ML")*DO$6,DS$6-(COUNTIF(DJ81,"ML")*DJ$6)-(COUNTIF(DO81,"ML")*DO$6))))</f>
        <v/>
      </c>
      <c r="DY81" s="153" t="str">
        <f>IF(OR($B81="NSO",$B81=0),"",IF(AND(DH81="",DI81="",DM81=""),"",IF(AND('Master Sheet'!$D$19="YES",'Marks Entry'!$BA$1=1),100,IF(AND(DJ81="",DO81=""),SUM(($DQ$7+$DR$7)-(DU81+DV81)),SUM(($DQ$6+$DR$6)-(DU81+DV81))))))</f>
        <v/>
      </c>
      <c r="DZ81" s="152" t="str">
        <f t="shared" si="305"/>
        <v/>
      </c>
      <c r="EA81" s="153" t="str">
        <f t="shared" si="306"/>
        <v/>
      </c>
      <c r="EB81" s="152" t="str">
        <f t="shared" si="307"/>
        <v/>
      </c>
      <c r="EC81" s="584" t="str">
        <f>IF('Marks Entry'!BB81="","",'Marks Entry'!BB81)</f>
        <v/>
      </c>
      <c r="ED81" s="584" t="str">
        <f>IF('Marks Entry'!BC81="","",'Marks Entry'!BC81)</f>
        <v/>
      </c>
      <c r="EE81" s="584" t="str">
        <f>IF('Marks Entry'!BD81="","",'Marks Entry'!BD81)</f>
        <v/>
      </c>
      <c r="EF81" s="590" t="str">
        <f t="shared" si="308"/>
        <v/>
      </c>
      <c r="EG81" s="595">
        <f t="shared" si="309"/>
        <v>0</v>
      </c>
      <c r="EH81" s="595">
        <f t="shared" si="310"/>
        <v>0</v>
      </c>
      <c r="EI81" s="192" t="str">
        <f t="shared" si="311"/>
        <v/>
      </c>
      <c r="EJ81" s="595" t="str">
        <f t="shared" si="312"/>
        <v/>
      </c>
      <c r="EK81" s="595" t="str">
        <f t="shared" si="313"/>
        <v/>
      </c>
      <c r="EL81" s="193" t="str">
        <f t="shared" si="314"/>
        <v/>
      </c>
      <c r="EM81" s="193" t="str">
        <f t="shared" si="315"/>
        <v/>
      </c>
      <c r="EN81" s="193" t="str">
        <f t="shared" si="316"/>
        <v/>
      </c>
      <c r="EO81" s="193" t="str">
        <f t="shared" si="317"/>
        <v/>
      </c>
      <c r="EP81" s="193" t="str">
        <f t="shared" si="318"/>
        <v/>
      </c>
      <c r="EQ81" s="193" t="str">
        <f t="shared" si="319"/>
        <v/>
      </c>
      <c r="ER81" s="194">
        <f t="shared" si="320"/>
        <v>0</v>
      </c>
      <c r="ES81" s="194">
        <f t="shared" si="321"/>
        <v>0</v>
      </c>
      <c r="ET81" s="194">
        <f t="shared" si="322"/>
        <v>0</v>
      </c>
      <c r="EU81" s="194">
        <f t="shared" si="323"/>
        <v>0</v>
      </c>
      <c r="EV81" s="194">
        <f t="shared" si="324"/>
        <v>0</v>
      </c>
      <c r="EW81" s="194" t="str">
        <f t="shared" si="325"/>
        <v/>
      </c>
      <c r="EX81" s="195" t="str">
        <f t="shared" si="326"/>
        <v/>
      </c>
      <c r="EY81" s="196" t="str">
        <f>IF('Marks Entry'!BE81="","",'Marks Entry'!BE81)</f>
        <v/>
      </c>
      <c r="EZ81" s="196" t="str">
        <f>IF('Marks Entry'!BF81="","",'Marks Entry'!BF81)</f>
        <v/>
      </c>
      <c r="FA81" s="196" t="str">
        <f>IF('Marks Entry'!BG81="","",'Marks Entry'!BG81)</f>
        <v/>
      </c>
      <c r="FB81" s="596" t="str">
        <f t="shared" si="327"/>
        <v/>
      </c>
      <c r="FC81" s="196" t="str">
        <f>IF('Marks Entry'!BH81="","",'Marks Entry'!BH81)</f>
        <v/>
      </c>
      <c r="FD81" s="196" t="str">
        <f>IF('Marks Entry'!BI81="","",'Marks Entry'!BI81)</f>
        <v/>
      </c>
      <c r="FE81" s="197" t="str">
        <f t="shared" si="328"/>
        <v/>
      </c>
      <c r="FF81" s="198" t="str">
        <f t="shared" si="329"/>
        <v/>
      </c>
      <c r="FG81" s="199" t="str">
        <f>IF(AND(E81=""),"",IF('Student DATA Entry'!L77="","",'Student DATA Entry'!L77))</f>
        <v/>
      </c>
      <c r="FH81" s="200" t="str">
        <f>IF(AND(E81=""),"",IF('Student DATA Entry'!M77="","",'Student DATA Entry'!M77))</f>
        <v/>
      </c>
      <c r="FI81" s="201" t="str">
        <f t="shared" si="330"/>
        <v/>
      </c>
      <c r="FJ81" s="188" t="str">
        <f t="shared" si="331"/>
        <v/>
      </c>
      <c r="FK81" s="188" t="str">
        <f t="shared" si="332"/>
        <v/>
      </c>
      <c r="FL81" s="202" t="str">
        <f t="shared" si="201"/>
        <v/>
      </c>
      <c r="FM81" s="188" t="str">
        <f t="shared" si="333"/>
        <v/>
      </c>
      <c r="FN81" s="203" t="str">
        <f t="shared" si="334"/>
        <v/>
      </c>
      <c r="FO81" s="202" t="str">
        <f t="shared" si="202"/>
        <v/>
      </c>
      <c r="FP81" s="204" t="str">
        <f t="shared" si="335"/>
        <v/>
      </c>
      <c r="FQ81" s="188" t="str">
        <f t="shared" si="203"/>
        <v/>
      </c>
      <c r="FR81" s="188" t="str">
        <f t="shared" si="204"/>
        <v/>
      </c>
      <c r="FS81" s="188" t="str">
        <f t="shared" si="205"/>
        <v/>
      </c>
      <c r="FT81" s="188" t="str">
        <f t="shared" si="206"/>
        <v/>
      </c>
      <c r="FU81" s="188" t="str">
        <f t="shared" si="336"/>
        <v/>
      </c>
      <c r="FV81" s="205" t="str">
        <f t="shared" si="207"/>
        <v/>
      </c>
      <c r="FW81" s="204" t="str">
        <f t="shared" si="337"/>
        <v/>
      </c>
      <c r="FX81" s="188" t="str">
        <f t="shared" si="208"/>
        <v/>
      </c>
      <c r="FY81" s="188" t="str">
        <f t="shared" si="209"/>
        <v/>
      </c>
      <c r="FZ81" s="188" t="str">
        <f t="shared" si="210"/>
        <v/>
      </c>
      <c r="GA81" s="188" t="str">
        <f t="shared" si="211"/>
        <v/>
      </c>
      <c r="GB81" s="188" t="str">
        <f t="shared" si="338"/>
        <v/>
      </c>
      <c r="GC81" s="205" t="str">
        <f t="shared" si="212"/>
        <v/>
      </c>
      <c r="GD81" s="204" t="str">
        <f t="shared" si="339"/>
        <v/>
      </c>
      <c r="GE81" s="188" t="str">
        <f t="shared" si="213"/>
        <v/>
      </c>
      <c r="GF81" s="188" t="str">
        <f t="shared" si="214"/>
        <v/>
      </c>
      <c r="GG81" s="188" t="str">
        <f t="shared" si="215"/>
        <v/>
      </c>
      <c r="GH81" s="188" t="str">
        <f t="shared" si="216"/>
        <v/>
      </c>
      <c r="GI81" s="188" t="str">
        <f t="shared" si="340"/>
        <v/>
      </c>
      <c r="GJ81" s="205" t="str">
        <f t="shared" si="217"/>
        <v/>
      </c>
      <c r="GK81" s="204" t="str">
        <f t="shared" si="341"/>
        <v/>
      </c>
      <c r="GL81" s="188" t="str">
        <f t="shared" si="218"/>
        <v/>
      </c>
      <c r="GM81" s="188" t="str">
        <f t="shared" si="219"/>
        <v/>
      </c>
      <c r="GN81" s="188" t="str">
        <f t="shared" si="220"/>
        <v/>
      </c>
      <c r="GO81" s="188" t="str">
        <f t="shared" si="221"/>
        <v/>
      </c>
      <c r="GP81" s="188" t="str">
        <f t="shared" si="342"/>
        <v/>
      </c>
      <c r="GQ81" s="205" t="str">
        <f t="shared" si="222"/>
        <v/>
      </c>
      <c r="GR81" s="188" t="str">
        <f t="shared" si="343"/>
        <v/>
      </c>
      <c r="GS81" s="188" t="str">
        <f t="shared" si="344"/>
        <v/>
      </c>
      <c r="GT81" s="206" t="str">
        <f t="shared" si="345"/>
        <v xml:space="preserve">    </v>
      </c>
      <c r="GU81" s="206" t="str">
        <f t="shared" si="346"/>
        <v xml:space="preserve">    </v>
      </c>
      <c r="GV81" s="206" t="str">
        <f t="shared" si="347"/>
        <v xml:space="preserve">    </v>
      </c>
      <c r="GW81" s="206" t="str">
        <f t="shared" si="348"/>
        <v xml:space="preserve">       </v>
      </c>
      <c r="GX81" s="598" t="str">
        <f t="shared" si="349"/>
        <v xml:space="preserve">     </v>
      </c>
      <c r="GY81" s="207" t="str">
        <f t="shared" si="223"/>
        <v/>
      </c>
      <c r="GZ81" s="606" t="str">
        <f>IF(AND(Q81="",AE81="",AZ81="",BW81="",CT81=""),"",IF(AND('Master Sheet'!$D$19="YES",'Marks Entry'!$BA$1=1),SUM(Q81,AE81,AZ81,BW81,DT81),SUM(Q81,AE81,AZ81,BW81,CT81)))</f>
        <v/>
      </c>
      <c r="HA81" s="208" t="str">
        <f>IF(GZ81="","",IF(AND('Master Sheet'!$D$19="YES",'Marks Entry'!$BA$1=1),GZ81/((900)-DC81)*100,GZ81/((1000)-DC81)*100))</f>
        <v/>
      </c>
      <c r="HB81" s="611" t="str">
        <f t="shared" si="350"/>
        <v/>
      </c>
      <c r="HC81" s="609" t="str">
        <f t="shared" si="351"/>
        <v/>
      </c>
      <c r="HD81" s="610" t="str">
        <f t="shared" si="352"/>
        <v/>
      </c>
      <c r="HE81" s="209" t="str">
        <f>IFERROR(IF(OR(GY81="SUPPLEMENTARY",GY81="RE-EXAM"),'Supp. Result Entry'!AS80,""),"")</f>
        <v/>
      </c>
      <c r="HF81" s="613" t="str">
        <f t="shared" si="353"/>
        <v/>
      </c>
      <c r="HG81" s="598" t="str">
        <f t="shared" si="354"/>
        <v/>
      </c>
      <c r="HH81" s="598" t="str">
        <f>IF(AND(HE81="",HF81="",HG81=""),"",IF(OR(GY81="SUPPLEMENTARY",GY81="RE-EXAM"),'Supp. Result Entry'!AS80,GY81))</f>
        <v/>
      </c>
      <c r="HI81" s="179"/>
      <c r="HY81" s="211" t="str">
        <f>IF('Supp. Result Entry'!U80="","",'Supp. Result Entry'!$U$6)</f>
        <v/>
      </c>
      <c r="HZ81" s="212" t="str">
        <f>IF('Supp. Result Entry'!X80="","",'Supp. Result Entry'!$X$6)</f>
        <v/>
      </c>
      <c r="IA81" s="212" t="str">
        <f>IF('Supp. Result Entry'!AA80="","",'Supp. Result Entry'!$AA$6)</f>
        <v/>
      </c>
      <c r="IB81" s="212" t="str">
        <f>IF('Supp. Result Entry'!AD80="","",'Supp. Result Entry'!$AD$6)</f>
        <v/>
      </c>
      <c r="IC81" s="212" t="str">
        <f>IF('Supp. Result Entry'!AG80="","",'Supp. Result Entry'!$AG$6)</f>
        <v/>
      </c>
      <c r="ID81" s="212" t="str">
        <f>IF('Supp. Result Entry'!AJ80="","",'Supp. Result Entry'!$AJ$6)</f>
        <v/>
      </c>
      <c r="IE81" s="212" t="str">
        <f>IF('Supp. Result Entry'!V80="","",'Supp. Result Entry'!V80)</f>
        <v/>
      </c>
      <c r="IF81" s="212" t="str">
        <f>IF('Supp. Result Entry'!Y80="","",'Supp. Result Entry'!Y80)</f>
        <v/>
      </c>
      <c r="IG81" s="212" t="str">
        <f>IF('Supp. Result Entry'!AB80="","",'Supp. Result Entry'!AB80)</f>
        <v/>
      </c>
      <c r="IH81" s="212" t="str">
        <f>IF('Supp. Result Entry'!AE80="","",'Supp. Result Entry'!AE80)</f>
        <v/>
      </c>
      <c r="II81" s="212" t="str">
        <f>IF('Supp. Result Entry'!AH80="","",'Supp. Result Entry'!AH80)</f>
        <v/>
      </c>
      <c r="IJ81" s="212" t="str">
        <f>IF('Supp. Result Entry'!AK80="","",'Supp. Result Entry'!AK80)</f>
        <v/>
      </c>
      <c r="IK81" s="212" t="str">
        <f>IF('Supp. Result Entry'!W80="","",'Supp. Result Entry'!W80)</f>
        <v/>
      </c>
      <c r="IL81" s="212" t="str">
        <f>IF('Supp. Result Entry'!Z80="","",'Supp. Result Entry'!Z80)</f>
        <v/>
      </c>
      <c r="IM81" s="212" t="str">
        <f>IF('Supp. Result Entry'!AC80="","",'Supp. Result Entry'!AC80)</f>
        <v/>
      </c>
      <c r="IN81" s="212" t="str">
        <f>IF('Supp. Result Entry'!AF80="","",'Supp. Result Entry'!AF80)</f>
        <v/>
      </c>
      <c r="IO81" s="212" t="str">
        <f>IF('Supp. Result Entry'!AI80="","",'Supp. Result Entry'!AI80)</f>
        <v/>
      </c>
      <c r="IP81" s="212" t="str">
        <f>IF('Supp. Result Entry'!AL80="","",'Supp. Result Entry'!AL80)</f>
        <v/>
      </c>
      <c r="IQ81" s="212">
        <f>COUNTIF('Supp. Result Entry'!K80:Q80,"S")</f>
        <v>0</v>
      </c>
      <c r="IR81" s="212">
        <f t="shared" si="355"/>
        <v>0</v>
      </c>
      <c r="IS81" s="212">
        <f t="shared" si="356"/>
        <v>0</v>
      </c>
      <c r="IT81" s="212" t="str">
        <f t="shared" si="224"/>
        <v/>
      </c>
      <c r="IU81" s="212" t="str">
        <f t="shared" si="225"/>
        <v/>
      </c>
      <c r="IV81" s="212" t="str">
        <f t="shared" si="226"/>
        <v/>
      </c>
      <c r="IW81" s="212" t="str">
        <f t="shared" si="227"/>
        <v/>
      </c>
      <c r="IX81" s="212" t="str">
        <f t="shared" si="228"/>
        <v/>
      </c>
      <c r="IY81" s="212" t="str">
        <f t="shared" si="357"/>
        <v/>
      </c>
      <c r="IZ81" s="212" t="str">
        <f t="shared" si="358"/>
        <v/>
      </c>
      <c r="JA81" s="212" t="str">
        <f t="shared" si="229"/>
        <v/>
      </c>
      <c r="JB81" s="210" t="str">
        <f t="shared" si="359"/>
        <v/>
      </c>
    </row>
    <row r="82" spans="1:262" s="210" customFormat="1" ht="21" customHeight="1">
      <c r="A82" s="183">
        <v>75</v>
      </c>
      <c r="B82" s="184" t="str">
        <f>IF('Marks Entry'!B82="","",'Marks Entry'!B82)</f>
        <v/>
      </c>
      <c r="C82" s="185" t="str">
        <f>IF('Marks Entry'!D82="","",'Marks Entry'!D82)</f>
        <v/>
      </c>
      <c r="D82" s="186" t="str">
        <f>IF('Marks Entry'!E82="","",'Marks Entry'!E82)</f>
        <v/>
      </c>
      <c r="E82" s="187" t="str">
        <f>IF('Marks Entry'!F82="","",'Marks Entry'!F82)</f>
        <v/>
      </c>
      <c r="F82" s="187" t="str">
        <f>IF('Marks Entry'!G82="","",'Marks Entry'!G82)</f>
        <v/>
      </c>
      <c r="G82" s="187" t="str">
        <f>IF('Marks Entry'!H82="","",'Marks Entry'!H82)</f>
        <v/>
      </c>
      <c r="H82" s="188" t="str">
        <f>IF('Marks Entry'!I82="","",'Marks Entry'!I82)</f>
        <v/>
      </c>
      <c r="I82" s="189" t="str">
        <f>IF('Marks Entry'!J82="","",'Marks Entry'!J82)</f>
        <v/>
      </c>
      <c r="J82" s="545" t="str">
        <f>IF('Marks Entry'!K82="","",'Marks Entry'!K82)</f>
        <v/>
      </c>
      <c r="K82" s="545" t="str">
        <f>IF('Marks Entry'!L82="","",'Marks Entry'!L82)</f>
        <v/>
      </c>
      <c r="L82" s="545" t="str">
        <f>IF('Marks Entry'!M82="","",'Marks Entry'!M82)</f>
        <v/>
      </c>
      <c r="M82" s="546" t="str">
        <f t="shared" si="230"/>
        <v/>
      </c>
      <c r="N82" s="545" t="str">
        <f>IF('Marks Entry'!N82="","",'Marks Entry'!N82)</f>
        <v/>
      </c>
      <c r="O82" s="546" t="str">
        <f t="shared" si="231"/>
        <v/>
      </c>
      <c r="P82" s="545" t="str">
        <f>IF('Marks Entry'!O82="","",'Marks Entry'!O82)</f>
        <v/>
      </c>
      <c r="Q82" s="547" t="str">
        <f t="shared" si="232"/>
        <v/>
      </c>
      <c r="R82" s="152">
        <f t="shared" si="233"/>
        <v>0</v>
      </c>
      <c r="S82" s="152">
        <f t="shared" si="234"/>
        <v>0</v>
      </c>
      <c r="T82" s="153" t="str">
        <f t="shared" si="235"/>
        <v/>
      </c>
      <c r="U82" s="152" t="str">
        <f t="shared" si="236"/>
        <v/>
      </c>
      <c r="V82" s="152" t="str">
        <f t="shared" si="237"/>
        <v/>
      </c>
      <c r="W82" s="152" t="str">
        <f t="shared" si="238"/>
        <v/>
      </c>
      <c r="X82" s="545" t="str">
        <f>IF('Marks Entry'!P82="","",'Marks Entry'!P82)</f>
        <v/>
      </c>
      <c r="Y82" s="545" t="str">
        <f>IF('Marks Entry'!Q82="","",'Marks Entry'!Q82)</f>
        <v/>
      </c>
      <c r="Z82" s="545" t="str">
        <f>IF('Marks Entry'!R82="","",'Marks Entry'!R82)</f>
        <v/>
      </c>
      <c r="AA82" s="546" t="str">
        <f t="shared" si="239"/>
        <v/>
      </c>
      <c r="AB82" s="545" t="str">
        <f>IF('Marks Entry'!S82="","",'Marks Entry'!S82)</f>
        <v/>
      </c>
      <c r="AC82" s="546" t="str">
        <f t="shared" si="240"/>
        <v/>
      </c>
      <c r="AD82" s="545" t="str">
        <f>IF('Marks Entry'!T82="","",'Marks Entry'!T82)</f>
        <v/>
      </c>
      <c r="AE82" s="547" t="str">
        <f t="shared" si="241"/>
        <v/>
      </c>
      <c r="AF82" s="152">
        <f t="shared" si="242"/>
        <v>0</v>
      </c>
      <c r="AG82" s="152">
        <f t="shared" si="243"/>
        <v>0</v>
      </c>
      <c r="AH82" s="153" t="str">
        <f t="shared" si="244"/>
        <v/>
      </c>
      <c r="AI82" s="152" t="str">
        <f t="shared" si="245"/>
        <v/>
      </c>
      <c r="AJ82" s="152" t="str">
        <f t="shared" si="246"/>
        <v/>
      </c>
      <c r="AK82" s="152" t="str">
        <f t="shared" si="247"/>
        <v/>
      </c>
      <c r="AL82" s="573" t="str">
        <f>IF('Marks Entry'!U82="","",'Marks Entry'!U82)</f>
        <v/>
      </c>
      <c r="AM82" s="573" t="str">
        <f>IF('Marks Entry'!V82="","",'Marks Entry'!V82)</f>
        <v/>
      </c>
      <c r="AN82" s="573" t="str">
        <f>IF('Marks Entry'!W82="","",'Marks Entry'!W82)</f>
        <v/>
      </c>
      <c r="AO82" s="573" t="str">
        <f>IF('Marks Entry'!X82="","",'Marks Entry'!X82)</f>
        <v/>
      </c>
      <c r="AP82" s="572" t="str">
        <f t="shared" si="248"/>
        <v/>
      </c>
      <c r="AQ82" s="573" t="str">
        <f>IF('Marks Entry'!Y82="","",'Marks Entry'!Y82)</f>
        <v/>
      </c>
      <c r="AR82" s="573" t="str">
        <f>IF('Marks Entry'!Z82="","",'Marks Entry'!Z82)</f>
        <v/>
      </c>
      <c r="AS82" s="572" t="str">
        <f t="shared" si="249"/>
        <v/>
      </c>
      <c r="AT82" s="572" t="str">
        <f t="shared" si="250"/>
        <v/>
      </c>
      <c r="AU82" s="573" t="str">
        <f>IF('Marks Entry'!AA82="","",'Marks Entry'!AA82)</f>
        <v/>
      </c>
      <c r="AV82" s="573" t="str">
        <f>IF('Marks Entry'!AB82="","",'Marks Entry'!AB82)</f>
        <v/>
      </c>
      <c r="AW82" s="572" t="str">
        <f t="shared" si="251"/>
        <v/>
      </c>
      <c r="AX82" s="156" t="str">
        <f t="shared" si="252"/>
        <v/>
      </c>
      <c r="AY82" s="156" t="str">
        <f t="shared" si="253"/>
        <v/>
      </c>
      <c r="AZ82" s="191" t="str">
        <f t="shared" si="254"/>
        <v/>
      </c>
      <c r="BA82" s="152">
        <f t="shared" si="255"/>
        <v>0</v>
      </c>
      <c r="BB82" s="153">
        <f t="shared" si="256"/>
        <v>0</v>
      </c>
      <c r="BC82" s="153" t="str">
        <f t="shared" si="257"/>
        <v/>
      </c>
      <c r="BD82" s="153" t="str">
        <f t="shared" si="258"/>
        <v/>
      </c>
      <c r="BE82" s="153" t="str">
        <f t="shared" si="259"/>
        <v/>
      </c>
      <c r="BF82" s="152" t="str">
        <f t="shared" si="260"/>
        <v/>
      </c>
      <c r="BG82" s="153" t="str">
        <f t="shared" si="261"/>
        <v/>
      </c>
      <c r="BH82" s="152" t="str">
        <f t="shared" si="262"/>
        <v/>
      </c>
      <c r="BI82" s="580" t="str">
        <f>IF('Marks Entry'!AC82="","",'Marks Entry'!AC82)</f>
        <v/>
      </c>
      <c r="BJ82" s="580" t="str">
        <f>IF('Marks Entry'!AD82="","",'Marks Entry'!AD82)</f>
        <v/>
      </c>
      <c r="BK82" s="580" t="str">
        <f>IF('Marks Entry'!AE82="","",'Marks Entry'!AE82)</f>
        <v/>
      </c>
      <c r="BL82" s="580" t="str">
        <f>IF('Marks Entry'!AF82="","",'Marks Entry'!AF82)</f>
        <v/>
      </c>
      <c r="BM82" s="581" t="str">
        <f t="shared" si="263"/>
        <v/>
      </c>
      <c r="BN82" s="580" t="str">
        <f>IF('Marks Entry'!AG82="","",'Marks Entry'!AG82)</f>
        <v/>
      </c>
      <c r="BO82" s="580" t="str">
        <f>IF('Marks Entry'!AH82="","",'Marks Entry'!AH82)</f>
        <v/>
      </c>
      <c r="BP82" s="581" t="str">
        <f t="shared" si="264"/>
        <v/>
      </c>
      <c r="BQ82" s="581" t="str">
        <f t="shared" si="265"/>
        <v/>
      </c>
      <c r="BR82" s="580" t="str">
        <f>IF('Marks Entry'!AI82="","",'Marks Entry'!AI82)</f>
        <v/>
      </c>
      <c r="BS82" s="580" t="str">
        <f>IF('Marks Entry'!AJ82="","",'Marks Entry'!AJ82)</f>
        <v/>
      </c>
      <c r="BT82" s="581" t="str">
        <f t="shared" si="266"/>
        <v/>
      </c>
      <c r="BU82" s="156" t="str">
        <f t="shared" si="267"/>
        <v/>
      </c>
      <c r="BV82" s="156" t="str">
        <f t="shared" si="268"/>
        <v/>
      </c>
      <c r="BW82" s="191" t="str">
        <f t="shared" si="269"/>
        <v/>
      </c>
      <c r="BX82" s="152">
        <f t="shared" si="270"/>
        <v>0</v>
      </c>
      <c r="BY82" s="153">
        <f t="shared" si="271"/>
        <v>0</v>
      </c>
      <c r="BZ82" s="153" t="str">
        <f t="shared" si="272"/>
        <v/>
      </c>
      <c r="CA82" s="153" t="str">
        <f t="shared" si="273"/>
        <v/>
      </c>
      <c r="CB82" s="153" t="str">
        <f t="shared" si="274"/>
        <v/>
      </c>
      <c r="CC82" s="152" t="str">
        <f t="shared" si="275"/>
        <v/>
      </c>
      <c r="CD82" s="153" t="str">
        <f t="shared" si="276"/>
        <v/>
      </c>
      <c r="CE82" s="152" t="str">
        <f t="shared" si="277"/>
        <v/>
      </c>
      <c r="CF82" s="580" t="str">
        <f>IF('Marks Entry'!AK82="","",'Marks Entry'!AK82)</f>
        <v/>
      </c>
      <c r="CG82" s="580" t="str">
        <f>IF('Marks Entry'!AL82="","",'Marks Entry'!AL82)</f>
        <v/>
      </c>
      <c r="CH82" s="580" t="str">
        <f>IF('Marks Entry'!AM82="","",'Marks Entry'!AM82)</f>
        <v/>
      </c>
      <c r="CI82" s="580" t="str">
        <f>IF('Marks Entry'!AN82="","",'Marks Entry'!AN82)</f>
        <v/>
      </c>
      <c r="CJ82" s="581" t="str">
        <f t="shared" si="278"/>
        <v/>
      </c>
      <c r="CK82" s="580" t="str">
        <f>IF('Marks Entry'!AO82="","",'Marks Entry'!AO82)</f>
        <v/>
      </c>
      <c r="CL82" s="580" t="str">
        <f>IF('Marks Entry'!AP82="","",'Marks Entry'!AP82)</f>
        <v/>
      </c>
      <c r="CM82" s="581" t="str">
        <f t="shared" si="279"/>
        <v/>
      </c>
      <c r="CN82" s="581" t="str">
        <f t="shared" si="280"/>
        <v/>
      </c>
      <c r="CO82" s="580" t="str">
        <f>IF('Marks Entry'!AQ82="","",'Marks Entry'!AQ82)</f>
        <v/>
      </c>
      <c r="CP82" s="580" t="str">
        <f>IF('Marks Entry'!AR82="","",'Marks Entry'!AR82)</f>
        <v/>
      </c>
      <c r="CQ82" s="581" t="str">
        <f t="shared" si="281"/>
        <v/>
      </c>
      <c r="CR82" s="156" t="str">
        <f t="shared" si="282"/>
        <v/>
      </c>
      <c r="CS82" s="156" t="str">
        <f t="shared" si="283"/>
        <v/>
      </c>
      <c r="CT82" s="191" t="str">
        <f t="shared" si="284"/>
        <v/>
      </c>
      <c r="CU82" s="152">
        <f t="shared" si="285"/>
        <v>0</v>
      </c>
      <c r="CV82" s="153">
        <f t="shared" si="286"/>
        <v>0</v>
      </c>
      <c r="CW82" s="153" t="str">
        <f t="shared" si="287"/>
        <v/>
      </c>
      <c r="CX82" s="153" t="str">
        <f t="shared" si="288"/>
        <v/>
      </c>
      <c r="CY82" s="153" t="str">
        <f t="shared" si="289"/>
        <v/>
      </c>
      <c r="CZ82" s="152" t="str">
        <f t="shared" si="290"/>
        <v/>
      </c>
      <c r="DA82" s="153" t="str">
        <f t="shared" si="291"/>
        <v/>
      </c>
      <c r="DB82" s="152" t="str">
        <f t="shared" si="292"/>
        <v/>
      </c>
      <c r="DC82" s="153">
        <f t="shared" si="293"/>
        <v>0</v>
      </c>
      <c r="DD82" s="851" t="str">
        <f>IF('Marks Entry'!AS82="","",IF(OR('Master Sheet'!$D$19="YES",'Marks Entry'!$BA$1=1),'Marks Entry'!AS82,""))</f>
        <v/>
      </c>
      <c r="DE82" s="851" t="str">
        <f>IF('Marks Entry'!AT82="","",IF(OR('Master Sheet'!$D$19="YES",'Marks Entry'!$BA$1=1),'Marks Entry'!AT82,""))</f>
        <v/>
      </c>
      <c r="DF82" s="851" t="str">
        <f>IF('Marks Entry'!AU82="","",IF(OR('Master Sheet'!$D$19="YES",'Marks Entry'!$BA$1=1),'Marks Entry'!AU82,""))</f>
        <v/>
      </c>
      <c r="DG82" s="851" t="str">
        <f>IF('Marks Entry'!AV82="","",IF(OR('Master Sheet'!$D$19="YES",'Marks Entry'!$BA$1=1),'Marks Entry'!AV82,""))</f>
        <v/>
      </c>
      <c r="DH82" s="852" t="str">
        <f t="shared" si="294"/>
        <v/>
      </c>
      <c r="DI82" s="851" t="str">
        <f>IF('Marks Entry'!AW82="","",IF(OR('Master Sheet'!$D$19="YES",'Marks Entry'!$BA$1=1),'Marks Entry'!AW82,""))</f>
        <v/>
      </c>
      <c r="DJ82" s="851" t="str">
        <f>IF('Marks Entry'!AX82="","",IF(OR('Master Sheet'!$D$19="YES",'Marks Entry'!$BA$1=1),'Marks Entry'!AX82,""))</f>
        <v/>
      </c>
      <c r="DK82" s="852" t="str">
        <f t="shared" si="295"/>
        <v/>
      </c>
      <c r="DL82" s="852" t="str">
        <f t="shared" si="296"/>
        <v/>
      </c>
      <c r="DM82" s="851" t="str">
        <f>IF('Marks Entry'!AY82="","",IF(OR('Master Sheet'!$D$19="YES",'Marks Entry'!$BA$1=1),'Marks Entry'!AY82,""))</f>
        <v/>
      </c>
      <c r="DN82" s="851" t="str">
        <f>IF('Marks Entry'!AZ82="","",IF(OR('Master Sheet'!$D$19="YES",'Marks Entry'!$BA$1=1),'Marks Entry'!AZ82,""))</f>
        <v/>
      </c>
      <c r="DO82" s="851" t="str">
        <f>IF('Marks Entry'!BA82="","",IF(OR('Master Sheet'!$D$19="YES",'Marks Entry'!$BA$1=1),'Marks Entry'!BA82,""))</f>
        <v/>
      </c>
      <c r="DP82" s="852" t="str">
        <f t="shared" si="297"/>
        <v/>
      </c>
      <c r="DQ82" s="156" t="str">
        <f t="shared" si="298"/>
        <v/>
      </c>
      <c r="DR82" s="156" t="str">
        <f t="shared" si="299"/>
        <v/>
      </c>
      <c r="DS82" s="156" t="str">
        <f t="shared" si="300"/>
        <v/>
      </c>
      <c r="DT82" s="191" t="str">
        <f t="shared" si="301"/>
        <v/>
      </c>
      <c r="DU82" s="152">
        <f t="shared" si="302"/>
        <v>0</v>
      </c>
      <c r="DV82" s="153">
        <f t="shared" si="303"/>
        <v>0</v>
      </c>
      <c r="DW82" s="153" t="str">
        <f t="shared" si="304"/>
        <v/>
      </c>
      <c r="DX82" s="153" t="str">
        <f>IF(OR($B82="NSO",$B82=0,DS82=""),"",IF(AND(DJ82="",DO82=""),"",IF('Master Sheet'!$D$19="YES",$DO$6-COUNTIF(DO82,"ML")*DO$6,DS$6-(COUNTIF(DJ82,"ML")*DJ$6)-(COUNTIF(DO82,"ML")*DO$6))))</f>
        <v/>
      </c>
      <c r="DY82" s="153" t="str">
        <f>IF(OR($B82="NSO",$B82=0),"",IF(AND(DH82="",DI82="",DM82=""),"",IF(AND('Master Sheet'!$D$19="YES",'Marks Entry'!$BA$1=1),100,IF(AND(DJ82="",DO82=""),SUM(($DQ$7+$DR$7)-(DU82+DV82)),SUM(($DQ$6+$DR$6)-(DU82+DV82))))))</f>
        <v/>
      </c>
      <c r="DZ82" s="152" t="str">
        <f t="shared" si="305"/>
        <v/>
      </c>
      <c r="EA82" s="153" t="str">
        <f t="shared" si="306"/>
        <v/>
      </c>
      <c r="EB82" s="152" t="str">
        <f t="shared" si="307"/>
        <v/>
      </c>
      <c r="EC82" s="584" t="str">
        <f>IF('Marks Entry'!BB82="","",'Marks Entry'!BB82)</f>
        <v/>
      </c>
      <c r="ED82" s="584" t="str">
        <f>IF('Marks Entry'!BC82="","",'Marks Entry'!BC82)</f>
        <v/>
      </c>
      <c r="EE82" s="584" t="str">
        <f>IF('Marks Entry'!BD82="","",'Marks Entry'!BD82)</f>
        <v/>
      </c>
      <c r="EF82" s="590" t="str">
        <f t="shared" si="308"/>
        <v/>
      </c>
      <c r="EG82" s="595">
        <f t="shared" si="309"/>
        <v>0</v>
      </c>
      <c r="EH82" s="595">
        <f t="shared" si="310"/>
        <v>0</v>
      </c>
      <c r="EI82" s="192" t="str">
        <f t="shared" si="311"/>
        <v/>
      </c>
      <c r="EJ82" s="595" t="str">
        <f t="shared" si="312"/>
        <v/>
      </c>
      <c r="EK82" s="595" t="str">
        <f t="shared" si="313"/>
        <v/>
      </c>
      <c r="EL82" s="193" t="str">
        <f t="shared" si="314"/>
        <v/>
      </c>
      <c r="EM82" s="193" t="str">
        <f t="shared" si="315"/>
        <v/>
      </c>
      <c r="EN82" s="193" t="str">
        <f t="shared" si="316"/>
        <v/>
      </c>
      <c r="EO82" s="193" t="str">
        <f t="shared" si="317"/>
        <v/>
      </c>
      <c r="EP82" s="193" t="str">
        <f t="shared" si="318"/>
        <v/>
      </c>
      <c r="EQ82" s="193" t="str">
        <f t="shared" si="319"/>
        <v/>
      </c>
      <c r="ER82" s="194">
        <f t="shared" si="320"/>
        <v>0</v>
      </c>
      <c r="ES82" s="194">
        <f t="shared" si="321"/>
        <v>0</v>
      </c>
      <c r="ET82" s="194">
        <f t="shared" si="322"/>
        <v>0</v>
      </c>
      <c r="EU82" s="194">
        <f t="shared" si="323"/>
        <v>0</v>
      </c>
      <c r="EV82" s="194">
        <f t="shared" si="324"/>
        <v>0</v>
      </c>
      <c r="EW82" s="194" t="str">
        <f t="shared" si="325"/>
        <v/>
      </c>
      <c r="EX82" s="195" t="str">
        <f t="shared" si="326"/>
        <v/>
      </c>
      <c r="EY82" s="196" t="str">
        <f>IF('Marks Entry'!BE82="","",'Marks Entry'!BE82)</f>
        <v/>
      </c>
      <c r="EZ82" s="196" t="str">
        <f>IF('Marks Entry'!BF82="","",'Marks Entry'!BF82)</f>
        <v/>
      </c>
      <c r="FA82" s="196" t="str">
        <f>IF('Marks Entry'!BG82="","",'Marks Entry'!BG82)</f>
        <v/>
      </c>
      <c r="FB82" s="596" t="str">
        <f t="shared" si="327"/>
        <v/>
      </c>
      <c r="FC82" s="196" t="str">
        <f>IF('Marks Entry'!BH82="","",'Marks Entry'!BH82)</f>
        <v/>
      </c>
      <c r="FD82" s="196" t="str">
        <f>IF('Marks Entry'!BI82="","",'Marks Entry'!BI82)</f>
        <v/>
      </c>
      <c r="FE82" s="197" t="str">
        <f t="shared" si="328"/>
        <v/>
      </c>
      <c r="FF82" s="198" t="str">
        <f t="shared" si="329"/>
        <v/>
      </c>
      <c r="FG82" s="199" t="str">
        <f>IF(AND(E82=""),"",IF('Student DATA Entry'!L78="","",'Student DATA Entry'!L78))</f>
        <v/>
      </c>
      <c r="FH82" s="200" t="str">
        <f>IF(AND(E82=""),"",IF('Student DATA Entry'!M78="","",'Student DATA Entry'!M78))</f>
        <v/>
      </c>
      <c r="FI82" s="201" t="str">
        <f t="shared" si="330"/>
        <v/>
      </c>
      <c r="FJ82" s="188" t="str">
        <f t="shared" si="331"/>
        <v/>
      </c>
      <c r="FK82" s="188" t="str">
        <f t="shared" si="332"/>
        <v/>
      </c>
      <c r="FL82" s="202" t="str">
        <f t="shared" si="201"/>
        <v/>
      </c>
      <c r="FM82" s="188" t="str">
        <f t="shared" si="333"/>
        <v/>
      </c>
      <c r="FN82" s="203" t="str">
        <f t="shared" si="334"/>
        <v/>
      </c>
      <c r="FO82" s="202" t="str">
        <f t="shared" si="202"/>
        <v/>
      </c>
      <c r="FP82" s="204" t="str">
        <f t="shared" si="335"/>
        <v/>
      </c>
      <c r="FQ82" s="188" t="str">
        <f t="shared" si="203"/>
        <v/>
      </c>
      <c r="FR82" s="188" t="str">
        <f t="shared" si="204"/>
        <v/>
      </c>
      <c r="FS82" s="188" t="str">
        <f t="shared" si="205"/>
        <v/>
      </c>
      <c r="FT82" s="188" t="str">
        <f t="shared" si="206"/>
        <v/>
      </c>
      <c r="FU82" s="188" t="str">
        <f t="shared" si="336"/>
        <v/>
      </c>
      <c r="FV82" s="205" t="str">
        <f t="shared" si="207"/>
        <v/>
      </c>
      <c r="FW82" s="204" t="str">
        <f t="shared" si="337"/>
        <v/>
      </c>
      <c r="FX82" s="188" t="str">
        <f t="shared" si="208"/>
        <v/>
      </c>
      <c r="FY82" s="188" t="str">
        <f t="shared" si="209"/>
        <v/>
      </c>
      <c r="FZ82" s="188" t="str">
        <f t="shared" si="210"/>
        <v/>
      </c>
      <c r="GA82" s="188" t="str">
        <f t="shared" si="211"/>
        <v/>
      </c>
      <c r="GB82" s="188" t="str">
        <f t="shared" si="338"/>
        <v/>
      </c>
      <c r="GC82" s="205" t="str">
        <f t="shared" si="212"/>
        <v/>
      </c>
      <c r="GD82" s="204" t="str">
        <f t="shared" si="339"/>
        <v/>
      </c>
      <c r="GE82" s="188" t="str">
        <f t="shared" si="213"/>
        <v/>
      </c>
      <c r="GF82" s="188" t="str">
        <f t="shared" si="214"/>
        <v/>
      </c>
      <c r="GG82" s="188" t="str">
        <f t="shared" si="215"/>
        <v/>
      </c>
      <c r="GH82" s="188" t="str">
        <f t="shared" si="216"/>
        <v/>
      </c>
      <c r="GI82" s="188" t="str">
        <f t="shared" si="340"/>
        <v/>
      </c>
      <c r="GJ82" s="205" t="str">
        <f t="shared" si="217"/>
        <v/>
      </c>
      <c r="GK82" s="204" t="str">
        <f t="shared" si="341"/>
        <v/>
      </c>
      <c r="GL82" s="188" t="str">
        <f t="shared" si="218"/>
        <v/>
      </c>
      <c r="GM82" s="188" t="str">
        <f t="shared" si="219"/>
        <v/>
      </c>
      <c r="GN82" s="188" t="str">
        <f t="shared" si="220"/>
        <v/>
      </c>
      <c r="GO82" s="188" t="str">
        <f t="shared" si="221"/>
        <v/>
      </c>
      <c r="GP82" s="188" t="str">
        <f t="shared" si="342"/>
        <v/>
      </c>
      <c r="GQ82" s="205" t="str">
        <f t="shared" si="222"/>
        <v/>
      </c>
      <c r="GR82" s="188" t="str">
        <f t="shared" si="343"/>
        <v/>
      </c>
      <c r="GS82" s="188" t="str">
        <f t="shared" si="344"/>
        <v/>
      </c>
      <c r="GT82" s="206" t="str">
        <f t="shared" si="345"/>
        <v xml:space="preserve">    </v>
      </c>
      <c r="GU82" s="206" t="str">
        <f t="shared" si="346"/>
        <v xml:space="preserve">    </v>
      </c>
      <c r="GV82" s="206" t="str">
        <f t="shared" si="347"/>
        <v xml:space="preserve">    </v>
      </c>
      <c r="GW82" s="206" t="str">
        <f t="shared" si="348"/>
        <v xml:space="preserve">       </v>
      </c>
      <c r="GX82" s="598" t="str">
        <f t="shared" si="349"/>
        <v xml:space="preserve">     </v>
      </c>
      <c r="GY82" s="207" t="str">
        <f t="shared" si="223"/>
        <v/>
      </c>
      <c r="GZ82" s="606" t="str">
        <f>IF(AND(Q82="",AE82="",AZ82="",BW82="",CT82=""),"",IF(AND('Master Sheet'!$D$19="YES",'Marks Entry'!$BA$1=1),SUM(Q82,AE82,AZ82,BW82,DT82),SUM(Q82,AE82,AZ82,BW82,CT82)))</f>
        <v/>
      </c>
      <c r="HA82" s="208" t="str">
        <f>IF(GZ82="","",IF(AND('Master Sheet'!$D$19="YES",'Marks Entry'!$BA$1=1),GZ82/((900)-DC82)*100,GZ82/((1000)-DC82)*100))</f>
        <v/>
      </c>
      <c r="HB82" s="611" t="str">
        <f t="shared" si="350"/>
        <v/>
      </c>
      <c r="HC82" s="609" t="str">
        <f t="shared" si="351"/>
        <v/>
      </c>
      <c r="HD82" s="610" t="str">
        <f t="shared" si="352"/>
        <v/>
      </c>
      <c r="HE82" s="209" t="str">
        <f>IFERROR(IF(OR(GY82="SUPPLEMENTARY",GY82="RE-EXAM"),'Supp. Result Entry'!AS81,""),"")</f>
        <v/>
      </c>
      <c r="HF82" s="613" t="str">
        <f t="shared" si="353"/>
        <v/>
      </c>
      <c r="HG82" s="598" t="str">
        <f t="shared" si="354"/>
        <v/>
      </c>
      <c r="HH82" s="598" t="str">
        <f>IF(AND(HE82="",HF82="",HG82=""),"",IF(OR(GY82="SUPPLEMENTARY",GY82="RE-EXAM"),'Supp. Result Entry'!AS81,GY82))</f>
        <v/>
      </c>
      <c r="HI82" s="179"/>
      <c r="HY82" s="211" t="str">
        <f>IF('Supp. Result Entry'!U81="","",'Supp. Result Entry'!$U$6)</f>
        <v/>
      </c>
      <c r="HZ82" s="212" t="str">
        <f>IF('Supp. Result Entry'!X81="","",'Supp. Result Entry'!$X$6)</f>
        <v/>
      </c>
      <c r="IA82" s="212" t="str">
        <f>IF('Supp. Result Entry'!AA81="","",'Supp. Result Entry'!$AA$6)</f>
        <v/>
      </c>
      <c r="IB82" s="212" t="str">
        <f>IF('Supp. Result Entry'!AD81="","",'Supp. Result Entry'!$AD$6)</f>
        <v/>
      </c>
      <c r="IC82" s="212" t="str">
        <f>IF('Supp. Result Entry'!AG81="","",'Supp. Result Entry'!$AG$6)</f>
        <v/>
      </c>
      <c r="ID82" s="212" t="str">
        <f>IF('Supp. Result Entry'!AJ81="","",'Supp. Result Entry'!$AJ$6)</f>
        <v/>
      </c>
      <c r="IE82" s="212" t="str">
        <f>IF('Supp. Result Entry'!V81="","",'Supp. Result Entry'!V81)</f>
        <v/>
      </c>
      <c r="IF82" s="212" t="str">
        <f>IF('Supp. Result Entry'!Y81="","",'Supp. Result Entry'!Y81)</f>
        <v/>
      </c>
      <c r="IG82" s="212" t="str">
        <f>IF('Supp. Result Entry'!AB81="","",'Supp. Result Entry'!AB81)</f>
        <v/>
      </c>
      <c r="IH82" s="212" t="str">
        <f>IF('Supp. Result Entry'!AE81="","",'Supp. Result Entry'!AE81)</f>
        <v/>
      </c>
      <c r="II82" s="212" t="str">
        <f>IF('Supp. Result Entry'!AH81="","",'Supp. Result Entry'!AH81)</f>
        <v/>
      </c>
      <c r="IJ82" s="212" t="str">
        <f>IF('Supp. Result Entry'!AK81="","",'Supp. Result Entry'!AK81)</f>
        <v/>
      </c>
      <c r="IK82" s="212" t="str">
        <f>IF('Supp. Result Entry'!W81="","",'Supp. Result Entry'!W81)</f>
        <v/>
      </c>
      <c r="IL82" s="212" t="str">
        <f>IF('Supp. Result Entry'!Z81="","",'Supp. Result Entry'!Z81)</f>
        <v/>
      </c>
      <c r="IM82" s="212" t="str">
        <f>IF('Supp. Result Entry'!AC81="","",'Supp. Result Entry'!AC81)</f>
        <v/>
      </c>
      <c r="IN82" s="212" t="str">
        <f>IF('Supp. Result Entry'!AF81="","",'Supp. Result Entry'!AF81)</f>
        <v/>
      </c>
      <c r="IO82" s="212" t="str">
        <f>IF('Supp. Result Entry'!AI81="","",'Supp. Result Entry'!AI81)</f>
        <v/>
      </c>
      <c r="IP82" s="212" t="str">
        <f>IF('Supp. Result Entry'!AL81="","",'Supp. Result Entry'!AL81)</f>
        <v/>
      </c>
      <c r="IQ82" s="212">
        <f>COUNTIF('Supp. Result Entry'!K81:Q81,"S")</f>
        <v>0</v>
      </c>
      <c r="IR82" s="212">
        <f t="shared" si="355"/>
        <v>0</v>
      </c>
      <c r="IS82" s="212">
        <f t="shared" si="356"/>
        <v>0</v>
      </c>
      <c r="IT82" s="212" t="str">
        <f t="shared" si="224"/>
        <v/>
      </c>
      <c r="IU82" s="212" t="str">
        <f t="shared" si="225"/>
        <v/>
      </c>
      <c r="IV82" s="212" t="str">
        <f t="shared" si="226"/>
        <v/>
      </c>
      <c r="IW82" s="212" t="str">
        <f t="shared" si="227"/>
        <v/>
      </c>
      <c r="IX82" s="212" t="str">
        <f t="shared" si="228"/>
        <v/>
      </c>
      <c r="IY82" s="212" t="str">
        <f t="shared" si="357"/>
        <v/>
      </c>
      <c r="IZ82" s="212" t="str">
        <f t="shared" si="358"/>
        <v/>
      </c>
      <c r="JA82" s="212" t="str">
        <f t="shared" si="229"/>
        <v/>
      </c>
      <c r="JB82" s="210" t="str">
        <f t="shared" si="359"/>
        <v/>
      </c>
    </row>
    <row r="83" spans="1:262" s="210" customFormat="1" ht="21" customHeight="1">
      <c r="A83" s="183">
        <v>76</v>
      </c>
      <c r="B83" s="184" t="str">
        <f>IF('Marks Entry'!B83="","",'Marks Entry'!B83)</f>
        <v/>
      </c>
      <c r="C83" s="185" t="str">
        <f>IF('Marks Entry'!D83="","",'Marks Entry'!D83)</f>
        <v/>
      </c>
      <c r="D83" s="186" t="str">
        <f>IF('Marks Entry'!E83="","",'Marks Entry'!E83)</f>
        <v/>
      </c>
      <c r="E83" s="187" t="str">
        <f>IF('Marks Entry'!F83="","",'Marks Entry'!F83)</f>
        <v/>
      </c>
      <c r="F83" s="187" t="str">
        <f>IF('Marks Entry'!G83="","",'Marks Entry'!G83)</f>
        <v/>
      </c>
      <c r="G83" s="187" t="str">
        <f>IF('Marks Entry'!H83="","",'Marks Entry'!H83)</f>
        <v/>
      </c>
      <c r="H83" s="188" t="str">
        <f>IF('Marks Entry'!I83="","",'Marks Entry'!I83)</f>
        <v/>
      </c>
      <c r="I83" s="189" t="str">
        <f>IF('Marks Entry'!J83="","",'Marks Entry'!J83)</f>
        <v/>
      </c>
      <c r="J83" s="545" t="str">
        <f>IF('Marks Entry'!K83="","",'Marks Entry'!K83)</f>
        <v/>
      </c>
      <c r="K83" s="545" t="str">
        <f>IF('Marks Entry'!L83="","",'Marks Entry'!L83)</f>
        <v/>
      </c>
      <c r="L83" s="545" t="str">
        <f>IF('Marks Entry'!M83="","",'Marks Entry'!M83)</f>
        <v/>
      </c>
      <c r="M83" s="546" t="str">
        <f t="shared" si="230"/>
        <v/>
      </c>
      <c r="N83" s="545" t="str">
        <f>IF('Marks Entry'!N83="","",'Marks Entry'!N83)</f>
        <v/>
      </c>
      <c r="O83" s="546" t="str">
        <f t="shared" si="231"/>
        <v/>
      </c>
      <c r="P83" s="545" t="str">
        <f>IF('Marks Entry'!O83="","",'Marks Entry'!O83)</f>
        <v/>
      </c>
      <c r="Q83" s="547" t="str">
        <f t="shared" si="232"/>
        <v/>
      </c>
      <c r="R83" s="152">
        <f t="shared" si="233"/>
        <v>0</v>
      </c>
      <c r="S83" s="152">
        <f t="shared" si="234"/>
        <v>0</v>
      </c>
      <c r="T83" s="153" t="str">
        <f t="shared" si="235"/>
        <v/>
      </c>
      <c r="U83" s="152" t="str">
        <f t="shared" si="236"/>
        <v/>
      </c>
      <c r="V83" s="152" t="str">
        <f t="shared" si="237"/>
        <v/>
      </c>
      <c r="W83" s="152" t="str">
        <f t="shared" si="238"/>
        <v/>
      </c>
      <c r="X83" s="545" t="str">
        <f>IF('Marks Entry'!P83="","",'Marks Entry'!P83)</f>
        <v/>
      </c>
      <c r="Y83" s="545" t="str">
        <f>IF('Marks Entry'!Q83="","",'Marks Entry'!Q83)</f>
        <v/>
      </c>
      <c r="Z83" s="545" t="str">
        <f>IF('Marks Entry'!R83="","",'Marks Entry'!R83)</f>
        <v/>
      </c>
      <c r="AA83" s="546" t="str">
        <f t="shared" si="239"/>
        <v/>
      </c>
      <c r="AB83" s="545" t="str">
        <f>IF('Marks Entry'!S83="","",'Marks Entry'!S83)</f>
        <v/>
      </c>
      <c r="AC83" s="546" t="str">
        <f t="shared" si="240"/>
        <v/>
      </c>
      <c r="AD83" s="545" t="str">
        <f>IF('Marks Entry'!T83="","",'Marks Entry'!T83)</f>
        <v/>
      </c>
      <c r="AE83" s="547" t="str">
        <f t="shared" si="241"/>
        <v/>
      </c>
      <c r="AF83" s="152">
        <f t="shared" si="242"/>
        <v>0</v>
      </c>
      <c r="AG83" s="152">
        <f t="shared" si="243"/>
        <v>0</v>
      </c>
      <c r="AH83" s="153" t="str">
        <f t="shared" si="244"/>
        <v/>
      </c>
      <c r="AI83" s="152" t="str">
        <f t="shared" si="245"/>
        <v/>
      </c>
      <c r="AJ83" s="152" t="str">
        <f t="shared" si="246"/>
        <v/>
      </c>
      <c r="AK83" s="152" t="str">
        <f t="shared" si="247"/>
        <v/>
      </c>
      <c r="AL83" s="573" t="str">
        <f>IF('Marks Entry'!U83="","",'Marks Entry'!U83)</f>
        <v/>
      </c>
      <c r="AM83" s="573" t="str">
        <f>IF('Marks Entry'!V83="","",'Marks Entry'!V83)</f>
        <v/>
      </c>
      <c r="AN83" s="573" t="str">
        <f>IF('Marks Entry'!W83="","",'Marks Entry'!W83)</f>
        <v/>
      </c>
      <c r="AO83" s="573" t="str">
        <f>IF('Marks Entry'!X83="","",'Marks Entry'!X83)</f>
        <v/>
      </c>
      <c r="AP83" s="572" t="str">
        <f t="shared" si="248"/>
        <v/>
      </c>
      <c r="AQ83" s="573" t="str">
        <f>IF('Marks Entry'!Y83="","",'Marks Entry'!Y83)</f>
        <v/>
      </c>
      <c r="AR83" s="573" t="str">
        <f>IF('Marks Entry'!Z83="","",'Marks Entry'!Z83)</f>
        <v/>
      </c>
      <c r="AS83" s="572" t="str">
        <f t="shared" si="249"/>
        <v/>
      </c>
      <c r="AT83" s="572" t="str">
        <f t="shared" si="250"/>
        <v/>
      </c>
      <c r="AU83" s="573" t="str">
        <f>IF('Marks Entry'!AA83="","",'Marks Entry'!AA83)</f>
        <v/>
      </c>
      <c r="AV83" s="573" t="str">
        <f>IF('Marks Entry'!AB83="","",'Marks Entry'!AB83)</f>
        <v/>
      </c>
      <c r="AW83" s="572" t="str">
        <f t="shared" si="251"/>
        <v/>
      </c>
      <c r="AX83" s="156" t="str">
        <f t="shared" si="252"/>
        <v/>
      </c>
      <c r="AY83" s="156" t="str">
        <f t="shared" si="253"/>
        <v/>
      </c>
      <c r="AZ83" s="191" t="str">
        <f t="shared" si="254"/>
        <v/>
      </c>
      <c r="BA83" s="152">
        <f t="shared" si="255"/>
        <v>0</v>
      </c>
      <c r="BB83" s="153">
        <f t="shared" si="256"/>
        <v>0</v>
      </c>
      <c r="BC83" s="153" t="str">
        <f t="shared" si="257"/>
        <v/>
      </c>
      <c r="BD83" s="153" t="str">
        <f t="shared" si="258"/>
        <v/>
      </c>
      <c r="BE83" s="153" t="str">
        <f t="shared" si="259"/>
        <v/>
      </c>
      <c r="BF83" s="152" t="str">
        <f t="shared" si="260"/>
        <v/>
      </c>
      <c r="BG83" s="153" t="str">
        <f t="shared" si="261"/>
        <v/>
      </c>
      <c r="BH83" s="152" t="str">
        <f t="shared" si="262"/>
        <v/>
      </c>
      <c r="BI83" s="580" t="str">
        <f>IF('Marks Entry'!AC83="","",'Marks Entry'!AC83)</f>
        <v/>
      </c>
      <c r="BJ83" s="580" t="str">
        <f>IF('Marks Entry'!AD83="","",'Marks Entry'!AD83)</f>
        <v/>
      </c>
      <c r="BK83" s="580" t="str">
        <f>IF('Marks Entry'!AE83="","",'Marks Entry'!AE83)</f>
        <v/>
      </c>
      <c r="BL83" s="580" t="str">
        <f>IF('Marks Entry'!AF83="","",'Marks Entry'!AF83)</f>
        <v/>
      </c>
      <c r="BM83" s="581" t="str">
        <f t="shared" si="263"/>
        <v/>
      </c>
      <c r="BN83" s="580" t="str">
        <f>IF('Marks Entry'!AG83="","",'Marks Entry'!AG83)</f>
        <v/>
      </c>
      <c r="BO83" s="580" t="str">
        <f>IF('Marks Entry'!AH83="","",'Marks Entry'!AH83)</f>
        <v/>
      </c>
      <c r="BP83" s="581" t="str">
        <f t="shared" si="264"/>
        <v/>
      </c>
      <c r="BQ83" s="581" t="str">
        <f t="shared" si="265"/>
        <v/>
      </c>
      <c r="BR83" s="580" t="str">
        <f>IF('Marks Entry'!AI83="","",'Marks Entry'!AI83)</f>
        <v/>
      </c>
      <c r="BS83" s="580" t="str">
        <f>IF('Marks Entry'!AJ83="","",'Marks Entry'!AJ83)</f>
        <v/>
      </c>
      <c r="BT83" s="581" t="str">
        <f t="shared" si="266"/>
        <v/>
      </c>
      <c r="BU83" s="156" t="str">
        <f t="shared" si="267"/>
        <v/>
      </c>
      <c r="BV83" s="156" t="str">
        <f t="shared" si="268"/>
        <v/>
      </c>
      <c r="BW83" s="191" t="str">
        <f t="shared" si="269"/>
        <v/>
      </c>
      <c r="BX83" s="152">
        <f t="shared" si="270"/>
        <v>0</v>
      </c>
      <c r="BY83" s="153">
        <f t="shared" si="271"/>
        <v>0</v>
      </c>
      <c r="BZ83" s="153" t="str">
        <f t="shared" si="272"/>
        <v/>
      </c>
      <c r="CA83" s="153" t="str">
        <f t="shared" si="273"/>
        <v/>
      </c>
      <c r="CB83" s="153" t="str">
        <f t="shared" si="274"/>
        <v/>
      </c>
      <c r="CC83" s="152" t="str">
        <f t="shared" si="275"/>
        <v/>
      </c>
      <c r="CD83" s="153" t="str">
        <f t="shared" si="276"/>
        <v/>
      </c>
      <c r="CE83" s="152" t="str">
        <f t="shared" si="277"/>
        <v/>
      </c>
      <c r="CF83" s="580" t="str">
        <f>IF('Marks Entry'!AK83="","",'Marks Entry'!AK83)</f>
        <v/>
      </c>
      <c r="CG83" s="580" t="str">
        <f>IF('Marks Entry'!AL83="","",'Marks Entry'!AL83)</f>
        <v/>
      </c>
      <c r="CH83" s="580" t="str">
        <f>IF('Marks Entry'!AM83="","",'Marks Entry'!AM83)</f>
        <v/>
      </c>
      <c r="CI83" s="580" t="str">
        <f>IF('Marks Entry'!AN83="","",'Marks Entry'!AN83)</f>
        <v/>
      </c>
      <c r="CJ83" s="581" t="str">
        <f t="shared" si="278"/>
        <v/>
      </c>
      <c r="CK83" s="580" t="str">
        <f>IF('Marks Entry'!AO83="","",'Marks Entry'!AO83)</f>
        <v/>
      </c>
      <c r="CL83" s="580" t="str">
        <f>IF('Marks Entry'!AP83="","",'Marks Entry'!AP83)</f>
        <v/>
      </c>
      <c r="CM83" s="581" t="str">
        <f t="shared" si="279"/>
        <v/>
      </c>
      <c r="CN83" s="581" t="str">
        <f t="shared" si="280"/>
        <v/>
      </c>
      <c r="CO83" s="580" t="str">
        <f>IF('Marks Entry'!AQ83="","",'Marks Entry'!AQ83)</f>
        <v/>
      </c>
      <c r="CP83" s="580" t="str">
        <f>IF('Marks Entry'!AR83="","",'Marks Entry'!AR83)</f>
        <v/>
      </c>
      <c r="CQ83" s="581" t="str">
        <f t="shared" si="281"/>
        <v/>
      </c>
      <c r="CR83" s="156" t="str">
        <f t="shared" si="282"/>
        <v/>
      </c>
      <c r="CS83" s="156" t="str">
        <f t="shared" si="283"/>
        <v/>
      </c>
      <c r="CT83" s="191" t="str">
        <f t="shared" si="284"/>
        <v/>
      </c>
      <c r="CU83" s="152">
        <f t="shared" si="285"/>
        <v>0</v>
      </c>
      <c r="CV83" s="153">
        <f t="shared" si="286"/>
        <v>0</v>
      </c>
      <c r="CW83" s="153" t="str">
        <f t="shared" si="287"/>
        <v/>
      </c>
      <c r="CX83" s="153" t="str">
        <f t="shared" si="288"/>
        <v/>
      </c>
      <c r="CY83" s="153" t="str">
        <f t="shared" si="289"/>
        <v/>
      </c>
      <c r="CZ83" s="152" t="str">
        <f t="shared" si="290"/>
        <v/>
      </c>
      <c r="DA83" s="153" t="str">
        <f t="shared" si="291"/>
        <v/>
      </c>
      <c r="DB83" s="152" t="str">
        <f t="shared" si="292"/>
        <v/>
      </c>
      <c r="DC83" s="153">
        <f t="shared" si="293"/>
        <v>0</v>
      </c>
      <c r="DD83" s="851" t="str">
        <f>IF('Marks Entry'!AS83="","",IF(OR('Master Sheet'!$D$19="YES",'Marks Entry'!$BA$1=1),'Marks Entry'!AS83,""))</f>
        <v/>
      </c>
      <c r="DE83" s="851" t="str">
        <f>IF('Marks Entry'!AT83="","",IF(OR('Master Sheet'!$D$19="YES",'Marks Entry'!$BA$1=1),'Marks Entry'!AT83,""))</f>
        <v/>
      </c>
      <c r="DF83" s="851" t="str">
        <f>IF('Marks Entry'!AU83="","",IF(OR('Master Sheet'!$D$19="YES",'Marks Entry'!$BA$1=1),'Marks Entry'!AU83,""))</f>
        <v/>
      </c>
      <c r="DG83" s="851" t="str">
        <f>IF('Marks Entry'!AV83="","",IF(OR('Master Sheet'!$D$19="YES",'Marks Entry'!$BA$1=1),'Marks Entry'!AV83,""))</f>
        <v/>
      </c>
      <c r="DH83" s="852" t="str">
        <f t="shared" si="294"/>
        <v/>
      </c>
      <c r="DI83" s="851" t="str">
        <f>IF('Marks Entry'!AW83="","",IF(OR('Master Sheet'!$D$19="YES",'Marks Entry'!$BA$1=1),'Marks Entry'!AW83,""))</f>
        <v/>
      </c>
      <c r="DJ83" s="851" t="str">
        <f>IF('Marks Entry'!AX83="","",IF(OR('Master Sheet'!$D$19="YES",'Marks Entry'!$BA$1=1),'Marks Entry'!AX83,""))</f>
        <v/>
      </c>
      <c r="DK83" s="852" t="str">
        <f t="shared" si="295"/>
        <v/>
      </c>
      <c r="DL83" s="852" t="str">
        <f t="shared" si="296"/>
        <v/>
      </c>
      <c r="DM83" s="851" t="str">
        <f>IF('Marks Entry'!AY83="","",IF(OR('Master Sheet'!$D$19="YES",'Marks Entry'!$BA$1=1),'Marks Entry'!AY83,""))</f>
        <v/>
      </c>
      <c r="DN83" s="851" t="str">
        <f>IF('Marks Entry'!AZ83="","",IF(OR('Master Sheet'!$D$19="YES",'Marks Entry'!$BA$1=1),'Marks Entry'!AZ83,""))</f>
        <v/>
      </c>
      <c r="DO83" s="851" t="str">
        <f>IF('Marks Entry'!BA83="","",IF(OR('Master Sheet'!$D$19="YES",'Marks Entry'!$BA$1=1),'Marks Entry'!BA83,""))</f>
        <v/>
      </c>
      <c r="DP83" s="852" t="str">
        <f t="shared" si="297"/>
        <v/>
      </c>
      <c r="DQ83" s="156" t="str">
        <f t="shared" si="298"/>
        <v/>
      </c>
      <c r="DR83" s="156" t="str">
        <f t="shared" si="299"/>
        <v/>
      </c>
      <c r="DS83" s="156" t="str">
        <f t="shared" si="300"/>
        <v/>
      </c>
      <c r="DT83" s="191" t="str">
        <f t="shared" si="301"/>
        <v/>
      </c>
      <c r="DU83" s="152">
        <f t="shared" si="302"/>
        <v>0</v>
      </c>
      <c r="DV83" s="153">
        <f t="shared" si="303"/>
        <v>0</v>
      </c>
      <c r="DW83" s="153" t="str">
        <f t="shared" si="304"/>
        <v/>
      </c>
      <c r="DX83" s="153" t="str">
        <f>IF(OR($B83="NSO",$B83=0,DS83=""),"",IF(AND(DJ83="",DO83=""),"",IF('Master Sheet'!$D$19="YES",$DO$6-COUNTIF(DO83,"ML")*DO$6,DS$6-(COUNTIF(DJ83,"ML")*DJ$6)-(COUNTIF(DO83,"ML")*DO$6))))</f>
        <v/>
      </c>
      <c r="DY83" s="153" t="str">
        <f>IF(OR($B83="NSO",$B83=0),"",IF(AND(DH83="",DI83="",DM83=""),"",IF(AND('Master Sheet'!$D$19="YES",'Marks Entry'!$BA$1=1),100,IF(AND(DJ83="",DO83=""),SUM(($DQ$7+$DR$7)-(DU83+DV83)),SUM(($DQ$6+$DR$6)-(DU83+DV83))))))</f>
        <v/>
      </c>
      <c r="DZ83" s="152" t="str">
        <f t="shared" si="305"/>
        <v/>
      </c>
      <c r="EA83" s="153" t="str">
        <f t="shared" si="306"/>
        <v/>
      </c>
      <c r="EB83" s="152" t="str">
        <f t="shared" si="307"/>
        <v/>
      </c>
      <c r="EC83" s="584" t="str">
        <f>IF('Marks Entry'!BB83="","",'Marks Entry'!BB83)</f>
        <v/>
      </c>
      <c r="ED83" s="584" t="str">
        <f>IF('Marks Entry'!BC83="","",'Marks Entry'!BC83)</f>
        <v/>
      </c>
      <c r="EE83" s="584" t="str">
        <f>IF('Marks Entry'!BD83="","",'Marks Entry'!BD83)</f>
        <v/>
      </c>
      <c r="EF83" s="590" t="str">
        <f t="shared" si="308"/>
        <v/>
      </c>
      <c r="EG83" s="595">
        <f t="shared" si="309"/>
        <v>0</v>
      </c>
      <c r="EH83" s="595">
        <f t="shared" si="310"/>
        <v>0</v>
      </c>
      <c r="EI83" s="192" t="str">
        <f t="shared" si="311"/>
        <v/>
      </c>
      <c r="EJ83" s="595" t="str">
        <f t="shared" si="312"/>
        <v/>
      </c>
      <c r="EK83" s="595" t="str">
        <f t="shared" si="313"/>
        <v/>
      </c>
      <c r="EL83" s="193" t="str">
        <f t="shared" si="314"/>
        <v/>
      </c>
      <c r="EM83" s="193" t="str">
        <f t="shared" si="315"/>
        <v/>
      </c>
      <c r="EN83" s="193" t="str">
        <f t="shared" si="316"/>
        <v/>
      </c>
      <c r="EO83" s="193" t="str">
        <f t="shared" si="317"/>
        <v/>
      </c>
      <c r="EP83" s="193" t="str">
        <f t="shared" si="318"/>
        <v/>
      </c>
      <c r="EQ83" s="193" t="str">
        <f t="shared" si="319"/>
        <v/>
      </c>
      <c r="ER83" s="194">
        <f t="shared" si="320"/>
        <v>0</v>
      </c>
      <c r="ES83" s="194">
        <f t="shared" si="321"/>
        <v>0</v>
      </c>
      <c r="ET83" s="194">
        <f t="shared" si="322"/>
        <v>0</v>
      </c>
      <c r="EU83" s="194">
        <f t="shared" si="323"/>
        <v>0</v>
      </c>
      <c r="EV83" s="194">
        <f t="shared" si="324"/>
        <v>0</v>
      </c>
      <c r="EW83" s="194" t="str">
        <f t="shared" si="325"/>
        <v/>
      </c>
      <c r="EX83" s="195" t="str">
        <f t="shared" si="326"/>
        <v/>
      </c>
      <c r="EY83" s="196" t="str">
        <f>IF('Marks Entry'!BE83="","",'Marks Entry'!BE83)</f>
        <v/>
      </c>
      <c r="EZ83" s="196" t="str">
        <f>IF('Marks Entry'!BF83="","",'Marks Entry'!BF83)</f>
        <v/>
      </c>
      <c r="FA83" s="196" t="str">
        <f>IF('Marks Entry'!BG83="","",'Marks Entry'!BG83)</f>
        <v/>
      </c>
      <c r="FB83" s="596" t="str">
        <f t="shared" si="327"/>
        <v/>
      </c>
      <c r="FC83" s="196" t="str">
        <f>IF('Marks Entry'!BH83="","",'Marks Entry'!BH83)</f>
        <v/>
      </c>
      <c r="FD83" s="196" t="str">
        <f>IF('Marks Entry'!BI83="","",'Marks Entry'!BI83)</f>
        <v/>
      </c>
      <c r="FE83" s="197" t="str">
        <f t="shared" si="328"/>
        <v/>
      </c>
      <c r="FF83" s="198" t="str">
        <f t="shared" si="329"/>
        <v/>
      </c>
      <c r="FG83" s="199" t="str">
        <f>IF(AND(E83=""),"",IF('Student DATA Entry'!L79="","",'Student DATA Entry'!L79))</f>
        <v/>
      </c>
      <c r="FH83" s="200" t="str">
        <f>IF(AND(E83=""),"",IF('Student DATA Entry'!M79="","",'Student DATA Entry'!M79))</f>
        <v/>
      </c>
      <c r="FI83" s="201" t="str">
        <f t="shared" si="330"/>
        <v/>
      </c>
      <c r="FJ83" s="188" t="str">
        <f t="shared" si="331"/>
        <v/>
      </c>
      <c r="FK83" s="188" t="str">
        <f t="shared" si="332"/>
        <v/>
      </c>
      <c r="FL83" s="202" t="str">
        <f t="shared" si="201"/>
        <v/>
      </c>
      <c r="FM83" s="188" t="str">
        <f t="shared" si="333"/>
        <v/>
      </c>
      <c r="FN83" s="203" t="str">
        <f t="shared" si="334"/>
        <v/>
      </c>
      <c r="FO83" s="202" t="str">
        <f t="shared" si="202"/>
        <v/>
      </c>
      <c r="FP83" s="204" t="str">
        <f t="shared" si="335"/>
        <v/>
      </c>
      <c r="FQ83" s="188" t="str">
        <f t="shared" si="203"/>
        <v/>
      </c>
      <c r="FR83" s="188" t="str">
        <f t="shared" si="204"/>
        <v/>
      </c>
      <c r="FS83" s="188" t="str">
        <f t="shared" si="205"/>
        <v/>
      </c>
      <c r="FT83" s="188" t="str">
        <f t="shared" si="206"/>
        <v/>
      </c>
      <c r="FU83" s="188" t="str">
        <f t="shared" si="336"/>
        <v/>
      </c>
      <c r="FV83" s="205" t="str">
        <f t="shared" si="207"/>
        <v/>
      </c>
      <c r="FW83" s="204" t="str">
        <f t="shared" si="337"/>
        <v/>
      </c>
      <c r="FX83" s="188" t="str">
        <f t="shared" si="208"/>
        <v/>
      </c>
      <c r="FY83" s="188" t="str">
        <f t="shared" si="209"/>
        <v/>
      </c>
      <c r="FZ83" s="188" t="str">
        <f t="shared" si="210"/>
        <v/>
      </c>
      <c r="GA83" s="188" t="str">
        <f t="shared" si="211"/>
        <v/>
      </c>
      <c r="GB83" s="188" t="str">
        <f t="shared" si="338"/>
        <v/>
      </c>
      <c r="GC83" s="205" t="str">
        <f t="shared" si="212"/>
        <v/>
      </c>
      <c r="GD83" s="204" t="str">
        <f t="shared" si="339"/>
        <v/>
      </c>
      <c r="GE83" s="188" t="str">
        <f t="shared" si="213"/>
        <v/>
      </c>
      <c r="GF83" s="188" t="str">
        <f t="shared" si="214"/>
        <v/>
      </c>
      <c r="GG83" s="188" t="str">
        <f t="shared" si="215"/>
        <v/>
      </c>
      <c r="GH83" s="188" t="str">
        <f t="shared" si="216"/>
        <v/>
      </c>
      <c r="GI83" s="188" t="str">
        <f t="shared" si="340"/>
        <v/>
      </c>
      <c r="GJ83" s="205" t="str">
        <f t="shared" si="217"/>
        <v/>
      </c>
      <c r="GK83" s="204" t="str">
        <f t="shared" si="341"/>
        <v/>
      </c>
      <c r="GL83" s="188" t="str">
        <f t="shared" si="218"/>
        <v/>
      </c>
      <c r="GM83" s="188" t="str">
        <f t="shared" si="219"/>
        <v/>
      </c>
      <c r="GN83" s="188" t="str">
        <f t="shared" si="220"/>
        <v/>
      </c>
      <c r="GO83" s="188" t="str">
        <f t="shared" si="221"/>
        <v/>
      </c>
      <c r="GP83" s="188" t="str">
        <f t="shared" si="342"/>
        <v/>
      </c>
      <c r="GQ83" s="205" t="str">
        <f t="shared" si="222"/>
        <v/>
      </c>
      <c r="GR83" s="188" t="str">
        <f t="shared" si="343"/>
        <v/>
      </c>
      <c r="GS83" s="188" t="str">
        <f t="shared" si="344"/>
        <v/>
      </c>
      <c r="GT83" s="206" t="str">
        <f t="shared" si="345"/>
        <v xml:space="preserve">    </v>
      </c>
      <c r="GU83" s="206" t="str">
        <f t="shared" si="346"/>
        <v xml:space="preserve">    </v>
      </c>
      <c r="GV83" s="206" t="str">
        <f t="shared" si="347"/>
        <v xml:space="preserve">    </v>
      </c>
      <c r="GW83" s="206" t="str">
        <f t="shared" si="348"/>
        <v xml:space="preserve">       </v>
      </c>
      <c r="GX83" s="598" t="str">
        <f t="shared" si="349"/>
        <v xml:space="preserve">     </v>
      </c>
      <c r="GY83" s="207" t="str">
        <f t="shared" si="223"/>
        <v/>
      </c>
      <c r="GZ83" s="606" t="str">
        <f>IF(AND(Q83="",AE83="",AZ83="",BW83="",CT83=""),"",IF(AND('Master Sheet'!$D$19="YES",'Marks Entry'!$BA$1=1),SUM(Q83,AE83,AZ83,BW83,DT83),SUM(Q83,AE83,AZ83,BW83,CT83)))</f>
        <v/>
      </c>
      <c r="HA83" s="208" t="str">
        <f>IF(GZ83="","",IF(AND('Master Sheet'!$D$19="YES",'Marks Entry'!$BA$1=1),GZ83/((900)-DC83)*100,GZ83/((1000)-DC83)*100))</f>
        <v/>
      </c>
      <c r="HB83" s="611" t="str">
        <f t="shared" si="350"/>
        <v/>
      </c>
      <c r="HC83" s="609" t="str">
        <f t="shared" si="351"/>
        <v/>
      </c>
      <c r="HD83" s="610" t="str">
        <f t="shared" si="352"/>
        <v/>
      </c>
      <c r="HE83" s="209" t="str">
        <f>IFERROR(IF(OR(GY83="SUPPLEMENTARY",GY83="RE-EXAM"),'Supp. Result Entry'!AS82,""),"")</f>
        <v/>
      </c>
      <c r="HF83" s="613" t="str">
        <f t="shared" si="353"/>
        <v/>
      </c>
      <c r="HG83" s="598" t="str">
        <f t="shared" si="354"/>
        <v/>
      </c>
      <c r="HH83" s="598" t="str">
        <f>IF(AND(HE83="",HF83="",HG83=""),"",IF(OR(GY83="SUPPLEMENTARY",GY83="RE-EXAM"),'Supp. Result Entry'!AS82,GY83))</f>
        <v/>
      </c>
      <c r="HI83" s="179"/>
      <c r="HY83" s="211" t="str">
        <f>IF('Supp. Result Entry'!U82="","",'Supp. Result Entry'!$U$6)</f>
        <v/>
      </c>
      <c r="HZ83" s="212" t="str">
        <f>IF('Supp. Result Entry'!X82="","",'Supp. Result Entry'!$X$6)</f>
        <v/>
      </c>
      <c r="IA83" s="212" t="str">
        <f>IF('Supp. Result Entry'!AA82="","",'Supp. Result Entry'!$AA$6)</f>
        <v/>
      </c>
      <c r="IB83" s="212" t="str">
        <f>IF('Supp. Result Entry'!AD82="","",'Supp. Result Entry'!$AD$6)</f>
        <v/>
      </c>
      <c r="IC83" s="212" t="str">
        <f>IF('Supp. Result Entry'!AG82="","",'Supp. Result Entry'!$AG$6)</f>
        <v/>
      </c>
      <c r="ID83" s="212" t="str">
        <f>IF('Supp. Result Entry'!AJ82="","",'Supp. Result Entry'!$AJ$6)</f>
        <v/>
      </c>
      <c r="IE83" s="212" t="str">
        <f>IF('Supp. Result Entry'!V82="","",'Supp. Result Entry'!V82)</f>
        <v/>
      </c>
      <c r="IF83" s="212" t="str">
        <f>IF('Supp. Result Entry'!Y82="","",'Supp. Result Entry'!Y82)</f>
        <v/>
      </c>
      <c r="IG83" s="212" t="str">
        <f>IF('Supp. Result Entry'!AB82="","",'Supp. Result Entry'!AB82)</f>
        <v/>
      </c>
      <c r="IH83" s="212" t="str">
        <f>IF('Supp. Result Entry'!AE82="","",'Supp. Result Entry'!AE82)</f>
        <v/>
      </c>
      <c r="II83" s="212" t="str">
        <f>IF('Supp. Result Entry'!AH82="","",'Supp. Result Entry'!AH82)</f>
        <v/>
      </c>
      <c r="IJ83" s="212" t="str">
        <f>IF('Supp. Result Entry'!AK82="","",'Supp. Result Entry'!AK82)</f>
        <v/>
      </c>
      <c r="IK83" s="212" t="str">
        <f>IF('Supp. Result Entry'!W82="","",'Supp. Result Entry'!W82)</f>
        <v/>
      </c>
      <c r="IL83" s="212" t="str">
        <f>IF('Supp. Result Entry'!Z82="","",'Supp. Result Entry'!Z82)</f>
        <v/>
      </c>
      <c r="IM83" s="212" t="str">
        <f>IF('Supp. Result Entry'!AC82="","",'Supp. Result Entry'!AC82)</f>
        <v/>
      </c>
      <c r="IN83" s="212" t="str">
        <f>IF('Supp. Result Entry'!AF82="","",'Supp. Result Entry'!AF82)</f>
        <v/>
      </c>
      <c r="IO83" s="212" t="str">
        <f>IF('Supp. Result Entry'!AI82="","",'Supp. Result Entry'!AI82)</f>
        <v/>
      </c>
      <c r="IP83" s="212" t="str">
        <f>IF('Supp. Result Entry'!AL82="","",'Supp. Result Entry'!AL82)</f>
        <v/>
      </c>
      <c r="IQ83" s="212">
        <f>COUNTIF('Supp. Result Entry'!K82:Q82,"S")</f>
        <v>0</v>
      </c>
      <c r="IR83" s="212">
        <f t="shared" si="355"/>
        <v>0</v>
      </c>
      <c r="IS83" s="212">
        <f t="shared" si="356"/>
        <v>0</v>
      </c>
      <c r="IT83" s="212" t="str">
        <f t="shared" si="224"/>
        <v/>
      </c>
      <c r="IU83" s="212" t="str">
        <f t="shared" si="225"/>
        <v/>
      </c>
      <c r="IV83" s="212" t="str">
        <f t="shared" si="226"/>
        <v/>
      </c>
      <c r="IW83" s="212" t="str">
        <f t="shared" si="227"/>
        <v/>
      </c>
      <c r="IX83" s="212" t="str">
        <f t="shared" si="228"/>
        <v/>
      </c>
      <c r="IY83" s="212" t="str">
        <f t="shared" si="357"/>
        <v/>
      </c>
      <c r="IZ83" s="212" t="str">
        <f t="shared" si="358"/>
        <v/>
      </c>
      <c r="JA83" s="212" t="str">
        <f t="shared" si="229"/>
        <v/>
      </c>
      <c r="JB83" s="210" t="str">
        <f t="shared" si="359"/>
        <v/>
      </c>
    </row>
    <row r="84" spans="1:262" s="210" customFormat="1" ht="21" customHeight="1">
      <c r="A84" s="183">
        <v>77</v>
      </c>
      <c r="B84" s="184" t="str">
        <f>IF('Marks Entry'!B84="","",'Marks Entry'!B84)</f>
        <v/>
      </c>
      <c r="C84" s="185" t="str">
        <f>IF('Marks Entry'!D84="","",'Marks Entry'!D84)</f>
        <v/>
      </c>
      <c r="D84" s="186" t="str">
        <f>IF('Marks Entry'!E84="","",'Marks Entry'!E84)</f>
        <v/>
      </c>
      <c r="E84" s="187" t="str">
        <f>IF('Marks Entry'!F84="","",'Marks Entry'!F84)</f>
        <v/>
      </c>
      <c r="F84" s="187" t="str">
        <f>IF('Marks Entry'!G84="","",'Marks Entry'!G84)</f>
        <v/>
      </c>
      <c r="G84" s="187" t="str">
        <f>IF('Marks Entry'!H84="","",'Marks Entry'!H84)</f>
        <v/>
      </c>
      <c r="H84" s="188" t="str">
        <f>IF('Marks Entry'!I84="","",'Marks Entry'!I84)</f>
        <v/>
      </c>
      <c r="I84" s="189" t="str">
        <f>IF('Marks Entry'!J84="","",'Marks Entry'!J84)</f>
        <v/>
      </c>
      <c r="J84" s="545" t="str">
        <f>IF('Marks Entry'!K84="","",'Marks Entry'!K84)</f>
        <v/>
      </c>
      <c r="K84" s="545" t="str">
        <f>IF('Marks Entry'!L84="","",'Marks Entry'!L84)</f>
        <v/>
      </c>
      <c r="L84" s="545" t="str">
        <f>IF('Marks Entry'!M84="","",'Marks Entry'!M84)</f>
        <v/>
      </c>
      <c r="M84" s="546" t="str">
        <f t="shared" si="230"/>
        <v/>
      </c>
      <c r="N84" s="545" t="str">
        <f>IF('Marks Entry'!N84="","",'Marks Entry'!N84)</f>
        <v/>
      </c>
      <c r="O84" s="546" t="str">
        <f t="shared" si="231"/>
        <v/>
      </c>
      <c r="P84" s="545" t="str">
        <f>IF('Marks Entry'!O84="","",'Marks Entry'!O84)</f>
        <v/>
      </c>
      <c r="Q84" s="547" t="str">
        <f t="shared" si="232"/>
        <v/>
      </c>
      <c r="R84" s="152">
        <f t="shared" si="233"/>
        <v>0</v>
      </c>
      <c r="S84" s="152">
        <f t="shared" si="234"/>
        <v>0</v>
      </c>
      <c r="T84" s="153" t="str">
        <f t="shared" si="235"/>
        <v/>
      </c>
      <c r="U84" s="152" t="str">
        <f t="shared" si="236"/>
        <v/>
      </c>
      <c r="V84" s="152" t="str">
        <f t="shared" si="237"/>
        <v/>
      </c>
      <c r="W84" s="152" t="str">
        <f t="shared" si="238"/>
        <v/>
      </c>
      <c r="X84" s="545" t="str">
        <f>IF('Marks Entry'!P84="","",'Marks Entry'!P84)</f>
        <v/>
      </c>
      <c r="Y84" s="545" t="str">
        <f>IF('Marks Entry'!Q84="","",'Marks Entry'!Q84)</f>
        <v/>
      </c>
      <c r="Z84" s="545" t="str">
        <f>IF('Marks Entry'!R84="","",'Marks Entry'!R84)</f>
        <v/>
      </c>
      <c r="AA84" s="546" t="str">
        <f t="shared" si="239"/>
        <v/>
      </c>
      <c r="AB84" s="545" t="str">
        <f>IF('Marks Entry'!S84="","",'Marks Entry'!S84)</f>
        <v/>
      </c>
      <c r="AC84" s="546" t="str">
        <f t="shared" si="240"/>
        <v/>
      </c>
      <c r="AD84" s="545" t="str">
        <f>IF('Marks Entry'!T84="","",'Marks Entry'!T84)</f>
        <v/>
      </c>
      <c r="AE84" s="547" t="str">
        <f t="shared" si="241"/>
        <v/>
      </c>
      <c r="AF84" s="152">
        <f t="shared" si="242"/>
        <v>0</v>
      </c>
      <c r="AG84" s="152">
        <f t="shared" si="243"/>
        <v>0</v>
      </c>
      <c r="AH84" s="153" t="str">
        <f t="shared" si="244"/>
        <v/>
      </c>
      <c r="AI84" s="152" t="str">
        <f t="shared" si="245"/>
        <v/>
      </c>
      <c r="AJ84" s="152" t="str">
        <f t="shared" si="246"/>
        <v/>
      </c>
      <c r="AK84" s="152" t="str">
        <f t="shared" si="247"/>
        <v/>
      </c>
      <c r="AL84" s="573" t="str">
        <f>IF('Marks Entry'!U84="","",'Marks Entry'!U84)</f>
        <v/>
      </c>
      <c r="AM84" s="573" t="str">
        <f>IF('Marks Entry'!V84="","",'Marks Entry'!V84)</f>
        <v/>
      </c>
      <c r="AN84" s="573" t="str">
        <f>IF('Marks Entry'!W84="","",'Marks Entry'!W84)</f>
        <v/>
      </c>
      <c r="AO84" s="573" t="str">
        <f>IF('Marks Entry'!X84="","",'Marks Entry'!X84)</f>
        <v/>
      </c>
      <c r="AP84" s="572" t="str">
        <f t="shared" si="248"/>
        <v/>
      </c>
      <c r="AQ84" s="573" t="str">
        <f>IF('Marks Entry'!Y84="","",'Marks Entry'!Y84)</f>
        <v/>
      </c>
      <c r="AR84" s="573" t="str">
        <f>IF('Marks Entry'!Z84="","",'Marks Entry'!Z84)</f>
        <v/>
      </c>
      <c r="AS84" s="572" t="str">
        <f t="shared" si="249"/>
        <v/>
      </c>
      <c r="AT84" s="572" t="str">
        <f t="shared" si="250"/>
        <v/>
      </c>
      <c r="AU84" s="573" t="str">
        <f>IF('Marks Entry'!AA84="","",'Marks Entry'!AA84)</f>
        <v/>
      </c>
      <c r="AV84" s="573" t="str">
        <f>IF('Marks Entry'!AB84="","",'Marks Entry'!AB84)</f>
        <v/>
      </c>
      <c r="AW84" s="572" t="str">
        <f t="shared" si="251"/>
        <v/>
      </c>
      <c r="AX84" s="156" t="str">
        <f t="shared" si="252"/>
        <v/>
      </c>
      <c r="AY84" s="156" t="str">
        <f t="shared" si="253"/>
        <v/>
      </c>
      <c r="AZ84" s="191" t="str">
        <f t="shared" si="254"/>
        <v/>
      </c>
      <c r="BA84" s="152">
        <f t="shared" si="255"/>
        <v>0</v>
      </c>
      <c r="BB84" s="153">
        <f t="shared" si="256"/>
        <v>0</v>
      </c>
      <c r="BC84" s="153" t="str">
        <f t="shared" si="257"/>
        <v/>
      </c>
      <c r="BD84" s="153" t="str">
        <f t="shared" si="258"/>
        <v/>
      </c>
      <c r="BE84" s="153" t="str">
        <f t="shared" si="259"/>
        <v/>
      </c>
      <c r="BF84" s="152" t="str">
        <f t="shared" si="260"/>
        <v/>
      </c>
      <c r="BG84" s="153" t="str">
        <f t="shared" si="261"/>
        <v/>
      </c>
      <c r="BH84" s="152" t="str">
        <f t="shared" si="262"/>
        <v/>
      </c>
      <c r="BI84" s="580" t="str">
        <f>IF('Marks Entry'!AC84="","",'Marks Entry'!AC84)</f>
        <v/>
      </c>
      <c r="BJ84" s="580" t="str">
        <f>IF('Marks Entry'!AD84="","",'Marks Entry'!AD84)</f>
        <v/>
      </c>
      <c r="BK84" s="580" t="str">
        <f>IF('Marks Entry'!AE84="","",'Marks Entry'!AE84)</f>
        <v/>
      </c>
      <c r="BL84" s="580" t="str">
        <f>IF('Marks Entry'!AF84="","",'Marks Entry'!AF84)</f>
        <v/>
      </c>
      <c r="BM84" s="581" t="str">
        <f t="shared" si="263"/>
        <v/>
      </c>
      <c r="BN84" s="580" t="str">
        <f>IF('Marks Entry'!AG84="","",'Marks Entry'!AG84)</f>
        <v/>
      </c>
      <c r="BO84" s="580" t="str">
        <f>IF('Marks Entry'!AH84="","",'Marks Entry'!AH84)</f>
        <v/>
      </c>
      <c r="BP84" s="581" t="str">
        <f t="shared" si="264"/>
        <v/>
      </c>
      <c r="BQ84" s="581" t="str">
        <f t="shared" si="265"/>
        <v/>
      </c>
      <c r="BR84" s="580" t="str">
        <f>IF('Marks Entry'!AI84="","",'Marks Entry'!AI84)</f>
        <v/>
      </c>
      <c r="BS84" s="580" t="str">
        <f>IF('Marks Entry'!AJ84="","",'Marks Entry'!AJ84)</f>
        <v/>
      </c>
      <c r="BT84" s="581" t="str">
        <f t="shared" si="266"/>
        <v/>
      </c>
      <c r="BU84" s="156" t="str">
        <f t="shared" si="267"/>
        <v/>
      </c>
      <c r="BV84" s="156" t="str">
        <f t="shared" si="268"/>
        <v/>
      </c>
      <c r="BW84" s="191" t="str">
        <f t="shared" si="269"/>
        <v/>
      </c>
      <c r="BX84" s="152">
        <f t="shared" si="270"/>
        <v>0</v>
      </c>
      <c r="BY84" s="153">
        <f t="shared" si="271"/>
        <v>0</v>
      </c>
      <c r="BZ84" s="153" t="str">
        <f t="shared" si="272"/>
        <v/>
      </c>
      <c r="CA84" s="153" t="str">
        <f t="shared" si="273"/>
        <v/>
      </c>
      <c r="CB84" s="153" t="str">
        <f t="shared" si="274"/>
        <v/>
      </c>
      <c r="CC84" s="152" t="str">
        <f t="shared" si="275"/>
        <v/>
      </c>
      <c r="CD84" s="153" t="str">
        <f t="shared" si="276"/>
        <v/>
      </c>
      <c r="CE84" s="152" t="str">
        <f t="shared" si="277"/>
        <v/>
      </c>
      <c r="CF84" s="580" t="str">
        <f>IF('Marks Entry'!AK84="","",'Marks Entry'!AK84)</f>
        <v/>
      </c>
      <c r="CG84" s="580" t="str">
        <f>IF('Marks Entry'!AL84="","",'Marks Entry'!AL84)</f>
        <v/>
      </c>
      <c r="CH84" s="580" t="str">
        <f>IF('Marks Entry'!AM84="","",'Marks Entry'!AM84)</f>
        <v/>
      </c>
      <c r="CI84" s="580" t="str">
        <f>IF('Marks Entry'!AN84="","",'Marks Entry'!AN84)</f>
        <v/>
      </c>
      <c r="CJ84" s="581" t="str">
        <f t="shared" si="278"/>
        <v/>
      </c>
      <c r="CK84" s="580" t="str">
        <f>IF('Marks Entry'!AO84="","",'Marks Entry'!AO84)</f>
        <v/>
      </c>
      <c r="CL84" s="580" t="str">
        <f>IF('Marks Entry'!AP84="","",'Marks Entry'!AP84)</f>
        <v/>
      </c>
      <c r="CM84" s="581" t="str">
        <f t="shared" si="279"/>
        <v/>
      </c>
      <c r="CN84" s="581" t="str">
        <f t="shared" si="280"/>
        <v/>
      </c>
      <c r="CO84" s="580" t="str">
        <f>IF('Marks Entry'!AQ84="","",'Marks Entry'!AQ84)</f>
        <v/>
      </c>
      <c r="CP84" s="580" t="str">
        <f>IF('Marks Entry'!AR84="","",'Marks Entry'!AR84)</f>
        <v/>
      </c>
      <c r="CQ84" s="581" t="str">
        <f t="shared" si="281"/>
        <v/>
      </c>
      <c r="CR84" s="156" t="str">
        <f t="shared" si="282"/>
        <v/>
      </c>
      <c r="CS84" s="156" t="str">
        <f t="shared" si="283"/>
        <v/>
      </c>
      <c r="CT84" s="191" t="str">
        <f t="shared" si="284"/>
        <v/>
      </c>
      <c r="CU84" s="152">
        <f t="shared" si="285"/>
        <v>0</v>
      </c>
      <c r="CV84" s="153">
        <f t="shared" si="286"/>
        <v>0</v>
      </c>
      <c r="CW84" s="153" t="str">
        <f t="shared" si="287"/>
        <v/>
      </c>
      <c r="CX84" s="153" t="str">
        <f t="shared" si="288"/>
        <v/>
      </c>
      <c r="CY84" s="153" t="str">
        <f t="shared" si="289"/>
        <v/>
      </c>
      <c r="CZ84" s="152" t="str">
        <f t="shared" si="290"/>
        <v/>
      </c>
      <c r="DA84" s="153" t="str">
        <f t="shared" si="291"/>
        <v/>
      </c>
      <c r="DB84" s="152" t="str">
        <f t="shared" si="292"/>
        <v/>
      </c>
      <c r="DC84" s="153">
        <f t="shared" si="293"/>
        <v>0</v>
      </c>
      <c r="DD84" s="851" t="str">
        <f>IF('Marks Entry'!AS84="","",IF(OR('Master Sheet'!$D$19="YES",'Marks Entry'!$BA$1=1),'Marks Entry'!AS84,""))</f>
        <v/>
      </c>
      <c r="DE84" s="851" t="str">
        <f>IF('Marks Entry'!AT84="","",IF(OR('Master Sheet'!$D$19="YES",'Marks Entry'!$BA$1=1),'Marks Entry'!AT84,""))</f>
        <v/>
      </c>
      <c r="DF84" s="851" t="str">
        <f>IF('Marks Entry'!AU84="","",IF(OR('Master Sheet'!$D$19="YES",'Marks Entry'!$BA$1=1),'Marks Entry'!AU84,""))</f>
        <v/>
      </c>
      <c r="DG84" s="851" t="str">
        <f>IF('Marks Entry'!AV84="","",IF(OR('Master Sheet'!$D$19="YES",'Marks Entry'!$BA$1=1),'Marks Entry'!AV84,""))</f>
        <v/>
      </c>
      <c r="DH84" s="852" t="str">
        <f t="shared" si="294"/>
        <v/>
      </c>
      <c r="DI84" s="851" t="str">
        <f>IF('Marks Entry'!AW84="","",IF(OR('Master Sheet'!$D$19="YES",'Marks Entry'!$BA$1=1),'Marks Entry'!AW84,""))</f>
        <v/>
      </c>
      <c r="DJ84" s="851" t="str">
        <f>IF('Marks Entry'!AX84="","",IF(OR('Master Sheet'!$D$19="YES",'Marks Entry'!$BA$1=1),'Marks Entry'!AX84,""))</f>
        <v/>
      </c>
      <c r="DK84" s="852" t="str">
        <f t="shared" si="295"/>
        <v/>
      </c>
      <c r="DL84" s="852" t="str">
        <f t="shared" si="296"/>
        <v/>
      </c>
      <c r="DM84" s="851" t="str">
        <f>IF('Marks Entry'!AY84="","",IF(OR('Master Sheet'!$D$19="YES",'Marks Entry'!$BA$1=1),'Marks Entry'!AY84,""))</f>
        <v/>
      </c>
      <c r="DN84" s="851" t="str">
        <f>IF('Marks Entry'!AZ84="","",IF(OR('Master Sheet'!$D$19="YES",'Marks Entry'!$BA$1=1),'Marks Entry'!AZ84,""))</f>
        <v/>
      </c>
      <c r="DO84" s="851" t="str">
        <f>IF('Marks Entry'!BA84="","",IF(OR('Master Sheet'!$D$19="YES",'Marks Entry'!$BA$1=1),'Marks Entry'!BA84,""))</f>
        <v/>
      </c>
      <c r="DP84" s="852" t="str">
        <f t="shared" si="297"/>
        <v/>
      </c>
      <c r="DQ84" s="156" t="str">
        <f t="shared" si="298"/>
        <v/>
      </c>
      <c r="DR84" s="156" t="str">
        <f t="shared" si="299"/>
        <v/>
      </c>
      <c r="DS84" s="156" t="str">
        <f t="shared" si="300"/>
        <v/>
      </c>
      <c r="DT84" s="191" t="str">
        <f t="shared" si="301"/>
        <v/>
      </c>
      <c r="DU84" s="152">
        <f t="shared" si="302"/>
        <v>0</v>
      </c>
      <c r="DV84" s="153">
        <f t="shared" si="303"/>
        <v>0</v>
      </c>
      <c r="DW84" s="153" t="str">
        <f t="shared" si="304"/>
        <v/>
      </c>
      <c r="DX84" s="153" t="str">
        <f>IF(OR($B84="NSO",$B84=0,DS84=""),"",IF(AND(DJ84="",DO84=""),"",IF('Master Sheet'!$D$19="YES",$DO$6-COUNTIF(DO84,"ML")*DO$6,DS$6-(COUNTIF(DJ84,"ML")*DJ$6)-(COUNTIF(DO84,"ML")*DO$6))))</f>
        <v/>
      </c>
      <c r="DY84" s="153" t="str">
        <f>IF(OR($B84="NSO",$B84=0),"",IF(AND(DH84="",DI84="",DM84=""),"",IF(AND('Master Sheet'!$D$19="YES",'Marks Entry'!$BA$1=1),100,IF(AND(DJ84="",DO84=""),SUM(($DQ$7+$DR$7)-(DU84+DV84)),SUM(($DQ$6+$DR$6)-(DU84+DV84))))))</f>
        <v/>
      </c>
      <c r="DZ84" s="152" t="str">
        <f t="shared" si="305"/>
        <v/>
      </c>
      <c r="EA84" s="153" t="str">
        <f t="shared" si="306"/>
        <v/>
      </c>
      <c r="EB84" s="152" t="str">
        <f t="shared" si="307"/>
        <v/>
      </c>
      <c r="EC84" s="584" t="str">
        <f>IF('Marks Entry'!BB84="","",'Marks Entry'!BB84)</f>
        <v/>
      </c>
      <c r="ED84" s="584" t="str">
        <f>IF('Marks Entry'!BC84="","",'Marks Entry'!BC84)</f>
        <v/>
      </c>
      <c r="EE84" s="584" t="str">
        <f>IF('Marks Entry'!BD84="","",'Marks Entry'!BD84)</f>
        <v/>
      </c>
      <c r="EF84" s="590" t="str">
        <f t="shared" si="308"/>
        <v/>
      </c>
      <c r="EG84" s="595">
        <f t="shared" si="309"/>
        <v>0</v>
      </c>
      <c r="EH84" s="595">
        <f t="shared" si="310"/>
        <v>0</v>
      </c>
      <c r="EI84" s="192" t="str">
        <f t="shared" si="311"/>
        <v/>
      </c>
      <c r="EJ84" s="595" t="str">
        <f t="shared" si="312"/>
        <v/>
      </c>
      <c r="EK84" s="595" t="str">
        <f t="shared" si="313"/>
        <v/>
      </c>
      <c r="EL84" s="193" t="str">
        <f t="shared" si="314"/>
        <v/>
      </c>
      <c r="EM84" s="193" t="str">
        <f t="shared" si="315"/>
        <v/>
      </c>
      <c r="EN84" s="193" t="str">
        <f t="shared" si="316"/>
        <v/>
      </c>
      <c r="EO84" s="193" t="str">
        <f t="shared" si="317"/>
        <v/>
      </c>
      <c r="EP84" s="193" t="str">
        <f t="shared" si="318"/>
        <v/>
      </c>
      <c r="EQ84" s="193" t="str">
        <f t="shared" si="319"/>
        <v/>
      </c>
      <c r="ER84" s="194">
        <f t="shared" si="320"/>
        <v>0</v>
      </c>
      <c r="ES84" s="194">
        <f t="shared" si="321"/>
        <v>0</v>
      </c>
      <c r="ET84" s="194">
        <f t="shared" si="322"/>
        <v>0</v>
      </c>
      <c r="EU84" s="194">
        <f t="shared" si="323"/>
        <v>0</v>
      </c>
      <c r="EV84" s="194">
        <f t="shared" si="324"/>
        <v>0</v>
      </c>
      <c r="EW84" s="194" t="str">
        <f t="shared" si="325"/>
        <v/>
      </c>
      <c r="EX84" s="195" t="str">
        <f t="shared" si="326"/>
        <v/>
      </c>
      <c r="EY84" s="196" t="str">
        <f>IF('Marks Entry'!BE84="","",'Marks Entry'!BE84)</f>
        <v/>
      </c>
      <c r="EZ84" s="196" t="str">
        <f>IF('Marks Entry'!BF84="","",'Marks Entry'!BF84)</f>
        <v/>
      </c>
      <c r="FA84" s="196" t="str">
        <f>IF('Marks Entry'!BG84="","",'Marks Entry'!BG84)</f>
        <v/>
      </c>
      <c r="FB84" s="596" t="str">
        <f t="shared" si="327"/>
        <v/>
      </c>
      <c r="FC84" s="196" t="str">
        <f>IF('Marks Entry'!BH84="","",'Marks Entry'!BH84)</f>
        <v/>
      </c>
      <c r="FD84" s="196" t="str">
        <f>IF('Marks Entry'!BI84="","",'Marks Entry'!BI84)</f>
        <v/>
      </c>
      <c r="FE84" s="197" t="str">
        <f t="shared" si="328"/>
        <v/>
      </c>
      <c r="FF84" s="198" t="str">
        <f t="shared" si="329"/>
        <v/>
      </c>
      <c r="FG84" s="199" t="str">
        <f>IF(AND(E84=""),"",IF('Student DATA Entry'!L80="","",'Student DATA Entry'!L80))</f>
        <v/>
      </c>
      <c r="FH84" s="200" t="str">
        <f>IF(AND(E84=""),"",IF('Student DATA Entry'!M80="","",'Student DATA Entry'!M80))</f>
        <v/>
      </c>
      <c r="FI84" s="201" t="str">
        <f t="shared" si="330"/>
        <v/>
      </c>
      <c r="FJ84" s="188" t="str">
        <f t="shared" si="331"/>
        <v/>
      </c>
      <c r="FK84" s="188" t="str">
        <f t="shared" si="332"/>
        <v/>
      </c>
      <c r="FL84" s="202" t="str">
        <f t="shared" si="201"/>
        <v/>
      </c>
      <c r="FM84" s="188" t="str">
        <f t="shared" si="333"/>
        <v/>
      </c>
      <c r="FN84" s="203" t="str">
        <f t="shared" si="334"/>
        <v/>
      </c>
      <c r="FO84" s="202" t="str">
        <f t="shared" si="202"/>
        <v/>
      </c>
      <c r="FP84" s="204" t="str">
        <f t="shared" si="335"/>
        <v/>
      </c>
      <c r="FQ84" s="188" t="str">
        <f t="shared" si="203"/>
        <v/>
      </c>
      <c r="FR84" s="188" t="str">
        <f t="shared" si="204"/>
        <v/>
      </c>
      <c r="FS84" s="188" t="str">
        <f t="shared" si="205"/>
        <v/>
      </c>
      <c r="FT84" s="188" t="str">
        <f t="shared" si="206"/>
        <v/>
      </c>
      <c r="FU84" s="188" t="str">
        <f t="shared" si="336"/>
        <v/>
      </c>
      <c r="FV84" s="205" t="str">
        <f t="shared" si="207"/>
        <v/>
      </c>
      <c r="FW84" s="204" t="str">
        <f t="shared" si="337"/>
        <v/>
      </c>
      <c r="FX84" s="188" t="str">
        <f t="shared" si="208"/>
        <v/>
      </c>
      <c r="FY84" s="188" t="str">
        <f t="shared" si="209"/>
        <v/>
      </c>
      <c r="FZ84" s="188" t="str">
        <f t="shared" si="210"/>
        <v/>
      </c>
      <c r="GA84" s="188" t="str">
        <f t="shared" si="211"/>
        <v/>
      </c>
      <c r="GB84" s="188" t="str">
        <f t="shared" si="338"/>
        <v/>
      </c>
      <c r="GC84" s="205" t="str">
        <f t="shared" si="212"/>
        <v/>
      </c>
      <c r="GD84" s="204" t="str">
        <f t="shared" si="339"/>
        <v/>
      </c>
      <c r="GE84" s="188" t="str">
        <f t="shared" si="213"/>
        <v/>
      </c>
      <c r="GF84" s="188" t="str">
        <f t="shared" si="214"/>
        <v/>
      </c>
      <c r="GG84" s="188" t="str">
        <f t="shared" si="215"/>
        <v/>
      </c>
      <c r="GH84" s="188" t="str">
        <f t="shared" si="216"/>
        <v/>
      </c>
      <c r="GI84" s="188" t="str">
        <f t="shared" si="340"/>
        <v/>
      </c>
      <c r="GJ84" s="205" t="str">
        <f t="shared" si="217"/>
        <v/>
      </c>
      <c r="GK84" s="204" t="str">
        <f t="shared" si="341"/>
        <v/>
      </c>
      <c r="GL84" s="188" t="str">
        <f t="shared" si="218"/>
        <v/>
      </c>
      <c r="GM84" s="188" t="str">
        <f t="shared" si="219"/>
        <v/>
      </c>
      <c r="GN84" s="188" t="str">
        <f t="shared" si="220"/>
        <v/>
      </c>
      <c r="GO84" s="188" t="str">
        <f t="shared" si="221"/>
        <v/>
      </c>
      <c r="GP84" s="188" t="str">
        <f t="shared" si="342"/>
        <v/>
      </c>
      <c r="GQ84" s="205" t="str">
        <f t="shared" si="222"/>
        <v/>
      </c>
      <c r="GR84" s="188" t="str">
        <f t="shared" si="343"/>
        <v/>
      </c>
      <c r="GS84" s="188" t="str">
        <f t="shared" si="344"/>
        <v/>
      </c>
      <c r="GT84" s="206" t="str">
        <f t="shared" si="345"/>
        <v xml:space="preserve">    </v>
      </c>
      <c r="GU84" s="206" t="str">
        <f t="shared" si="346"/>
        <v xml:space="preserve">    </v>
      </c>
      <c r="GV84" s="206" t="str">
        <f t="shared" si="347"/>
        <v xml:space="preserve">    </v>
      </c>
      <c r="GW84" s="206" t="str">
        <f t="shared" si="348"/>
        <v xml:space="preserve">       </v>
      </c>
      <c r="GX84" s="598" t="str">
        <f t="shared" si="349"/>
        <v xml:space="preserve">     </v>
      </c>
      <c r="GY84" s="207" t="str">
        <f t="shared" si="223"/>
        <v/>
      </c>
      <c r="GZ84" s="606" t="str">
        <f>IF(AND(Q84="",AE84="",AZ84="",BW84="",CT84=""),"",IF(AND('Master Sheet'!$D$19="YES",'Marks Entry'!$BA$1=1),SUM(Q84,AE84,AZ84,BW84,DT84),SUM(Q84,AE84,AZ84,BW84,CT84)))</f>
        <v/>
      </c>
      <c r="HA84" s="208" t="str">
        <f>IF(GZ84="","",IF(AND('Master Sheet'!$D$19="YES",'Marks Entry'!$BA$1=1),GZ84/((900)-DC84)*100,GZ84/((1000)-DC84)*100))</f>
        <v/>
      </c>
      <c r="HB84" s="611" t="str">
        <f t="shared" si="350"/>
        <v/>
      </c>
      <c r="HC84" s="609" t="str">
        <f t="shared" si="351"/>
        <v/>
      </c>
      <c r="HD84" s="610" t="str">
        <f t="shared" si="352"/>
        <v/>
      </c>
      <c r="HE84" s="209" t="str">
        <f>IFERROR(IF(OR(GY84="SUPPLEMENTARY",GY84="RE-EXAM"),'Supp. Result Entry'!AS83,""),"")</f>
        <v/>
      </c>
      <c r="HF84" s="613" t="str">
        <f t="shared" si="353"/>
        <v/>
      </c>
      <c r="HG84" s="598" t="str">
        <f t="shared" si="354"/>
        <v/>
      </c>
      <c r="HH84" s="598" t="str">
        <f>IF(AND(HE84="",HF84="",HG84=""),"",IF(OR(GY84="SUPPLEMENTARY",GY84="RE-EXAM"),'Supp. Result Entry'!AS83,GY84))</f>
        <v/>
      </c>
      <c r="HI84" s="179"/>
      <c r="HY84" s="211" t="str">
        <f>IF('Supp. Result Entry'!U83="","",'Supp. Result Entry'!$U$6)</f>
        <v/>
      </c>
      <c r="HZ84" s="212" t="str">
        <f>IF('Supp. Result Entry'!X83="","",'Supp. Result Entry'!$X$6)</f>
        <v/>
      </c>
      <c r="IA84" s="212" t="str">
        <f>IF('Supp. Result Entry'!AA83="","",'Supp. Result Entry'!$AA$6)</f>
        <v/>
      </c>
      <c r="IB84" s="212" t="str">
        <f>IF('Supp. Result Entry'!AD83="","",'Supp. Result Entry'!$AD$6)</f>
        <v/>
      </c>
      <c r="IC84" s="212" t="str">
        <f>IF('Supp. Result Entry'!AG83="","",'Supp. Result Entry'!$AG$6)</f>
        <v/>
      </c>
      <c r="ID84" s="212" t="str">
        <f>IF('Supp. Result Entry'!AJ83="","",'Supp. Result Entry'!$AJ$6)</f>
        <v/>
      </c>
      <c r="IE84" s="212" t="str">
        <f>IF('Supp. Result Entry'!V83="","",'Supp. Result Entry'!V83)</f>
        <v/>
      </c>
      <c r="IF84" s="212" t="str">
        <f>IF('Supp. Result Entry'!Y83="","",'Supp. Result Entry'!Y83)</f>
        <v/>
      </c>
      <c r="IG84" s="212" t="str">
        <f>IF('Supp. Result Entry'!AB83="","",'Supp. Result Entry'!AB83)</f>
        <v/>
      </c>
      <c r="IH84" s="212" t="str">
        <f>IF('Supp. Result Entry'!AE83="","",'Supp. Result Entry'!AE83)</f>
        <v/>
      </c>
      <c r="II84" s="212" t="str">
        <f>IF('Supp. Result Entry'!AH83="","",'Supp. Result Entry'!AH83)</f>
        <v/>
      </c>
      <c r="IJ84" s="212" t="str">
        <f>IF('Supp. Result Entry'!AK83="","",'Supp. Result Entry'!AK83)</f>
        <v/>
      </c>
      <c r="IK84" s="212" t="str">
        <f>IF('Supp. Result Entry'!W83="","",'Supp. Result Entry'!W83)</f>
        <v/>
      </c>
      <c r="IL84" s="212" t="str">
        <f>IF('Supp. Result Entry'!Z83="","",'Supp. Result Entry'!Z83)</f>
        <v/>
      </c>
      <c r="IM84" s="212" t="str">
        <f>IF('Supp. Result Entry'!AC83="","",'Supp. Result Entry'!AC83)</f>
        <v/>
      </c>
      <c r="IN84" s="212" t="str">
        <f>IF('Supp. Result Entry'!AF83="","",'Supp. Result Entry'!AF83)</f>
        <v/>
      </c>
      <c r="IO84" s="212" t="str">
        <f>IF('Supp. Result Entry'!AI83="","",'Supp. Result Entry'!AI83)</f>
        <v/>
      </c>
      <c r="IP84" s="212" t="str">
        <f>IF('Supp. Result Entry'!AL83="","",'Supp. Result Entry'!AL83)</f>
        <v/>
      </c>
      <c r="IQ84" s="212">
        <f>COUNTIF('Supp. Result Entry'!K83:Q83,"S")</f>
        <v>0</v>
      </c>
      <c r="IR84" s="212">
        <f t="shared" si="355"/>
        <v>0</v>
      </c>
      <c r="IS84" s="212">
        <f t="shared" si="356"/>
        <v>0</v>
      </c>
      <c r="IT84" s="212" t="str">
        <f t="shared" si="224"/>
        <v/>
      </c>
      <c r="IU84" s="212" t="str">
        <f t="shared" si="225"/>
        <v/>
      </c>
      <c r="IV84" s="212" t="str">
        <f t="shared" si="226"/>
        <v/>
      </c>
      <c r="IW84" s="212" t="str">
        <f t="shared" si="227"/>
        <v/>
      </c>
      <c r="IX84" s="212" t="str">
        <f t="shared" si="228"/>
        <v/>
      </c>
      <c r="IY84" s="212" t="str">
        <f t="shared" si="357"/>
        <v/>
      </c>
      <c r="IZ84" s="212" t="str">
        <f t="shared" si="358"/>
        <v/>
      </c>
      <c r="JA84" s="212" t="str">
        <f t="shared" si="229"/>
        <v/>
      </c>
      <c r="JB84" s="210" t="str">
        <f t="shared" si="359"/>
        <v/>
      </c>
    </row>
    <row r="85" spans="1:262" s="210" customFormat="1" ht="21" customHeight="1">
      <c r="A85" s="183">
        <v>78</v>
      </c>
      <c r="B85" s="184" t="str">
        <f>IF('Marks Entry'!B85="","",'Marks Entry'!B85)</f>
        <v/>
      </c>
      <c r="C85" s="185" t="str">
        <f>IF('Marks Entry'!D85="","",'Marks Entry'!D85)</f>
        <v/>
      </c>
      <c r="D85" s="186" t="str">
        <f>IF('Marks Entry'!E85="","",'Marks Entry'!E85)</f>
        <v/>
      </c>
      <c r="E85" s="187" t="str">
        <f>IF('Marks Entry'!F85="","",'Marks Entry'!F85)</f>
        <v/>
      </c>
      <c r="F85" s="187" t="str">
        <f>IF('Marks Entry'!G85="","",'Marks Entry'!G85)</f>
        <v/>
      </c>
      <c r="G85" s="187" t="str">
        <f>IF('Marks Entry'!H85="","",'Marks Entry'!H85)</f>
        <v/>
      </c>
      <c r="H85" s="188" t="str">
        <f>IF('Marks Entry'!I85="","",'Marks Entry'!I85)</f>
        <v/>
      </c>
      <c r="I85" s="189" t="str">
        <f>IF('Marks Entry'!J85="","",'Marks Entry'!J85)</f>
        <v/>
      </c>
      <c r="J85" s="545" t="str">
        <f>IF('Marks Entry'!K85="","",'Marks Entry'!K85)</f>
        <v/>
      </c>
      <c r="K85" s="545" t="str">
        <f>IF('Marks Entry'!L85="","",'Marks Entry'!L85)</f>
        <v/>
      </c>
      <c r="L85" s="545" t="str">
        <f>IF('Marks Entry'!M85="","",'Marks Entry'!M85)</f>
        <v/>
      </c>
      <c r="M85" s="546" t="str">
        <f t="shared" si="230"/>
        <v/>
      </c>
      <c r="N85" s="545" t="str">
        <f>IF('Marks Entry'!N85="","",'Marks Entry'!N85)</f>
        <v/>
      </c>
      <c r="O85" s="546" t="str">
        <f t="shared" si="231"/>
        <v/>
      </c>
      <c r="P85" s="545" t="str">
        <f>IF('Marks Entry'!O85="","",'Marks Entry'!O85)</f>
        <v/>
      </c>
      <c r="Q85" s="547" t="str">
        <f t="shared" si="232"/>
        <v/>
      </c>
      <c r="R85" s="152">
        <f t="shared" si="233"/>
        <v>0</v>
      </c>
      <c r="S85" s="152">
        <f t="shared" si="234"/>
        <v>0</v>
      </c>
      <c r="T85" s="153" t="str">
        <f t="shared" si="235"/>
        <v/>
      </c>
      <c r="U85" s="152" t="str">
        <f t="shared" si="236"/>
        <v/>
      </c>
      <c r="V85" s="152" t="str">
        <f t="shared" si="237"/>
        <v/>
      </c>
      <c r="W85" s="152" t="str">
        <f t="shared" si="238"/>
        <v/>
      </c>
      <c r="X85" s="545" t="str">
        <f>IF('Marks Entry'!P85="","",'Marks Entry'!P85)</f>
        <v/>
      </c>
      <c r="Y85" s="545" t="str">
        <f>IF('Marks Entry'!Q85="","",'Marks Entry'!Q85)</f>
        <v/>
      </c>
      <c r="Z85" s="545" t="str">
        <f>IF('Marks Entry'!R85="","",'Marks Entry'!R85)</f>
        <v/>
      </c>
      <c r="AA85" s="546" t="str">
        <f t="shared" si="239"/>
        <v/>
      </c>
      <c r="AB85" s="545" t="str">
        <f>IF('Marks Entry'!S85="","",'Marks Entry'!S85)</f>
        <v/>
      </c>
      <c r="AC85" s="546" t="str">
        <f t="shared" si="240"/>
        <v/>
      </c>
      <c r="AD85" s="545" t="str">
        <f>IF('Marks Entry'!T85="","",'Marks Entry'!T85)</f>
        <v/>
      </c>
      <c r="AE85" s="547" t="str">
        <f t="shared" si="241"/>
        <v/>
      </c>
      <c r="AF85" s="152">
        <f t="shared" si="242"/>
        <v>0</v>
      </c>
      <c r="AG85" s="152">
        <f t="shared" si="243"/>
        <v>0</v>
      </c>
      <c r="AH85" s="153" t="str">
        <f t="shared" si="244"/>
        <v/>
      </c>
      <c r="AI85" s="152" t="str">
        <f t="shared" si="245"/>
        <v/>
      </c>
      <c r="AJ85" s="152" t="str">
        <f t="shared" si="246"/>
        <v/>
      </c>
      <c r="AK85" s="152" t="str">
        <f t="shared" si="247"/>
        <v/>
      </c>
      <c r="AL85" s="573" t="str">
        <f>IF('Marks Entry'!U85="","",'Marks Entry'!U85)</f>
        <v/>
      </c>
      <c r="AM85" s="573" t="str">
        <f>IF('Marks Entry'!V85="","",'Marks Entry'!V85)</f>
        <v/>
      </c>
      <c r="AN85" s="573" t="str">
        <f>IF('Marks Entry'!W85="","",'Marks Entry'!W85)</f>
        <v/>
      </c>
      <c r="AO85" s="573" t="str">
        <f>IF('Marks Entry'!X85="","",'Marks Entry'!X85)</f>
        <v/>
      </c>
      <c r="AP85" s="572" t="str">
        <f t="shared" si="248"/>
        <v/>
      </c>
      <c r="AQ85" s="573" t="str">
        <f>IF('Marks Entry'!Y85="","",'Marks Entry'!Y85)</f>
        <v/>
      </c>
      <c r="AR85" s="573" t="str">
        <f>IF('Marks Entry'!Z85="","",'Marks Entry'!Z85)</f>
        <v/>
      </c>
      <c r="AS85" s="572" t="str">
        <f t="shared" si="249"/>
        <v/>
      </c>
      <c r="AT85" s="572" t="str">
        <f t="shared" si="250"/>
        <v/>
      </c>
      <c r="AU85" s="573" t="str">
        <f>IF('Marks Entry'!AA85="","",'Marks Entry'!AA85)</f>
        <v/>
      </c>
      <c r="AV85" s="573" t="str">
        <f>IF('Marks Entry'!AB85="","",'Marks Entry'!AB85)</f>
        <v/>
      </c>
      <c r="AW85" s="572" t="str">
        <f t="shared" si="251"/>
        <v/>
      </c>
      <c r="AX85" s="156" t="str">
        <f t="shared" si="252"/>
        <v/>
      </c>
      <c r="AY85" s="156" t="str">
        <f t="shared" si="253"/>
        <v/>
      </c>
      <c r="AZ85" s="191" t="str">
        <f t="shared" si="254"/>
        <v/>
      </c>
      <c r="BA85" s="152">
        <f t="shared" si="255"/>
        <v>0</v>
      </c>
      <c r="BB85" s="153">
        <f t="shared" si="256"/>
        <v>0</v>
      </c>
      <c r="BC85" s="153" t="str">
        <f t="shared" si="257"/>
        <v/>
      </c>
      <c r="BD85" s="153" t="str">
        <f t="shared" si="258"/>
        <v/>
      </c>
      <c r="BE85" s="153" t="str">
        <f t="shared" si="259"/>
        <v/>
      </c>
      <c r="BF85" s="152" t="str">
        <f t="shared" si="260"/>
        <v/>
      </c>
      <c r="BG85" s="153" t="str">
        <f t="shared" si="261"/>
        <v/>
      </c>
      <c r="BH85" s="152" t="str">
        <f t="shared" si="262"/>
        <v/>
      </c>
      <c r="BI85" s="580" t="str">
        <f>IF('Marks Entry'!AC85="","",'Marks Entry'!AC85)</f>
        <v/>
      </c>
      <c r="BJ85" s="580" t="str">
        <f>IF('Marks Entry'!AD85="","",'Marks Entry'!AD85)</f>
        <v/>
      </c>
      <c r="BK85" s="580" t="str">
        <f>IF('Marks Entry'!AE85="","",'Marks Entry'!AE85)</f>
        <v/>
      </c>
      <c r="BL85" s="580" t="str">
        <f>IF('Marks Entry'!AF85="","",'Marks Entry'!AF85)</f>
        <v/>
      </c>
      <c r="BM85" s="581" t="str">
        <f t="shared" si="263"/>
        <v/>
      </c>
      <c r="BN85" s="580" t="str">
        <f>IF('Marks Entry'!AG85="","",'Marks Entry'!AG85)</f>
        <v/>
      </c>
      <c r="BO85" s="580" t="str">
        <f>IF('Marks Entry'!AH85="","",'Marks Entry'!AH85)</f>
        <v/>
      </c>
      <c r="BP85" s="581" t="str">
        <f t="shared" si="264"/>
        <v/>
      </c>
      <c r="BQ85" s="581" t="str">
        <f t="shared" si="265"/>
        <v/>
      </c>
      <c r="BR85" s="580" t="str">
        <f>IF('Marks Entry'!AI85="","",'Marks Entry'!AI85)</f>
        <v/>
      </c>
      <c r="BS85" s="580" t="str">
        <f>IF('Marks Entry'!AJ85="","",'Marks Entry'!AJ85)</f>
        <v/>
      </c>
      <c r="BT85" s="581" t="str">
        <f t="shared" si="266"/>
        <v/>
      </c>
      <c r="BU85" s="156" t="str">
        <f t="shared" si="267"/>
        <v/>
      </c>
      <c r="BV85" s="156" t="str">
        <f t="shared" si="268"/>
        <v/>
      </c>
      <c r="BW85" s="191" t="str">
        <f t="shared" si="269"/>
        <v/>
      </c>
      <c r="BX85" s="152">
        <f t="shared" si="270"/>
        <v>0</v>
      </c>
      <c r="BY85" s="153">
        <f t="shared" si="271"/>
        <v>0</v>
      </c>
      <c r="BZ85" s="153" t="str">
        <f t="shared" si="272"/>
        <v/>
      </c>
      <c r="CA85" s="153" t="str">
        <f t="shared" si="273"/>
        <v/>
      </c>
      <c r="CB85" s="153" t="str">
        <f t="shared" si="274"/>
        <v/>
      </c>
      <c r="CC85" s="152" t="str">
        <f t="shared" si="275"/>
        <v/>
      </c>
      <c r="CD85" s="153" t="str">
        <f t="shared" si="276"/>
        <v/>
      </c>
      <c r="CE85" s="152" t="str">
        <f t="shared" si="277"/>
        <v/>
      </c>
      <c r="CF85" s="580" t="str">
        <f>IF('Marks Entry'!AK85="","",'Marks Entry'!AK85)</f>
        <v/>
      </c>
      <c r="CG85" s="580" t="str">
        <f>IF('Marks Entry'!AL85="","",'Marks Entry'!AL85)</f>
        <v/>
      </c>
      <c r="CH85" s="580" t="str">
        <f>IF('Marks Entry'!AM85="","",'Marks Entry'!AM85)</f>
        <v/>
      </c>
      <c r="CI85" s="580" t="str">
        <f>IF('Marks Entry'!AN85="","",'Marks Entry'!AN85)</f>
        <v/>
      </c>
      <c r="CJ85" s="581" t="str">
        <f t="shared" si="278"/>
        <v/>
      </c>
      <c r="CK85" s="580" t="str">
        <f>IF('Marks Entry'!AO85="","",'Marks Entry'!AO85)</f>
        <v/>
      </c>
      <c r="CL85" s="580" t="str">
        <f>IF('Marks Entry'!AP85="","",'Marks Entry'!AP85)</f>
        <v/>
      </c>
      <c r="CM85" s="581" t="str">
        <f t="shared" si="279"/>
        <v/>
      </c>
      <c r="CN85" s="581" t="str">
        <f t="shared" si="280"/>
        <v/>
      </c>
      <c r="CO85" s="580" t="str">
        <f>IF('Marks Entry'!AQ85="","",'Marks Entry'!AQ85)</f>
        <v/>
      </c>
      <c r="CP85" s="580" t="str">
        <f>IF('Marks Entry'!AR85="","",'Marks Entry'!AR85)</f>
        <v/>
      </c>
      <c r="CQ85" s="581" t="str">
        <f t="shared" si="281"/>
        <v/>
      </c>
      <c r="CR85" s="156" t="str">
        <f t="shared" si="282"/>
        <v/>
      </c>
      <c r="CS85" s="156" t="str">
        <f t="shared" si="283"/>
        <v/>
      </c>
      <c r="CT85" s="191" t="str">
        <f t="shared" si="284"/>
        <v/>
      </c>
      <c r="CU85" s="152">
        <f t="shared" si="285"/>
        <v>0</v>
      </c>
      <c r="CV85" s="153">
        <f t="shared" si="286"/>
        <v>0</v>
      </c>
      <c r="CW85" s="153" t="str">
        <f t="shared" si="287"/>
        <v/>
      </c>
      <c r="CX85" s="153" t="str">
        <f t="shared" si="288"/>
        <v/>
      </c>
      <c r="CY85" s="153" t="str">
        <f t="shared" si="289"/>
        <v/>
      </c>
      <c r="CZ85" s="152" t="str">
        <f t="shared" si="290"/>
        <v/>
      </c>
      <c r="DA85" s="153" t="str">
        <f t="shared" si="291"/>
        <v/>
      </c>
      <c r="DB85" s="152" t="str">
        <f t="shared" si="292"/>
        <v/>
      </c>
      <c r="DC85" s="153">
        <f t="shared" si="293"/>
        <v>0</v>
      </c>
      <c r="DD85" s="851" t="str">
        <f>IF('Marks Entry'!AS85="","",IF(OR('Master Sheet'!$D$19="YES",'Marks Entry'!$BA$1=1),'Marks Entry'!AS85,""))</f>
        <v/>
      </c>
      <c r="DE85" s="851" t="str">
        <f>IF('Marks Entry'!AT85="","",IF(OR('Master Sheet'!$D$19="YES",'Marks Entry'!$BA$1=1),'Marks Entry'!AT85,""))</f>
        <v/>
      </c>
      <c r="DF85" s="851" t="str">
        <f>IF('Marks Entry'!AU85="","",IF(OR('Master Sheet'!$D$19="YES",'Marks Entry'!$BA$1=1),'Marks Entry'!AU85,""))</f>
        <v/>
      </c>
      <c r="DG85" s="851" t="str">
        <f>IF('Marks Entry'!AV85="","",IF(OR('Master Sheet'!$D$19="YES",'Marks Entry'!$BA$1=1),'Marks Entry'!AV85,""))</f>
        <v/>
      </c>
      <c r="DH85" s="852" t="str">
        <f t="shared" si="294"/>
        <v/>
      </c>
      <c r="DI85" s="851" t="str">
        <f>IF('Marks Entry'!AW85="","",IF(OR('Master Sheet'!$D$19="YES",'Marks Entry'!$BA$1=1),'Marks Entry'!AW85,""))</f>
        <v/>
      </c>
      <c r="DJ85" s="851" t="str">
        <f>IF('Marks Entry'!AX85="","",IF(OR('Master Sheet'!$D$19="YES",'Marks Entry'!$BA$1=1),'Marks Entry'!AX85,""))</f>
        <v/>
      </c>
      <c r="DK85" s="852" t="str">
        <f t="shared" si="295"/>
        <v/>
      </c>
      <c r="DL85" s="852" t="str">
        <f t="shared" si="296"/>
        <v/>
      </c>
      <c r="DM85" s="851" t="str">
        <f>IF('Marks Entry'!AY85="","",IF(OR('Master Sheet'!$D$19="YES",'Marks Entry'!$BA$1=1),'Marks Entry'!AY85,""))</f>
        <v/>
      </c>
      <c r="DN85" s="851" t="str">
        <f>IF('Marks Entry'!AZ85="","",IF(OR('Master Sheet'!$D$19="YES",'Marks Entry'!$BA$1=1),'Marks Entry'!AZ85,""))</f>
        <v/>
      </c>
      <c r="DO85" s="851" t="str">
        <f>IF('Marks Entry'!BA85="","",IF(OR('Master Sheet'!$D$19="YES",'Marks Entry'!$BA$1=1),'Marks Entry'!BA85,""))</f>
        <v/>
      </c>
      <c r="DP85" s="852" t="str">
        <f t="shared" si="297"/>
        <v/>
      </c>
      <c r="DQ85" s="156" t="str">
        <f t="shared" si="298"/>
        <v/>
      </c>
      <c r="DR85" s="156" t="str">
        <f t="shared" si="299"/>
        <v/>
      </c>
      <c r="DS85" s="156" t="str">
        <f t="shared" si="300"/>
        <v/>
      </c>
      <c r="DT85" s="191" t="str">
        <f t="shared" si="301"/>
        <v/>
      </c>
      <c r="DU85" s="152">
        <f t="shared" si="302"/>
        <v>0</v>
      </c>
      <c r="DV85" s="153">
        <f t="shared" si="303"/>
        <v>0</v>
      </c>
      <c r="DW85" s="153" t="str">
        <f t="shared" si="304"/>
        <v/>
      </c>
      <c r="DX85" s="153" t="str">
        <f>IF(OR($B85="NSO",$B85=0,DS85=""),"",IF(AND(DJ85="",DO85=""),"",IF('Master Sheet'!$D$19="YES",$DO$6-COUNTIF(DO85,"ML")*DO$6,DS$6-(COUNTIF(DJ85,"ML")*DJ$6)-(COUNTIF(DO85,"ML")*DO$6))))</f>
        <v/>
      </c>
      <c r="DY85" s="153" t="str">
        <f>IF(OR($B85="NSO",$B85=0),"",IF(AND(DH85="",DI85="",DM85=""),"",IF(AND('Master Sheet'!$D$19="YES",'Marks Entry'!$BA$1=1),100,IF(AND(DJ85="",DO85=""),SUM(($DQ$7+$DR$7)-(DU85+DV85)),SUM(($DQ$6+$DR$6)-(DU85+DV85))))))</f>
        <v/>
      </c>
      <c r="DZ85" s="152" t="str">
        <f t="shared" si="305"/>
        <v/>
      </c>
      <c r="EA85" s="153" t="str">
        <f t="shared" si="306"/>
        <v/>
      </c>
      <c r="EB85" s="152" t="str">
        <f t="shared" si="307"/>
        <v/>
      </c>
      <c r="EC85" s="584" t="str">
        <f>IF('Marks Entry'!BB85="","",'Marks Entry'!BB85)</f>
        <v/>
      </c>
      <c r="ED85" s="584" t="str">
        <f>IF('Marks Entry'!BC85="","",'Marks Entry'!BC85)</f>
        <v/>
      </c>
      <c r="EE85" s="584" t="str">
        <f>IF('Marks Entry'!BD85="","",'Marks Entry'!BD85)</f>
        <v/>
      </c>
      <c r="EF85" s="590" t="str">
        <f t="shared" si="308"/>
        <v/>
      </c>
      <c r="EG85" s="595">
        <f t="shared" si="309"/>
        <v>0</v>
      </c>
      <c r="EH85" s="595">
        <f t="shared" si="310"/>
        <v>0</v>
      </c>
      <c r="EI85" s="192" t="str">
        <f t="shared" si="311"/>
        <v/>
      </c>
      <c r="EJ85" s="595" t="str">
        <f t="shared" si="312"/>
        <v/>
      </c>
      <c r="EK85" s="595" t="str">
        <f t="shared" si="313"/>
        <v/>
      </c>
      <c r="EL85" s="193" t="str">
        <f t="shared" si="314"/>
        <v/>
      </c>
      <c r="EM85" s="193" t="str">
        <f t="shared" si="315"/>
        <v/>
      </c>
      <c r="EN85" s="193" t="str">
        <f t="shared" si="316"/>
        <v/>
      </c>
      <c r="EO85" s="193" t="str">
        <f t="shared" si="317"/>
        <v/>
      </c>
      <c r="EP85" s="193" t="str">
        <f t="shared" si="318"/>
        <v/>
      </c>
      <c r="EQ85" s="193" t="str">
        <f t="shared" si="319"/>
        <v/>
      </c>
      <c r="ER85" s="194">
        <f t="shared" si="320"/>
        <v>0</v>
      </c>
      <c r="ES85" s="194">
        <f t="shared" si="321"/>
        <v>0</v>
      </c>
      <c r="ET85" s="194">
        <f t="shared" si="322"/>
        <v>0</v>
      </c>
      <c r="EU85" s="194">
        <f t="shared" si="323"/>
        <v>0</v>
      </c>
      <c r="EV85" s="194">
        <f t="shared" si="324"/>
        <v>0</v>
      </c>
      <c r="EW85" s="194" t="str">
        <f t="shared" si="325"/>
        <v/>
      </c>
      <c r="EX85" s="195" t="str">
        <f t="shared" si="326"/>
        <v/>
      </c>
      <c r="EY85" s="196" t="str">
        <f>IF('Marks Entry'!BE85="","",'Marks Entry'!BE85)</f>
        <v/>
      </c>
      <c r="EZ85" s="196" t="str">
        <f>IF('Marks Entry'!BF85="","",'Marks Entry'!BF85)</f>
        <v/>
      </c>
      <c r="FA85" s="196" t="str">
        <f>IF('Marks Entry'!BG85="","",'Marks Entry'!BG85)</f>
        <v/>
      </c>
      <c r="FB85" s="596" t="str">
        <f t="shared" si="327"/>
        <v/>
      </c>
      <c r="FC85" s="196" t="str">
        <f>IF('Marks Entry'!BH85="","",'Marks Entry'!BH85)</f>
        <v/>
      </c>
      <c r="FD85" s="196" t="str">
        <f>IF('Marks Entry'!BI85="","",'Marks Entry'!BI85)</f>
        <v/>
      </c>
      <c r="FE85" s="197" t="str">
        <f t="shared" si="328"/>
        <v/>
      </c>
      <c r="FF85" s="198" t="str">
        <f t="shared" si="329"/>
        <v/>
      </c>
      <c r="FG85" s="199" t="str">
        <f>IF(AND(E85=""),"",IF('Student DATA Entry'!L81="","",'Student DATA Entry'!L81))</f>
        <v/>
      </c>
      <c r="FH85" s="200" t="str">
        <f>IF(AND(E85=""),"",IF('Student DATA Entry'!M81="","",'Student DATA Entry'!M81))</f>
        <v/>
      </c>
      <c r="FI85" s="201" t="str">
        <f t="shared" si="330"/>
        <v/>
      </c>
      <c r="FJ85" s="188" t="str">
        <f t="shared" si="331"/>
        <v/>
      </c>
      <c r="FK85" s="188" t="str">
        <f t="shared" si="332"/>
        <v/>
      </c>
      <c r="FL85" s="202" t="str">
        <f t="shared" si="201"/>
        <v/>
      </c>
      <c r="FM85" s="188" t="str">
        <f t="shared" si="333"/>
        <v/>
      </c>
      <c r="FN85" s="203" t="str">
        <f t="shared" si="334"/>
        <v/>
      </c>
      <c r="FO85" s="202" t="str">
        <f t="shared" si="202"/>
        <v/>
      </c>
      <c r="FP85" s="204" t="str">
        <f t="shared" si="335"/>
        <v/>
      </c>
      <c r="FQ85" s="188" t="str">
        <f t="shared" si="203"/>
        <v/>
      </c>
      <c r="FR85" s="188" t="str">
        <f t="shared" si="204"/>
        <v/>
      </c>
      <c r="FS85" s="188" t="str">
        <f t="shared" si="205"/>
        <v/>
      </c>
      <c r="FT85" s="188" t="str">
        <f t="shared" si="206"/>
        <v/>
      </c>
      <c r="FU85" s="188" t="str">
        <f t="shared" si="336"/>
        <v/>
      </c>
      <c r="FV85" s="205" t="str">
        <f t="shared" si="207"/>
        <v/>
      </c>
      <c r="FW85" s="204" t="str">
        <f t="shared" si="337"/>
        <v/>
      </c>
      <c r="FX85" s="188" t="str">
        <f t="shared" si="208"/>
        <v/>
      </c>
      <c r="FY85" s="188" t="str">
        <f t="shared" si="209"/>
        <v/>
      </c>
      <c r="FZ85" s="188" t="str">
        <f t="shared" si="210"/>
        <v/>
      </c>
      <c r="GA85" s="188" t="str">
        <f t="shared" si="211"/>
        <v/>
      </c>
      <c r="GB85" s="188" t="str">
        <f t="shared" si="338"/>
        <v/>
      </c>
      <c r="GC85" s="205" t="str">
        <f t="shared" si="212"/>
        <v/>
      </c>
      <c r="GD85" s="204" t="str">
        <f t="shared" si="339"/>
        <v/>
      </c>
      <c r="GE85" s="188" t="str">
        <f t="shared" si="213"/>
        <v/>
      </c>
      <c r="GF85" s="188" t="str">
        <f t="shared" si="214"/>
        <v/>
      </c>
      <c r="GG85" s="188" t="str">
        <f t="shared" si="215"/>
        <v/>
      </c>
      <c r="GH85" s="188" t="str">
        <f t="shared" si="216"/>
        <v/>
      </c>
      <c r="GI85" s="188" t="str">
        <f t="shared" si="340"/>
        <v/>
      </c>
      <c r="GJ85" s="205" t="str">
        <f t="shared" si="217"/>
        <v/>
      </c>
      <c r="GK85" s="204" t="str">
        <f t="shared" si="341"/>
        <v/>
      </c>
      <c r="GL85" s="188" t="str">
        <f t="shared" si="218"/>
        <v/>
      </c>
      <c r="GM85" s="188" t="str">
        <f t="shared" si="219"/>
        <v/>
      </c>
      <c r="GN85" s="188" t="str">
        <f t="shared" si="220"/>
        <v/>
      </c>
      <c r="GO85" s="188" t="str">
        <f t="shared" si="221"/>
        <v/>
      </c>
      <c r="GP85" s="188" t="str">
        <f t="shared" si="342"/>
        <v/>
      </c>
      <c r="GQ85" s="205" t="str">
        <f t="shared" si="222"/>
        <v/>
      </c>
      <c r="GR85" s="188" t="str">
        <f t="shared" si="343"/>
        <v/>
      </c>
      <c r="GS85" s="188" t="str">
        <f t="shared" si="344"/>
        <v/>
      </c>
      <c r="GT85" s="206" t="str">
        <f t="shared" si="345"/>
        <v xml:space="preserve">    </v>
      </c>
      <c r="GU85" s="206" t="str">
        <f t="shared" si="346"/>
        <v xml:space="preserve">    </v>
      </c>
      <c r="GV85" s="206" t="str">
        <f t="shared" si="347"/>
        <v xml:space="preserve">    </v>
      </c>
      <c r="GW85" s="206" t="str">
        <f t="shared" si="348"/>
        <v xml:space="preserve">       </v>
      </c>
      <c r="GX85" s="598" t="str">
        <f t="shared" si="349"/>
        <v xml:space="preserve">     </v>
      </c>
      <c r="GY85" s="207" t="str">
        <f t="shared" si="223"/>
        <v/>
      </c>
      <c r="GZ85" s="606" t="str">
        <f>IF(AND(Q85="",AE85="",AZ85="",BW85="",CT85=""),"",IF(AND('Master Sheet'!$D$19="YES",'Marks Entry'!$BA$1=1),SUM(Q85,AE85,AZ85,BW85,DT85),SUM(Q85,AE85,AZ85,BW85,CT85)))</f>
        <v/>
      </c>
      <c r="HA85" s="208" t="str">
        <f>IF(GZ85="","",IF(AND('Master Sheet'!$D$19="YES",'Marks Entry'!$BA$1=1),GZ85/((900)-DC85)*100,GZ85/((1000)-DC85)*100))</f>
        <v/>
      </c>
      <c r="HB85" s="611" t="str">
        <f t="shared" si="350"/>
        <v/>
      </c>
      <c r="HC85" s="609" t="str">
        <f t="shared" si="351"/>
        <v/>
      </c>
      <c r="HD85" s="610" t="str">
        <f t="shared" si="352"/>
        <v/>
      </c>
      <c r="HE85" s="209" t="str">
        <f>IFERROR(IF(OR(GY85="SUPPLEMENTARY",GY85="RE-EXAM"),'Supp. Result Entry'!AS84,""),"")</f>
        <v/>
      </c>
      <c r="HF85" s="613" t="str">
        <f t="shared" si="353"/>
        <v/>
      </c>
      <c r="HG85" s="598" t="str">
        <f t="shared" si="354"/>
        <v/>
      </c>
      <c r="HH85" s="598" t="str">
        <f>IF(AND(HE85="",HF85="",HG85=""),"",IF(OR(GY85="SUPPLEMENTARY",GY85="RE-EXAM"),'Supp. Result Entry'!AS84,GY85))</f>
        <v/>
      </c>
      <c r="HI85" s="179"/>
      <c r="HY85" s="211" t="str">
        <f>IF('Supp. Result Entry'!U84="","",'Supp. Result Entry'!$U$6)</f>
        <v/>
      </c>
      <c r="HZ85" s="212" t="str">
        <f>IF('Supp. Result Entry'!X84="","",'Supp. Result Entry'!$X$6)</f>
        <v/>
      </c>
      <c r="IA85" s="212" t="str">
        <f>IF('Supp. Result Entry'!AA84="","",'Supp. Result Entry'!$AA$6)</f>
        <v/>
      </c>
      <c r="IB85" s="212" t="str">
        <f>IF('Supp. Result Entry'!AD84="","",'Supp. Result Entry'!$AD$6)</f>
        <v/>
      </c>
      <c r="IC85" s="212" t="str">
        <f>IF('Supp. Result Entry'!AG84="","",'Supp. Result Entry'!$AG$6)</f>
        <v/>
      </c>
      <c r="ID85" s="212" t="str">
        <f>IF('Supp. Result Entry'!AJ84="","",'Supp. Result Entry'!$AJ$6)</f>
        <v/>
      </c>
      <c r="IE85" s="212" t="str">
        <f>IF('Supp. Result Entry'!V84="","",'Supp. Result Entry'!V84)</f>
        <v/>
      </c>
      <c r="IF85" s="212" t="str">
        <f>IF('Supp. Result Entry'!Y84="","",'Supp. Result Entry'!Y84)</f>
        <v/>
      </c>
      <c r="IG85" s="212" t="str">
        <f>IF('Supp. Result Entry'!AB84="","",'Supp. Result Entry'!AB84)</f>
        <v/>
      </c>
      <c r="IH85" s="212" t="str">
        <f>IF('Supp. Result Entry'!AE84="","",'Supp. Result Entry'!AE84)</f>
        <v/>
      </c>
      <c r="II85" s="212" t="str">
        <f>IF('Supp. Result Entry'!AH84="","",'Supp. Result Entry'!AH84)</f>
        <v/>
      </c>
      <c r="IJ85" s="212" t="str">
        <f>IF('Supp. Result Entry'!AK84="","",'Supp. Result Entry'!AK84)</f>
        <v/>
      </c>
      <c r="IK85" s="212" t="str">
        <f>IF('Supp. Result Entry'!W84="","",'Supp. Result Entry'!W84)</f>
        <v/>
      </c>
      <c r="IL85" s="212" t="str">
        <f>IF('Supp. Result Entry'!Z84="","",'Supp. Result Entry'!Z84)</f>
        <v/>
      </c>
      <c r="IM85" s="212" t="str">
        <f>IF('Supp. Result Entry'!AC84="","",'Supp. Result Entry'!AC84)</f>
        <v/>
      </c>
      <c r="IN85" s="212" t="str">
        <f>IF('Supp. Result Entry'!AF84="","",'Supp. Result Entry'!AF84)</f>
        <v/>
      </c>
      <c r="IO85" s="212" t="str">
        <f>IF('Supp. Result Entry'!AI84="","",'Supp. Result Entry'!AI84)</f>
        <v/>
      </c>
      <c r="IP85" s="212" t="str">
        <f>IF('Supp. Result Entry'!AL84="","",'Supp. Result Entry'!AL84)</f>
        <v/>
      </c>
      <c r="IQ85" s="212">
        <f>COUNTIF('Supp. Result Entry'!K84:Q84,"S")</f>
        <v>0</v>
      </c>
      <c r="IR85" s="212">
        <f t="shared" si="355"/>
        <v>0</v>
      </c>
      <c r="IS85" s="212">
        <f t="shared" si="356"/>
        <v>0</v>
      </c>
      <c r="IT85" s="212" t="str">
        <f t="shared" si="224"/>
        <v/>
      </c>
      <c r="IU85" s="212" t="str">
        <f t="shared" si="225"/>
        <v/>
      </c>
      <c r="IV85" s="212" t="str">
        <f t="shared" si="226"/>
        <v/>
      </c>
      <c r="IW85" s="212" t="str">
        <f t="shared" si="227"/>
        <v/>
      </c>
      <c r="IX85" s="212" t="str">
        <f t="shared" si="228"/>
        <v/>
      </c>
      <c r="IY85" s="212" t="str">
        <f t="shared" si="357"/>
        <v/>
      </c>
      <c r="IZ85" s="212" t="str">
        <f t="shared" si="358"/>
        <v/>
      </c>
      <c r="JA85" s="212" t="str">
        <f t="shared" si="229"/>
        <v/>
      </c>
      <c r="JB85" s="210" t="str">
        <f t="shared" si="359"/>
        <v/>
      </c>
    </row>
    <row r="86" spans="1:262" s="210" customFormat="1" ht="21" customHeight="1">
      <c r="A86" s="183">
        <v>79</v>
      </c>
      <c r="B86" s="184" t="str">
        <f>IF('Marks Entry'!B86="","",'Marks Entry'!B86)</f>
        <v/>
      </c>
      <c r="C86" s="185" t="str">
        <f>IF('Marks Entry'!D86="","",'Marks Entry'!D86)</f>
        <v/>
      </c>
      <c r="D86" s="186" t="str">
        <f>IF('Marks Entry'!E86="","",'Marks Entry'!E86)</f>
        <v/>
      </c>
      <c r="E86" s="187" t="str">
        <f>IF('Marks Entry'!F86="","",'Marks Entry'!F86)</f>
        <v/>
      </c>
      <c r="F86" s="187" t="str">
        <f>IF('Marks Entry'!G86="","",'Marks Entry'!G86)</f>
        <v/>
      </c>
      <c r="G86" s="187" t="str">
        <f>IF('Marks Entry'!H86="","",'Marks Entry'!H86)</f>
        <v/>
      </c>
      <c r="H86" s="188" t="str">
        <f>IF('Marks Entry'!I86="","",'Marks Entry'!I86)</f>
        <v/>
      </c>
      <c r="I86" s="189" t="str">
        <f>IF('Marks Entry'!J86="","",'Marks Entry'!J86)</f>
        <v/>
      </c>
      <c r="J86" s="545" t="str">
        <f>IF('Marks Entry'!K86="","",'Marks Entry'!K86)</f>
        <v/>
      </c>
      <c r="K86" s="545" t="str">
        <f>IF('Marks Entry'!L86="","",'Marks Entry'!L86)</f>
        <v/>
      </c>
      <c r="L86" s="545" t="str">
        <f>IF('Marks Entry'!M86="","",'Marks Entry'!M86)</f>
        <v/>
      </c>
      <c r="M86" s="546" t="str">
        <f t="shared" si="230"/>
        <v/>
      </c>
      <c r="N86" s="545" t="str">
        <f>IF('Marks Entry'!N86="","",'Marks Entry'!N86)</f>
        <v/>
      </c>
      <c r="O86" s="546" t="str">
        <f t="shared" si="231"/>
        <v/>
      </c>
      <c r="P86" s="545" t="str">
        <f>IF('Marks Entry'!O86="","",'Marks Entry'!O86)</f>
        <v/>
      </c>
      <c r="Q86" s="547" t="str">
        <f t="shared" si="232"/>
        <v/>
      </c>
      <c r="R86" s="152">
        <f t="shared" si="233"/>
        <v>0</v>
      </c>
      <c r="S86" s="152">
        <f t="shared" si="234"/>
        <v>0</v>
      </c>
      <c r="T86" s="153" t="str">
        <f t="shared" si="235"/>
        <v/>
      </c>
      <c r="U86" s="152" t="str">
        <f t="shared" si="236"/>
        <v/>
      </c>
      <c r="V86" s="152" t="str">
        <f t="shared" si="237"/>
        <v/>
      </c>
      <c r="W86" s="152" t="str">
        <f t="shared" si="238"/>
        <v/>
      </c>
      <c r="X86" s="545" t="str">
        <f>IF('Marks Entry'!P86="","",'Marks Entry'!P86)</f>
        <v/>
      </c>
      <c r="Y86" s="545" t="str">
        <f>IF('Marks Entry'!Q86="","",'Marks Entry'!Q86)</f>
        <v/>
      </c>
      <c r="Z86" s="545" t="str">
        <f>IF('Marks Entry'!R86="","",'Marks Entry'!R86)</f>
        <v/>
      </c>
      <c r="AA86" s="546" t="str">
        <f t="shared" si="239"/>
        <v/>
      </c>
      <c r="AB86" s="545" t="str">
        <f>IF('Marks Entry'!S86="","",'Marks Entry'!S86)</f>
        <v/>
      </c>
      <c r="AC86" s="546" t="str">
        <f t="shared" si="240"/>
        <v/>
      </c>
      <c r="AD86" s="545" t="str">
        <f>IF('Marks Entry'!T86="","",'Marks Entry'!T86)</f>
        <v/>
      </c>
      <c r="AE86" s="547" t="str">
        <f t="shared" si="241"/>
        <v/>
      </c>
      <c r="AF86" s="152">
        <f t="shared" si="242"/>
        <v>0</v>
      </c>
      <c r="AG86" s="152">
        <f t="shared" si="243"/>
        <v>0</v>
      </c>
      <c r="AH86" s="153" t="str">
        <f t="shared" si="244"/>
        <v/>
      </c>
      <c r="AI86" s="152" t="str">
        <f t="shared" si="245"/>
        <v/>
      </c>
      <c r="AJ86" s="152" t="str">
        <f t="shared" si="246"/>
        <v/>
      </c>
      <c r="AK86" s="152" t="str">
        <f t="shared" si="247"/>
        <v/>
      </c>
      <c r="AL86" s="573" t="str">
        <f>IF('Marks Entry'!U86="","",'Marks Entry'!U86)</f>
        <v/>
      </c>
      <c r="AM86" s="573" t="str">
        <f>IF('Marks Entry'!V86="","",'Marks Entry'!V86)</f>
        <v/>
      </c>
      <c r="AN86" s="573" t="str">
        <f>IF('Marks Entry'!W86="","",'Marks Entry'!W86)</f>
        <v/>
      </c>
      <c r="AO86" s="573" t="str">
        <f>IF('Marks Entry'!X86="","",'Marks Entry'!X86)</f>
        <v/>
      </c>
      <c r="AP86" s="572" t="str">
        <f t="shared" si="248"/>
        <v/>
      </c>
      <c r="AQ86" s="573" t="str">
        <f>IF('Marks Entry'!Y86="","",'Marks Entry'!Y86)</f>
        <v/>
      </c>
      <c r="AR86" s="573" t="str">
        <f>IF('Marks Entry'!Z86="","",'Marks Entry'!Z86)</f>
        <v/>
      </c>
      <c r="AS86" s="572" t="str">
        <f t="shared" si="249"/>
        <v/>
      </c>
      <c r="AT86" s="572" t="str">
        <f t="shared" si="250"/>
        <v/>
      </c>
      <c r="AU86" s="573" t="str">
        <f>IF('Marks Entry'!AA86="","",'Marks Entry'!AA86)</f>
        <v/>
      </c>
      <c r="AV86" s="573" t="str">
        <f>IF('Marks Entry'!AB86="","",'Marks Entry'!AB86)</f>
        <v/>
      </c>
      <c r="AW86" s="572" t="str">
        <f t="shared" si="251"/>
        <v/>
      </c>
      <c r="AX86" s="156" t="str">
        <f t="shared" si="252"/>
        <v/>
      </c>
      <c r="AY86" s="156" t="str">
        <f t="shared" si="253"/>
        <v/>
      </c>
      <c r="AZ86" s="191" t="str">
        <f t="shared" si="254"/>
        <v/>
      </c>
      <c r="BA86" s="152">
        <f t="shared" si="255"/>
        <v>0</v>
      </c>
      <c r="BB86" s="153">
        <f t="shared" si="256"/>
        <v>0</v>
      </c>
      <c r="BC86" s="153" t="str">
        <f t="shared" si="257"/>
        <v/>
      </c>
      <c r="BD86" s="153" t="str">
        <f t="shared" si="258"/>
        <v/>
      </c>
      <c r="BE86" s="153" t="str">
        <f t="shared" si="259"/>
        <v/>
      </c>
      <c r="BF86" s="152" t="str">
        <f t="shared" si="260"/>
        <v/>
      </c>
      <c r="BG86" s="153" t="str">
        <f t="shared" si="261"/>
        <v/>
      </c>
      <c r="BH86" s="152" t="str">
        <f t="shared" si="262"/>
        <v/>
      </c>
      <c r="BI86" s="580" t="str">
        <f>IF('Marks Entry'!AC86="","",'Marks Entry'!AC86)</f>
        <v/>
      </c>
      <c r="BJ86" s="580" t="str">
        <f>IF('Marks Entry'!AD86="","",'Marks Entry'!AD86)</f>
        <v/>
      </c>
      <c r="BK86" s="580" t="str">
        <f>IF('Marks Entry'!AE86="","",'Marks Entry'!AE86)</f>
        <v/>
      </c>
      <c r="BL86" s="580" t="str">
        <f>IF('Marks Entry'!AF86="","",'Marks Entry'!AF86)</f>
        <v/>
      </c>
      <c r="BM86" s="581" t="str">
        <f t="shared" si="263"/>
        <v/>
      </c>
      <c r="BN86" s="580" t="str">
        <f>IF('Marks Entry'!AG86="","",'Marks Entry'!AG86)</f>
        <v/>
      </c>
      <c r="BO86" s="580" t="str">
        <f>IF('Marks Entry'!AH86="","",'Marks Entry'!AH86)</f>
        <v/>
      </c>
      <c r="BP86" s="581" t="str">
        <f t="shared" si="264"/>
        <v/>
      </c>
      <c r="BQ86" s="581" t="str">
        <f t="shared" si="265"/>
        <v/>
      </c>
      <c r="BR86" s="580" t="str">
        <f>IF('Marks Entry'!AI86="","",'Marks Entry'!AI86)</f>
        <v/>
      </c>
      <c r="BS86" s="580" t="str">
        <f>IF('Marks Entry'!AJ86="","",'Marks Entry'!AJ86)</f>
        <v/>
      </c>
      <c r="BT86" s="581" t="str">
        <f t="shared" si="266"/>
        <v/>
      </c>
      <c r="BU86" s="156" t="str">
        <f t="shared" si="267"/>
        <v/>
      </c>
      <c r="BV86" s="156" t="str">
        <f t="shared" si="268"/>
        <v/>
      </c>
      <c r="BW86" s="191" t="str">
        <f t="shared" si="269"/>
        <v/>
      </c>
      <c r="BX86" s="152">
        <f t="shared" si="270"/>
        <v>0</v>
      </c>
      <c r="BY86" s="153">
        <f t="shared" si="271"/>
        <v>0</v>
      </c>
      <c r="BZ86" s="153" t="str">
        <f t="shared" si="272"/>
        <v/>
      </c>
      <c r="CA86" s="153" t="str">
        <f t="shared" si="273"/>
        <v/>
      </c>
      <c r="CB86" s="153" t="str">
        <f t="shared" si="274"/>
        <v/>
      </c>
      <c r="CC86" s="152" t="str">
        <f t="shared" si="275"/>
        <v/>
      </c>
      <c r="CD86" s="153" t="str">
        <f t="shared" si="276"/>
        <v/>
      </c>
      <c r="CE86" s="152" t="str">
        <f t="shared" si="277"/>
        <v/>
      </c>
      <c r="CF86" s="580" t="str">
        <f>IF('Marks Entry'!AK86="","",'Marks Entry'!AK86)</f>
        <v/>
      </c>
      <c r="CG86" s="580" t="str">
        <f>IF('Marks Entry'!AL86="","",'Marks Entry'!AL86)</f>
        <v/>
      </c>
      <c r="CH86" s="580" t="str">
        <f>IF('Marks Entry'!AM86="","",'Marks Entry'!AM86)</f>
        <v/>
      </c>
      <c r="CI86" s="580" t="str">
        <f>IF('Marks Entry'!AN86="","",'Marks Entry'!AN86)</f>
        <v/>
      </c>
      <c r="CJ86" s="581" t="str">
        <f t="shared" si="278"/>
        <v/>
      </c>
      <c r="CK86" s="580" t="str">
        <f>IF('Marks Entry'!AO86="","",'Marks Entry'!AO86)</f>
        <v/>
      </c>
      <c r="CL86" s="580" t="str">
        <f>IF('Marks Entry'!AP86="","",'Marks Entry'!AP86)</f>
        <v/>
      </c>
      <c r="CM86" s="581" t="str">
        <f t="shared" si="279"/>
        <v/>
      </c>
      <c r="CN86" s="581" t="str">
        <f t="shared" si="280"/>
        <v/>
      </c>
      <c r="CO86" s="580" t="str">
        <f>IF('Marks Entry'!AQ86="","",'Marks Entry'!AQ86)</f>
        <v/>
      </c>
      <c r="CP86" s="580" t="str">
        <f>IF('Marks Entry'!AR86="","",'Marks Entry'!AR86)</f>
        <v/>
      </c>
      <c r="CQ86" s="581" t="str">
        <f t="shared" si="281"/>
        <v/>
      </c>
      <c r="CR86" s="156" t="str">
        <f t="shared" si="282"/>
        <v/>
      </c>
      <c r="CS86" s="156" t="str">
        <f t="shared" si="283"/>
        <v/>
      </c>
      <c r="CT86" s="191" t="str">
        <f t="shared" si="284"/>
        <v/>
      </c>
      <c r="CU86" s="152">
        <f t="shared" si="285"/>
        <v>0</v>
      </c>
      <c r="CV86" s="153">
        <f t="shared" si="286"/>
        <v>0</v>
      </c>
      <c r="CW86" s="153" t="str">
        <f t="shared" si="287"/>
        <v/>
      </c>
      <c r="CX86" s="153" t="str">
        <f t="shared" si="288"/>
        <v/>
      </c>
      <c r="CY86" s="153" t="str">
        <f t="shared" si="289"/>
        <v/>
      </c>
      <c r="CZ86" s="152" t="str">
        <f t="shared" si="290"/>
        <v/>
      </c>
      <c r="DA86" s="153" t="str">
        <f t="shared" si="291"/>
        <v/>
      </c>
      <c r="DB86" s="152" t="str">
        <f t="shared" si="292"/>
        <v/>
      </c>
      <c r="DC86" s="153">
        <f t="shared" si="293"/>
        <v>0</v>
      </c>
      <c r="DD86" s="851" t="str">
        <f>IF('Marks Entry'!AS86="","",IF(OR('Master Sheet'!$D$19="YES",'Marks Entry'!$BA$1=1),'Marks Entry'!AS86,""))</f>
        <v/>
      </c>
      <c r="DE86" s="851" t="str">
        <f>IF('Marks Entry'!AT86="","",IF(OR('Master Sheet'!$D$19="YES",'Marks Entry'!$BA$1=1),'Marks Entry'!AT86,""))</f>
        <v/>
      </c>
      <c r="DF86" s="851" t="str">
        <f>IF('Marks Entry'!AU86="","",IF(OR('Master Sheet'!$D$19="YES",'Marks Entry'!$BA$1=1),'Marks Entry'!AU86,""))</f>
        <v/>
      </c>
      <c r="DG86" s="851" t="str">
        <f>IF('Marks Entry'!AV86="","",IF(OR('Master Sheet'!$D$19="YES",'Marks Entry'!$BA$1=1),'Marks Entry'!AV86,""))</f>
        <v/>
      </c>
      <c r="DH86" s="852" t="str">
        <f t="shared" si="294"/>
        <v/>
      </c>
      <c r="DI86" s="851" t="str">
        <f>IF('Marks Entry'!AW86="","",IF(OR('Master Sheet'!$D$19="YES",'Marks Entry'!$BA$1=1),'Marks Entry'!AW86,""))</f>
        <v/>
      </c>
      <c r="DJ86" s="851" t="str">
        <f>IF('Marks Entry'!AX86="","",IF(OR('Master Sheet'!$D$19="YES",'Marks Entry'!$BA$1=1),'Marks Entry'!AX86,""))</f>
        <v/>
      </c>
      <c r="DK86" s="852" t="str">
        <f t="shared" si="295"/>
        <v/>
      </c>
      <c r="DL86" s="852" t="str">
        <f t="shared" si="296"/>
        <v/>
      </c>
      <c r="DM86" s="851" t="str">
        <f>IF('Marks Entry'!AY86="","",IF(OR('Master Sheet'!$D$19="YES",'Marks Entry'!$BA$1=1),'Marks Entry'!AY86,""))</f>
        <v/>
      </c>
      <c r="DN86" s="851" t="str">
        <f>IF('Marks Entry'!AZ86="","",IF(OR('Master Sheet'!$D$19="YES",'Marks Entry'!$BA$1=1),'Marks Entry'!AZ86,""))</f>
        <v/>
      </c>
      <c r="DO86" s="851" t="str">
        <f>IF('Marks Entry'!BA86="","",IF(OR('Master Sheet'!$D$19="YES",'Marks Entry'!$BA$1=1),'Marks Entry'!BA86,""))</f>
        <v/>
      </c>
      <c r="DP86" s="852" t="str">
        <f t="shared" si="297"/>
        <v/>
      </c>
      <c r="DQ86" s="156" t="str">
        <f t="shared" si="298"/>
        <v/>
      </c>
      <c r="DR86" s="156" t="str">
        <f t="shared" si="299"/>
        <v/>
      </c>
      <c r="DS86" s="156" t="str">
        <f t="shared" si="300"/>
        <v/>
      </c>
      <c r="DT86" s="191" t="str">
        <f t="shared" si="301"/>
        <v/>
      </c>
      <c r="DU86" s="152">
        <f t="shared" si="302"/>
        <v>0</v>
      </c>
      <c r="DV86" s="153">
        <f t="shared" si="303"/>
        <v>0</v>
      </c>
      <c r="DW86" s="153" t="str">
        <f t="shared" si="304"/>
        <v/>
      </c>
      <c r="DX86" s="153" t="str">
        <f>IF(OR($B86="NSO",$B86=0,DS86=""),"",IF(AND(DJ86="",DO86=""),"",IF('Master Sheet'!$D$19="YES",$DO$6-COUNTIF(DO86,"ML")*DO$6,DS$6-(COUNTIF(DJ86,"ML")*DJ$6)-(COUNTIF(DO86,"ML")*DO$6))))</f>
        <v/>
      </c>
      <c r="DY86" s="153" t="str">
        <f>IF(OR($B86="NSO",$B86=0),"",IF(AND(DH86="",DI86="",DM86=""),"",IF(AND('Master Sheet'!$D$19="YES",'Marks Entry'!$BA$1=1),100,IF(AND(DJ86="",DO86=""),SUM(($DQ$7+$DR$7)-(DU86+DV86)),SUM(($DQ$6+$DR$6)-(DU86+DV86))))))</f>
        <v/>
      </c>
      <c r="DZ86" s="152" t="str">
        <f t="shared" si="305"/>
        <v/>
      </c>
      <c r="EA86" s="153" t="str">
        <f t="shared" si="306"/>
        <v/>
      </c>
      <c r="EB86" s="152" t="str">
        <f t="shared" si="307"/>
        <v/>
      </c>
      <c r="EC86" s="584" t="str">
        <f>IF('Marks Entry'!BB86="","",'Marks Entry'!BB86)</f>
        <v/>
      </c>
      <c r="ED86" s="584" t="str">
        <f>IF('Marks Entry'!BC86="","",'Marks Entry'!BC86)</f>
        <v/>
      </c>
      <c r="EE86" s="584" t="str">
        <f>IF('Marks Entry'!BD86="","",'Marks Entry'!BD86)</f>
        <v/>
      </c>
      <c r="EF86" s="590" t="str">
        <f t="shared" si="308"/>
        <v/>
      </c>
      <c r="EG86" s="595">
        <f t="shared" si="309"/>
        <v>0</v>
      </c>
      <c r="EH86" s="595">
        <f t="shared" si="310"/>
        <v>0</v>
      </c>
      <c r="EI86" s="192" t="str">
        <f t="shared" si="311"/>
        <v/>
      </c>
      <c r="EJ86" s="595" t="str">
        <f t="shared" si="312"/>
        <v/>
      </c>
      <c r="EK86" s="595" t="str">
        <f t="shared" si="313"/>
        <v/>
      </c>
      <c r="EL86" s="193" t="str">
        <f t="shared" si="314"/>
        <v/>
      </c>
      <c r="EM86" s="193" t="str">
        <f t="shared" si="315"/>
        <v/>
      </c>
      <c r="EN86" s="193" t="str">
        <f t="shared" si="316"/>
        <v/>
      </c>
      <c r="EO86" s="193" t="str">
        <f t="shared" si="317"/>
        <v/>
      </c>
      <c r="EP86" s="193" t="str">
        <f t="shared" si="318"/>
        <v/>
      </c>
      <c r="EQ86" s="193" t="str">
        <f t="shared" si="319"/>
        <v/>
      </c>
      <c r="ER86" s="194">
        <f t="shared" si="320"/>
        <v>0</v>
      </c>
      <c r="ES86" s="194">
        <f t="shared" si="321"/>
        <v>0</v>
      </c>
      <c r="ET86" s="194">
        <f t="shared" si="322"/>
        <v>0</v>
      </c>
      <c r="EU86" s="194">
        <f t="shared" si="323"/>
        <v>0</v>
      </c>
      <c r="EV86" s="194">
        <f t="shared" si="324"/>
        <v>0</v>
      </c>
      <c r="EW86" s="194" t="str">
        <f t="shared" si="325"/>
        <v/>
      </c>
      <c r="EX86" s="195" t="str">
        <f t="shared" si="326"/>
        <v/>
      </c>
      <c r="EY86" s="196" t="str">
        <f>IF('Marks Entry'!BE86="","",'Marks Entry'!BE86)</f>
        <v/>
      </c>
      <c r="EZ86" s="196" t="str">
        <f>IF('Marks Entry'!BF86="","",'Marks Entry'!BF86)</f>
        <v/>
      </c>
      <c r="FA86" s="196" t="str">
        <f>IF('Marks Entry'!BG86="","",'Marks Entry'!BG86)</f>
        <v/>
      </c>
      <c r="FB86" s="596" t="str">
        <f t="shared" si="327"/>
        <v/>
      </c>
      <c r="FC86" s="196" t="str">
        <f>IF('Marks Entry'!BH86="","",'Marks Entry'!BH86)</f>
        <v/>
      </c>
      <c r="FD86" s="196" t="str">
        <f>IF('Marks Entry'!BI86="","",'Marks Entry'!BI86)</f>
        <v/>
      </c>
      <c r="FE86" s="197" t="str">
        <f t="shared" si="328"/>
        <v/>
      </c>
      <c r="FF86" s="198" t="str">
        <f t="shared" si="329"/>
        <v/>
      </c>
      <c r="FG86" s="199" t="str">
        <f>IF(AND(E86=""),"",IF('Student DATA Entry'!L82="","",'Student DATA Entry'!L82))</f>
        <v/>
      </c>
      <c r="FH86" s="200" t="str">
        <f>IF(AND(E86=""),"",IF('Student DATA Entry'!M82="","",'Student DATA Entry'!M82))</f>
        <v/>
      </c>
      <c r="FI86" s="201" t="str">
        <f t="shared" si="330"/>
        <v/>
      </c>
      <c r="FJ86" s="188" t="str">
        <f t="shared" si="331"/>
        <v/>
      </c>
      <c r="FK86" s="188" t="str">
        <f t="shared" si="332"/>
        <v/>
      </c>
      <c r="FL86" s="202" t="str">
        <f t="shared" si="201"/>
        <v/>
      </c>
      <c r="FM86" s="188" t="str">
        <f t="shared" si="333"/>
        <v/>
      </c>
      <c r="FN86" s="203" t="str">
        <f t="shared" si="334"/>
        <v/>
      </c>
      <c r="FO86" s="202" t="str">
        <f t="shared" si="202"/>
        <v/>
      </c>
      <c r="FP86" s="204" t="str">
        <f t="shared" si="335"/>
        <v/>
      </c>
      <c r="FQ86" s="188" t="str">
        <f t="shared" si="203"/>
        <v/>
      </c>
      <c r="FR86" s="188" t="str">
        <f t="shared" si="204"/>
        <v/>
      </c>
      <c r="FS86" s="188" t="str">
        <f t="shared" si="205"/>
        <v/>
      </c>
      <c r="FT86" s="188" t="str">
        <f t="shared" si="206"/>
        <v/>
      </c>
      <c r="FU86" s="188" t="str">
        <f t="shared" si="336"/>
        <v/>
      </c>
      <c r="FV86" s="205" t="str">
        <f t="shared" si="207"/>
        <v/>
      </c>
      <c r="FW86" s="204" t="str">
        <f t="shared" si="337"/>
        <v/>
      </c>
      <c r="FX86" s="188" t="str">
        <f t="shared" si="208"/>
        <v/>
      </c>
      <c r="FY86" s="188" t="str">
        <f t="shared" si="209"/>
        <v/>
      </c>
      <c r="FZ86" s="188" t="str">
        <f t="shared" si="210"/>
        <v/>
      </c>
      <c r="GA86" s="188" t="str">
        <f t="shared" si="211"/>
        <v/>
      </c>
      <c r="GB86" s="188" t="str">
        <f t="shared" si="338"/>
        <v/>
      </c>
      <c r="GC86" s="205" t="str">
        <f t="shared" si="212"/>
        <v/>
      </c>
      <c r="GD86" s="204" t="str">
        <f t="shared" si="339"/>
        <v/>
      </c>
      <c r="GE86" s="188" t="str">
        <f t="shared" si="213"/>
        <v/>
      </c>
      <c r="GF86" s="188" t="str">
        <f t="shared" si="214"/>
        <v/>
      </c>
      <c r="GG86" s="188" t="str">
        <f t="shared" si="215"/>
        <v/>
      </c>
      <c r="GH86" s="188" t="str">
        <f t="shared" si="216"/>
        <v/>
      </c>
      <c r="GI86" s="188" t="str">
        <f t="shared" si="340"/>
        <v/>
      </c>
      <c r="GJ86" s="205" t="str">
        <f t="shared" si="217"/>
        <v/>
      </c>
      <c r="GK86" s="204" t="str">
        <f t="shared" si="341"/>
        <v/>
      </c>
      <c r="GL86" s="188" t="str">
        <f t="shared" si="218"/>
        <v/>
      </c>
      <c r="GM86" s="188" t="str">
        <f t="shared" si="219"/>
        <v/>
      </c>
      <c r="GN86" s="188" t="str">
        <f t="shared" si="220"/>
        <v/>
      </c>
      <c r="GO86" s="188" t="str">
        <f t="shared" si="221"/>
        <v/>
      </c>
      <c r="GP86" s="188" t="str">
        <f t="shared" si="342"/>
        <v/>
      </c>
      <c r="GQ86" s="205" t="str">
        <f t="shared" si="222"/>
        <v/>
      </c>
      <c r="GR86" s="188" t="str">
        <f t="shared" si="343"/>
        <v/>
      </c>
      <c r="GS86" s="188" t="str">
        <f t="shared" si="344"/>
        <v/>
      </c>
      <c r="GT86" s="206" t="str">
        <f t="shared" si="345"/>
        <v xml:space="preserve">    </v>
      </c>
      <c r="GU86" s="206" t="str">
        <f t="shared" si="346"/>
        <v xml:space="preserve">    </v>
      </c>
      <c r="GV86" s="206" t="str">
        <f t="shared" si="347"/>
        <v xml:space="preserve">    </v>
      </c>
      <c r="GW86" s="206" t="str">
        <f t="shared" si="348"/>
        <v xml:space="preserve">       </v>
      </c>
      <c r="GX86" s="598" t="str">
        <f t="shared" si="349"/>
        <v xml:space="preserve">     </v>
      </c>
      <c r="GY86" s="207" t="str">
        <f t="shared" si="223"/>
        <v/>
      </c>
      <c r="GZ86" s="606" t="str">
        <f>IF(AND(Q86="",AE86="",AZ86="",BW86="",CT86=""),"",IF(AND('Master Sheet'!$D$19="YES",'Marks Entry'!$BA$1=1),SUM(Q86,AE86,AZ86,BW86,DT86),SUM(Q86,AE86,AZ86,BW86,CT86)))</f>
        <v/>
      </c>
      <c r="HA86" s="208" t="str">
        <f>IF(GZ86="","",IF(AND('Master Sheet'!$D$19="YES",'Marks Entry'!$BA$1=1),GZ86/((900)-DC86)*100,GZ86/((1000)-DC86)*100))</f>
        <v/>
      </c>
      <c r="HB86" s="611" t="str">
        <f t="shared" si="350"/>
        <v/>
      </c>
      <c r="HC86" s="609" t="str">
        <f t="shared" si="351"/>
        <v/>
      </c>
      <c r="HD86" s="610" t="str">
        <f t="shared" si="352"/>
        <v/>
      </c>
      <c r="HE86" s="209" t="str">
        <f>IFERROR(IF(OR(GY86="SUPPLEMENTARY",GY86="RE-EXAM"),'Supp. Result Entry'!AS85,""),"")</f>
        <v/>
      </c>
      <c r="HF86" s="613" t="str">
        <f t="shared" si="353"/>
        <v/>
      </c>
      <c r="HG86" s="598" t="str">
        <f t="shared" si="354"/>
        <v/>
      </c>
      <c r="HH86" s="598" t="str">
        <f>IF(AND(HE86="",HF86="",HG86=""),"",IF(OR(GY86="SUPPLEMENTARY",GY86="RE-EXAM"),'Supp. Result Entry'!AS85,GY86))</f>
        <v/>
      </c>
      <c r="HI86" s="179"/>
      <c r="HY86" s="211" t="str">
        <f>IF('Supp. Result Entry'!U85="","",'Supp. Result Entry'!$U$6)</f>
        <v/>
      </c>
      <c r="HZ86" s="212" t="str">
        <f>IF('Supp. Result Entry'!X85="","",'Supp. Result Entry'!$X$6)</f>
        <v/>
      </c>
      <c r="IA86" s="212" t="str">
        <f>IF('Supp. Result Entry'!AA85="","",'Supp. Result Entry'!$AA$6)</f>
        <v/>
      </c>
      <c r="IB86" s="212" t="str">
        <f>IF('Supp. Result Entry'!AD85="","",'Supp. Result Entry'!$AD$6)</f>
        <v/>
      </c>
      <c r="IC86" s="212" t="str">
        <f>IF('Supp. Result Entry'!AG85="","",'Supp. Result Entry'!$AG$6)</f>
        <v/>
      </c>
      <c r="ID86" s="212" t="str">
        <f>IF('Supp. Result Entry'!AJ85="","",'Supp. Result Entry'!$AJ$6)</f>
        <v/>
      </c>
      <c r="IE86" s="212" t="str">
        <f>IF('Supp. Result Entry'!V85="","",'Supp. Result Entry'!V85)</f>
        <v/>
      </c>
      <c r="IF86" s="212" t="str">
        <f>IF('Supp. Result Entry'!Y85="","",'Supp. Result Entry'!Y85)</f>
        <v/>
      </c>
      <c r="IG86" s="212" t="str">
        <f>IF('Supp. Result Entry'!AB85="","",'Supp. Result Entry'!AB85)</f>
        <v/>
      </c>
      <c r="IH86" s="212" t="str">
        <f>IF('Supp. Result Entry'!AE85="","",'Supp. Result Entry'!AE85)</f>
        <v/>
      </c>
      <c r="II86" s="212" t="str">
        <f>IF('Supp. Result Entry'!AH85="","",'Supp. Result Entry'!AH85)</f>
        <v/>
      </c>
      <c r="IJ86" s="212" t="str">
        <f>IF('Supp. Result Entry'!AK85="","",'Supp. Result Entry'!AK85)</f>
        <v/>
      </c>
      <c r="IK86" s="212" t="str">
        <f>IF('Supp. Result Entry'!W85="","",'Supp. Result Entry'!W85)</f>
        <v/>
      </c>
      <c r="IL86" s="212" t="str">
        <f>IF('Supp. Result Entry'!Z85="","",'Supp. Result Entry'!Z85)</f>
        <v/>
      </c>
      <c r="IM86" s="212" t="str">
        <f>IF('Supp. Result Entry'!AC85="","",'Supp. Result Entry'!AC85)</f>
        <v/>
      </c>
      <c r="IN86" s="212" t="str">
        <f>IF('Supp. Result Entry'!AF85="","",'Supp. Result Entry'!AF85)</f>
        <v/>
      </c>
      <c r="IO86" s="212" t="str">
        <f>IF('Supp. Result Entry'!AI85="","",'Supp. Result Entry'!AI85)</f>
        <v/>
      </c>
      <c r="IP86" s="212" t="str">
        <f>IF('Supp. Result Entry'!AL85="","",'Supp. Result Entry'!AL85)</f>
        <v/>
      </c>
      <c r="IQ86" s="212">
        <f>COUNTIF('Supp. Result Entry'!K85:Q85,"S")</f>
        <v>0</v>
      </c>
      <c r="IR86" s="212">
        <f t="shared" si="355"/>
        <v>0</v>
      </c>
      <c r="IS86" s="212">
        <f t="shared" si="356"/>
        <v>0</v>
      </c>
      <c r="IT86" s="212" t="str">
        <f t="shared" si="224"/>
        <v/>
      </c>
      <c r="IU86" s="212" t="str">
        <f t="shared" si="225"/>
        <v/>
      </c>
      <c r="IV86" s="212" t="str">
        <f t="shared" si="226"/>
        <v/>
      </c>
      <c r="IW86" s="212" t="str">
        <f t="shared" si="227"/>
        <v/>
      </c>
      <c r="IX86" s="212" t="str">
        <f t="shared" si="228"/>
        <v/>
      </c>
      <c r="IY86" s="212" t="str">
        <f t="shared" si="357"/>
        <v/>
      </c>
      <c r="IZ86" s="212" t="str">
        <f t="shared" si="358"/>
        <v/>
      </c>
      <c r="JA86" s="212" t="str">
        <f t="shared" si="229"/>
        <v/>
      </c>
      <c r="JB86" s="210" t="str">
        <f t="shared" si="359"/>
        <v/>
      </c>
    </row>
    <row r="87" spans="1:262" s="210" customFormat="1" ht="21" customHeight="1">
      <c r="A87" s="183">
        <v>80</v>
      </c>
      <c r="B87" s="184" t="str">
        <f>IF('Marks Entry'!B87="","",'Marks Entry'!B87)</f>
        <v/>
      </c>
      <c r="C87" s="185" t="str">
        <f>IF('Marks Entry'!D87="","",'Marks Entry'!D87)</f>
        <v/>
      </c>
      <c r="D87" s="186" t="str">
        <f>IF('Marks Entry'!E87="","",'Marks Entry'!E87)</f>
        <v/>
      </c>
      <c r="E87" s="187" t="str">
        <f>IF('Marks Entry'!F87="","",'Marks Entry'!F87)</f>
        <v/>
      </c>
      <c r="F87" s="187" t="str">
        <f>IF('Marks Entry'!G87="","",'Marks Entry'!G87)</f>
        <v/>
      </c>
      <c r="G87" s="187" t="str">
        <f>IF('Marks Entry'!H87="","",'Marks Entry'!H87)</f>
        <v/>
      </c>
      <c r="H87" s="188" t="str">
        <f>IF('Marks Entry'!I87="","",'Marks Entry'!I87)</f>
        <v/>
      </c>
      <c r="I87" s="189" t="str">
        <f>IF('Marks Entry'!J87="","",'Marks Entry'!J87)</f>
        <v/>
      </c>
      <c r="J87" s="545" t="str">
        <f>IF('Marks Entry'!K87="","",'Marks Entry'!K87)</f>
        <v/>
      </c>
      <c r="K87" s="545" t="str">
        <f>IF('Marks Entry'!L87="","",'Marks Entry'!L87)</f>
        <v/>
      </c>
      <c r="L87" s="545" t="str">
        <f>IF('Marks Entry'!M87="","",'Marks Entry'!M87)</f>
        <v/>
      </c>
      <c r="M87" s="546" t="str">
        <f t="shared" si="230"/>
        <v/>
      </c>
      <c r="N87" s="545" t="str">
        <f>IF('Marks Entry'!N87="","",'Marks Entry'!N87)</f>
        <v/>
      </c>
      <c r="O87" s="546" t="str">
        <f t="shared" si="231"/>
        <v/>
      </c>
      <c r="P87" s="545" t="str">
        <f>IF('Marks Entry'!O87="","",'Marks Entry'!O87)</f>
        <v/>
      </c>
      <c r="Q87" s="547" t="str">
        <f t="shared" si="232"/>
        <v/>
      </c>
      <c r="R87" s="152">
        <f t="shared" si="233"/>
        <v>0</v>
      </c>
      <c r="S87" s="152">
        <f t="shared" si="234"/>
        <v>0</v>
      </c>
      <c r="T87" s="153" t="str">
        <f t="shared" si="235"/>
        <v/>
      </c>
      <c r="U87" s="152" t="str">
        <f t="shared" si="236"/>
        <v/>
      </c>
      <c r="V87" s="152" t="str">
        <f t="shared" si="237"/>
        <v/>
      </c>
      <c r="W87" s="152" t="str">
        <f t="shared" si="238"/>
        <v/>
      </c>
      <c r="X87" s="545" t="str">
        <f>IF('Marks Entry'!P87="","",'Marks Entry'!P87)</f>
        <v/>
      </c>
      <c r="Y87" s="545" t="str">
        <f>IF('Marks Entry'!Q87="","",'Marks Entry'!Q87)</f>
        <v/>
      </c>
      <c r="Z87" s="545" t="str">
        <f>IF('Marks Entry'!R87="","",'Marks Entry'!R87)</f>
        <v/>
      </c>
      <c r="AA87" s="546" t="str">
        <f t="shared" si="239"/>
        <v/>
      </c>
      <c r="AB87" s="545" t="str">
        <f>IF('Marks Entry'!S87="","",'Marks Entry'!S87)</f>
        <v/>
      </c>
      <c r="AC87" s="546" t="str">
        <f t="shared" si="240"/>
        <v/>
      </c>
      <c r="AD87" s="545" t="str">
        <f>IF('Marks Entry'!T87="","",'Marks Entry'!T87)</f>
        <v/>
      </c>
      <c r="AE87" s="547" t="str">
        <f t="shared" si="241"/>
        <v/>
      </c>
      <c r="AF87" s="152">
        <f t="shared" si="242"/>
        <v>0</v>
      </c>
      <c r="AG87" s="152">
        <f t="shared" si="243"/>
        <v>0</v>
      </c>
      <c r="AH87" s="153" t="str">
        <f t="shared" si="244"/>
        <v/>
      </c>
      <c r="AI87" s="152" t="str">
        <f t="shared" si="245"/>
        <v/>
      </c>
      <c r="AJ87" s="152" t="str">
        <f t="shared" si="246"/>
        <v/>
      </c>
      <c r="AK87" s="152" t="str">
        <f t="shared" si="247"/>
        <v/>
      </c>
      <c r="AL87" s="573" t="str">
        <f>IF('Marks Entry'!U87="","",'Marks Entry'!U87)</f>
        <v/>
      </c>
      <c r="AM87" s="573" t="str">
        <f>IF('Marks Entry'!V87="","",'Marks Entry'!V87)</f>
        <v/>
      </c>
      <c r="AN87" s="573" t="str">
        <f>IF('Marks Entry'!W87="","",'Marks Entry'!W87)</f>
        <v/>
      </c>
      <c r="AO87" s="573" t="str">
        <f>IF('Marks Entry'!X87="","",'Marks Entry'!X87)</f>
        <v/>
      </c>
      <c r="AP87" s="572" t="str">
        <f t="shared" si="248"/>
        <v/>
      </c>
      <c r="AQ87" s="573" t="str">
        <f>IF('Marks Entry'!Y87="","",'Marks Entry'!Y87)</f>
        <v/>
      </c>
      <c r="AR87" s="573" t="str">
        <f>IF('Marks Entry'!Z87="","",'Marks Entry'!Z87)</f>
        <v/>
      </c>
      <c r="AS87" s="572" t="str">
        <f t="shared" si="249"/>
        <v/>
      </c>
      <c r="AT87" s="572" t="str">
        <f t="shared" si="250"/>
        <v/>
      </c>
      <c r="AU87" s="573" t="str">
        <f>IF('Marks Entry'!AA87="","",'Marks Entry'!AA87)</f>
        <v/>
      </c>
      <c r="AV87" s="573" t="str">
        <f>IF('Marks Entry'!AB87="","",'Marks Entry'!AB87)</f>
        <v/>
      </c>
      <c r="AW87" s="572" t="str">
        <f t="shared" si="251"/>
        <v/>
      </c>
      <c r="AX87" s="156" t="str">
        <f t="shared" si="252"/>
        <v/>
      </c>
      <c r="AY87" s="156" t="str">
        <f t="shared" si="253"/>
        <v/>
      </c>
      <c r="AZ87" s="191" t="str">
        <f t="shared" si="254"/>
        <v/>
      </c>
      <c r="BA87" s="152">
        <f t="shared" si="255"/>
        <v>0</v>
      </c>
      <c r="BB87" s="153">
        <f t="shared" si="256"/>
        <v>0</v>
      </c>
      <c r="BC87" s="153" t="str">
        <f t="shared" si="257"/>
        <v/>
      </c>
      <c r="BD87" s="153" t="str">
        <f t="shared" si="258"/>
        <v/>
      </c>
      <c r="BE87" s="153" t="str">
        <f t="shared" si="259"/>
        <v/>
      </c>
      <c r="BF87" s="152" t="str">
        <f t="shared" si="260"/>
        <v/>
      </c>
      <c r="BG87" s="153" t="str">
        <f t="shared" si="261"/>
        <v/>
      </c>
      <c r="BH87" s="152" t="str">
        <f t="shared" si="262"/>
        <v/>
      </c>
      <c r="BI87" s="580" t="str">
        <f>IF('Marks Entry'!AC87="","",'Marks Entry'!AC87)</f>
        <v/>
      </c>
      <c r="BJ87" s="580" t="str">
        <f>IF('Marks Entry'!AD87="","",'Marks Entry'!AD87)</f>
        <v/>
      </c>
      <c r="BK87" s="580" t="str">
        <f>IF('Marks Entry'!AE87="","",'Marks Entry'!AE87)</f>
        <v/>
      </c>
      <c r="BL87" s="580" t="str">
        <f>IF('Marks Entry'!AF87="","",'Marks Entry'!AF87)</f>
        <v/>
      </c>
      <c r="BM87" s="581" t="str">
        <f t="shared" si="263"/>
        <v/>
      </c>
      <c r="BN87" s="580" t="str">
        <f>IF('Marks Entry'!AG87="","",'Marks Entry'!AG87)</f>
        <v/>
      </c>
      <c r="BO87" s="580" t="str">
        <f>IF('Marks Entry'!AH87="","",'Marks Entry'!AH87)</f>
        <v/>
      </c>
      <c r="BP87" s="581" t="str">
        <f t="shared" si="264"/>
        <v/>
      </c>
      <c r="BQ87" s="581" t="str">
        <f t="shared" si="265"/>
        <v/>
      </c>
      <c r="BR87" s="580" t="str">
        <f>IF('Marks Entry'!AI87="","",'Marks Entry'!AI87)</f>
        <v/>
      </c>
      <c r="BS87" s="580" t="str">
        <f>IF('Marks Entry'!AJ87="","",'Marks Entry'!AJ87)</f>
        <v/>
      </c>
      <c r="BT87" s="581" t="str">
        <f t="shared" si="266"/>
        <v/>
      </c>
      <c r="BU87" s="156" t="str">
        <f t="shared" si="267"/>
        <v/>
      </c>
      <c r="BV87" s="156" t="str">
        <f t="shared" si="268"/>
        <v/>
      </c>
      <c r="BW87" s="191" t="str">
        <f t="shared" si="269"/>
        <v/>
      </c>
      <c r="BX87" s="152">
        <f t="shared" si="270"/>
        <v>0</v>
      </c>
      <c r="BY87" s="153">
        <f t="shared" si="271"/>
        <v>0</v>
      </c>
      <c r="BZ87" s="153" t="str">
        <f t="shared" si="272"/>
        <v/>
      </c>
      <c r="CA87" s="153" t="str">
        <f t="shared" si="273"/>
        <v/>
      </c>
      <c r="CB87" s="153" t="str">
        <f t="shared" si="274"/>
        <v/>
      </c>
      <c r="CC87" s="152" t="str">
        <f t="shared" si="275"/>
        <v/>
      </c>
      <c r="CD87" s="153" t="str">
        <f t="shared" si="276"/>
        <v/>
      </c>
      <c r="CE87" s="152" t="str">
        <f t="shared" si="277"/>
        <v/>
      </c>
      <c r="CF87" s="580" t="str">
        <f>IF('Marks Entry'!AK87="","",'Marks Entry'!AK87)</f>
        <v/>
      </c>
      <c r="CG87" s="580" t="str">
        <f>IF('Marks Entry'!AL87="","",'Marks Entry'!AL87)</f>
        <v/>
      </c>
      <c r="CH87" s="580" t="str">
        <f>IF('Marks Entry'!AM87="","",'Marks Entry'!AM87)</f>
        <v/>
      </c>
      <c r="CI87" s="580" t="str">
        <f>IF('Marks Entry'!AN87="","",'Marks Entry'!AN87)</f>
        <v/>
      </c>
      <c r="CJ87" s="581" t="str">
        <f t="shared" si="278"/>
        <v/>
      </c>
      <c r="CK87" s="580" t="str">
        <f>IF('Marks Entry'!AO87="","",'Marks Entry'!AO87)</f>
        <v/>
      </c>
      <c r="CL87" s="580" t="str">
        <f>IF('Marks Entry'!AP87="","",'Marks Entry'!AP87)</f>
        <v/>
      </c>
      <c r="CM87" s="581" t="str">
        <f t="shared" si="279"/>
        <v/>
      </c>
      <c r="CN87" s="581" t="str">
        <f t="shared" si="280"/>
        <v/>
      </c>
      <c r="CO87" s="580" t="str">
        <f>IF('Marks Entry'!AQ87="","",'Marks Entry'!AQ87)</f>
        <v/>
      </c>
      <c r="CP87" s="580" t="str">
        <f>IF('Marks Entry'!AR87="","",'Marks Entry'!AR87)</f>
        <v/>
      </c>
      <c r="CQ87" s="581" t="str">
        <f t="shared" si="281"/>
        <v/>
      </c>
      <c r="CR87" s="156" t="str">
        <f t="shared" si="282"/>
        <v/>
      </c>
      <c r="CS87" s="156" t="str">
        <f t="shared" si="283"/>
        <v/>
      </c>
      <c r="CT87" s="191" t="str">
        <f t="shared" si="284"/>
        <v/>
      </c>
      <c r="CU87" s="152">
        <f t="shared" si="285"/>
        <v>0</v>
      </c>
      <c r="CV87" s="153">
        <f t="shared" si="286"/>
        <v>0</v>
      </c>
      <c r="CW87" s="153" t="str">
        <f t="shared" si="287"/>
        <v/>
      </c>
      <c r="CX87" s="153" t="str">
        <f t="shared" si="288"/>
        <v/>
      </c>
      <c r="CY87" s="153" t="str">
        <f t="shared" si="289"/>
        <v/>
      </c>
      <c r="CZ87" s="152" t="str">
        <f t="shared" si="290"/>
        <v/>
      </c>
      <c r="DA87" s="153" t="str">
        <f t="shared" si="291"/>
        <v/>
      </c>
      <c r="DB87" s="152" t="str">
        <f t="shared" si="292"/>
        <v/>
      </c>
      <c r="DC87" s="153">
        <f t="shared" si="293"/>
        <v>0</v>
      </c>
      <c r="DD87" s="851" t="str">
        <f>IF('Marks Entry'!AS87="","",IF(OR('Master Sheet'!$D$19="YES",'Marks Entry'!$BA$1=1),'Marks Entry'!AS87,""))</f>
        <v/>
      </c>
      <c r="DE87" s="851" t="str">
        <f>IF('Marks Entry'!AT87="","",IF(OR('Master Sheet'!$D$19="YES",'Marks Entry'!$BA$1=1),'Marks Entry'!AT87,""))</f>
        <v/>
      </c>
      <c r="DF87" s="851" t="str">
        <f>IF('Marks Entry'!AU87="","",IF(OR('Master Sheet'!$D$19="YES",'Marks Entry'!$BA$1=1),'Marks Entry'!AU87,""))</f>
        <v/>
      </c>
      <c r="DG87" s="851" t="str">
        <f>IF('Marks Entry'!AV87="","",IF(OR('Master Sheet'!$D$19="YES",'Marks Entry'!$BA$1=1),'Marks Entry'!AV87,""))</f>
        <v/>
      </c>
      <c r="DH87" s="852" t="str">
        <f t="shared" si="294"/>
        <v/>
      </c>
      <c r="DI87" s="851" t="str">
        <f>IF('Marks Entry'!AW87="","",IF(OR('Master Sheet'!$D$19="YES",'Marks Entry'!$BA$1=1),'Marks Entry'!AW87,""))</f>
        <v/>
      </c>
      <c r="DJ87" s="851" t="str">
        <f>IF('Marks Entry'!AX87="","",IF(OR('Master Sheet'!$D$19="YES",'Marks Entry'!$BA$1=1),'Marks Entry'!AX87,""))</f>
        <v/>
      </c>
      <c r="DK87" s="852" t="str">
        <f t="shared" si="295"/>
        <v/>
      </c>
      <c r="DL87" s="852" t="str">
        <f t="shared" si="296"/>
        <v/>
      </c>
      <c r="DM87" s="851" t="str">
        <f>IF('Marks Entry'!AY87="","",IF(OR('Master Sheet'!$D$19="YES",'Marks Entry'!$BA$1=1),'Marks Entry'!AY87,""))</f>
        <v/>
      </c>
      <c r="DN87" s="851" t="str">
        <f>IF('Marks Entry'!AZ87="","",IF(OR('Master Sheet'!$D$19="YES",'Marks Entry'!$BA$1=1),'Marks Entry'!AZ87,""))</f>
        <v/>
      </c>
      <c r="DO87" s="851" t="str">
        <f>IF('Marks Entry'!BA87="","",IF(OR('Master Sheet'!$D$19="YES",'Marks Entry'!$BA$1=1),'Marks Entry'!BA87,""))</f>
        <v/>
      </c>
      <c r="DP87" s="852" t="str">
        <f t="shared" si="297"/>
        <v/>
      </c>
      <c r="DQ87" s="156" t="str">
        <f t="shared" si="298"/>
        <v/>
      </c>
      <c r="DR87" s="156" t="str">
        <f t="shared" si="299"/>
        <v/>
      </c>
      <c r="DS87" s="156" t="str">
        <f t="shared" si="300"/>
        <v/>
      </c>
      <c r="DT87" s="191" t="str">
        <f t="shared" si="301"/>
        <v/>
      </c>
      <c r="DU87" s="152">
        <f t="shared" si="302"/>
        <v>0</v>
      </c>
      <c r="DV87" s="153">
        <f t="shared" si="303"/>
        <v>0</v>
      </c>
      <c r="DW87" s="153" t="str">
        <f t="shared" si="304"/>
        <v/>
      </c>
      <c r="DX87" s="153" t="str">
        <f>IF(OR($B87="NSO",$B87=0,DS87=""),"",IF(AND(DJ87="",DO87=""),"",IF('Master Sheet'!$D$19="YES",$DO$6-COUNTIF(DO87,"ML")*DO$6,DS$6-(COUNTIF(DJ87,"ML")*DJ$6)-(COUNTIF(DO87,"ML")*DO$6))))</f>
        <v/>
      </c>
      <c r="DY87" s="153" t="str">
        <f>IF(OR($B87="NSO",$B87=0),"",IF(AND(DH87="",DI87="",DM87=""),"",IF(AND('Master Sheet'!$D$19="YES",'Marks Entry'!$BA$1=1),100,IF(AND(DJ87="",DO87=""),SUM(($DQ$7+$DR$7)-(DU87+DV87)),SUM(($DQ$6+$DR$6)-(DU87+DV87))))))</f>
        <v/>
      </c>
      <c r="DZ87" s="152" t="str">
        <f t="shared" si="305"/>
        <v/>
      </c>
      <c r="EA87" s="153" t="str">
        <f t="shared" si="306"/>
        <v/>
      </c>
      <c r="EB87" s="152" t="str">
        <f t="shared" si="307"/>
        <v/>
      </c>
      <c r="EC87" s="584" t="str">
        <f>IF('Marks Entry'!BB87="","",'Marks Entry'!BB87)</f>
        <v/>
      </c>
      <c r="ED87" s="584" t="str">
        <f>IF('Marks Entry'!BC87="","",'Marks Entry'!BC87)</f>
        <v/>
      </c>
      <c r="EE87" s="584" t="str">
        <f>IF('Marks Entry'!BD87="","",'Marks Entry'!BD87)</f>
        <v/>
      </c>
      <c r="EF87" s="590" t="str">
        <f t="shared" si="308"/>
        <v/>
      </c>
      <c r="EG87" s="595">
        <f t="shared" si="309"/>
        <v>0</v>
      </c>
      <c r="EH87" s="595">
        <f t="shared" si="310"/>
        <v>0</v>
      </c>
      <c r="EI87" s="192" t="str">
        <f t="shared" si="311"/>
        <v/>
      </c>
      <c r="EJ87" s="595" t="str">
        <f t="shared" si="312"/>
        <v/>
      </c>
      <c r="EK87" s="595" t="str">
        <f t="shared" si="313"/>
        <v/>
      </c>
      <c r="EL87" s="193" t="str">
        <f t="shared" si="314"/>
        <v/>
      </c>
      <c r="EM87" s="193" t="str">
        <f t="shared" si="315"/>
        <v/>
      </c>
      <c r="EN87" s="193" t="str">
        <f t="shared" si="316"/>
        <v/>
      </c>
      <c r="EO87" s="193" t="str">
        <f t="shared" si="317"/>
        <v/>
      </c>
      <c r="EP87" s="193" t="str">
        <f t="shared" si="318"/>
        <v/>
      </c>
      <c r="EQ87" s="193" t="str">
        <f t="shared" si="319"/>
        <v/>
      </c>
      <c r="ER87" s="194">
        <f t="shared" si="320"/>
        <v>0</v>
      </c>
      <c r="ES87" s="194">
        <f t="shared" si="321"/>
        <v>0</v>
      </c>
      <c r="ET87" s="194">
        <f t="shared" si="322"/>
        <v>0</v>
      </c>
      <c r="EU87" s="194">
        <f t="shared" si="323"/>
        <v>0</v>
      </c>
      <c r="EV87" s="194">
        <f t="shared" si="324"/>
        <v>0</v>
      </c>
      <c r="EW87" s="194" t="str">
        <f t="shared" si="325"/>
        <v/>
      </c>
      <c r="EX87" s="195" t="str">
        <f t="shared" si="326"/>
        <v/>
      </c>
      <c r="EY87" s="196" t="str">
        <f>IF('Marks Entry'!BE87="","",'Marks Entry'!BE87)</f>
        <v/>
      </c>
      <c r="EZ87" s="196" t="str">
        <f>IF('Marks Entry'!BF87="","",'Marks Entry'!BF87)</f>
        <v/>
      </c>
      <c r="FA87" s="196" t="str">
        <f>IF('Marks Entry'!BG87="","",'Marks Entry'!BG87)</f>
        <v/>
      </c>
      <c r="FB87" s="596" t="str">
        <f t="shared" si="327"/>
        <v/>
      </c>
      <c r="FC87" s="196" t="str">
        <f>IF('Marks Entry'!BH87="","",'Marks Entry'!BH87)</f>
        <v/>
      </c>
      <c r="FD87" s="196" t="str">
        <f>IF('Marks Entry'!BI87="","",'Marks Entry'!BI87)</f>
        <v/>
      </c>
      <c r="FE87" s="197" t="str">
        <f t="shared" si="328"/>
        <v/>
      </c>
      <c r="FF87" s="198" t="str">
        <f t="shared" si="329"/>
        <v/>
      </c>
      <c r="FG87" s="199" t="str">
        <f>IF(AND(E87=""),"",IF('Student DATA Entry'!L83="","",'Student DATA Entry'!L83))</f>
        <v/>
      </c>
      <c r="FH87" s="200" t="str">
        <f>IF(AND(E87=""),"",IF('Student DATA Entry'!M83="","",'Student DATA Entry'!M83))</f>
        <v/>
      </c>
      <c r="FI87" s="201" t="str">
        <f t="shared" si="330"/>
        <v/>
      </c>
      <c r="FJ87" s="188" t="str">
        <f t="shared" si="331"/>
        <v/>
      </c>
      <c r="FK87" s="188" t="str">
        <f t="shared" si="332"/>
        <v/>
      </c>
      <c r="FL87" s="202" t="str">
        <f t="shared" si="201"/>
        <v/>
      </c>
      <c r="FM87" s="188" t="str">
        <f t="shared" si="333"/>
        <v/>
      </c>
      <c r="FN87" s="203" t="str">
        <f t="shared" si="334"/>
        <v/>
      </c>
      <c r="FO87" s="202" t="str">
        <f t="shared" si="202"/>
        <v/>
      </c>
      <c r="FP87" s="204" t="str">
        <f t="shared" si="335"/>
        <v/>
      </c>
      <c r="FQ87" s="188" t="str">
        <f t="shared" si="203"/>
        <v/>
      </c>
      <c r="FR87" s="188" t="str">
        <f t="shared" si="204"/>
        <v/>
      </c>
      <c r="FS87" s="188" t="str">
        <f t="shared" si="205"/>
        <v/>
      </c>
      <c r="FT87" s="188" t="str">
        <f t="shared" si="206"/>
        <v/>
      </c>
      <c r="FU87" s="188" t="str">
        <f t="shared" si="336"/>
        <v/>
      </c>
      <c r="FV87" s="205" t="str">
        <f t="shared" si="207"/>
        <v/>
      </c>
      <c r="FW87" s="204" t="str">
        <f t="shared" si="337"/>
        <v/>
      </c>
      <c r="FX87" s="188" t="str">
        <f t="shared" si="208"/>
        <v/>
      </c>
      <c r="FY87" s="188" t="str">
        <f t="shared" si="209"/>
        <v/>
      </c>
      <c r="FZ87" s="188" t="str">
        <f t="shared" si="210"/>
        <v/>
      </c>
      <c r="GA87" s="188" t="str">
        <f t="shared" si="211"/>
        <v/>
      </c>
      <c r="GB87" s="188" t="str">
        <f t="shared" si="338"/>
        <v/>
      </c>
      <c r="GC87" s="205" t="str">
        <f t="shared" si="212"/>
        <v/>
      </c>
      <c r="GD87" s="204" t="str">
        <f t="shared" si="339"/>
        <v/>
      </c>
      <c r="GE87" s="188" t="str">
        <f t="shared" si="213"/>
        <v/>
      </c>
      <c r="GF87" s="188" t="str">
        <f t="shared" si="214"/>
        <v/>
      </c>
      <c r="GG87" s="188" t="str">
        <f t="shared" si="215"/>
        <v/>
      </c>
      <c r="GH87" s="188" t="str">
        <f t="shared" si="216"/>
        <v/>
      </c>
      <c r="GI87" s="188" t="str">
        <f t="shared" si="340"/>
        <v/>
      </c>
      <c r="GJ87" s="205" t="str">
        <f t="shared" si="217"/>
        <v/>
      </c>
      <c r="GK87" s="204" t="str">
        <f t="shared" si="341"/>
        <v/>
      </c>
      <c r="GL87" s="188" t="str">
        <f t="shared" si="218"/>
        <v/>
      </c>
      <c r="GM87" s="188" t="str">
        <f t="shared" si="219"/>
        <v/>
      </c>
      <c r="GN87" s="188" t="str">
        <f t="shared" si="220"/>
        <v/>
      </c>
      <c r="GO87" s="188" t="str">
        <f t="shared" si="221"/>
        <v/>
      </c>
      <c r="GP87" s="188" t="str">
        <f t="shared" si="342"/>
        <v/>
      </c>
      <c r="GQ87" s="205" t="str">
        <f t="shared" si="222"/>
        <v/>
      </c>
      <c r="GR87" s="188" t="str">
        <f t="shared" si="343"/>
        <v/>
      </c>
      <c r="GS87" s="188" t="str">
        <f t="shared" si="344"/>
        <v/>
      </c>
      <c r="GT87" s="206" t="str">
        <f t="shared" si="345"/>
        <v xml:space="preserve">    </v>
      </c>
      <c r="GU87" s="206" t="str">
        <f t="shared" si="346"/>
        <v xml:space="preserve">    </v>
      </c>
      <c r="GV87" s="206" t="str">
        <f t="shared" si="347"/>
        <v xml:space="preserve">    </v>
      </c>
      <c r="GW87" s="206" t="str">
        <f t="shared" si="348"/>
        <v xml:space="preserve">       </v>
      </c>
      <c r="GX87" s="598" t="str">
        <f t="shared" si="349"/>
        <v xml:space="preserve">     </v>
      </c>
      <c r="GY87" s="207" t="str">
        <f t="shared" si="223"/>
        <v/>
      </c>
      <c r="GZ87" s="606" t="str">
        <f>IF(AND(Q87="",AE87="",AZ87="",BW87="",CT87=""),"",IF(AND('Master Sheet'!$D$19="YES",'Marks Entry'!$BA$1=1),SUM(Q87,AE87,AZ87,BW87,DT87),SUM(Q87,AE87,AZ87,BW87,CT87)))</f>
        <v/>
      </c>
      <c r="HA87" s="208" t="str">
        <f>IF(GZ87="","",IF(AND('Master Sheet'!$D$19="YES",'Marks Entry'!$BA$1=1),GZ87/((900)-DC87)*100,GZ87/((1000)-DC87)*100))</f>
        <v/>
      </c>
      <c r="HB87" s="611" t="str">
        <f t="shared" si="350"/>
        <v/>
      </c>
      <c r="HC87" s="609" t="str">
        <f t="shared" si="351"/>
        <v/>
      </c>
      <c r="HD87" s="610" t="str">
        <f t="shared" si="352"/>
        <v/>
      </c>
      <c r="HE87" s="209" t="str">
        <f>IFERROR(IF(OR(GY87="SUPPLEMENTARY",GY87="RE-EXAM"),'Supp. Result Entry'!AS86,""),"")</f>
        <v/>
      </c>
      <c r="HF87" s="613" t="str">
        <f t="shared" si="353"/>
        <v/>
      </c>
      <c r="HG87" s="598" t="str">
        <f t="shared" si="354"/>
        <v/>
      </c>
      <c r="HH87" s="598" t="str">
        <f>IF(AND(HE87="",HF87="",HG87=""),"",IF(OR(GY87="SUPPLEMENTARY",GY87="RE-EXAM"),'Supp. Result Entry'!AS86,GY87))</f>
        <v/>
      </c>
      <c r="HI87" s="179"/>
      <c r="HY87" s="211" t="str">
        <f>IF('Supp. Result Entry'!U86="","",'Supp. Result Entry'!$U$6)</f>
        <v/>
      </c>
      <c r="HZ87" s="212" t="str">
        <f>IF('Supp. Result Entry'!X86="","",'Supp. Result Entry'!$X$6)</f>
        <v/>
      </c>
      <c r="IA87" s="212" t="str">
        <f>IF('Supp. Result Entry'!AA86="","",'Supp. Result Entry'!$AA$6)</f>
        <v/>
      </c>
      <c r="IB87" s="212" t="str">
        <f>IF('Supp. Result Entry'!AD86="","",'Supp. Result Entry'!$AD$6)</f>
        <v/>
      </c>
      <c r="IC87" s="212" t="str">
        <f>IF('Supp. Result Entry'!AG86="","",'Supp. Result Entry'!$AG$6)</f>
        <v/>
      </c>
      <c r="ID87" s="212" t="str">
        <f>IF('Supp. Result Entry'!AJ86="","",'Supp. Result Entry'!$AJ$6)</f>
        <v/>
      </c>
      <c r="IE87" s="212" t="str">
        <f>IF('Supp. Result Entry'!V86="","",'Supp. Result Entry'!V86)</f>
        <v/>
      </c>
      <c r="IF87" s="212" t="str">
        <f>IF('Supp. Result Entry'!Y86="","",'Supp. Result Entry'!Y86)</f>
        <v/>
      </c>
      <c r="IG87" s="212" t="str">
        <f>IF('Supp. Result Entry'!AB86="","",'Supp. Result Entry'!AB86)</f>
        <v/>
      </c>
      <c r="IH87" s="212" t="str">
        <f>IF('Supp. Result Entry'!AE86="","",'Supp. Result Entry'!AE86)</f>
        <v/>
      </c>
      <c r="II87" s="212" t="str">
        <f>IF('Supp. Result Entry'!AH86="","",'Supp. Result Entry'!AH86)</f>
        <v/>
      </c>
      <c r="IJ87" s="212" t="str">
        <f>IF('Supp. Result Entry'!AK86="","",'Supp. Result Entry'!AK86)</f>
        <v/>
      </c>
      <c r="IK87" s="212" t="str">
        <f>IF('Supp. Result Entry'!W86="","",'Supp. Result Entry'!W86)</f>
        <v/>
      </c>
      <c r="IL87" s="212" t="str">
        <f>IF('Supp. Result Entry'!Z86="","",'Supp. Result Entry'!Z86)</f>
        <v/>
      </c>
      <c r="IM87" s="212" t="str">
        <f>IF('Supp. Result Entry'!AC86="","",'Supp. Result Entry'!AC86)</f>
        <v/>
      </c>
      <c r="IN87" s="212" t="str">
        <f>IF('Supp. Result Entry'!AF86="","",'Supp. Result Entry'!AF86)</f>
        <v/>
      </c>
      <c r="IO87" s="212" t="str">
        <f>IF('Supp. Result Entry'!AI86="","",'Supp. Result Entry'!AI86)</f>
        <v/>
      </c>
      <c r="IP87" s="212" t="str">
        <f>IF('Supp. Result Entry'!AL86="","",'Supp. Result Entry'!AL86)</f>
        <v/>
      </c>
      <c r="IQ87" s="212">
        <f>COUNTIF('Supp. Result Entry'!K86:Q86,"S")</f>
        <v>0</v>
      </c>
      <c r="IR87" s="212">
        <f t="shared" si="355"/>
        <v>0</v>
      </c>
      <c r="IS87" s="212">
        <f t="shared" si="356"/>
        <v>0</v>
      </c>
      <c r="IT87" s="212" t="str">
        <f t="shared" si="224"/>
        <v/>
      </c>
      <c r="IU87" s="212" t="str">
        <f t="shared" si="225"/>
        <v/>
      </c>
      <c r="IV87" s="212" t="str">
        <f t="shared" si="226"/>
        <v/>
      </c>
      <c r="IW87" s="212" t="str">
        <f t="shared" si="227"/>
        <v/>
      </c>
      <c r="IX87" s="212" t="str">
        <f t="shared" si="228"/>
        <v/>
      </c>
      <c r="IY87" s="212" t="str">
        <f t="shared" si="357"/>
        <v/>
      </c>
      <c r="IZ87" s="212" t="str">
        <f t="shared" si="358"/>
        <v/>
      </c>
      <c r="JA87" s="212" t="str">
        <f t="shared" si="229"/>
        <v/>
      </c>
      <c r="JB87" s="210" t="str">
        <f t="shared" si="359"/>
        <v/>
      </c>
    </row>
    <row r="88" spans="1:262" s="210" customFormat="1" ht="21" customHeight="1">
      <c r="A88" s="183">
        <v>81</v>
      </c>
      <c r="B88" s="184" t="str">
        <f>IF('Marks Entry'!B88="","",'Marks Entry'!B88)</f>
        <v/>
      </c>
      <c r="C88" s="185" t="str">
        <f>IF('Marks Entry'!D88="","",'Marks Entry'!D88)</f>
        <v/>
      </c>
      <c r="D88" s="186" t="str">
        <f>IF('Marks Entry'!E88="","",'Marks Entry'!E88)</f>
        <v/>
      </c>
      <c r="E88" s="187" t="str">
        <f>IF('Marks Entry'!F88="","",'Marks Entry'!F88)</f>
        <v/>
      </c>
      <c r="F88" s="187" t="str">
        <f>IF('Marks Entry'!G88="","",'Marks Entry'!G88)</f>
        <v/>
      </c>
      <c r="G88" s="187" t="str">
        <f>IF('Marks Entry'!H88="","",'Marks Entry'!H88)</f>
        <v/>
      </c>
      <c r="H88" s="188" t="str">
        <f>IF('Marks Entry'!I88="","",'Marks Entry'!I88)</f>
        <v/>
      </c>
      <c r="I88" s="189" t="str">
        <f>IF('Marks Entry'!J88="","",'Marks Entry'!J88)</f>
        <v/>
      </c>
      <c r="J88" s="545" t="str">
        <f>IF('Marks Entry'!K88="","",'Marks Entry'!K88)</f>
        <v/>
      </c>
      <c r="K88" s="545" t="str">
        <f>IF('Marks Entry'!L88="","",'Marks Entry'!L88)</f>
        <v/>
      </c>
      <c r="L88" s="545" t="str">
        <f>IF('Marks Entry'!M88="","",'Marks Entry'!M88)</f>
        <v/>
      </c>
      <c r="M88" s="546" t="str">
        <f t="shared" si="230"/>
        <v/>
      </c>
      <c r="N88" s="545" t="str">
        <f>IF('Marks Entry'!N88="","",'Marks Entry'!N88)</f>
        <v/>
      </c>
      <c r="O88" s="546" t="str">
        <f t="shared" si="231"/>
        <v/>
      </c>
      <c r="P88" s="545" t="str">
        <f>IF('Marks Entry'!O88="","",'Marks Entry'!O88)</f>
        <v/>
      </c>
      <c r="Q88" s="547" t="str">
        <f t="shared" si="232"/>
        <v/>
      </c>
      <c r="R88" s="152">
        <f t="shared" si="233"/>
        <v>0</v>
      </c>
      <c r="S88" s="152">
        <f t="shared" si="234"/>
        <v>0</v>
      </c>
      <c r="T88" s="153" t="str">
        <f t="shared" si="235"/>
        <v/>
      </c>
      <c r="U88" s="152" t="str">
        <f t="shared" si="236"/>
        <v/>
      </c>
      <c r="V88" s="152" t="str">
        <f t="shared" si="237"/>
        <v/>
      </c>
      <c r="W88" s="152" t="str">
        <f t="shared" si="238"/>
        <v/>
      </c>
      <c r="X88" s="545" t="str">
        <f>IF('Marks Entry'!P88="","",'Marks Entry'!P88)</f>
        <v/>
      </c>
      <c r="Y88" s="545" t="str">
        <f>IF('Marks Entry'!Q88="","",'Marks Entry'!Q88)</f>
        <v/>
      </c>
      <c r="Z88" s="545" t="str">
        <f>IF('Marks Entry'!R88="","",'Marks Entry'!R88)</f>
        <v/>
      </c>
      <c r="AA88" s="546" t="str">
        <f t="shared" si="239"/>
        <v/>
      </c>
      <c r="AB88" s="545" t="str">
        <f>IF('Marks Entry'!S88="","",'Marks Entry'!S88)</f>
        <v/>
      </c>
      <c r="AC88" s="546" t="str">
        <f t="shared" si="240"/>
        <v/>
      </c>
      <c r="AD88" s="545" t="str">
        <f>IF('Marks Entry'!T88="","",'Marks Entry'!T88)</f>
        <v/>
      </c>
      <c r="AE88" s="547" t="str">
        <f t="shared" si="241"/>
        <v/>
      </c>
      <c r="AF88" s="152">
        <f t="shared" si="242"/>
        <v>0</v>
      </c>
      <c r="AG88" s="152">
        <f t="shared" si="243"/>
        <v>0</v>
      </c>
      <c r="AH88" s="153" t="str">
        <f t="shared" si="244"/>
        <v/>
      </c>
      <c r="AI88" s="152" t="str">
        <f t="shared" si="245"/>
        <v/>
      </c>
      <c r="AJ88" s="152" t="str">
        <f t="shared" si="246"/>
        <v/>
      </c>
      <c r="AK88" s="152" t="str">
        <f t="shared" si="247"/>
        <v/>
      </c>
      <c r="AL88" s="573" t="str">
        <f>IF('Marks Entry'!U88="","",'Marks Entry'!U88)</f>
        <v/>
      </c>
      <c r="AM88" s="573" t="str">
        <f>IF('Marks Entry'!V88="","",'Marks Entry'!V88)</f>
        <v/>
      </c>
      <c r="AN88" s="573" t="str">
        <f>IF('Marks Entry'!W88="","",'Marks Entry'!W88)</f>
        <v/>
      </c>
      <c r="AO88" s="573" t="str">
        <f>IF('Marks Entry'!X88="","",'Marks Entry'!X88)</f>
        <v/>
      </c>
      <c r="AP88" s="572" t="str">
        <f t="shared" si="248"/>
        <v/>
      </c>
      <c r="AQ88" s="573" t="str">
        <f>IF('Marks Entry'!Y88="","",'Marks Entry'!Y88)</f>
        <v/>
      </c>
      <c r="AR88" s="573" t="str">
        <f>IF('Marks Entry'!Z88="","",'Marks Entry'!Z88)</f>
        <v/>
      </c>
      <c r="AS88" s="572" t="str">
        <f t="shared" si="249"/>
        <v/>
      </c>
      <c r="AT88" s="572" t="str">
        <f t="shared" si="250"/>
        <v/>
      </c>
      <c r="AU88" s="573" t="str">
        <f>IF('Marks Entry'!AA88="","",'Marks Entry'!AA88)</f>
        <v/>
      </c>
      <c r="AV88" s="573" t="str">
        <f>IF('Marks Entry'!AB88="","",'Marks Entry'!AB88)</f>
        <v/>
      </c>
      <c r="AW88" s="572" t="str">
        <f t="shared" si="251"/>
        <v/>
      </c>
      <c r="AX88" s="156" t="str">
        <f t="shared" si="252"/>
        <v/>
      </c>
      <c r="AY88" s="156" t="str">
        <f t="shared" si="253"/>
        <v/>
      </c>
      <c r="AZ88" s="191" t="str">
        <f t="shared" si="254"/>
        <v/>
      </c>
      <c r="BA88" s="152">
        <f t="shared" si="255"/>
        <v>0</v>
      </c>
      <c r="BB88" s="153">
        <f t="shared" si="256"/>
        <v>0</v>
      </c>
      <c r="BC88" s="153" t="str">
        <f t="shared" si="257"/>
        <v/>
      </c>
      <c r="BD88" s="153" t="str">
        <f t="shared" si="258"/>
        <v/>
      </c>
      <c r="BE88" s="153" t="str">
        <f t="shared" si="259"/>
        <v/>
      </c>
      <c r="BF88" s="152" t="str">
        <f t="shared" si="260"/>
        <v/>
      </c>
      <c r="BG88" s="153" t="str">
        <f t="shared" si="261"/>
        <v/>
      </c>
      <c r="BH88" s="152" t="str">
        <f t="shared" si="262"/>
        <v/>
      </c>
      <c r="BI88" s="580" t="str">
        <f>IF('Marks Entry'!AC88="","",'Marks Entry'!AC88)</f>
        <v/>
      </c>
      <c r="BJ88" s="580" t="str">
        <f>IF('Marks Entry'!AD88="","",'Marks Entry'!AD88)</f>
        <v/>
      </c>
      <c r="BK88" s="580" t="str">
        <f>IF('Marks Entry'!AE88="","",'Marks Entry'!AE88)</f>
        <v/>
      </c>
      <c r="BL88" s="580" t="str">
        <f>IF('Marks Entry'!AF88="","",'Marks Entry'!AF88)</f>
        <v/>
      </c>
      <c r="BM88" s="581" t="str">
        <f t="shared" si="263"/>
        <v/>
      </c>
      <c r="BN88" s="580" t="str">
        <f>IF('Marks Entry'!AG88="","",'Marks Entry'!AG88)</f>
        <v/>
      </c>
      <c r="BO88" s="580" t="str">
        <f>IF('Marks Entry'!AH88="","",'Marks Entry'!AH88)</f>
        <v/>
      </c>
      <c r="BP88" s="581" t="str">
        <f t="shared" si="264"/>
        <v/>
      </c>
      <c r="BQ88" s="581" t="str">
        <f t="shared" si="265"/>
        <v/>
      </c>
      <c r="BR88" s="580" t="str">
        <f>IF('Marks Entry'!AI88="","",'Marks Entry'!AI88)</f>
        <v/>
      </c>
      <c r="BS88" s="580" t="str">
        <f>IF('Marks Entry'!AJ88="","",'Marks Entry'!AJ88)</f>
        <v/>
      </c>
      <c r="BT88" s="581" t="str">
        <f t="shared" si="266"/>
        <v/>
      </c>
      <c r="BU88" s="156" t="str">
        <f t="shared" si="267"/>
        <v/>
      </c>
      <c r="BV88" s="156" t="str">
        <f t="shared" si="268"/>
        <v/>
      </c>
      <c r="BW88" s="191" t="str">
        <f t="shared" si="269"/>
        <v/>
      </c>
      <c r="BX88" s="152">
        <f t="shared" si="270"/>
        <v>0</v>
      </c>
      <c r="BY88" s="153">
        <f t="shared" si="271"/>
        <v>0</v>
      </c>
      <c r="BZ88" s="153" t="str">
        <f t="shared" si="272"/>
        <v/>
      </c>
      <c r="CA88" s="153" t="str">
        <f t="shared" si="273"/>
        <v/>
      </c>
      <c r="CB88" s="153" t="str">
        <f t="shared" si="274"/>
        <v/>
      </c>
      <c r="CC88" s="152" t="str">
        <f t="shared" si="275"/>
        <v/>
      </c>
      <c r="CD88" s="153" t="str">
        <f t="shared" si="276"/>
        <v/>
      </c>
      <c r="CE88" s="152" t="str">
        <f t="shared" si="277"/>
        <v/>
      </c>
      <c r="CF88" s="580" t="str">
        <f>IF('Marks Entry'!AK88="","",'Marks Entry'!AK88)</f>
        <v/>
      </c>
      <c r="CG88" s="580" t="str">
        <f>IF('Marks Entry'!AL88="","",'Marks Entry'!AL88)</f>
        <v/>
      </c>
      <c r="CH88" s="580" t="str">
        <f>IF('Marks Entry'!AM88="","",'Marks Entry'!AM88)</f>
        <v/>
      </c>
      <c r="CI88" s="580" t="str">
        <f>IF('Marks Entry'!AN88="","",'Marks Entry'!AN88)</f>
        <v/>
      </c>
      <c r="CJ88" s="581" t="str">
        <f t="shared" si="278"/>
        <v/>
      </c>
      <c r="CK88" s="580" t="str">
        <f>IF('Marks Entry'!AO88="","",'Marks Entry'!AO88)</f>
        <v/>
      </c>
      <c r="CL88" s="580" t="str">
        <f>IF('Marks Entry'!AP88="","",'Marks Entry'!AP88)</f>
        <v/>
      </c>
      <c r="CM88" s="581" t="str">
        <f t="shared" si="279"/>
        <v/>
      </c>
      <c r="CN88" s="581" t="str">
        <f t="shared" si="280"/>
        <v/>
      </c>
      <c r="CO88" s="580" t="str">
        <f>IF('Marks Entry'!AQ88="","",'Marks Entry'!AQ88)</f>
        <v/>
      </c>
      <c r="CP88" s="580" t="str">
        <f>IF('Marks Entry'!AR88="","",'Marks Entry'!AR88)</f>
        <v/>
      </c>
      <c r="CQ88" s="581" t="str">
        <f t="shared" si="281"/>
        <v/>
      </c>
      <c r="CR88" s="156" t="str">
        <f t="shared" si="282"/>
        <v/>
      </c>
      <c r="CS88" s="156" t="str">
        <f t="shared" si="283"/>
        <v/>
      </c>
      <c r="CT88" s="191" t="str">
        <f t="shared" si="284"/>
        <v/>
      </c>
      <c r="CU88" s="152">
        <f t="shared" si="285"/>
        <v>0</v>
      </c>
      <c r="CV88" s="153">
        <f t="shared" si="286"/>
        <v>0</v>
      </c>
      <c r="CW88" s="153" t="str">
        <f t="shared" si="287"/>
        <v/>
      </c>
      <c r="CX88" s="153" t="str">
        <f t="shared" si="288"/>
        <v/>
      </c>
      <c r="CY88" s="153" t="str">
        <f t="shared" si="289"/>
        <v/>
      </c>
      <c r="CZ88" s="152" t="str">
        <f t="shared" si="290"/>
        <v/>
      </c>
      <c r="DA88" s="153" t="str">
        <f t="shared" si="291"/>
        <v/>
      </c>
      <c r="DB88" s="152" t="str">
        <f t="shared" si="292"/>
        <v/>
      </c>
      <c r="DC88" s="153">
        <f t="shared" si="293"/>
        <v>0</v>
      </c>
      <c r="DD88" s="851" t="str">
        <f>IF('Marks Entry'!AS88="","",IF(OR('Master Sheet'!$D$19="YES",'Marks Entry'!$BA$1=1),'Marks Entry'!AS88,""))</f>
        <v/>
      </c>
      <c r="DE88" s="851" t="str">
        <f>IF('Marks Entry'!AT88="","",IF(OR('Master Sheet'!$D$19="YES",'Marks Entry'!$BA$1=1),'Marks Entry'!AT88,""))</f>
        <v/>
      </c>
      <c r="DF88" s="851" t="str">
        <f>IF('Marks Entry'!AU88="","",IF(OR('Master Sheet'!$D$19="YES",'Marks Entry'!$BA$1=1),'Marks Entry'!AU88,""))</f>
        <v/>
      </c>
      <c r="DG88" s="851" t="str">
        <f>IF('Marks Entry'!AV88="","",IF(OR('Master Sheet'!$D$19="YES",'Marks Entry'!$BA$1=1),'Marks Entry'!AV88,""))</f>
        <v/>
      </c>
      <c r="DH88" s="852" t="str">
        <f t="shared" si="294"/>
        <v/>
      </c>
      <c r="DI88" s="851" t="str">
        <f>IF('Marks Entry'!AW88="","",IF(OR('Master Sheet'!$D$19="YES",'Marks Entry'!$BA$1=1),'Marks Entry'!AW88,""))</f>
        <v/>
      </c>
      <c r="DJ88" s="851" t="str">
        <f>IF('Marks Entry'!AX88="","",IF(OR('Master Sheet'!$D$19="YES",'Marks Entry'!$BA$1=1),'Marks Entry'!AX88,""))</f>
        <v/>
      </c>
      <c r="DK88" s="852" t="str">
        <f t="shared" si="295"/>
        <v/>
      </c>
      <c r="DL88" s="852" t="str">
        <f t="shared" si="296"/>
        <v/>
      </c>
      <c r="DM88" s="851" t="str">
        <f>IF('Marks Entry'!AY88="","",IF(OR('Master Sheet'!$D$19="YES",'Marks Entry'!$BA$1=1),'Marks Entry'!AY88,""))</f>
        <v/>
      </c>
      <c r="DN88" s="851" t="str">
        <f>IF('Marks Entry'!AZ88="","",IF(OR('Master Sheet'!$D$19="YES",'Marks Entry'!$BA$1=1),'Marks Entry'!AZ88,""))</f>
        <v/>
      </c>
      <c r="DO88" s="851" t="str">
        <f>IF('Marks Entry'!BA88="","",IF(OR('Master Sheet'!$D$19="YES",'Marks Entry'!$BA$1=1),'Marks Entry'!BA88,""))</f>
        <v/>
      </c>
      <c r="DP88" s="852" t="str">
        <f t="shared" si="297"/>
        <v/>
      </c>
      <c r="DQ88" s="156" t="str">
        <f t="shared" si="298"/>
        <v/>
      </c>
      <c r="DR88" s="156" t="str">
        <f t="shared" si="299"/>
        <v/>
      </c>
      <c r="DS88" s="156" t="str">
        <f t="shared" si="300"/>
        <v/>
      </c>
      <c r="DT88" s="191" t="str">
        <f t="shared" si="301"/>
        <v/>
      </c>
      <c r="DU88" s="152">
        <f t="shared" si="302"/>
        <v>0</v>
      </c>
      <c r="DV88" s="153">
        <f t="shared" si="303"/>
        <v>0</v>
      </c>
      <c r="DW88" s="153" t="str">
        <f t="shared" si="304"/>
        <v/>
      </c>
      <c r="DX88" s="153" t="str">
        <f>IF(OR($B88="NSO",$B88=0,DS88=""),"",IF(AND(DJ88="",DO88=""),"",IF('Master Sheet'!$D$19="YES",$DO$6-COUNTIF(DO88,"ML")*DO$6,DS$6-(COUNTIF(DJ88,"ML")*DJ$6)-(COUNTIF(DO88,"ML")*DO$6))))</f>
        <v/>
      </c>
      <c r="DY88" s="153" t="str">
        <f>IF(OR($B88="NSO",$B88=0),"",IF(AND(DH88="",DI88="",DM88=""),"",IF(AND('Master Sheet'!$D$19="YES",'Marks Entry'!$BA$1=1),100,IF(AND(DJ88="",DO88=""),SUM(($DQ$7+$DR$7)-(DU88+DV88)),SUM(($DQ$6+$DR$6)-(DU88+DV88))))))</f>
        <v/>
      </c>
      <c r="DZ88" s="152" t="str">
        <f t="shared" si="305"/>
        <v/>
      </c>
      <c r="EA88" s="153" t="str">
        <f t="shared" si="306"/>
        <v/>
      </c>
      <c r="EB88" s="152" t="str">
        <f t="shared" si="307"/>
        <v/>
      </c>
      <c r="EC88" s="584" t="str">
        <f>IF('Marks Entry'!BB88="","",'Marks Entry'!BB88)</f>
        <v/>
      </c>
      <c r="ED88" s="584" t="str">
        <f>IF('Marks Entry'!BC88="","",'Marks Entry'!BC88)</f>
        <v/>
      </c>
      <c r="EE88" s="584" t="str">
        <f>IF('Marks Entry'!BD88="","",'Marks Entry'!BD88)</f>
        <v/>
      </c>
      <c r="EF88" s="590" t="str">
        <f t="shared" si="308"/>
        <v/>
      </c>
      <c r="EG88" s="595">
        <f t="shared" si="309"/>
        <v>0</v>
      </c>
      <c r="EH88" s="595">
        <f t="shared" si="310"/>
        <v>0</v>
      </c>
      <c r="EI88" s="192" t="str">
        <f t="shared" si="311"/>
        <v/>
      </c>
      <c r="EJ88" s="595" t="str">
        <f t="shared" si="312"/>
        <v/>
      </c>
      <c r="EK88" s="595" t="str">
        <f t="shared" si="313"/>
        <v/>
      </c>
      <c r="EL88" s="193" t="str">
        <f t="shared" si="314"/>
        <v/>
      </c>
      <c r="EM88" s="193" t="str">
        <f t="shared" si="315"/>
        <v/>
      </c>
      <c r="EN88" s="193" t="str">
        <f t="shared" si="316"/>
        <v/>
      </c>
      <c r="EO88" s="193" t="str">
        <f t="shared" si="317"/>
        <v/>
      </c>
      <c r="EP88" s="193" t="str">
        <f t="shared" si="318"/>
        <v/>
      </c>
      <c r="EQ88" s="193" t="str">
        <f t="shared" si="319"/>
        <v/>
      </c>
      <c r="ER88" s="194">
        <f t="shared" si="320"/>
        <v>0</v>
      </c>
      <c r="ES88" s="194">
        <f t="shared" si="321"/>
        <v>0</v>
      </c>
      <c r="ET88" s="194">
        <f t="shared" si="322"/>
        <v>0</v>
      </c>
      <c r="EU88" s="194">
        <f t="shared" si="323"/>
        <v>0</v>
      </c>
      <c r="EV88" s="194">
        <f t="shared" si="324"/>
        <v>0</v>
      </c>
      <c r="EW88" s="194" t="str">
        <f t="shared" si="325"/>
        <v/>
      </c>
      <c r="EX88" s="195" t="str">
        <f t="shared" si="326"/>
        <v/>
      </c>
      <c r="EY88" s="196" t="str">
        <f>IF('Marks Entry'!BE88="","",'Marks Entry'!BE88)</f>
        <v/>
      </c>
      <c r="EZ88" s="196" t="str">
        <f>IF('Marks Entry'!BF88="","",'Marks Entry'!BF88)</f>
        <v/>
      </c>
      <c r="FA88" s="196" t="str">
        <f>IF('Marks Entry'!BG88="","",'Marks Entry'!BG88)</f>
        <v/>
      </c>
      <c r="FB88" s="596" t="str">
        <f t="shared" si="327"/>
        <v/>
      </c>
      <c r="FC88" s="196" t="str">
        <f>IF('Marks Entry'!BH88="","",'Marks Entry'!BH88)</f>
        <v/>
      </c>
      <c r="FD88" s="196" t="str">
        <f>IF('Marks Entry'!BI88="","",'Marks Entry'!BI88)</f>
        <v/>
      </c>
      <c r="FE88" s="197" t="str">
        <f t="shared" si="328"/>
        <v/>
      </c>
      <c r="FF88" s="198" t="str">
        <f t="shared" si="329"/>
        <v/>
      </c>
      <c r="FG88" s="199" t="str">
        <f>IF(AND(E88=""),"",IF('Student DATA Entry'!L84="","",'Student DATA Entry'!L84))</f>
        <v/>
      </c>
      <c r="FH88" s="200" t="str">
        <f>IF(AND(E88=""),"",IF('Student DATA Entry'!M84="","",'Student DATA Entry'!M84))</f>
        <v/>
      </c>
      <c r="FI88" s="201" t="str">
        <f t="shared" si="330"/>
        <v/>
      </c>
      <c r="FJ88" s="188" t="str">
        <f t="shared" si="331"/>
        <v/>
      </c>
      <c r="FK88" s="188" t="str">
        <f t="shared" si="332"/>
        <v/>
      </c>
      <c r="FL88" s="202" t="str">
        <f t="shared" si="201"/>
        <v/>
      </c>
      <c r="FM88" s="188" t="str">
        <f t="shared" si="333"/>
        <v/>
      </c>
      <c r="FN88" s="203" t="str">
        <f t="shared" si="334"/>
        <v/>
      </c>
      <c r="FO88" s="202" t="str">
        <f t="shared" si="202"/>
        <v/>
      </c>
      <c r="FP88" s="204" t="str">
        <f t="shared" si="335"/>
        <v/>
      </c>
      <c r="FQ88" s="188" t="str">
        <f t="shared" si="203"/>
        <v/>
      </c>
      <c r="FR88" s="188" t="str">
        <f t="shared" si="204"/>
        <v/>
      </c>
      <c r="FS88" s="188" t="str">
        <f t="shared" si="205"/>
        <v/>
      </c>
      <c r="FT88" s="188" t="str">
        <f t="shared" si="206"/>
        <v/>
      </c>
      <c r="FU88" s="188" t="str">
        <f t="shared" si="336"/>
        <v/>
      </c>
      <c r="FV88" s="205" t="str">
        <f t="shared" si="207"/>
        <v/>
      </c>
      <c r="FW88" s="204" t="str">
        <f t="shared" si="337"/>
        <v/>
      </c>
      <c r="FX88" s="188" t="str">
        <f t="shared" si="208"/>
        <v/>
      </c>
      <c r="FY88" s="188" t="str">
        <f t="shared" si="209"/>
        <v/>
      </c>
      <c r="FZ88" s="188" t="str">
        <f t="shared" si="210"/>
        <v/>
      </c>
      <c r="GA88" s="188" t="str">
        <f t="shared" si="211"/>
        <v/>
      </c>
      <c r="GB88" s="188" t="str">
        <f t="shared" si="338"/>
        <v/>
      </c>
      <c r="GC88" s="205" t="str">
        <f t="shared" si="212"/>
        <v/>
      </c>
      <c r="GD88" s="204" t="str">
        <f t="shared" si="339"/>
        <v/>
      </c>
      <c r="GE88" s="188" t="str">
        <f t="shared" si="213"/>
        <v/>
      </c>
      <c r="GF88" s="188" t="str">
        <f t="shared" si="214"/>
        <v/>
      </c>
      <c r="GG88" s="188" t="str">
        <f t="shared" si="215"/>
        <v/>
      </c>
      <c r="GH88" s="188" t="str">
        <f t="shared" si="216"/>
        <v/>
      </c>
      <c r="GI88" s="188" t="str">
        <f t="shared" si="340"/>
        <v/>
      </c>
      <c r="GJ88" s="205" t="str">
        <f t="shared" si="217"/>
        <v/>
      </c>
      <c r="GK88" s="204" t="str">
        <f t="shared" si="341"/>
        <v/>
      </c>
      <c r="GL88" s="188" t="str">
        <f t="shared" si="218"/>
        <v/>
      </c>
      <c r="GM88" s="188" t="str">
        <f t="shared" si="219"/>
        <v/>
      </c>
      <c r="GN88" s="188" t="str">
        <f t="shared" si="220"/>
        <v/>
      </c>
      <c r="GO88" s="188" t="str">
        <f t="shared" si="221"/>
        <v/>
      </c>
      <c r="GP88" s="188" t="str">
        <f t="shared" si="342"/>
        <v/>
      </c>
      <c r="GQ88" s="205" t="str">
        <f t="shared" si="222"/>
        <v/>
      </c>
      <c r="GR88" s="188" t="str">
        <f t="shared" si="343"/>
        <v/>
      </c>
      <c r="GS88" s="188" t="str">
        <f t="shared" si="344"/>
        <v/>
      </c>
      <c r="GT88" s="206" t="str">
        <f t="shared" si="345"/>
        <v xml:space="preserve">    </v>
      </c>
      <c r="GU88" s="206" t="str">
        <f t="shared" si="346"/>
        <v xml:space="preserve">    </v>
      </c>
      <c r="GV88" s="206" t="str">
        <f t="shared" si="347"/>
        <v xml:space="preserve">    </v>
      </c>
      <c r="GW88" s="206" t="str">
        <f t="shared" si="348"/>
        <v xml:space="preserve">       </v>
      </c>
      <c r="GX88" s="598" t="str">
        <f t="shared" si="349"/>
        <v xml:space="preserve">     </v>
      </c>
      <c r="GY88" s="207" t="str">
        <f t="shared" si="223"/>
        <v/>
      </c>
      <c r="GZ88" s="606" t="str">
        <f>IF(AND(Q88="",AE88="",AZ88="",BW88="",CT88=""),"",IF(AND('Master Sheet'!$D$19="YES",'Marks Entry'!$BA$1=1),SUM(Q88,AE88,AZ88,BW88,DT88),SUM(Q88,AE88,AZ88,BW88,CT88)))</f>
        <v/>
      </c>
      <c r="HA88" s="208" t="str">
        <f>IF(GZ88="","",IF(AND('Master Sheet'!$D$19="YES",'Marks Entry'!$BA$1=1),GZ88/((900)-DC88)*100,GZ88/((1000)-DC88)*100))</f>
        <v/>
      </c>
      <c r="HB88" s="611" t="str">
        <f t="shared" si="350"/>
        <v/>
      </c>
      <c r="HC88" s="609" t="str">
        <f t="shared" si="351"/>
        <v/>
      </c>
      <c r="HD88" s="610" t="str">
        <f t="shared" si="352"/>
        <v/>
      </c>
      <c r="HE88" s="209" t="str">
        <f>IFERROR(IF(OR(GY88="SUPPLEMENTARY",GY88="RE-EXAM"),'Supp. Result Entry'!AS87,""),"")</f>
        <v/>
      </c>
      <c r="HF88" s="613" t="str">
        <f t="shared" si="353"/>
        <v/>
      </c>
      <c r="HG88" s="598" t="str">
        <f t="shared" si="354"/>
        <v/>
      </c>
      <c r="HH88" s="598" t="str">
        <f>IF(AND(HE88="",HF88="",HG88=""),"",IF(OR(GY88="SUPPLEMENTARY",GY88="RE-EXAM"),'Supp. Result Entry'!AS87,GY88))</f>
        <v/>
      </c>
      <c r="HI88" s="179"/>
      <c r="HY88" s="211" t="str">
        <f>IF('Supp. Result Entry'!U87="","",'Supp. Result Entry'!$U$6)</f>
        <v/>
      </c>
      <c r="HZ88" s="212" t="str">
        <f>IF('Supp. Result Entry'!X87="","",'Supp. Result Entry'!$X$6)</f>
        <v/>
      </c>
      <c r="IA88" s="212" t="str">
        <f>IF('Supp. Result Entry'!AA87="","",'Supp. Result Entry'!$AA$6)</f>
        <v/>
      </c>
      <c r="IB88" s="212" t="str">
        <f>IF('Supp. Result Entry'!AD87="","",'Supp. Result Entry'!$AD$6)</f>
        <v/>
      </c>
      <c r="IC88" s="212" t="str">
        <f>IF('Supp. Result Entry'!AG87="","",'Supp. Result Entry'!$AG$6)</f>
        <v/>
      </c>
      <c r="ID88" s="212" t="str">
        <f>IF('Supp. Result Entry'!AJ87="","",'Supp. Result Entry'!$AJ$6)</f>
        <v/>
      </c>
      <c r="IE88" s="212" t="str">
        <f>IF('Supp. Result Entry'!V87="","",'Supp. Result Entry'!V87)</f>
        <v/>
      </c>
      <c r="IF88" s="212" t="str">
        <f>IF('Supp. Result Entry'!Y87="","",'Supp. Result Entry'!Y87)</f>
        <v/>
      </c>
      <c r="IG88" s="212" t="str">
        <f>IF('Supp. Result Entry'!AB87="","",'Supp. Result Entry'!AB87)</f>
        <v/>
      </c>
      <c r="IH88" s="212" t="str">
        <f>IF('Supp. Result Entry'!AE87="","",'Supp. Result Entry'!AE87)</f>
        <v/>
      </c>
      <c r="II88" s="212" t="str">
        <f>IF('Supp. Result Entry'!AH87="","",'Supp. Result Entry'!AH87)</f>
        <v/>
      </c>
      <c r="IJ88" s="212" t="str">
        <f>IF('Supp. Result Entry'!AK87="","",'Supp. Result Entry'!AK87)</f>
        <v/>
      </c>
      <c r="IK88" s="212" t="str">
        <f>IF('Supp. Result Entry'!W87="","",'Supp. Result Entry'!W87)</f>
        <v/>
      </c>
      <c r="IL88" s="212" t="str">
        <f>IF('Supp. Result Entry'!Z87="","",'Supp. Result Entry'!Z87)</f>
        <v/>
      </c>
      <c r="IM88" s="212" t="str">
        <f>IF('Supp. Result Entry'!AC87="","",'Supp. Result Entry'!AC87)</f>
        <v/>
      </c>
      <c r="IN88" s="212" t="str">
        <f>IF('Supp. Result Entry'!AF87="","",'Supp. Result Entry'!AF87)</f>
        <v/>
      </c>
      <c r="IO88" s="212" t="str">
        <f>IF('Supp. Result Entry'!AI87="","",'Supp. Result Entry'!AI87)</f>
        <v/>
      </c>
      <c r="IP88" s="212" t="str">
        <f>IF('Supp. Result Entry'!AL87="","",'Supp. Result Entry'!AL87)</f>
        <v/>
      </c>
      <c r="IQ88" s="212">
        <f>COUNTIF('Supp. Result Entry'!K87:Q87,"S")</f>
        <v>0</v>
      </c>
      <c r="IR88" s="212">
        <f t="shared" si="355"/>
        <v>0</v>
      </c>
      <c r="IS88" s="212">
        <f t="shared" si="356"/>
        <v>0</v>
      </c>
      <c r="IT88" s="212" t="str">
        <f t="shared" si="224"/>
        <v/>
      </c>
      <c r="IU88" s="212" t="str">
        <f t="shared" si="225"/>
        <v/>
      </c>
      <c r="IV88" s="212" t="str">
        <f t="shared" si="226"/>
        <v/>
      </c>
      <c r="IW88" s="212" t="str">
        <f t="shared" si="227"/>
        <v/>
      </c>
      <c r="IX88" s="212" t="str">
        <f t="shared" si="228"/>
        <v/>
      </c>
      <c r="IY88" s="212" t="str">
        <f t="shared" si="357"/>
        <v/>
      </c>
      <c r="IZ88" s="212" t="str">
        <f t="shared" si="358"/>
        <v/>
      </c>
      <c r="JA88" s="212" t="str">
        <f t="shared" si="229"/>
        <v/>
      </c>
      <c r="JB88" s="210" t="str">
        <f t="shared" si="359"/>
        <v/>
      </c>
    </row>
    <row r="89" spans="1:262" s="210" customFormat="1" ht="21" customHeight="1">
      <c r="A89" s="183">
        <v>82</v>
      </c>
      <c r="B89" s="184" t="str">
        <f>IF('Marks Entry'!B89="","",'Marks Entry'!B89)</f>
        <v/>
      </c>
      <c r="C89" s="185" t="str">
        <f>IF('Marks Entry'!D89="","",'Marks Entry'!D89)</f>
        <v/>
      </c>
      <c r="D89" s="186" t="str">
        <f>IF('Marks Entry'!E89="","",'Marks Entry'!E89)</f>
        <v/>
      </c>
      <c r="E89" s="187" t="str">
        <f>IF('Marks Entry'!F89="","",'Marks Entry'!F89)</f>
        <v/>
      </c>
      <c r="F89" s="187" t="str">
        <f>IF('Marks Entry'!G89="","",'Marks Entry'!G89)</f>
        <v/>
      </c>
      <c r="G89" s="187" t="str">
        <f>IF('Marks Entry'!H89="","",'Marks Entry'!H89)</f>
        <v/>
      </c>
      <c r="H89" s="188" t="str">
        <f>IF('Marks Entry'!I89="","",'Marks Entry'!I89)</f>
        <v/>
      </c>
      <c r="I89" s="189" t="str">
        <f>IF('Marks Entry'!J89="","",'Marks Entry'!J89)</f>
        <v/>
      </c>
      <c r="J89" s="545" t="str">
        <f>IF('Marks Entry'!K89="","",'Marks Entry'!K89)</f>
        <v/>
      </c>
      <c r="K89" s="545" t="str">
        <f>IF('Marks Entry'!L89="","",'Marks Entry'!L89)</f>
        <v/>
      </c>
      <c r="L89" s="545" t="str">
        <f>IF('Marks Entry'!M89="","",'Marks Entry'!M89)</f>
        <v/>
      </c>
      <c r="M89" s="546" t="str">
        <f t="shared" si="230"/>
        <v/>
      </c>
      <c r="N89" s="545" t="str">
        <f>IF('Marks Entry'!N89="","",'Marks Entry'!N89)</f>
        <v/>
      </c>
      <c r="O89" s="546" t="str">
        <f t="shared" si="231"/>
        <v/>
      </c>
      <c r="P89" s="545" t="str">
        <f>IF('Marks Entry'!O89="","",'Marks Entry'!O89)</f>
        <v/>
      </c>
      <c r="Q89" s="547" t="str">
        <f t="shared" si="232"/>
        <v/>
      </c>
      <c r="R89" s="152">
        <f t="shared" si="233"/>
        <v>0</v>
      </c>
      <c r="S89" s="152">
        <f t="shared" si="234"/>
        <v>0</v>
      </c>
      <c r="T89" s="153" t="str">
        <f t="shared" si="235"/>
        <v/>
      </c>
      <c r="U89" s="152" t="str">
        <f t="shared" si="236"/>
        <v/>
      </c>
      <c r="V89" s="152" t="str">
        <f t="shared" si="237"/>
        <v/>
      </c>
      <c r="W89" s="152" t="str">
        <f t="shared" si="238"/>
        <v/>
      </c>
      <c r="X89" s="545" t="str">
        <f>IF('Marks Entry'!P89="","",'Marks Entry'!P89)</f>
        <v/>
      </c>
      <c r="Y89" s="545" t="str">
        <f>IF('Marks Entry'!Q89="","",'Marks Entry'!Q89)</f>
        <v/>
      </c>
      <c r="Z89" s="545" t="str">
        <f>IF('Marks Entry'!R89="","",'Marks Entry'!R89)</f>
        <v/>
      </c>
      <c r="AA89" s="546" t="str">
        <f t="shared" si="239"/>
        <v/>
      </c>
      <c r="AB89" s="545" t="str">
        <f>IF('Marks Entry'!S89="","",'Marks Entry'!S89)</f>
        <v/>
      </c>
      <c r="AC89" s="546" t="str">
        <f t="shared" si="240"/>
        <v/>
      </c>
      <c r="AD89" s="545" t="str">
        <f>IF('Marks Entry'!T89="","",'Marks Entry'!T89)</f>
        <v/>
      </c>
      <c r="AE89" s="547" t="str">
        <f t="shared" si="241"/>
        <v/>
      </c>
      <c r="AF89" s="152">
        <f t="shared" si="242"/>
        <v>0</v>
      </c>
      <c r="AG89" s="152">
        <f t="shared" si="243"/>
        <v>0</v>
      </c>
      <c r="AH89" s="153" t="str">
        <f t="shared" si="244"/>
        <v/>
      </c>
      <c r="AI89" s="152" t="str">
        <f t="shared" si="245"/>
        <v/>
      </c>
      <c r="AJ89" s="152" t="str">
        <f t="shared" si="246"/>
        <v/>
      </c>
      <c r="AK89" s="152" t="str">
        <f t="shared" si="247"/>
        <v/>
      </c>
      <c r="AL89" s="573" t="str">
        <f>IF('Marks Entry'!U89="","",'Marks Entry'!U89)</f>
        <v/>
      </c>
      <c r="AM89" s="573" t="str">
        <f>IF('Marks Entry'!V89="","",'Marks Entry'!V89)</f>
        <v/>
      </c>
      <c r="AN89" s="573" t="str">
        <f>IF('Marks Entry'!W89="","",'Marks Entry'!W89)</f>
        <v/>
      </c>
      <c r="AO89" s="573" t="str">
        <f>IF('Marks Entry'!X89="","",'Marks Entry'!X89)</f>
        <v/>
      </c>
      <c r="AP89" s="572" t="str">
        <f t="shared" si="248"/>
        <v/>
      </c>
      <c r="AQ89" s="573" t="str">
        <f>IF('Marks Entry'!Y89="","",'Marks Entry'!Y89)</f>
        <v/>
      </c>
      <c r="AR89" s="573" t="str">
        <f>IF('Marks Entry'!Z89="","",'Marks Entry'!Z89)</f>
        <v/>
      </c>
      <c r="AS89" s="572" t="str">
        <f t="shared" si="249"/>
        <v/>
      </c>
      <c r="AT89" s="572" t="str">
        <f t="shared" si="250"/>
        <v/>
      </c>
      <c r="AU89" s="573" t="str">
        <f>IF('Marks Entry'!AA89="","",'Marks Entry'!AA89)</f>
        <v/>
      </c>
      <c r="AV89" s="573" t="str">
        <f>IF('Marks Entry'!AB89="","",'Marks Entry'!AB89)</f>
        <v/>
      </c>
      <c r="AW89" s="572" t="str">
        <f t="shared" si="251"/>
        <v/>
      </c>
      <c r="AX89" s="156" t="str">
        <f t="shared" si="252"/>
        <v/>
      </c>
      <c r="AY89" s="156" t="str">
        <f t="shared" si="253"/>
        <v/>
      </c>
      <c r="AZ89" s="191" t="str">
        <f t="shared" si="254"/>
        <v/>
      </c>
      <c r="BA89" s="152">
        <f t="shared" si="255"/>
        <v>0</v>
      </c>
      <c r="BB89" s="153">
        <f t="shared" si="256"/>
        <v>0</v>
      </c>
      <c r="BC89" s="153" t="str">
        <f t="shared" si="257"/>
        <v/>
      </c>
      <c r="BD89" s="153" t="str">
        <f t="shared" si="258"/>
        <v/>
      </c>
      <c r="BE89" s="153" t="str">
        <f t="shared" si="259"/>
        <v/>
      </c>
      <c r="BF89" s="152" t="str">
        <f t="shared" si="260"/>
        <v/>
      </c>
      <c r="BG89" s="153" t="str">
        <f t="shared" si="261"/>
        <v/>
      </c>
      <c r="BH89" s="152" t="str">
        <f t="shared" si="262"/>
        <v/>
      </c>
      <c r="BI89" s="580" t="str">
        <f>IF('Marks Entry'!AC89="","",'Marks Entry'!AC89)</f>
        <v/>
      </c>
      <c r="BJ89" s="580" t="str">
        <f>IF('Marks Entry'!AD89="","",'Marks Entry'!AD89)</f>
        <v/>
      </c>
      <c r="BK89" s="580" t="str">
        <f>IF('Marks Entry'!AE89="","",'Marks Entry'!AE89)</f>
        <v/>
      </c>
      <c r="BL89" s="580" t="str">
        <f>IF('Marks Entry'!AF89="","",'Marks Entry'!AF89)</f>
        <v/>
      </c>
      <c r="BM89" s="581" t="str">
        <f t="shared" si="263"/>
        <v/>
      </c>
      <c r="BN89" s="580" t="str">
        <f>IF('Marks Entry'!AG89="","",'Marks Entry'!AG89)</f>
        <v/>
      </c>
      <c r="BO89" s="580" t="str">
        <f>IF('Marks Entry'!AH89="","",'Marks Entry'!AH89)</f>
        <v/>
      </c>
      <c r="BP89" s="581" t="str">
        <f t="shared" si="264"/>
        <v/>
      </c>
      <c r="BQ89" s="581" t="str">
        <f t="shared" si="265"/>
        <v/>
      </c>
      <c r="BR89" s="580" t="str">
        <f>IF('Marks Entry'!AI89="","",'Marks Entry'!AI89)</f>
        <v/>
      </c>
      <c r="BS89" s="580" t="str">
        <f>IF('Marks Entry'!AJ89="","",'Marks Entry'!AJ89)</f>
        <v/>
      </c>
      <c r="BT89" s="581" t="str">
        <f t="shared" si="266"/>
        <v/>
      </c>
      <c r="BU89" s="156" t="str">
        <f t="shared" si="267"/>
        <v/>
      </c>
      <c r="BV89" s="156" t="str">
        <f t="shared" si="268"/>
        <v/>
      </c>
      <c r="BW89" s="191" t="str">
        <f t="shared" si="269"/>
        <v/>
      </c>
      <c r="BX89" s="152">
        <f t="shared" si="270"/>
        <v>0</v>
      </c>
      <c r="BY89" s="153">
        <f t="shared" si="271"/>
        <v>0</v>
      </c>
      <c r="BZ89" s="153" t="str">
        <f t="shared" si="272"/>
        <v/>
      </c>
      <c r="CA89" s="153" t="str">
        <f t="shared" si="273"/>
        <v/>
      </c>
      <c r="CB89" s="153" t="str">
        <f t="shared" si="274"/>
        <v/>
      </c>
      <c r="CC89" s="152" t="str">
        <f t="shared" si="275"/>
        <v/>
      </c>
      <c r="CD89" s="153" t="str">
        <f t="shared" si="276"/>
        <v/>
      </c>
      <c r="CE89" s="152" t="str">
        <f t="shared" si="277"/>
        <v/>
      </c>
      <c r="CF89" s="580" t="str">
        <f>IF('Marks Entry'!AK89="","",'Marks Entry'!AK89)</f>
        <v/>
      </c>
      <c r="CG89" s="580" t="str">
        <f>IF('Marks Entry'!AL89="","",'Marks Entry'!AL89)</f>
        <v/>
      </c>
      <c r="CH89" s="580" t="str">
        <f>IF('Marks Entry'!AM89="","",'Marks Entry'!AM89)</f>
        <v/>
      </c>
      <c r="CI89" s="580" t="str">
        <f>IF('Marks Entry'!AN89="","",'Marks Entry'!AN89)</f>
        <v/>
      </c>
      <c r="CJ89" s="581" t="str">
        <f t="shared" si="278"/>
        <v/>
      </c>
      <c r="CK89" s="580" t="str">
        <f>IF('Marks Entry'!AO89="","",'Marks Entry'!AO89)</f>
        <v/>
      </c>
      <c r="CL89" s="580" t="str">
        <f>IF('Marks Entry'!AP89="","",'Marks Entry'!AP89)</f>
        <v/>
      </c>
      <c r="CM89" s="581" t="str">
        <f t="shared" si="279"/>
        <v/>
      </c>
      <c r="CN89" s="581" t="str">
        <f t="shared" si="280"/>
        <v/>
      </c>
      <c r="CO89" s="580" t="str">
        <f>IF('Marks Entry'!AQ89="","",'Marks Entry'!AQ89)</f>
        <v/>
      </c>
      <c r="CP89" s="580" t="str">
        <f>IF('Marks Entry'!AR89="","",'Marks Entry'!AR89)</f>
        <v/>
      </c>
      <c r="CQ89" s="581" t="str">
        <f t="shared" si="281"/>
        <v/>
      </c>
      <c r="CR89" s="156" t="str">
        <f t="shared" si="282"/>
        <v/>
      </c>
      <c r="CS89" s="156" t="str">
        <f t="shared" si="283"/>
        <v/>
      </c>
      <c r="CT89" s="191" t="str">
        <f t="shared" si="284"/>
        <v/>
      </c>
      <c r="CU89" s="152">
        <f t="shared" si="285"/>
        <v>0</v>
      </c>
      <c r="CV89" s="153">
        <f t="shared" si="286"/>
        <v>0</v>
      </c>
      <c r="CW89" s="153" t="str">
        <f t="shared" si="287"/>
        <v/>
      </c>
      <c r="CX89" s="153" t="str">
        <f t="shared" si="288"/>
        <v/>
      </c>
      <c r="CY89" s="153" t="str">
        <f t="shared" si="289"/>
        <v/>
      </c>
      <c r="CZ89" s="152" t="str">
        <f t="shared" si="290"/>
        <v/>
      </c>
      <c r="DA89" s="153" t="str">
        <f t="shared" si="291"/>
        <v/>
      </c>
      <c r="DB89" s="152" t="str">
        <f t="shared" si="292"/>
        <v/>
      </c>
      <c r="DC89" s="153">
        <f t="shared" si="293"/>
        <v>0</v>
      </c>
      <c r="DD89" s="851" t="str">
        <f>IF('Marks Entry'!AS89="","",IF(OR('Master Sheet'!$D$19="YES",'Marks Entry'!$BA$1=1),'Marks Entry'!AS89,""))</f>
        <v/>
      </c>
      <c r="DE89" s="851" t="str">
        <f>IF('Marks Entry'!AT89="","",IF(OR('Master Sheet'!$D$19="YES",'Marks Entry'!$BA$1=1),'Marks Entry'!AT89,""))</f>
        <v/>
      </c>
      <c r="DF89" s="851" t="str">
        <f>IF('Marks Entry'!AU89="","",IF(OR('Master Sheet'!$D$19="YES",'Marks Entry'!$BA$1=1),'Marks Entry'!AU89,""))</f>
        <v/>
      </c>
      <c r="DG89" s="851" t="str">
        <f>IF('Marks Entry'!AV89="","",IF(OR('Master Sheet'!$D$19="YES",'Marks Entry'!$BA$1=1),'Marks Entry'!AV89,""))</f>
        <v/>
      </c>
      <c r="DH89" s="852" t="str">
        <f t="shared" si="294"/>
        <v/>
      </c>
      <c r="DI89" s="851" t="str">
        <f>IF('Marks Entry'!AW89="","",IF(OR('Master Sheet'!$D$19="YES",'Marks Entry'!$BA$1=1),'Marks Entry'!AW89,""))</f>
        <v/>
      </c>
      <c r="DJ89" s="851" t="str">
        <f>IF('Marks Entry'!AX89="","",IF(OR('Master Sheet'!$D$19="YES",'Marks Entry'!$BA$1=1),'Marks Entry'!AX89,""))</f>
        <v/>
      </c>
      <c r="DK89" s="852" t="str">
        <f t="shared" si="295"/>
        <v/>
      </c>
      <c r="DL89" s="852" t="str">
        <f t="shared" si="296"/>
        <v/>
      </c>
      <c r="DM89" s="851" t="str">
        <f>IF('Marks Entry'!AY89="","",IF(OR('Master Sheet'!$D$19="YES",'Marks Entry'!$BA$1=1),'Marks Entry'!AY89,""))</f>
        <v/>
      </c>
      <c r="DN89" s="851" t="str">
        <f>IF('Marks Entry'!AZ89="","",IF(OR('Master Sheet'!$D$19="YES",'Marks Entry'!$BA$1=1),'Marks Entry'!AZ89,""))</f>
        <v/>
      </c>
      <c r="DO89" s="851" t="str">
        <f>IF('Marks Entry'!BA89="","",IF(OR('Master Sheet'!$D$19="YES",'Marks Entry'!$BA$1=1),'Marks Entry'!BA89,""))</f>
        <v/>
      </c>
      <c r="DP89" s="852" t="str">
        <f t="shared" si="297"/>
        <v/>
      </c>
      <c r="DQ89" s="156" t="str">
        <f t="shared" si="298"/>
        <v/>
      </c>
      <c r="DR89" s="156" t="str">
        <f t="shared" si="299"/>
        <v/>
      </c>
      <c r="DS89" s="156" t="str">
        <f t="shared" si="300"/>
        <v/>
      </c>
      <c r="DT89" s="191" t="str">
        <f t="shared" si="301"/>
        <v/>
      </c>
      <c r="DU89" s="152">
        <f t="shared" si="302"/>
        <v>0</v>
      </c>
      <c r="DV89" s="153">
        <f t="shared" si="303"/>
        <v>0</v>
      </c>
      <c r="DW89" s="153" t="str">
        <f t="shared" si="304"/>
        <v/>
      </c>
      <c r="DX89" s="153" t="str">
        <f>IF(OR($B89="NSO",$B89=0,DS89=""),"",IF(AND(DJ89="",DO89=""),"",IF('Master Sheet'!$D$19="YES",$DO$6-COUNTIF(DO89,"ML")*DO$6,DS$6-(COUNTIF(DJ89,"ML")*DJ$6)-(COUNTIF(DO89,"ML")*DO$6))))</f>
        <v/>
      </c>
      <c r="DY89" s="153" t="str">
        <f>IF(OR($B89="NSO",$B89=0),"",IF(AND(DH89="",DI89="",DM89=""),"",IF(AND('Master Sheet'!$D$19="YES",'Marks Entry'!$BA$1=1),100,IF(AND(DJ89="",DO89=""),SUM(($DQ$7+$DR$7)-(DU89+DV89)),SUM(($DQ$6+$DR$6)-(DU89+DV89))))))</f>
        <v/>
      </c>
      <c r="DZ89" s="152" t="str">
        <f t="shared" si="305"/>
        <v/>
      </c>
      <c r="EA89" s="153" t="str">
        <f t="shared" si="306"/>
        <v/>
      </c>
      <c r="EB89" s="152" t="str">
        <f t="shared" si="307"/>
        <v/>
      </c>
      <c r="EC89" s="584" t="str">
        <f>IF('Marks Entry'!BB89="","",'Marks Entry'!BB89)</f>
        <v/>
      </c>
      <c r="ED89" s="584" t="str">
        <f>IF('Marks Entry'!BC89="","",'Marks Entry'!BC89)</f>
        <v/>
      </c>
      <c r="EE89" s="584" t="str">
        <f>IF('Marks Entry'!BD89="","",'Marks Entry'!BD89)</f>
        <v/>
      </c>
      <c r="EF89" s="590" t="str">
        <f t="shared" si="308"/>
        <v/>
      </c>
      <c r="EG89" s="595">
        <f t="shared" si="309"/>
        <v>0</v>
      </c>
      <c r="EH89" s="595">
        <f t="shared" si="310"/>
        <v>0</v>
      </c>
      <c r="EI89" s="192" t="str">
        <f t="shared" si="311"/>
        <v/>
      </c>
      <c r="EJ89" s="595" t="str">
        <f t="shared" si="312"/>
        <v/>
      </c>
      <c r="EK89" s="595" t="str">
        <f t="shared" si="313"/>
        <v/>
      </c>
      <c r="EL89" s="193" t="str">
        <f t="shared" si="314"/>
        <v/>
      </c>
      <c r="EM89" s="193" t="str">
        <f t="shared" si="315"/>
        <v/>
      </c>
      <c r="EN89" s="193" t="str">
        <f t="shared" si="316"/>
        <v/>
      </c>
      <c r="EO89" s="193" t="str">
        <f t="shared" si="317"/>
        <v/>
      </c>
      <c r="EP89" s="193" t="str">
        <f t="shared" si="318"/>
        <v/>
      </c>
      <c r="EQ89" s="193" t="str">
        <f t="shared" si="319"/>
        <v/>
      </c>
      <c r="ER89" s="194">
        <f t="shared" si="320"/>
        <v>0</v>
      </c>
      <c r="ES89" s="194">
        <f t="shared" si="321"/>
        <v>0</v>
      </c>
      <c r="ET89" s="194">
        <f t="shared" si="322"/>
        <v>0</v>
      </c>
      <c r="EU89" s="194">
        <f t="shared" si="323"/>
        <v>0</v>
      </c>
      <c r="EV89" s="194">
        <f t="shared" si="324"/>
        <v>0</v>
      </c>
      <c r="EW89" s="194" t="str">
        <f t="shared" si="325"/>
        <v/>
      </c>
      <c r="EX89" s="195" t="str">
        <f t="shared" si="326"/>
        <v/>
      </c>
      <c r="EY89" s="196" t="str">
        <f>IF('Marks Entry'!BE89="","",'Marks Entry'!BE89)</f>
        <v/>
      </c>
      <c r="EZ89" s="196" t="str">
        <f>IF('Marks Entry'!BF89="","",'Marks Entry'!BF89)</f>
        <v/>
      </c>
      <c r="FA89" s="196" t="str">
        <f>IF('Marks Entry'!BG89="","",'Marks Entry'!BG89)</f>
        <v/>
      </c>
      <c r="FB89" s="596" t="str">
        <f t="shared" si="327"/>
        <v/>
      </c>
      <c r="FC89" s="196" t="str">
        <f>IF('Marks Entry'!BH89="","",'Marks Entry'!BH89)</f>
        <v/>
      </c>
      <c r="FD89" s="196" t="str">
        <f>IF('Marks Entry'!BI89="","",'Marks Entry'!BI89)</f>
        <v/>
      </c>
      <c r="FE89" s="197" t="str">
        <f t="shared" si="328"/>
        <v/>
      </c>
      <c r="FF89" s="198" t="str">
        <f t="shared" si="329"/>
        <v/>
      </c>
      <c r="FG89" s="199" t="str">
        <f>IF(AND(E89=""),"",IF('Student DATA Entry'!L85="","",'Student DATA Entry'!L85))</f>
        <v/>
      </c>
      <c r="FH89" s="200" t="str">
        <f>IF(AND(E89=""),"",IF('Student DATA Entry'!M85="","",'Student DATA Entry'!M85))</f>
        <v/>
      </c>
      <c r="FI89" s="201" t="str">
        <f t="shared" si="330"/>
        <v/>
      </c>
      <c r="FJ89" s="188" t="str">
        <f t="shared" si="331"/>
        <v/>
      </c>
      <c r="FK89" s="188" t="str">
        <f t="shared" si="332"/>
        <v/>
      </c>
      <c r="FL89" s="202" t="str">
        <f t="shared" si="201"/>
        <v/>
      </c>
      <c r="FM89" s="188" t="str">
        <f t="shared" si="333"/>
        <v/>
      </c>
      <c r="FN89" s="203" t="str">
        <f t="shared" si="334"/>
        <v/>
      </c>
      <c r="FO89" s="202" t="str">
        <f t="shared" si="202"/>
        <v/>
      </c>
      <c r="FP89" s="204" t="str">
        <f t="shared" si="335"/>
        <v/>
      </c>
      <c r="FQ89" s="188" t="str">
        <f t="shared" si="203"/>
        <v/>
      </c>
      <c r="FR89" s="188" t="str">
        <f t="shared" si="204"/>
        <v/>
      </c>
      <c r="FS89" s="188" t="str">
        <f t="shared" si="205"/>
        <v/>
      </c>
      <c r="FT89" s="188" t="str">
        <f t="shared" si="206"/>
        <v/>
      </c>
      <c r="FU89" s="188" t="str">
        <f t="shared" si="336"/>
        <v/>
      </c>
      <c r="FV89" s="205" t="str">
        <f t="shared" si="207"/>
        <v/>
      </c>
      <c r="FW89" s="204" t="str">
        <f t="shared" si="337"/>
        <v/>
      </c>
      <c r="FX89" s="188" t="str">
        <f t="shared" si="208"/>
        <v/>
      </c>
      <c r="FY89" s="188" t="str">
        <f t="shared" si="209"/>
        <v/>
      </c>
      <c r="FZ89" s="188" t="str">
        <f t="shared" si="210"/>
        <v/>
      </c>
      <c r="GA89" s="188" t="str">
        <f t="shared" si="211"/>
        <v/>
      </c>
      <c r="GB89" s="188" t="str">
        <f t="shared" si="338"/>
        <v/>
      </c>
      <c r="GC89" s="205" t="str">
        <f t="shared" si="212"/>
        <v/>
      </c>
      <c r="GD89" s="204" t="str">
        <f t="shared" si="339"/>
        <v/>
      </c>
      <c r="GE89" s="188" t="str">
        <f t="shared" si="213"/>
        <v/>
      </c>
      <c r="GF89" s="188" t="str">
        <f t="shared" si="214"/>
        <v/>
      </c>
      <c r="GG89" s="188" t="str">
        <f t="shared" si="215"/>
        <v/>
      </c>
      <c r="GH89" s="188" t="str">
        <f t="shared" si="216"/>
        <v/>
      </c>
      <c r="GI89" s="188" t="str">
        <f t="shared" si="340"/>
        <v/>
      </c>
      <c r="GJ89" s="205" t="str">
        <f t="shared" si="217"/>
        <v/>
      </c>
      <c r="GK89" s="204" t="str">
        <f t="shared" si="341"/>
        <v/>
      </c>
      <c r="GL89" s="188" t="str">
        <f t="shared" si="218"/>
        <v/>
      </c>
      <c r="GM89" s="188" t="str">
        <f t="shared" si="219"/>
        <v/>
      </c>
      <c r="GN89" s="188" t="str">
        <f t="shared" si="220"/>
        <v/>
      </c>
      <c r="GO89" s="188" t="str">
        <f t="shared" si="221"/>
        <v/>
      </c>
      <c r="GP89" s="188" t="str">
        <f t="shared" si="342"/>
        <v/>
      </c>
      <c r="GQ89" s="205" t="str">
        <f t="shared" si="222"/>
        <v/>
      </c>
      <c r="GR89" s="188" t="str">
        <f t="shared" si="343"/>
        <v/>
      </c>
      <c r="GS89" s="188" t="str">
        <f t="shared" si="344"/>
        <v/>
      </c>
      <c r="GT89" s="206" t="str">
        <f t="shared" si="345"/>
        <v xml:space="preserve">    </v>
      </c>
      <c r="GU89" s="206" t="str">
        <f t="shared" si="346"/>
        <v xml:space="preserve">    </v>
      </c>
      <c r="GV89" s="206" t="str">
        <f t="shared" si="347"/>
        <v xml:space="preserve">    </v>
      </c>
      <c r="GW89" s="206" t="str">
        <f t="shared" si="348"/>
        <v xml:space="preserve">       </v>
      </c>
      <c r="GX89" s="598" t="str">
        <f t="shared" si="349"/>
        <v xml:space="preserve">     </v>
      </c>
      <c r="GY89" s="207" t="str">
        <f t="shared" si="223"/>
        <v/>
      </c>
      <c r="GZ89" s="606" t="str">
        <f>IF(AND(Q89="",AE89="",AZ89="",BW89="",CT89=""),"",IF(AND('Master Sheet'!$D$19="YES",'Marks Entry'!$BA$1=1),SUM(Q89,AE89,AZ89,BW89,DT89),SUM(Q89,AE89,AZ89,BW89,CT89)))</f>
        <v/>
      </c>
      <c r="HA89" s="208" t="str">
        <f>IF(GZ89="","",IF(AND('Master Sheet'!$D$19="YES",'Marks Entry'!$BA$1=1),GZ89/((900)-DC89)*100,GZ89/((1000)-DC89)*100))</f>
        <v/>
      </c>
      <c r="HB89" s="611" t="str">
        <f t="shared" si="350"/>
        <v/>
      </c>
      <c r="HC89" s="609" t="str">
        <f t="shared" si="351"/>
        <v/>
      </c>
      <c r="HD89" s="610" t="str">
        <f t="shared" si="352"/>
        <v/>
      </c>
      <c r="HE89" s="209" t="str">
        <f>IFERROR(IF(OR(GY89="SUPPLEMENTARY",GY89="RE-EXAM"),'Supp. Result Entry'!AS88,""),"")</f>
        <v/>
      </c>
      <c r="HF89" s="613" t="str">
        <f t="shared" si="353"/>
        <v/>
      </c>
      <c r="HG89" s="598" t="str">
        <f t="shared" si="354"/>
        <v/>
      </c>
      <c r="HH89" s="598" t="str">
        <f>IF(AND(HE89="",HF89="",HG89=""),"",IF(OR(GY89="SUPPLEMENTARY",GY89="RE-EXAM"),'Supp. Result Entry'!AS88,GY89))</f>
        <v/>
      </c>
      <c r="HI89" s="179"/>
      <c r="HY89" s="211" t="str">
        <f>IF('Supp. Result Entry'!U88="","",'Supp. Result Entry'!$U$6)</f>
        <v/>
      </c>
      <c r="HZ89" s="212" t="str">
        <f>IF('Supp. Result Entry'!X88="","",'Supp. Result Entry'!$X$6)</f>
        <v/>
      </c>
      <c r="IA89" s="212" t="str">
        <f>IF('Supp. Result Entry'!AA88="","",'Supp. Result Entry'!$AA$6)</f>
        <v/>
      </c>
      <c r="IB89" s="212" t="str">
        <f>IF('Supp. Result Entry'!AD88="","",'Supp. Result Entry'!$AD$6)</f>
        <v/>
      </c>
      <c r="IC89" s="212" t="str">
        <f>IF('Supp. Result Entry'!AG88="","",'Supp. Result Entry'!$AG$6)</f>
        <v/>
      </c>
      <c r="ID89" s="212" t="str">
        <f>IF('Supp. Result Entry'!AJ88="","",'Supp. Result Entry'!$AJ$6)</f>
        <v/>
      </c>
      <c r="IE89" s="212" t="str">
        <f>IF('Supp. Result Entry'!V88="","",'Supp. Result Entry'!V88)</f>
        <v/>
      </c>
      <c r="IF89" s="212" t="str">
        <f>IF('Supp. Result Entry'!Y88="","",'Supp. Result Entry'!Y88)</f>
        <v/>
      </c>
      <c r="IG89" s="212" t="str">
        <f>IF('Supp. Result Entry'!AB88="","",'Supp. Result Entry'!AB88)</f>
        <v/>
      </c>
      <c r="IH89" s="212" t="str">
        <f>IF('Supp. Result Entry'!AE88="","",'Supp. Result Entry'!AE88)</f>
        <v/>
      </c>
      <c r="II89" s="212" t="str">
        <f>IF('Supp. Result Entry'!AH88="","",'Supp. Result Entry'!AH88)</f>
        <v/>
      </c>
      <c r="IJ89" s="212" t="str">
        <f>IF('Supp. Result Entry'!AK88="","",'Supp. Result Entry'!AK88)</f>
        <v/>
      </c>
      <c r="IK89" s="212" t="str">
        <f>IF('Supp. Result Entry'!W88="","",'Supp. Result Entry'!W88)</f>
        <v/>
      </c>
      <c r="IL89" s="212" t="str">
        <f>IF('Supp. Result Entry'!Z88="","",'Supp. Result Entry'!Z88)</f>
        <v/>
      </c>
      <c r="IM89" s="212" t="str">
        <f>IF('Supp. Result Entry'!AC88="","",'Supp. Result Entry'!AC88)</f>
        <v/>
      </c>
      <c r="IN89" s="212" t="str">
        <f>IF('Supp. Result Entry'!AF88="","",'Supp. Result Entry'!AF88)</f>
        <v/>
      </c>
      <c r="IO89" s="212" t="str">
        <f>IF('Supp. Result Entry'!AI88="","",'Supp. Result Entry'!AI88)</f>
        <v/>
      </c>
      <c r="IP89" s="212" t="str">
        <f>IF('Supp. Result Entry'!AL88="","",'Supp. Result Entry'!AL88)</f>
        <v/>
      </c>
      <c r="IQ89" s="212">
        <f>COUNTIF('Supp. Result Entry'!K88:Q88,"S")</f>
        <v>0</v>
      </c>
      <c r="IR89" s="212">
        <f t="shared" si="355"/>
        <v>0</v>
      </c>
      <c r="IS89" s="212">
        <f t="shared" si="356"/>
        <v>0</v>
      </c>
      <c r="IT89" s="212" t="str">
        <f t="shared" si="224"/>
        <v/>
      </c>
      <c r="IU89" s="212" t="str">
        <f t="shared" si="225"/>
        <v/>
      </c>
      <c r="IV89" s="212" t="str">
        <f t="shared" si="226"/>
        <v/>
      </c>
      <c r="IW89" s="212" t="str">
        <f t="shared" si="227"/>
        <v/>
      </c>
      <c r="IX89" s="212" t="str">
        <f t="shared" si="228"/>
        <v/>
      </c>
      <c r="IY89" s="212" t="str">
        <f t="shared" si="357"/>
        <v/>
      </c>
      <c r="IZ89" s="212" t="str">
        <f t="shared" si="358"/>
        <v/>
      </c>
      <c r="JA89" s="212" t="str">
        <f t="shared" si="229"/>
        <v/>
      </c>
      <c r="JB89" s="210" t="str">
        <f t="shared" si="359"/>
        <v/>
      </c>
    </row>
    <row r="90" spans="1:262" s="210" customFormat="1" ht="21" customHeight="1">
      <c r="A90" s="183">
        <v>83</v>
      </c>
      <c r="B90" s="184" t="str">
        <f>IF('Marks Entry'!B90="","",'Marks Entry'!B90)</f>
        <v/>
      </c>
      <c r="C90" s="185" t="str">
        <f>IF('Marks Entry'!D90="","",'Marks Entry'!D90)</f>
        <v/>
      </c>
      <c r="D90" s="186" t="str">
        <f>IF('Marks Entry'!E90="","",'Marks Entry'!E90)</f>
        <v/>
      </c>
      <c r="E90" s="187" t="str">
        <f>IF('Marks Entry'!F90="","",'Marks Entry'!F90)</f>
        <v/>
      </c>
      <c r="F90" s="187" t="str">
        <f>IF('Marks Entry'!G90="","",'Marks Entry'!G90)</f>
        <v/>
      </c>
      <c r="G90" s="187" t="str">
        <f>IF('Marks Entry'!H90="","",'Marks Entry'!H90)</f>
        <v/>
      </c>
      <c r="H90" s="188" t="str">
        <f>IF('Marks Entry'!I90="","",'Marks Entry'!I90)</f>
        <v/>
      </c>
      <c r="I90" s="189" t="str">
        <f>IF('Marks Entry'!J90="","",'Marks Entry'!J90)</f>
        <v/>
      </c>
      <c r="J90" s="545" t="str">
        <f>IF('Marks Entry'!K90="","",'Marks Entry'!K90)</f>
        <v/>
      </c>
      <c r="K90" s="545" t="str">
        <f>IF('Marks Entry'!L90="","",'Marks Entry'!L90)</f>
        <v/>
      </c>
      <c r="L90" s="545" t="str">
        <f>IF('Marks Entry'!M90="","",'Marks Entry'!M90)</f>
        <v/>
      </c>
      <c r="M90" s="546" t="str">
        <f t="shared" si="230"/>
        <v/>
      </c>
      <c r="N90" s="545" t="str">
        <f>IF('Marks Entry'!N90="","",'Marks Entry'!N90)</f>
        <v/>
      </c>
      <c r="O90" s="546" t="str">
        <f t="shared" si="231"/>
        <v/>
      </c>
      <c r="P90" s="545" t="str">
        <f>IF('Marks Entry'!O90="","",'Marks Entry'!O90)</f>
        <v/>
      </c>
      <c r="Q90" s="547" t="str">
        <f t="shared" si="232"/>
        <v/>
      </c>
      <c r="R90" s="152">
        <f t="shared" si="233"/>
        <v>0</v>
      </c>
      <c r="S90" s="152">
        <f t="shared" si="234"/>
        <v>0</v>
      </c>
      <c r="T90" s="153" t="str">
        <f t="shared" si="235"/>
        <v/>
      </c>
      <c r="U90" s="152" t="str">
        <f t="shared" si="236"/>
        <v/>
      </c>
      <c r="V90" s="152" t="str">
        <f t="shared" si="237"/>
        <v/>
      </c>
      <c r="W90" s="152" t="str">
        <f t="shared" si="238"/>
        <v/>
      </c>
      <c r="X90" s="545" t="str">
        <f>IF('Marks Entry'!P90="","",'Marks Entry'!P90)</f>
        <v/>
      </c>
      <c r="Y90" s="545" t="str">
        <f>IF('Marks Entry'!Q90="","",'Marks Entry'!Q90)</f>
        <v/>
      </c>
      <c r="Z90" s="545" t="str">
        <f>IF('Marks Entry'!R90="","",'Marks Entry'!R90)</f>
        <v/>
      </c>
      <c r="AA90" s="546" t="str">
        <f t="shared" si="239"/>
        <v/>
      </c>
      <c r="AB90" s="545" t="str">
        <f>IF('Marks Entry'!S90="","",'Marks Entry'!S90)</f>
        <v/>
      </c>
      <c r="AC90" s="546" t="str">
        <f t="shared" si="240"/>
        <v/>
      </c>
      <c r="AD90" s="545" t="str">
        <f>IF('Marks Entry'!T90="","",'Marks Entry'!T90)</f>
        <v/>
      </c>
      <c r="AE90" s="547" t="str">
        <f t="shared" si="241"/>
        <v/>
      </c>
      <c r="AF90" s="152">
        <f t="shared" si="242"/>
        <v>0</v>
      </c>
      <c r="AG90" s="152">
        <f t="shared" si="243"/>
        <v>0</v>
      </c>
      <c r="AH90" s="153" t="str">
        <f t="shared" si="244"/>
        <v/>
      </c>
      <c r="AI90" s="152" t="str">
        <f t="shared" si="245"/>
        <v/>
      </c>
      <c r="AJ90" s="152" t="str">
        <f t="shared" si="246"/>
        <v/>
      </c>
      <c r="AK90" s="152" t="str">
        <f t="shared" si="247"/>
        <v/>
      </c>
      <c r="AL90" s="573" t="str">
        <f>IF('Marks Entry'!U90="","",'Marks Entry'!U90)</f>
        <v/>
      </c>
      <c r="AM90" s="573" t="str">
        <f>IF('Marks Entry'!V90="","",'Marks Entry'!V90)</f>
        <v/>
      </c>
      <c r="AN90" s="573" t="str">
        <f>IF('Marks Entry'!W90="","",'Marks Entry'!W90)</f>
        <v/>
      </c>
      <c r="AO90" s="573" t="str">
        <f>IF('Marks Entry'!X90="","",'Marks Entry'!X90)</f>
        <v/>
      </c>
      <c r="AP90" s="572" t="str">
        <f t="shared" si="248"/>
        <v/>
      </c>
      <c r="AQ90" s="573" t="str">
        <f>IF('Marks Entry'!Y90="","",'Marks Entry'!Y90)</f>
        <v/>
      </c>
      <c r="AR90" s="573" t="str">
        <f>IF('Marks Entry'!Z90="","",'Marks Entry'!Z90)</f>
        <v/>
      </c>
      <c r="AS90" s="572" t="str">
        <f t="shared" si="249"/>
        <v/>
      </c>
      <c r="AT90" s="572" t="str">
        <f t="shared" si="250"/>
        <v/>
      </c>
      <c r="AU90" s="573" t="str">
        <f>IF('Marks Entry'!AA90="","",'Marks Entry'!AA90)</f>
        <v/>
      </c>
      <c r="AV90" s="573" t="str">
        <f>IF('Marks Entry'!AB90="","",'Marks Entry'!AB90)</f>
        <v/>
      </c>
      <c r="AW90" s="572" t="str">
        <f t="shared" si="251"/>
        <v/>
      </c>
      <c r="AX90" s="156" t="str">
        <f t="shared" si="252"/>
        <v/>
      </c>
      <c r="AY90" s="156" t="str">
        <f t="shared" si="253"/>
        <v/>
      </c>
      <c r="AZ90" s="191" t="str">
        <f t="shared" si="254"/>
        <v/>
      </c>
      <c r="BA90" s="152">
        <f t="shared" si="255"/>
        <v>0</v>
      </c>
      <c r="BB90" s="153">
        <f t="shared" si="256"/>
        <v>0</v>
      </c>
      <c r="BC90" s="153" t="str">
        <f t="shared" si="257"/>
        <v/>
      </c>
      <c r="BD90" s="153" t="str">
        <f t="shared" si="258"/>
        <v/>
      </c>
      <c r="BE90" s="153" t="str">
        <f t="shared" si="259"/>
        <v/>
      </c>
      <c r="BF90" s="152" t="str">
        <f t="shared" si="260"/>
        <v/>
      </c>
      <c r="BG90" s="153" t="str">
        <f t="shared" si="261"/>
        <v/>
      </c>
      <c r="BH90" s="152" t="str">
        <f t="shared" si="262"/>
        <v/>
      </c>
      <c r="BI90" s="580" t="str">
        <f>IF('Marks Entry'!AC90="","",'Marks Entry'!AC90)</f>
        <v/>
      </c>
      <c r="BJ90" s="580" t="str">
        <f>IF('Marks Entry'!AD90="","",'Marks Entry'!AD90)</f>
        <v/>
      </c>
      <c r="BK90" s="580" t="str">
        <f>IF('Marks Entry'!AE90="","",'Marks Entry'!AE90)</f>
        <v/>
      </c>
      <c r="BL90" s="580" t="str">
        <f>IF('Marks Entry'!AF90="","",'Marks Entry'!AF90)</f>
        <v/>
      </c>
      <c r="BM90" s="581" t="str">
        <f t="shared" si="263"/>
        <v/>
      </c>
      <c r="BN90" s="580" t="str">
        <f>IF('Marks Entry'!AG90="","",'Marks Entry'!AG90)</f>
        <v/>
      </c>
      <c r="BO90" s="580" t="str">
        <f>IF('Marks Entry'!AH90="","",'Marks Entry'!AH90)</f>
        <v/>
      </c>
      <c r="BP90" s="581" t="str">
        <f t="shared" si="264"/>
        <v/>
      </c>
      <c r="BQ90" s="581" t="str">
        <f t="shared" si="265"/>
        <v/>
      </c>
      <c r="BR90" s="580" t="str">
        <f>IF('Marks Entry'!AI90="","",'Marks Entry'!AI90)</f>
        <v/>
      </c>
      <c r="BS90" s="580" t="str">
        <f>IF('Marks Entry'!AJ90="","",'Marks Entry'!AJ90)</f>
        <v/>
      </c>
      <c r="BT90" s="581" t="str">
        <f t="shared" si="266"/>
        <v/>
      </c>
      <c r="BU90" s="156" t="str">
        <f t="shared" si="267"/>
        <v/>
      </c>
      <c r="BV90" s="156" t="str">
        <f t="shared" si="268"/>
        <v/>
      </c>
      <c r="BW90" s="191" t="str">
        <f t="shared" si="269"/>
        <v/>
      </c>
      <c r="BX90" s="152">
        <f t="shared" si="270"/>
        <v>0</v>
      </c>
      <c r="BY90" s="153">
        <f t="shared" si="271"/>
        <v>0</v>
      </c>
      <c r="BZ90" s="153" t="str">
        <f t="shared" si="272"/>
        <v/>
      </c>
      <c r="CA90" s="153" t="str">
        <f t="shared" si="273"/>
        <v/>
      </c>
      <c r="CB90" s="153" t="str">
        <f t="shared" si="274"/>
        <v/>
      </c>
      <c r="CC90" s="152" t="str">
        <f t="shared" si="275"/>
        <v/>
      </c>
      <c r="CD90" s="153" t="str">
        <f t="shared" si="276"/>
        <v/>
      </c>
      <c r="CE90" s="152" t="str">
        <f t="shared" si="277"/>
        <v/>
      </c>
      <c r="CF90" s="580" t="str">
        <f>IF('Marks Entry'!AK90="","",'Marks Entry'!AK90)</f>
        <v/>
      </c>
      <c r="CG90" s="580" t="str">
        <f>IF('Marks Entry'!AL90="","",'Marks Entry'!AL90)</f>
        <v/>
      </c>
      <c r="CH90" s="580" t="str">
        <f>IF('Marks Entry'!AM90="","",'Marks Entry'!AM90)</f>
        <v/>
      </c>
      <c r="CI90" s="580" t="str">
        <f>IF('Marks Entry'!AN90="","",'Marks Entry'!AN90)</f>
        <v/>
      </c>
      <c r="CJ90" s="581" t="str">
        <f t="shared" si="278"/>
        <v/>
      </c>
      <c r="CK90" s="580" t="str">
        <f>IF('Marks Entry'!AO90="","",'Marks Entry'!AO90)</f>
        <v/>
      </c>
      <c r="CL90" s="580" t="str">
        <f>IF('Marks Entry'!AP90="","",'Marks Entry'!AP90)</f>
        <v/>
      </c>
      <c r="CM90" s="581" t="str">
        <f t="shared" si="279"/>
        <v/>
      </c>
      <c r="CN90" s="581" t="str">
        <f t="shared" si="280"/>
        <v/>
      </c>
      <c r="CO90" s="580" t="str">
        <f>IF('Marks Entry'!AQ90="","",'Marks Entry'!AQ90)</f>
        <v/>
      </c>
      <c r="CP90" s="580" t="str">
        <f>IF('Marks Entry'!AR90="","",'Marks Entry'!AR90)</f>
        <v/>
      </c>
      <c r="CQ90" s="581" t="str">
        <f t="shared" si="281"/>
        <v/>
      </c>
      <c r="CR90" s="156" t="str">
        <f t="shared" si="282"/>
        <v/>
      </c>
      <c r="CS90" s="156" t="str">
        <f t="shared" si="283"/>
        <v/>
      </c>
      <c r="CT90" s="191" t="str">
        <f t="shared" si="284"/>
        <v/>
      </c>
      <c r="CU90" s="152">
        <f t="shared" si="285"/>
        <v>0</v>
      </c>
      <c r="CV90" s="153">
        <f t="shared" si="286"/>
        <v>0</v>
      </c>
      <c r="CW90" s="153" t="str">
        <f t="shared" si="287"/>
        <v/>
      </c>
      <c r="CX90" s="153" t="str">
        <f t="shared" si="288"/>
        <v/>
      </c>
      <c r="CY90" s="153" t="str">
        <f t="shared" si="289"/>
        <v/>
      </c>
      <c r="CZ90" s="152" t="str">
        <f t="shared" si="290"/>
        <v/>
      </c>
      <c r="DA90" s="153" t="str">
        <f t="shared" si="291"/>
        <v/>
      </c>
      <c r="DB90" s="152" t="str">
        <f t="shared" si="292"/>
        <v/>
      </c>
      <c r="DC90" s="153">
        <f t="shared" si="293"/>
        <v>0</v>
      </c>
      <c r="DD90" s="851" t="str">
        <f>IF('Marks Entry'!AS90="","",IF(OR('Master Sheet'!$D$19="YES",'Marks Entry'!$BA$1=1),'Marks Entry'!AS90,""))</f>
        <v/>
      </c>
      <c r="DE90" s="851" t="str">
        <f>IF('Marks Entry'!AT90="","",IF(OR('Master Sheet'!$D$19="YES",'Marks Entry'!$BA$1=1),'Marks Entry'!AT90,""))</f>
        <v/>
      </c>
      <c r="DF90" s="851" t="str">
        <f>IF('Marks Entry'!AU90="","",IF(OR('Master Sheet'!$D$19="YES",'Marks Entry'!$BA$1=1),'Marks Entry'!AU90,""))</f>
        <v/>
      </c>
      <c r="DG90" s="851" t="str">
        <f>IF('Marks Entry'!AV90="","",IF(OR('Master Sheet'!$D$19="YES",'Marks Entry'!$BA$1=1),'Marks Entry'!AV90,""))</f>
        <v/>
      </c>
      <c r="DH90" s="852" t="str">
        <f t="shared" si="294"/>
        <v/>
      </c>
      <c r="DI90" s="851" t="str">
        <f>IF('Marks Entry'!AW90="","",IF(OR('Master Sheet'!$D$19="YES",'Marks Entry'!$BA$1=1),'Marks Entry'!AW90,""))</f>
        <v/>
      </c>
      <c r="DJ90" s="851" t="str">
        <f>IF('Marks Entry'!AX90="","",IF(OR('Master Sheet'!$D$19="YES",'Marks Entry'!$BA$1=1),'Marks Entry'!AX90,""))</f>
        <v/>
      </c>
      <c r="DK90" s="852" t="str">
        <f t="shared" si="295"/>
        <v/>
      </c>
      <c r="DL90" s="852" t="str">
        <f t="shared" si="296"/>
        <v/>
      </c>
      <c r="DM90" s="851" t="str">
        <f>IF('Marks Entry'!AY90="","",IF(OR('Master Sheet'!$D$19="YES",'Marks Entry'!$BA$1=1),'Marks Entry'!AY90,""))</f>
        <v/>
      </c>
      <c r="DN90" s="851" t="str">
        <f>IF('Marks Entry'!AZ90="","",IF(OR('Master Sheet'!$D$19="YES",'Marks Entry'!$BA$1=1),'Marks Entry'!AZ90,""))</f>
        <v/>
      </c>
      <c r="DO90" s="851" t="str">
        <f>IF('Marks Entry'!BA90="","",IF(OR('Master Sheet'!$D$19="YES",'Marks Entry'!$BA$1=1),'Marks Entry'!BA90,""))</f>
        <v/>
      </c>
      <c r="DP90" s="852" t="str">
        <f t="shared" si="297"/>
        <v/>
      </c>
      <c r="DQ90" s="156" t="str">
        <f t="shared" si="298"/>
        <v/>
      </c>
      <c r="DR90" s="156" t="str">
        <f t="shared" si="299"/>
        <v/>
      </c>
      <c r="DS90" s="156" t="str">
        <f t="shared" si="300"/>
        <v/>
      </c>
      <c r="DT90" s="191" t="str">
        <f t="shared" si="301"/>
        <v/>
      </c>
      <c r="DU90" s="152">
        <f t="shared" si="302"/>
        <v>0</v>
      </c>
      <c r="DV90" s="153">
        <f t="shared" si="303"/>
        <v>0</v>
      </c>
      <c r="DW90" s="153" t="str">
        <f t="shared" si="304"/>
        <v/>
      </c>
      <c r="DX90" s="153" t="str">
        <f>IF(OR($B90="NSO",$B90=0,DS90=""),"",IF(AND(DJ90="",DO90=""),"",IF('Master Sheet'!$D$19="YES",$DO$6-COUNTIF(DO90,"ML")*DO$6,DS$6-(COUNTIF(DJ90,"ML")*DJ$6)-(COUNTIF(DO90,"ML")*DO$6))))</f>
        <v/>
      </c>
      <c r="DY90" s="153" t="str">
        <f>IF(OR($B90="NSO",$B90=0),"",IF(AND(DH90="",DI90="",DM90=""),"",IF(AND('Master Sheet'!$D$19="YES",'Marks Entry'!$BA$1=1),100,IF(AND(DJ90="",DO90=""),SUM(($DQ$7+$DR$7)-(DU90+DV90)),SUM(($DQ$6+$DR$6)-(DU90+DV90))))))</f>
        <v/>
      </c>
      <c r="DZ90" s="152" t="str">
        <f t="shared" si="305"/>
        <v/>
      </c>
      <c r="EA90" s="153" t="str">
        <f t="shared" si="306"/>
        <v/>
      </c>
      <c r="EB90" s="152" t="str">
        <f t="shared" si="307"/>
        <v/>
      </c>
      <c r="EC90" s="584" t="str">
        <f>IF('Marks Entry'!BB90="","",'Marks Entry'!BB90)</f>
        <v/>
      </c>
      <c r="ED90" s="584" t="str">
        <f>IF('Marks Entry'!BC90="","",'Marks Entry'!BC90)</f>
        <v/>
      </c>
      <c r="EE90" s="584" t="str">
        <f>IF('Marks Entry'!BD90="","",'Marks Entry'!BD90)</f>
        <v/>
      </c>
      <c r="EF90" s="590" t="str">
        <f t="shared" si="308"/>
        <v/>
      </c>
      <c r="EG90" s="595">
        <f t="shared" si="309"/>
        <v>0</v>
      </c>
      <c r="EH90" s="595">
        <f t="shared" si="310"/>
        <v>0</v>
      </c>
      <c r="EI90" s="192" t="str">
        <f t="shared" si="311"/>
        <v/>
      </c>
      <c r="EJ90" s="595" t="str">
        <f t="shared" si="312"/>
        <v/>
      </c>
      <c r="EK90" s="595" t="str">
        <f t="shared" si="313"/>
        <v/>
      </c>
      <c r="EL90" s="193" t="str">
        <f t="shared" si="314"/>
        <v/>
      </c>
      <c r="EM90" s="193" t="str">
        <f t="shared" si="315"/>
        <v/>
      </c>
      <c r="EN90" s="193" t="str">
        <f t="shared" si="316"/>
        <v/>
      </c>
      <c r="EO90" s="193" t="str">
        <f t="shared" si="317"/>
        <v/>
      </c>
      <c r="EP90" s="193" t="str">
        <f t="shared" si="318"/>
        <v/>
      </c>
      <c r="EQ90" s="193" t="str">
        <f t="shared" si="319"/>
        <v/>
      </c>
      <c r="ER90" s="194">
        <f t="shared" si="320"/>
        <v>0</v>
      </c>
      <c r="ES90" s="194">
        <f t="shared" si="321"/>
        <v>0</v>
      </c>
      <c r="ET90" s="194">
        <f t="shared" si="322"/>
        <v>0</v>
      </c>
      <c r="EU90" s="194">
        <f t="shared" si="323"/>
        <v>0</v>
      </c>
      <c r="EV90" s="194">
        <f t="shared" si="324"/>
        <v>0</v>
      </c>
      <c r="EW90" s="194" t="str">
        <f t="shared" si="325"/>
        <v/>
      </c>
      <c r="EX90" s="195" t="str">
        <f t="shared" si="326"/>
        <v/>
      </c>
      <c r="EY90" s="196" t="str">
        <f>IF('Marks Entry'!BE90="","",'Marks Entry'!BE90)</f>
        <v/>
      </c>
      <c r="EZ90" s="196" t="str">
        <f>IF('Marks Entry'!BF90="","",'Marks Entry'!BF90)</f>
        <v/>
      </c>
      <c r="FA90" s="196" t="str">
        <f>IF('Marks Entry'!BG90="","",'Marks Entry'!BG90)</f>
        <v/>
      </c>
      <c r="FB90" s="596" t="str">
        <f t="shared" si="327"/>
        <v/>
      </c>
      <c r="FC90" s="196" t="str">
        <f>IF('Marks Entry'!BH90="","",'Marks Entry'!BH90)</f>
        <v/>
      </c>
      <c r="FD90" s="196" t="str">
        <f>IF('Marks Entry'!BI90="","",'Marks Entry'!BI90)</f>
        <v/>
      </c>
      <c r="FE90" s="197" t="str">
        <f t="shared" si="328"/>
        <v/>
      </c>
      <c r="FF90" s="198" t="str">
        <f t="shared" si="329"/>
        <v/>
      </c>
      <c r="FG90" s="199" t="str">
        <f>IF(AND(E90=""),"",IF('Student DATA Entry'!L86="","",'Student DATA Entry'!L86))</f>
        <v/>
      </c>
      <c r="FH90" s="200" t="str">
        <f>IF(AND(E90=""),"",IF('Student DATA Entry'!M86="","",'Student DATA Entry'!M86))</f>
        <v/>
      </c>
      <c r="FI90" s="201" t="str">
        <f t="shared" si="330"/>
        <v/>
      </c>
      <c r="FJ90" s="188" t="str">
        <f t="shared" si="331"/>
        <v/>
      </c>
      <c r="FK90" s="188" t="str">
        <f t="shared" si="332"/>
        <v/>
      </c>
      <c r="FL90" s="202" t="str">
        <f t="shared" si="201"/>
        <v/>
      </c>
      <c r="FM90" s="188" t="str">
        <f t="shared" si="333"/>
        <v/>
      </c>
      <c r="FN90" s="203" t="str">
        <f t="shared" si="334"/>
        <v/>
      </c>
      <c r="FO90" s="202" t="str">
        <f t="shared" si="202"/>
        <v/>
      </c>
      <c r="FP90" s="204" t="str">
        <f t="shared" si="335"/>
        <v/>
      </c>
      <c r="FQ90" s="188" t="str">
        <f t="shared" si="203"/>
        <v/>
      </c>
      <c r="FR90" s="188" t="str">
        <f t="shared" si="204"/>
        <v/>
      </c>
      <c r="FS90" s="188" t="str">
        <f t="shared" si="205"/>
        <v/>
      </c>
      <c r="FT90" s="188" t="str">
        <f t="shared" si="206"/>
        <v/>
      </c>
      <c r="FU90" s="188" t="str">
        <f t="shared" si="336"/>
        <v/>
      </c>
      <c r="FV90" s="205" t="str">
        <f t="shared" si="207"/>
        <v/>
      </c>
      <c r="FW90" s="204" t="str">
        <f t="shared" si="337"/>
        <v/>
      </c>
      <c r="FX90" s="188" t="str">
        <f t="shared" si="208"/>
        <v/>
      </c>
      <c r="FY90" s="188" t="str">
        <f t="shared" si="209"/>
        <v/>
      </c>
      <c r="FZ90" s="188" t="str">
        <f t="shared" si="210"/>
        <v/>
      </c>
      <c r="GA90" s="188" t="str">
        <f t="shared" si="211"/>
        <v/>
      </c>
      <c r="GB90" s="188" t="str">
        <f t="shared" si="338"/>
        <v/>
      </c>
      <c r="GC90" s="205" t="str">
        <f t="shared" si="212"/>
        <v/>
      </c>
      <c r="GD90" s="204" t="str">
        <f t="shared" si="339"/>
        <v/>
      </c>
      <c r="GE90" s="188" t="str">
        <f t="shared" si="213"/>
        <v/>
      </c>
      <c r="GF90" s="188" t="str">
        <f t="shared" si="214"/>
        <v/>
      </c>
      <c r="GG90" s="188" t="str">
        <f t="shared" si="215"/>
        <v/>
      </c>
      <c r="GH90" s="188" t="str">
        <f t="shared" si="216"/>
        <v/>
      </c>
      <c r="GI90" s="188" t="str">
        <f t="shared" si="340"/>
        <v/>
      </c>
      <c r="GJ90" s="205" t="str">
        <f t="shared" si="217"/>
        <v/>
      </c>
      <c r="GK90" s="204" t="str">
        <f t="shared" si="341"/>
        <v/>
      </c>
      <c r="GL90" s="188" t="str">
        <f t="shared" si="218"/>
        <v/>
      </c>
      <c r="GM90" s="188" t="str">
        <f t="shared" si="219"/>
        <v/>
      </c>
      <c r="GN90" s="188" t="str">
        <f t="shared" si="220"/>
        <v/>
      </c>
      <c r="GO90" s="188" t="str">
        <f t="shared" si="221"/>
        <v/>
      </c>
      <c r="GP90" s="188" t="str">
        <f t="shared" si="342"/>
        <v/>
      </c>
      <c r="GQ90" s="205" t="str">
        <f t="shared" si="222"/>
        <v/>
      </c>
      <c r="GR90" s="188" t="str">
        <f t="shared" si="343"/>
        <v/>
      </c>
      <c r="GS90" s="188" t="str">
        <f t="shared" si="344"/>
        <v/>
      </c>
      <c r="GT90" s="206" t="str">
        <f t="shared" si="345"/>
        <v xml:space="preserve">    </v>
      </c>
      <c r="GU90" s="206" t="str">
        <f t="shared" si="346"/>
        <v xml:space="preserve">    </v>
      </c>
      <c r="GV90" s="206" t="str">
        <f t="shared" si="347"/>
        <v xml:space="preserve">    </v>
      </c>
      <c r="GW90" s="206" t="str">
        <f t="shared" si="348"/>
        <v xml:space="preserve">       </v>
      </c>
      <c r="GX90" s="598" t="str">
        <f t="shared" si="349"/>
        <v xml:space="preserve">     </v>
      </c>
      <c r="GY90" s="207" t="str">
        <f t="shared" si="223"/>
        <v/>
      </c>
      <c r="GZ90" s="606" t="str">
        <f>IF(AND(Q90="",AE90="",AZ90="",BW90="",CT90=""),"",IF(AND('Master Sheet'!$D$19="YES",'Marks Entry'!$BA$1=1),SUM(Q90,AE90,AZ90,BW90,DT90),SUM(Q90,AE90,AZ90,BW90,CT90)))</f>
        <v/>
      </c>
      <c r="HA90" s="208" t="str">
        <f>IF(GZ90="","",IF(AND('Master Sheet'!$D$19="YES",'Marks Entry'!$BA$1=1),GZ90/((900)-DC90)*100,GZ90/((1000)-DC90)*100))</f>
        <v/>
      </c>
      <c r="HB90" s="611" t="str">
        <f t="shared" si="350"/>
        <v/>
      </c>
      <c r="HC90" s="609" t="str">
        <f t="shared" si="351"/>
        <v/>
      </c>
      <c r="HD90" s="610" t="str">
        <f t="shared" si="352"/>
        <v/>
      </c>
      <c r="HE90" s="209" t="str">
        <f>IFERROR(IF(OR(GY90="SUPPLEMENTARY",GY90="RE-EXAM"),'Supp. Result Entry'!AS89,""),"")</f>
        <v/>
      </c>
      <c r="HF90" s="613" t="str">
        <f t="shared" si="353"/>
        <v/>
      </c>
      <c r="HG90" s="598" t="str">
        <f t="shared" si="354"/>
        <v/>
      </c>
      <c r="HH90" s="598" t="str">
        <f>IF(AND(HE90="",HF90="",HG90=""),"",IF(OR(GY90="SUPPLEMENTARY",GY90="RE-EXAM"),'Supp. Result Entry'!AS89,GY90))</f>
        <v/>
      </c>
      <c r="HI90" s="179"/>
      <c r="HY90" s="211" t="str">
        <f>IF('Supp. Result Entry'!U89="","",'Supp. Result Entry'!$U$6)</f>
        <v/>
      </c>
      <c r="HZ90" s="212" t="str">
        <f>IF('Supp. Result Entry'!X89="","",'Supp. Result Entry'!$X$6)</f>
        <v/>
      </c>
      <c r="IA90" s="212" t="str">
        <f>IF('Supp. Result Entry'!AA89="","",'Supp. Result Entry'!$AA$6)</f>
        <v/>
      </c>
      <c r="IB90" s="212" t="str">
        <f>IF('Supp. Result Entry'!AD89="","",'Supp. Result Entry'!$AD$6)</f>
        <v/>
      </c>
      <c r="IC90" s="212" t="str">
        <f>IF('Supp. Result Entry'!AG89="","",'Supp. Result Entry'!$AG$6)</f>
        <v/>
      </c>
      <c r="ID90" s="212" t="str">
        <f>IF('Supp. Result Entry'!AJ89="","",'Supp. Result Entry'!$AJ$6)</f>
        <v/>
      </c>
      <c r="IE90" s="212" t="str">
        <f>IF('Supp. Result Entry'!V89="","",'Supp. Result Entry'!V89)</f>
        <v/>
      </c>
      <c r="IF90" s="212" t="str">
        <f>IF('Supp. Result Entry'!Y89="","",'Supp. Result Entry'!Y89)</f>
        <v/>
      </c>
      <c r="IG90" s="212" t="str">
        <f>IF('Supp. Result Entry'!AB89="","",'Supp. Result Entry'!AB89)</f>
        <v/>
      </c>
      <c r="IH90" s="212" t="str">
        <f>IF('Supp. Result Entry'!AE89="","",'Supp. Result Entry'!AE89)</f>
        <v/>
      </c>
      <c r="II90" s="212" t="str">
        <f>IF('Supp. Result Entry'!AH89="","",'Supp. Result Entry'!AH89)</f>
        <v/>
      </c>
      <c r="IJ90" s="212" t="str">
        <f>IF('Supp. Result Entry'!AK89="","",'Supp. Result Entry'!AK89)</f>
        <v/>
      </c>
      <c r="IK90" s="212" t="str">
        <f>IF('Supp. Result Entry'!W89="","",'Supp. Result Entry'!W89)</f>
        <v/>
      </c>
      <c r="IL90" s="212" t="str">
        <f>IF('Supp. Result Entry'!Z89="","",'Supp. Result Entry'!Z89)</f>
        <v/>
      </c>
      <c r="IM90" s="212" t="str">
        <f>IF('Supp. Result Entry'!AC89="","",'Supp. Result Entry'!AC89)</f>
        <v/>
      </c>
      <c r="IN90" s="212" t="str">
        <f>IF('Supp. Result Entry'!AF89="","",'Supp. Result Entry'!AF89)</f>
        <v/>
      </c>
      <c r="IO90" s="212" t="str">
        <f>IF('Supp. Result Entry'!AI89="","",'Supp. Result Entry'!AI89)</f>
        <v/>
      </c>
      <c r="IP90" s="212" t="str">
        <f>IF('Supp. Result Entry'!AL89="","",'Supp. Result Entry'!AL89)</f>
        <v/>
      </c>
      <c r="IQ90" s="212">
        <f>COUNTIF('Supp. Result Entry'!K89:Q89,"S")</f>
        <v>0</v>
      </c>
      <c r="IR90" s="212">
        <f t="shared" si="355"/>
        <v>0</v>
      </c>
      <c r="IS90" s="212">
        <f t="shared" si="356"/>
        <v>0</v>
      </c>
      <c r="IT90" s="212" t="str">
        <f t="shared" si="224"/>
        <v/>
      </c>
      <c r="IU90" s="212" t="str">
        <f t="shared" si="225"/>
        <v/>
      </c>
      <c r="IV90" s="212" t="str">
        <f t="shared" si="226"/>
        <v/>
      </c>
      <c r="IW90" s="212" t="str">
        <f t="shared" si="227"/>
        <v/>
      </c>
      <c r="IX90" s="212" t="str">
        <f t="shared" si="228"/>
        <v/>
      </c>
      <c r="IY90" s="212" t="str">
        <f t="shared" si="357"/>
        <v/>
      </c>
      <c r="IZ90" s="212" t="str">
        <f t="shared" si="358"/>
        <v/>
      </c>
      <c r="JA90" s="212" t="str">
        <f t="shared" si="229"/>
        <v/>
      </c>
      <c r="JB90" s="210" t="str">
        <f t="shared" si="359"/>
        <v/>
      </c>
    </row>
    <row r="91" spans="1:262" s="210" customFormat="1" ht="21" customHeight="1">
      <c r="A91" s="183">
        <v>84</v>
      </c>
      <c r="B91" s="184" t="str">
        <f>IF('Marks Entry'!B91="","",'Marks Entry'!B91)</f>
        <v/>
      </c>
      <c r="C91" s="185" t="str">
        <f>IF('Marks Entry'!D91="","",'Marks Entry'!D91)</f>
        <v/>
      </c>
      <c r="D91" s="186" t="str">
        <f>IF('Marks Entry'!E91="","",'Marks Entry'!E91)</f>
        <v/>
      </c>
      <c r="E91" s="187" t="str">
        <f>IF('Marks Entry'!F91="","",'Marks Entry'!F91)</f>
        <v/>
      </c>
      <c r="F91" s="187" t="str">
        <f>IF('Marks Entry'!G91="","",'Marks Entry'!G91)</f>
        <v/>
      </c>
      <c r="G91" s="187" t="str">
        <f>IF('Marks Entry'!H91="","",'Marks Entry'!H91)</f>
        <v/>
      </c>
      <c r="H91" s="188" t="str">
        <f>IF('Marks Entry'!I91="","",'Marks Entry'!I91)</f>
        <v/>
      </c>
      <c r="I91" s="189" t="str">
        <f>IF('Marks Entry'!J91="","",'Marks Entry'!J91)</f>
        <v/>
      </c>
      <c r="J91" s="545" t="str">
        <f>IF('Marks Entry'!K91="","",'Marks Entry'!K91)</f>
        <v/>
      </c>
      <c r="K91" s="545" t="str">
        <f>IF('Marks Entry'!L91="","",'Marks Entry'!L91)</f>
        <v/>
      </c>
      <c r="L91" s="545" t="str">
        <f>IF('Marks Entry'!M91="","",'Marks Entry'!M91)</f>
        <v/>
      </c>
      <c r="M91" s="546" t="str">
        <f t="shared" si="230"/>
        <v/>
      </c>
      <c r="N91" s="545" t="str">
        <f>IF('Marks Entry'!N91="","",'Marks Entry'!N91)</f>
        <v/>
      </c>
      <c r="O91" s="546" t="str">
        <f t="shared" si="231"/>
        <v/>
      </c>
      <c r="P91" s="545" t="str">
        <f>IF('Marks Entry'!O91="","",'Marks Entry'!O91)</f>
        <v/>
      </c>
      <c r="Q91" s="547" t="str">
        <f t="shared" si="232"/>
        <v/>
      </c>
      <c r="R91" s="152">
        <f t="shared" si="233"/>
        <v>0</v>
      </c>
      <c r="S91" s="152">
        <f t="shared" si="234"/>
        <v>0</v>
      </c>
      <c r="T91" s="153" t="str">
        <f t="shared" si="235"/>
        <v/>
      </c>
      <c r="U91" s="152" t="str">
        <f t="shared" si="236"/>
        <v/>
      </c>
      <c r="V91" s="152" t="str">
        <f t="shared" si="237"/>
        <v/>
      </c>
      <c r="W91" s="152" t="str">
        <f t="shared" si="238"/>
        <v/>
      </c>
      <c r="X91" s="545" t="str">
        <f>IF('Marks Entry'!P91="","",'Marks Entry'!P91)</f>
        <v/>
      </c>
      <c r="Y91" s="545" t="str">
        <f>IF('Marks Entry'!Q91="","",'Marks Entry'!Q91)</f>
        <v/>
      </c>
      <c r="Z91" s="545" t="str">
        <f>IF('Marks Entry'!R91="","",'Marks Entry'!R91)</f>
        <v/>
      </c>
      <c r="AA91" s="546" t="str">
        <f t="shared" si="239"/>
        <v/>
      </c>
      <c r="AB91" s="545" t="str">
        <f>IF('Marks Entry'!S91="","",'Marks Entry'!S91)</f>
        <v/>
      </c>
      <c r="AC91" s="546" t="str">
        <f t="shared" si="240"/>
        <v/>
      </c>
      <c r="AD91" s="545" t="str">
        <f>IF('Marks Entry'!T91="","",'Marks Entry'!T91)</f>
        <v/>
      </c>
      <c r="AE91" s="547" t="str">
        <f t="shared" si="241"/>
        <v/>
      </c>
      <c r="AF91" s="152">
        <f t="shared" si="242"/>
        <v>0</v>
      </c>
      <c r="AG91" s="152">
        <f t="shared" si="243"/>
        <v>0</v>
      </c>
      <c r="AH91" s="153" t="str">
        <f t="shared" si="244"/>
        <v/>
      </c>
      <c r="AI91" s="152" t="str">
        <f t="shared" si="245"/>
        <v/>
      </c>
      <c r="AJ91" s="152" t="str">
        <f t="shared" si="246"/>
        <v/>
      </c>
      <c r="AK91" s="152" t="str">
        <f t="shared" si="247"/>
        <v/>
      </c>
      <c r="AL91" s="573" t="str">
        <f>IF('Marks Entry'!U91="","",'Marks Entry'!U91)</f>
        <v/>
      </c>
      <c r="AM91" s="573" t="str">
        <f>IF('Marks Entry'!V91="","",'Marks Entry'!V91)</f>
        <v/>
      </c>
      <c r="AN91" s="573" t="str">
        <f>IF('Marks Entry'!W91="","",'Marks Entry'!W91)</f>
        <v/>
      </c>
      <c r="AO91" s="573" t="str">
        <f>IF('Marks Entry'!X91="","",'Marks Entry'!X91)</f>
        <v/>
      </c>
      <c r="AP91" s="572" t="str">
        <f t="shared" si="248"/>
        <v/>
      </c>
      <c r="AQ91" s="573" t="str">
        <f>IF('Marks Entry'!Y91="","",'Marks Entry'!Y91)</f>
        <v/>
      </c>
      <c r="AR91" s="573" t="str">
        <f>IF('Marks Entry'!Z91="","",'Marks Entry'!Z91)</f>
        <v/>
      </c>
      <c r="AS91" s="572" t="str">
        <f t="shared" si="249"/>
        <v/>
      </c>
      <c r="AT91" s="572" t="str">
        <f t="shared" si="250"/>
        <v/>
      </c>
      <c r="AU91" s="573" t="str">
        <f>IF('Marks Entry'!AA91="","",'Marks Entry'!AA91)</f>
        <v/>
      </c>
      <c r="AV91" s="573" t="str">
        <f>IF('Marks Entry'!AB91="","",'Marks Entry'!AB91)</f>
        <v/>
      </c>
      <c r="AW91" s="572" t="str">
        <f t="shared" si="251"/>
        <v/>
      </c>
      <c r="AX91" s="156" t="str">
        <f t="shared" si="252"/>
        <v/>
      </c>
      <c r="AY91" s="156" t="str">
        <f t="shared" si="253"/>
        <v/>
      </c>
      <c r="AZ91" s="191" t="str">
        <f t="shared" si="254"/>
        <v/>
      </c>
      <c r="BA91" s="152">
        <f t="shared" si="255"/>
        <v>0</v>
      </c>
      <c r="BB91" s="153">
        <f t="shared" si="256"/>
        <v>0</v>
      </c>
      <c r="BC91" s="153" t="str">
        <f t="shared" si="257"/>
        <v/>
      </c>
      <c r="BD91" s="153" t="str">
        <f t="shared" si="258"/>
        <v/>
      </c>
      <c r="BE91" s="153" t="str">
        <f t="shared" si="259"/>
        <v/>
      </c>
      <c r="BF91" s="152" t="str">
        <f t="shared" si="260"/>
        <v/>
      </c>
      <c r="BG91" s="153" t="str">
        <f t="shared" si="261"/>
        <v/>
      </c>
      <c r="BH91" s="152" t="str">
        <f t="shared" si="262"/>
        <v/>
      </c>
      <c r="BI91" s="580" t="str">
        <f>IF('Marks Entry'!AC91="","",'Marks Entry'!AC91)</f>
        <v/>
      </c>
      <c r="BJ91" s="580" t="str">
        <f>IF('Marks Entry'!AD91="","",'Marks Entry'!AD91)</f>
        <v/>
      </c>
      <c r="BK91" s="580" t="str">
        <f>IF('Marks Entry'!AE91="","",'Marks Entry'!AE91)</f>
        <v/>
      </c>
      <c r="BL91" s="580" t="str">
        <f>IF('Marks Entry'!AF91="","",'Marks Entry'!AF91)</f>
        <v/>
      </c>
      <c r="BM91" s="581" t="str">
        <f t="shared" si="263"/>
        <v/>
      </c>
      <c r="BN91" s="580" t="str">
        <f>IF('Marks Entry'!AG91="","",'Marks Entry'!AG91)</f>
        <v/>
      </c>
      <c r="BO91" s="580" t="str">
        <f>IF('Marks Entry'!AH91="","",'Marks Entry'!AH91)</f>
        <v/>
      </c>
      <c r="BP91" s="581" t="str">
        <f t="shared" si="264"/>
        <v/>
      </c>
      <c r="BQ91" s="581" t="str">
        <f t="shared" si="265"/>
        <v/>
      </c>
      <c r="BR91" s="580" t="str">
        <f>IF('Marks Entry'!AI91="","",'Marks Entry'!AI91)</f>
        <v/>
      </c>
      <c r="BS91" s="580" t="str">
        <f>IF('Marks Entry'!AJ91="","",'Marks Entry'!AJ91)</f>
        <v/>
      </c>
      <c r="BT91" s="581" t="str">
        <f t="shared" si="266"/>
        <v/>
      </c>
      <c r="BU91" s="156" t="str">
        <f t="shared" si="267"/>
        <v/>
      </c>
      <c r="BV91" s="156" t="str">
        <f t="shared" si="268"/>
        <v/>
      </c>
      <c r="BW91" s="191" t="str">
        <f t="shared" si="269"/>
        <v/>
      </c>
      <c r="BX91" s="152">
        <f t="shared" si="270"/>
        <v>0</v>
      </c>
      <c r="BY91" s="153">
        <f t="shared" si="271"/>
        <v>0</v>
      </c>
      <c r="BZ91" s="153" t="str">
        <f t="shared" si="272"/>
        <v/>
      </c>
      <c r="CA91" s="153" t="str">
        <f t="shared" si="273"/>
        <v/>
      </c>
      <c r="CB91" s="153" t="str">
        <f t="shared" si="274"/>
        <v/>
      </c>
      <c r="CC91" s="152" t="str">
        <f t="shared" si="275"/>
        <v/>
      </c>
      <c r="CD91" s="153" t="str">
        <f t="shared" si="276"/>
        <v/>
      </c>
      <c r="CE91" s="152" t="str">
        <f t="shared" si="277"/>
        <v/>
      </c>
      <c r="CF91" s="580" t="str">
        <f>IF('Marks Entry'!AK91="","",'Marks Entry'!AK91)</f>
        <v/>
      </c>
      <c r="CG91" s="580" t="str">
        <f>IF('Marks Entry'!AL91="","",'Marks Entry'!AL91)</f>
        <v/>
      </c>
      <c r="CH91" s="580" t="str">
        <f>IF('Marks Entry'!AM91="","",'Marks Entry'!AM91)</f>
        <v/>
      </c>
      <c r="CI91" s="580" t="str">
        <f>IF('Marks Entry'!AN91="","",'Marks Entry'!AN91)</f>
        <v/>
      </c>
      <c r="CJ91" s="581" t="str">
        <f t="shared" si="278"/>
        <v/>
      </c>
      <c r="CK91" s="580" t="str">
        <f>IF('Marks Entry'!AO91="","",'Marks Entry'!AO91)</f>
        <v/>
      </c>
      <c r="CL91" s="580" t="str">
        <f>IF('Marks Entry'!AP91="","",'Marks Entry'!AP91)</f>
        <v/>
      </c>
      <c r="CM91" s="581" t="str">
        <f t="shared" si="279"/>
        <v/>
      </c>
      <c r="CN91" s="581" t="str">
        <f t="shared" si="280"/>
        <v/>
      </c>
      <c r="CO91" s="580" t="str">
        <f>IF('Marks Entry'!AQ91="","",'Marks Entry'!AQ91)</f>
        <v/>
      </c>
      <c r="CP91" s="580" t="str">
        <f>IF('Marks Entry'!AR91="","",'Marks Entry'!AR91)</f>
        <v/>
      </c>
      <c r="CQ91" s="581" t="str">
        <f t="shared" si="281"/>
        <v/>
      </c>
      <c r="CR91" s="156" t="str">
        <f t="shared" si="282"/>
        <v/>
      </c>
      <c r="CS91" s="156" t="str">
        <f t="shared" si="283"/>
        <v/>
      </c>
      <c r="CT91" s="191" t="str">
        <f t="shared" si="284"/>
        <v/>
      </c>
      <c r="CU91" s="152">
        <f t="shared" si="285"/>
        <v>0</v>
      </c>
      <c r="CV91" s="153">
        <f t="shared" si="286"/>
        <v>0</v>
      </c>
      <c r="CW91" s="153" t="str">
        <f t="shared" si="287"/>
        <v/>
      </c>
      <c r="CX91" s="153" t="str">
        <f t="shared" si="288"/>
        <v/>
      </c>
      <c r="CY91" s="153" t="str">
        <f t="shared" si="289"/>
        <v/>
      </c>
      <c r="CZ91" s="152" t="str">
        <f t="shared" si="290"/>
        <v/>
      </c>
      <c r="DA91" s="153" t="str">
        <f t="shared" si="291"/>
        <v/>
      </c>
      <c r="DB91" s="152" t="str">
        <f t="shared" si="292"/>
        <v/>
      </c>
      <c r="DC91" s="153">
        <f t="shared" si="293"/>
        <v>0</v>
      </c>
      <c r="DD91" s="851" t="str">
        <f>IF('Marks Entry'!AS91="","",IF(OR('Master Sheet'!$D$19="YES",'Marks Entry'!$BA$1=1),'Marks Entry'!AS91,""))</f>
        <v/>
      </c>
      <c r="DE91" s="851" t="str">
        <f>IF('Marks Entry'!AT91="","",IF(OR('Master Sheet'!$D$19="YES",'Marks Entry'!$BA$1=1),'Marks Entry'!AT91,""))</f>
        <v/>
      </c>
      <c r="DF91" s="851" t="str">
        <f>IF('Marks Entry'!AU91="","",IF(OR('Master Sheet'!$D$19="YES",'Marks Entry'!$BA$1=1),'Marks Entry'!AU91,""))</f>
        <v/>
      </c>
      <c r="DG91" s="851" t="str">
        <f>IF('Marks Entry'!AV91="","",IF(OR('Master Sheet'!$D$19="YES",'Marks Entry'!$BA$1=1),'Marks Entry'!AV91,""))</f>
        <v/>
      </c>
      <c r="DH91" s="852" t="str">
        <f t="shared" si="294"/>
        <v/>
      </c>
      <c r="DI91" s="851" t="str">
        <f>IF('Marks Entry'!AW91="","",IF(OR('Master Sheet'!$D$19="YES",'Marks Entry'!$BA$1=1),'Marks Entry'!AW91,""))</f>
        <v/>
      </c>
      <c r="DJ91" s="851" t="str">
        <f>IF('Marks Entry'!AX91="","",IF(OR('Master Sheet'!$D$19="YES",'Marks Entry'!$BA$1=1),'Marks Entry'!AX91,""))</f>
        <v/>
      </c>
      <c r="DK91" s="852" t="str">
        <f t="shared" si="295"/>
        <v/>
      </c>
      <c r="DL91" s="852" t="str">
        <f t="shared" si="296"/>
        <v/>
      </c>
      <c r="DM91" s="851" t="str">
        <f>IF('Marks Entry'!AY91="","",IF(OR('Master Sheet'!$D$19="YES",'Marks Entry'!$BA$1=1),'Marks Entry'!AY91,""))</f>
        <v/>
      </c>
      <c r="DN91" s="851" t="str">
        <f>IF('Marks Entry'!AZ91="","",IF(OR('Master Sheet'!$D$19="YES",'Marks Entry'!$BA$1=1),'Marks Entry'!AZ91,""))</f>
        <v/>
      </c>
      <c r="DO91" s="851" t="str">
        <f>IF('Marks Entry'!BA91="","",IF(OR('Master Sheet'!$D$19="YES",'Marks Entry'!$BA$1=1),'Marks Entry'!BA91,""))</f>
        <v/>
      </c>
      <c r="DP91" s="852" t="str">
        <f t="shared" si="297"/>
        <v/>
      </c>
      <c r="DQ91" s="156" t="str">
        <f t="shared" si="298"/>
        <v/>
      </c>
      <c r="DR91" s="156" t="str">
        <f t="shared" si="299"/>
        <v/>
      </c>
      <c r="DS91" s="156" t="str">
        <f t="shared" si="300"/>
        <v/>
      </c>
      <c r="DT91" s="191" t="str">
        <f t="shared" si="301"/>
        <v/>
      </c>
      <c r="DU91" s="152">
        <f t="shared" si="302"/>
        <v>0</v>
      </c>
      <c r="DV91" s="153">
        <f t="shared" si="303"/>
        <v>0</v>
      </c>
      <c r="DW91" s="153" t="str">
        <f t="shared" si="304"/>
        <v/>
      </c>
      <c r="DX91" s="153" t="str">
        <f>IF(OR($B91="NSO",$B91=0,DS91=""),"",IF(AND(DJ91="",DO91=""),"",IF('Master Sheet'!$D$19="YES",$DO$6-COUNTIF(DO91,"ML")*DO$6,DS$6-(COUNTIF(DJ91,"ML")*DJ$6)-(COUNTIF(DO91,"ML")*DO$6))))</f>
        <v/>
      </c>
      <c r="DY91" s="153" t="str">
        <f>IF(OR($B91="NSO",$B91=0),"",IF(AND(DH91="",DI91="",DM91=""),"",IF(AND('Master Sheet'!$D$19="YES",'Marks Entry'!$BA$1=1),100,IF(AND(DJ91="",DO91=""),SUM(($DQ$7+$DR$7)-(DU91+DV91)),SUM(($DQ$6+$DR$6)-(DU91+DV91))))))</f>
        <v/>
      </c>
      <c r="DZ91" s="152" t="str">
        <f t="shared" si="305"/>
        <v/>
      </c>
      <c r="EA91" s="153" t="str">
        <f t="shared" si="306"/>
        <v/>
      </c>
      <c r="EB91" s="152" t="str">
        <f t="shared" si="307"/>
        <v/>
      </c>
      <c r="EC91" s="584" t="str">
        <f>IF('Marks Entry'!BB91="","",'Marks Entry'!BB91)</f>
        <v/>
      </c>
      <c r="ED91" s="584" t="str">
        <f>IF('Marks Entry'!BC91="","",'Marks Entry'!BC91)</f>
        <v/>
      </c>
      <c r="EE91" s="584" t="str">
        <f>IF('Marks Entry'!BD91="","",'Marks Entry'!BD91)</f>
        <v/>
      </c>
      <c r="EF91" s="590" t="str">
        <f t="shared" si="308"/>
        <v/>
      </c>
      <c r="EG91" s="595">
        <f t="shared" si="309"/>
        <v>0</v>
      </c>
      <c r="EH91" s="595">
        <f t="shared" si="310"/>
        <v>0</v>
      </c>
      <c r="EI91" s="192" t="str">
        <f t="shared" si="311"/>
        <v/>
      </c>
      <c r="EJ91" s="595" t="str">
        <f t="shared" si="312"/>
        <v/>
      </c>
      <c r="EK91" s="595" t="str">
        <f t="shared" si="313"/>
        <v/>
      </c>
      <c r="EL91" s="193" t="str">
        <f t="shared" si="314"/>
        <v/>
      </c>
      <c r="EM91" s="193" t="str">
        <f t="shared" si="315"/>
        <v/>
      </c>
      <c r="EN91" s="193" t="str">
        <f t="shared" si="316"/>
        <v/>
      </c>
      <c r="EO91" s="193" t="str">
        <f t="shared" si="317"/>
        <v/>
      </c>
      <c r="EP91" s="193" t="str">
        <f t="shared" si="318"/>
        <v/>
      </c>
      <c r="EQ91" s="193" t="str">
        <f t="shared" si="319"/>
        <v/>
      </c>
      <c r="ER91" s="194">
        <f t="shared" si="320"/>
        <v>0</v>
      </c>
      <c r="ES91" s="194">
        <f t="shared" si="321"/>
        <v>0</v>
      </c>
      <c r="ET91" s="194">
        <f t="shared" si="322"/>
        <v>0</v>
      </c>
      <c r="EU91" s="194">
        <f t="shared" si="323"/>
        <v>0</v>
      </c>
      <c r="EV91" s="194">
        <f t="shared" si="324"/>
        <v>0</v>
      </c>
      <c r="EW91" s="194" t="str">
        <f t="shared" si="325"/>
        <v/>
      </c>
      <c r="EX91" s="195" t="str">
        <f t="shared" si="326"/>
        <v/>
      </c>
      <c r="EY91" s="196" t="str">
        <f>IF('Marks Entry'!BE91="","",'Marks Entry'!BE91)</f>
        <v/>
      </c>
      <c r="EZ91" s="196" t="str">
        <f>IF('Marks Entry'!BF91="","",'Marks Entry'!BF91)</f>
        <v/>
      </c>
      <c r="FA91" s="196" t="str">
        <f>IF('Marks Entry'!BG91="","",'Marks Entry'!BG91)</f>
        <v/>
      </c>
      <c r="FB91" s="596" t="str">
        <f t="shared" si="327"/>
        <v/>
      </c>
      <c r="FC91" s="196" t="str">
        <f>IF('Marks Entry'!BH91="","",'Marks Entry'!BH91)</f>
        <v/>
      </c>
      <c r="FD91" s="196" t="str">
        <f>IF('Marks Entry'!BI91="","",'Marks Entry'!BI91)</f>
        <v/>
      </c>
      <c r="FE91" s="197" t="str">
        <f t="shared" si="328"/>
        <v/>
      </c>
      <c r="FF91" s="198" t="str">
        <f t="shared" si="329"/>
        <v/>
      </c>
      <c r="FG91" s="199" t="str">
        <f>IF(AND(E91=""),"",IF('Student DATA Entry'!L87="","",'Student DATA Entry'!L87))</f>
        <v/>
      </c>
      <c r="FH91" s="200" t="str">
        <f>IF(AND(E91=""),"",IF('Student DATA Entry'!M87="","",'Student DATA Entry'!M87))</f>
        <v/>
      </c>
      <c r="FI91" s="201" t="str">
        <f t="shared" si="330"/>
        <v/>
      </c>
      <c r="FJ91" s="188" t="str">
        <f t="shared" si="331"/>
        <v/>
      </c>
      <c r="FK91" s="188" t="str">
        <f t="shared" si="332"/>
        <v/>
      </c>
      <c r="FL91" s="202" t="str">
        <f t="shared" si="201"/>
        <v/>
      </c>
      <c r="FM91" s="188" t="str">
        <f t="shared" si="333"/>
        <v/>
      </c>
      <c r="FN91" s="203" t="str">
        <f t="shared" si="334"/>
        <v/>
      </c>
      <c r="FO91" s="202" t="str">
        <f t="shared" si="202"/>
        <v/>
      </c>
      <c r="FP91" s="204" t="str">
        <f t="shared" si="335"/>
        <v/>
      </c>
      <c r="FQ91" s="188" t="str">
        <f t="shared" si="203"/>
        <v/>
      </c>
      <c r="FR91" s="188" t="str">
        <f t="shared" si="204"/>
        <v/>
      </c>
      <c r="FS91" s="188" t="str">
        <f t="shared" si="205"/>
        <v/>
      </c>
      <c r="FT91" s="188" t="str">
        <f t="shared" si="206"/>
        <v/>
      </c>
      <c r="FU91" s="188" t="str">
        <f t="shared" si="336"/>
        <v/>
      </c>
      <c r="FV91" s="205" t="str">
        <f t="shared" si="207"/>
        <v/>
      </c>
      <c r="FW91" s="204" t="str">
        <f t="shared" si="337"/>
        <v/>
      </c>
      <c r="FX91" s="188" t="str">
        <f t="shared" si="208"/>
        <v/>
      </c>
      <c r="FY91" s="188" t="str">
        <f t="shared" si="209"/>
        <v/>
      </c>
      <c r="FZ91" s="188" t="str">
        <f t="shared" si="210"/>
        <v/>
      </c>
      <c r="GA91" s="188" t="str">
        <f t="shared" si="211"/>
        <v/>
      </c>
      <c r="GB91" s="188" t="str">
        <f t="shared" si="338"/>
        <v/>
      </c>
      <c r="GC91" s="205" t="str">
        <f t="shared" si="212"/>
        <v/>
      </c>
      <c r="GD91" s="204" t="str">
        <f t="shared" si="339"/>
        <v/>
      </c>
      <c r="GE91" s="188" t="str">
        <f t="shared" si="213"/>
        <v/>
      </c>
      <c r="GF91" s="188" t="str">
        <f t="shared" si="214"/>
        <v/>
      </c>
      <c r="GG91" s="188" t="str">
        <f t="shared" si="215"/>
        <v/>
      </c>
      <c r="GH91" s="188" t="str">
        <f t="shared" si="216"/>
        <v/>
      </c>
      <c r="GI91" s="188" t="str">
        <f t="shared" si="340"/>
        <v/>
      </c>
      <c r="GJ91" s="205" t="str">
        <f t="shared" si="217"/>
        <v/>
      </c>
      <c r="GK91" s="204" t="str">
        <f t="shared" si="341"/>
        <v/>
      </c>
      <c r="GL91" s="188" t="str">
        <f t="shared" si="218"/>
        <v/>
      </c>
      <c r="GM91" s="188" t="str">
        <f t="shared" si="219"/>
        <v/>
      </c>
      <c r="GN91" s="188" t="str">
        <f t="shared" si="220"/>
        <v/>
      </c>
      <c r="GO91" s="188" t="str">
        <f t="shared" si="221"/>
        <v/>
      </c>
      <c r="GP91" s="188" t="str">
        <f t="shared" si="342"/>
        <v/>
      </c>
      <c r="GQ91" s="205" t="str">
        <f t="shared" si="222"/>
        <v/>
      </c>
      <c r="GR91" s="188" t="str">
        <f t="shared" si="343"/>
        <v/>
      </c>
      <c r="GS91" s="188" t="str">
        <f t="shared" si="344"/>
        <v/>
      </c>
      <c r="GT91" s="206" t="str">
        <f t="shared" si="345"/>
        <v xml:space="preserve">    </v>
      </c>
      <c r="GU91" s="206" t="str">
        <f t="shared" si="346"/>
        <v xml:space="preserve">    </v>
      </c>
      <c r="GV91" s="206" t="str">
        <f t="shared" si="347"/>
        <v xml:space="preserve">    </v>
      </c>
      <c r="GW91" s="206" t="str">
        <f t="shared" si="348"/>
        <v xml:space="preserve">       </v>
      </c>
      <c r="GX91" s="598" t="str">
        <f t="shared" si="349"/>
        <v xml:space="preserve">     </v>
      </c>
      <c r="GY91" s="207" t="str">
        <f t="shared" si="223"/>
        <v/>
      </c>
      <c r="GZ91" s="606" t="str">
        <f>IF(AND(Q91="",AE91="",AZ91="",BW91="",CT91=""),"",IF(AND('Master Sheet'!$D$19="YES",'Marks Entry'!$BA$1=1),SUM(Q91,AE91,AZ91,BW91,DT91),SUM(Q91,AE91,AZ91,BW91,CT91)))</f>
        <v/>
      </c>
      <c r="HA91" s="208" t="str">
        <f>IF(GZ91="","",IF(AND('Master Sheet'!$D$19="YES",'Marks Entry'!$BA$1=1),GZ91/((900)-DC91)*100,GZ91/((1000)-DC91)*100))</f>
        <v/>
      </c>
      <c r="HB91" s="611" t="str">
        <f t="shared" si="350"/>
        <v/>
      </c>
      <c r="HC91" s="609" t="str">
        <f t="shared" si="351"/>
        <v/>
      </c>
      <c r="HD91" s="610" t="str">
        <f t="shared" si="352"/>
        <v/>
      </c>
      <c r="HE91" s="209" t="str">
        <f>IFERROR(IF(OR(GY91="SUPPLEMENTARY",GY91="RE-EXAM"),'Supp. Result Entry'!AS90,""),"")</f>
        <v/>
      </c>
      <c r="HF91" s="613" t="str">
        <f t="shared" si="353"/>
        <v/>
      </c>
      <c r="HG91" s="598" t="str">
        <f t="shared" si="354"/>
        <v/>
      </c>
      <c r="HH91" s="598" t="str">
        <f>IF(AND(HE91="",HF91="",HG91=""),"",IF(OR(GY91="SUPPLEMENTARY",GY91="RE-EXAM"),'Supp. Result Entry'!AS90,GY91))</f>
        <v/>
      </c>
      <c r="HI91" s="179"/>
      <c r="HY91" s="211" t="str">
        <f>IF('Supp. Result Entry'!U90="","",'Supp. Result Entry'!$U$6)</f>
        <v/>
      </c>
      <c r="HZ91" s="212" t="str">
        <f>IF('Supp. Result Entry'!X90="","",'Supp. Result Entry'!$X$6)</f>
        <v/>
      </c>
      <c r="IA91" s="212" t="str">
        <f>IF('Supp. Result Entry'!AA90="","",'Supp. Result Entry'!$AA$6)</f>
        <v/>
      </c>
      <c r="IB91" s="212" t="str">
        <f>IF('Supp. Result Entry'!AD90="","",'Supp. Result Entry'!$AD$6)</f>
        <v/>
      </c>
      <c r="IC91" s="212" t="str">
        <f>IF('Supp. Result Entry'!AG90="","",'Supp. Result Entry'!$AG$6)</f>
        <v/>
      </c>
      <c r="ID91" s="212" t="str">
        <f>IF('Supp. Result Entry'!AJ90="","",'Supp. Result Entry'!$AJ$6)</f>
        <v/>
      </c>
      <c r="IE91" s="212" t="str">
        <f>IF('Supp. Result Entry'!V90="","",'Supp. Result Entry'!V90)</f>
        <v/>
      </c>
      <c r="IF91" s="212" t="str">
        <f>IF('Supp. Result Entry'!Y90="","",'Supp. Result Entry'!Y90)</f>
        <v/>
      </c>
      <c r="IG91" s="212" t="str">
        <f>IF('Supp. Result Entry'!AB90="","",'Supp. Result Entry'!AB90)</f>
        <v/>
      </c>
      <c r="IH91" s="212" t="str">
        <f>IF('Supp. Result Entry'!AE90="","",'Supp. Result Entry'!AE90)</f>
        <v/>
      </c>
      <c r="II91" s="212" t="str">
        <f>IF('Supp. Result Entry'!AH90="","",'Supp. Result Entry'!AH90)</f>
        <v/>
      </c>
      <c r="IJ91" s="212" t="str">
        <f>IF('Supp. Result Entry'!AK90="","",'Supp. Result Entry'!AK90)</f>
        <v/>
      </c>
      <c r="IK91" s="212" t="str">
        <f>IF('Supp. Result Entry'!W90="","",'Supp. Result Entry'!W90)</f>
        <v/>
      </c>
      <c r="IL91" s="212" t="str">
        <f>IF('Supp. Result Entry'!Z90="","",'Supp. Result Entry'!Z90)</f>
        <v/>
      </c>
      <c r="IM91" s="212" t="str">
        <f>IF('Supp. Result Entry'!AC90="","",'Supp. Result Entry'!AC90)</f>
        <v/>
      </c>
      <c r="IN91" s="212" t="str">
        <f>IF('Supp. Result Entry'!AF90="","",'Supp. Result Entry'!AF90)</f>
        <v/>
      </c>
      <c r="IO91" s="212" t="str">
        <f>IF('Supp. Result Entry'!AI90="","",'Supp. Result Entry'!AI90)</f>
        <v/>
      </c>
      <c r="IP91" s="212" t="str">
        <f>IF('Supp. Result Entry'!AL90="","",'Supp. Result Entry'!AL90)</f>
        <v/>
      </c>
      <c r="IQ91" s="212">
        <f>COUNTIF('Supp. Result Entry'!K90:Q90,"S")</f>
        <v>0</v>
      </c>
      <c r="IR91" s="212">
        <f t="shared" si="355"/>
        <v>0</v>
      </c>
      <c r="IS91" s="212">
        <f t="shared" si="356"/>
        <v>0</v>
      </c>
      <c r="IT91" s="212" t="str">
        <f t="shared" si="224"/>
        <v/>
      </c>
      <c r="IU91" s="212" t="str">
        <f t="shared" si="225"/>
        <v/>
      </c>
      <c r="IV91" s="212" t="str">
        <f t="shared" si="226"/>
        <v/>
      </c>
      <c r="IW91" s="212" t="str">
        <f t="shared" si="227"/>
        <v/>
      </c>
      <c r="IX91" s="212" t="str">
        <f t="shared" si="228"/>
        <v/>
      </c>
      <c r="IY91" s="212" t="str">
        <f t="shared" si="357"/>
        <v/>
      </c>
      <c r="IZ91" s="212" t="str">
        <f t="shared" si="358"/>
        <v/>
      </c>
      <c r="JA91" s="212" t="str">
        <f t="shared" si="229"/>
        <v/>
      </c>
      <c r="JB91" s="210" t="str">
        <f t="shared" si="359"/>
        <v/>
      </c>
    </row>
    <row r="92" spans="1:262" s="210" customFormat="1" ht="21" customHeight="1">
      <c r="A92" s="183">
        <v>85</v>
      </c>
      <c r="B92" s="184" t="str">
        <f>IF('Marks Entry'!B92="","",'Marks Entry'!B92)</f>
        <v/>
      </c>
      <c r="C92" s="185" t="str">
        <f>IF('Marks Entry'!D92="","",'Marks Entry'!D92)</f>
        <v/>
      </c>
      <c r="D92" s="186" t="str">
        <f>IF('Marks Entry'!E92="","",'Marks Entry'!E92)</f>
        <v/>
      </c>
      <c r="E92" s="187" t="str">
        <f>IF('Marks Entry'!F92="","",'Marks Entry'!F92)</f>
        <v/>
      </c>
      <c r="F92" s="187" t="str">
        <f>IF('Marks Entry'!G92="","",'Marks Entry'!G92)</f>
        <v/>
      </c>
      <c r="G92" s="187" t="str">
        <f>IF('Marks Entry'!H92="","",'Marks Entry'!H92)</f>
        <v/>
      </c>
      <c r="H92" s="188" t="str">
        <f>IF('Marks Entry'!I92="","",'Marks Entry'!I92)</f>
        <v/>
      </c>
      <c r="I92" s="189" t="str">
        <f>IF('Marks Entry'!J92="","",'Marks Entry'!J92)</f>
        <v/>
      </c>
      <c r="J92" s="545" t="str">
        <f>IF('Marks Entry'!K92="","",'Marks Entry'!K92)</f>
        <v/>
      </c>
      <c r="K92" s="545" t="str">
        <f>IF('Marks Entry'!L92="","",'Marks Entry'!L92)</f>
        <v/>
      </c>
      <c r="L92" s="545" t="str">
        <f>IF('Marks Entry'!M92="","",'Marks Entry'!M92)</f>
        <v/>
      </c>
      <c r="M92" s="546" t="str">
        <f t="shared" si="230"/>
        <v/>
      </c>
      <c r="N92" s="545" t="str">
        <f>IF('Marks Entry'!N92="","",'Marks Entry'!N92)</f>
        <v/>
      </c>
      <c r="O92" s="546" t="str">
        <f t="shared" si="231"/>
        <v/>
      </c>
      <c r="P92" s="545" t="str">
        <f>IF('Marks Entry'!O92="","",'Marks Entry'!O92)</f>
        <v/>
      </c>
      <c r="Q92" s="547" t="str">
        <f t="shared" si="232"/>
        <v/>
      </c>
      <c r="R92" s="152">
        <f t="shared" si="233"/>
        <v>0</v>
      </c>
      <c r="S92" s="152">
        <f t="shared" si="234"/>
        <v>0</v>
      </c>
      <c r="T92" s="153" t="str">
        <f t="shared" si="235"/>
        <v/>
      </c>
      <c r="U92" s="152" t="str">
        <f t="shared" si="236"/>
        <v/>
      </c>
      <c r="V92" s="152" t="str">
        <f t="shared" si="237"/>
        <v/>
      </c>
      <c r="W92" s="152" t="str">
        <f t="shared" si="238"/>
        <v/>
      </c>
      <c r="X92" s="545" t="str">
        <f>IF('Marks Entry'!P92="","",'Marks Entry'!P92)</f>
        <v/>
      </c>
      <c r="Y92" s="545" t="str">
        <f>IF('Marks Entry'!Q92="","",'Marks Entry'!Q92)</f>
        <v/>
      </c>
      <c r="Z92" s="545" t="str">
        <f>IF('Marks Entry'!R92="","",'Marks Entry'!R92)</f>
        <v/>
      </c>
      <c r="AA92" s="546" t="str">
        <f t="shared" si="239"/>
        <v/>
      </c>
      <c r="AB92" s="545" t="str">
        <f>IF('Marks Entry'!S92="","",'Marks Entry'!S92)</f>
        <v/>
      </c>
      <c r="AC92" s="546" t="str">
        <f t="shared" si="240"/>
        <v/>
      </c>
      <c r="AD92" s="545" t="str">
        <f>IF('Marks Entry'!T92="","",'Marks Entry'!T92)</f>
        <v/>
      </c>
      <c r="AE92" s="547" t="str">
        <f t="shared" si="241"/>
        <v/>
      </c>
      <c r="AF92" s="152">
        <f t="shared" si="242"/>
        <v>0</v>
      </c>
      <c r="AG92" s="152">
        <f t="shared" si="243"/>
        <v>0</v>
      </c>
      <c r="AH92" s="153" t="str">
        <f t="shared" si="244"/>
        <v/>
      </c>
      <c r="AI92" s="152" t="str">
        <f t="shared" si="245"/>
        <v/>
      </c>
      <c r="AJ92" s="152" t="str">
        <f t="shared" si="246"/>
        <v/>
      </c>
      <c r="AK92" s="152" t="str">
        <f t="shared" si="247"/>
        <v/>
      </c>
      <c r="AL92" s="573" t="str">
        <f>IF('Marks Entry'!U92="","",'Marks Entry'!U92)</f>
        <v/>
      </c>
      <c r="AM92" s="573" t="str">
        <f>IF('Marks Entry'!V92="","",'Marks Entry'!V92)</f>
        <v/>
      </c>
      <c r="AN92" s="573" t="str">
        <f>IF('Marks Entry'!W92="","",'Marks Entry'!W92)</f>
        <v/>
      </c>
      <c r="AO92" s="573" t="str">
        <f>IF('Marks Entry'!X92="","",'Marks Entry'!X92)</f>
        <v/>
      </c>
      <c r="AP92" s="572" t="str">
        <f t="shared" si="248"/>
        <v/>
      </c>
      <c r="AQ92" s="573" t="str">
        <f>IF('Marks Entry'!Y92="","",'Marks Entry'!Y92)</f>
        <v/>
      </c>
      <c r="AR92" s="573" t="str">
        <f>IF('Marks Entry'!Z92="","",'Marks Entry'!Z92)</f>
        <v/>
      </c>
      <c r="AS92" s="572" t="str">
        <f t="shared" si="249"/>
        <v/>
      </c>
      <c r="AT92" s="572" t="str">
        <f t="shared" si="250"/>
        <v/>
      </c>
      <c r="AU92" s="573" t="str">
        <f>IF('Marks Entry'!AA92="","",'Marks Entry'!AA92)</f>
        <v/>
      </c>
      <c r="AV92" s="573" t="str">
        <f>IF('Marks Entry'!AB92="","",'Marks Entry'!AB92)</f>
        <v/>
      </c>
      <c r="AW92" s="572" t="str">
        <f t="shared" si="251"/>
        <v/>
      </c>
      <c r="AX92" s="156" t="str">
        <f t="shared" si="252"/>
        <v/>
      </c>
      <c r="AY92" s="156" t="str">
        <f t="shared" si="253"/>
        <v/>
      </c>
      <c r="AZ92" s="191" t="str">
        <f t="shared" si="254"/>
        <v/>
      </c>
      <c r="BA92" s="152">
        <f t="shared" si="255"/>
        <v>0</v>
      </c>
      <c r="BB92" s="153">
        <f t="shared" si="256"/>
        <v>0</v>
      </c>
      <c r="BC92" s="153" t="str">
        <f t="shared" si="257"/>
        <v/>
      </c>
      <c r="BD92" s="153" t="str">
        <f t="shared" si="258"/>
        <v/>
      </c>
      <c r="BE92" s="153" t="str">
        <f t="shared" si="259"/>
        <v/>
      </c>
      <c r="BF92" s="152" t="str">
        <f t="shared" si="260"/>
        <v/>
      </c>
      <c r="BG92" s="153" t="str">
        <f t="shared" si="261"/>
        <v/>
      </c>
      <c r="BH92" s="152" t="str">
        <f t="shared" si="262"/>
        <v/>
      </c>
      <c r="BI92" s="580" t="str">
        <f>IF('Marks Entry'!AC92="","",'Marks Entry'!AC92)</f>
        <v/>
      </c>
      <c r="BJ92" s="580" t="str">
        <f>IF('Marks Entry'!AD92="","",'Marks Entry'!AD92)</f>
        <v/>
      </c>
      <c r="BK92" s="580" t="str">
        <f>IF('Marks Entry'!AE92="","",'Marks Entry'!AE92)</f>
        <v/>
      </c>
      <c r="BL92" s="580" t="str">
        <f>IF('Marks Entry'!AF92="","",'Marks Entry'!AF92)</f>
        <v/>
      </c>
      <c r="BM92" s="581" t="str">
        <f t="shared" si="263"/>
        <v/>
      </c>
      <c r="BN92" s="580" t="str">
        <f>IF('Marks Entry'!AG92="","",'Marks Entry'!AG92)</f>
        <v/>
      </c>
      <c r="BO92" s="580" t="str">
        <f>IF('Marks Entry'!AH92="","",'Marks Entry'!AH92)</f>
        <v/>
      </c>
      <c r="BP92" s="581" t="str">
        <f t="shared" si="264"/>
        <v/>
      </c>
      <c r="BQ92" s="581" t="str">
        <f t="shared" si="265"/>
        <v/>
      </c>
      <c r="BR92" s="580" t="str">
        <f>IF('Marks Entry'!AI92="","",'Marks Entry'!AI92)</f>
        <v/>
      </c>
      <c r="BS92" s="580" t="str">
        <f>IF('Marks Entry'!AJ92="","",'Marks Entry'!AJ92)</f>
        <v/>
      </c>
      <c r="BT92" s="581" t="str">
        <f t="shared" si="266"/>
        <v/>
      </c>
      <c r="BU92" s="156" t="str">
        <f t="shared" si="267"/>
        <v/>
      </c>
      <c r="BV92" s="156" t="str">
        <f t="shared" si="268"/>
        <v/>
      </c>
      <c r="BW92" s="191" t="str">
        <f t="shared" si="269"/>
        <v/>
      </c>
      <c r="BX92" s="152">
        <f t="shared" si="270"/>
        <v>0</v>
      </c>
      <c r="BY92" s="153">
        <f t="shared" si="271"/>
        <v>0</v>
      </c>
      <c r="BZ92" s="153" t="str">
        <f t="shared" si="272"/>
        <v/>
      </c>
      <c r="CA92" s="153" t="str">
        <f t="shared" si="273"/>
        <v/>
      </c>
      <c r="CB92" s="153" t="str">
        <f t="shared" si="274"/>
        <v/>
      </c>
      <c r="CC92" s="152" t="str">
        <f t="shared" si="275"/>
        <v/>
      </c>
      <c r="CD92" s="153" t="str">
        <f t="shared" si="276"/>
        <v/>
      </c>
      <c r="CE92" s="152" t="str">
        <f t="shared" si="277"/>
        <v/>
      </c>
      <c r="CF92" s="580" t="str">
        <f>IF('Marks Entry'!AK92="","",'Marks Entry'!AK92)</f>
        <v/>
      </c>
      <c r="CG92" s="580" t="str">
        <f>IF('Marks Entry'!AL92="","",'Marks Entry'!AL92)</f>
        <v/>
      </c>
      <c r="CH92" s="580" t="str">
        <f>IF('Marks Entry'!AM92="","",'Marks Entry'!AM92)</f>
        <v/>
      </c>
      <c r="CI92" s="580" t="str">
        <f>IF('Marks Entry'!AN92="","",'Marks Entry'!AN92)</f>
        <v/>
      </c>
      <c r="CJ92" s="581" t="str">
        <f t="shared" si="278"/>
        <v/>
      </c>
      <c r="CK92" s="580" t="str">
        <f>IF('Marks Entry'!AO92="","",'Marks Entry'!AO92)</f>
        <v/>
      </c>
      <c r="CL92" s="580" t="str">
        <f>IF('Marks Entry'!AP92="","",'Marks Entry'!AP92)</f>
        <v/>
      </c>
      <c r="CM92" s="581" t="str">
        <f t="shared" si="279"/>
        <v/>
      </c>
      <c r="CN92" s="581" t="str">
        <f t="shared" si="280"/>
        <v/>
      </c>
      <c r="CO92" s="580" t="str">
        <f>IF('Marks Entry'!AQ92="","",'Marks Entry'!AQ92)</f>
        <v/>
      </c>
      <c r="CP92" s="580" t="str">
        <f>IF('Marks Entry'!AR92="","",'Marks Entry'!AR92)</f>
        <v/>
      </c>
      <c r="CQ92" s="581" t="str">
        <f t="shared" si="281"/>
        <v/>
      </c>
      <c r="CR92" s="156" t="str">
        <f t="shared" si="282"/>
        <v/>
      </c>
      <c r="CS92" s="156" t="str">
        <f t="shared" si="283"/>
        <v/>
      </c>
      <c r="CT92" s="191" t="str">
        <f t="shared" si="284"/>
        <v/>
      </c>
      <c r="CU92" s="152">
        <f t="shared" si="285"/>
        <v>0</v>
      </c>
      <c r="CV92" s="153">
        <f t="shared" si="286"/>
        <v>0</v>
      </c>
      <c r="CW92" s="153" t="str">
        <f t="shared" si="287"/>
        <v/>
      </c>
      <c r="CX92" s="153" t="str">
        <f t="shared" si="288"/>
        <v/>
      </c>
      <c r="CY92" s="153" t="str">
        <f t="shared" si="289"/>
        <v/>
      </c>
      <c r="CZ92" s="152" t="str">
        <f t="shared" si="290"/>
        <v/>
      </c>
      <c r="DA92" s="153" t="str">
        <f t="shared" si="291"/>
        <v/>
      </c>
      <c r="DB92" s="152" t="str">
        <f t="shared" si="292"/>
        <v/>
      </c>
      <c r="DC92" s="153">
        <f t="shared" si="293"/>
        <v>0</v>
      </c>
      <c r="DD92" s="851" t="str">
        <f>IF('Marks Entry'!AS92="","",IF(OR('Master Sheet'!$D$19="YES",'Marks Entry'!$BA$1=1),'Marks Entry'!AS92,""))</f>
        <v/>
      </c>
      <c r="DE92" s="851" t="str">
        <f>IF('Marks Entry'!AT92="","",IF(OR('Master Sheet'!$D$19="YES",'Marks Entry'!$BA$1=1),'Marks Entry'!AT92,""))</f>
        <v/>
      </c>
      <c r="DF92" s="851" t="str">
        <f>IF('Marks Entry'!AU92="","",IF(OR('Master Sheet'!$D$19="YES",'Marks Entry'!$BA$1=1),'Marks Entry'!AU92,""))</f>
        <v/>
      </c>
      <c r="DG92" s="851" t="str">
        <f>IF('Marks Entry'!AV92="","",IF(OR('Master Sheet'!$D$19="YES",'Marks Entry'!$BA$1=1),'Marks Entry'!AV92,""))</f>
        <v/>
      </c>
      <c r="DH92" s="852" t="str">
        <f t="shared" si="294"/>
        <v/>
      </c>
      <c r="DI92" s="851" t="str">
        <f>IF('Marks Entry'!AW92="","",IF(OR('Master Sheet'!$D$19="YES",'Marks Entry'!$BA$1=1),'Marks Entry'!AW92,""))</f>
        <v/>
      </c>
      <c r="DJ92" s="851" t="str">
        <f>IF('Marks Entry'!AX92="","",IF(OR('Master Sheet'!$D$19="YES",'Marks Entry'!$BA$1=1),'Marks Entry'!AX92,""))</f>
        <v/>
      </c>
      <c r="DK92" s="852" t="str">
        <f t="shared" si="295"/>
        <v/>
      </c>
      <c r="DL92" s="852" t="str">
        <f t="shared" si="296"/>
        <v/>
      </c>
      <c r="DM92" s="851" t="str">
        <f>IF('Marks Entry'!AY92="","",IF(OR('Master Sheet'!$D$19="YES",'Marks Entry'!$BA$1=1),'Marks Entry'!AY92,""))</f>
        <v/>
      </c>
      <c r="DN92" s="851" t="str">
        <f>IF('Marks Entry'!AZ92="","",IF(OR('Master Sheet'!$D$19="YES",'Marks Entry'!$BA$1=1),'Marks Entry'!AZ92,""))</f>
        <v/>
      </c>
      <c r="DO92" s="851" t="str">
        <f>IF('Marks Entry'!BA92="","",IF(OR('Master Sheet'!$D$19="YES",'Marks Entry'!$BA$1=1),'Marks Entry'!BA92,""))</f>
        <v/>
      </c>
      <c r="DP92" s="852" t="str">
        <f t="shared" si="297"/>
        <v/>
      </c>
      <c r="DQ92" s="156" t="str">
        <f t="shared" si="298"/>
        <v/>
      </c>
      <c r="DR92" s="156" t="str">
        <f t="shared" si="299"/>
        <v/>
      </c>
      <c r="DS92" s="156" t="str">
        <f t="shared" si="300"/>
        <v/>
      </c>
      <c r="DT92" s="191" t="str">
        <f t="shared" si="301"/>
        <v/>
      </c>
      <c r="DU92" s="152">
        <f t="shared" si="302"/>
        <v>0</v>
      </c>
      <c r="DV92" s="153">
        <f t="shared" si="303"/>
        <v>0</v>
      </c>
      <c r="DW92" s="153" t="str">
        <f t="shared" si="304"/>
        <v/>
      </c>
      <c r="DX92" s="153" t="str">
        <f>IF(OR($B92="NSO",$B92=0,DS92=""),"",IF(AND(DJ92="",DO92=""),"",IF('Master Sheet'!$D$19="YES",$DO$6-COUNTIF(DO92,"ML")*DO$6,DS$6-(COUNTIF(DJ92,"ML")*DJ$6)-(COUNTIF(DO92,"ML")*DO$6))))</f>
        <v/>
      </c>
      <c r="DY92" s="153" t="str">
        <f>IF(OR($B92="NSO",$B92=0),"",IF(AND(DH92="",DI92="",DM92=""),"",IF(AND('Master Sheet'!$D$19="YES",'Marks Entry'!$BA$1=1),100,IF(AND(DJ92="",DO92=""),SUM(($DQ$7+$DR$7)-(DU92+DV92)),SUM(($DQ$6+$DR$6)-(DU92+DV92))))))</f>
        <v/>
      </c>
      <c r="DZ92" s="152" t="str">
        <f t="shared" si="305"/>
        <v/>
      </c>
      <c r="EA92" s="153" t="str">
        <f t="shared" si="306"/>
        <v/>
      </c>
      <c r="EB92" s="152" t="str">
        <f t="shared" si="307"/>
        <v/>
      </c>
      <c r="EC92" s="584" t="str">
        <f>IF('Marks Entry'!BB92="","",'Marks Entry'!BB92)</f>
        <v/>
      </c>
      <c r="ED92" s="584" t="str">
        <f>IF('Marks Entry'!BC92="","",'Marks Entry'!BC92)</f>
        <v/>
      </c>
      <c r="EE92" s="584" t="str">
        <f>IF('Marks Entry'!BD92="","",'Marks Entry'!BD92)</f>
        <v/>
      </c>
      <c r="EF92" s="590" t="str">
        <f t="shared" si="308"/>
        <v/>
      </c>
      <c r="EG92" s="595">
        <f t="shared" si="309"/>
        <v>0</v>
      </c>
      <c r="EH92" s="595">
        <f t="shared" si="310"/>
        <v>0</v>
      </c>
      <c r="EI92" s="192" t="str">
        <f t="shared" si="311"/>
        <v/>
      </c>
      <c r="EJ92" s="595" t="str">
        <f t="shared" si="312"/>
        <v/>
      </c>
      <c r="EK92" s="595" t="str">
        <f t="shared" si="313"/>
        <v/>
      </c>
      <c r="EL92" s="193" t="str">
        <f t="shared" si="314"/>
        <v/>
      </c>
      <c r="EM92" s="193" t="str">
        <f t="shared" si="315"/>
        <v/>
      </c>
      <c r="EN92" s="193" t="str">
        <f t="shared" si="316"/>
        <v/>
      </c>
      <c r="EO92" s="193" t="str">
        <f t="shared" si="317"/>
        <v/>
      </c>
      <c r="EP92" s="193" t="str">
        <f t="shared" si="318"/>
        <v/>
      </c>
      <c r="EQ92" s="193" t="str">
        <f t="shared" si="319"/>
        <v/>
      </c>
      <c r="ER92" s="194">
        <f t="shared" si="320"/>
        <v>0</v>
      </c>
      <c r="ES92" s="194">
        <f t="shared" si="321"/>
        <v>0</v>
      </c>
      <c r="ET92" s="194">
        <f t="shared" si="322"/>
        <v>0</v>
      </c>
      <c r="EU92" s="194">
        <f t="shared" si="323"/>
        <v>0</v>
      </c>
      <c r="EV92" s="194">
        <f t="shared" si="324"/>
        <v>0</v>
      </c>
      <c r="EW92" s="194" t="str">
        <f t="shared" si="325"/>
        <v/>
      </c>
      <c r="EX92" s="195" t="str">
        <f t="shared" si="326"/>
        <v/>
      </c>
      <c r="EY92" s="196" t="str">
        <f>IF('Marks Entry'!BE92="","",'Marks Entry'!BE92)</f>
        <v/>
      </c>
      <c r="EZ92" s="196" t="str">
        <f>IF('Marks Entry'!BF92="","",'Marks Entry'!BF92)</f>
        <v/>
      </c>
      <c r="FA92" s="196" t="str">
        <f>IF('Marks Entry'!BG92="","",'Marks Entry'!BG92)</f>
        <v/>
      </c>
      <c r="FB92" s="596" t="str">
        <f t="shared" si="327"/>
        <v/>
      </c>
      <c r="FC92" s="196" t="str">
        <f>IF('Marks Entry'!BH92="","",'Marks Entry'!BH92)</f>
        <v/>
      </c>
      <c r="FD92" s="196" t="str">
        <f>IF('Marks Entry'!BI92="","",'Marks Entry'!BI92)</f>
        <v/>
      </c>
      <c r="FE92" s="197" t="str">
        <f t="shared" si="328"/>
        <v/>
      </c>
      <c r="FF92" s="198" t="str">
        <f t="shared" si="329"/>
        <v/>
      </c>
      <c r="FG92" s="199" t="str">
        <f>IF(AND(E92=""),"",IF('Student DATA Entry'!L88="","",'Student DATA Entry'!L88))</f>
        <v/>
      </c>
      <c r="FH92" s="200" t="str">
        <f>IF(AND(E92=""),"",IF('Student DATA Entry'!M88="","",'Student DATA Entry'!M88))</f>
        <v/>
      </c>
      <c r="FI92" s="201" t="str">
        <f t="shared" si="330"/>
        <v/>
      </c>
      <c r="FJ92" s="188" t="str">
        <f t="shared" si="331"/>
        <v/>
      </c>
      <c r="FK92" s="188" t="str">
        <f t="shared" si="332"/>
        <v/>
      </c>
      <c r="FL92" s="202" t="str">
        <f t="shared" si="201"/>
        <v/>
      </c>
      <c r="FM92" s="188" t="str">
        <f t="shared" si="333"/>
        <v/>
      </c>
      <c r="FN92" s="203" t="str">
        <f t="shared" si="334"/>
        <v/>
      </c>
      <c r="FO92" s="202" t="str">
        <f t="shared" si="202"/>
        <v/>
      </c>
      <c r="FP92" s="204" t="str">
        <f t="shared" si="335"/>
        <v/>
      </c>
      <c r="FQ92" s="188" t="str">
        <f t="shared" si="203"/>
        <v/>
      </c>
      <c r="FR92" s="188" t="str">
        <f t="shared" si="204"/>
        <v/>
      </c>
      <c r="FS92" s="188" t="str">
        <f t="shared" si="205"/>
        <v/>
      </c>
      <c r="FT92" s="188" t="str">
        <f t="shared" si="206"/>
        <v/>
      </c>
      <c r="FU92" s="188" t="str">
        <f t="shared" si="336"/>
        <v/>
      </c>
      <c r="FV92" s="205" t="str">
        <f t="shared" si="207"/>
        <v/>
      </c>
      <c r="FW92" s="204" t="str">
        <f t="shared" si="337"/>
        <v/>
      </c>
      <c r="FX92" s="188" t="str">
        <f t="shared" si="208"/>
        <v/>
      </c>
      <c r="FY92" s="188" t="str">
        <f t="shared" si="209"/>
        <v/>
      </c>
      <c r="FZ92" s="188" t="str">
        <f t="shared" si="210"/>
        <v/>
      </c>
      <c r="GA92" s="188" t="str">
        <f t="shared" si="211"/>
        <v/>
      </c>
      <c r="GB92" s="188" t="str">
        <f t="shared" si="338"/>
        <v/>
      </c>
      <c r="GC92" s="205" t="str">
        <f t="shared" si="212"/>
        <v/>
      </c>
      <c r="GD92" s="204" t="str">
        <f t="shared" si="339"/>
        <v/>
      </c>
      <c r="GE92" s="188" t="str">
        <f t="shared" si="213"/>
        <v/>
      </c>
      <c r="GF92" s="188" t="str">
        <f t="shared" si="214"/>
        <v/>
      </c>
      <c r="GG92" s="188" t="str">
        <f t="shared" si="215"/>
        <v/>
      </c>
      <c r="GH92" s="188" t="str">
        <f t="shared" si="216"/>
        <v/>
      </c>
      <c r="GI92" s="188" t="str">
        <f t="shared" si="340"/>
        <v/>
      </c>
      <c r="GJ92" s="205" t="str">
        <f t="shared" si="217"/>
        <v/>
      </c>
      <c r="GK92" s="204" t="str">
        <f t="shared" si="341"/>
        <v/>
      </c>
      <c r="GL92" s="188" t="str">
        <f t="shared" si="218"/>
        <v/>
      </c>
      <c r="GM92" s="188" t="str">
        <f t="shared" si="219"/>
        <v/>
      </c>
      <c r="GN92" s="188" t="str">
        <f t="shared" si="220"/>
        <v/>
      </c>
      <c r="GO92" s="188" t="str">
        <f t="shared" si="221"/>
        <v/>
      </c>
      <c r="GP92" s="188" t="str">
        <f t="shared" si="342"/>
        <v/>
      </c>
      <c r="GQ92" s="205" t="str">
        <f t="shared" si="222"/>
        <v/>
      </c>
      <c r="GR92" s="188" t="str">
        <f t="shared" si="343"/>
        <v/>
      </c>
      <c r="GS92" s="188" t="str">
        <f t="shared" si="344"/>
        <v/>
      </c>
      <c r="GT92" s="206" t="str">
        <f t="shared" si="345"/>
        <v xml:space="preserve">    </v>
      </c>
      <c r="GU92" s="206" t="str">
        <f t="shared" si="346"/>
        <v xml:space="preserve">    </v>
      </c>
      <c r="GV92" s="206" t="str">
        <f t="shared" si="347"/>
        <v xml:space="preserve">    </v>
      </c>
      <c r="GW92" s="206" t="str">
        <f t="shared" si="348"/>
        <v xml:space="preserve">       </v>
      </c>
      <c r="GX92" s="598" t="str">
        <f t="shared" si="349"/>
        <v xml:space="preserve">     </v>
      </c>
      <c r="GY92" s="207" t="str">
        <f t="shared" si="223"/>
        <v/>
      </c>
      <c r="GZ92" s="606" t="str">
        <f>IF(AND(Q92="",AE92="",AZ92="",BW92="",CT92=""),"",IF(AND('Master Sheet'!$D$19="YES",'Marks Entry'!$BA$1=1),SUM(Q92,AE92,AZ92,BW92,DT92),SUM(Q92,AE92,AZ92,BW92,CT92)))</f>
        <v/>
      </c>
      <c r="HA92" s="208" t="str">
        <f>IF(GZ92="","",IF(AND('Master Sheet'!$D$19="YES",'Marks Entry'!$BA$1=1),GZ92/((900)-DC92)*100,GZ92/((1000)-DC92)*100))</f>
        <v/>
      </c>
      <c r="HB92" s="611" t="str">
        <f t="shared" si="350"/>
        <v/>
      </c>
      <c r="HC92" s="609" t="str">
        <f t="shared" si="351"/>
        <v/>
      </c>
      <c r="HD92" s="610" t="str">
        <f t="shared" si="352"/>
        <v/>
      </c>
      <c r="HE92" s="209" t="str">
        <f>IFERROR(IF(OR(GY92="SUPPLEMENTARY",GY92="RE-EXAM"),'Supp. Result Entry'!AS91,""),"")</f>
        <v/>
      </c>
      <c r="HF92" s="613" t="str">
        <f t="shared" si="353"/>
        <v/>
      </c>
      <c r="HG92" s="598" t="str">
        <f t="shared" si="354"/>
        <v/>
      </c>
      <c r="HH92" s="598" t="str">
        <f>IF(AND(HE92="",HF92="",HG92=""),"",IF(OR(GY92="SUPPLEMENTARY",GY92="RE-EXAM"),'Supp. Result Entry'!AS91,GY92))</f>
        <v/>
      </c>
      <c r="HI92" s="179"/>
      <c r="HY92" s="211" t="str">
        <f>IF('Supp. Result Entry'!U91="","",'Supp. Result Entry'!$U$6)</f>
        <v/>
      </c>
      <c r="HZ92" s="212" t="str">
        <f>IF('Supp. Result Entry'!X91="","",'Supp. Result Entry'!$X$6)</f>
        <v/>
      </c>
      <c r="IA92" s="212" t="str">
        <f>IF('Supp. Result Entry'!AA91="","",'Supp. Result Entry'!$AA$6)</f>
        <v/>
      </c>
      <c r="IB92" s="212" t="str">
        <f>IF('Supp. Result Entry'!AD91="","",'Supp. Result Entry'!$AD$6)</f>
        <v/>
      </c>
      <c r="IC92" s="212" t="str">
        <f>IF('Supp. Result Entry'!AG91="","",'Supp. Result Entry'!$AG$6)</f>
        <v/>
      </c>
      <c r="ID92" s="212" t="str">
        <f>IF('Supp. Result Entry'!AJ91="","",'Supp. Result Entry'!$AJ$6)</f>
        <v/>
      </c>
      <c r="IE92" s="212" t="str">
        <f>IF('Supp. Result Entry'!V91="","",'Supp. Result Entry'!V91)</f>
        <v/>
      </c>
      <c r="IF92" s="212" t="str">
        <f>IF('Supp. Result Entry'!Y91="","",'Supp. Result Entry'!Y91)</f>
        <v/>
      </c>
      <c r="IG92" s="212" t="str">
        <f>IF('Supp. Result Entry'!AB91="","",'Supp. Result Entry'!AB91)</f>
        <v/>
      </c>
      <c r="IH92" s="212" t="str">
        <f>IF('Supp. Result Entry'!AE91="","",'Supp. Result Entry'!AE91)</f>
        <v/>
      </c>
      <c r="II92" s="212" t="str">
        <f>IF('Supp. Result Entry'!AH91="","",'Supp. Result Entry'!AH91)</f>
        <v/>
      </c>
      <c r="IJ92" s="212" t="str">
        <f>IF('Supp. Result Entry'!AK91="","",'Supp. Result Entry'!AK91)</f>
        <v/>
      </c>
      <c r="IK92" s="212" t="str">
        <f>IF('Supp. Result Entry'!W91="","",'Supp. Result Entry'!W91)</f>
        <v/>
      </c>
      <c r="IL92" s="212" t="str">
        <f>IF('Supp. Result Entry'!Z91="","",'Supp. Result Entry'!Z91)</f>
        <v/>
      </c>
      <c r="IM92" s="212" t="str">
        <f>IF('Supp. Result Entry'!AC91="","",'Supp. Result Entry'!AC91)</f>
        <v/>
      </c>
      <c r="IN92" s="212" t="str">
        <f>IF('Supp. Result Entry'!AF91="","",'Supp. Result Entry'!AF91)</f>
        <v/>
      </c>
      <c r="IO92" s="212" t="str">
        <f>IF('Supp. Result Entry'!AI91="","",'Supp. Result Entry'!AI91)</f>
        <v/>
      </c>
      <c r="IP92" s="212" t="str">
        <f>IF('Supp. Result Entry'!AL91="","",'Supp. Result Entry'!AL91)</f>
        <v/>
      </c>
      <c r="IQ92" s="212">
        <f>COUNTIF('Supp. Result Entry'!K91:Q91,"S")</f>
        <v>0</v>
      </c>
      <c r="IR92" s="212">
        <f t="shared" si="355"/>
        <v>0</v>
      </c>
      <c r="IS92" s="212">
        <f t="shared" si="356"/>
        <v>0</v>
      </c>
      <c r="IT92" s="212" t="str">
        <f t="shared" si="224"/>
        <v/>
      </c>
      <c r="IU92" s="212" t="str">
        <f t="shared" si="225"/>
        <v/>
      </c>
      <c r="IV92" s="212" t="str">
        <f t="shared" si="226"/>
        <v/>
      </c>
      <c r="IW92" s="212" t="str">
        <f t="shared" si="227"/>
        <v/>
      </c>
      <c r="IX92" s="212" t="str">
        <f t="shared" si="228"/>
        <v/>
      </c>
      <c r="IY92" s="212" t="str">
        <f t="shared" si="357"/>
        <v/>
      </c>
      <c r="IZ92" s="212" t="str">
        <f t="shared" si="358"/>
        <v/>
      </c>
      <c r="JA92" s="212" t="str">
        <f t="shared" si="229"/>
        <v/>
      </c>
      <c r="JB92" s="210" t="str">
        <f t="shared" si="359"/>
        <v/>
      </c>
    </row>
    <row r="93" spans="1:262" s="210" customFormat="1" ht="21" customHeight="1">
      <c r="A93" s="183">
        <v>86</v>
      </c>
      <c r="B93" s="184" t="str">
        <f>IF('Marks Entry'!B93="","",'Marks Entry'!B93)</f>
        <v/>
      </c>
      <c r="C93" s="185" t="str">
        <f>IF('Marks Entry'!D93="","",'Marks Entry'!D93)</f>
        <v/>
      </c>
      <c r="D93" s="186" t="str">
        <f>IF('Marks Entry'!E93="","",'Marks Entry'!E93)</f>
        <v/>
      </c>
      <c r="E93" s="187" t="str">
        <f>IF('Marks Entry'!F93="","",'Marks Entry'!F93)</f>
        <v/>
      </c>
      <c r="F93" s="187" t="str">
        <f>IF('Marks Entry'!G93="","",'Marks Entry'!G93)</f>
        <v/>
      </c>
      <c r="G93" s="187" t="str">
        <f>IF('Marks Entry'!H93="","",'Marks Entry'!H93)</f>
        <v/>
      </c>
      <c r="H93" s="188" t="str">
        <f>IF('Marks Entry'!I93="","",'Marks Entry'!I93)</f>
        <v/>
      </c>
      <c r="I93" s="189" t="str">
        <f>IF('Marks Entry'!J93="","",'Marks Entry'!J93)</f>
        <v/>
      </c>
      <c r="J93" s="545" t="str">
        <f>IF('Marks Entry'!K93="","",'Marks Entry'!K93)</f>
        <v/>
      </c>
      <c r="K93" s="545" t="str">
        <f>IF('Marks Entry'!L93="","",'Marks Entry'!L93)</f>
        <v/>
      </c>
      <c r="L93" s="545" t="str">
        <f>IF('Marks Entry'!M93="","",'Marks Entry'!M93)</f>
        <v/>
      </c>
      <c r="M93" s="546" t="str">
        <f t="shared" si="230"/>
        <v/>
      </c>
      <c r="N93" s="545" t="str">
        <f>IF('Marks Entry'!N93="","",'Marks Entry'!N93)</f>
        <v/>
      </c>
      <c r="O93" s="546" t="str">
        <f t="shared" si="231"/>
        <v/>
      </c>
      <c r="P93" s="545" t="str">
        <f>IF('Marks Entry'!O93="","",'Marks Entry'!O93)</f>
        <v/>
      </c>
      <c r="Q93" s="547" t="str">
        <f t="shared" si="232"/>
        <v/>
      </c>
      <c r="R93" s="152">
        <f t="shared" si="233"/>
        <v>0</v>
      </c>
      <c r="S93" s="152">
        <f t="shared" si="234"/>
        <v>0</v>
      </c>
      <c r="T93" s="153" t="str">
        <f t="shared" si="235"/>
        <v/>
      </c>
      <c r="U93" s="152" t="str">
        <f t="shared" si="236"/>
        <v/>
      </c>
      <c r="V93" s="152" t="str">
        <f t="shared" si="237"/>
        <v/>
      </c>
      <c r="W93" s="152" t="str">
        <f t="shared" si="238"/>
        <v/>
      </c>
      <c r="X93" s="545" t="str">
        <f>IF('Marks Entry'!P93="","",'Marks Entry'!P93)</f>
        <v/>
      </c>
      <c r="Y93" s="545" t="str">
        <f>IF('Marks Entry'!Q93="","",'Marks Entry'!Q93)</f>
        <v/>
      </c>
      <c r="Z93" s="545" t="str">
        <f>IF('Marks Entry'!R93="","",'Marks Entry'!R93)</f>
        <v/>
      </c>
      <c r="AA93" s="546" t="str">
        <f t="shared" si="239"/>
        <v/>
      </c>
      <c r="AB93" s="545" t="str">
        <f>IF('Marks Entry'!S93="","",'Marks Entry'!S93)</f>
        <v/>
      </c>
      <c r="AC93" s="546" t="str">
        <f t="shared" si="240"/>
        <v/>
      </c>
      <c r="AD93" s="545" t="str">
        <f>IF('Marks Entry'!T93="","",'Marks Entry'!T93)</f>
        <v/>
      </c>
      <c r="AE93" s="547" t="str">
        <f t="shared" si="241"/>
        <v/>
      </c>
      <c r="AF93" s="152">
        <f t="shared" si="242"/>
        <v>0</v>
      </c>
      <c r="AG93" s="152">
        <f t="shared" si="243"/>
        <v>0</v>
      </c>
      <c r="AH93" s="153" t="str">
        <f t="shared" si="244"/>
        <v/>
      </c>
      <c r="AI93" s="152" t="str">
        <f t="shared" si="245"/>
        <v/>
      </c>
      <c r="AJ93" s="152" t="str">
        <f t="shared" si="246"/>
        <v/>
      </c>
      <c r="AK93" s="152" t="str">
        <f t="shared" si="247"/>
        <v/>
      </c>
      <c r="AL93" s="573" t="str">
        <f>IF('Marks Entry'!U93="","",'Marks Entry'!U93)</f>
        <v/>
      </c>
      <c r="AM93" s="573" t="str">
        <f>IF('Marks Entry'!V93="","",'Marks Entry'!V93)</f>
        <v/>
      </c>
      <c r="AN93" s="573" t="str">
        <f>IF('Marks Entry'!W93="","",'Marks Entry'!W93)</f>
        <v/>
      </c>
      <c r="AO93" s="573" t="str">
        <f>IF('Marks Entry'!X93="","",'Marks Entry'!X93)</f>
        <v/>
      </c>
      <c r="AP93" s="572" t="str">
        <f t="shared" si="248"/>
        <v/>
      </c>
      <c r="AQ93" s="573" t="str">
        <f>IF('Marks Entry'!Y93="","",'Marks Entry'!Y93)</f>
        <v/>
      </c>
      <c r="AR93" s="573" t="str">
        <f>IF('Marks Entry'!Z93="","",'Marks Entry'!Z93)</f>
        <v/>
      </c>
      <c r="AS93" s="572" t="str">
        <f t="shared" si="249"/>
        <v/>
      </c>
      <c r="AT93" s="572" t="str">
        <f t="shared" si="250"/>
        <v/>
      </c>
      <c r="AU93" s="573" t="str">
        <f>IF('Marks Entry'!AA93="","",'Marks Entry'!AA93)</f>
        <v/>
      </c>
      <c r="AV93" s="573" t="str">
        <f>IF('Marks Entry'!AB93="","",'Marks Entry'!AB93)</f>
        <v/>
      </c>
      <c r="AW93" s="572" t="str">
        <f t="shared" si="251"/>
        <v/>
      </c>
      <c r="AX93" s="156" t="str">
        <f t="shared" si="252"/>
        <v/>
      </c>
      <c r="AY93" s="156" t="str">
        <f t="shared" si="253"/>
        <v/>
      </c>
      <c r="AZ93" s="191" t="str">
        <f t="shared" si="254"/>
        <v/>
      </c>
      <c r="BA93" s="152">
        <f t="shared" si="255"/>
        <v>0</v>
      </c>
      <c r="BB93" s="153">
        <f t="shared" si="256"/>
        <v>0</v>
      </c>
      <c r="BC93" s="153" t="str">
        <f t="shared" si="257"/>
        <v/>
      </c>
      <c r="BD93" s="153" t="str">
        <f t="shared" si="258"/>
        <v/>
      </c>
      <c r="BE93" s="153" t="str">
        <f t="shared" si="259"/>
        <v/>
      </c>
      <c r="BF93" s="152" t="str">
        <f t="shared" si="260"/>
        <v/>
      </c>
      <c r="BG93" s="153" t="str">
        <f t="shared" si="261"/>
        <v/>
      </c>
      <c r="BH93" s="152" t="str">
        <f t="shared" si="262"/>
        <v/>
      </c>
      <c r="BI93" s="580" t="str">
        <f>IF('Marks Entry'!AC93="","",'Marks Entry'!AC93)</f>
        <v/>
      </c>
      <c r="BJ93" s="580" t="str">
        <f>IF('Marks Entry'!AD93="","",'Marks Entry'!AD93)</f>
        <v/>
      </c>
      <c r="BK93" s="580" t="str">
        <f>IF('Marks Entry'!AE93="","",'Marks Entry'!AE93)</f>
        <v/>
      </c>
      <c r="BL93" s="580" t="str">
        <f>IF('Marks Entry'!AF93="","",'Marks Entry'!AF93)</f>
        <v/>
      </c>
      <c r="BM93" s="581" t="str">
        <f t="shared" si="263"/>
        <v/>
      </c>
      <c r="BN93" s="580" t="str">
        <f>IF('Marks Entry'!AG93="","",'Marks Entry'!AG93)</f>
        <v/>
      </c>
      <c r="BO93" s="580" t="str">
        <f>IF('Marks Entry'!AH93="","",'Marks Entry'!AH93)</f>
        <v/>
      </c>
      <c r="BP93" s="581" t="str">
        <f t="shared" si="264"/>
        <v/>
      </c>
      <c r="BQ93" s="581" t="str">
        <f t="shared" si="265"/>
        <v/>
      </c>
      <c r="BR93" s="580" t="str">
        <f>IF('Marks Entry'!AI93="","",'Marks Entry'!AI93)</f>
        <v/>
      </c>
      <c r="BS93" s="580" t="str">
        <f>IF('Marks Entry'!AJ93="","",'Marks Entry'!AJ93)</f>
        <v/>
      </c>
      <c r="BT93" s="581" t="str">
        <f t="shared" si="266"/>
        <v/>
      </c>
      <c r="BU93" s="156" t="str">
        <f t="shared" si="267"/>
        <v/>
      </c>
      <c r="BV93" s="156" t="str">
        <f t="shared" si="268"/>
        <v/>
      </c>
      <c r="BW93" s="191" t="str">
        <f t="shared" si="269"/>
        <v/>
      </c>
      <c r="BX93" s="152">
        <f t="shared" si="270"/>
        <v>0</v>
      </c>
      <c r="BY93" s="153">
        <f t="shared" si="271"/>
        <v>0</v>
      </c>
      <c r="BZ93" s="153" t="str">
        <f t="shared" si="272"/>
        <v/>
      </c>
      <c r="CA93" s="153" t="str">
        <f t="shared" si="273"/>
        <v/>
      </c>
      <c r="CB93" s="153" t="str">
        <f t="shared" si="274"/>
        <v/>
      </c>
      <c r="CC93" s="152" t="str">
        <f t="shared" si="275"/>
        <v/>
      </c>
      <c r="CD93" s="153" t="str">
        <f t="shared" si="276"/>
        <v/>
      </c>
      <c r="CE93" s="152" t="str">
        <f t="shared" si="277"/>
        <v/>
      </c>
      <c r="CF93" s="580" t="str">
        <f>IF('Marks Entry'!AK93="","",'Marks Entry'!AK93)</f>
        <v/>
      </c>
      <c r="CG93" s="580" t="str">
        <f>IF('Marks Entry'!AL93="","",'Marks Entry'!AL93)</f>
        <v/>
      </c>
      <c r="CH93" s="580" t="str">
        <f>IF('Marks Entry'!AM93="","",'Marks Entry'!AM93)</f>
        <v/>
      </c>
      <c r="CI93" s="580" t="str">
        <f>IF('Marks Entry'!AN93="","",'Marks Entry'!AN93)</f>
        <v/>
      </c>
      <c r="CJ93" s="581" t="str">
        <f t="shared" si="278"/>
        <v/>
      </c>
      <c r="CK93" s="580" t="str">
        <f>IF('Marks Entry'!AO93="","",'Marks Entry'!AO93)</f>
        <v/>
      </c>
      <c r="CL93" s="580" t="str">
        <f>IF('Marks Entry'!AP93="","",'Marks Entry'!AP93)</f>
        <v/>
      </c>
      <c r="CM93" s="581" t="str">
        <f t="shared" si="279"/>
        <v/>
      </c>
      <c r="CN93" s="581" t="str">
        <f t="shared" si="280"/>
        <v/>
      </c>
      <c r="CO93" s="580" t="str">
        <f>IF('Marks Entry'!AQ93="","",'Marks Entry'!AQ93)</f>
        <v/>
      </c>
      <c r="CP93" s="580" t="str">
        <f>IF('Marks Entry'!AR93="","",'Marks Entry'!AR93)</f>
        <v/>
      </c>
      <c r="CQ93" s="581" t="str">
        <f t="shared" si="281"/>
        <v/>
      </c>
      <c r="CR93" s="156" t="str">
        <f t="shared" si="282"/>
        <v/>
      </c>
      <c r="CS93" s="156" t="str">
        <f t="shared" si="283"/>
        <v/>
      </c>
      <c r="CT93" s="191" t="str">
        <f t="shared" si="284"/>
        <v/>
      </c>
      <c r="CU93" s="152">
        <f t="shared" si="285"/>
        <v>0</v>
      </c>
      <c r="CV93" s="153">
        <f t="shared" si="286"/>
        <v>0</v>
      </c>
      <c r="CW93" s="153" t="str">
        <f t="shared" si="287"/>
        <v/>
      </c>
      <c r="CX93" s="153" t="str">
        <f t="shared" si="288"/>
        <v/>
      </c>
      <c r="CY93" s="153" t="str">
        <f t="shared" si="289"/>
        <v/>
      </c>
      <c r="CZ93" s="152" t="str">
        <f t="shared" si="290"/>
        <v/>
      </c>
      <c r="DA93" s="153" t="str">
        <f t="shared" si="291"/>
        <v/>
      </c>
      <c r="DB93" s="152" t="str">
        <f t="shared" si="292"/>
        <v/>
      </c>
      <c r="DC93" s="153">
        <f t="shared" si="293"/>
        <v>0</v>
      </c>
      <c r="DD93" s="851" t="str">
        <f>IF('Marks Entry'!AS93="","",IF(OR('Master Sheet'!$D$19="YES",'Marks Entry'!$BA$1=1),'Marks Entry'!AS93,""))</f>
        <v/>
      </c>
      <c r="DE93" s="851" t="str">
        <f>IF('Marks Entry'!AT93="","",IF(OR('Master Sheet'!$D$19="YES",'Marks Entry'!$BA$1=1),'Marks Entry'!AT93,""))</f>
        <v/>
      </c>
      <c r="DF93" s="851" t="str">
        <f>IF('Marks Entry'!AU93="","",IF(OR('Master Sheet'!$D$19="YES",'Marks Entry'!$BA$1=1),'Marks Entry'!AU93,""))</f>
        <v/>
      </c>
      <c r="DG93" s="851" t="str">
        <f>IF('Marks Entry'!AV93="","",IF(OR('Master Sheet'!$D$19="YES",'Marks Entry'!$BA$1=1),'Marks Entry'!AV93,""))</f>
        <v/>
      </c>
      <c r="DH93" s="852" t="str">
        <f t="shared" si="294"/>
        <v/>
      </c>
      <c r="DI93" s="851" t="str">
        <f>IF('Marks Entry'!AW93="","",IF(OR('Master Sheet'!$D$19="YES",'Marks Entry'!$BA$1=1),'Marks Entry'!AW93,""))</f>
        <v/>
      </c>
      <c r="DJ93" s="851" t="str">
        <f>IF('Marks Entry'!AX93="","",IF(OR('Master Sheet'!$D$19="YES",'Marks Entry'!$BA$1=1),'Marks Entry'!AX93,""))</f>
        <v/>
      </c>
      <c r="DK93" s="852" t="str">
        <f t="shared" si="295"/>
        <v/>
      </c>
      <c r="DL93" s="852" t="str">
        <f t="shared" si="296"/>
        <v/>
      </c>
      <c r="DM93" s="851" t="str">
        <f>IF('Marks Entry'!AY93="","",IF(OR('Master Sheet'!$D$19="YES",'Marks Entry'!$BA$1=1),'Marks Entry'!AY93,""))</f>
        <v/>
      </c>
      <c r="DN93" s="851" t="str">
        <f>IF('Marks Entry'!AZ93="","",IF(OR('Master Sheet'!$D$19="YES",'Marks Entry'!$BA$1=1),'Marks Entry'!AZ93,""))</f>
        <v/>
      </c>
      <c r="DO93" s="851" t="str">
        <f>IF('Marks Entry'!BA93="","",IF(OR('Master Sheet'!$D$19="YES",'Marks Entry'!$BA$1=1),'Marks Entry'!BA93,""))</f>
        <v/>
      </c>
      <c r="DP93" s="852" t="str">
        <f t="shared" si="297"/>
        <v/>
      </c>
      <c r="DQ93" s="156" t="str">
        <f t="shared" si="298"/>
        <v/>
      </c>
      <c r="DR93" s="156" t="str">
        <f t="shared" si="299"/>
        <v/>
      </c>
      <c r="DS93" s="156" t="str">
        <f t="shared" si="300"/>
        <v/>
      </c>
      <c r="DT93" s="191" t="str">
        <f t="shared" si="301"/>
        <v/>
      </c>
      <c r="DU93" s="152">
        <f t="shared" si="302"/>
        <v>0</v>
      </c>
      <c r="DV93" s="153">
        <f t="shared" si="303"/>
        <v>0</v>
      </c>
      <c r="DW93" s="153" t="str">
        <f t="shared" si="304"/>
        <v/>
      </c>
      <c r="DX93" s="153" t="str">
        <f>IF(OR($B93="NSO",$B93=0,DS93=""),"",IF(AND(DJ93="",DO93=""),"",IF('Master Sheet'!$D$19="YES",$DO$6-COUNTIF(DO93,"ML")*DO$6,DS$6-(COUNTIF(DJ93,"ML")*DJ$6)-(COUNTIF(DO93,"ML")*DO$6))))</f>
        <v/>
      </c>
      <c r="DY93" s="153" t="str">
        <f>IF(OR($B93="NSO",$B93=0),"",IF(AND(DH93="",DI93="",DM93=""),"",IF(AND('Master Sheet'!$D$19="YES",'Marks Entry'!$BA$1=1),100,IF(AND(DJ93="",DO93=""),SUM(($DQ$7+$DR$7)-(DU93+DV93)),SUM(($DQ$6+$DR$6)-(DU93+DV93))))))</f>
        <v/>
      </c>
      <c r="DZ93" s="152" t="str">
        <f t="shared" si="305"/>
        <v/>
      </c>
      <c r="EA93" s="153" t="str">
        <f t="shared" si="306"/>
        <v/>
      </c>
      <c r="EB93" s="152" t="str">
        <f t="shared" si="307"/>
        <v/>
      </c>
      <c r="EC93" s="584" t="str">
        <f>IF('Marks Entry'!BB93="","",'Marks Entry'!BB93)</f>
        <v/>
      </c>
      <c r="ED93" s="584" t="str">
        <f>IF('Marks Entry'!BC93="","",'Marks Entry'!BC93)</f>
        <v/>
      </c>
      <c r="EE93" s="584" t="str">
        <f>IF('Marks Entry'!BD93="","",'Marks Entry'!BD93)</f>
        <v/>
      </c>
      <c r="EF93" s="590" t="str">
        <f t="shared" si="308"/>
        <v/>
      </c>
      <c r="EG93" s="595">
        <f t="shared" si="309"/>
        <v>0</v>
      </c>
      <c r="EH93" s="595">
        <f t="shared" si="310"/>
        <v>0</v>
      </c>
      <c r="EI93" s="192" t="str">
        <f t="shared" si="311"/>
        <v/>
      </c>
      <c r="EJ93" s="595" t="str">
        <f t="shared" si="312"/>
        <v/>
      </c>
      <c r="EK93" s="595" t="str">
        <f t="shared" si="313"/>
        <v/>
      </c>
      <c r="EL93" s="193" t="str">
        <f t="shared" si="314"/>
        <v/>
      </c>
      <c r="EM93" s="193" t="str">
        <f t="shared" si="315"/>
        <v/>
      </c>
      <c r="EN93" s="193" t="str">
        <f t="shared" si="316"/>
        <v/>
      </c>
      <c r="EO93" s="193" t="str">
        <f t="shared" si="317"/>
        <v/>
      </c>
      <c r="EP93" s="193" t="str">
        <f t="shared" si="318"/>
        <v/>
      </c>
      <c r="EQ93" s="193" t="str">
        <f t="shared" si="319"/>
        <v/>
      </c>
      <c r="ER93" s="194">
        <f t="shared" si="320"/>
        <v>0</v>
      </c>
      <c r="ES93" s="194">
        <f t="shared" si="321"/>
        <v>0</v>
      </c>
      <c r="ET93" s="194">
        <f t="shared" si="322"/>
        <v>0</v>
      </c>
      <c r="EU93" s="194">
        <f t="shared" si="323"/>
        <v>0</v>
      </c>
      <c r="EV93" s="194">
        <f t="shared" si="324"/>
        <v>0</v>
      </c>
      <c r="EW93" s="194" t="str">
        <f t="shared" si="325"/>
        <v/>
      </c>
      <c r="EX93" s="195" t="str">
        <f t="shared" si="326"/>
        <v/>
      </c>
      <c r="EY93" s="196" t="str">
        <f>IF('Marks Entry'!BE93="","",'Marks Entry'!BE93)</f>
        <v/>
      </c>
      <c r="EZ93" s="196" t="str">
        <f>IF('Marks Entry'!BF93="","",'Marks Entry'!BF93)</f>
        <v/>
      </c>
      <c r="FA93" s="196" t="str">
        <f>IF('Marks Entry'!BG93="","",'Marks Entry'!BG93)</f>
        <v/>
      </c>
      <c r="FB93" s="596" t="str">
        <f t="shared" si="327"/>
        <v/>
      </c>
      <c r="FC93" s="196" t="str">
        <f>IF('Marks Entry'!BH93="","",'Marks Entry'!BH93)</f>
        <v/>
      </c>
      <c r="FD93" s="196" t="str">
        <f>IF('Marks Entry'!BI93="","",'Marks Entry'!BI93)</f>
        <v/>
      </c>
      <c r="FE93" s="197" t="str">
        <f t="shared" si="328"/>
        <v/>
      </c>
      <c r="FF93" s="198" t="str">
        <f t="shared" si="329"/>
        <v/>
      </c>
      <c r="FG93" s="199" t="str">
        <f>IF(AND(E93=""),"",IF('Student DATA Entry'!L89="","",'Student DATA Entry'!L89))</f>
        <v/>
      </c>
      <c r="FH93" s="200" t="str">
        <f>IF(AND(E93=""),"",IF('Student DATA Entry'!M89="","",'Student DATA Entry'!M89))</f>
        <v/>
      </c>
      <c r="FI93" s="201" t="str">
        <f t="shared" si="330"/>
        <v/>
      </c>
      <c r="FJ93" s="188" t="str">
        <f t="shared" si="331"/>
        <v/>
      </c>
      <c r="FK93" s="188" t="str">
        <f t="shared" si="332"/>
        <v/>
      </c>
      <c r="FL93" s="202" t="str">
        <f t="shared" si="201"/>
        <v/>
      </c>
      <c r="FM93" s="188" t="str">
        <f t="shared" si="333"/>
        <v/>
      </c>
      <c r="FN93" s="203" t="str">
        <f t="shared" si="334"/>
        <v/>
      </c>
      <c r="FO93" s="202" t="str">
        <f t="shared" si="202"/>
        <v/>
      </c>
      <c r="FP93" s="204" t="str">
        <f t="shared" si="335"/>
        <v/>
      </c>
      <c r="FQ93" s="188" t="str">
        <f t="shared" si="203"/>
        <v/>
      </c>
      <c r="FR93" s="188" t="str">
        <f t="shared" si="204"/>
        <v/>
      </c>
      <c r="FS93" s="188" t="str">
        <f t="shared" si="205"/>
        <v/>
      </c>
      <c r="FT93" s="188" t="str">
        <f t="shared" si="206"/>
        <v/>
      </c>
      <c r="FU93" s="188" t="str">
        <f t="shared" si="336"/>
        <v/>
      </c>
      <c r="FV93" s="205" t="str">
        <f t="shared" si="207"/>
        <v/>
      </c>
      <c r="FW93" s="204" t="str">
        <f t="shared" si="337"/>
        <v/>
      </c>
      <c r="FX93" s="188" t="str">
        <f t="shared" si="208"/>
        <v/>
      </c>
      <c r="FY93" s="188" t="str">
        <f t="shared" si="209"/>
        <v/>
      </c>
      <c r="FZ93" s="188" t="str">
        <f t="shared" si="210"/>
        <v/>
      </c>
      <c r="GA93" s="188" t="str">
        <f t="shared" si="211"/>
        <v/>
      </c>
      <c r="GB93" s="188" t="str">
        <f t="shared" si="338"/>
        <v/>
      </c>
      <c r="GC93" s="205" t="str">
        <f t="shared" si="212"/>
        <v/>
      </c>
      <c r="GD93" s="204" t="str">
        <f t="shared" si="339"/>
        <v/>
      </c>
      <c r="GE93" s="188" t="str">
        <f t="shared" si="213"/>
        <v/>
      </c>
      <c r="GF93" s="188" t="str">
        <f t="shared" si="214"/>
        <v/>
      </c>
      <c r="GG93" s="188" t="str">
        <f t="shared" si="215"/>
        <v/>
      </c>
      <c r="GH93" s="188" t="str">
        <f t="shared" si="216"/>
        <v/>
      </c>
      <c r="GI93" s="188" t="str">
        <f t="shared" si="340"/>
        <v/>
      </c>
      <c r="GJ93" s="205" t="str">
        <f t="shared" si="217"/>
        <v/>
      </c>
      <c r="GK93" s="204" t="str">
        <f t="shared" si="341"/>
        <v/>
      </c>
      <c r="GL93" s="188" t="str">
        <f t="shared" si="218"/>
        <v/>
      </c>
      <c r="GM93" s="188" t="str">
        <f t="shared" si="219"/>
        <v/>
      </c>
      <c r="GN93" s="188" t="str">
        <f t="shared" si="220"/>
        <v/>
      </c>
      <c r="GO93" s="188" t="str">
        <f t="shared" si="221"/>
        <v/>
      </c>
      <c r="GP93" s="188" t="str">
        <f t="shared" si="342"/>
        <v/>
      </c>
      <c r="GQ93" s="205" t="str">
        <f t="shared" si="222"/>
        <v/>
      </c>
      <c r="GR93" s="188" t="str">
        <f t="shared" si="343"/>
        <v/>
      </c>
      <c r="GS93" s="188" t="str">
        <f t="shared" si="344"/>
        <v/>
      </c>
      <c r="GT93" s="206" t="str">
        <f t="shared" si="345"/>
        <v xml:space="preserve">    </v>
      </c>
      <c r="GU93" s="206" t="str">
        <f t="shared" si="346"/>
        <v xml:space="preserve">    </v>
      </c>
      <c r="GV93" s="206" t="str">
        <f t="shared" si="347"/>
        <v xml:space="preserve">    </v>
      </c>
      <c r="GW93" s="206" t="str">
        <f t="shared" si="348"/>
        <v xml:space="preserve">       </v>
      </c>
      <c r="GX93" s="598" t="str">
        <f t="shared" si="349"/>
        <v xml:space="preserve">     </v>
      </c>
      <c r="GY93" s="207" t="str">
        <f t="shared" si="223"/>
        <v/>
      </c>
      <c r="GZ93" s="606" t="str">
        <f>IF(AND(Q93="",AE93="",AZ93="",BW93="",CT93=""),"",IF(AND('Master Sheet'!$D$19="YES",'Marks Entry'!$BA$1=1),SUM(Q93,AE93,AZ93,BW93,DT93),SUM(Q93,AE93,AZ93,BW93,CT93)))</f>
        <v/>
      </c>
      <c r="HA93" s="208" t="str">
        <f>IF(GZ93="","",IF(AND('Master Sheet'!$D$19="YES",'Marks Entry'!$BA$1=1),GZ93/((900)-DC93)*100,GZ93/((1000)-DC93)*100))</f>
        <v/>
      </c>
      <c r="HB93" s="611" t="str">
        <f t="shared" si="350"/>
        <v/>
      </c>
      <c r="HC93" s="609" t="str">
        <f t="shared" si="351"/>
        <v/>
      </c>
      <c r="HD93" s="610" t="str">
        <f t="shared" si="352"/>
        <v/>
      </c>
      <c r="HE93" s="209" t="str">
        <f>IFERROR(IF(OR(GY93="SUPPLEMENTARY",GY93="RE-EXAM"),'Supp. Result Entry'!AS92,""),"")</f>
        <v/>
      </c>
      <c r="HF93" s="613" t="str">
        <f t="shared" si="353"/>
        <v/>
      </c>
      <c r="HG93" s="598" t="str">
        <f t="shared" si="354"/>
        <v/>
      </c>
      <c r="HH93" s="598" t="str">
        <f>IF(AND(HE93="",HF93="",HG93=""),"",IF(OR(GY93="SUPPLEMENTARY",GY93="RE-EXAM"),'Supp. Result Entry'!AS92,GY93))</f>
        <v/>
      </c>
      <c r="HI93" s="179"/>
      <c r="HY93" s="211" t="str">
        <f>IF('Supp. Result Entry'!U92="","",'Supp. Result Entry'!$U$6)</f>
        <v/>
      </c>
      <c r="HZ93" s="212" t="str">
        <f>IF('Supp. Result Entry'!X92="","",'Supp. Result Entry'!$X$6)</f>
        <v/>
      </c>
      <c r="IA93" s="212" t="str">
        <f>IF('Supp. Result Entry'!AA92="","",'Supp. Result Entry'!$AA$6)</f>
        <v/>
      </c>
      <c r="IB93" s="212" t="str">
        <f>IF('Supp. Result Entry'!AD92="","",'Supp. Result Entry'!$AD$6)</f>
        <v/>
      </c>
      <c r="IC93" s="212" t="str">
        <f>IF('Supp. Result Entry'!AG92="","",'Supp. Result Entry'!$AG$6)</f>
        <v/>
      </c>
      <c r="ID93" s="212" t="str">
        <f>IF('Supp. Result Entry'!AJ92="","",'Supp. Result Entry'!$AJ$6)</f>
        <v/>
      </c>
      <c r="IE93" s="212" t="str">
        <f>IF('Supp. Result Entry'!V92="","",'Supp. Result Entry'!V92)</f>
        <v/>
      </c>
      <c r="IF93" s="212" t="str">
        <f>IF('Supp. Result Entry'!Y92="","",'Supp. Result Entry'!Y92)</f>
        <v/>
      </c>
      <c r="IG93" s="212" t="str">
        <f>IF('Supp. Result Entry'!AB92="","",'Supp. Result Entry'!AB92)</f>
        <v/>
      </c>
      <c r="IH93" s="212" t="str">
        <f>IF('Supp. Result Entry'!AE92="","",'Supp. Result Entry'!AE92)</f>
        <v/>
      </c>
      <c r="II93" s="212" t="str">
        <f>IF('Supp. Result Entry'!AH92="","",'Supp. Result Entry'!AH92)</f>
        <v/>
      </c>
      <c r="IJ93" s="212" t="str">
        <f>IF('Supp. Result Entry'!AK92="","",'Supp. Result Entry'!AK92)</f>
        <v/>
      </c>
      <c r="IK93" s="212" t="str">
        <f>IF('Supp. Result Entry'!W92="","",'Supp. Result Entry'!W92)</f>
        <v/>
      </c>
      <c r="IL93" s="212" t="str">
        <f>IF('Supp. Result Entry'!Z92="","",'Supp. Result Entry'!Z92)</f>
        <v/>
      </c>
      <c r="IM93" s="212" t="str">
        <f>IF('Supp. Result Entry'!AC92="","",'Supp. Result Entry'!AC92)</f>
        <v/>
      </c>
      <c r="IN93" s="212" t="str">
        <f>IF('Supp. Result Entry'!AF92="","",'Supp. Result Entry'!AF92)</f>
        <v/>
      </c>
      <c r="IO93" s="212" t="str">
        <f>IF('Supp. Result Entry'!AI92="","",'Supp. Result Entry'!AI92)</f>
        <v/>
      </c>
      <c r="IP93" s="212" t="str">
        <f>IF('Supp. Result Entry'!AL92="","",'Supp. Result Entry'!AL92)</f>
        <v/>
      </c>
      <c r="IQ93" s="212">
        <f>COUNTIF('Supp. Result Entry'!K92:Q92,"S")</f>
        <v>0</v>
      </c>
      <c r="IR93" s="212">
        <f t="shared" si="355"/>
        <v>0</v>
      </c>
      <c r="IS93" s="212">
        <f t="shared" si="356"/>
        <v>0</v>
      </c>
      <c r="IT93" s="212" t="str">
        <f t="shared" si="224"/>
        <v/>
      </c>
      <c r="IU93" s="212" t="str">
        <f t="shared" si="225"/>
        <v/>
      </c>
      <c r="IV93" s="212" t="str">
        <f t="shared" si="226"/>
        <v/>
      </c>
      <c r="IW93" s="212" t="str">
        <f t="shared" si="227"/>
        <v/>
      </c>
      <c r="IX93" s="212" t="str">
        <f t="shared" si="228"/>
        <v/>
      </c>
      <c r="IY93" s="212" t="str">
        <f t="shared" si="357"/>
        <v/>
      </c>
      <c r="IZ93" s="212" t="str">
        <f t="shared" si="358"/>
        <v/>
      </c>
      <c r="JA93" s="212" t="str">
        <f t="shared" si="229"/>
        <v/>
      </c>
      <c r="JB93" s="210" t="str">
        <f t="shared" si="359"/>
        <v/>
      </c>
    </row>
    <row r="94" spans="1:262" s="210" customFormat="1" ht="21" customHeight="1">
      <c r="A94" s="183">
        <v>87</v>
      </c>
      <c r="B94" s="184" t="str">
        <f>IF('Marks Entry'!B94="","",'Marks Entry'!B94)</f>
        <v/>
      </c>
      <c r="C94" s="185" t="str">
        <f>IF('Marks Entry'!D94="","",'Marks Entry'!D94)</f>
        <v/>
      </c>
      <c r="D94" s="186" t="str">
        <f>IF('Marks Entry'!E94="","",'Marks Entry'!E94)</f>
        <v/>
      </c>
      <c r="E94" s="187" t="str">
        <f>IF('Marks Entry'!F94="","",'Marks Entry'!F94)</f>
        <v/>
      </c>
      <c r="F94" s="187" t="str">
        <f>IF('Marks Entry'!G94="","",'Marks Entry'!G94)</f>
        <v/>
      </c>
      <c r="G94" s="187" t="str">
        <f>IF('Marks Entry'!H94="","",'Marks Entry'!H94)</f>
        <v/>
      </c>
      <c r="H94" s="188" t="str">
        <f>IF('Marks Entry'!I94="","",'Marks Entry'!I94)</f>
        <v/>
      </c>
      <c r="I94" s="189" t="str">
        <f>IF('Marks Entry'!J94="","",'Marks Entry'!J94)</f>
        <v/>
      </c>
      <c r="J94" s="545" t="str">
        <f>IF('Marks Entry'!K94="","",'Marks Entry'!K94)</f>
        <v/>
      </c>
      <c r="K94" s="545" t="str">
        <f>IF('Marks Entry'!L94="","",'Marks Entry'!L94)</f>
        <v/>
      </c>
      <c r="L94" s="545" t="str">
        <f>IF('Marks Entry'!M94="","",'Marks Entry'!M94)</f>
        <v/>
      </c>
      <c r="M94" s="546" t="str">
        <f t="shared" si="230"/>
        <v/>
      </c>
      <c r="N94" s="545" t="str">
        <f>IF('Marks Entry'!N94="","",'Marks Entry'!N94)</f>
        <v/>
      </c>
      <c r="O94" s="546" t="str">
        <f t="shared" si="231"/>
        <v/>
      </c>
      <c r="P94" s="545" t="str">
        <f>IF('Marks Entry'!O94="","",'Marks Entry'!O94)</f>
        <v/>
      </c>
      <c r="Q94" s="547" t="str">
        <f t="shared" si="232"/>
        <v/>
      </c>
      <c r="R94" s="152">
        <f t="shared" si="233"/>
        <v>0</v>
      </c>
      <c r="S94" s="152">
        <f t="shared" si="234"/>
        <v>0</v>
      </c>
      <c r="T94" s="153" t="str">
        <f t="shared" si="235"/>
        <v/>
      </c>
      <c r="U94" s="152" t="str">
        <f t="shared" si="236"/>
        <v/>
      </c>
      <c r="V94" s="152" t="str">
        <f t="shared" si="237"/>
        <v/>
      </c>
      <c r="W94" s="152" t="str">
        <f t="shared" si="238"/>
        <v/>
      </c>
      <c r="X94" s="545" t="str">
        <f>IF('Marks Entry'!P94="","",'Marks Entry'!P94)</f>
        <v/>
      </c>
      <c r="Y94" s="545" t="str">
        <f>IF('Marks Entry'!Q94="","",'Marks Entry'!Q94)</f>
        <v/>
      </c>
      <c r="Z94" s="545" t="str">
        <f>IF('Marks Entry'!R94="","",'Marks Entry'!R94)</f>
        <v/>
      </c>
      <c r="AA94" s="546" t="str">
        <f t="shared" si="239"/>
        <v/>
      </c>
      <c r="AB94" s="545" t="str">
        <f>IF('Marks Entry'!S94="","",'Marks Entry'!S94)</f>
        <v/>
      </c>
      <c r="AC94" s="546" t="str">
        <f t="shared" si="240"/>
        <v/>
      </c>
      <c r="AD94" s="545" t="str">
        <f>IF('Marks Entry'!T94="","",'Marks Entry'!T94)</f>
        <v/>
      </c>
      <c r="AE94" s="547" t="str">
        <f t="shared" si="241"/>
        <v/>
      </c>
      <c r="AF94" s="152">
        <f t="shared" si="242"/>
        <v>0</v>
      </c>
      <c r="AG94" s="152">
        <f t="shared" si="243"/>
        <v>0</v>
      </c>
      <c r="AH94" s="153" t="str">
        <f t="shared" si="244"/>
        <v/>
      </c>
      <c r="AI94" s="152" t="str">
        <f t="shared" si="245"/>
        <v/>
      </c>
      <c r="AJ94" s="152" t="str">
        <f t="shared" si="246"/>
        <v/>
      </c>
      <c r="AK94" s="152" t="str">
        <f t="shared" si="247"/>
        <v/>
      </c>
      <c r="AL94" s="573" t="str">
        <f>IF('Marks Entry'!U94="","",'Marks Entry'!U94)</f>
        <v/>
      </c>
      <c r="AM94" s="573" t="str">
        <f>IF('Marks Entry'!V94="","",'Marks Entry'!V94)</f>
        <v/>
      </c>
      <c r="AN94" s="573" t="str">
        <f>IF('Marks Entry'!W94="","",'Marks Entry'!W94)</f>
        <v/>
      </c>
      <c r="AO94" s="573" t="str">
        <f>IF('Marks Entry'!X94="","",'Marks Entry'!X94)</f>
        <v/>
      </c>
      <c r="AP94" s="572" t="str">
        <f t="shared" si="248"/>
        <v/>
      </c>
      <c r="AQ94" s="573" t="str">
        <f>IF('Marks Entry'!Y94="","",'Marks Entry'!Y94)</f>
        <v/>
      </c>
      <c r="AR94" s="573" t="str">
        <f>IF('Marks Entry'!Z94="","",'Marks Entry'!Z94)</f>
        <v/>
      </c>
      <c r="AS94" s="572" t="str">
        <f t="shared" si="249"/>
        <v/>
      </c>
      <c r="AT94" s="572" t="str">
        <f t="shared" si="250"/>
        <v/>
      </c>
      <c r="AU94" s="573" t="str">
        <f>IF('Marks Entry'!AA94="","",'Marks Entry'!AA94)</f>
        <v/>
      </c>
      <c r="AV94" s="573" t="str">
        <f>IF('Marks Entry'!AB94="","",'Marks Entry'!AB94)</f>
        <v/>
      </c>
      <c r="AW94" s="572" t="str">
        <f t="shared" si="251"/>
        <v/>
      </c>
      <c r="AX94" s="156" t="str">
        <f t="shared" si="252"/>
        <v/>
      </c>
      <c r="AY94" s="156" t="str">
        <f t="shared" si="253"/>
        <v/>
      </c>
      <c r="AZ94" s="191" t="str">
        <f t="shared" si="254"/>
        <v/>
      </c>
      <c r="BA94" s="152">
        <f t="shared" si="255"/>
        <v>0</v>
      </c>
      <c r="BB94" s="153">
        <f t="shared" si="256"/>
        <v>0</v>
      </c>
      <c r="BC94" s="153" t="str">
        <f t="shared" si="257"/>
        <v/>
      </c>
      <c r="BD94" s="153" t="str">
        <f t="shared" si="258"/>
        <v/>
      </c>
      <c r="BE94" s="153" t="str">
        <f t="shared" si="259"/>
        <v/>
      </c>
      <c r="BF94" s="152" t="str">
        <f t="shared" si="260"/>
        <v/>
      </c>
      <c r="BG94" s="153" t="str">
        <f t="shared" si="261"/>
        <v/>
      </c>
      <c r="BH94" s="152" t="str">
        <f t="shared" si="262"/>
        <v/>
      </c>
      <c r="BI94" s="580" t="str">
        <f>IF('Marks Entry'!AC94="","",'Marks Entry'!AC94)</f>
        <v/>
      </c>
      <c r="BJ94" s="580" t="str">
        <f>IF('Marks Entry'!AD94="","",'Marks Entry'!AD94)</f>
        <v/>
      </c>
      <c r="BK94" s="580" t="str">
        <f>IF('Marks Entry'!AE94="","",'Marks Entry'!AE94)</f>
        <v/>
      </c>
      <c r="BL94" s="580" t="str">
        <f>IF('Marks Entry'!AF94="","",'Marks Entry'!AF94)</f>
        <v/>
      </c>
      <c r="BM94" s="581" t="str">
        <f t="shared" si="263"/>
        <v/>
      </c>
      <c r="BN94" s="580" t="str">
        <f>IF('Marks Entry'!AG94="","",'Marks Entry'!AG94)</f>
        <v/>
      </c>
      <c r="BO94" s="580" t="str">
        <f>IF('Marks Entry'!AH94="","",'Marks Entry'!AH94)</f>
        <v/>
      </c>
      <c r="BP94" s="581" t="str">
        <f t="shared" si="264"/>
        <v/>
      </c>
      <c r="BQ94" s="581" t="str">
        <f t="shared" si="265"/>
        <v/>
      </c>
      <c r="BR94" s="580" t="str">
        <f>IF('Marks Entry'!AI94="","",'Marks Entry'!AI94)</f>
        <v/>
      </c>
      <c r="BS94" s="580" t="str">
        <f>IF('Marks Entry'!AJ94="","",'Marks Entry'!AJ94)</f>
        <v/>
      </c>
      <c r="BT94" s="581" t="str">
        <f t="shared" si="266"/>
        <v/>
      </c>
      <c r="BU94" s="156" t="str">
        <f t="shared" si="267"/>
        <v/>
      </c>
      <c r="BV94" s="156" t="str">
        <f t="shared" si="268"/>
        <v/>
      </c>
      <c r="BW94" s="191" t="str">
        <f t="shared" si="269"/>
        <v/>
      </c>
      <c r="BX94" s="152">
        <f t="shared" si="270"/>
        <v>0</v>
      </c>
      <c r="BY94" s="153">
        <f t="shared" si="271"/>
        <v>0</v>
      </c>
      <c r="BZ94" s="153" t="str">
        <f t="shared" si="272"/>
        <v/>
      </c>
      <c r="CA94" s="153" t="str">
        <f t="shared" si="273"/>
        <v/>
      </c>
      <c r="CB94" s="153" t="str">
        <f t="shared" si="274"/>
        <v/>
      </c>
      <c r="CC94" s="152" t="str">
        <f t="shared" si="275"/>
        <v/>
      </c>
      <c r="CD94" s="153" t="str">
        <f t="shared" si="276"/>
        <v/>
      </c>
      <c r="CE94" s="152" t="str">
        <f t="shared" si="277"/>
        <v/>
      </c>
      <c r="CF94" s="580" t="str">
        <f>IF('Marks Entry'!AK94="","",'Marks Entry'!AK94)</f>
        <v/>
      </c>
      <c r="CG94" s="580" t="str">
        <f>IF('Marks Entry'!AL94="","",'Marks Entry'!AL94)</f>
        <v/>
      </c>
      <c r="CH94" s="580" t="str">
        <f>IF('Marks Entry'!AM94="","",'Marks Entry'!AM94)</f>
        <v/>
      </c>
      <c r="CI94" s="580" t="str">
        <f>IF('Marks Entry'!AN94="","",'Marks Entry'!AN94)</f>
        <v/>
      </c>
      <c r="CJ94" s="581" t="str">
        <f t="shared" si="278"/>
        <v/>
      </c>
      <c r="CK94" s="580" t="str">
        <f>IF('Marks Entry'!AO94="","",'Marks Entry'!AO94)</f>
        <v/>
      </c>
      <c r="CL94" s="580" t="str">
        <f>IF('Marks Entry'!AP94="","",'Marks Entry'!AP94)</f>
        <v/>
      </c>
      <c r="CM94" s="581" t="str">
        <f t="shared" si="279"/>
        <v/>
      </c>
      <c r="CN94" s="581" t="str">
        <f t="shared" si="280"/>
        <v/>
      </c>
      <c r="CO94" s="580" t="str">
        <f>IF('Marks Entry'!AQ94="","",'Marks Entry'!AQ94)</f>
        <v/>
      </c>
      <c r="CP94" s="580" t="str">
        <f>IF('Marks Entry'!AR94="","",'Marks Entry'!AR94)</f>
        <v/>
      </c>
      <c r="CQ94" s="581" t="str">
        <f t="shared" si="281"/>
        <v/>
      </c>
      <c r="CR94" s="156" t="str">
        <f t="shared" si="282"/>
        <v/>
      </c>
      <c r="CS94" s="156" t="str">
        <f t="shared" si="283"/>
        <v/>
      </c>
      <c r="CT94" s="191" t="str">
        <f t="shared" si="284"/>
        <v/>
      </c>
      <c r="CU94" s="152">
        <f t="shared" si="285"/>
        <v>0</v>
      </c>
      <c r="CV94" s="153">
        <f t="shared" si="286"/>
        <v>0</v>
      </c>
      <c r="CW94" s="153" t="str">
        <f t="shared" si="287"/>
        <v/>
      </c>
      <c r="CX94" s="153" t="str">
        <f t="shared" si="288"/>
        <v/>
      </c>
      <c r="CY94" s="153" t="str">
        <f t="shared" si="289"/>
        <v/>
      </c>
      <c r="CZ94" s="152" t="str">
        <f t="shared" si="290"/>
        <v/>
      </c>
      <c r="DA94" s="153" t="str">
        <f t="shared" si="291"/>
        <v/>
      </c>
      <c r="DB94" s="152" t="str">
        <f t="shared" si="292"/>
        <v/>
      </c>
      <c r="DC94" s="153">
        <f t="shared" si="293"/>
        <v>0</v>
      </c>
      <c r="DD94" s="851" t="str">
        <f>IF('Marks Entry'!AS94="","",IF(OR('Master Sheet'!$D$19="YES",'Marks Entry'!$BA$1=1),'Marks Entry'!AS94,""))</f>
        <v/>
      </c>
      <c r="DE94" s="851" t="str">
        <f>IF('Marks Entry'!AT94="","",IF(OR('Master Sheet'!$D$19="YES",'Marks Entry'!$BA$1=1),'Marks Entry'!AT94,""))</f>
        <v/>
      </c>
      <c r="DF94" s="851" t="str">
        <f>IF('Marks Entry'!AU94="","",IF(OR('Master Sheet'!$D$19="YES",'Marks Entry'!$BA$1=1),'Marks Entry'!AU94,""))</f>
        <v/>
      </c>
      <c r="DG94" s="851" t="str">
        <f>IF('Marks Entry'!AV94="","",IF(OR('Master Sheet'!$D$19="YES",'Marks Entry'!$BA$1=1),'Marks Entry'!AV94,""))</f>
        <v/>
      </c>
      <c r="DH94" s="852" t="str">
        <f t="shared" si="294"/>
        <v/>
      </c>
      <c r="DI94" s="851" t="str">
        <f>IF('Marks Entry'!AW94="","",IF(OR('Master Sheet'!$D$19="YES",'Marks Entry'!$BA$1=1),'Marks Entry'!AW94,""))</f>
        <v/>
      </c>
      <c r="DJ94" s="851" t="str">
        <f>IF('Marks Entry'!AX94="","",IF(OR('Master Sheet'!$D$19="YES",'Marks Entry'!$BA$1=1),'Marks Entry'!AX94,""))</f>
        <v/>
      </c>
      <c r="DK94" s="852" t="str">
        <f t="shared" si="295"/>
        <v/>
      </c>
      <c r="DL94" s="852" t="str">
        <f t="shared" si="296"/>
        <v/>
      </c>
      <c r="DM94" s="851" t="str">
        <f>IF('Marks Entry'!AY94="","",IF(OR('Master Sheet'!$D$19="YES",'Marks Entry'!$BA$1=1),'Marks Entry'!AY94,""))</f>
        <v/>
      </c>
      <c r="DN94" s="851" t="str">
        <f>IF('Marks Entry'!AZ94="","",IF(OR('Master Sheet'!$D$19="YES",'Marks Entry'!$BA$1=1),'Marks Entry'!AZ94,""))</f>
        <v/>
      </c>
      <c r="DO94" s="851" t="str">
        <f>IF('Marks Entry'!BA94="","",IF(OR('Master Sheet'!$D$19="YES",'Marks Entry'!$BA$1=1),'Marks Entry'!BA94,""))</f>
        <v/>
      </c>
      <c r="DP94" s="852" t="str">
        <f t="shared" si="297"/>
        <v/>
      </c>
      <c r="DQ94" s="156" t="str">
        <f t="shared" si="298"/>
        <v/>
      </c>
      <c r="DR94" s="156" t="str">
        <f t="shared" si="299"/>
        <v/>
      </c>
      <c r="DS94" s="156" t="str">
        <f t="shared" si="300"/>
        <v/>
      </c>
      <c r="DT94" s="191" t="str">
        <f t="shared" si="301"/>
        <v/>
      </c>
      <c r="DU94" s="152">
        <f t="shared" si="302"/>
        <v>0</v>
      </c>
      <c r="DV94" s="153">
        <f t="shared" si="303"/>
        <v>0</v>
      </c>
      <c r="DW94" s="153" t="str">
        <f t="shared" si="304"/>
        <v/>
      </c>
      <c r="DX94" s="153" t="str">
        <f>IF(OR($B94="NSO",$B94=0,DS94=""),"",IF(AND(DJ94="",DO94=""),"",IF('Master Sheet'!$D$19="YES",$DO$6-COUNTIF(DO94,"ML")*DO$6,DS$6-(COUNTIF(DJ94,"ML")*DJ$6)-(COUNTIF(DO94,"ML")*DO$6))))</f>
        <v/>
      </c>
      <c r="DY94" s="153" t="str">
        <f>IF(OR($B94="NSO",$B94=0),"",IF(AND(DH94="",DI94="",DM94=""),"",IF(AND('Master Sheet'!$D$19="YES",'Marks Entry'!$BA$1=1),100,IF(AND(DJ94="",DO94=""),SUM(($DQ$7+$DR$7)-(DU94+DV94)),SUM(($DQ$6+$DR$6)-(DU94+DV94))))))</f>
        <v/>
      </c>
      <c r="DZ94" s="152" t="str">
        <f t="shared" si="305"/>
        <v/>
      </c>
      <c r="EA94" s="153" t="str">
        <f t="shared" si="306"/>
        <v/>
      </c>
      <c r="EB94" s="152" t="str">
        <f t="shared" si="307"/>
        <v/>
      </c>
      <c r="EC94" s="584" t="str">
        <f>IF('Marks Entry'!BB94="","",'Marks Entry'!BB94)</f>
        <v/>
      </c>
      <c r="ED94" s="584" t="str">
        <f>IF('Marks Entry'!BC94="","",'Marks Entry'!BC94)</f>
        <v/>
      </c>
      <c r="EE94" s="584" t="str">
        <f>IF('Marks Entry'!BD94="","",'Marks Entry'!BD94)</f>
        <v/>
      </c>
      <c r="EF94" s="590" t="str">
        <f t="shared" si="308"/>
        <v/>
      </c>
      <c r="EG94" s="595">
        <f t="shared" si="309"/>
        <v>0</v>
      </c>
      <c r="EH94" s="595">
        <f t="shared" si="310"/>
        <v>0</v>
      </c>
      <c r="EI94" s="192" t="str">
        <f t="shared" si="311"/>
        <v/>
      </c>
      <c r="EJ94" s="595" t="str">
        <f t="shared" si="312"/>
        <v/>
      </c>
      <c r="EK94" s="595" t="str">
        <f t="shared" si="313"/>
        <v/>
      </c>
      <c r="EL94" s="193" t="str">
        <f t="shared" si="314"/>
        <v/>
      </c>
      <c r="EM94" s="193" t="str">
        <f t="shared" si="315"/>
        <v/>
      </c>
      <c r="EN94" s="193" t="str">
        <f t="shared" si="316"/>
        <v/>
      </c>
      <c r="EO94" s="193" t="str">
        <f t="shared" si="317"/>
        <v/>
      </c>
      <c r="EP94" s="193" t="str">
        <f t="shared" si="318"/>
        <v/>
      </c>
      <c r="EQ94" s="193" t="str">
        <f t="shared" si="319"/>
        <v/>
      </c>
      <c r="ER94" s="194">
        <f t="shared" si="320"/>
        <v>0</v>
      </c>
      <c r="ES94" s="194">
        <f t="shared" si="321"/>
        <v>0</v>
      </c>
      <c r="ET94" s="194">
        <f t="shared" si="322"/>
        <v>0</v>
      </c>
      <c r="EU94" s="194">
        <f t="shared" si="323"/>
        <v>0</v>
      </c>
      <c r="EV94" s="194">
        <f t="shared" si="324"/>
        <v>0</v>
      </c>
      <c r="EW94" s="194" t="str">
        <f t="shared" si="325"/>
        <v/>
      </c>
      <c r="EX94" s="195" t="str">
        <f t="shared" si="326"/>
        <v/>
      </c>
      <c r="EY94" s="196" t="str">
        <f>IF('Marks Entry'!BE94="","",'Marks Entry'!BE94)</f>
        <v/>
      </c>
      <c r="EZ94" s="196" t="str">
        <f>IF('Marks Entry'!BF94="","",'Marks Entry'!BF94)</f>
        <v/>
      </c>
      <c r="FA94" s="196" t="str">
        <f>IF('Marks Entry'!BG94="","",'Marks Entry'!BG94)</f>
        <v/>
      </c>
      <c r="FB94" s="596" t="str">
        <f t="shared" si="327"/>
        <v/>
      </c>
      <c r="FC94" s="196" t="str">
        <f>IF('Marks Entry'!BH94="","",'Marks Entry'!BH94)</f>
        <v/>
      </c>
      <c r="FD94" s="196" t="str">
        <f>IF('Marks Entry'!BI94="","",'Marks Entry'!BI94)</f>
        <v/>
      </c>
      <c r="FE94" s="197" t="str">
        <f t="shared" si="328"/>
        <v/>
      </c>
      <c r="FF94" s="198" t="str">
        <f t="shared" si="329"/>
        <v/>
      </c>
      <c r="FG94" s="199" t="str">
        <f>IF(AND(E94=""),"",IF('Student DATA Entry'!L90="","",'Student DATA Entry'!L90))</f>
        <v/>
      </c>
      <c r="FH94" s="200" t="str">
        <f>IF(AND(E94=""),"",IF('Student DATA Entry'!M90="","",'Student DATA Entry'!M90))</f>
        <v/>
      </c>
      <c r="FI94" s="201" t="str">
        <f t="shared" si="330"/>
        <v/>
      </c>
      <c r="FJ94" s="188" t="str">
        <f t="shared" si="331"/>
        <v/>
      </c>
      <c r="FK94" s="188" t="str">
        <f t="shared" si="332"/>
        <v/>
      </c>
      <c r="FL94" s="202" t="str">
        <f t="shared" si="201"/>
        <v/>
      </c>
      <c r="FM94" s="188" t="str">
        <f t="shared" si="333"/>
        <v/>
      </c>
      <c r="FN94" s="203" t="str">
        <f t="shared" si="334"/>
        <v/>
      </c>
      <c r="FO94" s="202" t="str">
        <f t="shared" si="202"/>
        <v/>
      </c>
      <c r="FP94" s="204" t="str">
        <f t="shared" si="335"/>
        <v/>
      </c>
      <c r="FQ94" s="188" t="str">
        <f t="shared" si="203"/>
        <v/>
      </c>
      <c r="FR94" s="188" t="str">
        <f t="shared" si="204"/>
        <v/>
      </c>
      <c r="FS94" s="188" t="str">
        <f t="shared" si="205"/>
        <v/>
      </c>
      <c r="FT94" s="188" t="str">
        <f t="shared" si="206"/>
        <v/>
      </c>
      <c r="FU94" s="188" t="str">
        <f t="shared" si="336"/>
        <v/>
      </c>
      <c r="FV94" s="205" t="str">
        <f t="shared" si="207"/>
        <v/>
      </c>
      <c r="FW94" s="204" t="str">
        <f t="shared" si="337"/>
        <v/>
      </c>
      <c r="FX94" s="188" t="str">
        <f t="shared" si="208"/>
        <v/>
      </c>
      <c r="FY94" s="188" t="str">
        <f t="shared" si="209"/>
        <v/>
      </c>
      <c r="FZ94" s="188" t="str">
        <f t="shared" si="210"/>
        <v/>
      </c>
      <c r="GA94" s="188" t="str">
        <f t="shared" si="211"/>
        <v/>
      </c>
      <c r="GB94" s="188" t="str">
        <f t="shared" si="338"/>
        <v/>
      </c>
      <c r="GC94" s="205" t="str">
        <f t="shared" si="212"/>
        <v/>
      </c>
      <c r="GD94" s="204" t="str">
        <f t="shared" si="339"/>
        <v/>
      </c>
      <c r="GE94" s="188" t="str">
        <f t="shared" si="213"/>
        <v/>
      </c>
      <c r="GF94" s="188" t="str">
        <f t="shared" si="214"/>
        <v/>
      </c>
      <c r="GG94" s="188" t="str">
        <f t="shared" si="215"/>
        <v/>
      </c>
      <c r="GH94" s="188" t="str">
        <f t="shared" si="216"/>
        <v/>
      </c>
      <c r="GI94" s="188" t="str">
        <f t="shared" si="340"/>
        <v/>
      </c>
      <c r="GJ94" s="205" t="str">
        <f t="shared" si="217"/>
        <v/>
      </c>
      <c r="GK94" s="204" t="str">
        <f t="shared" si="341"/>
        <v/>
      </c>
      <c r="GL94" s="188" t="str">
        <f t="shared" si="218"/>
        <v/>
      </c>
      <c r="GM94" s="188" t="str">
        <f t="shared" si="219"/>
        <v/>
      </c>
      <c r="GN94" s="188" t="str">
        <f t="shared" si="220"/>
        <v/>
      </c>
      <c r="GO94" s="188" t="str">
        <f t="shared" si="221"/>
        <v/>
      </c>
      <c r="GP94" s="188" t="str">
        <f t="shared" si="342"/>
        <v/>
      </c>
      <c r="GQ94" s="205" t="str">
        <f t="shared" si="222"/>
        <v/>
      </c>
      <c r="GR94" s="188" t="str">
        <f t="shared" si="343"/>
        <v/>
      </c>
      <c r="GS94" s="188" t="str">
        <f t="shared" si="344"/>
        <v/>
      </c>
      <c r="GT94" s="206" t="str">
        <f t="shared" si="345"/>
        <v xml:space="preserve">    </v>
      </c>
      <c r="GU94" s="206" t="str">
        <f t="shared" si="346"/>
        <v xml:space="preserve">    </v>
      </c>
      <c r="GV94" s="206" t="str">
        <f t="shared" si="347"/>
        <v xml:space="preserve">    </v>
      </c>
      <c r="GW94" s="206" t="str">
        <f t="shared" si="348"/>
        <v xml:space="preserve">       </v>
      </c>
      <c r="GX94" s="598" t="str">
        <f t="shared" si="349"/>
        <v xml:space="preserve">     </v>
      </c>
      <c r="GY94" s="207" t="str">
        <f t="shared" si="223"/>
        <v/>
      </c>
      <c r="GZ94" s="606" t="str">
        <f>IF(AND(Q94="",AE94="",AZ94="",BW94="",CT94=""),"",IF(AND('Master Sheet'!$D$19="YES",'Marks Entry'!$BA$1=1),SUM(Q94,AE94,AZ94,BW94,DT94),SUM(Q94,AE94,AZ94,BW94,CT94)))</f>
        <v/>
      </c>
      <c r="HA94" s="208" t="str">
        <f>IF(GZ94="","",IF(AND('Master Sheet'!$D$19="YES",'Marks Entry'!$BA$1=1),GZ94/((900)-DC94)*100,GZ94/((1000)-DC94)*100))</f>
        <v/>
      </c>
      <c r="HB94" s="611" t="str">
        <f t="shared" si="350"/>
        <v/>
      </c>
      <c r="HC94" s="609" t="str">
        <f t="shared" si="351"/>
        <v/>
      </c>
      <c r="HD94" s="610" t="str">
        <f t="shared" si="352"/>
        <v/>
      </c>
      <c r="HE94" s="209" t="str">
        <f>IFERROR(IF(OR(GY94="SUPPLEMENTARY",GY94="RE-EXAM"),'Supp. Result Entry'!AS93,""),"")</f>
        <v/>
      </c>
      <c r="HF94" s="613" t="str">
        <f t="shared" si="353"/>
        <v/>
      </c>
      <c r="HG94" s="598" t="str">
        <f t="shared" si="354"/>
        <v/>
      </c>
      <c r="HH94" s="598" t="str">
        <f>IF(AND(HE94="",HF94="",HG94=""),"",IF(OR(GY94="SUPPLEMENTARY",GY94="RE-EXAM"),'Supp. Result Entry'!AS93,GY94))</f>
        <v/>
      </c>
      <c r="HI94" s="179"/>
      <c r="HY94" s="211" t="str">
        <f>IF('Supp. Result Entry'!U93="","",'Supp. Result Entry'!$U$6)</f>
        <v/>
      </c>
      <c r="HZ94" s="212" t="str">
        <f>IF('Supp. Result Entry'!X93="","",'Supp. Result Entry'!$X$6)</f>
        <v/>
      </c>
      <c r="IA94" s="212" t="str">
        <f>IF('Supp. Result Entry'!AA93="","",'Supp. Result Entry'!$AA$6)</f>
        <v/>
      </c>
      <c r="IB94" s="212" t="str">
        <f>IF('Supp. Result Entry'!AD93="","",'Supp. Result Entry'!$AD$6)</f>
        <v/>
      </c>
      <c r="IC94" s="212" t="str">
        <f>IF('Supp. Result Entry'!AG93="","",'Supp. Result Entry'!$AG$6)</f>
        <v/>
      </c>
      <c r="ID94" s="212" t="str">
        <f>IF('Supp. Result Entry'!AJ93="","",'Supp. Result Entry'!$AJ$6)</f>
        <v/>
      </c>
      <c r="IE94" s="212" t="str">
        <f>IF('Supp. Result Entry'!V93="","",'Supp. Result Entry'!V93)</f>
        <v/>
      </c>
      <c r="IF94" s="212" t="str">
        <f>IF('Supp. Result Entry'!Y93="","",'Supp. Result Entry'!Y93)</f>
        <v/>
      </c>
      <c r="IG94" s="212" t="str">
        <f>IF('Supp. Result Entry'!AB93="","",'Supp. Result Entry'!AB93)</f>
        <v/>
      </c>
      <c r="IH94" s="212" t="str">
        <f>IF('Supp. Result Entry'!AE93="","",'Supp. Result Entry'!AE93)</f>
        <v/>
      </c>
      <c r="II94" s="212" t="str">
        <f>IF('Supp. Result Entry'!AH93="","",'Supp. Result Entry'!AH93)</f>
        <v/>
      </c>
      <c r="IJ94" s="212" t="str">
        <f>IF('Supp. Result Entry'!AK93="","",'Supp. Result Entry'!AK93)</f>
        <v/>
      </c>
      <c r="IK94" s="212" t="str">
        <f>IF('Supp. Result Entry'!W93="","",'Supp. Result Entry'!W93)</f>
        <v/>
      </c>
      <c r="IL94" s="212" t="str">
        <f>IF('Supp. Result Entry'!Z93="","",'Supp. Result Entry'!Z93)</f>
        <v/>
      </c>
      <c r="IM94" s="212" t="str">
        <f>IF('Supp. Result Entry'!AC93="","",'Supp. Result Entry'!AC93)</f>
        <v/>
      </c>
      <c r="IN94" s="212" t="str">
        <f>IF('Supp. Result Entry'!AF93="","",'Supp. Result Entry'!AF93)</f>
        <v/>
      </c>
      <c r="IO94" s="212" t="str">
        <f>IF('Supp. Result Entry'!AI93="","",'Supp. Result Entry'!AI93)</f>
        <v/>
      </c>
      <c r="IP94" s="212" t="str">
        <f>IF('Supp. Result Entry'!AL93="","",'Supp. Result Entry'!AL93)</f>
        <v/>
      </c>
      <c r="IQ94" s="212">
        <f>COUNTIF('Supp. Result Entry'!K93:Q93,"S")</f>
        <v>0</v>
      </c>
      <c r="IR94" s="212">
        <f t="shared" si="355"/>
        <v>0</v>
      </c>
      <c r="IS94" s="212">
        <f t="shared" si="356"/>
        <v>0</v>
      </c>
      <c r="IT94" s="212" t="str">
        <f t="shared" si="224"/>
        <v/>
      </c>
      <c r="IU94" s="212" t="str">
        <f t="shared" si="225"/>
        <v/>
      </c>
      <c r="IV94" s="212" t="str">
        <f t="shared" si="226"/>
        <v/>
      </c>
      <c r="IW94" s="212" t="str">
        <f t="shared" si="227"/>
        <v/>
      </c>
      <c r="IX94" s="212" t="str">
        <f t="shared" si="228"/>
        <v/>
      </c>
      <c r="IY94" s="212" t="str">
        <f t="shared" si="357"/>
        <v/>
      </c>
      <c r="IZ94" s="212" t="str">
        <f t="shared" si="358"/>
        <v/>
      </c>
      <c r="JA94" s="212" t="str">
        <f t="shared" si="229"/>
        <v/>
      </c>
      <c r="JB94" s="210" t="str">
        <f t="shared" si="359"/>
        <v/>
      </c>
    </row>
    <row r="95" spans="1:262" s="210" customFormat="1" ht="21" customHeight="1">
      <c r="A95" s="183">
        <v>88</v>
      </c>
      <c r="B95" s="184" t="str">
        <f>IF('Marks Entry'!B95="","",'Marks Entry'!B95)</f>
        <v/>
      </c>
      <c r="C95" s="185" t="str">
        <f>IF('Marks Entry'!D95="","",'Marks Entry'!D95)</f>
        <v/>
      </c>
      <c r="D95" s="186" t="str">
        <f>IF('Marks Entry'!E95="","",'Marks Entry'!E95)</f>
        <v/>
      </c>
      <c r="E95" s="187" t="str">
        <f>IF('Marks Entry'!F95="","",'Marks Entry'!F95)</f>
        <v/>
      </c>
      <c r="F95" s="187" t="str">
        <f>IF('Marks Entry'!G95="","",'Marks Entry'!G95)</f>
        <v/>
      </c>
      <c r="G95" s="187" t="str">
        <f>IF('Marks Entry'!H95="","",'Marks Entry'!H95)</f>
        <v/>
      </c>
      <c r="H95" s="188" t="str">
        <f>IF('Marks Entry'!I95="","",'Marks Entry'!I95)</f>
        <v/>
      </c>
      <c r="I95" s="189" t="str">
        <f>IF('Marks Entry'!J95="","",'Marks Entry'!J95)</f>
        <v/>
      </c>
      <c r="J95" s="545" t="str">
        <f>IF('Marks Entry'!K95="","",'Marks Entry'!K95)</f>
        <v/>
      </c>
      <c r="K95" s="545" t="str">
        <f>IF('Marks Entry'!L95="","",'Marks Entry'!L95)</f>
        <v/>
      </c>
      <c r="L95" s="545" t="str">
        <f>IF('Marks Entry'!M95="","",'Marks Entry'!M95)</f>
        <v/>
      </c>
      <c r="M95" s="546" t="str">
        <f t="shared" si="230"/>
        <v/>
      </c>
      <c r="N95" s="545" t="str">
        <f>IF('Marks Entry'!N95="","",'Marks Entry'!N95)</f>
        <v/>
      </c>
      <c r="O95" s="546" t="str">
        <f t="shared" si="231"/>
        <v/>
      </c>
      <c r="P95" s="545" t="str">
        <f>IF('Marks Entry'!O95="","",'Marks Entry'!O95)</f>
        <v/>
      </c>
      <c r="Q95" s="547" t="str">
        <f t="shared" si="232"/>
        <v/>
      </c>
      <c r="R95" s="152">
        <f t="shared" si="233"/>
        <v>0</v>
      </c>
      <c r="S95" s="152">
        <f t="shared" si="234"/>
        <v>0</v>
      </c>
      <c r="T95" s="153" t="str">
        <f t="shared" si="235"/>
        <v/>
      </c>
      <c r="U95" s="152" t="str">
        <f t="shared" si="236"/>
        <v/>
      </c>
      <c r="V95" s="152" t="str">
        <f t="shared" si="237"/>
        <v/>
      </c>
      <c r="W95" s="152" t="str">
        <f t="shared" si="238"/>
        <v/>
      </c>
      <c r="X95" s="545" t="str">
        <f>IF('Marks Entry'!P95="","",'Marks Entry'!P95)</f>
        <v/>
      </c>
      <c r="Y95" s="545" t="str">
        <f>IF('Marks Entry'!Q95="","",'Marks Entry'!Q95)</f>
        <v/>
      </c>
      <c r="Z95" s="545" t="str">
        <f>IF('Marks Entry'!R95="","",'Marks Entry'!R95)</f>
        <v/>
      </c>
      <c r="AA95" s="546" t="str">
        <f t="shared" si="239"/>
        <v/>
      </c>
      <c r="AB95" s="545" t="str">
        <f>IF('Marks Entry'!S95="","",'Marks Entry'!S95)</f>
        <v/>
      </c>
      <c r="AC95" s="546" t="str">
        <f t="shared" si="240"/>
        <v/>
      </c>
      <c r="AD95" s="545" t="str">
        <f>IF('Marks Entry'!T95="","",'Marks Entry'!T95)</f>
        <v/>
      </c>
      <c r="AE95" s="547" t="str">
        <f t="shared" si="241"/>
        <v/>
      </c>
      <c r="AF95" s="152">
        <f t="shared" si="242"/>
        <v>0</v>
      </c>
      <c r="AG95" s="152">
        <f t="shared" si="243"/>
        <v>0</v>
      </c>
      <c r="AH95" s="153" t="str">
        <f t="shared" si="244"/>
        <v/>
      </c>
      <c r="AI95" s="152" t="str">
        <f t="shared" si="245"/>
        <v/>
      </c>
      <c r="AJ95" s="152" t="str">
        <f t="shared" si="246"/>
        <v/>
      </c>
      <c r="AK95" s="152" t="str">
        <f t="shared" si="247"/>
        <v/>
      </c>
      <c r="AL95" s="573" t="str">
        <f>IF('Marks Entry'!U95="","",'Marks Entry'!U95)</f>
        <v/>
      </c>
      <c r="AM95" s="573" t="str">
        <f>IF('Marks Entry'!V95="","",'Marks Entry'!V95)</f>
        <v/>
      </c>
      <c r="AN95" s="573" t="str">
        <f>IF('Marks Entry'!W95="","",'Marks Entry'!W95)</f>
        <v/>
      </c>
      <c r="AO95" s="573" t="str">
        <f>IF('Marks Entry'!X95="","",'Marks Entry'!X95)</f>
        <v/>
      </c>
      <c r="AP95" s="572" t="str">
        <f t="shared" si="248"/>
        <v/>
      </c>
      <c r="AQ95" s="573" t="str">
        <f>IF('Marks Entry'!Y95="","",'Marks Entry'!Y95)</f>
        <v/>
      </c>
      <c r="AR95" s="573" t="str">
        <f>IF('Marks Entry'!Z95="","",'Marks Entry'!Z95)</f>
        <v/>
      </c>
      <c r="AS95" s="572" t="str">
        <f t="shared" si="249"/>
        <v/>
      </c>
      <c r="AT95" s="572" t="str">
        <f t="shared" si="250"/>
        <v/>
      </c>
      <c r="AU95" s="573" t="str">
        <f>IF('Marks Entry'!AA95="","",'Marks Entry'!AA95)</f>
        <v/>
      </c>
      <c r="AV95" s="573" t="str">
        <f>IF('Marks Entry'!AB95="","",'Marks Entry'!AB95)</f>
        <v/>
      </c>
      <c r="AW95" s="572" t="str">
        <f t="shared" si="251"/>
        <v/>
      </c>
      <c r="AX95" s="156" t="str">
        <f t="shared" si="252"/>
        <v/>
      </c>
      <c r="AY95" s="156" t="str">
        <f t="shared" si="253"/>
        <v/>
      </c>
      <c r="AZ95" s="191" t="str">
        <f t="shared" si="254"/>
        <v/>
      </c>
      <c r="BA95" s="152">
        <f t="shared" si="255"/>
        <v>0</v>
      </c>
      <c r="BB95" s="153">
        <f t="shared" si="256"/>
        <v>0</v>
      </c>
      <c r="BC95" s="153" t="str">
        <f t="shared" si="257"/>
        <v/>
      </c>
      <c r="BD95" s="153" t="str">
        <f t="shared" si="258"/>
        <v/>
      </c>
      <c r="BE95" s="153" t="str">
        <f t="shared" si="259"/>
        <v/>
      </c>
      <c r="BF95" s="152" t="str">
        <f t="shared" si="260"/>
        <v/>
      </c>
      <c r="BG95" s="153" t="str">
        <f t="shared" si="261"/>
        <v/>
      </c>
      <c r="BH95" s="152" t="str">
        <f t="shared" si="262"/>
        <v/>
      </c>
      <c r="BI95" s="580" t="str">
        <f>IF('Marks Entry'!AC95="","",'Marks Entry'!AC95)</f>
        <v/>
      </c>
      <c r="BJ95" s="580" t="str">
        <f>IF('Marks Entry'!AD95="","",'Marks Entry'!AD95)</f>
        <v/>
      </c>
      <c r="BK95" s="580" t="str">
        <f>IF('Marks Entry'!AE95="","",'Marks Entry'!AE95)</f>
        <v/>
      </c>
      <c r="BL95" s="580" t="str">
        <f>IF('Marks Entry'!AF95="","",'Marks Entry'!AF95)</f>
        <v/>
      </c>
      <c r="BM95" s="581" t="str">
        <f t="shared" si="263"/>
        <v/>
      </c>
      <c r="BN95" s="580" t="str">
        <f>IF('Marks Entry'!AG95="","",'Marks Entry'!AG95)</f>
        <v/>
      </c>
      <c r="BO95" s="580" t="str">
        <f>IF('Marks Entry'!AH95="","",'Marks Entry'!AH95)</f>
        <v/>
      </c>
      <c r="BP95" s="581" t="str">
        <f t="shared" si="264"/>
        <v/>
      </c>
      <c r="BQ95" s="581" t="str">
        <f t="shared" si="265"/>
        <v/>
      </c>
      <c r="BR95" s="580" t="str">
        <f>IF('Marks Entry'!AI95="","",'Marks Entry'!AI95)</f>
        <v/>
      </c>
      <c r="BS95" s="580" t="str">
        <f>IF('Marks Entry'!AJ95="","",'Marks Entry'!AJ95)</f>
        <v/>
      </c>
      <c r="BT95" s="581" t="str">
        <f t="shared" si="266"/>
        <v/>
      </c>
      <c r="BU95" s="156" t="str">
        <f t="shared" si="267"/>
        <v/>
      </c>
      <c r="BV95" s="156" t="str">
        <f t="shared" si="268"/>
        <v/>
      </c>
      <c r="BW95" s="191" t="str">
        <f t="shared" si="269"/>
        <v/>
      </c>
      <c r="BX95" s="152">
        <f t="shared" si="270"/>
        <v>0</v>
      </c>
      <c r="BY95" s="153">
        <f t="shared" si="271"/>
        <v>0</v>
      </c>
      <c r="BZ95" s="153" t="str">
        <f t="shared" si="272"/>
        <v/>
      </c>
      <c r="CA95" s="153" t="str">
        <f t="shared" si="273"/>
        <v/>
      </c>
      <c r="CB95" s="153" t="str">
        <f t="shared" si="274"/>
        <v/>
      </c>
      <c r="CC95" s="152" t="str">
        <f t="shared" si="275"/>
        <v/>
      </c>
      <c r="CD95" s="153" t="str">
        <f t="shared" si="276"/>
        <v/>
      </c>
      <c r="CE95" s="152" t="str">
        <f t="shared" si="277"/>
        <v/>
      </c>
      <c r="CF95" s="580" t="str">
        <f>IF('Marks Entry'!AK95="","",'Marks Entry'!AK95)</f>
        <v/>
      </c>
      <c r="CG95" s="580" t="str">
        <f>IF('Marks Entry'!AL95="","",'Marks Entry'!AL95)</f>
        <v/>
      </c>
      <c r="CH95" s="580" t="str">
        <f>IF('Marks Entry'!AM95="","",'Marks Entry'!AM95)</f>
        <v/>
      </c>
      <c r="CI95" s="580" t="str">
        <f>IF('Marks Entry'!AN95="","",'Marks Entry'!AN95)</f>
        <v/>
      </c>
      <c r="CJ95" s="581" t="str">
        <f t="shared" si="278"/>
        <v/>
      </c>
      <c r="CK95" s="580" t="str">
        <f>IF('Marks Entry'!AO95="","",'Marks Entry'!AO95)</f>
        <v/>
      </c>
      <c r="CL95" s="580" t="str">
        <f>IF('Marks Entry'!AP95="","",'Marks Entry'!AP95)</f>
        <v/>
      </c>
      <c r="CM95" s="581" t="str">
        <f t="shared" si="279"/>
        <v/>
      </c>
      <c r="CN95" s="581" t="str">
        <f t="shared" si="280"/>
        <v/>
      </c>
      <c r="CO95" s="580" t="str">
        <f>IF('Marks Entry'!AQ95="","",'Marks Entry'!AQ95)</f>
        <v/>
      </c>
      <c r="CP95" s="580" t="str">
        <f>IF('Marks Entry'!AR95="","",'Marks Entry'!AR95)</f>
        <v/>
      </c>
      <c r="CQ95" s="581" t="str">
        <f t="shared" si="281"/>
        <v/>
      </c>
      <c r="CR95" s="156" t="str">
        <f t="shared" si="282"/>
        <v/>
      </c>
      <c r="CS95" s="156" t="str">
        <f t="shared" si="283"/>
        <v/>
      </c>
      <c r="CT95" s="191" t="str">
        <f t="shared" si="284"/>
        <v/>
      </c>
      <c r="CU95" s="152">
        <f t="shared" si="285"/>
        <v>0</v>
      </c>
      <c r="CV95" s="153">
        <f t="shared" si="286"/>
        <v>0</v>
      </c>
      <c r="CW95" s="153" t="str">
        <f t="shared" si="287"/>
        <v/>
      </c>
      <c r="CX95" s="153" t="str">
        <f t="shared" si="288"/>
        <v/>
      </c>
      <c r="CY95" s="153" t="str">
        <f t="shared" si="289"/>
        <v/>
      </c>
      <c r="CZ95" s="152" t="str">
        <f t="shared" si="290"/>
        <v/>
      </c>
      <c r="DA95" s="153" t="str">
        <f t="shared" si="291"/>
        <v/>
      </c>
      <c r="DB95" s="152" t="str">
        <f t="shared" si="292"/>
        <v/>
      </c>
      <c r="DC95" s="153">
        <f t="shared" si="293"/>
        <v>0</v>
      </c>
      <c r="DD95" s="851" t="str">
        <f>IF('Marks Entry'!AS95="","",IF(OR('Master Sheet'!$D$19="YES",'Marks Entry'!$BA$1=1),'Marks Entry'!AS95,""))</f>
        <v/>
      </c>
      <c r="DE95" s="851" t="str">
        <f>IF('Marks Entry'!AT95="","",IF(OR('Master Sheet'!$D$19="YES",'Marks Entry'!$BA$1=1),'Marks Entry'!AT95,""))</f>
        <v/>
      </c>
      <c r="DF95" s="851" t="str">
        <f>IF('Marks Entry'!AU95="","",IF(OR('Master Sheet'!$D$19="YES",'Marks Entry'!$BA$1=1),'Marks Entry'!AU95,""))</f>
        <v/>
      </c>
      <c r="DG95" s="851" t="str">
        <f>IF('Marks Entry'!AV95="","",IF(OR('Master Sheet'!$D$19="YES",'Marks Entry'!$BA$1=1),'Marks Entry'!AV95,""))</f>
        <v/>
      </c>
      <c r="DH95" s="852" t="str">
        <f t="shared" si="294"/>
        <v/>
      </c>
      <c r="DI95" s="851" t="str">
        <f>IF('Marks Entry'!AW95="","",IF(OR('Master Sheet'!$D$19="YES",'Marks Entry'!$BA$1=1),'Marks Entry'!AW95,""))</f>
        <v/>
      </c>
      <c r="DJ95" s="851" t="str">
        <f>IF('Marks Entry'!AX95="","",IF(OR('Master Sheet'!$D$19="YES",'Marks Entry'!$BA$1=1),'Marks Entry'!AX95,""))</f>
        <v/>
      </c>
      <c r="DK95" s="852" t="str">
        <f t="shared" si="295"/>
        <v/>
      </c>
      <c r="DL95" s="852" t="str">
        <f t="shared" si="296"/>
        <v/>
      </c>
      <c r="DM95" s="851" t="str">
        <f>IF('Marks Entry'!AY95="","",IF(OR('Master Sheet'!$D$19="YES",'Marks Entry'!$BA$1=1),'Marks Entry'!AY95,""))</f>
        <v/>
      </c>
      <c r="DN95" s="851" t="str">
        <f>IF('Marks Entry'!AZ95="","",IF(OR('Master Sheet'!$D$19="YES",'Marks Entry'!$BA$1=1),'Marks Entry'!AZ95,""))</f>
        <v/>
      </c>
      <c r="DO95" s="851" t="str">
        <f>IF('Marks Entry'!BA95="","",IF(OR('Master Sheet'!$D$19="YES",'Marks Entry'!$BA$1=1),'Marks Entry'!BA95,""))</f>
        <v/>
      </c>
      <c r="DP95" s="852" t="str">
        <f t="shared" si="297"/>
        <v/>
      </c>
      <c r="DQ95" s="156" t="str">
        <f t="shared" si="298"/>
        <v/>
      </c>
      <c r="DR95" s="156" t="str">
        <f t="shared" si="299"/>
        <v/>
      </c>
      <c r="DS95" s="156" t="str">
        <f t="shared" si="300"/>
        <v/>
      </c>
      <c r="DT95" s="191" t="str">
        <f t="shared" si="301"/>
        <v/>
      </c>
      <c r="DU95" s="152">
        <f t="shared" si="302"/>
        <v>0</v>
      </c>
      <c r="DV95" s="153">
        <f t="shared" si="303"/>
        <v>0</v>
      </c>
      <c r="DW95" s="153" t="str">
        <f t="shared" si="304"/>
        <v/>
      </c>
      <c r="DX95" s="153" t="str">
        <f>IF(OR($B95="NSO",$B95=0,DS95=""),"",IF(AND(DJ95="",DO95=""),"",IF('Master Sheet'!$D$19="YES",$DO$6-COUNTIF(DO95,"ML")*DO$6,DS$6-(COUNTIF(DJ95,"ML")*DJ$6)-(COUNTIF(DO95,"ML")*DO$6))))</f>
        <v/>
      </c>
      <c r="DY95" s="153" t="str">
        <f>IF(OR($B95="NSO",$B95=0),"",IF(AND(DH95="",DI95="",DM95=""),"",IF(AND('Master Sheet'!$D$19="YES",'Marks Entry'!$BA$1=1),100,IF(AND(DJ95="",DO95=""),SUM(($DQ$7+$DR$7)-(DU95+DV95)),SUM(($DQ$6+$DR$6)-(DU95+DV95))))))</f>
        <v/>
      </c>
      <c r="DZ95" s="152" t="str">
        <f t="shared" si="305"/>
        <v/>
      </c>
      <c r="EA95" s="153" t="str">
        <f t="shared" si="306"/>
        <v/>
      </c>
      <c r="EB95" s="152" t="str">
        <f t="shared" si="307"/>
        <v/>
      </c>
      <c r="EC95" s="584" t="str">
        <f>IF('Marks Entry'!BB95="","",'Marks Entry'!BB95)</f>
        <v/>
      </c>
      <c r="ED95" s="584" t="str">
        <f>IF('Marks Entry'!BC95="","",'Marks Entry'!BC95)</f>
        <v/>
      </c>
      <c r="EE95" s="584" t="str">
        <f>IF('Marks Entry'!BD95="","",'Marks Entry'!BD95)</f>
        <v/>
      </c>
      <c r="EF95" s="590" t="str">
        <f t="shared" si="308"/>
        <v/>
      </c>
      <c r="EG95" s="595">
        <f t="shared" si="309"/>
        <v>0</v>
      </c>
      <c r="EH95" s="595">
        <f t="shared" si="310"/>
        <v>0</v>
      </c>
      <c r="EI95" s="192" t="str">
        <f t="shared" si="311"/>
        <v/>
      </c>
      <c r="EJ95" s="595" t="str">
        <f t="shared" si="312"/>
        <v/>
      </c>
      <c r="EK95" s="595" t="str">
        <f t="shared" si="313"/>
        <v/>
      </c>
      <c r="EL95" s="193" t="str">
        <f t="shared" si="314"/>
        <v/>
      </c>
      <c r="EM95" s="193" t="str">
        <f t="shared" si="315"/>
        <v/>
      </c>
      <c r="EN95" s="193" t="str">
        <f t="shared" si="316"/>
        <v/>
      </c>
      <c r="EO95" s="193" t="str">
        <f t="shared" si="317"/>
        <v/>
      </c>
      <c r="EP95" s="193" t="str">
        <f t="shared" si="318"/>
        <v/>
      </c>
      <c r="EQ95" s="193" t="str">
        <f t="shared" si="319"/>
        <v/>
      </c>
      <c r="ER95" s="194">
        <f t="shared" si="320"/>
        <v>0</v>
      </c>
      <c r="ES95" s="194">
        <f t="shared" si="321"/>
        <v>0</v>
      </c>
      <c r="ET95" s="194">
        <f t="shared" si="322"/>
        <v>0</v>
      </c>
      <c r="EU95" s="194">
        <f t="shared" si="323"/>
        <v>0</v>
      </c>
      <c r="EV95" s="194">
        <f t="shared" si="324"/>
        <v>0</v>
      </c>
      <c r="EW95" s="194" t="str">
        <f t="shared" si="325"/>
        <v/>
      </c>
      <c r="EX95" s="195" t="str">
        <f t="shared" si="326"/>
        <v/>
      </c>
      <c r="EY95" s="196" t="str">
        <f>IF('Marks Entry'!BE95="","",'Marks Entry'!BE95)</f>
        <v/>
      </c>
      <c r="EZ95" s="196" t="str">
        <f>IF('Marks Entry'!BF95="","",'Marks Entry'!BF95)</f>
        <v/>
      </c>
      <c r="FA95" s="196" t="str">
        <f>IF('Marks Entry'!BG95="","",'Marks Entry'!BG95)</f>
        <v/>
      </c>
      <c r="FB95" s="596" t="str">
        <f t="shared" si="327"/>
        <v/>
      </c>
      <c r="FC95" s="196" t="str">
        <f>IF('Marks Entry'!BH95="","",'Marks Entry'!BH95)</f>
        <v/>
      </c>
      <c r="FD95" s="196" t="str">
        <f>IF('Marks Entry'!BI95="","",'Marks Entry'!BI95)</f>
        <v/>
      </c>
      <c r="FE95" s="197" t="str">
        <f t="shared" si="328"/>
        <v/>
      </c>
      <c r="FF95" s="198" t="str">
        <f t="shared" si="329"/>
        <v/>
      </c>
      <c r="FG95" s="199" t="str">
        <f>IF(AND(E95=""),"",IF('Student DATA Entry'!L91="","",'Student DATA Entry'!L91))</f>
        <v/>
      </c>
      <c r="FH95" s="200" t="str">
        <f>IF(AND(E95=""),"",IF('Student DATA Entry'!M91="","",'Student DATA Entry'!M91))</f>
        <v/>
      </c>
      <c r="FI95" s="201" t="str">
        <f t="shared" si="330"/>
        <v/>
      </c>
      <c r="FJ95" s="188" t="str">
        <f t="shared" si="331"/>
        <v/>
      </c>
      <c r="FK95" s="188" t="str">
        <f t="shared" si="332"/>
        <v/>
      </c>
      <c r="FL95" s="202" t="str">
        <f t="shared" si="201"/>
        <v/>
      </c>
      <c r="FM95" s="188" t="str">
        <f t="shared" si="333"/>
        <v/>
      </c>
      <c r="FN95" s="203" t="str">
        <f t="shared" si="334"/>
        <v/>
      </c>
      <c r="FO95" s="202" t="str">
        <f t="shared" si="202"/>
        <v/>
      </c>
      <c r="FP95" s="204" t="str">
        <f t="shared" si="335"/>
        <v/>
      </c>
      <c r="FQ95" s="188" t="str">
        <f t="shared" si="203"/>
        <v/>
      </c>
      <c r="FR95" s="188" t="str">
        <f t="shared" si="204"/>
        <v/>
      </c>
      <c r="FS95" s="188" t="str">
        <f t="shared" si="205"/>
        <v/>
      </c>
      <c r="FT95" s="188" t="str">
        <f t="shared" si="206"/>
        <v/>
      </c>
      <c r="FU95" s="188" t="str">
        <f t="shared" si="336"/>
        <v/>
      </c>
      <c r="FV95" s="205" t="str">
        <f t="shared" si="207"/>
        <v/>
      </c>
      <c r="FW95" s="204" t="str">
        <f t="shared" si="337"/>
        <v/>
      </c>
      <c r="FX95" s="188" t="str">
        <f t="shared" si="208"/>
        <v/>
      </c>
      <c r="FY95" s="188" t="str">
        <f t="shared" si="209"/>
        <v/>
      </c>
      <c r="FZ95" s="188" t="str">
        <f t="shared" si="210"/>
        <v/>
      </c>
      <c r="GA95" s="188" t="str">
        <f t="shared" si="211"/>
        <v/>
      </c>
      <c r="GB95" s="188" t="str">
        <f t="shared" si="338"/>
        <v/>
      </c>
      <c r="GC95" s="205" t="str">
        <f t="shared" si="212"/>
        <v/>
      </c>
      <c r="GD95" s="204" t="str">
        <f t="shared" si="339"/>
        <v/>
      </c>
      <c r="GE95" s="188" t="str">
        <f t="shared" si="213"/>
        <v/>
      </c>
      <c r="GF95" s="188" t="str">
        <f t="shared" si="214"/>
        <v/>
      </c>
      <c r="GG95" s="188" t="str">
        <f t="shared" si="215"/>
        <v/>
      </c>
      <c r="GH95" s="188" t="str">
        <f t="shared" si="216"/>
        <v/>
      </c>
      <c r="GI95" s="188" t="str">
        <f t="shared" si="340"/>
        <v/>
      </c>
      <c r="GJ95" s="205" t="str">
        <f t="shared" si="217"/>
        <v/>
      </c>
      <c r="GK95" s="204" t="str">
        <f t="shared" si="341"/>
        <v/>
      </c>
      <c r="GL95" s="188" t="str">
        <f t="shared" si="218"/>
        <v/>
      </c>
      <c r="GM95" s="188" t="str">
        <f t="shared" si="219"/>
        <v/>
      </c>
      <c r="GN95" s="188" t="str">
        <f t="shared" si="220"/>
        <v/>
      </c>
      <c r="GO95" s="188" t="str">
        <f t="shared" si="221"/>
        <v/>
      </c>
      <c r="GP95" s="188" t="str">
        <f t="shared" si="342"/>
        <v/>
      </c>
      <c r="GQ95" s="205" t="str">
        <f t="shared" si="222"/>
        <v/>
      </c>
      <c r="GR95" s="188" t="str">
        <f t="shared" si="343"/>
        <v/>
      </c>
      <c r="GS95" s="188" t="str">
        <f t="shared" si="344"/>
        <v/>
      </c>
      <c r="GT95" s="206" t="str">
        <f t="shared" si="345"/>
        <v xml:space="preserve">    </v>
      </c>
      <c r="GU95" s="206" t="str">
        <f t="shared" si="346"/>
        <v xml:space="preserve">    </v>
      </c>
      <c r="GV95" s="206" t="str">
        <f t="shared" si="347"/>
        <v xml:space="preserve">    </v>
      </c>
      <c r="GW95" s="206" t="str">
        <f t="shared" si="348"/>
        <v xml:space="preserve">       </v>
      </c>
      <c r="GX95" s="598" t="str">
        <f t="shared" si="349"/>
        <v xml:space="preserve">     </v>
      </c>
      <c r="GY95" s="207" t="str">
        <f t="shared" si="223"/>
        <v/>
      </c>
      <c r="GZ95" s="606" t="str">
        <f>IF(AND(Q95="",AE95="",AZ95="",BW95="",CT95=""),"",IF(AND('Master Sheet'!$D$19="YES",'Marks Entry'!$BA$1=1),SUM(Q95,AE95,AZ95,BW95,DT95),SUM(Q95,AE95,AZ95,BW95,CT95)))</f>
        <v/>
      </c>
      <c r="HA95" s="208" t="str">
        <f>IF(GZ95="","",IF(AND('Master Sheet'!$D$19="YES",'Marks Entry'!$BA$1=1),GZ95/((900)-DC95)*100,GZ95/((1000)-DC95)*100))</f>
        <v/>
      </c>
      <c r="HB95" s="611" t="str">
        <f t="shared" si="350"/>
        <v/>
      </c>
      <c r="HC95" s="609" t="str">
        <f t="shared" si="351"/>
        <v/>
      </c>
      <c r="HD95" s="610" t="str">
        <f t="shared" si="352"/>
        <v/>
      </c>
      <c r="HE95" s="209" t="str">
        <f>IFERROR(IF(OR(GY95="SUPPLEMENTARY",GY95="RE-EXAM"),'Supp. Result Entry'!AS94,""),"")</f>
        <v/>
      </c>
      <c r="HF95" s="613" t="str">
        <f t="shared" si="353"/>
        <v/>
      </c>
      <c r="HG95" s="598" t="str">
        <f t="shared" si="354"/>
        <v/>
      </c>
      <c r="HH95" s="598" t="str">
        <f>IF(AND(HE95="",HF95="",HG95=""),"",IF(OR(GY95="SUPPLEMENTARY",GY95="RE-EXAM"),'Supp. Result Entry'!AS94,GY95))</f>
        <v/>
      </c>
      <c r="HI95" s="179"/>
      <c r="HY95" s="211" t="str">
        <f>IF('Supp. Result Entry'!U94="","",'Supp. Result Entry'!$U$6)</f>
        <v/>
      </c>
      <c r="HZ95" s="212" t="str">
        <f>IF('Supp. Result Entry'!X94="","",'Supp. Result Entry'!$X$6)</f>
        <v/>
      </c>
      <c r="IA95" s="212" t="str">
        <f>IF('Supp. Result Entry'!AA94="","",'Supp. Result Entry'!$AA$6)</f>
        <v/>
      </c>
      <c r="IB95" s="212" t="str">
        <f>IF('Supp. Result Entry'!AD94="","",'Supp. Result Entry'!$AD$6)</f>
        <v/>
      </c>
      <c r="IC95" s="212" t="str">
        <f>IF('Supp. Result Entry'!AG94="","",'Supp. Result Entry'!$AG$6)</f>
        <v/>
      </c>
      <c r="ID95" s="212" t="str">
        <f>IF('Supp. Result Entry'!AJ94="","",'Supp. Result Entry'!$AJ$6)</f>
        <v/>
      </c>
      <c r="IE95" s="212" t="str">
        <f>IF('Supp. Result Entry'!V94="","",'Supp. Result Entry'!V94)</f>
        <v/>
      </c>
      <c r="IF95" s="212" t="str">
        <f>IF('Supp. Result Entry'!Y94="","",'Supp. Result Entry'!Y94)</f>
        <v/>
      </c>
      <c r="IG95" s="212" t="str">
        <f>IF('Supp. Result Entry'!AB94="","",'Supp. Result Entry'!AB94)</f>
        <v/>
      </c>
      <c r="IH95" s="212" t="str">
        <f>IF('Supp. Result Entry'!AE94="","",'Supp. Result Entry'!AE94)</f>
        <v/>
      </c>
      <c r="II95" s="212" t="str">
        <f>IF('Supp. Result Entry'!AH94="","",'Supp. Result Entry'!AH94)</f>
        <v/>
      </c>
      <c r="IJ95" s="212" t="str">
        <f>IF('Supp. Result Entry'!AK94="","",'Supp. Result Entry'!AK94)</f>
        <v/>
      </c>
      <c r="IK95" s="212" t="str">
        <f>IF('Supp. Result Entry'!W94="","",'Supp. Result Entry'!W94)</f>
        <v/>
      </c>
      <c r="IL95" s="212" t="str">
        <f>IF('Supp. Result Entry'!Z94="","",'Supp. Result Entry'!Z94)</f>
        <v/>
      </c>
      <c r="IM95" s="212" t="str">
        <f>IF('Supp. Result Entry'!AC94="","",'Supp. Result Entry'!AC94)</f>
        <v/>
      </c>
      <c r="IN95" s="212" t="str">
        <f>IF('Supp. Result Entry'!AF94="","",'Supp. Result Entry'!AF94)</f>
        <v/>
      </c>
      <c r="IO95" s="212" t="str">
        <f>IF('Supp. Result Entry'!AI94="","",'Supp. Result Entry'!AI94)</f>
        <v/>
      </c>
      <c r="IP95" s="212" t="str">
        <f>IF('Supp. Result Entry'!AL94="","",'Supp. Result Entry'!AL94)</f>
        <v/>
      </c>
      <c r="IQ95" s="212">
        <f>COUNTIF('Supp. Result Entry'!K94:Q94,"S")</f>
        <v>0</v>
      </c>
      <c r="IR95" s="212">
        <f t="shared" si="355"/>
        <v>0</v>
      </c>
      <c r="IS95" s="212">
        <f t="shared" si="356"/>
        <v>0</v>
      </c>
      <c r="IT95" s="212" t="str">
        <f t="shared" si="224"/>
        <v/>
      </c>
      <c r="IU95" s="212" t="str">
        <f t="shared" si="225"/>
        <v/>
      </c>
      <c r="IV95" s="212" t="str">
        <f t="shared" si="226"/>
        <v/>
      </c>
      <c r="IW95" s="212" t="str">
        <f t="shared" si="227"/>
        <v/>
      </c>
      <c r="IX95" s="212" t="str">
        <f t="shared" si="228"/>
        <v/>
      </c>
      <c r="IY95" s="212" t="str">
        <f t="shared" si="357"/>
        <v/>
      </c>
      <c r="IZ95" s="212" t="str">
        <f t="shared" si="358"/>
        <v/>
      </c>
      <c r="JA95" s="212" t="str">
        <f t="shared" si="229"/>
        <v/>
      </c>
      <c r="JB95" s="210" t="str">
        <f t="shared" si="359"/>
        <v/>
      </c>
    </row>
    <row r="96" spans="1:262" s="210" customFormat="1" ht="21" customHeight="1">
      <c r="A96" s="183">
        <v>89</v>
      </c>
      <c r="B96" s="184" t="str">
        <f>IF('Marks Entry'!B96="","",'Marks Entry'!B96)</f>
        <v/>
      </c>
      <c r="C96" s="185" t="str">
        <f>IF('Marks Entry'!D96="","",'Marks Entry'!D96)</f>
        <v/>
      </c>
      <c r="D96" s="186" t="str">
        <f>IF('Marks Entry'!E96="","",'Marks Entry'!E96)</f>
        <v/>
      </c>
      <c r="E96" s="187" t="str">
        <f>IF('Marks Entry'!F96="","",'Marks Entry'!F96)</f>
        <v/>
      </c>
      <c r="F96" s="187" t="str">
        <f>IF('Marks Entry'!G96="","",'Marks Entry'!G96)</f>
        <v/>
      </c>
      <c r="G96" s="187" t="str">
        <f>IF('Marks Entry'!H96="","",'Marks Entry'!H96)</f>
        <v/>
      </c>
      <c r="H96" s="188" t="str">
        <f>IF('Marks Entry'!I96="","",'Marks Entry'!I96)</f>
        <v/>
      </c>
      <c r="I96" s="189" t="str">
        <f>IF('Marks Entry'!J96="","",'Marks Entry'!J96)</f>
        <v/>
      </c>
      <c r="J96" s="545" t="str">
        <f>IF('Marks Entry'!K96="","",'Marks Entry'!K96)</f>
        <v/>
      </c>
      <c r="K96" s="545" t="str">
        <f>IF('Marks Entry'!L96="","",'Marks Entry'!L96)</f>
        <v/>
      </c>
      <c r="L96" s="545" t="str">
        <f>IF('Marks Entry'!M96="","",'Marks Entry'!M96)</f>
        <v/>
      </c>
      <c r="M96" s="546" t="str">
        <f t="shared" si="230"/>
        <v/>
      </c>
      <c r="N96" s="545" t="str">
        <f>IF('Marks Entry'!N96="","",'Marks Entry'!N96)</f>
        <v/>
      </c>
      <c r="O96" s="546" t="str">
        <f t="shared" si="231"/>
        <v/>
      </c>
      <c r="P96" s="545" t="str">
        <f>IF('Marks Entry'!O96="","",'Marks Entry'!O96)</f>
        <v/>
      </c>
      <c r="Q96" s="547" t="str">
        <f t="shared" si="232"/>
        <v/>
      </c>
      <c r="R96" s="152">
        <f t="shared" si="233"/>
        <v>0</v>
      </c>
      <c r="S96" s="152">
        <f t="shared" si="234"/>
        <v>0</v>
      </c>
      <c r="T96" s="153" t="str">
        <f t="shared" si="235"/>
        <v/>
      </c>
      <c r="U96" s="152" t="str">
        <f t="shared" si="236"/>
        <v/>
      </c>
      <c r="V96" s="152" t="str">
        <f t="shared" si="237"/>
        <v/>
      </c>
      <c r="W96" s="152" t="str">
        <f t="shared" si="238"/>
        <v/>
      </c>
      <c r="X96" s="545" t="str">
        <f>IF('Marks Entry'!P96="","",'Marks Entry'!P96)</f>
        <v/>
      </c>
      <c r="Y96" s="545" t="str">
        <f>IF('Marks Entry'!Q96="","",'Marks Entry'!Q96)</f>
        <v/>
      </c>
      <c r="Z96" s="545" t="str">
        <f>IF('Marks Entry'!R96="","",'Marks Entry'!R96)</f>
        <v/>
      </c>
      <c r="AA96" s="546" t="str">
        <f t="shared" si="239"/>
        <v/>
      </c>
      <c r="AB96" s="545" t="str">
        <f>IF('Marks Entry'!S96="","",'Marks Entry'!S96)</f>
        <v/>
      </c>
      <c r="AC96" s="546" t="str">
        <f t="shared" si="240"/>
        <v/>
      </c>
      <c r="AD96" s="545" t="str">
        <f>IF('Marks Entry'!T96="","",'Marks Entry'!T96)</f>
        <v/>
      </c>
      <c r="AE96" s="547" t="str">
        <f t="shared" si="241"/>
        <v/>
      </c>
      <c r="AF96" s="152">
        <f t="shared" si="242"/>
        <v>0</v>
      </c>
      <c r="AG96" s="152">
        <f t="shared" si="243"/>
        <v>0</v>
      </c>
      <c r="AH96" s="153" t="str">
        <f t="shared" si="244"/>
        <v/>
      </c>
      <c r="AI96" s="152" t="str">
        <f t="shared" si="245"/>
        <v/>
      </c>
      <c r="AJ96" s="152" t="str">
        <f t="shared" si="246"/>
        <v/>
      </c>
      <c r="AK96" s="152" t="str">
        <f t="shared" si="247"/>
        <v/>
      </c>
      <c r="AL96" s="573" t="str">
        <f>IF('Marks Entry'!U96="","",'Marks Entry'!U96)</f>
        <v/>
      </c>
      <c r="AM96" s="573" t="str">
        <f>IF('Marks Entry'!V96="","",'Marks Entry'!V96)</f>
        <v/>
      </c>
      <c r="AN96" s="573" t="str">
        <f>IF('Marks Entry'!W96="","",'Marks Entry'!W96)</f>
        <v/>
      </c>
      <c r="AO96" s="573" t="str">
        <f>IF('Marks Entry'!X96="","",'Marks Entry'!X96)</f>
        <v/>
      </c>
      <c r="AP96" s="572" t="str">
        <f t="shared" si="248"/>
        <v/>
      </c>
      <c r="AQ96" s="573" t="str">
        <f>IF('Marks Entry'!Y96="","",'Marks Entry'!Y96)</f>
        <v/>
      </c>
      <c r="AR96" s="573" t="str">
        <f>IF('Marks Entry'!Z96="","",'Marks Entry'!Z96)</f>
        <v/>
      </c>
      <c r="AS96" s="572" t="str">
        <f t="shared" si="249"/>
        <v/>
      </c>
      <c r="AT96" s="572" t="str">
        <f t="shared" si="250"/>
        <v/>
      </c>
      <c r="AU96" s="573" t="str">
        <f>IF('Marks Entry'!AA96="","",'Marks Entry'!AA96)</f>
        <v/>
      </c>
      <c r="AV96" s="573" t="str">
        <f>IF('Marks Entry'!AB96="","",'Marks Entry'!AB96)</f>
        <v/>
      </c>
      <c r="AW96" s="572" t="str">
        <f t="shared" si="251"/>
        <v/>
      </c>
      <c r="AX96" s="156" t="str">
        <f t="shared" si="252"/>
        <v/>
      </c>
      <c r="AY96" s="156" t="str">
        <f t="shared" si="253"/>
        <v/>
      </c>
      <c r="AZ96" s="191" t="str">
        <f t="shared" si="254"/>
        <v/>
      </c>
      <c r="BA96" s="152">
        <f t="shared" si="255"/>
        <v>0</v>
      </c>
      <c r="BB96" s="153">
        <f t="shared" si="256"/>
        <v>0</v>
      </c>
      <c r="BC96" s="153" t="str">
        <f t="shared" si="257"/>
        <v/>
      </c>
      <c r="BD96" s="153" t="str">
        <f t="shared" si="258"/>
        <v/>
      </c>
      <c r="BE96" s="153" t="str">
        <f t="shared" si="259"/>
        <v/>
      </c>
      <c r="BF96" s="152" t="str">
        <f t="shared" si="260"/>
        <v/>
      </c>
      <c r="BG96" s="153" t="str">
        <f t="shared" si="261"/>
        <v/>
      </c>
      <c r="BH96" s="152" t="str">
        <f t="shared" si="262"/>
        <v/>
      </c>
      <c r="BI96" s="580" t="str">
        <f>IF('Marks Entry'!AC96="","",'Marks Entry'!AC96)</f>
        <v/>
      </c>
      <c r="BJ96" s="580" t="str">
        <f>IF('Marks Entry'!AD96="","",'Marks Entry'!AD96)</f>
        <v/>
      </c>
      <c r="BK96" s="580" t="str">
        <f>IF('Marks Entry'!AE96="","",'Marks Entry'!AE96)</f>
        <v/>
      </c>
      <c r="BL96" s="580" t="str">
        <f>IF('Marks Entry'!AF96="","",'Marks Entry'!AF96)</f>
        <v/>
      </c>
      <c r="BM96" s="581" t="str">
        <f t="shared" si="263"/>
        <v/>
      </c>
      <c r="BN96" s="580" t="str">
        <f>IF('Marks Entry'!AG96="","",'Marks Entry'!AG96)</f>
        <v/>
      </c>
      <c r="BO96" s="580" t="str">
        <f>IF('Marks Entry'!AH96="","",'Marks Entry'!AH96)</f>
        <v/>
      </c>
      <c r="BP96" s="581" t="str">
        <f t="shared" si="264"/>
        <v/>
      </c>
      <c r="BQ96" s="581" t="str">
        <f t="shared" si="265"/>
        <v/>
      </c>
      <c r="BR96" s="580" t="str">
        <f>IF('Marks Entry'!AI96="","",'Marks Entry'!AI96)</f>
        <v/>
      </c>
      <c r="BS96" s="580" t="str">
        <f>IF('Marks Entry'!AJ96="","",'Marks Entry'!AJ96)</f>
        <v/>
      </c>
      <c r="BT96" s="581" t="str">
        <f t="shared" si="266"/>
        <v/>
      </c>
      <c r="BU96" s="156" t="str">
        <f t="shared" si="267"/>
        <v/>
      </c>
      <c r="BV96" s="156" t="str">
        <f t="shared" si="268"/>
        <v/>
      </c>
      <c r="BW96" s="191" t="str">
        <f t="shared" si="269"/>
        <v/>
      </c>
      <c r="BX96" s="152">
        <f t="shared" si="270"/>
        <v>0</v>
      </c>
      <c r="BY96" s="153">
        <f t="shared" si="271"/>
        <v>0</v>
      </c>
      <c r="BZ96" s="153" t="str">
        <f t="shared" si="272"/>
        <v/>
      </c>
      <c r="CA96" s="153" t="str">
        <f t="shared" si="273"/>
        <v/>
      </c>
      <c r="CB96" s="153" t="str">
        <f t="shared" si="274"/>
        <v/>
      </c>
      <c r="CC96" s="152" t="str">
        <f t="shared" si="275"/>
        <v/>
      </c>
      <c r="CD96" s="153" t="str">
        <f t="shared" si="276"/>
        <v/>
      </c>
      <c r="CE96" s="152" t="str">
        <f t="shared" si="277"/>
        <v/>
      </c>
      <c r="CF96" s="580" t="str">
        <f>IF('Marks Entry'!AK96="","",'Marks Entry'!AK96)</f>
        <v/>
      </c>
      <c r="CG96" s="580" t="str">
        <f>IF('Marks Entry'!AL96="","",'Marks Entry'!AL96)</f>
        <v/>
      </c>
      <c r="CH96" s="580" t="str">
        <f>IF('Marks Entry'!AM96="","",'Marks Entry'!AM96)</f>
        <v/>
      </c>
      <c r="CI96" s="580" t="str">
        <f>IF('Marks Entry'!AN96="","",'Marks Entry'!AN96)</f>
        <v/>
      </c>
      <c r="CJ96" s="581" t="str">
        <f t="shared" si="278"/>
        <v/>
      </c>
      <c r="CK96" s="580" t="str">
        <f>IF('Marks Entry'!AO96="","",'Marks Entry'!AO96)</f>
        <v/>
      </c>
      <c r="CL96" s="580" t="str">
        <f>IF('Marks Entry'!AP96="","",'Marks Entry'!AP96)</f>
        <v/>
      </c>
      <c r="CM96" s="581" t="str">
        <f t="shared" si="279"/>
        <v/>
      </c>
      <c r="CN96" s="581" t="str">
        <f t="shared" si="280"/>
        <v/>
      </c>
      <c r="CO96" s="580" t="str">
        <f>IF('Marks Entry'!AQ96="","",'Marks Entry'!AQ96)</f>
        <v/>
      </c>
      <c r="CP96" s="580" t="str">
        <f>IF('Marks Entry'!AR96="","",'Marks Entry'!AR96)</f>
        <v/>
      </c>
      <c r="CQ96" s="581" t="str">
        <f t="shared" si="281"/>
        <v/>
      </c>
      <c r="CR96" s="156" t="str">
        <f t="shared" si="282"/>
        <v/>
      </c>
      <c r="CS96" s="156" t="str">
        <f t="shared" si="283"/>
        <v/>
      </c>
      <c r="CT96" s="191" t="str">
        <f t="shared" si="284"/>
        <v/>
      </c>
      <c r="CU96" s="152">
        <f t="shared" si="285"/>
        <v>0</v>
      </c>
      <c r="CV96" s="153">
        <f t="shared" si="286"/>
        <v>0</v>
      </c>
      <c r="CW96" s="153" t="str">
        <f t="shared" si="287"/>
        <v/>
      </c>
      <c r="CX96" s="153" t="str">
        <f t="shared" si="288"/>
        <v/>
      </c>
      <c r="CY96" s="153" t="str">
        <f t="shared" si="289"/>
        <v/>
      </c>
      <c r="CZ96" s="152" t="str">
        <f t="shared" si="290"/>
        <v/>
      </c>
      <c r="DA96" s="153" t="str">
        <f t="shared" si="291"/>
        <v/>
      </c>
      <c r="DB96" s="152" t="str">
        <f t="shared" si="292"/>
        <v/>
      </c>
      <c r="DC96" s="153">
        <f t="shared" si="293"/>
        <v>0</v>
      </c>
      <c r="DD96" s="851" t="str">
        <f>IF('Marks Entry'!AS96="","",IF(OR('Master Sheet'!$D$19="YES",'Marks Entry'!$BA$1=1),'Marks Entry'!AS96,""))</f>
        <v/>
      </c>
      <c r="DE96" s="851" t="str">
        <f>IF('Marks Entry'!AT96="","",IF(OR('Master Sheet'!$D$19="YES",'Marks Entry'!$BA$1=1),'Marks Entry'!AT96,""))</f>
        <v/>
      </c>
      <c r="DF96" s="851" t="str">
        <f>IF('Marks Entry'!AU96="","",IF(OR('Master Sheet'!$D$19="YES",'Marks Entry'!$BA$1=1),'Marks Entry'!AU96,""))</f>
        <v/>
      </c>
      <c r="DG96" s="851" t="str">
        <f>IF('Marks Entry'!AV96="","",IF(OR('Master Sheet'!$D$19="YES",'Marks Entry'!$BA$1=1),'Marks Entry'!AV96,""))</f>
        <v/>
      </c>
      <c r="DH96" s="852" t="str">
        <f t="shared" si="294"/>
        <v/>
      </c>
      <c r="DI96" s="851" t="str">
        <f>IF('Marks Entry'!AW96="","",IF(OR('Master Sheet'!$D$19="YES",'Marks Entry'!$BA$1=1),'Marks Entry'!AW96,""))</f>
        <v/>
      </c>
      <c r="DJ96" s="851" t="str">
        <f>IF('Marks Entry'!AX96="","",IF(OR('Master Sheet'!$D$19="YES",'Marks Entry'!$BA$1=1),'Marks Entry'!AX96,""))</f>
        <v/>
      </c>
      <c r="DK96" s="852" t="str">
        <f t="shared" si="295"/>
        <v/>
      </c>
      <c r="DL96" s="852" t="str">
        <f t="shared" si="296"/>
        <v/>
      </c>
      <c r="DM96" s="851" t="str">
        <f>IF('Marks Entry'!AY96="","",IF(OR('Master Sheet'!$D$19="YES",'Marks Entry'!$BA$1=1),'Marks Entry'!AY96,""))</f>
        <v/>
      </c>
      <c r="DN96" s="851" t="str">
        <f>IF('Marks Entry'!AZ96="","",IF(OR('Master Sheet'!$D$19="YES",'Marks Entry'!$BA$1=1),'Marks Entry'!AZ96,""))</f>
        <v/>
      </c>
      <c r="DO96" s="851" t="str">
        <f>IF('Marks Entry'!BA96="","",IF(OR('Master Sheet'!$D$19="YES",'Marks Entry'!$BA$1=1),'Marks Entry'!BA96,""))</f>
        <v/>
      </c>
      <c r="DP96" s="852" t="str">
        <f t="shared" si="297"/>
        <v/>
      </c>
      <c r="DQ96" s="156" t="str">
        <f t="shared" si="298"/>
        <v/>
      </c>
      <c r="DR96" s="156" t="str">
        <f t="shared" si="299"/>
        <v/>
      </c>
      <c r="DS96" s="156" t="str">
        <f t="shared" si="300"/>
        <v/>
      </c>
      <c r="DT96" s="191" t="str">
        <f t="shared" si="301"/>
        <v/>
      </c>
      <c r="DU96" s="152">
        <f t="shared" si="302"/>
        <v>0</v>
      </c>
      <c r="DV96" s="153">
        <f t="shared" si="303"/>
        <v>0</v>
      </c>
      <c r="DW96" s="153" t="str">
        <f t="shared" si="304"/>
        <v/>
      </c>
      <c r="DX96" s="153" t="str">
        <f>IF(OR($B96="NSO",$B96=0,DS96=""),"",IF(AND(DJ96="",DO96=""),"",IF('Master Sheet'!$D$19="YES",$DO$6-COUNTIF(DO96,"ML")*DO$6,DS$6-(COUNTIF(DJ96,"ML")*DJ$6)-(COUNTIF(DO96,"ML")*DO$6))))</f>
        <v/>
      </c>
      <c r="DY96" s="153" t="str">
        <f>IF(OR($B96="NSO",$B96=0),"",IF(AND(DH96="",DI96="",DM96=""),"",IF(AND('Master Sheet'!$D$19="YES",'Marks Entry'!$BA$1=1),100,IF(AND(DJ96="",DO96=""),SUM(($DQ$7+$DR$7)-(DU96+DV96)),SUM(($DQ$6+$DR$6)-(DU96+DV96))))))</f>
        <v/>
      </c>
      <c r="DZ96" s="152" t="str">
        <f t="shared" si="305"/>
        <v/>
      </c>
      <c r="EA96" s="153" t="str">
        <f t="shared" si="306"/>
        <v/>
      </c>
      <c r="EB96" s="152" t="str">
        <f t="shared" si="307"/>
        <v/>
      </c>
      <c r="EC96" s="584" t="str">
        <f>IF('Marks Entry'!BB96="","",'Marks Entry'!BB96)</f>
        <v/>
      </c>
      <c r="ED96" s="584" t="str">
        <f>IF('Marks Entry'!BC96="","",'Marks Entry'!BC96)</f>
        <v/>
      </c>
      <c r="EE96" s="584" t="str">
        <f>IF('Marks Entry'!BD96="","",'Marks Entry'!BD96)</f>
        <v/>
      </c>
      <c r="EF96" s="590" t="str">
        <f t="shared" si="308"/>
        <v/>
      </c>
      <c r="EG96" s="595">
        <f t="shared" si="309"/>
        <v>0</v>
      </c>
      <c r="EH96" s="595">
        <f t="shared" si="310"/>
        <v>0</v>
      </c>
      <c r="EI96" s="192" t="str">
        <f t="shared" si="311"/>
        <v/>
      </c>
      <c r="EJ96" s="595" t="str">
        <f t="shared" si="312"/>
        <v/>
      </c>
      <c r="EK96" s="595" t="str">
        <f t="shared" si="313"/>
        <v/>
      </c>
      <c r="EL96" s="193" t="str">
        <f t="shared" si="314"/>
        <v/>
      </c>
      <c r="EM96" s="193" t="str">
        <f t="shared" si="315"/>
        <v/>
      </c>
      <c r="EN96" s="193" t="str">
        <f t="shared" si="316"/>
        <v/>
      </c>
      <c r="EO96" s="193" t="str">
        <f t="shared" si="317"/>
        <v/>
      </c>
      <c r="EP96" s="193" t="str">
        <f t="shared" si="318"/>
        <v/>
      </c>
      <c r="EQ96" s="193" t="str">
        <f t="shared" si="319"/>
        <v/>
      </c>
      <c r="ER96" s="194">
        <f t="shared" si="320"/>
        <v>0</v>
      </c>
      <c r="ES96" s="194">
        <f t="shared" si="321"/>
        <v>0</v>
      </c>
      <c r="ET96" s="194">
        <f t="shared" si="322"/>
        <v>0</v>
      </c>
      <c r="EU96" s="194">
        <f t="shared" si="323"/>
        <v>0</v>
      </c>
      <c r="EV96" s="194">
        <f t="shared" si="324"/>
        <v>0</v>
      </c>
      <c r="EW96" s="194" t="str">
        <f t="shared" si="325"/>
        <v/>
      </c>
      <c r="EX96" s="195" t="str">
        <f t="shared" si="326"/>
        <v/>
      </c>
      <c r="EY96" s="196" t="str">
        <f>IF('Marks Entry'!BE96="","",'Marks Entry'!BE96)</f>
        <v/>
      </c>
      <c r="EZ96" s="196" t="str">
        <f>IF('Marks Entry'!BF96="","",'Marks Entry'!BF96)</f>
        <v/>
      </c>
      <c r="FA96" s="196" t="str">
        <f>IF('Marks Entry'!BG96="","",'Marks Entry'!BG96)</f>
        <v/>
      </c>
      <c r="FB96" s="596" t="str">
        <f t="shared" si="327"/>
        <v/>
      </c>
      <c r="FC96" s="196" t="str">
        <f>IF('Marks Entry'!BH96="","",'Marks Entry'!BH96)</f>
        <v/>
      </c>
      <c r="FD96" s="196" t="str">
        <f>IF('Marks Entry'!BI96="","",'Marks Entry'!BI96)</f>
        <v/>
      </c>
      <c r="FE96" s="197" t="str">
        <f t="shared" si="328"/>
        <v/>
      </c>
      <c r="FF96" s="198" t="str">
        <f t="shared" si="329"/>
        <v/>
      </c>
      <c r="FG96" s="199" t="str">
        <f>IF(AND(E96=""),"",IF('Student DATA Entry'!L92="","",'Student DATA Entry'!L92))</f>
        <v/>
      </c>
      <c r="FH96" s="200" t="str">
        <f>IF(AND(E96=""),"",IF('Student DATA Entry'!M92="","",'Student DATA Entry'!M92))</f>
        <v/>
      </c>
      <c r="FI96" s="201" t="str">
        <f t="shared" si="330"/>
        <v/>
      </c>
      <c r="FJ96" s="188" t="str">
        <f t="shared" si="331"/>
        <v/>
      </c>
      <c r="FK96" s="188" t="str">
        <f t="shared" si="332"/>
        <v/>
      </c>
      <c r="FL96" s="202" t="str">
        <f t="shared" si="201"/>
        <v/>
      </c>
      <c r="FM96" s="188" t="str">
        <f t="shared" si="333"/>
        <v/>
      </c>
      <c r="FN96" s="203" t="str">
        <f t="shared" si="334"/>
        <v/>
      </c>
      <c r="FO96" s="202" t="str">
        <f t="shared" si="202"/>
        <v/>
      </c>
      <c r="FP96" s="204" t="str">
        <f t="shared" si="335"/>
        <v/>
      </c>
      <c r="FQ96" s="188" t="str">
        <f t="shared" si="203"/>
        <v/>
      </c>
      <c r="FR96" s="188" t="str">
        <f t="shared" si="204"/>
        <v/>
      </c>
      <c r="FS96" s="188" t="str">
        <f t="shared" si="205"/>
        <v/>
      </c>
      <c r="FT96" s="188" t="str">
        <f t="shared" si="206"/>
        <v/>
      </c>
      <c r="FU96" s="188" t="str">
        <f t="shared" si="336"/>
        <v/>
      </c>
      <c r="FV96" s="205" t="str">
        <f t="shared" si="207"/>
        <v/>
      </c>
      <c r="FW96" s="204" t="str">
        <f t="shared" si="337"/>
        <v/>
      </c>
      <c r="FX96" s="188" t="str">
        <f t="shared" si="208"/>
        <v/>
      </c>
      <c r="FY96" s="188" t="str">
        <f t="shared" si="209"/>
        <v/>
      </c>
      <c r="FZ96" s="188" t="str">
        <f t="shared" si="210"/>
        <v/>
      </c>
      <c r="GA96" s="188" t="str">
        <f t="shared" si="211"/>
        <v/>
      </c>
      <c r="GB96" s="188" t="str">
        <f t="shared" si="338"/>
        <v/>
      </c>
      <c r="GC96" s="205" t="str">
        <f t="shared" si="212"/>
        <v/>
      </c>
      <c r="GD96" s="204" t="str">
        <f t="shared" si="339"/>
        <v/>
      </c>
      <c r="GE96" s="188" t="str">
        <f t="shared" si="213"/>
        <v/>
      </c>
      <c r="GF96" s="188" t="str">
        <f t="shared" si="214"/>
        <v/>
      </c>
      <c r="GG96" s="188" t="str">
        <f t="shared" si="215"/>
        <v/>
      </c>
      <c r="GH96" s="188" t="str">
        <f t="shared" si="216"/>
        <v/>
      </c>
      <c r="GI96" s="188" t="str">
        <f t="shared" si="340"/>
        <v/>
      </c>
      <c r="GJ96" s="205" t="str">
        <f t="shared" si="217"/>
        <v/>
      </c>
      <c r="GK96" s="204" t="str">
        <f t="shared" si="341"/>
        <v/>
      </c>
      <c r="GL96" s="188" t="str">
        <f t="shared" si="218"/>
        <v/>
      </c>
      <c r="GM96" s="188" t="str">
        <f t="shared" si="219"/>
        <v/>
      </c>
      <c r="GN96" s="188" t="str">
        <f t="shared" si="220"/>
        <v/>
      </c>
      <c r="GO96" s="188" t="str">
        <f t="shared" si="221"/>
        <v/>
      </c>
      <c r="GP96" s="188" t="str">
        <f t="shared" si="342"/>
        <v/>
      </c>
      <c r="GQ96" s="205" t="str">
        <f t="shared" si="222"/>
        <v/>
      </c>
      <c r="GR96" s="188" t="str">
        <f t="shared" si="343"/>
        <v/>
      </c>
      <c r="GS96" s="188" t="str">
        <f t="shared" si="344"/>
        <v/>
      </c>
      <c r="GT96" s="206" t="str">
        <f t="shared" si="345"/>
        <v xml:space="preserve">    </v>
      </c>
      <c r="GU96" s="206" t="str">
        <f t="shared" si="346"/>
        <v xml:space="preserve">    </v>
      </c>
      <c r="GV96" s="206" t="str">
        <f t="shared" si="347"/>
        <v xml:space="preserve">    </v>
      </c>
      <c r="GW96" s="206" t="str">
        <f t="shared" si="348"/>
        <v xml:space="preserve">       </v>
      </c>
      <c r="GX96" s="598" t="str">
        <f t="shared" si="349"/>
        <v xml:space="preserve">     </v>
      </c>
      <c r="GY96" s="207" t="str">
        <f t="shared" si="223"/>
        <v/>
      </c>
      <c r="GZ96" s="606" t="str">
        <f>IF(AND(Q96="",AE96="",AZ96="",BW96="",CT96=""),"",IF(AND('Master Sheet'!$D$19="YES",'Marks Entry'!$BA$1=1),SUM(Q96,AE96,AZ96,BW96,DT96),SUM(Q96,AE96,AZ96,BW96,CT96)))</f>
        <v/>
      </c>
      <c r="HA96" s="208" t="str">
        <f>IF(GZ96="","",IF(AND('Master Sheet'!$D$19="YES",'Marks Entry'!$BA$1=1),GZ96/((900)-DC96)*100,GZ96/((1000)-DC96)*100))</f>
        <v/>
      </c>
      <c r="HB96" s="611" t="str">
        <f t="shared" si="350"/>
        <v/>
      </c>
      <c r="HC96" s="609" t="str">
        <f t="shared" si="351"/>
        <v/>
      </c>
      <c r="HD96" s="610" t="str">
        <f t="shared" si="352"/>
        <v/>
      </c>
      <c r="HE96" s="209" t="str">
        <f>IFERROR(IF(OR(GY96="SUPPLEMENTARY",GY96="RE-EXAM"),'Supp. Result Entry'!AS95,""),"")</f>
        <v/>
      </c>
      <c r="HF96" s="613" t="str">
        <f t="shared" si="353"/>
        <v/>
      </c>
      <c r="HG96" s="598" t="str">
        <f t="shared" si="354"/>
        <v/>
      </c>
      <c r="HH96" s="598" t="str">
        <f>IF(AND(HE96="",HF96="",HG96=""),"",IF(OR(GY96="SUPPLEMENTARY",GY96="RE-EXAM"),'Supp. Result Entry'!AS95,GY96))</f>
        <v/>
      </c>
      <c r="HI96" s="179"/>
      <c r="HY96" s="211" t="str">
        <f>IF('Supp. Result Entry'!U95="","",'Supp. Result Entry'!$U$6)</f>
        <v/>
      </c>
      <c r="HZ96" s="212" t="str">
        <f>IF('Supp. Result Entry'!X95="","",'Supp. Result Entry'!$X$6)</f>
        <v/>
      </c>
      <c r="IA96" s="212" t="str">
        <f>IF('Supp. Result Entry'!AA95="","",'Supp. Result Entry'!$AA$6)</f>
        <v/>
      </c>
      <c r="IB96" s="212" t="str">
        <f>IF('Supp. Result Entry'!AD95="","",'Supp. Result Entry'!$AD$6)</f>
        <v/>
      </c>
      <c r="IC96" s="212" t="str">
        <f>IF('Supp. Result Entry'!AG95="","",'Supp. Result Entry'!$AG$6)</f>
        <v/>
      </c>
      <c r="ID96" s="212" t="str">
        <f>IF('Supp. Result Entry'!AJ95="","",'Supp. Result Entry'!$AJ$6)</f>
        <v/>
      </c>
      <c r="IE96" s="212" t="str">
        <f>IF('Supp. Result Entry'!V95="","",'Supp. Result Entry'!V95)</f>
        <v/>
      </c>
      <c r="IF96" s="212" t="str">
        <f>IF('Supp. Result Entry'!Y95="","",'Supp. Result Entry'!Y95)</f>
        <v/>
      </c>
      <c r="IG96" s="212" t="str">
        <f>IF('Supp. Result Entry'!AB95="","",'Supp. Result Entry'!AB95)</f>
        <v/>
      </c>
      <c r="IH96" s="212" t="str">
        <f>IF('Supp. Result Entry'!AE95="","",'Supp. Result Entry'!AE95)</f>
        <v/>
      </c>
      <c r="II96" s="212" t="str">
        <f>IF('Supp. Result Entry'!AH95="","",'Supp. Result Entry'!AH95)</f>
        <v/>
      </c>
      <c r="IJ96" s="212" t="str">
        <f>IF('Supp. Result Entry'!AK95="","",'Supp. Result Entry'!AK95)</f>
        <v/>
      </c>
      <c r="IK96" s="212" t="str">
        <f>IF('Supp. Result Entry'!W95="","",'Supp. Result Entry'!W95)</f>
        <v/>
      </c>
      <c r="IL96" s="212" t="str">
        <f>IF('Supp. Result Entry'!Z95="","",'Supp. Result Entry'!Z95)</f>
        <v/>
      </c>
      <c r="IM96" s="212" t="str">
        <f>IF('Supp. Result Entry'!AC95="","",'Supp. Result Entry'!AC95)</f>
        <v/>
      </c>
      <c r="IN96" s="212" t="str">
        <f>IF('Supp. Result Entry'!AF95="","",'Supp. Result Entry'!AF95)</f>
        <v/>
      </c>
      <c r="IO96" s="212" t="str">
        <f>IF('Supp. Result Entry'!AI95="","",'Supp. Result Entry'!AI95)</f>
        <v/>
      </c>
      <c r="IP96" s="212" t="str">
        <f>IF('Supp. Result Entry'!AL95="","",'Supp. Result Entry'!AL95)</f>
        <v/>
      </c>
      <c r="IQ96" s="212">
        <f>COUNTIF('Supp. Result Entry'!K95:Q95,"S")</f>
        <v>0</v>
      </c>
      <c r="IR96" s="212">
        <f t="shared" si="355"/>
        <v>0</v>
      </c>
      <c r="IS96" s="212">
        <f t="shared" si="356"/>
        <v>0</v>
      </c>
      <c r="IT96" s="212" t="str">
        <f t="shared" si="224"/>
        <v/>
      </c>
      <c r="IU96" s="212" t="str">
        <f t="shared" si="225"/>
        <v/>
      </c>
      <c r="IV96" s="212" t="str">
        <f t="shared" si="226"/>
        <v/>
      </c>
      <c r="IW96" s="212" t="str">
        <f t="shared" si="227"/>
        <v/>
      </c>
      <c r="IX96" s="212" t="str">
        <f t="shared" si="228"/>
        <v/>
      </c>
      <c r="IY96" s="212" t="str">
        <f t="shared" si="357"/>
        <v/>
      </c>
      <c r="IZ96" s="212" t="str">
        <f t="shared" si="358"/>
        <v/>
      </c>
      <c r="JA96" s="212" t="str">
        <f t="shared" si="229"/>
        <v/>
      </c>
      <c r="JB96" s="210" t="str">
        <f t="shared" si="359"/>
        <v/>
      </c>
    </row>
    <row r="97" spans="1:262" s="210" customFormat="1" ht="21" customHeight="1">
      <c r="A97" s="183">
        <v>90</v>
      </c>
      <c r="B97" s="184" t="str">
        <f>IF('Marks Entry'!B97="","",'Marks Entry'!B97)</f>
        <v/>
      </c>
      <c r="C97" s="185" t="str">
        <f>IF('Marks Entry'!D97="","",'Marks Entry'!D97)</f>
        <v/>
      </c>
      <c r="D97" s="186" t="str">
        <f>IF('Marks Entry'!E97="","",'Marks Entry'!E97)</f>
        <v/>
      </c>
      <c r="E97" s="187" t="str">
        <f>IF('Marks Entry'!F97="","",'Marks Entry'!F97)</f>
        <v/>
      </c>
      <c r="F97" s="187" t="str">
        <f>IF('Marks Entry'!G97="","",'Marks Entry'!G97)</f>
        <v/>
      </c>
      <c r="G97" s="187" t="str">
        <f>IF('Marks Entry'!H97="","",'Marks Entry'!H97)</f>
        <v/>
      </c>
      <c r="H97" s="188" t="str">
        <f>IF('Marks Entry'!I97="","",'Marks Entry'!I97)</f>
        <v/>
      </c>
      <c r="I97" s="189" t="str">
        <f>IF('Marks Entry'!J97="","",'Marks Entry'!J97)</f>
        <v/>
      </c>
      <c r="J97" s="545" t="str">
        <f>IF('Marks Entry'!K97="","",'Marks Entry'!K97)</f>
        <v/>
      </c>
      <c r="K97" s="545" t="str">
        <f>IF('Marks Entry'!L97="","",'Marks Entry'!L97)</f>
        <v/>
      </c>
      <c r="L97" s="545" t="str">
        <f>IF('Marks Entry'!M97="","",'Marks Entry'!M97)</f>
        <v/>
      </c>
      <c r="M97" s="546" t="str">
        <f t="shared" si="230"/>
        <v/>
      </c>
      <c r="N97" s="545" t="str">
        <f>IF('Marks Entry'!N97="","",'Marks Entry'!N97)</f>
        <v/>
      </c>
      <c r="O97" s="546" t="str">
        <f t="shared" si="231"/>
        <v/>
      </c>
      <c r="P97" s="545" t="str">
        <f>IF('Marks Entry'!O97="","",'Marks Entry'!O97)</f>
        <v/>
      </c>
      <c r="Q97" s="547" t="str">
        <f t="shared" si="232"/>
        <v/>
      </c>
      <c r="R97" s="152">
        <f t="shared" si="233"/>
        <v>0</v>
      </c>
      <c r="S97" s="152">
        <f t="shared" si="234"/>
        <v>0</v>
      </c>
      <c r="T97" s="153" t="str">
        <f t="shared" si="235"/>
        <v/>
      </c>
      <c r="U97" s="152" t="str">
        <f t="shared" si="236"/>
        <v/>
      </c>
      <c r="V97" s="152" t="str">
        <f t="shared" si="237"/>
        <v/>
      </c>
      <c r="W97" s="152" t="str">
        <f t="shared" si="238"/>
        <v/>
      </c>
      <c r="X97" s="545" t="str">
        <f>IF('Marks Entry'!P97="","",'Marks Entry'!P97)</f>
        <v/>
      </c>
      <c r="Y97" s="545" t="str">
        <f>IF('Marks Entry'!Q97="","",'Marks Entry'!Q97)</f>
        <v/>
      </c>
      <c r="Z97" s="545" t="str">
        <f>IF('Marks Entry'!R97="","",'Marks Entry'!R97)</f>
        <v/>
      </c>
      <c r="AA97" s="546" t="str">
        <f t="shared" si="239"/>
        <v/>
      </c>
      <c r="AB97" s="545" t="str">
        <f>IF('Marks Entry'!S97="","",'Marks Entry'!S97)</f>
        <v/>
      </c>
      <c r="AC97" s="546" t="str">
        <f t="shared" si="240"/>
        <v/>
      </c>
      <c r="AD97" s="545" t="str">
        <f>IF('Marks Entry'!T97="","",'Marks Entry'!T97)</f>
        <v/>
      </c>
      <c r="AE97" s="547" t="str">
        <f t="shared" si="241"/>
        <v/>
      </c>
      <c r="AF97" s="152">
        <f t="shared" si="242"/>
        <v>0</v>
      </c>
      <c r="AG97" s="152">
        <f t="shared" si="243"/>
        <v>0</v>
      </c>
      <c r="AH97" s="153" t="str">
        <f t="shared" si="244"/>
        <v/>
      </c>
      <c r="AI97" s="152" t="str">
        <f t="shared" si="245"/>
        <v/>
      </c>
      <c r="AJ97" s="152" t="str">
        <f t="shared" si="246"/>
        <v/>
      </c>
      <c r="AK97" s="152" t="str">
        <f t="shared" si="247"/>
        <v/>
      </c>
      <c r="AL97" s="573" t="str">
        <f>IF('Marks Entry'!U97="","",'Marks Entry'!U97)</f>
        <v/>
      </c>
      <c r="AM97" s="573" t="str">
        <f>IF('Marks Entry'!V97="","",'Marks Entry'!V97)</f>
        <v/>
      </c>
      <c r="AN97" s="573" t="str">
        <f>IF('Marks Entry'!W97="","",'Marks Entry'!W97)</f>
        <v/>
      </c>
      <c r="AO97" s="573" t="str">
        <f>IF('Marks Entry'!X97="","",'Marks Entry'!X97)</f>
        <v/>
      </c>
      <c r="AP97" s="572" t="str">
        <f t="shared" si="248"/>
        <v/>
      </c>
      <c r="AQ97" s="573" t="str">
        <f>IF('Marks Entry'!Y97="","",'Marks Entry'!Y97)</f>
        <v/>
      </c>
      <c r="AR97" s="573" t="str">
        <f>IF('Marks Entry'!Z97="","",'Marks Entry'!Z97)</f>
        <v/>
      </c>
      <c r="AS97" s="572" t="str">
        <f t="shared" si="249"/>
        <v/>
      </c>
      <c r="AT97" s="572" t="str">
        <f t="shared" si="250"/>
        <v/>
      </c>
      <c r="AU97" s="573" t="str">
        <f>IF('Marks Entry'!AA97="","",'Marks Entry'!AA97)</f>
        <v/>
      </c>
      <c r="AV97" s="573" t="str">
        <f>IF('Marks Entry'!AB97="","",'Marks Entry'!AB97)</f>
        <v/>
      </c>
      <c r="AW97" s="572" t="str">
        <f t="shared" si="251"/>
        <v/>
      </c>
      <c r="AX97" s="156" t="str">
        <f t="shared" si="252"/>
        <v/>
      </c>
      <c r="AY97" s="156" t="str">
        <f t="shared" si="253"/>
        <v/>
      </c>
      <c r="AZ97" s="191" t="str">
        <f t="shared" si="254"/>
        <v/>
      </c>
      <c r="BA97" s="152">
        <f t="shared" si="255"/>
        <v>0</v>
      </c>
      <c r="BB97" s="153">
        <f t="shared" si="256"/>
        <v>0</v>
      </c>
      <c r="BC97" s="153" t="str">
        <f t="shared" si="257"/>
        <v/>
      </c>
      <c r="BD97" s="153" t="str">
        <f t="shared" si="258"/>
        <v/>
      </c>
      <c r="BE97" s="153" t="str">
        <f t="shared" si="259"/>
        <v/>
      </c>
      <c r="BF97" s="152" t="str">
        <f t="shared" si="260"/>
        <v/>
      </c>
      <c r="BG97" s="153" t="str">
        <f t="shared" si="261"/>
        <v/>
      </c>
      <c r="BH97" s="152" t="str">
        <f t="shared" si="262"/>
        <v/>
      </c>
      <c r="BI97" s="580" t="str">
        <f>IF('Marks Entry'!AC97="","",'Marks Entry'!AC97)</f>
        <v/>
      </c>
      <c r="BJ97" s="580" t="str">
        <f>IF('Marks Entry'!AD97="","",'Marks Entry'!AD97)</f>
        <v/>
      </c>
      <c r="BK97" s="580" t="str">
        <f>IF('Marks Entry'!AE97="","",'Marks Entry'!AE97)</f>
        <v/>
      </c>
      <c r="BL97" s="580" t="str">
        <f>IF('Marks Entry'!AF97="","",'Marks Entry'!AF97)</f>
        <v/>
      </c>
      <c r="BM97" s="581" t="str">
        <f t="shared" si="263"/>
        <v/>
      </c>
      <c r="BN97" s="580" t="str">
        <f>IF('Marks Entry'!AG97="","",'Marks Entry'!AG97)</f>
        <v/>
      </c>
      <c r="BO97" s="580" t="str">
        <f>IF('Marks Entry'!AH97="","",'Marks Entry'!AH97)</f>
        <v/>
      </c>
      <c r="BP97" s="581" t="str">
        <f t="shared" si="264"/>
        <v/>
      </c>
      <c r="BQ97" s="581" t="str">
        <f t="shared" si="265"/>
        <v/>
      </c>
      <c r="BR97" s="580" t="str">
        <f>IF('Marks Entry'!AI97="","",'Marks Entry'!AI97)</f>
        <v/>
      </c>
      <c r="BS97" s="580" t="str">
        <f>IF('Marks Entry'!AJ97="","",'Marks Entry'!AJ97)</f>
        <v/>
      </c>
      <c r="BT97" s="581" t="str">
        <f t="shared" si="266"/>
        <v/>
      </c>
      <c r="BU97" s="156" t="str">
        <f t="shared" si="267"/>
        <v/>
      </c>
      <c r="BV97" s="156" t="str">
        <f t="shared" si="268"/>
        <v/>
      </c>
      <c r="BW97" s="191" t="str">
        <f t="shared" si="269"/>
        <v/>
      </c>
      <c r="BX97" s="152">
        <f t="shared" si="270"/>
        <v>0</v>
      </c>
      <c r="BY97" s="153">
        <f t="shared" si="271"/>
        <v>0</v>
      </c>
      <c r="BZ97" s="153" t="str">
        <f t="shared" si="272"/>
        <v/>
      </c>
      <c r="CA97" s="153" t="str">
        <f t="shared" si="273"/>
        <v/>
      </c>
      <c r="CB97" s="153" t="str">
        <f t="shared" si="274"/>
        <v/>
      </c>
      <c r="CC97" s="152" t="str">
        <f t="shared" si="275"/>
        <v/>
      </c>
      <c r="CD97" s="153" t="str">
        <f t="shared" si="276"/>
        <v/>
      </c>
      <c r="CE97" s="152" t="str">
        <f t="shared" si="277"/>
        <v/>
      </c>
      <c r="CF97" s="580" t="str">
        <f>IF('Marks Entry'!AK97="","",'Marks Entry'!AK97)</f>
        <v/>
      </c>
      <c r="CG97" s="580" t="str">
        <f>IF('Marks Entry'!AL97="","",'Marks Entry'!AL97)</f>
        <v/>
      </c>
      <c r="CH97" s="580" t="str">
        <f>IF('Marks Entry'!AM97="","",'Marks Entry'!AM97)</f>
        <v/>
      </c>
      <c r="CI97" s="580" t="str">
        <f>IF('Marks Entry'!AN97="","",'Marks Entry'!AN97)</f>
        <v/>
      </c>
      <c r="CJ97" s="581" t="str">
        <f t="shared" si="278"/>
        <v/>
      </c>
      <c r="CK97" s="580" t="str">
        <f>IF('Marks Entry'!AO97="","",'Marks Entry'!AO97)</f>
        <v/>
      </c>
      <c r="CL97" s="580" t="str">
        <f>IF('Marks Entry'!AP97="","",'Marks Entry'!AP97)</f>
        <v/>
      </c>
      <c r="CM97" s="581" t="str">
        <f t="shared" si="279"/>
        <v/>
      </c>
      <c r="CN97" s="581" t="str">
        <f t="shared" si="280"/>
        <v/>
      </c>
      <c r="CO97" s="580" t="str">
        <f>IF('Marks Entry'!AQ97="","",'Marks Entry'!AQ97)</f>
        <v/>
      </c>
      <c r="CP97" s="580" t="str">
        <f>IF('Marks Entry'!AR97="","",'Marks Entry'!AR97)</f>
        <v/>
      </c>
      <c r="CQ97" s="581" t="str">
        <f t="shared" si="281"/>
        <v/>
      </c>
      <c r="CR97" s="156" t="str">
        <f t="shared" si="282"/>
        <v/>
      </c>
      <c r="CS97" s="156" t="str">
        <f t="shared" si="283"/>
        <v/>
      </c>
      <c r="CT97" s="191" t="str">
        <f t="shared" si="284"/>
        <v/>
      </c>
      <c r="CU97" s="152">
        <f t="shared" si="285"/>
        <v>0</v>
      </c>
      <c r="CV97" s="153">
        <f t="shared" si="286"/>
        <v>0</v>
      </c>
      <c r="CW97" s="153" t="str">
        <f t="shared" si="287"/>
        <v/>
      </c>
      <c r="CX97" s="153" t="str">
        <f t="shared" si="288"/>
        <v/>
      </c>
      <c r="CY97" s="153" t="str">
        <f t="shared" si="289"/>
        <v/>
      </c>
      <c r="CZ97" s="152" t="str">
        <f t="shared" si="290"/>
        <v/>
      </c>
      <c r="DA97" s="153" t="str">
        <f t="shared" si="291"/>
        <v/>
      </c>
      <c r="DB97" s="152" t="str">
        <f t="shared" si="292"/>
        <v/>
      </c>
      <c r="DC97" s="153">
        <f t="shared" si="293"/>
        <v>0</v>
      </c>
      <c r="DD97" s="851" t="str">
        <f>IF('Marks Entry'!AS97="","",IF(OR('Master Sheet'!$D$19="YES",'Marks Entry'!$BA$1=1),'Marks Entry'!AS97,""))</f>
        <v/>
      </c>
      <c r="DE97" s="851" t="str">
        <f>IF('Marks Entry'!AT97="","",IF(OR('Master Sheet'!$D$19="YES",'Marks Entry'!$BA$1=1),'Marks Entry'!AT97,""))</f>
        <v/>
      </c>
      <c r="DF97" s="851" t="str">
        <f>IF('Marks Entry'!AU97="","",IF(OR('Master Sheet'!$D$19="YES",'Marks Entry'!$BA$1=1),'Marks Entry'!AU97,""))</f>
        <v/>
      </c>
      <c r="DG97" s="851" t="str">
        <f>IF('Marks Entry'!AV97="","",IF(OR('Master Sheet'!$D$19="YES",'Marks Entry'!$BA$1=1),'Marks Entry'!AV97,""))</f>
        <v/>
      </c>
      <c r="DH97" s="852" t="str">
        <f t="shared" si="294"/>
        <v/>
      </c>
      <c r="DI97" s="851" t="str">
        <f>IF('Marks Entry'!AW97="","",IF(OR('Master Sheet'!$D$19="YES",'Marks Entry'!$BA$1=1),'Marks Entry'!AW97,""))</f>
        <v/>
      </c>
      <c r="DJ97" s="851" t="str">
        <f>IF('Marks Entry'!AX97="","",IF(OR('Master Sheet'!$D$19="YES",'Marks Entry'!$BA$1=1),'Marks Entry'!AX97,""))</f>
        <v/>
      </c>
      <c r="DK97" s="852" t="str">
        <f t="shared" si="295"/>
        <v/>
      </c>
      <c r="DL97" s="852" t="str">
        <f t="shared" si="296"/>
        <v/>
      </c>
      <c r="DM97" s="851" t="str">
        <f>IF('Marks Entry'!AY97="","",IF(OR('Master Sheet'!$D$19="YES",'Marks Entry'!$BA$1=1),'Marks Entry'!AY97,""))</f>
        <v/>
      </c>
      <c r="DN97" s="851" t="str">
        <f>IF('Marks Entry'!AZ97="","",IF(OR('Master Sheet'!$D$19="YES",'Marks Entry'!$BA$1=1),'Marks Entry'!AZ97,""))</f>
        <v/>
      </c>
      <c r="DO97" s="851" t="str">
        <f>IF('Marks Entry'!BA97="","",IF(OR('Master Sheet'!$D$19="YES",'Marks Entry'!$BA$1=1),'Marks Entry'!BA97,""))</f>
        <v/>
      </c>
      <c r="DP97" s="852" t="str">
        <f t="shared" si="297"/>
        <v/>
      </c>
      <c r="DQ97" s="156" t="str">
        <f t="shared" si="298"/>
        <v/>
      </c>
      <c r="DR97" s="156" t="str">
        <f t="shared" si="299"/>
        <v/>
      </c>
      <c r="DS97" s="156" t="str">
        <f t="shared" si="300"/>
        <v/>
      </c>
      <c r="DT97" s="191" t="str">
        <f t="shared" si="301"/>
        <v/>
      </c>
      <c r="DU97" s="152">
        <f t="shared" si="302"/>
        <v>0</v>
      </c>
      <c r="DV97" s="153">
        <f t="shared" si="303"/>
        <v>0</v>
      </c>
      <c r="DW97" s="153" t="str">
        <f t="shared" si="304"/>
        <v/>
      </c>
      <c r="DX97" s="153" t="str">
        <f>IF(OR($B97="NSO",$B97=0,DS97=""),"",IF(AND(DJ97="",DO97=""),"",IF('Master Sheet'!$D$19="YES",$DO$6-COUNTIF(DO97,"ML")*DO$6,DS$6-(COUNTIF(DJ97,"ML")*DJ$6)-(COUNTIF(DO97,"ML")*DO$6))))</f>
        <v/>
      </c>
      <c r="DY97" s="153" t="str">
        <f>IF(OR($B97="NSO",$B97=0),"",IF(AND(DH97="",DI97="",DM97=""),"",IF(AND('Master Sheet'!$D$19="YES",'Marks Entry'!$BA$1=1),100,IF(AND(DJ97="",DO97=""),SUM(($DQ$7+$DR$7)-(DU97+DV97)),SUM(($DQ$6+$DR$6)-(DU97+DV97))))))</f>
        <v/>
      </c>
      <c r="DZ97" s="152" t="str">
        <f t="shared" si="305"/>
        <v/>
      </c>
      <c r="EA97" s="153" t="str">
        <f t="shared" si="306"/>
        <v/>
      </c>
      <c r="EB97" s="152" t="str">
        <f t="shared" si="307"/>
        <v/>
      </c>
      <c r="EC97" s="584" t="str">
        <f>IF('Marks Entry'!BB97="","",'Marks Entry'!BB97)</f>
        <v/>
      </c>
      <c r="ED97" s="584" t="str">
        <f>IF('Marks Entry'!BC97="","",'Marks Entry'!BC97)</f>
        <v/>
      </c>
      <c r="EE97" s="584" t="str">
        <f>IF('Marks Entry'!BD97="","",'Marks Entry'!BD97)</f>
        <v/>
      </c>
      <c r="EF97" s="590" t="str">
        <f t="shared" si="308"/>
        <v/>
      </c>
      <c r="EG97" s="595">
        <f t="shared" si="309"/>
        <v>0</v>
      </c>
      <c r="EH97" s="595">
        <f t="shared" si="310"/>
        <v>0</v>
      </c>
      <c r="EI97" s="192" t="str">
        <f t="shared" si="311"/>
        <v/>
      </c>
      <c r="EJ97" s="595" t="str">
        <f t="shared" si="312"/>
        <v/>
      </c>
      <c r="EK97" s="595" t="str">
        <f t="shared" si="313"/>
        <v/>
      </c>
      <c r="EL97" s="193" t="str">
        <f t="shared" si="314"/>
        <v/>
      </c>
      <c r="EM97" s="193" t="str">
        <f t="shared" si="315"/>
        <v/>
      </c>
      <c r="EN97" s="193" t="str">
        <f t="shared" si="316"/>
        <v/>
      </c>
      <c r="EO97" s="193" t="str">
        <f t="shared" si="317"/>
        <v/>
      </c>
      <c r="EP97" s="193" t="str">
        <f t="shared" si="318"/>
        <v/>
      </c>
      <c r="EQ97" s="193" t="str">
        <f t="shared" si="319"/>
        <v/>
      </c>
      <c r="ER97" s="194">
        <f t="shared" si="320"/>
        <v>0</v>
      </c>
      <c r="ES97" s="194">
        <f t="shared" si="321"/>
        <v>0</v>
      </c>
      <c r="ET97" s="194">
        <f t="shared" si="322"/>
        <v>0</v>
      </c>
      <c r="EU97" s="194">
        <f t="shared" si="323"/>
        <v>0</v>
      </c>
      <c r="EV97" s="194">
        <f t="shared" si="324"/>
        <v>0</v>
      </c>
      <c r="EW97" s="194" t="str">
        <f t="shared" si="325"/>
        <v/>
      </c>
      <c r="EX97" s="195" t="str">
        <f t="shared" si="326"/>
        <v/>
      </c>
      <c r="EY97" s="196" t="str">
        <f>IF('Marks Entry'!BE97="","",'Marks Entry'!BE97)</f>
        <v/>
      </c>
      <c r="EZ97" s="196" t="str">
        <f>IF('Marks Entry'!BF97="","",'Marks Entry'!BF97)</f>
        <v/>
      </c>
      <c r="FA97" s="196" t="str">
        <f>IF('Marks Entry'!BG97="","",'Marks Entry'!BG97)</f>
        <v/>
      </c>
      <c r="FB97" s="596" t="str">
        <f t="shared" si="327"/>
        <v/>
      </c>
      <c r="FC97" s="196" t="str">
        <f>IF('Marks Entry'!BH97="","",'Marks Entry'!BH97)</f>
        <v/>
      </c>
      <c r="FD97" s="196" t="str">
        <f>IF('Marks Entry'!BI97="","",'Marks Entry'!BI97)</f>
        <v/>
      </c>
      <c r="FE97" s="197" t="str">
        <f t="shared" si="328"/>
        <v/>
      </c>
      <c r="FF97" s="198" t="str">
        <f t="shared" si="329"/>
        <v/>
      </c>
      <c r="FG97" s="199" t="str">
        <f>IF(AND(E97=""),"",IF('Student DATA Entry'!L93="","",'Student DATA Entry'!L93))</f>
        <v/>
      </c>
      <c r="FH97" s="200" t="str">
        <f>IF(AND(E97=""),"",IF('Student DATA Entry'!M93="","",'Student DATA Entry'!M93))</f>
        <v/>
      </c>
      <c r="FI97" s="201" t="str">
        <f t="shared" si="330"/>
        <v/>
      </c>
      <c r="FJ97" s="188" t="str">
        <f t="shared" si="331"/>
        <v/>
      </c>
      <c r="FK97" s="188" t="str">
        <f t="shared" si="332"/>
        <v/>
      </c>
      <c r="FL97" s="202" t="str">
        <f t="shared" si="201"/>
        <v/>
      </c>
      <c r="FM97" s="188" t="str">
        <f t="shared" si="333"/>
        <v/>
      </c>
      <c r="FN97" s="203" t="str">
        <f t="shared" si="334"/>
        <v/>
      </c>
      <c r="FO97" s="202" t="str">
        <f t="shared" si="202"/>
        <v/>
      </c>
      <c r="FP97" s="204" t="str">
        <f t="shared" si="335"/>
        <v/>
      </c>
      <c r="FQ97" s="188" t="str">
        <f t="shared" si="203"/>
        <v/>
      </c>
      <c r="FR97" s="188" t="str">
        <f t="shared" si="204"/>
        <v/>
      </c>
      <c r="FS97" s="188" t="str">
        <f t="shared" si="205"/>
        <v/>
      </c>
      <c r="FT97" s="188" t="str">
        <f t="shared" si="206"/>
        <v/>
      </c>
      <c r="FU97" s="188" t="str">
        <f t="shared" si="336"/>
        <v/>
      </c>
      <c r="FV97" s="205" t="str">
        <f t="shared" si="207"/>
        <v/>
      </c>
      <c r="FW97" s="204" t="str">
        <f t="shared" si="337"/>
        <v/>
      </c>
      <c r="FX97" s="188" t="str">
        <f t="shared" si="208"/>
        <v/>
      </c>
      <c r="FY97" s="188" t="str">
        <f t="shared" si="209"/>
        <v/>
      </c>
      <c r="FZ97" s="188" t="str">
        <f t="shared" si="210"/>
        <v/>
      </c>
      <c r="GA97" s="188" t="str">
        <f t="shared" si="211"/>
        <v/>
      </c>
      <c r="GB97" s="188" t="str">
        <f t="shared" si="338"/>
        <v/>
      </c>
      <c r="GC97" s="205" t="str">
        <f t="shared" si="212"/>
        <v/>
      </c>
      <c r="GD97" s="204" t="str">
        <f t="shared" si="339"/>
        <v/>
      </c>
      <c r="GE97" s="188" t="str">
        <f t="shared" si="213"/>
        <v/>
      </c>
      <c r="GF97" s="188" t="str">
        <f t="shared" si="214"/>
        <v/>
      </c>
      <c r="GG97" s="188" t="str">
        <f t="shared" si="215"/>
        <v/>
      </c>
      <c r="GH97" s="188" t="str">
        <f t="shared" si="216"/>
        <v/>
      </c>
      <c r="GI97" s="188" t="str">
        <f t="shared" si="340"/>
        <v/>
      </c>
      <c r="GJ97" s="205" t="str">
        <f t="shared" si="217"/>
        <v/>
      </c>
      <c r="GK97" s="204" t="str">
        <f t="shared" si="341"/>
        <v/>
      </c>
      <c r="GL97" s="188" t="str">
        <f t="shared" si="218"/>
        <v/>
      </c>
      <c r="GM97" s="188" t="str">
        <f t="shared" si="219"/>
        <v/>
      </c>
      <c r="GN97" s="188" t="str">
        <f t="shared" si="220"/>
        <v/>
      </c>
      <c r="GO97" s="188" t="str">
        <f t="shared" si="221"/>
        <v/>
      </c>
      <c r="GP97" s="188" t="str">
        <f t="shared" si="342"/>
        <v/>
      </c>
      <c r="GQ97" s="205" t="str">
        <f t="shared" si="222"/>
        <v/>
      </c>
      <c r="GR97" s="188" t="str">
        <f t="shared" si="343"/>
        <v/>
      </c>
      <c r="GS97" s="188" t="str">
        <f t="shared" si="344"/>
        <v/>
      </c>
      <c r="GT97" s="206" t="str">
        <f t="shared" si="345"/>
        <v xml:space="preserve">    </v>
      </c>
      <c r="GU97" s="206" t="str">
        <f t="shared" si="346"/>
        <v xml:space="preserve">    </v>
      </c>
      <c r="GV97" s="206" t="str">
        <f t="shared" si="347"/>
        <v xml:space="preserve">    </v>
      </c>
      <c r="GW97" s="206" t="str">
        <f t="shared" si="348"/>
        <v xml:space="preserve">       </v>
      </c>
      <c r="GX97" s="598" t="str">
        <f t="shared" si="349"/>
        <v xml:space="preserve">     </v>
      </c>
      <c r="GY97" s="207" t="str">
        <f t="shared" si="223"/>
        <v/>
      </c>
      <c r="GZ97" s="606" t="str">
        <f>IF(AND(Q97="",AE97="",AZ97="",BW97="",CT97=""),"",IF(AND('Master Sheet'!$D$19="YES",'Marks Entry'!$BA$1=1),SUM(Q97,AE97,AZ97,BW97,DT97),SUM(Q97,AE97,AZ97,BW97,CT97)))</f>
        <v/>
      </c>
      <c r="HA97" s="208" t="str">
        <f>IF(GZ97="","",IF(AND('Master Sheet'!$D$19="YES",'Marks Entry'!$BA$1=1),GZ97/((900)-DC97)*100,GZ97/((1000)-DC97)*100))</f>
        <v/>
      </c>
      <c r="HB97" s="611" t="str">
        <f t="shared" si="350"/>
        <v/>
      </c>
      <c r="HC97" s="609" t="str">
        <f t="shared" si="351"/>
        <v/>
      </c>
      <c r="HD97" s="610" t="str">
        <f t="shared" si="352"/>
        <v/>
      </c>
      <c r="HE97" s="209" t="str">
        <f>IFERROR(IF(OR(GY97="SUPPLEMENTARY",GY97="RE-EXAM"),'Supp. Result Entry'!AS96,""),"")</f>
        <v/>
      </c>
      <c r="HF97" s="613" t="str">
        <f t="shared" si="353"/>
        <v/>
      </c>
      <c r="HG97" s="598" t="str">
        <f t="shared" si="354"/>
        <v/>
      </c>
      <c r="HH97" s="598" t="str">
        <f>IF(AND(HE97="",HF97="",HG97=""),"",IF(OR(GY97="SUPPLEMENTARY",GY97="RE-EXAM"),'Supp. Result Entry'!AS96,GY97))</f>
        <v/>
      </c>
      <c r="HI97" s="179"/>
      <c r="HY97" s="211" t="str">
        <f>IF('Supp. Result Entry'!U96="","",'Supp. Result Entry'!$U$6)</f>
        <v/>
      </c>
      <c r="HZ97" s="212" t="str">
        <f>IF('Supp. Result Entry'!X96="","",'Supp. Result Entry'!$X$6)</f>
        <v/>
      </c>
      <c r="IA97" s="212" t="str">
        <f>IF('Supp. Result Entry'!AA96="","",'Supp. Result Entry'!$AA$6)</f>
        <v/>
      </c>
      <c r="IB97" s="212" t="str">
        <f>IF('Supp. Result Entry'!AD96="","",'Supp. Result Entry'!$AD$6)</f>
        <v/>
      </c>
      <c r="IC97" s="212" t="str">
        <f>IF('Supp. Result Entry'!AG96="","",'Supp. Result Entry'!$AG$6)</f>
        <v/>
      </c>
      <c r="ID97" s="212" t="str">
        <f>IF('Supp. Result Entry'!AJ96="","",'Supp. Result Entry'!$AJ$6)</f>
        <v/>
      </c>
      <c r="IE97" s="212" t="str">
        <f>IF('Supp. Result Entry'!V96="","",'Supp. Result Entry'!V96)</f>
        <v/>
      </c>
      <c r="IF97" s="212" t="str">
        <f>IF('Supp. Result Entry'!Y96="","",'Supp. Result Entry'!Y96)</f>
        <v/>
      </c>
      <c r="IG97" s="212" t="str">
        <f>IF('Supp. Result Entry'!AB96="","",'Supp. Result Entry'!AB96)</f>
        <v/>
      </c>
      <c r="IH97" s="212" t="str">
        <f>IF('Supp. Result Entry'!AE96="","",'Supp. Result Entry'!AE96)</f>
        <v/>
      </c>
      <c r="II97" s="212" t="str">
        <f>IF('Supp. Result Entry'!AH96="","",'Supp. Result Entry'!AH96)</f>
        <v/>
      </c>
      <c r="IJ97" s="212" t="str">
        <f>IF('Supp. Result Entry'!AK96="","",'Supp. Result Entry'!AK96)</f>
        <v/>
      </c>
      <c r="IK97" s="212" t="str">
        <f>IF('Supp. Result Entry'!W96="","",'Supp. Result Entry'!W96)</f>
        <v/>
      </c>
      <c r="IL97" s="212" t="str">
        <f>IF('Supp. Result Entry'!Z96="","",'Supp. Result Entry'!Z96)</f>
        <v/>
      </c>
      <c r="IM97" s="212" t="str">
        <f>IF('Supp. Result Entry'!AC96="","",'Supp. Result Entry'!AC96)</f>
        <v/>
      </c>
      <c r="IN97" s="212" t="str">
        <f>IF('Supp. Result Entry'!AF96="","",'Supp. Result Entry'!AF96)</f>
        <v/>
      </c>
      <c r="IO97" s="212" t="str">
        <f>IF('Supp. Result Entry'!AI96="","",'Supp. Result Entry'!AI96)</f>
        <v/>
      </c>
      <c r="IP97" s="212" t="str">
        <f>IF('Supp. Result Entry'!AL96="","",'Supp. Result Entry'!AL96)</f>
        <v/>
      </c>
      <c r="IQ97" s="212">
        <f>COUNTIF('Supp. Result Entry'!K96:Q96,"S")</f>
        <v>0</v>
      </c>
      <c r="IR97" s="212">
        <f t="shared" si="355"/>
        <v>0</v>
      </c>
      <c r="IS97" s="212">
        <f t="shared" si="356"/>
        <v>0</v>
      </c>
      <c r="IT97" s="212" t="str">
        <f t="shared" si="224"/>
        <v/>
      </c>
      <c r="IU97" s="212" t="str">
        <f t="shared" si="225"/>
        <v/>
      </c>
      <c r="IV97" s="212" t="str">
        <f t="shared" si="226"/>
        <v/>
      </c>
      <c r="IW97" s="212" t="str">
        <f t="shared" si="227"/>
        <v/>
      </c>
      <c r="IX97" s="212" t="str">
        <f t="shared" si="228"/>
        <v/>
      </c>
      <c r="IY97" s="212" t="str">
        <f t="shared" si="357"/>
        <v/>
      </c>
      <c r="IZ97" s="212" t="str">
        <f t="shared" si="358"/>
        <v/>
      </c>
      <c r="JA97" s="212" t="str">
        <f t="shared" si="229"/>
        <v/>
      </c>
      <c r="JB97" s="210" t="str">
        <f t="shared" si="359"/>
        <v/>
      </c>
    </row>
    <row r="98" spans="1:262" s="210" customFormat="1" ht="21" customHeight="1">
      <c r="A98" s="183">
        <v>91</v>
      </c>
      <c r="B98" s="184" t="str">
        <f>IF('Marks Entry'!B98="","",'Marks Entry'!B98)</f>
        <v/>
      </c>
      <c r="C98" s="185" t="str">
        <f>IF('Marks Entry'!D98="","",'Marks Entry'!D98)</f>
        <v/>
      </c>
      <c r="D98" s="186" t="str">
        <f>IF('Marks Entry'!E98="","",'Marks Entry'!E98)</f>
        <v/>
      </c>
      <c r="E98" s="187" t="str">
        <f>IF('Marks Entry'!F98="","",'Marks Entry'!F98)</f>
        <v/>
      </c>
      <c r="F98" s="187" t="str">
        <f>IF('Marks Entry'!G98="","",'Marks Entry'!G98)</f>
        <v/>
      </c>
      <c r="G98" s="187" t="str">
        <f>IF('Marks Entry'!H98="","",'Marks Entry'!H98)</f>
        <v/>
      </c>
      <c r="H98" s="188" t="str">
        <f>IF('Marks Entry'!I98="","",'Marks Entry'!I98)</f>
        <v/>
      </c>
      <c r="I98" s="189" t="str">
        <f>IF('Marks Entry'!J98="","",'Marks Entry'!J98)</f>
        <v/>
      </c>
      <c r="J98" s="545" t="str">
        <f>IF('Marks Entry'!K98="","",'Marks Entry'!K98)</f>
        <v/>
      </c>
      <c r="K98" s="545" t="str">
        <f>IF('Marks Entry'!L98="","",'Marks Entry'!L98)</f>
        <v/>
      </c>
      <c r="L98" s="545" t="str">
        <f>IF('Marks Entry'!M98="","",'Marks Entry'!M98)</f>
        <v/>
      </c>
      <c r="M98" s="546" t="str">
        <f t="shared" si="230"/>
        <v/>
      </c>
      <c r="N98" s="545" t="str">
        <f>IF('Marks Entry'!N98="","",'Marks Entry'!N98)</f>
        <v/>
      </c>
      <c r="O98" s="546" t="str">
        <f t="shared" si="231"/>
        <v/>
      </c>
      <c r="P98" s="545" t="str">
        <f>IF('Marks Entry'!O98="","",'Marks Entry'!O98)</f>
        <v/>
      </c>
      <c r="Q98" s="547" t="str">
        <f t="shared" si="232"/>
        <v/>
      </c>
      <c r="R98" s="152">
        <f t="shared" si="233"/>
        <v>0</v>
      </c>
      <c r="S98" s="152">
        <f t="shared" si="234"/>
        <v>0</v>
      </c>
      <c r="T98" s="153" t="str">
        <f t="shared" si="235"/>
        <v/>
      </c>
      <c r="U98" s="152" t="str">
        <f t="shared" si="236"/>
        <v/>
      </c>
      <c r="V98" s="152" t="str">
        <f t="shared" si="237"/>
        <v/>
      </c>
      <c r="W98" s="152" t="str">
        <f t="shared" si="238"/>
        <v/>
      </c>
      <c r="X98" s="545" t="str">
        <f>IF('Marks Entry'!P98="","",'Marks Entry'!P98)</f>
        <v/>
      </c>
      <c r="Y98" s="545" t="str">
        <f>IF('Marks Entry'!Q98="","",'Marks Entry'!Q98)</f>
        <v/>
      </c>
      <c r="Z98" s="545" t="str">
        <f>IF('Marks Entry'!R98="","",'Marks Entry'!R98)</f>
        <v/>
      </c>
      <c r="AA98" s="546" t="str">
        <f t="shared" si="239"/>
        <v/>
      </c>
      <c r="AB98" s="545" t="str">
        <f>IF('Marks Entry'!S98="","",'Marks Entry'!S98)</f>
        <v/>
      </c>
      <c r="AC98" s="546" t="str">
        <f t="shared" si="240"/>
        <v/>
      </c>
      <c r="AD98" s="545" t="str">
        <f>IF('Marks Entry'!T98="","",'Marks Entry'!T98)</f>
        <v/>
      </c>
      <c r="AE98" s="547" t="str">
        <f t="shared" si="241"/>
        <v/>
      </c>
      <c r="AF98" s="152">
        <f t="shared" si="242"/>
        <v>0</v>
      </c>
      <c r="AG98" s="152">
        <f t="shared" si="243"/>
        <v>0</v>
      </c>
      <c r="AH98" s="153" t="str">
        <f t="shared" si="244"/>
        <v/>
      </c>
      <c r="AI98" s="152" t="str">
        <f t="shared" si="245"/>
        <v/>
      </c>
      <c r="AJ98" s="152" t="str">
        <f t="shared" si="246"/>
        <v/>
      </c>
      <c r="AK98" s="152" t="str">
        <f t="shared" si="247"/>
        <v/>
      </c>
      <c r="AL98" s="573" t="str">
        <f>IF('Marks Entry'!U98="","",'Marks Entry'!U98)</f>
        <v/>
      </c>
      <c r="AM98" s="573" t="str">
        <f>IF('Marks Entry'!V98="","",'Marks Entry'!V98)</f>
        <v/>
      </c>
      <c r="AN98" s="573" t="str">
        <f>IF('Marks Entry'!W98="","",'Marks Entry'!W98)</f>
        <v/>
      </c>
      <c r="AO98" s="573" t="str">
        <f>IF('Marks Entry'!X98="","",'Marks Entry'!X98)</f>
        <v/>
      </c>
      <c r="AP98" s="572" t="str">
        <f t="shared" si="248"/>
        <v/>
      </c>
      <c r="AQ98" s="573" t="str">
        <f>IF('Marks Entry'!Y98="","",'Marks Entry'!Y98)</f>
        <v/>
      </c>
      <c r="AR98" s="573" t="str">
        <f>IF('Marks Entry'!Z98="","",'Marks Entry'!Z98)</f>
        <v/>
      </c>
      <c r="AS98" s="572" t="str">
        <f t="shared" si="249"/>
        <v/>
      </c>
      <c r="AT98" s="572" t="str">
        <f t="shared" si="250"/>
        <v/>
      </c>
      <c r="AU98" s="573" t="str">
        <f>IF('Marks Entry'!AA98="","",'Marks Entry'!AA98)</f>
        <v/>
      </c>
      <c r="AV98" s="573" t="str">
        <f>IF('Marks Entry'!AB98="","",'Marks Entry'!AB98)</f>
        <v/>
      </c>
      <c r="AW98" s="572" t="str">
        <f t="shared" si="251"/>
        <v/>
      </c>
      <c r="AX98" s="156" t="str">
        <f t="shared" si="252"/>
        <v/>
      </c>
      <c r="AY98" s="156" t="str">
        <f t="shared" si="253"/>
        <v/>
      </c>
      <c r="AZ98" s="191" t="str">
        <f t="shared" si="254"/>
        <v/>
      </c>
      <c r="BA98" s="152">
        <f t="shared" si="255"/>
        <v>0</v>
      </c>
      <c r="BB98" s="153">
        <f t="shared" si="256"/>
        <v>0</v>
      </c>
      <c r="BC98" s="153" t="str">
        <f t="shared" si="257"/>
        <v/>
      </c>
      <c r="BD98" s="153" t="str">
        <f t="shared" si="258"/>
        <v/>
      </c>
      <c r="BE98" s="153" t="str">
        <f t="shared" si="259"/>
        <v/>
      </c>
      <c r="BF98" s="152" t="str">
        <f t="shared" si="260"/>
        <v/>
      </c>
      <c r="BG98" s="153" t="str">
        <f t="shared" si="261"/>
        <v/>
      </c>
      <c r="BH98" s="152" t="str">
        <f t="shared" si="262"/>
        <v/>
      </c>
      <c r="BI98" s="580" t="str">
        <f>IF('Marks Entry'!AC98="","",'Marks Entry'!AC98)</f>
        <v/>
      </c>
      <c r="BJ98" s="580" t="str">
        <f>IF('Marks Entry'!AD98="","",'Marks Entry'!AD98)</f>
        <v/>
      </c>
      <c r="BK98" s="580" t="str">
        <f>IF('Marks Entry'!AE98="","",'Marks Entry'!AE98)</f>
        <v/>
      </c>
      <c r="BL98" s="580" t="str">
        <f>IF('Marks Entry'!AF98="","",'Marks Entry'!AF98)</f>
        <v/>
      </c>
      <c r="BM98" s="581" t="str">
        <f t="shared" si="263"/>
        <v/>
      </c>
      <c r="BN98" s="580" t="str">
        <f>IF('Marks Entry'!AG98="","",'Marks Entry'!AG98)</f>
        <v/>
      </c>
      <c r="BO98" s="580" t="str">
        <f>IF('Marks Entry'!AH98="","",'Marks Entry'!AH98)</f>
        <v/>
      </c>
      <c r="BP98" s="581" t="str">
        <f t="shared" si="264"/>
        <v/>
      </c>
      <c r="BQ98" s="581" t="str">
        <f t="shared" si="265"/>
        <v/>
      </c>
      <c r="BR98" s="580" t="str">
        <f>IF('Marks Entry'!AI98="","",'Marks Entry'!AI98)</f>
        <v/>
      </c>
      <c r="BS98" s="580" t="str">
        <f>IF('Marks Entry'!AJ98="","",'Marks Entry'!AJ98)</f>
        <v/>
      </c>
      <c r="BT98" s="581" t="str">
        <f t="shared" si="266"/>
        <v/>
      </c>
      <c r="BU98" s="156" t="str">
        <f t="shared" si="267"/>
        <v/>
      </c>
      <c r="BV98" s="156" t="str">
        <f t="shared" si="268"/>
        <v/>
      </c>
      <c r="BW98" s="191" t="str">
        <f t="shared" si="269"/>
        <v/>
      </c>
      <c r="BX98" s="152">
        <f t="shared" si="270"/>
        <v>0</v>
      </c>
      <c r="BY98" s="153">
        <f t="shared" si="271"/>
        <v>0</v>
      </c>
      <c r="BZ98" s="153" t="str">
        <f t="shared" si="272"/>
        <v/>
      </c>
      <c r="CA98" s="153" t="str">
        <f t="shared" si="273"/>
        <v/>
      </c>
      <c r="CB98" s="153" t="str">
        <f t="shared" si="274"/>
        <v/>
      </c>
      <c r="CC98" s="152" t="str">
        <f t="shared" si="275"/>
        <v/>
      </c>
      <c r="CD98" s="153" t="str">
        <f t="shared" si="276"/>
        <v/>
      </c>
      <c r="CE98" s="152" t="str">
        <f t="shared" si="277"/>
        <v/>
      </c>
      <c r="CF98" s="580" t="str">
        <f>IF('Marks Entry'!AK98="","",'Marks Entry'!AK98)</f>
        <v/>
      </c>
      <c r="CG98" s="580" t="str">
        <f>IF('Marks Entry'!AL98="","",'Marks Entry'!AL98)</f>
        <v/>
      </c>
      <c r="CH98" s="580" t="str">
        <f>IF('Marks Entry'!AM98="","",'Marks Entry'!AM98)</f>
        <v/>
      </c>
      <c r="CI98" s="580" t="str">
        <f>IF('Marks Entry'!AN98="","",'Marks Entry'!AN98)</f>
        <v/>
      </c>
      <c r="CJ98" s="581" t="str">
        <f t="shared" si="278"/>
        <v/>
      </c>
      <c r="CK98" s="580" t="str">
        <f>IF('Marks Entry'!AO98="","",'Marks Entry'!AO98)</f>
        <v/>
      </c>
      <c r="CL98" s="580" t="str">
        <f>IF('Marks Entry'!AP98="","",'Marks Entry'!AP98)</f>
        <v/>
      </c>
      <c r="CM98" s="581" t="str">
        <f t="shared" si="279"/>
        <v/>
      </c>
      <c r="CN98" s="581" t="str">
        <f t="shared" si="280"/>
        <v/>
      </c>
      <c r="CO98" s="580" t="str">
        <f>IF('Marks Entry'!AQ98="","",'Marks Entry'!AQ98)</f>
        <v/>
      </c>
      <c r="CP98" s="580" t="str">
        <f>IF('Marks Entry'!AR98="","",'Marks Entry'!AR98)</f>
        <v/>
      </c>
      <c r="CQ98" s="581" t="str">
        <f t="shared" si="281"/>
        <v/>
      </c>
      <c r="CR98" s="156" t="str">
        <f t="shared" si="282"/>
        <v/>
      </c>
      <c r="CS98" s="156" t="str">
        <f t="shared" si="283"/>
        <v/>
      </c>
      <c r="CT98" s="191" t="str">
        <f t="shared" si="284"/>
        <v/>
      </c>
      <c r="CU98" s="152">
        <f t="shared" si="285"/>
        <v>0</v>
      </c>
      <c r="CV98" s="153">
        <f t="shared" si="286"/>
        <v>0</v>
      </c>
      <c r="CW98" s="153" t="str">
        <f t="shared" si="287"/>
        <v/>
      </c>
      <c r="CX98" s="153" t="str">
        <f t="shared" si="288"/>
        <v/>
      </c>
      <c r="CY98" s="153" t="str">
        <f t="shared" si="289"/>
        <v/>
      </c>
      <c r="CZ98" s="152" t="str">
        <f t="shared" si="290"/>
        <v/>
      </c>
      <c r="DA98" s="153" t="str">
        <f t="shared" si="291"/>
        <v/>
      </c>
      <c r="DB98" s="152" t="str">
        <f t="shared" si="292"/>
        <v/>
      </c>
      <c r="DC98" s="153">
        <f t="shared" si="293"/>
        <v>0</v>
      </c>
      <c r="DD98" s="851" t="str">
        <f>IF('Marks Entry'!AS98="","",IF(OR('Master Sheet'!$D$19="YES",'Marks Entry'!$BA$1=1),'Marks Entry'!AS98,""))</f>
        <v/>
      </c>
      <c r="DE98" s="851" t="str">
        <f>IF('Marks Entry'!AT98="","",IF(OR('Master Sheet'!$D$19="YES",'Marks Entry'!$BA$1=1),'Marks Entry'!AT98,""))</f>
        <v/>
      </c>
      <c r="DF98" s="851" t="str">
        <f>IF('Marks Entry'!AU98="","",IF(OR('Master Sheet'!$D$19="YES",'Marks Entry'!$BA$1=1),'Marks Entry'!AU98,""))</f>
        <v/>
      </c>
      <c r="DG98" s="851" t="str">
        <f>IF('Marks Entry'!AV98="","",IF(OR('Master Sheet'!$D$19="YES",'Marks Entry'!$BA$1=1),'Marks Entry'!AV98,""))</f>
        <v/>
      </c>
      <c r="DH98" s="852" t="str">
        <f t="shared" si="294"/>
        <v/>
      </c>
      <c r="DI98" s="851" t="str">
        <f>IF('Marks Entry'!AW98="","",IF(OR('Master Sheet'!$D$19="YES",'Marks Entry'!$BA$1=1),'Marks Entry'!AW98,""))</f>
        <v/>
      </c>
      <c r="DJ98" s="851" t="str">
        <f>IF('Marks Entry'!AX98="","",IF(OR('Master Sheet'!$D$19="YES",'Marks Entry'!$BA$1=1),'Marks Entry'!AX98,""))</f>
        <v/>
      </c>
      <c r="DK98" s="852" t="str">
        <f t="shared" si="295"/>
        <v/>
      </c>
      <c r="DL98" s="852" t="str">
        <f t="shared" si="296"/>
        <v/>
      </c>
      <c r="DM98" s="851" t="str">
        <f>IF('Marks Entry'!AY98="","",IF(OR('Master Sheet'!$D$19="YES",'Marks Entry'!$BA$1=1),'Marks Entry'!AY98,""))</f>
        <v/>
      </c>
      <c r="DN98" s="851" t="str">
        <f>IF('Marks Entry'!AZ98="","",IF(OR('Master Sheet'!$D$19="YES",'Marks Entry'!$BA$1=1),'Marks Entry'!AZ98,""))</f>
        <v/>
      </c>
      <c r="DO98" s="851" t="str">
        <f>IF('Marks Entry'!BA98="","",IF(OR('Master Sheet'!$D$19="YES",'Marks Entry'!$BA$1=1),'Marks Entry'!BA98,""))</f>
        <v/>
      </c>
      <c r="DP98" s="852" t="str">
        <f t="shared" si="297"/>
        <v/>
      </c>
      <c r="DQ98" s="156" t="str">
        <f t="shared" si="298"/>
        <v/>
      </c>
      <c r="DR98" s="156" t="str">
        <f t="shared" si="299"/>
        <v/>
      </c>
      <c r="DS98" s="156" t="str">
        <f t="shared" si="300"/>
        <v/>
      </c>
      <c r="DT98" s="191" t="str">
        <f t="shared" si="301"/>
        <v/>
      </c>
      <c r="DU98" s="152">
        <f t="shared" si="302"/>
        <v>0</v>
      </c>
      <c r="DV98" s="153">
        <f t="shared" si="303"/>
        <v>0</v>
      </c>
      <c r="DW98" s="153" t="str">
        <f t="shared" si="304"/>
        <v/>
      </c>
      <c r="DX98" s="153" t="str">
        <f>IF(OR($B98="NSO",$B98=0,DS98=""),"",IF(AND(DJ98="",DO98=""),"",IF('Master Sheet'!$D$19="YES",$DO$6-COUNTIF(DO98,"ML")*DO$6,DS$6-(COUNTIF(DJ98,"ML")*DJ$6)-(COUNTIF(DO98,"ML")*DO$6))))</f>
        <v/>
      </c>
      <c r="DY98" s="153" t="str">
        <f>IF(OR($B98="NSO",$B98=0),"",IF(AND(DH98="",DI98="",DM98=""),"",IF(AND('Master Sheet'!$D$19="YES",'Marks Entry'!$BA$1=1),100,IF(AND(DJ98="",DO98=""),SUM(($DQ$7+$DR$7)-(DU98+DV98)),SUM(($DQ$6+$DR$6)-(DU98+DV98))))))</f>
        <v/>
      </c>
      <c r="DZ98" s="152" t="str">
        <f t="shared" si="305"/>
        <v/>
      </c>
      <c r="EA98" s="153" t="str">
        <f t="shared" si="306"/>
        <v/>
      </c>
      <c r="EB98" s="152" t="str">
        <f t="shared" si="307"/>
        <v/>
      </c>
      <c r="EC98" s="584" t="str">
        <f>IF('Marks Entry'!BB98="","",'Marks Entry'!BB98)</f>
        <v/>
      </c>
      <c r="ED98" s="584" t="str">
        <f>IF('Marks Entry'!BC98="","",'Marks Entry'!BC98)</f>
        <v/>
      </c>
      <c r="EE98" s="584" t="str">
        <f>IF('Marks Entry'!BD98="","",'Marks Entry'!BD98)</f>
        <v/>
      </c>
      <c r="EF98" s="590" t="str">
        <f t="shared" si="308"/>
        <v/>
      </c>
      <c r="EG98" s="595">
        <f t="shared" si="309"/>
        <v>0</v>
      </c>
      <c r="EH98" s="595">
        <f t="shared" si="310"/>
        <v>0</v>
      </c>
      <c r="EI98" s="192" t="str">
        <f t="shared" si="311"/>
        <v/>
      </c>
      <c r="EJ98" s="595" t="str">
        <f t="shared" si="312"/>
        <v/>
      </c>
      <c r="EK98" s="595" t="str">
        <f t="shared" si="313"/>
        <v/>
      </c>
      <c r="EL98" s="193" t="str">
        <f t="shared" si="314"/>
        <v/>
      </c>
      <c r="EM98" s="193" t="str">
        <f t="shared" si="315"/>
        <v/>
      </c>
      <c r="EN98" s="193" t="str">
        <f t="shared" si="316"/>
        <v/>
      </c>
      <c r="EO98" s="193" t="str">
        <f t="shared" si="317"/>
        <v/>
      </c>
      <c r="EP98" s="193" t="str">
        <f t="shared" si="318"/>
        <v/>
      </c>
      <c r="EQ98" s="193" t="str">
        <f t="shared" si="319"/>
        <v/>
      </c>
      <c r="ER98" s="194">
        <f t="shared" si="320"/>
        <v>0</v>
      </c>
      <c r="ES98" s="194">
        <f t="shared" si="321"/>
        <v>0</v>
      </c>
      <c r="ET98" s="194">
        <f t="shared" si="322"/>
        <v>0</v>
      </c>
      <c r="EU98" s="194">
        <f t="shared" si="323"/>
        <v>0</v>
      </c>
      <c r="EV98" s="194">
        <f t="shared" si="324"/>
        <v>0</v>
      </c>
      <c r="EW98" s="194" t="str">
        <f t="shared" si="325"/>
        <v/>
      </c>
      <c r="EX98" s="195" t="str">
        <f t="shared" si="326"/>
        <v/>
      </c>
      <c r="EY98" s="196" t="str">
        <f>IF('Marks Entry'!BE98="","",'Marks Entry'!BE98)</f>
        <v/>
      </c>
      <c r="EZ98" s="196" t="str">
        <f>IF('Marks Entry'!BF98="","",'Marks Entry'!BF98)</f>
        <v/>
      </c>
      <c r="FA98" s="196" t="str">
        <f>IF('Marks Entry'!BG98="","",'Marks Entry'!BG98)</f>
        <v/>
      </c>
      <c r="FB98" s="596" t="str">
        <f t="shared" si="327"/>
        <v/>
      </c>
      <c r="FC98" s="196" t="str">
        <f>IF('Marks Entry'!BH98="","",'Marks Entry'!BH98)</f>
        <v/>
      </c>
      <c r="FD98" s="196" t="str">
        <f>IF('Marks Entry'!BI98="","",'Marks Entry'!BI98)</f>
        <v/>
      </c>
      <c r="FE98" s="197" t="str">
        <f t="shared" si="328"/>
        <v/>
      </c>
      <c r="FF98" s="198" t="str">
        <f t="shared" si="329"/>
        <v/>
      </c>
      <c r="FG98" s="199" t="str">
        <f>IF(AND(E98=""),"",IF('Student DATA Entry'!L94="","",'Student DATA Entry'!L94))</f>
        <v/>
      </c>
      <c r="FH98" s="200" t="str">
        <f>IF(AND(E98=""),"",IF('Student DATA Entry'!M94="","",'Student DATA Entry'!M94))</f>
        <v/>
      </c>
      <c r="FI98" s="201" t="str">
        <f t="shared" si="330"/>
        <v/>
      </c>
      <c r="FJ98" s="188" t="str">
        <f t="shared" si="331"/>
        <v/>
      </c>
      <c r="FK98" s="188" t="str">
        <f t="shared" si="332"/>
        <v/>
      </c>
      <c r="FL98" s="202" t="str">
        <f t="shared" si="201"/>
        <v/>
      </c>
      <c r="FM98" s="188" t="str">
        <f t="shared" si="333"/>
        <v/>
      </c>
      <c r="FN98" s="203" t="str">
        <f t="shared" si="334"/>
        <v/>
      </c>
      <c r="FO98" s="202" t="str">
        <f t="shared" si="202"/>
        <v/>
      </c>
      <c r="FP98" s="204" t="str">
        <f t="shared" si="335"/>
        <v/>
      </c>
      <c r="FQ98" s="188" t="str">
        <f t="shared" si="203"/>
        <v/>
      </c>
      <c r="FR98" s="188" t="str">
        <f t="shared" si="204"/>
        <v/>
      </c>
      <c r="FS98" s="188" t="str">
        <f t="shared" si="205"/>
        <v/>
      </c>
      <c r="FT98" s="188" t="str">
        <f t="shared" si="206"/>
        <v/>
      </c>
      <c r="FU98" s="188" t="str">
        <f t="shared" si="336"/>
        <v/>
      </c>
      <c r="FV98" s="205" t="str">
        <f t="shared" si="207"/>
        <v/>
      </c>
      <c r="FW98" s="204" t="str">
        <f t="shared" si="337"/>
        <v/>
      </c>
      <c r="FX98" s="188" t="str">
        <f t="shared" si="208"/>
        <v/>
      </c>
      <c r="FY98" s="188" t="str">
        <f t="shared" si="209"/>
        <v/>
      </c>
      <c r="FZ98" s="188" t="str">
        <f t="shared" si="210"/>
        <v/>
      </c>
      <c r="GA98" s="188" t="str">
        <f t="shared" si="211"/>
        <v/>
      </c>
      <c r="GB98" s="188" t="str">
        <f t="shared" si="338"/>
        <v/>
      </c>
      <c r="GC98" s="205" t="str">
        <f t="shared" si="212"/>
        <v/>
      </c>
      <c r="GD98" s="204" t="str">
        <f t="shared" si="339"/>
        <v/>
      </c>
      <c r="GE98" s="188" t="str">
        <f t="shared" si="213"/>
        <v/>
      </c>
      <c r="GF98" s="188" t="str">
        <f t="shared" si="214"/>
        <v/>
      </c>
      <c r="GG98" s="188" t="str">
        <f t="shared" si="215"/>
        <v/>
      </c>
      <c r="GH98" s="188" t="str">
        <f t="shared" si="216"/>
        <v/>
      </c>
      <c r="GI98" s="188" t="str">
        <f t="shared" si="340"/>
        <v/>
      </c>
      <c r="GJ98" s="205" t="str">
        <f t="shared" si="217"/>
        <v/>
      </c>
      <c r="GK98" s="204" t="str">
        <f t="shared" si="341"/>
        <v/>
      </c>
      <c r="GL98" s="188" t="str">
        <f t="shared" si="218"/>
        <v/>
      </c>
      <c r="GM98" s="188" t="str">
        <f t="shared" si="219"/>
        <v/>
      </c>
      <c r="GN98" s="188" t="str">
        <f t="shared" si="220"/>
        <v/>
      </c>
      <c r="GO98" s="188" t="str">
        <f t="shared" si="221"/>
        <v/>
      </c>
      <c r="GP98" s="188" t="str">
        <f t="shared" si="342"/>
        <v/>
      </c>
      <c r="GQ98" s="205" t="str">
        <f t="shared" si="222"/>
        <v/>
      </c>
      <c r="GR98" s="188" t="str">
        <f t="shared" si="343"/>
        <v/>
      </c>
      <c r="GS98" s="188" t="str">
        <f t="shared" si="344"/>
        <v/>
      </c>
      <c r="GT98" s="206" t="str">
        <f t="shared" si="345"/>
        <v xml:space="preserve">    </v>
      </c>
      <c r="GU98" s="206" t="str">
        <f t="shared" si="346"/>
        <v xml:space="preserve">    </v>
      </c>
      <c r="GV98" s="206" t="str">
        <f t="shared" si="347"/>
        <v xml:space="preserve">    </v>
      </c>
      <c r="GW98" s="206" t="str">
        <f t="shared" si="348"/>
        <v xml:space="preserve">       </v>
      </c>
      <c r="GX98" s="598" t="str">
        <f t="shared" si="349"/>
        <v xml:space="preserve">     </v>
      </c>
      <c r="GY98" s="207" t="str">
        <f t="shared" si="223"/>
        <v/>
      </c>
      <c r="GZ98" s="606" t="str">
        <f>IF(AND(Q98="",AE98="",AZ98="",BW98="",CT98=""),"",IF(AND('Master Sheet'!$D$19="YES",'Marks Entry'!$BA$1=1),SUM(Q98,AE98,AZ98,BW98,DT98),SUM(Q98,AE98,AZ98,BW98,CT98)))</f>
        <v/>
      </c>
      <c r="HA98" s="208" t="str">
        <f>IF(GZ98="","",IF(AND('Master Sheet'!$D$19="YES",'Marks Entry'!$BA$1=1),GZ98/((900)-DC98)*100,GZ98/((1000)-DC98)*100))</f>
        <v/>
      </c>
      <c r="HB98" s="611" t="str">
        <f t="shared" si="350"/>
        <v/>
      </c>
      <c r="HC98" s="609" t="str">
        <f t="shared" si="351"/>
        <v/>
      </c>
      <c r="HD98" s="610" t="str">
        <f t="shared" si="352"/>
        <v/>
      </c>
      <c r="HE98" s="209" t="str">
        <f>IFERROR(IF(OR(GY98="SUPPLEMENTARY",GY98="RE-EXAM"),'Supp. Result Entry'!AS97,""),"")</f>
        <v/>
      </c>
      <c r="HF98" s="613" t="str">
        <f t="shared" si="353"/>
        <v/>
      </c>
      <c r="HG98" s="598" t="str">
        <f t="shared" si="354"/>
        <v/>
      </c>
      <c r="HH98" s="598" t="str">
        <f>IF(AND(HE98="",HF98="",HG98=""),"",IF(OR(GY98="SUPPLEMENTARY",GY98="RE-EXAM"),'Supp. Result Entry'!AS97,GY98))</f>
        <v/>
      </c>
      <c r="HI98" s="179"/>
      <c r="HY98" s="211" t="str">
        <f>IF('Supp. Result Entry'!U97="","",'Supp. Result Entry'!$U$6)</f>
        <v/>
      </c>
      <c r="HZ98" s="212" t="str">
        <f>IF('Supp. Result Entry'!X97="","",'Supp. Result Entry'!$X$6)</f>
        <v/>
      </c>
      <c r="IA98" s="212" t="str">
        <f>IF('Supp. Result Entry'!AA97="","",'Supp. Result Entry'!$AA$6)</f>
        <v/>
      </c>
      <c r="IB98" s="212" t="str">
        <f>IF('Supp. Result Entry'!AD97="","",'Supp. Result Entry'!$AD$6)</f>
        <v/>
      </c>
      <c r="IC98" s="212" t="str">
        <f>IF('Supp. Result Entry'!AG97="","",'Supp. Result Entry'!$AG$6)</f>
        <v/>
      </c>
      <c r="ID98" s="212" t="str">
        <f>IF('Supp. Result Entry'!AJ97="","",'Supp. Result Entry'!$AJ$6)</f>
        <v/>
      </c>
      <c r="IE98" s="212" t="str">
        <f>IF('Supp. Result Entry'!V97="","",'Supp. Result Entry'!V97)</f>
        <v/>
      </c>
      <c r="IF98" s="212" t="str">
        <f>IF('Supp. Result Entry'!Y97="","",'Supp. Result Entry'!Y97)</f>
        <v/>
      </c>
      <c r="IG98" s="212" t="str">
        <f>IF('Supp. Result Entry'!AB97="","",'Supp. Result Entry'!AB97)</f>
        <v/>
      </c>
      <c r="IH98" s="212" t="str">
        <f>IF('Supp. Result Entry'!AE97="","",'Supp. Result Entry'!AE97)</f>
        <v/>
      </c>
      <c r="II98" s="212" t="str">
        <f>IF('Supp. Result Entry'!AH97="","",'Supp. Result Entry'!AH97)</f>
        <v/>
      </c>
      <c r="IJ98" s="212" t="str">
        <f>IF('Supp. Result Entry'!AK97="","",'Supp. Result Entry'!AK97)</f>
        <v/>
      </c>
      <c r="IK98" s="212" t="str">
        <f>IF('Supp. Result Entry'!W97="","",'Supp. Result Entry'!W97)</f>
        <v/>
      </c>
      <c r="IL98" s="212" t="str">
        <f>IF('Supp. Result Entry'!Z97="","",'Supp. Result Entry'!Z97)</f>
        <v/>
      </c>
      <c r="IM98" s="212" t="str">
        <f>IF('Supp. Result Entry'!AC97="","",'Supp. Result Entry'!AC97)</f>
        <v/>
      </c>
      <c r="IN98" s="212" t="str">
        <f>IF('Supp. Result Entry'!AF97="","",'Supp. Result Entry'!AF97)</f>
        <v/>
      </c>
      <c r="IO98" s="212" t="str">
        <f>IF('Supp. Result Entry'!AI97="","",'Supp. Result Entry'!AI97)</f>
        <v/>
      </c>
      <c r="IP98" s="212" t="str">
        <f>IF('Supp. Result Entry'!AL97="","",'Supp. Result Entry'!AL97)</f>
        <v/>
      </c>
      <c r="IQ98" s="212">
        <f>COUNTIF('Supp. Result Entry'!K97:Q97,"S")</f>
        <v>0</v>
      </c>
      <c r="IR98" s="212">
        <f t="shared" si="355"/>
        <v>0</v>
      </c>
      <c r="IS98" s="212">
        <f t="shared" si="356"/>
        <v>0</v>
      </c>
      <c r="IT98" s="212" t="str">
        <f t="shared" si="224"/>
        <v/>
      </c>
      <c r="IU98" s="212" t="str">
        <f t="shared" si="225"/>
        <v/>
      </c>
      <c r="IV98" s="212" t="str">
        <f t="shared" si="226"/>
        <v/>
      </c>
      <c r="IW98" s="212" t="str">
        <f t="shared" si="227"/>
        <v/>
      </c>
      <c r="IX98" s="212" t="str">
        <f t="shared" si="228"/>
        <v/>
      </c>
      <c r="IY98" s="212" t="str">
        <f t="shared" si="357"/>
        <v/>
      </c>
      <c r="IZ98" s="212" t="str">
        <f t="shared" si="358"/>
        <v/>
      </c>
      <c r="JA98" s="212" t="str">
        <f t="shared" si="229"/>
        <v/>
      </c>
      <c r="JB98" s="210" t="str">
        <f t="shared" si="359"/>
        <v/>
      </c>
    </row>
    <row r="99" spans="1:262" s="210" customFormat="1" ht="21" customHeight="1">
      <c r="A99" s="183">
        <v>92</v>
      </c>
      <c r="B99" s="184" t="str">
        <f>IF('Marks Entry'!B99="","",'Marks Entry'!B99)</f>
        <v/>
      </c>
      <c r="C99" s="185" t="str">
        <f>IF('Marks Entry'!D99="","",'Marks Entry'!D99)</f>
        <v/>
      </c>
      <c r="D99" s="186" t="str">
        <f>IF('Marks Entry'!E99="","",'Marks Entry'!E99)</f>
        <v/>
      </c>
      <c r="E99" s="187" t="str">
        <f>IF('Marks Entry'!F99="","",'Marks Entry'!F99)</f>
        <v/>
      </c>
      <c r="F99" s="187" t="str">
        <f>IF('Marks Entry'!G99="","",'Marks Entry'!G99)</f>
        <v/>
      </c>
      <c r="G99" s="187" t="str">
        <f>IF('Marks Entry'!H99="","",'Marks Entry'!H99)</f>
        <v/>
      </c>
      <c r="H99" s="188" t="str">
        <f>IF('Marks Entry'!I99="","",'Marks Entry'!I99)</f>
        <v/>
      </c>
      <c r="I99" s="189" t="str">
        <f>IF('Marks Entry'!J99="","",'Marks Entry'!J99)</f>
        <v/>
      </c>
      <c r="J99" s="545" t="str">
        <f>IF('Marks Entry'!K99="","",'Marks Entry'!K99)</f>
        <v/>
      </c>
      <c r="K99" s="545" t="str">
        <f>IF('Marks Entry'!L99="","",'Marks Entry'!L99)</f>
        <v/>
      </c>
      <c r="L99" s="545" t="str">
        <f>IF('Marks Entry'!M99="","",'Marks Entry'!M99)</f>
        <v/>
      </c>
      <c r="M99" s="546" t="str">
        <f t="shared" si="230"/>
        <v/>
      </c>
      <c r="N99" s="545" t="str">
        <f>IF('Marks Entry'!N99="","",'Marks Entry'!N99)</f>
        <v/>
      </c>
      <c r="O99" s="546" t="str">
        <f t="shared" si="231"/>
        <v/>
      </c>
      <c r="P99" s="545" t="str">
        <f>IF('Marks Entry'!O99="","",'Marks Entry'!O99)</f>
        <v/>
      </c>
      <c r="Q99" s="547" t="str">
        <f t="shared" si="232"/>
        <v/>
      </c>
      <c r="R99" s="152">
        <f t="shared" si="233"/>
        <v>0</v>
      </c>
      <c r="S99" s="152">
        <f t="shared" si="234"/>
        <v>0</v>
      </c>
      <c r="T99" s="153" t="str">
        <f t="shared" si="235"/>
        <v/>
      </c>
      <c r="U99" s="152" t="str">
        <f t="shared" si="236"/>
        <v/>
      </c>
      <c r="V99" s="152" t="str">
        <f t="shared" si="237"/>
        <v/>
      </c>
      <c r="W99" s="152" t="str">
        <f t="shared" si="238"/>
        <v/>
      </c>
      <c r="X99" s="545" t="str">
        <f>IF('Marks Entry'!P99="","",'Marks Entry'!P99)</f>
        <v/>
      </c>
      <c r="Y99" s="545" t="str">
        <f>IF('Marks Entry'!Q99="","",'Marks Entry'!Q99)</f>
        <v/>
      </c>
      <c r="Z99" s="545" t="str">
        <f>IF('Marks Entry'!R99="","",'Marks Entry'!R99)</f>
        <v/>
      </c>
      <c r="AA99" s="546" t="str">
        <f t="shared" si="239"/>
        <v/>
      </c>
      <c r="AB99" s="545" t="str">
        <f>IF('Marks Entry'!S99="","",'Marks Entry'!S99)</f>
        <v/>
      </c>
      <c r="AC99" s="546" t="str">
        <f t="shared" si="240"/>
        <v/>
      </c>
      <c r="AD99" s="545" t="str">
        <f>IF('Marks Entry'!T99="","",'Marks Entry'!T99)</f>
        <v/>
      </c>
      <c r="AE99" s="547" t="str">
        <f t="shared" si="241"/>
        <v/>
      </c>
      <c r="AF99" s="152">
        <f t="shared" si="242"/>
        <v>0</v>
      </c>
      <c r="AG99" s="152">
        <f t="shared" si="243"/>
        <v>0</v>
      </c>
      <c r="AH99" s="153" t="str">
        <f t="shared" si="244"/>
        <v/>
      </c>
      <c r="AI99" s="152" t="str">
        <f t="shared" si="245"/>
        <v/>
      </c>
      <c r="AJ99" s="152" t="str">
        <f t="shared" si="246"/>
        <v/>
      </c>
      <c r="AK99" s="152" t="str">
        <f t="shared" si="247"/>
        <v/>
      </c>
      <c r="AL99" s="573" t="str">
        <f>IF('Marks Entry'!U99="","",'Marks Entry'!U99)</f>
        <v/>
      </c>
      <c r="AM99" s="573" t="str">
        <f>IF('Marks Entry'!V99="","",'Marks Entry'!V99)</f>
        <v/>
      </c>
      <c r="AN99" s="573" t="str">
        <f>IF('Marks Entry'!W99="","",'Marks Entry'!W99)</f>
        <v/>
      </c>
      <c r="AO99" s="573" t="str">
        <f>IF('Marks Entry'!X99="","",'Marks Entry'!X99)</f>
        <v/>
      </c>
      <c r="AP99" s="572" t="str">
        <f t="shared" si="248"/>
        <v/>
      </c>
      <c r="AQ99" s="573" t="str">
        <f>IF('Marks Entry'!Y99="","",'Marks Entry'!Y99)</f>
        <v/>
      </c>
      <c r="AR99" s="573" t="str">
        <f>IF('Marks Entry'!Z99="","",'Marks Entry'!Z99)</f>
        <v/>
      </c>
      <c r="AS99" s="572" t="str">
        <f t="shared" si="249"/>
        <v/>
      </c>
      <c r="AT99" s="572" t="str">
        <f t="shared" si="250"/>
        <v/>
      </c>
      <c r="AU99" s="573" t="str">
        <f>IF('Marks Entry'!AA99="","",'Marks Entry'!AA99)</f>
        <v/>
      </c>
      <c r="AV99" s="573" t="str">
        <f>IF('Marks Entry'!AB99="","",'Marks Entry'!AB99)</f>
        <v/>
      </c>
      <c r="AW99" s="572" t="str">
        <f t="shared" si="251"/>
        <v/>
      </c>
      <c r="AX99" s="156" t="str">
        <f t="shared" si="252"/>
        <v/>
      </c>
      <c r="AY99" s="156" t="str">
        <f t="shared" si="253"/>
        <v/>
      </c>
      <c r="AZ99" s="191" t="str">
        <f t="shared" si="254"/>
        <v/>
      </c>
      <c r="BA99" s="152">
        <f t="shared" si="255"/>
        <v>0</v>
      </c>
      <c r="BB99" s="153">
        <f t="shared" si="256"/>
        <v>0</v>
      </c>
      <c r="BC99" s="153" t="str">
        <f t="shared" si="257"/>
        <v/>
      </c>
      <c r="BD99" s="153" t="str">
        <f t="shared" si="258"/>
        <v/>
      </c>
      <c r="BE99" s="153" t="str">
        <f t="shared" si="259"/>
        <v/>
      </c>
      <c r="BF99" s="152" t="str">
        <f t="shared" si="260"/>
        <v/>
      </c>
      <c r="BG99" s="153" t="str">
        <f t="shared" si="261"/>
        <v/>
      </c>
      <c r="BH99" s="152" t="str">
        <f t="shared" si="262"/>
        <v/>
      </c>
      <c r="BI99" s="580" t="str">
        <f>IF('Marks Entry'!AC99="","",'Marks Entry'!AC99)</f>
        <v/>
      </c>
      <c r="BJ99" s="580" t="str">
        <f>IF('Marks Entry'!AD99="","",'Marks Entry'!AD99)</f>
        <v/>
      </c>
      <c r="BK99" s="580" t="str">
        <f>IF('Marks Entry'!AE99="","",'Marks Entry'!AE99)</f>
        <v/>
      </c>
      <c r="BL99" s="580" t="str">
        <f>IF('Marks Entry'!AF99="","",'Marks Entry'!AF99)</f>
        <v/>
      </c>
      <c r="BM99" s="581" t="str">
        <f t="shared" si="263"/>
        <v/>
      </c>
      <c r="BN99" s="580" t="str">
        <f>IF('Marks Entry'!AG99="","",'Marks Entry'!AG99)</f>
        <v/>
      </c>
      <c r="BO99" s="580" t="str">
        <f>IF('Marks Entry'!AH99="","",'Marks Entry'!AH99)</f>
        <v/>
      </c>
      <c r="BP99" s="581" t="str">
        <f t="shared" si="264"/>
        <v/>
      </c>
      <c r="BQ99" s="581" t="str">
        <f t="shared" si="265"/>
        <v/>
      </c>
      <c r="BR99" s="580" t="str">
        <f>IF('Marks Entry'!AI99="","",'Marks Entry'!AI99)</f>
        <v/>
      </c>
      <c r="BS99" s="580" t="str">
        <f>IF('Marks Entry'!AJ99="","",'Marks Entry'!AJ99)</f>
        <v/>
      </c>
      <c r="BT99" s="581" t="str">
        <f t="shared" si="266"/>
        <v/>
      </c>
      <c r="BU99" s="156" t="str">
        <f t="shared" si="267"/>
        <v/>
      </c>
      <c r="BV99" s="156" t="str">
        <f t="shared" si="268"/>
        <v/>
      </c>
      <c r="BW99" s="191" t="str">
        <f t="shared" si="269"/>
        <v/>
      </c>
      <c r="BX99" s="152">
        <f t="shared" si="270"/>
        <v>0</v>
      </c>
      <c r="BY99" s="153">
        <f t="shared" si="271"/>
        <v>0</v>
      </c>
      <c r="BZ99" s="153" t="str">
        <f t="shared" si="272"/>
        <v/>
      </c>
      <c r="CA99" s="153" t="str">
        <f t="shared" si="273"/>
        <v/>
      </c>
      <c r="CB99" s="153" t="str">
        <f t="shared" si="274"/>
        <v/>
      </c>
      <c r="CC99" s="152" t="str">
        <f t="shared" si="275"/>
        <v/>
      </c>
      <c r="CD99" s="153" t="str">
        <f t="shared" si="276"/>
        <v/>
      </c>
      <c r="CE99" s="152" t="str">
        <f t="shared" si="277"/>
        <v/>
      </c>
      <c r="CF99" s="580" t="str">
        <f>IF('Marks Entry'!AK99="","",'Marks Entry'!AK99)</f>
        <v/>
      </c>
      <c r="CG99" s="580" t="str">
        <f>IF('Marks Entry'!AL99="","",'Marks Entry'!AL99)</f>
        <v/>
      </c>
      <c r="CH99" s="580" t="str">
        <f>IF('Marks Entry'!AM99="","",'Marks Entry'!AM99)</f>
        <v/>
      </c>
      <c r="CI99" s="580" t="str">
        <f>IF('Marks Entry'!AN99="","",'Marks Entry'!AN99)</f>
        <v/>
      </c>
      <c r="CJ99" s="581" t="str">
        <f t="shared" si="278"/>
        <v/>
      </c>
      <c r="CK99" s="580" t="str">
        <f>IF('Marks Entry'!AO99="","",'Marks Entry'!AO99)</f>
        <v/>
      </c>
      <c r="CL99" s="580" t="str">
        <f>IF('Marks Entry'!AP99="","",'Marks Entry'!AP99)</f>
        <v/>
      </c>
      <c r="CM99" s="581" t="str">
        <f t="shared" si="279"/>
        <v/>
      </c>
      <c r="CN99" s="581" t="str">
        <f t="shared" si="280"/>
        <v/>
      </c>
      <c r="CO99" s="580" t="str">
        <f>IF('Marks Entry'!AQ99="","",'Marks Entry'!AQ99)</f>
        <v/>
      </c>
      <c r="CP99" s="580" t="str">
        <f>IF('Marks Entry'!AR99="","",'Marks Entry'!AR99)</f>
        <v/>
      </c>
      <c r="CQ99" s="581" t="str">
        <f t="shared" si="281"/>
        <v/>
      </c>
      <c r="CR99" s="156" t="str">
        <f t="shared" si="282"/>
        <v/>
      </c>
      <c r="CS99" s="156" t="str">
        <f t="shared" si="283"/>
        <v/>
      </c>
      <c r="CT99" s="191" t="str">
        <f t="shared" si="284"/>
        <v/>
      </c>
      <c r="CU99" s="152">
        <f t="shared" si="285"/>
        <v>0</v>
      </c>
      <c r="CV99" s="153">
        <f t="shared" si="286"/>
        <v>0</v>
      </c>
      <c r="CW99" s="153" t="str">
        <f t="shared" si="287"/>
        <v/>
      </c>
      <c r="CX99" s="153" t="str">
        <f t="shared" si="288"/>
        <v/>
      </c>
      <c r="CY99" s="153" t="str">
        <f t="shared" si="289"/>
        <v/>
      </c>
      <c r="CZ99" s="152" t="str">
        <f t="shared" si="290"/>
        <v/>
      </c>
      <c r="DA99" s="153" t="str">
        <f t="shared" si="291"/>
        <v/>
      </c>
      <c r="DB99" s="152" t="str">
        <f t="shared" si="292"/>
        <v/>
      </c>
      <c r="DC99" s="153">
        <f t="shared" si="293"/>
        <v>0</v>
      </c>
      <c r="DD99" s="851" t="str">
        <f>IF('Marks Entry'!AS99="","",IF(OR('Master Sheet'!$D$19="YES",'Marks Entry'!$BA$1=1),'Marks Entry'!AS99,""))</f>
        <v/>
      </c>
      <c r="DE99" s="851" t="str">
        <f>IF('Marks Entry'!AT99="","",IF(OR('Master Sheet'!$D$19="YES",'Marks Entry'!$BA$1=1),'Marks Entry'!AT99,""))</f>
        <v/>
      </c>
      <c r="DF99" s="851" t="str">
        <f>IF('Marks Entry'!AU99="","",IF(OR('Master Sheet'!$D$19="YES",'Marks Entry'!$BA$1=1),'Marks Entry'!AU99,""))</f>
        <v/>
      </c>
      <c r="DG99" s="851" t="str">
        <f>IF('Marks Entry'!AV99="","",IF(OR('Master Sheet'!$D$19="YES",'Marks Entry'!$BA$1=1),'Marks Entry'!AV99,""))</f>
        <v/>
      </c>
      <c r="DH99" s="852" t="str">
        <f t="shared" si="294"/>
        <v/>
      </c>
      <c r="DI99" s="851" t="str">
        <f>IF('Marks Entry'!AW99="","",IF(OR('Master Sheet'!$D$19="YES",'Marks Entry'!$BA$1=1),'Marks Entry'!AW99,""))</f>
        <v/>
      </c>
      <c r="DJ99" s="851" t="str">
        <f>IF('Marks Entry'!AX99="","",IF(OR('Master Sheet'!$D$19="YES",'Marks Entry'!$BA$1=1),'Marks Entry'!AX99,""))</f>
        <v/>
      </c>
      <c r="DK99" s="852" t="str">
        <f t="shared" si="295"/>
        <v/>
      </c>
      <c r="DL99" s="852" t="str">
        <f t="shared" si="296"/>
        <v/>
      </c>
      <c r="DM99" s="851" t="str">
        <f>IF('Marks Entry'!AY99="","",IF(OR('Master Sheet'!$D$19="YES",'Marks Entry'!$BA$1=1),'Marks Entry'!AY99,""))</f>
        <v/>
      </c>
      <c r="DN99" s="851" t="str">
        <f>IF('Marks Entry'!AZ99="","",IF(OR('Master Sheet'!$D$19="YES",'Marks Entry'!$BA$1=1),'Marks Entry'!AZ99,""))</f>
        <v/>
      </c>
      <c r="DO99" s="851" t="str">
        <f>IF('Marks Entry'!BA99="","",IF(OR('Master Sheet'!$D$19="YES",'Marks Entry'!$BA$1=1),'Marks Entry'!BA99,""))</f>
        <v/>
      </c>
      <c r="DP99" s="852" t="str">
        <f t="shared" si="297"/>
        <v/>
      </c>
      <c r="DQ99" s="156" t="str">
        <f t="shared" si="298"/>
        <v/>
      </c>
      <c r="DR99" s="156" t="str">
        <f t="shared" si="299"/>
        <v/>
      </c>
      <c r="DS99" s="156" t="str">
        <f t="shared" si="300"/>
        <v/>
      </c>
      <c r="DT99" s="191" t="str">
        <f t="shared" si="301"/>
        <v/>
      </c>
      <c r="DU99" s="152">
        <f t="shared" si="302"/>
        <v>0</v>
      </c>
      <c r="DV99" s="153">
        <f t="shared" si="303"/>
        <v>0</v>
      </c>
      <c r="DW99" s="153" t="str">
        <f t="shared" si="304"/>
        <v/>
      </c>
      <c r="DX99" s="153" t="str">
        <f>IF(OR($B99="NSO",$B99=0,DS99=""),"",IF(AND(DJ99="",DO99=""),"",IF('Master Sheet'!$D$19="YES",$DO$6-COUNTIF(DO99,"ML")*DO$6,DS$6-(COUNTIF(DJ99,"ML")*DJ$6)-(COUNTIF(DO99,"ML")*DO$6))))</f>
        <v/>
      </c>
      <c r="DY99" s="153" t="str">
        <f>IF(OR($B99="NSO",$B99=0),"",IF(AND(DH99="",DI99="",DM99=""),"",IF(AND('Master Sheet'!$D$19="YES",'Marks Entry'!$BA$1=1),100,IF(AND(DJ99="",DO99=""),SUM(($DQ$7+$DR$7)-(DU99+DV99)),SUM(($DQ$6+$DR$6)-(DU99+DV99))))))</f>
        <v/>
      </c>
      <c r="DZ99" s="152" t="str">
        <f t="shared" si="305"/>
        <v/>
      </c>
      <c r="EA99" s="153" t="str">
        <f t="shared" si="306"/>
        <v/>
      </c>
      <c r="EB99" s="152" t="str">
        <f t="shared" si="307"/>
        <v/>
      </c>
      <c r="EC99" s="584" t="str">
        <f>IF('Marks Entry'!BB99="","",'Marks Entry'!BB99)</f>
        <v/>
      </c>
      <c r="ED99" s="584" t="str">
        <f>IF('Marks Entry'!BC99="","",'Marks Entry'!BC99)</f>
        <v/>
      </c>
      <c r="EE99" s="584" t="str">
        <f>IF('Marks Entry'!BD99="","",'Marks Entry'!BD99)</f>
        <v/>
      </c>
      <c r="EF99" s="590" t="str">
        <f t="shared" si="308"/>
        <v/>
      </c>
      <c r="EG99" s="595">
        <f t="shared" si="309"/>
        <v>0</v>
      </c>
      <c r="EH99" s="595">
        <f t="shared" si="310"/>
        <v>0</v>
      </c>
      <c r="EI99" s="192" t="str">
        <f t="shared" si="311"/>
        <v/>
      </c>
      <c r="EJ99" s="595" t="str">
        <f t="shared" si="312"/>
        <v/>
      </c>
      <c r="EK99" s="595" t="str">
        <f t="shared" si="313"/>
        <v/>
      </c>
      <c r="EL99" s="193" t="str">
        <f t="shared" si="314"/>
        <v/>
      </c>
      <c r="EM99" s="193" t="str">
        <f t="shared" si="315"/>
        <v/>
      </c>
      <c r="EN99" s="193" t="str">
        <f t="shared" si="316"/>
        <v/>
      </c>
      <c r="EO99" s="193" t="str">
        <f t="shared" si="317"/>
        <v/>
      </c>
      <c r="EP99" s="193" t="str">
        <f t="shared" si="318"/>
        <v/>
      </c>
      <c r="EQ99" s="193" t="str">
        <f t="shared" si="319"/>
        <v/>
      </c>
      <c r="ER99" s="194">
        <f t="shared" si="320"/>
        <v>0</v>
      </c>
      <c r="ES99" s="194">
        <f t="shared" si="321"/>
        <v>0</v>
      </c>
      <c r="ET99" s="194">
        <f t="shared" si="322"/>
        <v>0</v>
      </c>
      <c r="EU99" s="194">
        <f t="shared" si="323"/>
        <v>0</v>
      </c>
      <c r="EV99" s="194">
        <f t="shared" si="324"/>
        <v>0</v>
      </c>
      <c r="EW99" s="194" t="str">
        <f t="shared" si="325"/>
        <v/>
      </c>
      <c r="EX99" s="195" t="str">
        <f t="shared" si="326"/>
        <v/>
      </c>
      <c r="EY99" s="196" t="str">
        <f>IF('Marks Entry'!BE99="","",'Marks Entry'!BE99)</f>
        <v/>
      </c>
      <c r="EZ99" s="196" t="str">
        <f>IF('Marks Entry'!BF99="","",'Marks Entry'!BF99)</f>
        <v/>
      </c>
      <c r="FA99" s="196" t="str">
        <f>IF('Marks Entry'!BG99="","",'Marks Entry'!BG99)</f>
        <v/>
      </c>
      <c r="FB99" s="596" t="str">
        <f t="shared" si="327"/>
        <v/>
      </c>
      <c r="FC99" s="196" t="str">
        <f>IF('Marks Entry'!BH99="","",'Marks Entry'!BH99)</f>
        <v/>
      </c>
      <c r="FD99" s="196" t="str">
        <f>IF('Marks Entry'!BI99="","",'Marks Entry'!BI99)</f>
        <v/>
      </c>
      <c r="FE99" s="197" t="str">
        <f t="shared" si="328"/>
        <v/>
      </c>
      <c r="FF99" s="198" t="str">
        <f t="shared" si="329"/>
        <v/>
      </c>
      <c r="FG99" s="199" t="str">
        <f>IF(AND(E99=""),"",IF('Student DATA Entry'!L95="","",'Student DATA Entry'!L95))</f>
        <v/>
      </c>
      <c r="FH99" s="200" t="str">
        <f>IF(AND(E99=""),"",IF('Student DATA Entry'!M95="","",'Student DATA Entry'!M95))</f>
        <v/>
      </c>
      <c r="FI99" s="201" t="str">
        <f t="shared" si="330"/>
        <v/>
      </c>
      <c r="FJ99" s="188" t="str">
        <f t="shared" si="331"/>
        <v/>
      </c>
      <c r="FK99" s="188" t="str">
        <f t="shared" si="332"/>
        <v/>
      </c>
      <c r="FL99" s="202" t="str">
        <f t="shared" si="201"/>
        <v/>
      </c>
      <c r="FM99" s="188" t="str">
        <f t="shared" si="333"/>
        <v/>
      </c>
      <c r="FN99" s="203" t="str">
        <f t="shared" si="334"/>
        <v/>
      </c>
      <c r="FO99" s="202" t="str">
        <f t="shared" si="202"/>
        <v/>
      </c>
      <c r="FP99" s="204" t="str">
        <f t="shared" si="335"/>
        <v/>
      </c>
      <c r="FQ99" s="188" t="str">
        <f t="shared" si="203"/>
        <v/>
      </c>
      <c r="FR99" s="188" t="str">
        <f t="shared" si="204"/>
        <v/>
      </c>
      <c r="FS99" s="188" t="str">
        <f t="shared" si="205"/>
        <v/>
      </c>
      <c r="FT99" s="188" t="str">
        <f t="shared" si="206"/>
        <v/>
      </c>
      <c r="FU99" s="188" t="str">
        <f t="shared" si="336"/>
        <v/>
      </c>
      <c r="FV99" s="205" t="str">
        <f t="shared" si="207"/>
        <v/>
      </c>
      <c r="FW99" s="204" t="str">
        <f t="shared" si="337"/>
        <v/>
      </c>
      <c r="FX99" s="188" t="str">
        <f t="shared" si="208"/>
        <v/>
      </c>
      <c r="FY99" s="188" t="str">
        <f t="shared" si="209"/>
        <v/>
      </c>
      <c r="FZ99" s="188" t="str">
        <f t="shared" si="210"/>
        <v/>
      </c>
      <c r="GA99" s="188" t="str">
        <f t="shared" si="211"/>
        <v/>
      </c>
      <c r="GB99" s="188" t="str">
        <f t="shared" si="338"/>
        <v/>
      </c>
      <c r="GC99" s="205" t="str">
        <f t="shared" si="212"/>
        <v/>
      </c>
      <c r="GD99" s="204" t="str">
        <f t="shared" si="339"/>
        <v/>
      </c>
      <c r="GE99" s="188" t="str">
        <f t="shared" si="213"/>
        <v/>
      </c>
      <c r="GF99" s="188" t="str">
        <f t="shared" si="214"/>
        <v/>
      </c>
      <c r="GG99" s="188" t="str">
        <f t="shared" si="215"/>
        <v/>
      </c>
      <c r="GH99" s="188" t="str">
        <f t="shared" si="216"/>
        <v/>
      </c>
      <c r="GI99" s="188" t="str">
        <f t="shared" si="340"/>
        <v/>
      </c>
      <c r="GJ99" s="205" t="str">
        <f t="shared" si="217"/>
        <v/>
      </c>
      <c r="GK99" s="204" t="str">
        <f t="shared" si="341"/>
        <v/>
      </c>
      <c r="GL99" s="188" t="str">
        <f t="shared" si="218"/>
        <v/>
      </c>
      <c r="GM99" s="188" t="str">
        <f t="shared" si="219"/>
        <v/>
      </c>
      <c r="GN99" s="188" t="str">
        <f t="shared" si="220"/>
        <v/>
      </c>
      <c r="GO99" s="188" t="str">
        <f t="shared" si="221"/>
        <v/>
      </c>
      <c r="GP99" s="188" t="str">
        <f t="shared" si="342"/>
        <v/>
      </c>
      <c r="GQ99" s="205" t="str">
        <f t="shared" si="222"/>
        <v/>
      </c>
      <c r="GR99" s="188" t="str">
        <f t="shared" si="343"/>
        <v/>
      </c>
      <c r="GS99" s="188" t="str">
        <f t="shared" si="344"/>
        <v/>
      </c>
      <c r="GT99" s="206" t="str">
        <f t="shared" si="345"/>
        <v xml:space="preserve">    </v>
      </c>
      <c r="GU99" s="206" t="str">
        <f t="shared" si="346"/>
        <v xml:space="preserve">    </v>
      </c>
      <c r="GV99" s="206" t="str">
        <f t="shared" si="347"/>
        <v xml:space="preserve">    </v>
      </c>
      <c r="GW99" s="206" t="str">
        <f t="shared" si="348"/>
        <v xml:space="preserve">       </v>
      </c>
      <c r="GX99" s="598" t="str">
        <f t="shared" si="349"/>
        <v xml:space="preserve">     </v>
      </c>
      <c r="GY99" s="207" t="str">
        <f t="shared" si="223"/>
        <v/>
      </c>
      <c r="GZ99" s="606" t="str">
        <f>IF(AND(Q99="",AE99="",AZ99="",BW99="",CT99=""),"",IF(AND('Master Sheet'!$D$19="YES",'Marks Entry'!$BA$1=1),SUM(Q99,AE99,AZ99,BW99,DT99),SUM(Q99,AE99,AZ99,BW99,CT99)))</f>
        <v/>
      </c>
      <c r="HA99" s="208" t="str">
        <f>IF(GZ99="","",IF(AND('Master Sheet'!$D$19="YES",'Marks Entry'!$BA$1=1),GZ99/((900)-DC99)*100,GZ99/((1000)-DC99)*100))</f>
        <v/>
      </c>
      <c r="HB99" s="611" t="str">
        <f t="shared" si="350"/>
        <v/>
      </c>
      <c r="HC99" s="609" t="str">
        <f t="shared" si="351"/>
        <v/>
      </c>
      <c r="HD99" s="610" t="str">
        <f t="shared" si="352"/>
        <v/>
      </c>
      <c r="HE99" s="209" t="str">
        <f>IFERROR(IF(OR(GY99="SUPPLEMENTARY",GY99="RE-EXAM"),'Supp. Result Entry'!AS98,""),"")</f>
        <v/>
      </c>
      <c r="HF99" s="613" t="str">
        <f t="shared" si="353"/>
        <v/>
      </c>
      <c r="HG99" s="598" t="str">
        <f t="shared" si="354"/>
        <v/>
      </c>
      <c r="HH99" s="598" t="str">
        <f>IF(AND(HE99="",HF99="",HG99=""),"",IF(OR(GY99="SUPPLEMENTARY",GY99="RE-EXAM"),'Supp. Result Entry'!AS98,GY99))</f>
        <v/>
      </c>
      <c r="HI99" s="179"/>
      <c r="HY99" s="211" t="str">
        <f>IF('Supp. Result Entry'!U98="","",'Supp. Result Entry'!$U$6)</f>
        <v/>
      </c>
      <c r="HZ99" s="212" t="str">
        <f>IF('Supp. Result Entry'!X98="","",'Supp. Result Entry'!$X$6)</f>
        <v/>
      </c>
      <c r="IA99" s="212" t="str">
        <f>IF('Supp. Result Entry'!AA98="","",'Supp. Result Entry'!$AA$6)</f>
        <v/>
      </c>
      <c r="IB99" s="212" t="str">
        <f>IF('Supp. Result Entry'!AD98="","",'Supp. Result Entry'!$AD$6)</f>
        <v/>
      </c>
      <c r="IC99" s="212" t="str">
        <f>IF('Supp. Result Entry'!AG98="","",'Supp. Result Entry'!$AG$6)</f>
        <v/>
      </c>
      <c r="ID99" s="212" t="str">
        <f>IF('Supp. Result Entry'!AJ98="","",'Supp. Result Entry'!$AJ$6)</f>
        <v/>
      </c>
      <c r="IE99" s="212" t="str">
        <f>IF('Supp. Result Entry'!V98="","",'Supp. Result Entry'!V98)</f>
        <v/>
      </c>
      <c r="IF99" s="212" t="str">
        <f>IF('Supp. Result Entry'!Y98="","",'Supp. Result Entry'!Y98)</f>
        <v/>
      </c>
      <c r="IG99" s="212" t="str">
        <f>IF('Supp. Result Entry'!AB98="","",'Supp. Result Entry'!AB98)</f>
        <v/>
      </c>
      <c r="IH99" s="212" t="str">
        <f>IF('Supp. Result Entry'!AE98="","",'Supp. Result Entry'!AE98)</f>
        <v/>
      </c>
      <c r="II99" s="212" t="str">
        <f>IF('Supp. Result Entry'!AH98="","",'Supp. Result Entry'!AH98)</f>
        <v/>
      </c>
      <c r="IJ99" s="212" t="str">
        <f>IF('Supp. Result Entry'!AK98="","",'Supp. Result Entry'!AK98)</f>
        <v/>
      </c>
      <c r="IK99" s="212" t="str">
        <f>IF('Supp. Result Entry'!W98="","",'Supp. Result Entry'!W98)</f>
        <v/>
      </c>
      <c r="IL99" s="212" t="str">
        <f>IF('Supp. Result Entry'!Z98="","",'Supp. Result Entry'!Z98)</f>
        <v/>
      </c>
      <c r="IM99" s="212" t="str">
        <f>IF('Supp. Result Entry'!AC98="","",'Supp. Result Entry'!AC98)</f>
        <v/>
      </c>
      <c r="IN99" s="212" t="str">
        <f>IF('Supp. Result Entry'!AF98="","",'Supp. Result Entry'!AF98)</f>
        <v/>
      </c>
      <c r="IO99" s="212" t="str">
        <f>IF('Supp. Result Entry'!AI98="","",'Supp. Result Entry'!AI98)</f>
        <v/>
      </c>
      <c r="IP99" s="212" t="str">
        <f>IF('Supp. Result Entry'!AL98="","",'Supp. Result Entry'!AL98)</f>
        <v/>
      </c>
      <c r="IQ99" s="212">
        <f>COUNTIF('Supp. Result Entry'!K98:Q98,"S")</f>
        <v>0</v>
      </c>
      <c r="IR99" s="212">
        <f t="shared" si="355"/>
        <v>0</v>
      </c>
      <c r="IS99" s="212">
        <f t="shared" si="356"/>
        <v>0</v>
      </c>
      <c r="IT99" s="212" t="str">
        <f t="shared" si="224"/>
        <v/>
      </c>
      <c r="IU99" s="212" t="str">
        <f t="shared" si="225"/>
        <v/>
      </c>
      <c r="IV99" s="212" t="str">
        <f t="shared" si="226"/>
        <v/>
      </c>
      <c r="IW99" s="212" t="str">
        <f t="shared" si="227"/>
        <v/>
      </c>
      <c r="IX99" s="212" t="str">
        <f t="shared" si="228"/>
        <v/>
      </c>
      <c r="IY99" s="212" t="str">
        <f t="shared" si="357"/>
        <v/>
      </c>
      <c r="IZ99" s="212" t="str">
        <f t="shared" si="358"/>
        <v/>
      </c>
      <c r="JA99" s="212" t="str">
        <f t="shared" si="229"/>
        <v/>
      </c>
      <c r="JB99" s="210" t="str">
        <f t="shared" si="359"/>
        <v/>
      </c>
    </row>
    <row r="100" spans="1:262" s="210" customFormat="1" ht="21" customHeight="1">
      <c r="A100" s="183">
        <v>93</v>
      </c>
      <c r="B100" s="184" t="str">
        <f>IF('Marks Entry'!B100="","",'Marks Entry'!B100)</f>
        <v/>
      </c>
      <c r="C100" s="185" t="str">
        <f>IF('Marks Entry'!D100="","",'Marks Entry'!D100)</f>
        <v/>
      </c>
      <c r="D100" s="186" t="str">
        <f>IF('Marks Entry'!E100="","",'Marks Entry'!E100)</f>
        <v/>
      </c>
      <c r="E100" s="187" t="str">
        <f>IF('Marks Entry'!F100="","",'Marks Entry'!F100)</f>
        <v/>
      </c>
      <c r="F100" s="187" t="str">
        <f>IF('Marks Entry'!G100="","",'Marks Entry'!G100)</f>
        <v/>
      </c>
      <c r="G100" s="187" t="str">
        <f>IF('Marks Entry'!H100="","",'Marks Entry'!H100)</f>
        <v/>
      </c>
      <c r="H100" s="188" t="str">
        <f>IF('Marks Entry'!I100="","",'Marks Entry'!I100)</f>
        <v/>
      </c>
      <c r="I100" s="189" t="str">
        <f>IF('Marks Entry'!J100="","",'Marks Entry'!J100)</f>
        <v/>
      </c>
      <c r="J100" s="545" t="str">
        <f>IF('Marks Entry'!K100="","",'Marks Entry'!K100)</f>
        <v/>
      </c>
      <c r="K100" s="545" t="str">
        <f>IF('Marks Entry'!L100="","",'Marks Entry'!L100)</f>
        <v/>
      </c>
      <c r="L100" s="545" t="str">
        <f>IF('Marks Entry'!M100="","",'Marks Entry'!M100)</f>
        <v/>
      </c>
      <c r="M100" s="546" t="str">
        <f t="shared" si="230"/>
        <v/>
      </c>
      <c r="N100" s="545" t="str">
        <f>IF('Marks Entry'!N100="","",'Marks Entry'!N100)</f>
        <v/>
      </c>
      <c r="O100" s="546" t="str">
        <f t="shared" si="231"/>
        <v/>
      </c>
      <c r="P100" s="545" t="str">
        <f>IF('Marks Entry'!O100="","",'Marks Entry'!O100)</f>
        <v/>
      </c>
      <c r="Q100" s="547" t="str">
        <f t="shared" si="232"/>
        <v/>
      </c>
      <c r="R100" s="152">
        <f t="shared" si="233"/>
        <v>0</v>
      </c>
      <c r="S100" s="152">
        <f t="shared" si="234"/>
        <v>0</v>
      </c>
      <c r="T100" s="153" t="str">
        <f t="shared" si="235"/>
        <v/>
      </c>
      <c r="U100" s="152" t="str">
        <f t="shared" si="236"/>
        <v/>
      </c>
      <c r="V100" s="152" t="str">
        <f t="shared" si="237"/>
        <v/>
      </c>
      <c r="W100" s="152" t="str">
        <f t="shared" si="238"/>
        <v/>
      </c>
      <c r="X100" s="545" t="str">
        <f>IF('Marks Entry'!P100="","",'Marks Entry'!P100)</f>
        <v/>
      </c>
      <c r="Y100" s="545" t="str">
        <f>IF('Marks Entry'!Q100="","",'Marks Entry'!Q100)</f>
        <v/>
      </c>
      <c r="Z100" s="545" t="str">
        <f>IF('Marks Entry'!R100="","",'Marks Entry'!R100)</f>
        <v/>
      </c>
      <c r="AA100" s="546" t="str">
        <f t="shared" si="239"/>
        <v/>
      </c>
      <c r="AB100" s="545" t="str">
        <f>IF('Marks Entry'!S100="","",'Marks Entry'!S100)</f>
        <v/>
      </c>
      <c r="AC100" s="546" t="str">
        <f t="shared" si="240"/>
        <v/>
      </c>
      <c r="AD100" s="545" t="str">
        <f>IF('Marks Entry'!T100="","",'Marks Entry'!T100)</f>
        <v/>
      </c>
      <c r="AE100" s="547" t="str">
        <f t="shared" si="241"/>
        <v/>
      </c>
      <c r="AF100" s="152">
        <f t="shared" si="242"/>
        <v>0</v>
      </c>
      <c r="AG100" s="152">
        <f t="shared" si="243"/>
        <v>0</v>
      </c>
      <c r="AH100" s="153" t="str">
        <f t="shared" si="244"/>
        <v/>
      </c>
      <c r="AI100" s="152" t="str">
        <f t="shared" si="245"/>
        <v/>
      </c>
      <c r="AJ100" s="152" t="str">
        <f t="shared" si="246"/>
        <v/>
      </c>
      <c r="AK100" s="152" t="str">
        <f t="shared" si="247"/>
        <v/>
      </c>
      <c r="AL100" s="573" t="str">
        <f>IF('Marks Entry'!U100="","",'Marks Entry'!U100)</f>
        <v/>
      </c>
      <c r="AM100" s="573" t="str">
        <f>IF('Marks Entry'!V100="","",'Marks Entry'!V100)</f>
        <v/>
      </c>
      <c r="AN100" s="573" t="str">
        <f>IF('Marks Entry'!W100="","",'Marks Entry'!W100)</f>
        <v/>
      </c>
      <c r="AO100" s="573" t="str">
        <f>IF('Marks Entry'!X100="","",'Marks Entry'!X100)</f>
        <v/>
      </c>
      <c r="AP100" s="572" t="str">
        <f t="shared" si="248"/>
        <v/>
      </c>
      <c r="AQ100" s="573" t="str">
        <f>IF('Marks Entry'!Y100="","",'Marks Entry'!Y100)</f>
        <v/>
      </c>
      <c r="AR100" s="573" t="str">
        <f>IF('Marks Entry'!Z100="","",'Marks Entry'!Z100)</f>
        <v/>
      </c>
      <c r="AS100" s="572" t="str">
        <f t="shared" si="249"/>
        <v/>
      </c>
      <c r="AT100" s="572" t="str">
        <f t="shared" si="250"/>
        <v/>
      </c>
      <c r="AU100" s="573" t="str">
        <f>IF('Marks Entry'!AA100="","",'Marks Entry'!AA100)</f>
        <v/>
      </c>
      <c r="AV100" s="573" t="str">
        <f>IF('Marks Entry'!AB100="","",'Marks Entry'!AB100)</f>
        <v/>
      </c>
      <c r="AW100" s="572" t="str">
        <f t="shared" si="251"/>
        <v/>
      </c>
      <c r="AX100" s="156" t="str">
        <f t="shared" si="252"/>
        <v/>
      </c>
      <c r="AY100" s="156" t="str">
        <f t="shared" si="253"/>
        <v/>
      </c>
      <c r="AZ100" s="191" t="str">
        <f t="shared" si="254"/>
        <v/>
      </c>
      <c r="BA100" s="152">
        <f t="shared" si="255"/>
        <v>0</v>
      </c>
      <c r="BB100" s="153">
        <f t="shared" si="256"/>
        <v>0</v>
      </c>
      <c r="BC100" s="153" t="str">
        <f t="shared" si="257"/>
        <v/>
      </c>
      <c r="BD100" s="153" t="str">
        <f t="shared" si="258"/>
        <v/>
      </c>
      <c r="BE100" s="153" t="str">
        <f t="shared" si="259"/>
        <v/>
      </c>
      <c r="BF100" s="152" t="str">
        <f t="shared" si="260"/>
        <v/>
      </c>
      <c r="BG100" s="153" t="str">
        <f t="shared" si="261"/>
        <v/>
      </c>
      <c r="BH100" s="152" t="str">
        <f t="shared" si="262"/>
        <v/>
      </c>
      <c r="BI100" s="580" t="str">
        <f>IF('Marks Entry'!AC100="","",'Marks Entry'!AC100)</f>
        <v/>
      </c>
      <c r="BJ100" s="580" t="str">
        <f>IF('Marks Entry'!AD100="","",'Marks Entry'!AD100)</f>
        <v/>
      </c>
      <c r="BK100" s="580" t="str">
        <f>IF('Marks Entry'!AE100="","",'Marks Entry'!AE100)</f>
        <v/>
      </c>
      <c r="BL100" s="580" t="str">
        <f>IF('Marks Entry'!AF100="","",'Marks Entry'!AF100)</f>
        <v/>
      </c>
      <c r="BM100" s="581" t="str">
        <f t="shared" si="263"/>
        <v/>
      </c>
      <c r="BN100" s="580" t="str">
        <f>IF('Marks Entry'!AG100="","",'Marks Entry'!AG100)</f>
        <v/>
      </c>
      <c r="BO100" s="580" t="str">
        <f>IF('Marks Entry'!AH100="","",'Marks Entry'!AH100)</f>
        <v/>
      </c>
      <c r="BP100" s="581" t="str">
        <f t="shared" si="264"/>
        <v/>
      </c>
      <c r="BQ100" s="581" t="str">
        <f t="shared" si="265"/>
        <v/>
      </c>
      <c r="BR100" s="580" t="str">
        <f>IF('Marks Entry'!AI100="","",'Marks Entry'!AI100)</f>
        <v/>
      </c>
      <c r="BS100" s="580" t="str">
        <f>IF('Marks Entry'!AJ100="","",'Marks Entry'!AJ100)</f>
        <v/>
      </c>
      <c r="BT100" s="581" t="str">
        <f t="shared" si="266"/>
        <v/>
      </c>
      <c r="BU100" s="156" t="str">
        <f t="shared" si="267"/>
        <v/>
      </c>
      <c r="BV100" s="156" t="str">
        <f t="shared" si="268"/>
        <v/>
      </c>
      <c r="BW100" s="191" t="str">
        <f t="shared" si="269"/>
        <v/>
      </c>
      <c r="BX100" s="152">
        <f t="shared" si="270"/>
        <v>0</v>
      </c>
      <c r="BY100" s="153">
        <f t="shared" si="271"/>
        <v>0</v>
      </c>
      <c r="BZ100" s="153" t="str">
        <f t="shared" si="272"/>
        <v/>
      </c>
      <c r="CA100" s="153" t="str">
        <f t="shared" si="273"/>
        <v/>
      </c>
      <c r="CB100" s="153" t="str">
        <f t="shared" si="274"/>
        <v/>
      </c>
      <c r="CC100" s="152" t="str">
        <f t="shared" si="275"/>
        <v/>
      </c>
      <c r="CD100" s="153" t="str">
        <f t="shared" si="276"/>
        <v/>
      </c>
      <c r="CE100" s="152" t="str">
        <f t="shared" si="277"/>
        <v/>
      </c>
      <c r="CF100" s="580" t="str">
        <f>IF('Marks Entry'!AK100="","",'Marks Entry'!AK100)</f>
        <v/>
      </c>
      <c r="CG100" s="580" t="str">
        <f>IF('Marks Entry'!AL100="","",'Marks Entry'!AL100)</f>
        <v/>
      </c>
      <c r="CH100" s="580" t="str">
        <f>IF('Marks Entry'!AM100="","",'Marks Entry'!AM100)</f>
        <v/>
      </c>
      <c r="CI100" s="580" t="str">
        <f>IF('Marks Entry'!AN100="","",'Marks Entry'!AN100)</f>
        <v/>
      </c>
      <c r="CJ100" s="581" t="str">
        <f t="shared" si="278"/>
        <v/>
      </c>
      <c r="CK100" s="580" t="str">
        <f>IF('Marks Entry'!AO100="","",'Marks Entry'!AO100)</f>
        <v/>
      </c>
      <c r="CL100" s="580" t="str">
        <f>IF('Marks Entry'!AP100="","",'Marks Entry'!AP100)</f>
        <v/>
      </c>
      <c r="CM100" s="581" t="str">
        <f t="shared" si="279"/>
        <v/>
      </c>
      <c r="CN100" s="581" t="str">
        <f t="shared" si="280"/>
        <v/>
      </c>
      <c r="CO100" s="580" t="str">
        <f>IF('Marks Entry'!AQ100="","",'Marks Entry'!AQ100)</f>
        <v/>
      </c>
      <c r="CP100" s="580" t="str">
        <f>IF('Marks Entry'!AR100="","",'Marks Entry'!AR100)</f>
        <v/>
      </c>
      <c r="CQ100" s="581" t="str">
        <f t="shared" si="281"/>
        <v/>
      </c>
      <c r="CR100" s="156" t="str">
        <f t="shared" si="282"/>
        <v/>
      </c>
      <c r="CS100" s="156" t="str">
        <f t="shared" si="283"/>
        <v/>
      </c>
      <c r="CT100" s="191" t="str">
        <f t="shared" si="284"/>
        <v/>
      </c>
      <c r="CU100" s="152">
        <f t="shared" si="285"/>
        <v>0</v>
      </c>
      <c r="CV100" s="153">
        <f t="shared" si="286"/>
        <v>0</v>
      </c>
      <c r="CW100" s="153" t="str">
        <f t="shared" si="287"/>
        <v/>
      </c>
      <c r="CX100" s="153" t="str">
        <f t="shared" si="288"/>
        <v/>
      </c>
      <c r="CY100" s="153" t="str">
        <f t="shared" si="289"/>
        <v/>
      </c>
      <c r="CZ100" s="152" t="str">
        <f t="shared" si="290"/>
        <v/>
      </c>
      <c r="DA100" s="153" t="str">
        <f t="shared" si="291"/>
        <v/>
      </c>
      <c r="DB100" s="152" t="str">
        <f t="shared" si="292"/>
        <v/>
      </c>
      <c r="DC100" s="153">
        <f t="shared" si="293"/>
        <v>0</v>
      </c>
      <c r="DD100" s="851" t="str">
        <f>IF('Marks Entry'!AS100="","",IF(OR('Master Sheet'!$D$19="YES",'Marks Entry'!$BA$1=1),'Marks Entry'!AS100,""))</f>
        <v/>
      </c>
      <c r="DE100" s="851" t="str">
        <f>IF('Marks Entry'!AT100="","",IF(OR('Master Sheet'!$D$19="YES",'Marks Entry'!$BA$1=1),'Marks Entry'!AT100,""))</f>
        <v/>
      </c>
      <c r="DF100" s="851" t="str">
        <f>IF('Marks Entry'!AU100="","",IF(OR('Master Sheet'!$D$19="YES",'Marks Entry'!$BA$1=1),'Marks Entry'!AU100,""))</f>
        <v/>
      </c>
      <c r="DG100" s="851" t="str">
        <f>IF('Marks Entry'!AV100="","",IF(OR('Master Sheet'!$D$19="YES",'Marks Entry'!$BA$1=1),'Marks Entry'!AV100,""))</f>
        <v/>
      </c>
      <c r="DH100" s="852" t="str">
        <f t="shared" si="294"/>
        <v/>
      </c>
      <c r="DI100" s="851" t="str">
        <f>IF('Marks Entry'!AW100="","",IF(OR('Master Sheet'!$D$19="YES",'Marks Entry'!$BA$1=1),'Marks Entry'!AW100,""))</f>
        <v/>
      </c>
      <c r="DJ100" s="851" t="str">
        <f>IF('Marks Entry'!AX100="","",IF(OR('Master Sheet'!$D$19="YES",'Marks Entry'!$BA$1=1),'Marks Entry'!AX100,""))</f>
        <v/>
      </c>
      <c r="DK100" s="852" t="str">
        <f t="shared" si="295"/>
        <v/>
      </c>
      <c r="DL100" s="852" t="str">
        <f t="shared" si="296"/>
        <v/>
      </c>
      <c r="DM100" s="851" t="str">
        <f>IF('Marks Entry'!AY100="","",IF(OR('Master Sheet'!$D$19="YES",'Marks Entry'!$BA$1=1),'Marks Entry'!AY100,""))</f>
        <v/>
      </c>
      <c r="DN100" s="851" t="str">
        <f>IF('Marks Entry'!AZ100="","",IF(OR('Master Sheet'!$D$19="YES",'Marks Entry'!$BA$1=1),'Marks Entry'!AZ100,""))</f>
        <v/>
      </c>
      <c r="DO100" s="851" t="str">
        <f>IF('Marks Entry'!BA100="","",IF(OR('Master Sheet'!$D$19="YES",'Marks Entry'!$BA$1=1),'Marks Entry'!BA100,""))</f>
        <v/>
      </c>
      <c r="DP100" s="852" t="str">
        <f t="shared" si="297"/>
        <v/>
      </c>
      <c r="DQ100" s="156" t="str">
        <f t="shared" si="298"/>
        <v/>
      </c>
      <c r="DR100" s="156" t="str">
        <f t="shared" si="299"/>
        <v/>
      </c>
      <c r="DS100" s="156" t="str">
        <f t="shared" si="300"/>
        <v/>
      </c>
      <c r="DT100" s="191" t="str">
        <f t="shared" si="301"/>
        <v/>
      </c>
      <c r="DU100" s="152">
        <f t="shared" si="302"/>
        <v>0</v>
      </c>
      <c r="DV100" s="153">
        <f t="shared" si="303"/>
        <v>0</v>
      </c>
      <c r="DW100" s="153" t="str">
        <f t="shared" si="304"/>
        <v/>
      </c>
      <c r="DX100" s="153" t="str">
        <f>IF(OR($B100="NSO",$B100=0,DS100=""),"",IF(AND(DJ100="",DO100=""),"",IF('Master Sheet'!$D$19="YES",$DO$6-COUNTIF(DO100,"ML")*DO$6,DS$6-(COUNTIF(DJ100,"ML")*DJ$6)-(COUNTIF(DO100,"ML")*DO$6))))</f>
        <v/>
      </c>
      <c r="DY100" s="153" t="str">
        <f>IF(OR($B100="NSO",$B100=0),"",IF(AND(DH100="",DI100="",DM100=""),"",IF(AND('Master Sheet'!$D$19="YES",'Marks Entry'!$BA$1=1),100,IF(AND(DJ100="",DO100=""),SUM(($DQ$7+$DR$7)-(DU100+DV100)),SUM(($DQ$6+$DR$6)-(DU100+DV100))))))</f>
        <v/>
      </c>
      <c r="DZ100" s="152" t="str">
        <f t="shared" si="305"/>
        <v/>
      </c>
      <c r="EA100" s="153" t="str">
        <f t="shared" si="306"/>
        <v/>
      </c>
      <c r="EB100" s="152" t="str">
        <f t="shared" si="307"/>
        <v/>
      </c>
      <c r="EC100" s="584" t="str">
        <f>IF('Marks Entry'!BB100="","",'Marks Entry'!BB100)</f>
        <v/>
      </c>
      <c r="ED100" s="584" t="str">
        <f>IF('Marks Entry'!BC100="","",'Marks Entry'!BC100)</f>
        <v/>
      </c>
      <c r="EE100" s="584" t="str">
        <f>IF('Marks Entry'!BD100="","",'Marks Entry'!BD100)</f>
        <v/>
      </c>
      <c r="EF100" s="590" t="str">
        <f t="shared" si="308"/>
        <v/>
      </c>
      <c r="EG100" s="595">
        <f t="shared" si="309"/>
        <v>0</v>
      </c>
      <c r="EH100" s="595">
        <f t="shared" si="310"/>
        <v>0</v>
      </c>
      <c r="EI100" s="192" t="str">
        <f t="shared" si="311"/>
        <v/>
      </c>
      <c r="EJ100" s="595" t="str">
        <f t="shared" si="312"/>
        <v/>
      </c>
      <c r="EK100" s="595" t="str">
        <f t="shared" si="313"/>
        <v/>
      </c>
      <c r="EL100" s="193" t="str">
        <f t="shared" si="314"/>
        <v/>
      </c>
      <c r="EM100" s="193" t="str">
        <f t="shared" si="315"/>
        <v/>
      </c>
      <c r="EN100" s="193" t="str">
        <f t="shared" si="316"/>
        <v/>
      </c>
      <c r="EO100" s="193" t="str">
        <f t="shared" si="317"/>
        <v/>
      </c>
      <c r="EP100" s="193" t="str">
        <f t="shared" si="318"/>
        <v/>
      </c>
      <c r="EQ100" s="193" t="str">
        <f t="shared" si="319"/>
        <v/>
      </c>
      <c r="ER100" s="194">
        <f t="shared" si="320"/>
        <v>0</v>
      </c>
      <c r="ES100" s="194">
        <f t="shared" si="321"/>
        <v>0</v>
      </c>
      <c r="ET100" s="194">
        <f t="shared" si="322"/>
        <v>0</v>
      </c>
      <c r="EU100" s="194">
        <f t="shared" si="323"/>
        <v>0</v>
      </c>
      <c r="EV100" s="194">
        <f t="shared" si="324"/>
        <v>0</v>
      </c>
      <c r="EW100" s="194" t="str">
        <f t="shared" si="325"/>
        <v/>
      </c>
      <c r="EX100" s="195" t="str">
        <f t="shared" si="326"/>
        <v/>
      </c>
      <c r="EY100" s="196" t="str">
        <f>IF('Marks Entry'!BE100="","",'Marks Entry'!BE100)</f>
        <v/>
      </c>
      <c r="EZ100" s="196" t="str">
        <f>IF('Marks Entry'!BF100="","",'Marks Entry'!BF100)</f>
        <v/>
      </c>
      <c r="FA100" s="196" t="str">
        <f>IF('Marks Entry'!BG100="","",'Marks Entry'!BG100)</f>
        <v/>
      </c>
      <c r="FB100" s="596" t="str">
        <f t="shared" si="327"/>
        <v/>
      </c>
      <c r="FC100" s="196" t="str">
        <f>IF('Marks Entry'!BH100="","",'Marks Entry'!BH100)</f>
        <v/>
      </c>
      <c r="FD100" s="196" t="str">
        <f>IF('Marks Entry'!BI100="","",'Marks Entry'!BI100)</f>
        <v/>
      </c>
      <c r="FE100" s="197" t="str">
        <f t="shared" si="328"/>
        <v/>
      </c>
      <c r="FF100" s="198" t="str">
        <f t="shared" si="329"/>
        <v/>
      </c>
      <c r="FG100" s="199" t="str">
        <f>IF(AND(E100=""),"",IF('Student DATA Entry'!L96="","",'Student DATA Entry'!L96))</f>
        <v/>
      </c>
      <c r="FH100" s="200" t="str">
        <f>IF(AND(E100=""),"",IF('Student DATA Entry'!M96="","",'Student DATA Entry'!M96))</f>
        <v/>
      </c>
      <c r="FI100" s="201" t="str">
        <f t="shared" si="330"/>
        <v/>
      </c>
      <c r="FJ100" s="188" t="str">
        <f t="shared" si="331"/>
        <v/>
      </c>
      <c r="FK100" s="188" t="str">
        <f t="shared" si="332"/>
        <v/>
      </c>
      <c r="FL100" s="202" t="str">
        <f t="shared" si="201"/>
        <v/>
      </c>
      <c r="FM100" s="188" t="str">
        <f t="shared" si="333"/>
        <v/>
      </c>
      <c r="FN100" s="203" t="str">
        <f t="shared" si="334"/>
        <v/>
      </c>
      <c r="FO100" s="202" t="str">
        <f t="shared" si="202"/>
        <v/>
      </c>
      <c r="FP100" s="204" t="str">
        <f t="shared" si="335"/>
        <v/>
      </c>
      <c r="FQ100" s="188" t="str">
        <f t="shared" si="203"/>
        <v/>
      </c>
      <c r="FR100" s="188" t="str">
        <f t="shared" si="204"/>
        <v/>
      </c>
      <c r="FS100" s="188" t="str">
        <f t="shared" si="205"/>
        <v/>
      </c>
      <c r="FT100" s="188" t="str">
        <f t="shared" si="206"/>
        <v/>
      </c>
      <c r="FU100" s="188" t="str">
        <f t="shared" si="336"/>
        <v/>
      </c>
      <c r="FV100" s="205" t="str">
        <f t="shared" si="207"/>
        <v/>
      </c>
      <c r="FW100" s="204" t="str">
        <f t="shared" si="337"/>
        <v/>
      </c>
      <c r="FX100" s="188" t="str">
        <f t="shared" si="208"/>
        <v/>
      </c>
      <c r="FY100" s="188" t="str">
        <f t="shared" si="209"/>
        <v/>
      </c>
      <c r="FZ100" s="188" t="str">
        <f t="shared" si="210"/>
        <v/>
      </c>
      <c r="GA100" s="188" t="str">
        <f t="shared" si="211"/>
        <v/>
      </c>
      <c r="GB100" s="188" t="str">
        <f t="shared" si="338"/>
        <v/>
      </c>
      <c r="GC100" s="205" t="str">
        <f t="shared" si="212"/>
        <v/>
      </c>
      <c r="GD100" s="204" t="str">
        <f t="shared" si="339"/>
        <v/>
      </c>
      <c r="GE100" s="188" t="str">
        <f t="shared" si="213"/>
        <v/>
      </c>
      <c r="GF100" s="188" t="str">
        <f t="shared" si="214"/>
        <v/>
      </c>
      <c r="GG100" s="188" t="str">
        <f t="shared" si="215"/>
        <v/>
      </c>
      <c r="GH100" s="188" t="str">
        <f t="shared" si="216"/>
        <v/>
      </c>
      <c r="GI100" s="188" t="str">
        <f t="shared" si="340"/>
        <v/>
      </c>
      <c r="GJ100" s="205" t="str">
        <f t="shared" si="217"/>
        <v/>
      </c>
      <c r="GK100" s="204" t="str">
        <f t="shared" si="341"/>
        <v/>
      </c>
      <c r="GL100" s="188" t="str">
        <f t="shared" si="218"/>
        <v/>
      </c>
      <c r="GM100" s="188" t="str">
        <f t="shared" si="219"/>
        <v/>
      </c>
      <c r="GN100" s="188" t="str">
        <f t="shared" si="220"/>
        <v/>
      </c>
      <c r="GO100" s="188" t="str">
        <f t="shared" si="221"/>
        <v/>
      </c>
      <c r="GP100" s="188" t="str">
        <f t="shared" si="342"/>
        <v/>
      </c>
      <c r="GQ100" s="205" t="str">
        <f t="shared" si="222"/>
        <v/>
      </c>
      <c r="GR100" s="188" t="str">
        <f t="shared" si="343"/>
        <v/>
      </c>
      <c r="GS100" s="188" t="str">
        <f t="shared" si="344"/>
        <v/>
      </c>
      <c r="GT100" s="206" t="str">
        <f t="shared" si="345"/>
        <v xml:space="preserve">    </v>
      </c>
      <c r="GU100" s="206" t="str">
        <f t="shared" si="346"/>
        <v xml:space="preserve">    </v>
      </c>
      <c r="GV100" s="206" t="str">
        <f t="shared" si="347"/>
        <v xml:space="preserve">    </v>
      </c>
      <c r="GW100" s="206" t="str">
        <f t="shared" si="348"/>
        <v xml:space="preserve">       </v>
      </c>
      <c r="GX100" s="598" t="str">
        <f t="shared" si="349"/>
        <v xml:space="preserve">     </v>
      </c>
      <c r="GY100" s="207" t="str">
        <f t="shared" si="223"/>
        <v/>
      </c>
      <c r="GZ100" s="606" t="str">
        <f>IF(AND(Q100="",AE100="",AZ100="",BW100="",CT100=""),"",IF(AND('Master Sheet'!$D$19="YES",'Marks Entry'!$BA$1=1),SUM(Q100,AE100,AZ100,BW100,DT100),SUM(Q100,AE100,AZ100,BW100,CT100)))</f>
        <v/>
      </c>
      <c r="HA100" s="208" t="str">
        <f>IF(GZ100="","",IF(AND('Master Sheet'!$D$19="YES",'Marks Entry'!$BA$1=1),GZ100/((900)-DC100)*100,GZ100/((1000)-DC100)*100))</f>
        <v/>
      </c>
      <c r="HB100" s="611" t="str">
        <f t="shared" si="350"/>
        <v/>
      </c>
      <c r="HC100" s="609" t="str">
        <f t="shared" si="351"/>
        <v/>
      </c>
      <c r="HD100" s="610" t="str">
        <f t="shared" si="352"/>
        <v/>
      </c>
      <c r="HE100" s="209" t="str">
        <f>IFERROR(IF(OR(GY100="SUPPLEMENTARY",GY100="RE-EXAM"),'Supp. Result Entry'!AS99,""),"")</f>
        <v/>
      </c>
      <c r="HF100" s="613" t="str">
        <f t="shared" si="353"/>
        <v/>
      </c>
      <c r="HG100" s="598" t="str">
        <f t="shared" si="354"/>
        <v/>
      </c>
      <c r="HH100" s="598" t="str">
        <f>IF(AND(HE100="",HF100="",HG100=""),"",IF(OR(GY100="SUPPLEMENTARY",GY100="RE-EXAM"),'Supp. Result Entry'!AS99,GY100))</f>
        <v/>
      </c>
      <c r="HI100" s="179"/>
      <c r="HY100" s="211" t="str">
        <f>IF('Supp. Result Entry'!U99="","",'Supp. Result Entry'!$U$6)</f>
        <v/>
      </c>
      <c r="HZ100" s="212" t="str">
        <f>IF('Supp. Result Entry'!X99="","",'Supp. Result Entry'!$X$6)</f>
        <v/>
      </c>
      <c r="IA100" s="212" t="str">
        <f>IF('Supp. Result Entry'!AA99="","",'Supp. Result Entry'!$AA$6)</f>
        <v/>
      </c>
      <c r="IB100" s="212" t="str">
        <f>IF('Supp. Result Entry'!AD99="","",'Supp. Result Entry'!$AD$6)</f>
        <v/>
      </c>
      <c r="IC100" s="212" t="str">
        <f>IF('Supp. Result Entry'!AG99="","",'Supp. Result Entry'!$AG$6)</f>
        <v/>
      </c>
      <c r="ID100" s="212" t="str">
        <f>IF('Supp. Result Entry'!AJ99="","",'Supp. Result Entry'!$AJ$6)</f>
        <v/>
      </c>
      <c r="IE100" s="212" t="str">
        <f>IF('Supp. Result Entry'!V99="","",'Supp. Result Entry'!V99)</f>
        <v/>
      </c>
      <c r="IF100" s="212" t="str">
        <f>IF('Supp. Result Entry'!Y99="","",'Supp. Result Entry'!Y99)</f>
        <v/>
      </c>
      <c r="IG100" s="212" t="str">
        <f>IF('Supp. Result Entry'!AB99="","",'Supp. Result Entry'!AB99)</f>
        <v/>
      </c>
      <c r="IH100" s="212" t="str">
        <f>IF('Supp. Result Entry'!AE99="","",'Supp. Result Entry'!AE99)</f>
        <v/>
      </c>
      <c r="II100" s="212" t="str">
        <f>IF('Supp. Result Entry'!AH99="","",'Supp. Result Entry'!AH99)</f>
        <v/>
      </c>
      <c r="IJ100" s="212" t="str">
        <f>IF('Supp. Result Entry'!AK99="","",'Supp. Result Entry'!AK99)</f>
        <v/>
      </c>
      <c r="IK100" s="212" t="str">
        <f>IF('Supp. Result Entry'!W99="","",'Supp. Result Entry'!W99)</f>
        <v/>
      </c>
      <c r="IL100" s="212" t="str">
        <f>IF('Supp. Result Entry'!Z99="","",'Supp. Result Entry'!Z99)</f>
        <v/>
      </c>
      <c r="IM100" s="212" t="str">
        <f>IF('Supp. Result Entry'!AC99="","",'Supp. Result Entry'!AC99)</f>
        <v/>
      </c>
      <c r="IN100" s="212" t="str">
        <f>IF('Supp. Result Entry'!AF99="","",'Supp. Result Entry'!AF99)</f>
        <v/>
      </c>
      <c r="IO100" s="212" t="str">
        <f>IF('Supp. Result Entry'!AI99="","",'Supp. Result Entry'!AI99)</f>
        <v/>
      </c>
      <c r="IP100" s="212" t="str">
        <f>IF('Supp. Result Entry'!AL99="","",'Supp. Result Entry'!AL99)</f>
        <v/>
      </c>
      <c r="IQ100" s="212">
        <f>COUNTIF('Supp. Result Entry'!K99:Q99,"S")</f>
        <v>0</v>
      </c>
      <c r="IR100" s="212">
        <f t="shared" si="355"/>
        <v>0</v>
      </c>
      <c r="IS100" s="212">
        <f t="shared" si="356"/>
        <v>0</v>
      </c>
      <c r="IT100" s="212" t="str">
        <f t="shared" si="224"/>
        <v/>
      </c>
      <c r="IU100" s="212" t="str">
        <f t="shared" si="225"/>
        <v/>
      </c>
      <c r="IV100" s="212" t="str">
        <f t="shared" si="226"/>
        <v/>
      </c>
      <c r="IW100" s="212" t="str">
        <f t="shared" si="227"/>
        <v/>
      </c>
      <c r="IX100" s="212" t="str">
        <f t="shared" si="228"/>
        <v/>
      </c>
      <c r="IY100" s="212" t="str">
        <f t="shared" si="357"/>
        <v/>
      </c>
      <c r="IZ100" s="212" t="str">
        <f t="shared" si="358"/>
        <v/>
      </c>
      <c r="JA100" s="212" t="str">
        <f t="shared" si="229"/>
        <v/>
      </c>
      <c r="JB100" s="210" t="str">
        <f t="shared" si="359"/>
        <v/>
      </c>
    </row>
    <row r="101" spans="1:262" s="210" customFormat="1" ht="21" customHeight="1">
      <c r="A101" s="183">
        <v>94</v>
      </c>
      <c r="B101" s="184" t="str">
        <f>IF('Marks Entry'!B101="","",'Marks Entry'!B101)</f>
        <v/>
      </c>
      <c r="C101" s="185" t="str">
        <f>IF('Marks Entry'!D101="","",'Marks Entry'!D101)</f>
        <v/>
      </c>
      <c r="D101" s="186" t="str">
        <f>IF('Marks Entry'!E101="","",'Marks Entry'!E101)</f>
        <v/>
      </c>
      <c r="E101" s="187" t="str">
        <f>IF('Marks Entry'!F101="","",'Marks Entry'!F101)</f>
        <v/>
      </c>
      <c r="F101" s="187" t="str">
        <f>IF('Marks Entry'!G101="","",'Marks Entry'!G101)</f>
        <v/>
      </c>
      <c r="G101" s="187" t="str">
        <f>IF('Marks Entry'!H101="","",'Marks Entry'!H101)</f>
        <v/>
      </c>
      <c r="H101" s="188" t="str">
        <f>IF('Marks Entry'!I101="","",'Marks Entry'!I101)</f>
        <v/>
      </c>
      <c r="I101" s="189" t="str">
        <f>IF('Marks Entry'!J101="","",'Marks Entry'!J101)</f>
        <v/>
      </c>
      <c r="J101" s="545" t="str">
        <f>IF('Marks Entry'!K101="","",'Marks Entry'!K101)</f>
        <v/>
      </c>
      <c r="K101" s="545" t="str">
        <f>IF('Marks Entry'!L101="","",'Marks Entry'!L101)</f>
        <v/>
      </c>
      <c r="L101" s="545" t="str">
        <f>IF('Marks Entry'!M101="","",'Marks Entry'!M101)</f>
        <v/>
      </c>
      <c r="M101" s="546" t="str">
        <f t="shared" si="230"/>
        <v/>
      </c>
      <c r="N101" s="545" t="str">
        <f>IF('Marks Entry'!N101="","",'Marks Entry'!N101)</f>
        <v/>
      </c>
      <c r="O101" s="546" t="str">
        <f t="shared" si="231"/>
        <v/>
      </c>
      <c r="P101" s="545" t="str">
        <f>IF('Marks Entry'!O101="","",'Marks Entry'!O101)</f>
        <v/>
      </c>
      <c r="Q101" s="547" t="str">
        <f t="shared" si="232"/>
        <v/>
      </c>
      <c r="R101" s="152">
        <f t="shared" si="233"/>
        <v>0</v>
      </c>
      <c r="S101" s="152">
        <f t="shared" si="234"/>
        <v>0</v>
      </c>
      <c r="T101" s="153" t="str">
        <f t="shared" si="235"/>
        <v/>
      </c>
      <c r="U101" s="152" t="str">
        <f t="shared" si="236"/>
        <v/>
      </c>
      <c r="V101" s="152" t="str">
        <f t="shared" si="237"/>
        <v/>
      </c>
      <c r="W101" s="152" t="str">
        <f t="shared" si="238"/>
        <v/>
      </c>
      <c r="X101" s="545" t="str">
        <f>IF('Marks Entry'!P101="","",'Marks Entry'!P101)</f>
        <v/>
      </c>
      <c r="Y101" s="545" t="str">
        <f>IF('Marks Entry'!Q101="","",'Marks Entry'!Q101)</f>
        <v/>
      </c>
      <c r="Z101" s="545" t="str">
        <f>IF('Marks Entry'!R101="","",'Marks Entry'!R101)</f>
        <v/>
      </c>
      <c r="AA101" s="546" t="str">
        <f t="shared" si="239"/>
        <v/>
      </c>
      <c r="AB101" s="545" t="str">
        <f>IF('Marks Entry'!S101="","",'Marks Entry'!S101)</f>
        <v/>
      </c>
      <c r="AC101" s="546" t="str">
        <f t="shared" si="240"/>
        <v/>
      </c>
      <c r="AD101" s="545" t="str">
        <f>IF('Marks Entry'!T101="","",'Marks Entry'!T101)</f>
        <v/>
      </c>
      <c r="AE101" s="547" t="str">
        <f t="shared" si="241"/>
        <v/>
      </c>
      <c r="AF101" s="152">
        <f t="shared" si="242"/>
        <v>0</v>
      </c>
      <c r="AG101" s="152">
        <f t="shared" si="243"/>
        <v>0</v>
      </c>
      <c r="AH101" s="153" t="str">
        <f t="shared" si="244"/>
        <v/>
      </c>
      <c r="AI101" s="152" t="str">
        <f t="shared" si="245"/>
        <v/>
      </c>
      <c r="AJ101" s="152" t="str">
        <f t="shared" si="246"/>
        <v/>
      </c>
      <c r="AK101" s="152" t="str">
        <f t="shared" si="247"/>
        <v/>
      </c>
      <c r="AL101" s="573" t="str">
        <f>IF('Marks Entry'!U101="","",'Marks Entry'!U101)</f>
        <v/>
      </c>
      <c r="AM101" s="573" t="str">
        <f>IF('Marks Entry'!V101="","",'Marks Entry'!V101)</f>
        <v/>
      </c>
      <c r="AN101" s="573" t="str">
        <f>IF('Marks Entry'!W101="","",'Marks Entry'!W101)</f>
        <v/>
      </c>
      <c r="AO101" s="573" t="str">
        <f>IF('Marks Entry'!X101="","",'Marks Entry'!X101)</f>
        <v/>
      </c>
      <c r="AP101" s="572" t="str">
        <f t="shared" si="248"/>
        <v/>
      </c>
      <c r="AQ101" s="573" t="str">
        <f>IF('Marks Entry'!Y101="","",'Marks Entry'!Y101)</f>
        <v/>
      </c>
      <c r="AR101" s="573" t="str">
        <f>IF('Marks Entry'!Z101="","",'Marks Entry'!Z101)</f>
        <v/>
      </c>
      <c r="AS101" s="572" t="str">
        <f t="shared" si="249"/>
        <v/>
      </c>
      <c r="AT101" s="572" t="str">
        <f t="shared" si="250"/>
        <v/>
      </c>
      <c r="AU101" s="573" t="str">
        <f>IF('Marks Entry'!AA101="","",'Marks Entry'!AA101)</f>
        <v/>
      </c>
      <c r="AV101" s="573" t="str">
        <f>IF('Marks Entry'!AB101="","",'Marks Entry'!AB101)</f>
        <v/>
      </c>
      <c r="AW101" s="572" t="str">
        <f t="shared" si="251"/>
        <v/>
      </c>
      <c r="AX101" s="156" t="str">
        <f t="shared" si="252"/>
        <v/>
      </c>
      <c r="AY101" s="156" t="str">
        <f t="shared" si="253"/>
        <v/>
      </c>
      <c r="AZ101" s="191" t="str">
        <f t="shared" si="254"/>
        <v/>
      </c>
      <c r="BA101" s="152">
        <f t="shared" si="255"/>
        <v>0</v>
      </c>
      <c r="BB101" s="153">
        <f t="shared" si="256"/>
        <v>0</v>
      </c>
      <c r="BC101" s="153" t="str">
        <f t="shared" si="257"/>
        <v/>
      </c>
      <c r="BD101" s="153" t="str">
        <f t="shared" si="258"/>
        <v/>
      </c>
      <c r="BE101" s="153" t="str">
        <f t="shared" si="259"/>
        <v/>
      </c>
      <c r="BF101" s="152" t="str">
        <f t="shared" si="260"/>
        <v/>
      </c>
      <c r="BG101" s="153" t="str">
        <f t="shared" si="261"/>
        <v/>
      </c>
      <c r="BH101" s="152" t="str">
        <f t="shared" si="262"/>
        <v/>
      </c>
      <c r="BI101" s="580" t="str">
        <f>IF('Marks Entry'!AC101="","",'Marks Entry'!AC101)</f>
        <v/>
      </c>
      <c r="BJ101" s="580" t="str">
        <f>IF('Marks Entry'!AD101="","",'Marks Entry'!AD101)</f>
        <v/>
      </c>
      <c r="BK101" s="580" t="str">
        <f>IF('Marks Entry'!AE101="","",'Marks Entry'!AE101)</f>
        <v/>
      </c>
      <c r="BL101" s="580" t="str">
        <f>IF('Marks Entry'!AF101="","",'Marks Entry'!AF101)</f>
        <v/>
      </c>
      <c r="BM101" s="581" t="str">
        <f t="shared" si="263"/>
        <v/>
      </c>
      <c r="BN101" s="580" t="str">
        <f>IF('Marks Entry'!AG101="","",'Marks Entry'!AG101)</f>
        <v/>
      </c>
      <c r="BO101" s="580" t="str">
        <f>IF('Marks Entry'!AH101="","",'Marks Entry'!AH101)</f>
        <v/>
      </c>
      <c r="BP101" s="581" t="str">
        <f t="shared" si="264"/>
        <v/>
      </c>
      <c r="BQ101" s="581" t="str">
        <f t="shared" si="265"/>
        <v/>
      </c>
      <c r="BR101" s="580" t="str">
        <f>IF('Marks Entry'!AI101="","",'Marks Entry'!AI101)</f>
        <v/>
      </c>
      <c r="BS101" s="580" t="str">
        <f>IF('Marks Entry'!AJ101="","",'Marks Entry'!AJ101)</f>
        <v/>
      </c>
      <c r="BT101" s="581" t="str">
        <f t="shared" si="266"/>
        <v/>
      </c>
      <c r="BU101" s="156" t="str">
        <f t="shared" si="267"/>
        <v/>
      </c>
      <c r="BV101" s="156" t="str">
        <f t="shared" si="268"/>
        <v/>
      </c>
      <c r="BW101" s="191" t="str">
        <f t="shared" si="269"/>
        <v/>
      </c>
      <c r="BX101" s="152">
        <f t="shared" si="270"/>
        <v>0</v>
      </c>
      <c r="BY101" s="153">
        <f t="shared" si="271"/>
        <v>0</v>
      </c>
      <c r="BZ101" s="153" t="str">
        <f t="shared" si="272"/>
        <v/>
      </c>
      <c r="CA101" s="153" t="str">
        <f t="shared" si="273"/>
        <v/>
      </c>
      <c r="CB101" s="153" t="str">
        <f t="shared" si="274"/>
        <v/>
      </c>
      <c r="CC101" s="152" t="str">
        <f t="shared" si="275"/>
        <v/>
      </c>
      <c r="CD101" s="153" t="str">
        <f t="shared" si="276"/>
        <v/>
      </c>
      <c r="CE101" s="152" t="str">
        <f t="shared" si="277"/>
        <v/>
      </c>
      <c r="CF101" s="580" t="str">
        <f>IF('Marks Entry'!AK101="","",'Marks Entry'!AK101)</f>
        <v/>
      </c>
      <c r="CG101" s="580" t="str">
        <f>IF('Marks Entry'!AL101="","",'Marks Entry'!AL101)</f>
        <v/>
      </c>
      <c r="CH101" s="580" t="str">
        <f>IF('Marks Entry'!AM101="","",'Marks Entry'!AM101)</f>
        <v/>
      </c>
      <c r="CI101" s="580" t="str">
        <f>IF('Marks Entry'!AN101="","",'Marks Entry'!AN101)</f>
        <v/>
      </c>
      <c r="CJ101" s="581" t="str">
        <f t="shared" si="278"/>
        <v/>
      </c>
      <c r="CK101" s="580" t="str">
        <f>IF('Marks Entry'!AO101="","",'Marks Entry'!AO101)</f>
        <v/>
      </c>
      <c r="CL101" s="580" t="str">
        <f>IF('Marks Entry'!AP101="","",'Marks Entry'!AP101)</f>
        <v/>
      </c>
      <c r="CM101" s="581" t="str">
        <f t="shared" si="279"/>
        <v/>
      </c>
      <c r="CN101" s="581" t="str">
        <f t="shared" si="280"/>
        <v/>
      </c>
      <c r="CO101" s="580" t="str">
        <f>IF('Marks Entry'!AQ101="","",'Marks Entry'!AQ101)</f>
        <v/>
      </c>
      <c r="CP101" s="580" t="str">
        <f>IF('Marks Entry'!AR101="","",'Marks Entry'!AR101)</f>
        <v/>
      </c>
      <c r="CQ101" s="581" t="str">
        <f t="shared" si="281"/>
        <v/>
      </c>
      <c r="CR101" s="156" t="str">
        <f t="shared" si="282"/>
        <v/>
      </c>
      <c r="CS101" s="156" t="str">
        <f t="shared" si="283"/>
        <v/>
      </c>
      <c r="CT101" s="191" t="str">
        <f t="shared" si="284"/>
        <v/>
      </c>
      <c r="CU101" s="152">
        <f t="shared" si="285"/>
        <v>0</v>
      </c>
      <c r="CV101" s="153">
        <f t="shared" si="286"/>
        <v>0</v>
      </c>
      <c r="CW101" s="153" t="str">
        <f t="shared" si="287"/>
        <v/>
      </c>
      <c r="CX101" s="153" t="str">
        <f t="shared" si="288"/>
        <v/>
      </c>
      <c r="CY101" s="153" t="str">
        <f t="shared" si="289"/>
        <v/>
      </c>
      <c r="CZ101" s="152" t="str">
        <f t="shared" si="290"/>
        <v/>
      </c>
      <c r="DA101" s="153" t="str">
        <f t="shared" si="291"/>
        <v/>
      </c>
      <c r="DB101" s="152" t="str">
        <f t="shared" si="292"/>
        <v/>
      </c>
      <c r="DC101" s="153">
        <f t="shared" si="293"/>
        <v>0</v>
      </c>
      <c r="DD101" s="851" t="str">
        <f>IF('Marks Entry'!AS101="","",IF(OR('Master Sheet'!$D$19="YES",'Marks Entry'!$BA$1=1),'Marks Entry'!AS101,""))</f>
        <v/>
      </c>
      <c r="DE101" s="851" t="str">
        <f>IF('Marks Entry'!AT101="","",IF(OR('Master Sheet'!$D$19="YES",'Marks Entry'!$BA$1=1),'Marks Entry'!AT101,""))</f>
        <v/>
      </c>
      <c r="DF101" s="851" t="str">
        <f>IF('Marks Entry'!AU101="","",IF(OR('Master Sheet'!$D$19="YES",'Marks Entry'!$BA$1=1),'Marks Entry'!AU101,""))</f>
        <v/>
      </c>
      <c r="DG101" s="851" t="str">
        <f>IF('Marks Entry'!AV101="","",IF(OR('Master Sheet'!$D$19="YES",'Marks Entry'!$BA$1=1),'Marks Entry'!AV101,""))</f>
        <v/>
      </c>
      <c r="DH101" s="852" t="str">
        <f t="shared" si="294"/>
        <v/>
      </c>
      <c r="DI101" s="851" t="str">
        <f>IF('Marks Entry'!AW101="","",IF(OR('Master Sheet'!$D$19="YES",'Marks Entry'!$BA$1=1),'Marks Entry'!AW101,""))</f>
        <v/>
      </c>
      <c r="DJ101" s="851" t="str">
        <f>IF('Marks Entry'!AX101="","",IF(OR('Master Sheet'!$D$19="YES",'Marks Entry'!$BA$1=1),'Marks Entry'!AX101,""))</f>
        <v/>
      </c>
      <c r="DK101" s="852" t="str">
        <f t="shared" si="295"/>
        <v/>
      </c>
      <c r="DL101" s="852" t="str">
        <f t="shared" si="296"/>
        <v/>
      </c>
      <c r="DM101" s="851" t="str">
        <f>IF('Marks Entry'!AY101="","",IF(OR('Master Sheet'!$D$19="YES",'Marks Entry'!$BA$1=1),'Marks Entry'!AY101,""))</f>
        <v/>
      </c>
      <c r="DN101" s="851" t="str">
        <f>IF('Marks Entry'!AZ101="","",IF(OR('Master Sheet'!$D$19="YES",'Marks Entry'!$BA$1=1),'Marks Entry'!AZ101,""))</f>
        <v/>
      </c>
      <c r="DO101" s="851" t="str">
        <f>IF('Marks Entry'!BA101="","",IF(OR('Master Sheet'!$D$19="YES",'Marks Entry'!$BA$1=1),'Marks Entry'!BA101,""))</f>
        <v/>
      </c>
      <c r="DP101" s="852" t="str">
        <f t="shared" si="297"/>
        <v/>
      </c>
      <c r="DQ101" s="156" t="str">
        <f t="shared" si="298"/>
        <v/>
      </c>
      <c r="DR101" s="156" t="str">
        <f t="shared" si="299"/>
        <v/>
      </c>
      <c r="DS101" s="156" t="str">
        <f t="shared" si="300"/>
        <v/>
      </c>
      <c r="DT101" s="191" t="str">
        <f t="shared" si="301"/>
        <v/>
      </c>
      <c r="DU101" s="152">
        <f t="shared" si="302"/>
        <v>0</v>
      </c>
      <c r="DV101" s="153">
        <f t="shared" si="303"/>
        <v>0</v>
      </c>
      <c r="DW101" s="153" t="str">
        <f t="shared" si="304"/>
        <v/>
      </c>
      <c r="DX101" s="153" t="str">
        <f>IF(OR($B101="NSO",$B101=0,DS101=""),"",IF(AND(DJ101="",DO101=""),"",IF('Master Sheet'!$D$19="YES",$DO$6-COUNTIF(DO101,"ML")*DO$6,DS$6-(COUNTIF(DJ101,"ML")*DJ$6)-(COUNTIF(DO101,"ML")*DO$6))))</f>
        <v/>
      </c>
      <c r="DY101" s="153" t="str">
        <f>IF(OR($B101="NSO",$B101=0),"",IF(AND(DH101="",DI101="",DM101=""),"",IF(AND('Master Sheet'!$D$19="YES",'Marks Entry'!$BA$1=1),100,IF(AND(DJ101="",DO101=""),SUM(($DQ$7+$DR$7)-(DU101+DV101)),SUM(($DQ$6+$DR$6)-(DU101+DV101))))))</f>
        <v/>
      </c>
      <c r="DZ101" s="152" t="str">
        <f t="shared" si="305"/>
        <v/>
      </c>
      <c r="EA101" s="153" t="str">
        <f t="shared" si="306"/>
        <v/>
      </c>
      <c r="EB101" s="152" t="str">
        <f t="shared" si="307"/>
        <v/>
      </c>
      <c r="EC101" s="584" t="str">
        <f>IF('Marks Entry'!BB101="","",'Marks Entry'!BB101)</f>
        <v/>
      </c>
      <c r="ED101" s="584" t="str">
        <f>IF('Marks Entry'!BC101="","",'Marks Entry'!BC101)</f>
        <v/>
      </c>
      <c r="EE101" s="584" t="str">
        <f>IF('Marks Entry'!BD101="","",'Marks Entry'!BD101)</f>
        <v/>
      </c>
      <c r="EF101" s="590" t="str">
        <f t="shared" si="308"/>
        <v/>
      </c>
      <c r="EG101" s="595">
        <f t="shared" si="309"/>
        <v>0</v>
      </c>
      <c r="EH101" s="595">
        <f t="shared" si="310"/>
        <v>0</v>
      </c>
      <c r="EI101" s="192" t="str">
        <f t="shared" si="311"/>
        <v/>
      </c>
      <c r="EJ101" s="595" t="str">
        <f t="shared" si="312"/>
        <v/>
      </c>
      <c r="EK101" s="595" t="str">
        <f t="shared" si="313"/>
        <v/>
      </c>
      <c r="EL101" s="193" t="str">
        <f t="shared" si="314"/>
        <v/>
      </c>
      <c r="EM101" s="193" t="str">
        <f t="shared" si="315"/>
        <v/>
      </c>
      <c r="EN101" s="193" t="str">
        <f t="shared" si="316"/>
        <v/>
      </c>
      <c r="EO101" s="193" t="str">
        <f t="shared" si="317"/>
        <v/>
      </c>
      <c r="EP101" s="193" t="str">
        <f t="shared" si="318"/>
        <v/>
      </c>
      <c r="EQ101" s="193" t="str">
        <f t="shared" si="319"/>
        <v/>
      </c>
      <c r="ER101" s="194">
        <f t="shared" si="320"/>
        <v>0</v>
      </c>
      <c r="ES101" s="194">
        <f t="shared" si="321"/>
        <v>0</v>
      </c>
      <c r="ET101" s="194">
        <f t="shared" si="322"/>
        <v>0</v>
      </c>
      <c r="EU101" s="194">
        <f t="shared" si="323"/>
        <v>0</v>
      </c>
      <c r="EV101" s="194">
        <f t="shared" si="324"/>
        <v>0</v>
      </c>
      <c r="EW101" s="194" t="str">
        <f t="shared" si="325"/>
        <v/>
      </c>
      <c r="EX101" s="195" t="str">
        <f t="shared" si="326"/>
        <v/>
      </c>
      <c r="EY101" s="196" t="str">
        <f>IF('Marks Entry'!BE101="","",'Marks Entry'!BE101)</f>
        <v/>
      </c>
      <c r="EZ101" s="196" t="str">
        <f>IF('Marks Entry'!BF101="","",'Marks Entry'!BF101)</f>
        <v/>
      </c>
      <c r="FA101" s="196" t="str">
        <f>IF('Marks Entry'!BG101="","",'Marks Entry'!BG101)</f>
        <v/>
      </c>
      <c r="FB101" s="596" t="str">
        <f t="shared" si="327"/>
        <v/>
      </c>
      <c r="FC101" s="196" t="str">
        <f>IF('Marks Entry'!BH101="","",'Marks Entry'!BH101)</f>
        <v/>
      </c>
      <c r="FD101" s="196" t="str">
        <f>IF('Marks Entry'!BI101="","",'Marks Entry'!BI101)</f>
        <v/>
      </c>
      <c r="FE101" s="197" t="str">
        <f t="shared" si="328"/>
        <v/>
      </c>
      <c r="FF101" s="198" t="str">
        <f t="shared" si="329"/>
        <v/>
      </c>
      <c r="FG101" s="199" t="str">
        <f>IF(AND(E101=""),"",IF('Student DATA Entry'!L97="","",'Student DATA Entry'!L97))</f>
        <v/>
      </c>
      <c r="FH101" s="200" t="str">
        <f>IF(AND(E101=""),"",IF('Student DATA Entry'!M97="","",'Student DATA Entry'!M97))</f>
        <v/>
      </c>
      <c r="FI101" s="201" t="str">
        <f t="shared" si="330"/>
        <v/>
      </c>
      <c r="FJ101" s="188" t="str">
        <f t="shared" si="331"/>
        <v/>
      </c>
      <c r="FK101" s="188" t="str">
        <f t="shared" si="332"/>
        <v/>
      </c>
      <c r="FL101" s="202" t="str">
        <f t="shared" si="201"/>
        <v/>
      </c>
      <c r="FM101" s="188" t="str">
        <f t="shared" si="333"/>
        <v/>
      </c>
      <c r="FN101" s="203" t="str">
        <f t="shared" si="334"/>
        <v/>
      </c>
      <c r="FO101" s="202" t="str">
        <f t="shared" si="202"/>
        <v/>
      </c>
      <c r="FP101" s="204" t="str">
        <f t="shared" si="335"/>
        <v/>
      </c>
      <c r="FQ101" s="188" t="str">
        <f t="shared" si="203"/>
        <v/>
      </c>
      <c r="FR101" s="188" t="str">
        <f t="shared" si="204"/>
        <v/>
      </c>
      <c r="FS101" s="188" t="str">
        <f t="shared" si="205"/>
        <v/>
      </c>
      <c r="FT101" s="188" t="str">
        <f t="shared" si="206"/>
        <v/>
      </c>
      <c r="FU101" s="188" t="str">
        <f t="shared" si="336"/>
        <v/>
      </c>
      <c r="FV101" s="205" t="str">
        <f t="shared" si="207"/>
        <v/>
      </c>
      <c r="FW101" s="204" t="str">
        <f t="shared" si="337"/>
        <v/>
      </c>
      <c r="FX101" s="188" t="str">
        <f t="shared" si="208"/>
        <v/>
      </c>
      <c r="FY101" s="188" t="str">
        <f t="shared" si="209"/>
        <v/>
      </c>
      <c r="FZ101" s="188" t="str">
        <f t="shared" si="210"/>
        <v/>
      </c>
      <c r="GA101" s="188" t="str">
        <f t="shared" si="211"/>
        <v/>
      </c>
      <c r="GB101" s="188" t="str">
        <f t="shared" si="338"/>
        <v/>
      </c>
      <c r="GC101" s="205" t="str">
        <f t="shared" si="212"/>
        <v/>
      </c>
      <c r="GD101" s="204" t="str">
        <f t="shared" si="339"/>
        <v/>
      </c>
      <c r="GE101" s="188" t="str">
        <f t="shared" si="213"/>
        <v/>
      </c>
      <c r="GF101" s="188" t="str">
        <f t="shared" si="214"/>
        <v/>
      </c>
      <c r="GG101" s="188" t="str">
        <f t="shared" si="215"/>
        <v/>
      </c>
      <c r="GH101" s="188" t="str">
        <f t="shared" si="216"/>
        <v/>
      </c>
      <c r="GI101" s="188" t="str">
        <f t="shared" si="340"/>
        <v/>
      </c>
      <c r="GJ101" s="205" t="str">
        <f t="shared" si="217"/>
        <v/>
      </c>
      <c r="GK101" s="204" t="str">
        <f t="shared" si="341"/>
        <v/>
      </c>
      <c r="GL101" s="188" t="str">
        <f t="shared" si="218"/>
        <v/>
      </c>
      <c r="GM101" s="188" t="str">
        <f t="shared" si="219"/>
        <v/>
      </c>
      <c r="GN101" s="188" t="str">
        <f t="shared" si="220"/>
        <v/>
      </c>
      <c r="GO101" s="188" t="str">
        <f t="shared" si="221"/>
        <v/>
      </c>
      <c r="GP101" s="188" t="str">
        <f t="shared" si="342"/>
        <v/>
      </c>
      <c r="GQ101" s="205" t="str">
        <f t="shared" si="222"/>
        <v/>
      </c>
      <c r="GR101" s="188" t="str">
        <f t="shared" si="343"/>
        <v/>
      </c>
      <c r="GS101" s="188" t="str">
        <f t="shared" si="344"/>
        <v/>
      </c>
      <c r="GT101" s="206" t="str">
        <f t="shared" si="345"/>
        <v xml:space="preserve">    </v>
      </c>
      <c r="GU101" s="206" t="str">
        <f t="shared" si="346"/>
        <v xml:space="preserve">    </v>
      </c>
      <c r="GV101" s="206" t="str">
        <f t="shared" si="347"/>
        <v xml:space="preserve">    </v>
      </c>
      <c r="GW101" s="206" t="str">
        <f t="shared" si="348"/>
        <v xml:space="preserve">       </v>
      </c>
      <c r="GX101" s="598" t="str">
        <f t="shared" si="349"/>
        <v xml:space="preserve">     </v>
      </c>
      <c r="GY101" s="207" t="str">
        <f t="shared" si="223"/>
        <v/>
      </c>
      <c r="GZ101" s="606" t="str">
        <f>IF(AND(Q101="",AE101="",AZ101="",BW101="",CT101=""),"",IF(AND('Master Sheet'!$D$19="YES",'Marks Entry'!$BA$1=1),SUM(Q101,AE101,AZ101,BW101,DT101),SUM(Q101,AE101,AZ101,BW101,CT101)))</f>
        <v/>
      </c>
      <c r="HA101" s="208" t="str">
        <f>IF(GZ101="","",IF(AND('Master Sheet'!$D$19="YES",'Marks Entry'!$BA$1=1),GZ101/((900)-DC101)*100,GZ101/((1000)-DC101)*100))</f>
        <v/>
      </c>
      <c r="HB101" s="611" t="str">
        <f t="shared" si="350"/>
        <v/>
      </c>
      <c r="HC101" s="609" t="str">
        <f t="shared" si="351"/>
        <v/>
      </c>
      <c r="HD101" s="610" t="str">
        <f t="shared" si="352"/>
        <v/>
      </c>
      <c r="HE101" s="209" t="str">
        <f>IFERROR(IF(OR(GY101="SUPPLEMENTARY",GY101="RE-EXAM"),'Supp. Result Entry'!AS100,""),"")</f>
        <v/>
      </c>
      <c r="HF101" s="613" t="str">
        <f t="shared" si="353"/>
        <v/>
      </c>
      <c r="HG101" s="598" t="str">
        <f t="shared" si="354"/>
        <v/>
      </c>
      <c r="HH101" s="598" t="str">
        <f>IF(AND(HE101="",HF101="",HG101=""),"",IF(OR(GY101="SUPPLEMENTARY",GY101="RE-EXAM"),'Supp. Result Entry'!AS100,GY101))</f>
        <v/>
      </c>
      <c r="HI101" s="179"/>
      <c r="HY101" s="211" t="str">
        <f>IF('Supp. Result Entry'!U100="","",'Supp. Result Entry'!$U$6)</f>
        <v/>
      </c>
      <c r="HZ101" s="212" t="str">
        <f>IF('Supp. Result Entry'!X100="","",'Supp. Result Entry'!$X$6)</f>
        <v/>
      </c>
      <c r="IA101" s="212" t="str">
        <f>IF('Supp. Result Entry'!AA100="","",'Supp. Result Entry'!$AA$6)</f>
        <v/>
      </c>
      <c r="IB101" s="212" t="str">
        <f>IF('Supp. Result Entry'!AD100="","",'Supp. Result Entry'!$AD$6)</f>
        <v/>
      </c>
      <c r="IC101" s="212" t="str">
        <f>IF('Supp. Result Entry'!AG100="","",'Supp. Result Entry'!$AG$6)</f>
        <v/>
      </c>
      <c r="ID101" s="212" t="str">
        <f>IF('Supp. Result Entry'!AJ100="","",'Supp. Result Entry'!$AJ$6)</f>
        <v/>
      </c>
      <c r="IE101" s="212" t="str">
        <f>IF('Supp. Result Entry'!V100="","",'Supp. Result Entry'!V100)</f>
        <v/>
      </c>
      <c r="IF101" s="212" t="str">
        <f>IF('Supp. Result Entry'!Y100="","",'Supp. Result Entry'!Y100)</f>
        <v/>
      </c>
      <c r="IG101" s="212" t="str">
        <f>IF('Supp. Result Entry'!AB100="","",'Supp. Result Entry'!AB100)</f>
        <v/>
      </c>
      <c r="IH101" s="212" t="str">
        <f>IF('Supp. Result Entry'!AE100="","",'Supp. Result Entry'!AE100)</f>
        <v/>
      </c>
      <c r="II101" s="212" t="str">
        <f>IF('Supp. Result Entry'!AH100="","",'Supp. Result Entry'!AH100)</f>
        <v/>
      </c>
      <c r="IJ101" s="212" t="str">
        <f>IF('Supp. Result Entry'!AK100="","",'Supp. Result Entry'!AK100)</f>
        <v/>
      </c>
      <c r="IK101" s="212" t="str">
        <f>IF('Supp. Result Entry'!W100="","",'Supp. Result Entry'!W100)</f>
        <v/>
      </c>
      <c r="IL101" s="212" t="str">
        <f>IF('Supp. Result Entry'!Z100="","",'Supp. Result Entry'!Z100)</f>
        <v/>
      </c>
      <c r="IM101" s="212" t="str">
        <f>IF('Supp. Result Entry'!AC100="","",'Supp. Result Entry'!AC100)</f>
        <v/>
      </c>
      <c r="IN101" s="212" t="str">
        <f>IF('Supp. Result Entry'!AF100="","",'Supp. Result Entry'!AF100)</f>
        <v/>
      </c>
      <c r="IO101" s="212" t="str">
        <f>IF('Supp. Result Entry'!AI100="","",'Supp. Result Entry'!AI100)</f>
        <v/>
      </c>
      <c r="IP101" s="212" t="str">
        <f>IF('Supp. Result Entry'!AL100="","",'Supp. Result Entry'!AL100)</f>
        <v/>
      </c>
      <c r="IQ101" s="212">
        <f>COUNTIF('Supp. Result Entry'!K100:Q100,"S")</f>
        <v>0</v>
      </c>
      <c r="IR101" s="212">
        <f t="shared" si="355"/>
        <v>0</v>
      </c>
      <c r="IS101" s="212">
        <f t="shared" si="356"/>
        <v>0</v>
      </c>
      <c r="IT101" s="212" t="str">
        <f t="shared" si="224"/>
        <v/>
      </c>
      <c r="IU101" s="212" t="str">
        <f t="shared" si="225"/>
        <v/>
      </c>
      <c r="IV101" s="212" t="str">
        <f t="shared" si="226"/>
        <v/>
      </c>
      <c r="IW101" s="212" t="str">
        <f t="shared" si="227"/>
        <v/>
      </c>
      <c r="IX101" s="212" t="str">
        <f t="shared" si="228"/>
        <v/>
      </c>
      <c r="IY101" s="212" t="str">
        <f t="shared" si="357"/>
        <v/>
      </c>
      <c r="IZ101" s="212" t="str">
        <f t="shared" si="358"/>
        <v/>
      </c>
      <c r="JA101" s="212" t="str">
        <f t="shared" si="229"/>
        <v/>
      </c>
      <c r="JB101" s="210" t="str">
        <f t="shared" si="359"/>
        <v/>
      </c>
    </row>
    <row r="102" spans="1:262" s="210" customFormat="1" ht="21" customHeight="1">
      <c r="A102" s="183">
        <v>95</v>
      </c>
      <c r="B102" s="184" t="str">
        <f>IF('Marks Entry'!B102="","",'Marks Entry'!B102)</f>
        <v/>
      </c>
      <c r="C102" s="185" t="str">
        <f>IF('Marks Entry'!D102="","",'Marks Entry'!D102)</f>
        <v/>
      </c>
      <c r="D102" s="186" t="str">
        <f>IF('Marks Entry'!E102="","",'Marks Entry'!E102)</f>
        <v/>
      </c>
      <c r="E102" s="187" t="str">
        <f>IF('Marks Entry'!F102="","",'Marks Entry'!F102)</f>
        <v/>
      </c>
      <c r="F102" s="187" t="str">
        <f>IF('Marks Entry'!G102="","",'Marks Entry'!G102)</f>
        <v/>
      </c>
      <c r="G102" s="187" t="str">
        <f>IF('Marks Entry'!H102="","",'Marks Entry'!H102)</f>
        <v/>
      </c>
      <c r="H102" s="188" t="str">
        <f>IF('Marks Entry'!I102="","",'Marks Entry'!I102)</f>
        <v/>
      </c>
      <c r="I102" s="189" t="str">
        <f>IF('Marks Entry'!J102="","",'Marks Entry'!J102)</f>
        <v/>
      </c>
      <c r="J102" s="545" t="str">
        <f>IF('Marks Entry'!K102="","",'Marks Entry'!K102)</f>
        <v/>
      </c>
      <c r="K102" s="545" t="str">
        <f>IF('Marks Entry'!L102="","",'Marks Entry'!L102)</f>
        <v/>
      </c>
      <c r="L102" s="545" t="str">
        <f>IF('Marks Entry'!M102="","",'Marks Entry'!M102)</f>
        <v/>
      </c>
      <c r="M102" s="546" t="str">
        <f t="shared" si="230"/>
        <v/>
      </c>
      <c r="N102" s="545" t="str">
        <f>IF('Marks Entry'!N102="","",'Marks Entry'!N102)</f>
        <v/>
      </c>
      <c r="O102" s="546" t="str">
        <f t="shared" si="231"/>
        <v/>
      </c>
      <c r="P102" s="545" t="str">
        <f>IF('Marks Entry'!O102="","",'Marks Entry'!O102)</f>
        <v/>
      </c>
      <c r="Q102" s="547" t="str">
        <f t="shared" si="232"/>
        <v/>
      </c>
      <c r="R102" s="152">
        <f t="shared" si="233"/>
        <v>0</v>
      </c>
      <c r="S102" s="152">
        <f t="shared" si="234"/>
        <v>0</v>
      </c>
      <c r="T102" s="153" t="str">
        <f t="shared" si="235"/>
        <v/>
      </c>
      <c r="U102" s="152" t="str">
        <f t="shared" si="236"/>
        <v/>
      </c>
      <c r="V102" s="152" t="str">
        <f t="shared" si="237"/>
        <v/>
      </c>
      <c r="W102" s="152" t="str">
        <f t="shared" si="238"/>
        <v/>
      </c>
      <c r="X102" s="545" t="str">
        <f>IF('Marks Entry'!P102="","",'Marks Entry'!P102)</f>
        <v/>
      </c>
      <c r="Y102" s="545" t="str">
        <f>IF('Marks Entry'!Q102="","",'Marks Entry'!Q102)</f>
        <v/>
      </c>
      <c r="Z102" s="545" t="str">
        <f>IF('Marks Entry'!R102="","",'Marks Entry'!R102)</f>
        <v/>
      </c>
      <c r="AA102" s="546" t="str">
        <f t="shared" si="239"/>
        <v/>
      </c>
      <c r="AB102" s="545" t="str">
        <f>IF('Marks Entry'!S102="","",'Marks Entry'!S102)</f>
        <v/>
      </c>
      <c r="AC102" s="546" t="str">
        <f t="shared" si="240"/>
        <v/>
      </c>
      <c r="AD102" s="545" t="str">
        <f>IF('Marks Entry'!T102="","",'Marks Entry'!T102)</f>
        <v/>
      </c>
      <c r="AE102" s="547" t="str">
        <f t="shared" si="241"/>
        <v/>
      </c>
      <c r="AF102" s="152">
        <f t="shared" si="242"/>
        <v>0</v>
      </c>
      <c r="AG102" s="152">
        <f t="shared" si="243"/>
        <v>0</v>
      </c>
      <c r="AH102" s="153" t="str">
        <f t="shared" si="244"/>
        <v/>
      </c>
      <c r="AI102" s="152" t="str">
        <f t="shared" si="245"/>
        <v/>
      </c>
      <c r="AJ102" s="152" t="str">
        <f t="shared" si="246"/>
        <v/>
      </c>
      <c r="AK102" s="152" t="str">
        <f t="shared" si="247"/>
        <v/>
      </c>
      <c r="AL102" s="573" t="str">
        <f>IF('Marks Entry'!U102="","",'Marks Entry'!U102)</f>
        <v/>
      </c>
      <c r="AM102" s="573" t="str">
        <f>IF('Marks Entry'!V102="","",'Marks Entry'!V102)</f>
        <v/>
      </c>
      <c r="AN102" s="573" t="str">
        <f>IF('Marks Entry'!W102="","",'Marks Entry'!W102)</f>
        <v/>
      </c>
      <c r="AO102" s="573" t="str">
        <f>IF('Marks Entry'!X102="","",'Marks Entry'!X102)</f>
        <v/>
      </c>
      <c r="AP102" s="572" t="str">
        <f t="shared" si="248"/>
        <v/>
      </c>
      <c r="AQ102" s="573" t="str">
        <f>IF('Marks Entry'!Y102="","",'Marks Entry'!Y102)</f>
        <v/>
      </c>
      <c r="AR102" s="573" t="str">
        <f>IF('Marks Entry'!Z102="","",'Marks Entry'!Z102)</f>
        <v/>
      </c>
      <c r="AS102" s="572" t="str">
        <f t="shared" si="249"/>
        <v/>
      </c>
      <c r="AT102" s="572" t="str">
        <f t="shared" si="250"/>
        <v/>
      </c>
      <c r="AU102" s="573" t="str">
        <f>IF('Marks Entry'!AA102="","",'Marks Entry'!AA102)</f>
        <v/>
      </c>
      <c r="AV102" s="573" t="str">
        <f>IF('Marks Entry'!AB102="","",'Marks Entry'!AB102)</f>
        <v/>
      </c>
      <c r="AW102" s="572" t="str">
        <f t="shared" si="251"/>
        <v/>
      </c>
      <c r="AX102" s="156" t="str">
        <f t="shared" si="252"/>
        <v/>
      </c>
      <c r="AY102" s="156" t="str">
        <f t="shared" si="253"/>
        <v/>
      </c>
      <c r="AZ102" s="191" t="str">
        <f t="shared" si="254"/>
        <v/>
      </c>
      <c r="BA102" s="152">
        <f t="shared" si="255"/>
        <v>0</v>
      </c>
      <c r="BB102" s="153">
        <f t="shared" si="256"/>
        <v>0</v>
      </c>
      <c r="BC102" s="153" t="str">
        <f t="shared" si="257"/>
        <v/>
      </c>
      <c r="BD102" s="153" t="str">
        <f t="shared" si="258"/>
        <v/>
      </c>
      <c r="BE102" s="153" t="str">
        <f t="shared" si="259"/>
        <v/>
      </c>
      <c r="BF102" s="152" t="str">
        <f t="shared" si="260"/>
        <v/>
      </c>
      <c r="BG102" s="153" t="str">
        <f t="shared" si="261"/>
        <v/>
      </c>
      <c r="BH102" s="152" t="str">
        <f t="shared" si="262"/>
        <v/>
      </c>
      <c r="BI102" s="580" t="str">
        <f>IF('Marks Entry'!AC102="","",'Marks Entry'!AC102)</f>
        <v/>
      </c>
      <c r="BJ102" s="580" t="str">
        <f>IF('Marks Entry'!AD102="","",'Marks Entry'!AD102)</f>
        <v/>
      </c>
      <c r="BK102" s="580" t="str">
        <f>IF('Marks Entry'!AE102="","",'Marks Entry'!AE102)</f>
        <v/>
      </c>
      <c r="BL102" s="580" t="str">
        <f>IF('Marks Entry'!AF102="","",'Marks Entry'!AF102)</f>
        <v/>
      </c>
      <c r="BM102" s="581" t="str">
        <f t="shared" si="263"/>
        <v/>
      </c>
      <c r="BN102" s="580" t="str">
        <f>IF('Marks Entry'!AG102="","",'Marks Entry'!AG102)</f>
        <v/>
      </c>
      <c r="BO102" s="580" t="str">
        <f>IF('Marks Entry'!AH102="","",'Marks Entry'!AH102)</f>
        <v/>
      </c>
      <c r="BP102" s="581" t="str">
        <f t="shared" si="264"/>
        <v/>
      </c>
      <c r="BQ102" s="581" t="str">
        <f t="shared" si="265"/>
        <v/>
      </c>
      <c r="BR102" s="580" t="str">
        <f>IF('Marks Entry'!AI102="","",'Marks Entry'!AI102)</f>
        <v/>
      </c>
      <c r="BS102" s="580" t="str">
        <f>IF('Marks Entry'!AJ102="","",'Marks Entry'!AJ102)</f>
        <v/>
      </c>
      <c r="BT102" s="581" t="str">
        <f t="shared" si="266"/>
        <v/>
      </c>
      <c r="BU102" s="156" t="str">
        <f t="shared" si="267"/>
        <v/>
      </c>
      <c r="BV102" s="156" t="str">
        <f t="shared" si="268"/>
        <v/>
      </c>
      <c r="BW102" s="191" t="str">
        <f t="shared" si="269"/>
        <v/>
      </c>
      <c r="BX102" s="152">
        <f t="shared" si="270"/>
        <v>0</v>
      </c>
      <c r="BY102" s="153">
        <f t="shared" si="271"/>
        <v>0</v>
      </c>
      <c r="BZ102" s="153" t="str">
        <f t="shared" si="272"/>
        <v/>
      </c>
      <c r="CA102" s="153" t="str">
        <f t="shared" si="273"/>
        <v/>
      </c>
      <c r="CB102" s="153" t="str">
        <f t="shared" si="274"/>
        <v/>
      </c>
      <c r="CC102" s="152" t="str">
        <f t="shared" si="275"/>
        <v/>
      </c>
      <c r="CD102" s="153" t="str">
        <f t="shared" si="276"/>
        <v/>
      </c>
      <c r="CE102" s="152" t="str">
        <f t="shared" si="277"/>
        <v/>
      </c>
      <c r="CF102" s="580" t="str">
        <f>IF('Marks Entry'!AK102="","",'Marks Entry'!AK102)</f>
        <v/>
      </c>
      <c r="CG102" s="580" t="str">
        <f>IF('Marks Entry'!AL102="","",'Marks Entry'!AL102)</f>
        <v/>
      </c>
      <c r="CH102" s="580" t="str">
        <f>IF('Marks Entry'!AM102="","",'Marks Entry'!AM102)</f>
        <v/>
      </c>
      <c r="CI102" s="580" t="str">
        <f>IF('Marks Entry'!AN102="","",'Marks Entry'!AN102)</f>
        <v/>
      </c>
      <c r="CJ102" s="581" t="str">
        <f t="shared" si="278"/>
        <v/>
      </c>
      <c r="CK102" s="580" t="str">
        <f>IF('Marks Entry'!AO102="","",'Marks Entry'!AO102)</f>
        <v/>
      </c>
      <c r="CL102" s="580" t="str">
        <f>IF('Marks Entry'!AP102="","",'Marks Entry'!AP102)</f>
        <v/>
      </c>
      <c r="CM102" s="581" t="str">
        <f t="shared" si="279"/>
        <v/>
      </c>
      <c r="CN102" s="581" t="str">
        <f t="shared" si="280"/>
        <v/>
      </c>
      <c r="CO102" s="580" t="str">
        <f>IF('Marks Entry'!AQ102="","",'Marks Entry'!AQ102)</f>
        <v/>
      </c>
      <c r="CP102" s="580" t="str">
        <f>IF('Marks Entry'!AR102="","",'Marks Entry'!AR102)</f>
        <v/>
      </c>
      <c r="CQ102" s="581" t="str">
        <f t="shared" si="281"/>
        <v/>
      </c>
      <c r="CR102" s="156" t="str">
        <f t="shared" si="282"/>
        <v/>
      </c>
      <c r="CS102" s="156" t="str">
        <f t="shared" si="283"/>
        <v/>
      </c>
      <c r="CT102" s="191" t="str">
        <f t="shared" si="284"/>
        <v/>
      </c>
      <c r="CU102" s="152">
        <f t="shared" si="285"/>
        <v>0</v>
      </c>
      <c r="CV102" s="153">
        <f t="shared" si="286"/>
        <v>0</v>
      </c>
      <c r="CW102" s="153" t="str">
        <f t="shared" si="287"/>
        <v/>
      </c>
      <c r="CX102" s="153" t="str">
        <f t="shared" si="288"/>
        <v/>
      </c>
      <c r="CY102" s="153" t="str">
        <f t="shared" si="289"/>
        <v/>
      </c>
      <c r="CZ102" s="152" t="str">
        <f t="shared" si="290"/>
        <v/>
      </c>
      <c r="DA102" s="153" t="str">
        <f t="shared" si="291"/>
        <v/>
      </c>
      <c r="DB102" s="152" t="str">
        <f t="shared" si="292"/>
        <v/>
      </c>
      <c r="DC102" s="153">
        <f t="shared" si="293"/>
        <v>0</v>
      </c>
      <c r="DD102" s="851" t="str">
        <f>IF('Marks Entry'!AS102="","",IF(OR('Master Sheet'!$D$19="YES",'Marks Entry'!$BA$1=1),'Marks Entry'!AS102,""))</f>
        <v/>
      </c>
      <c r="DE102" s="851" t="str">
        <f>IF('Marks Entry'!AT102="","",IF(OR('Master Sheet'!$D$19="YES",'Marks Entry'!$BA$1=1),'Marks Entry'!AT102,""))</f>
        <v/>
      </c>
      <c r="DF102" s="851" t="str">
        <f>IF('Marks Entry'!AU102="","",IF(OR('Master Sheet'!$D$19="YES",'Marks Entry'!$BA$1=1),'Marks Entry'!AU102,""))</f>
        <v/>
      </c>
      <c r="DG102" s="851" t="str">
        <f>IF('Marks Entry'!AV102="","",IF(OR('Master Sheet'!$D$19="YES",'Marks Entry'!$BA$1=1),'Marks Entry'!AV102,""))</f>
        <v/>
      </c>
      <c r="DH102" s="852" t="str">
        <f t="shared" si="294"/>
        <v/>
      </c>
      <c r="DI102" s="851" t="str">
        <f>IF('Marks Entry'!AW102="","",IF(OR('Master Sheet'!$D$19="YES",'Marks Entry'!$BA$1=1),'Marks Entry'!AW102,""))</f>
        <v/>
      </c>
      <c r="DJ102" s="851" t="str">
        <f>IF('Marks Entry'!AX102="","",IF(OR('Master Sheet'!$D$19="YES",'Marks Entry'!$BA$1=1),'Marks Entry'!AX102,""))</f>
        <v/>
      </c>
      <c r="DK102" s="852" t="str">
        <f t="shared" si="295"/>
        <v/>
      </c>
      <c r="DL102" s="852" t="str">
        <f t="shared" si="296"/>
        <v/>
      </c>
      <c r="DM102" s="851" t="str">
        <f>IF('Marks Entry'!AY102="","",IF(OR('Master Sheet'!$D$19="YES",'Marks Entry'!$BA$1=1),'Marks Entry'!AY102,""))</f>
        <v/>
      </c>
      <c r="DN102" s="851" t="str">
        <f>IF('Marks Entry'!AZ102="","",IF(OR('Master Sheet'!$D$19="YES",'Marks Entry'!$BA$1=1),'Marks Entry'!AZ102,""))</f>
        <v/>
      </c>
      <c r="DO102" s="851" t="str">
        <f>IF('Marks Entry'!BA102="","",IF(OR('Master Sheet'!$D$19="YES",'Marks Entry'!$BA$1=1),'Marks Entry'!BA102,""))</f>
        <v/>
      </c>
      <c r="DP102" s="852" t="str">
        <f t="shared" si="297"/>
        <v/>
      </c>
      <c r="DQ102" s="156" t="str">
        <f t="shared" si="298"/>
        <v/>
      </c>
      <c r="DR102" s="156" t="str">
        <f t="shared" si="299"/>
        <v/>
      </c>
      <c r="DS102" s="156" t="str">
        <f t="shared" si="300"/>
        <v/>
      </c>
      <c r="DT102" s="191" t="str">
        <f t="shared" si="301"/>
        <v/>
      </c>
      <c r="DU102" s="152">
        <f t="shared" si="302"/>
        <v>0</v>
      </c>
      <c r="DV102" s="153">
        <f t="shared" si="303"/>
        <v>0</v>
      </c>
      <c r="DW102" s="153" t="str">
        <f t="shared" si="304"/>
        <v/>
      </c>
      <c r="DX102" s="153" t="str">
        <f>IF(OR($B102="NSO",$B102=0,DS102=""),"",IF(AND(DJ102="",DO102=""),"",IF('Master Sheet'!$D$19="YES",$DO$6-COUNTIF(DO102,"ML")*DO$6,DS$6-(COUNTIF(DJ102,"ML")*DJ$6)-(COUNTIF(DO102,"ML")*DO$6))))</f>
        <v/>
      </c>
      <c r="DY102" s="153" t="str">
        <f>IF(OR($B102="NSO",$B102=0),"",IF(AND(DH102="",DI102="",DM102=""),"",IF(AND('Master Sheet'!$D$19="YES",'Marks Entry'!$BA$1=1),100,IF(AND(DJ102="",DO102=""),SUM(($DQ$7+$DR$7)-(DU102+DV102)),SUM(($DQ$6+$DR$6)-(DU102+DV102))))))</f>
        <v/>
      </c>
      <c r="DZ102" s="152" t="str">
        <f t="shared" si="305"/>
        <v/>
      </c>
      <c r="EA102" s="153" t="str">
        <f t="shared" si="306"/>
        <v/>
      </c>
      <c r="EB102" s="152" t="str">
        <f t="shared" si="307"/>
        <v/>
      </c>
      <c r="EC102" s="584" t="str">
        <f>IF('Marks Entry'!BB102="","",'Marks Entry'!BB102)</f>
        <v/>
      </c>
      <c r="ED102" s="584" t="str">
        <f>IF('Marks Entry'!BC102="","",'Marks Entry'!BC102)</f>
        <v/>
      </c>
      <c r="EE102" s="584" t="str">
        <f>IF('Marks Entry'!BD102="","",'Marks Entry'!BD102)</f>
        <v/>
      </c>
      <c r="EF102" s="590" t="str">
        <f t="shared" si="308"/>
        <v/>
      </c>
      <c r="EG102" s="595">
        <f t="shared" si="309"/>
        <v>0</v>
      </c>
      <c r="EH102" s="595">
        <f t="shared" si="310"/>
        <v>0</v>
      </c>
      <c r="EI102" s="192" t="str">
        <f t="shared" si="311"/>
        <v/>
      </c>
      <c r="EJ102" s="595" t="str">
        <f t="shared" si="312"/>
        <v/>
      </c>
      <c r="EK102" s="595" t="str">
        <f t="shared" si="313"/>
        <v/>
      </c>
      <c r="EL102" s="193" t="str">
        <f t="shared" si="314"/>
        <v/>
      </c>
      <c r="EM102" s="193" t="str">
        <f t="shared" si="315"/>
        <v/>
      </c>
      <c r="EN102" s="193" t="str">
        <f t="shared" si="316"/>
        <v/>
      </c>
      <c r="EO102" s="193" t="str">
        <f t="shared" si="317"/>
        <v/>
      </c>
      <c r="EP102" s="193" t="str">
        <f t="shared" si="318"/>
        <v/>
      </c>
      <c r="EQ102" s="193" t="str">
        <f t="shared" si="319"/>
        <v/>
      </c>
      <c r="ER102" s="194">
        <f t="shared" si="320"/>
        <v>0</v>
      </c>
      <c r="ES102" s="194">
        <f t="shared" si="321"/>
        <v>0</v>
      </c>
      <c r="ET102" s="194">
        <f t="shared" si="322"/>
        <v>0</v>
      </c>
      <c r="EU102" s="194">
        <f t="shared" si="323"/>
        <v>0</v>
      </c>
      <c r="EV102" s="194">
        <f t="shared" si="324"/>
        <v>0</v>
      </c>
      <c r="EW102" s="194" t="str">
        <f t="shared" si="325"/>
        <v/>
      </c>
      <c r="EX102" s="195" t="str">
        <f t="shared" si="326"/>
        <v/>
      </c>
      <c r="EY102" s="196" t="str">
        <f>IF('Marks Entry'!BE102="","",'Marks Entry'!BE102)</f>
        <v/>
      </c>
      <c r="EZ102" s="196" t="str">
        <f>IF('Marks Entry'!BF102="","",'Marks Entry'!BF102)</f>
        <v/>
      </c>
      <c r="FA102" s="196" t="str">
        <f>IF('Marks Entry'!BG102="","",'Marks Entry'!BG102)</f>
        <v/>
      </c>
      <c r="FB102" s="596" t="str">
        <f t="shared" si="327"/>
        <v/>
      </c>
      <c r="FC102" s="196" t="str">
        <f>IF('Marks Entry'!BH102="","",'Marks Entry'!BH102)</f>
        <v/>
      </c>
      <c r="FD102" s="196" t="str">
        <f>IF('Marks Entry'!BI102="","",'Marks Entry'!BI102)</f>
        <v/>
      </c>
      <c r="FE102" s="197" t="str">
        <f t="shared" si="328"/>
        <v/>
      </c>
      <c r="FF102" s="198" t="str">
        <f t="shared" si="329"/>
        <v/>
      </c>
      <c r="FG102" s="199" t="str">
        <f>IF(AND(E102=""),"",IF('Student DATA Entry'!L98="","",'Student DATA Entry'!L98))</f>
        <v/>
      </c>
      <c r="FH102" s="200" t="str">
        <f>IF(AND(E102=""),"",IF('Student DATA Entry'!M98="","",'Student DATA Entry'!M98))</f>
        <v/>
      </c>
      <c r="FI102" s="201" t="str">
        <f t="shared" si="330"/>
        <v/>
      </c>
      <c r="FJ102" s="188" t="str">
        <f t="shared" si="331"/>
        <v/>
      </c>
      <c r="FK102" s="188" t="str">
        <f t="shared" si="332"/>
        <v/>
      </c>
      <c r="FL102" s="202" t="str">
        <f t="shared" si="201"/>
        <v/>
      </c>
      <c r="FM102" s="188" t="str">
        <f t="shared" si="333"/>
        <v/>
      </c>
      <c r="FN102" s="203" t="str">
        <f t="shared" si="334"/>
        <v/>
      </c>
      <c r="FO102" s="202" t="str">
        <f t="shared" si="202"/>
        <v/>
      </c>
      <c r="FP102" s="204" t="str">
        <f t="shared" si="335"/>
        <v/>
      </c>
      <c r="FQ102" s="188" t="str">
        <f t="shared" si="203"/>
        <v/>
      </c>
      <c r="FR102" s="188" t="str">
        <f t="shared" si="204"/>
        <v/>
      </c>
      <c r="FS102" s="188" t="str">
        <f t="shared" si="205"/>
        <v/>
      </c>
      <c r="FT102" s="188" t="str">
        <f t="shared" si="206"/>
        <v/>
      </c>
      <c r="FU102" s="188" t="str">
        <f t="shared" si="336"/>
        <v/>
      </c>
      <c r="FV102" s="205" t="str">
        <f t="shared" si="207"/>
        <v/>
      </c>
      <c r="FW102" s="204" t="str">
        <f t="shared" si="337"/>
        <v/>
      </c>
      <c r="FX102" s="188" t="str">
        <f t="shared" si="208"/>
        <v/>
      </c>
      <c r="FY102" s="188" t="str">
        <f t="shared" si="209"/>
        <v/>
      </c>
      <c r="FZ102" s="188" t="str">
        <f t="shared" si="210"/>
        <v/>
      </c>
      <c r="GA102" s="188" t="str">
        <f t="shared" si="211"/>
        <v/>
      </c>
      <c r="GB102" s="188" t="str">
        <f t="shared" si="338"/>
        <v/>
      </c>
      <c r="GC102" s="205" t="str">
        <f t="shared" si="212"/>
        <v/>
      </c>
      <c r="GD102" s="204" t="str">
        <f t="shared" si="339"/>
        <v/>
      </c>
      <c r="GE102" s="188" t="str">
        <f t="shared" si="213"/>
        <v/>
      </c>
      <c r="GF102" s="188" t="str">
        <f t="shared" si="214"/>
        <v/>
      </c>
      <c r="GG102" s="188" t="str">
        <f t="shared" si="215"/>
        <v/>
      </c>
      <c r="GH102" s="188" t="str">
        <f t="shared" si="216"/>
        <v/>
      </c>
      <c r="GI102" s="188" t="str">
        <f t="shared" si="340"/>
        <v/>
      </c>
      <c r="GJ102" s="205" t="str">
        <f t="shared" si="217"/>
        <v/>
      </c>
      <c r="GK102" s="204" t="str">
        <f t="shared" si="341"/>
        <v/>
      </c>
      <c r="GL102" s="188" t="str">
        <f t="shared" si="218"/>
        <v/>
      </c>
      <c r="GM102" s="188" t="str">
        <f t="shared" si="219"/>
        <v/>
      </c>
      <c r="GN102" s="188" t="str">
        <f t="shared" si="220"/>
        <v/>
      </c>
      <c r="GO102" s="188" t="str">
        <f t="shared" si="221"/>
        <v/>
      </c>
      <c r="GP102" s="188" t="str">
        <f t="shared" si="342"/>
        <v/>
      </c>
      <c r="GQ102" s="205" t="str">
        <f t="shared" si="222"/>
        <v/>
      </c>
      <c r="GR102" s="188" t="str">
        <f t="shared" si="343"/>
        <v/>
      </c>
      <c r="GS102" s="188" t="str">
        <f t="shared" si="344"/>
        <v/>
      </c>
      <c r="GT102" s="206" t="str">
        <f t="shared" si="345"/>
        <v xml:space="preserve">    </v>
      </c>
      <c r="GU102" s="206" t="str">
        <f t="shared" si="346"/>
        <v xml:space="preserve">    </v>
      </c>
      <c r="GV102" s="206" t="str">
        <f t="shared" si="347"/>
        <v xml:space="preserve">    </v>
      </c>
      <c r="GW102" s="206" t="str">
        <f t="shared" si="348"/>
        <v xml:space="preserve">       </v>
      </c>
      <c r="GX102" s="598" t="str">
        <f t="shared" si="349"/>
        <v xml:space="preserve">     </v>
      </c>
      <c r="GY102" s="207" t="str">
        <f t="shared" si="223"/>
        <v/>
      </c>
      <c r="GZ102" s="606" t="str">
        <f>IF(AND(Q102="",AE102="",AZ102="",BW102="",CT102=""),"",IF(AND('Master Sheet'!$D$19="YES",'Marks Entry'!$BA$1=1),SUM(Q102,AE102,AZ102,BW102,DT102),SUM(Q102,AE102,AZ102,BW102,CT102)))</f>
        <v/>
      </c>
      <c r="HA102" s="208" t="str">
        <f>IF(GZ102="","",IF(AND('Master Sheet'!$D$19="YES",'Marks Entry'!$BA$1=1),GZ102/((900)-DC102)*100,GZ102/((1000)-DC102)*100))</f>
        <v/>
      </c>
      <c r="HB102" s="611" t="str">
        <f t="shared" si="350"/>
        <v/>
      </c>
      <c r="HC102" s="609" t="str">
        <f t="shared" si="351"/>
        <v/>
      </c>
      <c r="HD102" s="610" t="str">
        <f t="shared" si="352"/>
        <v/>
      </c>
      <c r="HE102" s="209" t="str">
        <f>IFERROR(IF(OR(GY102="SUPPLEMENTARY",GY102="RE-EXAM"),'Supp. Result Entry'!AS101,""),"")</f>
        <v/>
      </c>
      <c r="HF102" s="613" t="str">
        <f t="shared" si="353"/>
        <v/>
      </c>
      <c r="HG102" s="598" t="str">
        <f t="shared" si="354"/>
        <v/>
      </c>
      <c r="HH102" s="598" t="str">
        <f>IF(AND(HE102="",HF102="",HG102=""),"",IF(OR(GY102="SUPPLEMENTARY",GY102="RE-EXAM"),'Supp. Result Entry'!AS101,GY102))</f>
        <v/>
      </c>
      <c r="HI102" s="179"/>
      <c r="HY102" s="211" t="str">
        <f>IF('Supp. Result Entry'!U101="","",'Supp. Result Entry'!$U$6)</f>
        <v/>
      </c>
      <c r="HZ102" s="212" t="str">
        <f>IF('Supp. Result Entry'!X101="","",'Supp. Result Entry'!$X$6)</f>
        <v/>
      </c>
      <c r="IA102" s="212" t="str">
        <f>IF('Supp. Result Entry'!AA101="","",'Supp. Result Entry'!$AA$6)</f>
        <v/>
      </c>
      <c r="IB102" s="212" t="str">
        <f>IF('Supp. Result Entry'!AD101="","",'Supp. Result Entry'!$AD$6)</f>
        <v/>
      </c>
      <c r="IC102" s="212" t="str">
        <f>IF('Supp. Result Entry'!AG101="","",'Supp. Result Entry'!$AG$6)</f>
        <v/>
      </c>
      <c r="ID102" s="212" t="str">
        <f>IF('Supp. Result Entry'!AJ101="","",'Supp. Result Entry'!$AJ$6)</f>
        <v/>
      </c>
      <c r="IE102" s="212" t="str">
        <f>IF('Supp. Result Entry'!V101="","",'Supp. Result Entry'!V101)</f>
        <v/>
      </c>
      <c r="IF102" s="212" t="str">
        <f>IF('Supp. Result Entry'!Y101="","",'Supp. Result Entry'!Y101)</f>
        <v/>
      </c>
      <c r="IG102" s="212" t="str">
        <f>IF('Supp. Result Entry'!AB101="","",'Supp. Result Entry'!AB101)</f>
        <v/>
      </c>
      <c r="IH102" s="212" t="str">
        <f>IF('Supp. Result Entry'!AE101="","",'Supp. Result Entry'!AE101)</f>
        <v/>
      </c>
      <c r="II102" s="212" t="str">
        <f>IF('Supp. Result Entry'!AH101="","",'Supp. Result Entry'!AH101)</f>
        <v/>
      </c>
      <c r="IJ102" s="212" t="str">
        <f>IF('Supp. Result Entry'!AK101="","",'Supp. Result Entry'!AK101)</f>
        <v/>
      </c>
      <c r="IK102" s="212" t="str">
        <f>IF('Supp. Result Entry'!W101="","",'Supp. Result Entry'!W101)</f>
        <v/>
      </c>
      <c r="IL102" s="212" t="str">
        <f>IF('Supp. Result Entry'!Z101="","",'Supp. Result Entry'!Z101)</f>
        <v/>
      </c>
      <c r="IM102" s="212" t="str">
        <f>IF('Supp. Result Entry'!AC101="","",'Supp. Result Entry'!AC101)</f>
        <v/>
      </c>
      <c r="IN102" s="212" t="str">
        <f>IF('Supp. Result Entry'!AF101="","",'Supp. Result Entry'!AF101)</f>
        <v/>
      </c>
      <c r="IO102" s="212" t="str">
        <f>IF('Supp. Result Entry'!AI101="","",'Supp. Result Entry'!AI101)</f>
        <v/>
      </c>
      <c r="IP102" s="212" t="str">
        <f>IF('Supp. Result Entry'!AL101="","",'Supp. Result Entry'!AL101)</f>
        <v/>
      </c>
      <c r="IQ102" s="212">
        <f>COUNTIF('Supp. Result Entry'!K101:Q101,"S")</f>
        <v>0</v>
      </c>
      <c r="IR102" s="212">
        <f t="shared" si="355"/>
        <v>0</v>
      </c>
      <c r="IS102" s="212">
        <f t="shared" si="356"/>
        <v>0</v>
      </c>
      <c r="IT102" s="212" t="str">
        <f t="shared" si="224"/>
        <v/>
      </c>
      <c r="IU102" s="212" t="str">
        <f t="shared" si="225"/>
        <v/>
      </c>
      <c r="IV102" s="212" t="str">
        <f t="shared" si="226"/>
        <v/>
      </c>
      <c r="IW102" s="212" t="str">
        <f t="shared" si="227"/>
        <v/>
      </c>
      <c r="IX102" s="212" t="str">
        <f t="shared" si="228"/>
        <v/>
      </c>
      <c r="IY102" s="212" t="str">
        <f t="shared" si="357"/>
        <v/>
      </c>
      <c r="IZ102" s="212" t="str">
        <f t="shared" si="358"/>
        <v/>
      </c>
      <c r="JA102" s="212" t="str">
        <f t="shared" si="229"/>
        <v/>
      </c>
      <c r="JB102" s="210" t="str">
        <f t="shared" si="359"/>
        <v/>
      </c>
    </row>
    <row r="103" spans="1:262" s="210" customFormat="1" ht="21" customHeight="1">
      <c r="A103" s="183">
        <v>96</v>
      </c>
      <c r="B103" s="184" t="str">
        <f>IF('Marks Entry'!B103="","",'Marks Entry'!B103)</f>
        <v/>
      </c>
      <c r="C103" s="185" t="str">
        <f>IF('Marks Entry'!D103="","",'Marks Entry'!D103)</f>
        <v/>
      </c>
      <c r="D103" s="186" t="str">
        <f>IF('Marks Entry'!E103="","",'Marks Entry'!E103)</f>
        <v/>
      </c>
      <c r="E103" s="187" t="str">
        <f>IF('Marks Entry'!F103="","",'Marks Entry'!F103)</f>
        <v/>
      </c>
      <c r="F103" s="187" t="str">
        <f>IF('Marks Entry'!G103="","",'Marks Entry'!G103)</f>
        <v/>
      </c>
      <c r="G103" s="187" t="str">
        <f>IF('Marks Entry'!H103="","",'Marks Entry'!H103)</f>
        <v/>
      </c>
      <c r="H103" s="188" t="str">
        <f>IF('Marks Entry'!I103="","",'Marks Entry'!I103)</f>
        <v/>
      </c>
      <c r="I103" s="189" t="str">
        <f>IF('Marks Entry'!J103="","",'Marks Entry'!J103)</f>
        <v/>
      </c>
      <c r="J103" s="545" t="str">
        <f>IF('Marks Entry'!K103="","",'Marks Entry'!K103)</f>
        <v/>
      </c>
      <c r="K103" s="545" t="str">
        <f>IF('Marks Entry'!L103="","",'Marks Entry'!L103)</f>
        <v/>
      </c>
      <c r="L103" s="545" t="str">
        <f>IF('Marks Entry'!M103="","",'Marks Entry'!M103)</f>
        <v/>
      </c>
      <c r="M103" s="546" t="str">
        <f t="shared" si="230"/>
        <v/>
      </c>
      <c r="N103" s="545" t="str">
        <f>IF('Marks Entry'!N103="","",'Marks Entry'!N103)</f>
        <v/>
      </c>
      <c r="O103" s="546" t="str">
        <f t="shared" si="231"/>
        <v/>
      </c>
      <c r="P103" s="545" t="str">
        <f>IF('Marks Entry'!O103="","",'Marks Entry'!O103)</f>
        <v/>
      </c>
      <c r="Q103" s="547" t="str">
        <f t="shared" si="232"/>
        <v/>
      </c>
      <c r="R103" s="152">
        <f t="shared" si="233"/>
        <v>0</v>
      </c>
      <c r="S103" s="152">
        <f t="shared" si="234"/>
        <v>0</v>
      </c>
      <c r="T103" s="153" t="str">
        <f t="shared" si="235"/>
        <v/>
      </c>
      <c r="U103" s="152" t="str">
        <f t="shared" si="236"/>
        <v/>
      </c>
      <c r="V103" s="152" t="str">
        <f t="shared" si="237"/>
        <v/>
      </c>
      <c r="W103" s="152" t="str">
        <f t="shared" si="238"/>
        <v/>
      </c>
      <c r="X103" s="545" t="str">
        <f>IF('Marks Entry'!P103="","",'Marks Entry'!P103)</f>
        <v/>
      </c>
      <c r="Y103" s="545" t="str">
        <f>IF('Marks Entry'!Q103="","",'Marks Entry'!Q103)</f>
        <v/>
      </c>
      <c r="Z103" s="545" t="str">
        <f>IF('Marks Entry'!R103="","",'Marks Entry'!R103)</f>
        <v/>
      </c>
      <c r="AA103" s="546" t="str">
        <f t="shared" si="239"/>
        <v/>
      </c>
      <c r="AB103" s="545" t="str">
        <f>IF('Marks Entry'!S103="","",'Marks Entry'!S103)</f>
        <v/>
      </c>
      <c r="AC103" s="546" t="str">
        <f t="shared" si="240"/>
        <v/>
      </c>
      <c r="AD103" s="545" t="str">
        <f>IF('Marks Entry'!T103="","",'Marks Entry'!T103)</f>
        <v/>
      </c>
      <c r="AE103" s="547" t="str">
        <f t="shared" si="241"/>
        <v/>
      </c>
      <c r="AF103" s="152">
        <f t="shared" si="242"/>
        <v>0</v>
      </c>
      <c r="AG103" s="152">
        <f t="shared" si="243"/>
        <v>0</v>
      </c>
      <c r="AH103" s="153" t="str">
        <f t="shared" si="244"/>
        <v/>
      </c>
      <c r="AI103" s="152" t="str">
        <f t="shared" si="245"/>
        <v/>
      </c>
      <c r="AJ103" s="152" t="str">
        <f t="shared" si="246"/>
        <v/>
      </c>
      <c r="AK103" s="152" t="str">
        <f t="shared" si="247"/>
        <v/>
      </c>
      <c r="AL103" s="573" t="str">
        <f>IF('Marks Entry'!U103="","",'Marks Entry'!U103)</f>
        <v/>
      </c>
      <c r="AM103" s="573" t="str">
        <f>IF('Marks Entry'!V103="","",'Marks Entry'!V103)</f>
        <v/>
      </c>
      <c r="AN103" s="573" t="str">
        <f>IF('Marks Entry'!W103="","",'Marks Entry'!W103)</f>
        <v/>
      </c>
      <c r="AO103" s="573" t="str">
        <f>IF('Marks Entry'!X103="","",'Marks Entry'!X103)</f>
        <v/>
      </c>
      <c r="AP103" s="572" t="str">
        <f t="shared" si="248"/>
        <v/>
      </c>
      <c r="AQ103" s="573" t="str">
        <f>IF('Marks Entry'!Y103="","",'Marks Entry'!Y103)</f>
        <v/>
      </c>
      <c r="AR103" s="573" t="str">
        <f>IF('Marks Entry'!Z103="","",'Marks Entry'!Z103)</f>
        <v/>
      </c>
      <c r="AS103" s="572" t="str">
        <f t="shared" si="249"/>
        <v/>
      </c>
      <c r="AT103" s="572" t="str">
        <f t="shared" si="250"/>
        <v/>
      </c>
      <c r="AU103" s="573" t="str">
        <f>IF('Marks Entry'!AA103="","",'Marks Entry'!AA103)</f>
        <v/>
      </c>
      <c r="AV103" s="573" t="str">
        <f>IF('Marks Entry'!AB103="","",'Marks Entry'!AB103)</f>
        <v/>
      </c>
      <c r="AW103" s="572" t="str">
        <f t="shared" si="251"/>
        <v/>
      </c>
      <c r="AX103" s="156" t="str">
        <f t="shared" si="252"/>
        <v/>
      </c>
      <c r="AY103" s="156" t="str">
        <f t="shared" si="253"/>
        <v/>
      </c>
      <c r="AZ103" s="191" t="str">
        <f t="shared" si="254"/>
        <v/>
      </c>
      <c r="BA103" s="152">
        <f t="shared" si="255"/>
        <v>0</v>
      </c>
      <c r="BB103" s="153">
        <f t="shared" si="256"/>
        <v>0</v>
      </c>
      <c r="BC103" s="153" t="str">
        <f t="shared" si="257"/>
        <v/>
      </c>
      <c r="BD103" s="153" t="str">
        <f t="shared" si="258"/>
        <v/>
      </c>
      <c r="BE103" s="153" t="str">
        <f t="shared" si="259"/>
        <v/>
      </c>
      <c r="BF103" s="152" t="str">
        <f t="shared" si="260"/>
        <v/>
      </c>
      <c r="BG103" s="153" t="str">
        <f t="shared" si="261"/>
        <v/>
      </c>
      <c r="BH103" s="152" t="str">
        <f t="shared" si="262"/>
        <v/>
      </c>
      <c r="BI103" s="580" t="str">
        <f>IF('Marks Entry'!AC103="","",'Marks Entry'!AC103)</f>
        <v/>
      </c>
      <c r="BJ103" s="580" t="str">
        <f>IF('Marks Entry'!AD103="","",'Marks Entry'!AD103)</f>
        <v/>
      </c>
      <c r="BK103" s="580" t="str">
        <f>IF('Marks Entry'!AE103="","",'Marks Entry'!AE103)</f>
        <v/>
      </c>
      <c r="BL103" s="580" t="str">
        <f>IF('Marks Entry'!AF103="","",'Marks Entry'!AF103)</f>
        <v/>
      </c>
      <c r="BM103" s="581" t="str">
        <f t="shared" si="263"/>
        <v/>
      </c>
      <c r="BN103" s="580" t="str">
        <f>IF('Marks Entry'!AG103="","",'Marks Entry'!AG103)</f>
        <v/>
      </c>
      <c r="BO103" s="580" t="str">
        <f>IF('Marks Entry'!AH103="","",'Marks Entry'!AH103)</f>
        <v/>
      </c>
      <c r="BP103" s="581" t="str">
        <f t="shared" si="264"/>
        <v/>
      </c>
      <c r="BQ103" s="581" t="str">
        <f t="shared" si="265"/>
        <v/>
      </c>
      <c r="BR103" s="580" t="str">
        <f>IF('Marks Entry'!AI103="","",'Marks Entry'!AI103)</f>
        <v/>
      </c>
      <c r="BS103" s="580" t="str">
        <f>IF('Marks Entry'!AJ103="","",'Marks Entry'!AJ103)</f>
        <v/>
      </c>
      <c r="BT103" s="581" t="str">
        <f t="shared" si="266"/>
        <v/>
      </c>
      <c r="BU103" s="156" t="str">
        <f t="shared" si="267"/>
        <v/>
      </c>
      <c r="BV103" s="156" t="str">
        <f t="shared" si="268"/>
        <v/>
      </c>
      <c r="BW103" s="191" t="str">
        <f t="shared" si="269"/>
        <v/>
      </c>
      <c r="BX103" s="152">
        <f t="shared" si="270"/>
        <v>0</v>
      </c>
      <c r="BY103" s="153">
        <f t="shared" si="271"/>
        <v>0</v>
      </c>
      <c r="BZ103" s="153" t="str">
        <f t="shared" si="272"/>
        <v/>
      </c>
      <c r="CA103" s="153" t="str">
        <f t="shared" si="273"/>
        <v/>
      </c>
      <c r="CB103" s="153" t="str">
        <f t="shared" si="274"/>
        <v/>
      </c>
      <c r="CC103" s="152" t="str">
        <f t="shared" si="275"/>
        <v/>
      </c>
      <c r="CD103" s="153" t="str">
        <f t="shared" si="276"/>
        <v/>
      </c>
      <c r="CE103" s="152" t="str">
        <f t="shared" si="277"/>
        <v/>
      </c>
      <c r="CF103" s="580" t="str">
        <f>IF('Marks Entry'!AK103="","",'Marks Entry'!AK103)</f>
        <v/>
      </c>
      <c r="CG103" s="580" t="str">
        <f>IF('Marks Entry'!AL103="","",'Marks Entry'!AL103)</f>
        <v/>
      </c>
      <c r="CH103" s="580" t="str">
        <f>IF('Marks Entry'!AM103="","",'Marks Entry'!AM103)</f>
        <v/>
      </c>
      <c r="CI103" s="580" t="str">
        <f>IF('Marks Entry'!AN103="","",'Marks Entry'!AN103)</f>
        <v/>
      </c>
      <c r="CJ103" s="581" t="str">
        <f t="shared" si="278"/>
        <v/>
      </c>
      <c r="CK103" s="580" t="str">
        <f>IF('Marks Entry'!AO103="","",'Marks Entry'!AO103)</f>
        <v/>
      </c>
      <c r="CL103" s="580" t="str">
        <f>IF('Marks Entry'!AP103="","",'Marks Entry'!AP103)</f>
        <v/>
      </c>
      <c r="CM103" s="581" t="str">
        <f t="shared" si="279"/>
        <v/>
      </c>
      <c r="CN103" s="581" t="str">
        <f t="shared" si="280"/>
        <v/>
      </c>
      <c r="CO103" s="580" t="str">
        <f>IF('Marks Entry'!AQ103="","",'Marks Entry'!AQ103)</f>
        <v/>
      </c>
      <c r="CP103" s="580" t="str">
        <f>IF('Marks Entry'!AR103="","",'Marks Entry'!AR103)</f>
        <v/>
      </c>
      <c r="CQ103" s="581" t="str">
        <f t="shared" si="281"/>
        <v/>
      </c>
      <c r="CR103" s="156" t="str">
        <f t="shared" si="282"/>
        <v/>
      </c>
      <c r="CS103" s="156" t="str">
        <f t="shared" si="283"/>
        <v/>
      </c>
      <c r="CT103" s="191" t="str">
        <f t="shared" si="284"/>
        <v/>
      </c>
      <c r="CU103" s="152">
        <f t="shared" si="285"/>
        <v>0</v>
      </c>
      <c r="CV103" s="153">
        <f t="shared" si="286"/>
        <v>0</v>
      </c>
      <c r="CW103" s="153" t="str">
        <f t="shared" si="287"/>
        <v/>
      </c>
      <c r="CX103" s="153" t="str">
        <f t="shared" si="288"/>
        <v/>
      </c>
      <c r="CY103" s="153" t="str">
        <f t="shared" si="289"/>
        <v/>
      </c>
      <c r="CZ103" s="152" t="str">
        <f t="shared" si="290"/>
        <v/>
      </c>
      <c r="DA103" s="153" t="str">
        <f t="shared" si="291"/>
        <v/>
      </c>
      <c r="DB103" s="152" t="str">
        <f t="shared" si="292"/>
        <v/>
      </c>
      <c r="DC103" s="153">
        <f t="shared" si="293"/>
        <v>0</v>
      </c>
      <c r="DD103" s="851" t="str">
        <f>IF('Marks Entry'!AS103="","",IF(OR('Master Sheet'!$D$19="YES",'Marks Entry'!$BA$1=1),'Marks Entry'!AS103,""))</f>
        <v/>
      </c>
      <c r="DE103" s="851" t="str">
        <f>IF('Marks Entry'!AT103="","",IF(OR('Master Sheet'!$D$19="YES",'Marks Entry'!$BA$1=1),'Marks Entry'!AT103,""))</f>
        <v/>
      </c>
      <c r="DF103" s="851" t="str">
        <f>IF('Marks Entry'!AU103="","",IF(OR('Master Sheet'!$D$19="YES",'Marks Entry'!$BA$1=1),'Marks Entry'!AU103,""))</f>
        <v/>
      </c>
      <c r="DG103" s="851" t="str">
        <f>IF('Marks Entry'!AV103="","",IF(OR('Master Sheet'!$D$19="YES",'Marks Entry'!$BA$1=1),'Marks Entry'!AV103,""))</f>
        <v/>
      </c>
      <c r="DH103" s="852" t="str">
        <f t="shared" si="294"/>
        <v/>
      </c>
      <c r="DI103" s="851" t="str">
        <f>IF('Marks Entry'!AW103="","",IF(OR('Master Sheet'!$D$19="YES",'Marks Entry'!$BA$1=1),'Marks Entry'!AW103,""))</f>
        <v/>
      </c>
      <c r="DJ103" s="851" t="str">
        <f>IF('Marks Entry'!AX103="","",IF(OR('Master Sheet'!$D$19="YES",'Marks Entry'!$BA$1=1),'Marks Entry'!AX103,""))</f>
        <v/>
      </c>
      <c r="DK103" s="852" t="str">
        <f t="shared" si="295"/>
        <v/>
      </c>
      <c r="DL103" s="852" t="str">
        <f t="shared" si="296"/>
        <v/>
      </c>
      <c r="DM103" s="851" t="str">
        <f>IF('Marks Entry'!AY103="","",IF(OR('Master Sheet'!$D$19="YES",'Marks Entry'!$BA$1=1),'Marks Entry'!AY103,""))</f>
        <v/>
      </c>
      <c r="DN103" s="851" t="str">
        <f>IF('Marks Entry'!AZ103="","",IF(OR('Master Sheet'!$D$19="YES",'Marks Entry'!$BA$1=1),'Marks Entry'!AZ103,""))</f>
        <v/>
      </c>
      <c r="DO103" s="851" t="str">
        <f>IF('Marks Entry'!BA103="","",IF(OR('Master Sheet'!$D$19="YES",'Marks Entry'!$BA$1=1),'Marks Entry'!BA103,""))</f>
        <v/>
      </c>
      <c r="DP103" s="852" t="str">
        <f t="shared" si="297"/>
        <v/>
      </c>
      <c r="DQ103" s="156" t="str">
        <f t="shared" si="298"/>
        <v/>
      </c>
      <c r="DR103" s="156" t="str">
        <f t="shared" si="299"/>
        <v/>
      </c>
      <c r="DS103" s="156" t="str">
        <f t="shared" si="300"/>
        <v/>
      </c>
      <c r="DT103" s="191" t="str">
        <f t="shared" si="301"/>
        <v/>
      </c>
      <c r="DU103" s="152">
        <f t="shared" si="302"/>
        <v>0</v>
      </c>
      <c r="DV103" s="153">
        <f t="shared" si="303"/>
        <v>0</v>
      </c>
      <c r="DW103" s="153" t="str">
        <f t="shared" si="304"/>
        <v/>
      </c>
      <c r="DX103" s="153" t="str">
        <f>IF(OR($B103="NSO",$B103=0,DS103=""),"",IF(AND(DJ103="",DO103=""),"",IF('Master Sheet'!$D$19="YES",$DO$6-COUNTIF(DO103,"ML")*DO$6,DS$6-(COUNTIF(DJ103,"ML")*DJ$6)-(COUNTIF(DO103,"ML")*DO$6))))</f>
        <v/>
      </c>
      <c r="DY103" s="153" t="str">
        <f>IF(OR($B103="NSO",$B103=0),"",IF(AND(DH103="",DI103="",DM103=""),"",IF(AND('Master Sheet'!$D$19="YES",'Marks Entry'!$BA$1=1),100,IF(AND(DJ103="",DO103=""),SUM(($DQ$7+$DR$7)-(DU103+DV103)),SUM(($DQ$6+$DR$6)-(DU103+DV103))))))</f>
        <v/>
      </c>
      <c r="DZ103" s="152" t="str">
        <f t="shared" si="305"/>
        <v/>
      </c>
      <c r="EA103" s="153" t="str">
        <f t="shared" si="306"/>
        <v/>
      </c>
      <c r="EB103" s="152" t="str">
        <f t="shared" si="307"/>
        <v/>
      </c>
      <c r="EC103" s="584" t="str">
        <f>IF('Marks Entry'!BB103="","",'Marks Entry'!BB103)</f>
        <v/>
      </c>
      <c r="ED103" s="584" t="str">
        <f>IF('Marks Entry'!BC103="","",'Marks Entry'!BC103)</f>
        <v/>
      </c>
      <c r="EE103" s="584" t="str">
        <f>IF('Marks Entry'!BD103="","",'Marks Entry'!BD103)</f>
        <v/>
      </c>
      <c r="EF103" s="590" t="str">
        <f t="shared" si="308"/>
        <v/>
      </c>
      <c r="EG103" s="595">
        <f t="shared" si="309"/>
        <v>0</v>
      </c>
      <c r="EH103" s="595">
        <f t="shared" si="310"/>
        <v>0</v>
      </c>
      <c r="EI103" s="192" t="str">
        <f t="shared" si="311"/>
        <v/>
      </c>
      <c r="EJ103" s="595" t="str">
        <f t="shared" si="312"/>
        <v/>
      </c>
      <c r="EK103" s="595" t="str">
        <f t="shared" si="313"/>
        <v/>
      </c>
      <c r="EL103" s="193" t="str">
        <f t="shared" si="314"/>
        <v/>
      </c>
      <c r="EM103" s="193" t="str">
        <f t="shared" si="315"/>
        <v/>
      </c>
      <c r="EN103" s="193" t="str">
        <f t="shared" si="316"/>
        <v/>
      </c>
      <c r="EO103" s="193" t="str">
        <f t="shared" si="317"/>
        <v/>
      </c>
      <c r="EP103" s="193" t="str">
        <f t="shared" si="318"/>
        <v/>
      </c>
      <c r="EQ103" s="193" t="str">
        <f t="shared" si="319"/>
        <v/>
      </c>
      <c r="ER103" s="194">
        <f t="shared" si="320"/>
        <v>0</v>
      </c>
      <c r="ES103" s="194">
        <f t="shared" si="321"/>
        <v>0</v>
      </c>
      <c r="ET103" s="194">
        <f t="shared" si="322"/>
        <v>0</v>
      </c>
      <c r="EU103" s="194">
        <f t="shared" si="323"/>
        <v>0</v>
      </c>
      <c r="EV103" s="194">
        <f t="shared" si="324"/>
        <v>0</v>
      </c>
      <c r="EW103" s="194" t="str">
        <f t="shared" si="325"/>
        <v/>
      </c>
      <c r="EX103" s="195" t="str">
        <f t="shared" si="326"/>
        <v/>
      </c>
      <c r="EY103" s="196" t="str">
        <f>IF('Marks Entry'!BE103="","",'Marks Entry'!BE103)</f>
        <v/>
      </c>
      <c r="EZ103" s="196" t="str">
        <f>IF('Marks Entry'!BF103="","",'Marks Entry'!BF103)</f>
        <v/>
      </c>
      <c r="FA103" s="196" t="str">
        <f>IF('Marks Entry'!BG103="","",'Marks Entry'!BG103)</f>
        <v/>
      </c>
      <c r="FB103" s="596" t="str">
        <f t="shared" si="327"/>
        <v/>
      </c>
      <c r="FC103" s="196" t="str">
        <f>IF('Marks Entry'!BH103="","",'Marks Entry'!BH103)</f>
        <v/>
      </c>
      <c r="FD103" s="196" t="str">
        <f>IF('Marks Entry'!BI103="","",'Marks Entry'!BI103)</f>
        <v/>
      </c>
      <c r="FE103" s="197" t="str">
        <f t="shared" si="328"/>
        <v/>
      </c>
      <c r="FF103" s="198" t="str">
        <f t="shared" si="329"/>
        <v/>
      </c>
      <c r="FG103" s="199" t="str">
        <f>IF(AND(E103=""),"",IF('Student DATA Entry'!L99="","",'Student DATA Entry'!L99))</f>
        <v/>
      </c>
      <c r="FH103" s="200" t="str">
        <f>IF(AND(E103=""),"",IF('Student DATA Entry'!M99="","",'Student DATA Entry'!M99))</f>
        <v/>
      </c>
      <c r="FI103" s="201" t="str">
        <f t="shared" si="330"/>
        <v/>
      </c>
      <c r="FJ103" s="188" t="str">
        <f t="shared" si="331"/>
        <v/>
      </c>
      <c r="FK103" s="188" t="str">
        <f t="shared" si="332"/>
        <v/>
      </c>
      <c r="FL103" s="202" t="str">
        <f t="shared" si="201"/>
        <v/>
      </c>
      <c r="FM103" s="188" t="str">
        <f t="shared" si="333"/>
        <v/>
      </c>
      <c r="FN103" s="203" t="str">
        <f t="shared" si="334"/>
        <v/>
      </c>
      <c r="FO103" s="202" t="str">
        <f t="shared" si="202"/>
        <v/>
      </c>
      <c r="FP103" s="204" t="str">
        <f t="shared" si="335"/>
        <v/>
      </c>
      <c r="FQ103" s="188" t="str">
        <f t="shared" si="203"/>
        <v/>
      </c>
      <c r="FR103" s="188" t="str">
        <f t="shared" si="204"/>
        <v/>
      </c>
      <c r="FS103" s="188" t="str">
        <f t="shared" si="205"/>
        <v/>
      </c>
      <c r="FT103" s="188" t="str">
        <f t="shared" si="206"/>
        <v/>
      </c>
      <c r="FU103" s="188" t="str">
        <f t="shared" si="336"/>
        <v/>
      </c>
      <c r="FV103" s="205" t="str">
        <f t="shared" si="207"/>
        <v/>
      </c>
      <c r="FW103" s="204" t="str">
        <f t="shared" si="337"/>
        <v/>
      </c>
      <c r="FX103" s="188" t="str">
        <f t="shared" si="208"/>
        <v/>
      </c>
      <c r="FY103" s="188" t="str">
        <f t="shared" si="209"/>
        <v/>
      </c>
      <c r="FZ103" s="188" t="str">
        <f t="shared" si="210"/>
        <v/>
      </c>
      <c r="GA103" s="188" t="str">
        <f t="shared" si="211"/>
        <v/>
      </c>
      <c r="GB103" s="188" t="str">
        <f t="shared" si="338"/>
        <v/>
      </c>
      <c r="GC103" s="205" t="str">
        <f t="shared" si="212"/>
        <v/>
      </c>
      <c r="GD103" s="204" t="str">
        <f t="shared" si="339"/>
        <v/>
      </c>
      <c r="GE103" s="188" t="str">
        <f t="shared" si="213"/>
        <v/>
      </c>
      <c r="GF103" s="188" t="str">
        <f t="shared" si="214"/>
        <v/>
      </c>
      <c r="GG103" s="188" t="str">
        <f t="shared" si="215"/>
        <v/>
      </c>
      <c r="GH103" s="188" t="str">
        <f t="shared" si="216"/>
        <v/>
      </c>
      <c r="GI103" s="188" t="str">
        <f t="shared" si="340"/>
        <v/>
      </c>
      <c r="GJ103" s="205" t="str">
        <f t="shared" si="217"/>
        <v/>
      </c>
      <c r="GK103" s="204" t="str">
        <f t="shared" si="341"/>
        <v/>
      </c>
      <c r="GL103" s="188" t="str">
        <f t="shared" si="218"/>
        <v/>
      </c>
      <c r="GM103" s="188" t="str">
        <f t="shared" si="219"/>
        <v/>
      </c>
      <c r="GN103" s="188" t="str">
        <f t="shared" si="220"/>
        <v/>
      </c>
      <c r="GO103" s="188" t="str">
        <f t="shared" si="221"/>
        <v/>
      </c>
      <c r="GP103" s="188" t="str">
        <f t="shared" si="342"/>
        <v/>
      </c>
      <c r="GQ103" s="205" t="str">
        <f t="shared" si="222"/>
        <v/>
      </c>
      <c r="GR103" s="188" t="str">
        <f t="shared" si="343"/>
        <v/>
      </c>
      <c r="GS103" s="188" t="str">
        <f t="shared" si="344"/>
        <v/>
      </c>
      <c r="GT103" s="206" t="str">
        <f t="shared" si="345"/>
        <v xml:space="preserve">    </v>
      </c>
      <c r="GU103" s="206" t="str">
        <f t="shared" si="346"/>
        <v xml:space="preserve">    </v>
      </c>
      <c r="GV103" s="206" t="str">
        <f t="shared" si="347"/>
        <v xml:space="preserve">    </v>
      </c>
      <c r="GW103" s="206" t="str">
        <f t="shared" si="348"/>
        <v xml:space="preserve">       </v>
      </c>
      <c r="GX103" s="598" t="str">
        <f t="shared" si="349"/>
        <v xml:space="preserve">     </v>
      </c>
      <c r="GY103" s="207" t="str">
        <f t="shared" si="223"/>
        <v/>
      </c>
      <c r="GZ103" s="606" t="str">
        <f>IF(AND(Q103="",AE103="",AZ103="",BW103="",CT103=""),"",IF(AND('Master Sheet'!$D$19="YES",'Marks Entry'!$BA$1=1),SUM(Q103,AE103,AZ103,BW103,DT103),SUM(Q103,AE103,AZ103,BW103,CT103)))</f>
        <v/>
      </c>
      <c r="HA103" s="208" t="str">
        <f>IF(GZ103="","",IF(AND('Master Sheet'!$D$19="YES",'Marks Entry'!$BA$1=1),GZ103/((900)-DC103)*100,GZ103/((1000)-DC103)*100))</f>
        <v/>
      </c>
      <c r="HB103" s="611" t="str">
        <f t="shared" si="350"/>
        <v/>
      </c>
      <c r="HC103" s="609" t="str">
        <f t="shared" si="351"/>
        <v/>
      </c>
      <c r="HD103" s="610" t="str">
        <f t="shared" si="352"/>
        <v/>
      </c>
      <c r="HE103" s="209" t="str">
        <f>IFERROR(IF(OR(GY103="SUPPLEMENTARY",GY103="RE-EXAM"),'Supp. Result Entry'!AS102,""),"")</f>
        <v/>
      </c>
      <c r="HF103" s="613" t="str">
        <f t="shared" si="353"/>
        <v/>
      </c>
      <c r="HG103" s="598" t="str">
        <f t="shared" si="354"/>
        <v/>
      </c>
      <c r="HH103" s="598" t="str">
        <f>IF(AND(HE103="",HF103="",HG103=""),"",IF(OR(GY103="SUPPLEMENTARY",GY103="RE-EXAM"),'Supp. Result Entry'!AS102,GY103))</f>
        <v/>
      </c>
      <c r="HI103" s="179"/>
      <c r="HY103" s="211" t="str">
        <f>IF('Supp. Result Entry'!U102="","",'Supp. Result Entry'!$U$6)</f>
        <v/>
      </c>
      <c r="HZ103" s="212" t="str">
        <f>IF('Supp. Result Entry'!X102="","",'Supp. Result Entry'!$X$6)</f>
        <v/>
      </c>
      <c r="IA103" s="212" t="str">
        <f>IF('Supp. Result Entry'!AA102="","",'Supp. Result Entry'!$AA$6)</f>
        <v/>
      </c>
      <c r="IB103" s="212" t="str">
        <f>IF('Supp. Result Entry'!AD102="","",'Supp. Result Entry'!$AD$6)</f>
        <v/>
      </c>
      <c r="IC103" s="212" t="str">
        <f>IF('Supp. Result Entry'!AG102="","",'Supp. Result Entry'!$AG$6)</f>
        <v/>
      </c>
      <c r="ID103" s="212" t="str">
        <f>IF('Supp. Result Entry'!AJ102="","",'Supp. Result Entry'!$AJ$6)</f>
        <v/>
      </c>
      <c r="IE103" s="212" t="str">
        <f>IF('Supp. Result Entry'!V102="","",'Supp. Result Entry'!V102)</f>
        <v/>
      </c>
      <c r="IF103" s="212" t="str">
        <f>IF('Supp. Result Entry'!Y102="","",'Supp. Result Entry'!Y102)</f>
        <v/>
      </c>
      <c r="IG103" s="212" t="str">
        <f>IF('Supp. Result Entry'!AB102="","",'Supp. Result Entry'!AB102)</f>
        <v/>
      </c>
      <c r="IH103" s="212" t="str">
        <f>IF('Supp. Result Entry'!AE102="","",'Supp. Result Entry'!AE102)</f>
        <v/>
      </c>
      <c r="II103" s="212" t="str">
        <f>IF('Supp. Result Entry'!AH102="","",'Supp. Result Entry'!AH102)</f>
        <v/>
      </c>
      <c r="IJ103" s="212" t="str">
        <f>IF('Supp. Result Entry'!AK102="","",'Supp. Result Entry'!AK102)</f>
        <v/>
      </c>
      <c r="IK103" s="212" t="str">
        <f>IF('Supp. Result Entry'!W102="","",'Supp. Result Entry'!W102)</f>
        <v/>
      </c>
      <c r="IL103" s="212" t="str">
        <f>IF('Supp. Result Entry'!Z102="","",'Supp. Result Entry'!Z102)</f>
        <v/>
      </c>
      <c r="IM103" s="212" t="str">
        <f>IF('Supp. Result Entry'!AC102="","",'Supp. Result Entry'!AC102)</f>
        <v/>
      </c>
      <c r="IN103" s="212" t="str">
        <f>IF('Supp. Result Entry'!AF102="","",'Supp. Result Entry'!AF102)</f>
        <v/>
      </c>
      <c r="IO103" s="212" t="str">
        <f>IF('Supp. Result Entry'!AI102="","",'Supp. Result Entry'!AI102)</f>
        <v/>
      </c>
      <c r="IP103" s="212" t="str">
        <f>IF('Supp. Result Entry'!AL102="","",'Supp. Result Entry'!AL102)</f>
        <v/>
      </c>
      <c r="IQ103" s="212">
        <f>COUNTIF('Supp. Result Entry'!K102:Q102,"S")</f>
        <v>0</v>
      </c>
      <c r="IR103" s="212">
        <f t="shared" si="355"/>
        <v>0</v>
      </c>
      <c r="IS103" s="212">
        <f t="shared" si="356"/>
        <v>0</v>
      </c>
      <c r="IT103" s="212" t="str">
        <f t="shared" si="224"/>
        <v/>
      </c>
      <c r="IU103" s="212" t="str">
        <f t="shared" si="225"/>
        <v/>
      </c>
      <c r="IV103" s="212" t="str">
        <f t="shared" si="226"/>
        <v/>
      </c>
      <c r="IW103" s="212" t="str">
        <f t="shared" si="227"/>
        <v/>
      </c>
      <c r="IX103" s="212" t="str">
        <f t="shared" si="228"/>
        <v/>
      </c>
      <c r="IY103" s="212" t="str">
        <f t="shared" si="357"/>
        <v/>
      </c>
      <c r="IZ103" s="212" t="str">
        <f t="shared" si="358"/>
        <v/>
      </c>
      <c r="JA103" s="212" t="str">
        <f t="shared" si="229"/>
        <v/>
      </c>
      <c r="JB103" s="210" t="str">
        <f t="shared" si="359"/>
        <v/>
      </c>
    </row>
    <row r="104" spans="1:262" s="210" customFormat="1" ht="21" customHeight="1">
      <c r="A104" s="183">
        <v>97</v>
      </c>
      <c r="B104" s="184" t="str">
        <f>IF('Marks Entry'!B104="","",'Marks Entry'!B104)</f>
        <v/>
      </c>
      <c r="C104" s="185" t="str">
        <f>IF('Marks Entry'!D104="","",'Marks Entry'!D104)</f>
        <v/>
      </c>
      <c r="D104" s="186" t="str">
        <f>IF('Marks Entry'!E104="","",'Marks Entry'!E104)</f>
        <v/>
      </c>
      <c r="E104" s="187" t="str">
        <f>IF('Marks Entry'!F104="","",'Marks Entry'!F104)</f>
        <v/>
      </c>
      <c r="F104" s="187" t="str">
        <f>IF('Marks Entry'!G104="","",'Marks Entry'!G104)</f>
        <v/>
      </c>
      <c r="G104" s="187" t="str">
        <f>IF('Marks Entry'!H104="","",'Marks Entry'!H104)</f>
        <v/>
      </c>
      <c r="H104" s="188" t="str">
        <f>IF('Marks Entry'!I104="","",'Marks Entry'!I104)</f>
        <v/>
      </c>
      <c r="I104" s="189" t="str">
        <f>IF('Marks Entry'!J104="","",'Marks Entry'!J104)</f>
        <v/>
      </c>
      <c r="J104" s="545" t="str">
        <f>IF('Marks Entry'!K104="","",'Marks Entry'!K104)</f>
        <v/>
      </c>
      <c r="K104" s="545" t="str">
        <f>IF('Marks Entry'!L104="","",'Marks Entry'!L104)</f>
        <v/>
      </c>
      <c r="L104" s="545" t="str">
        <f>IF('Marks Entry'!M104="","",'Marks Entry'!M104)</f>
        <v/>
      </c>
      <c r="M104" s="546" t="str">
        <f t="shared" si="230"/>
        <v/>
      </c>
      <c r="N104" s="545" t="str">
        <f>IF('Marks Entry'!N104="","",'Marks Entry'!N104)</f>
        <v/>
      </c>
      <c r="O104" s="546" t="str">
        <f t="shared" si="231"/>
        <v/>
      </c>
      <c r="P104" s="545" t="str">
        <f>IF('Marks Entry'!O104="","",'Marks Entry'!O104)</f>
        <v/>
      </c>
      <c r="Q104" s="547" t="str">
        <f t="shared" si="232"/>
        <v/>
      </c>
      <c r="R104" s="152">
        <f t="shared" si="233"/>
        <v>0</v>
      </c>
      <c r="S104" s="152">
        <f t="shared" si="234"/>
        <v>0</v>
      </c>
      <c r="T104" s="153" t="str">
        <f t="shared" si="235"/>
        <v/>
      </c>
      <c r="U104" s="152" t="str">
        <f t="shared" si="236"/>
        <v/>
      </c>
      <c r="V104" s="152" t="str">
        <f t="shared" si="237"/>
        <v/>
      </c>
      <c r="W104" s="152" t="str">
        <f t="shared" si="238"/>
        <v/>
      </c>
      <c r="X104" s="545" t="str">
        <f>IF('Marks Entry'!P104="","",'Marks Entry'!P104)</f>
        <v/>
      </c>
      <c r="Y104" s="545" t="str">
        <f>IF('Marks Entry'!Q104="","",'Marks Entry'!Q104)</f>
        <v/>
      </c>
      <c r="Z104" s="545" t="str">
        <f>IF('Marks Entry'!R104="","",'Marks Entry'!R104)</f>
        <v/>
      </c>
      <c r="AA104" s="546" t="str">
        <f t="shared" si="239"/>
        <v/>
      </c>
      <c r="AB104" s="545" t="str">
        <f>IF('Marks Entry'!S104="","",'Marks Entry'!S104)</f>
        <v/>
      </c>
      <c r="AC104" s="546" t="str">
        <f t="shared" si="240"/>
        <v/>
      </c>
      <c r="AD104" s="545" t="str">
        <f>IF('Marks Entry'!T104="","",'Marks Entry'!T104)</f>
        <v/>
      </c>
      <c r="AE104" s="547" t="str">
        <f t="shared" si="241"/>
        <v/>
      </c>
      <c r="AF104" s="152">
        <f t="shared" si="242"/>
        <v>0</v>
      </c>
      <c r="AG104" s="152">
        <f t="shared" si="243"/>
        <v>0</v>
      </c>
      <c r="AH104" s="153" t="str">
        <f t="shared" si="244"/>
        <v/>
      </c>
      <c r="AI104" s="152" t="str">
        <f t="shared" si="245"/>
        <v/>
      </c>
      <c r="AJ104" s="152" t="str">
        <f t="shared" si="246"/>
        <v/>
      </c>
      <c r="AK104" s="152" t="str">
        <f t="shared" si="247"/>
        <v/>
      </c>
      <c r="AL104" s="573" t="str">
        <f>IF('Marks Entry'!U104="","",'Marks Entry'!U104)</f>
        <v/>
      </c>
      <c r="AM104" s="573" t="str">
        <f>IF('Marks Entry'!V104="","",'Marks Entry'!V104)</f>
        <v/>
      </c>
      <c r="AN104" s="573" t="str">
        <f>IF('Marks Entry'!W104="","",'Marks Entry'!W104)</f>
        <v/>
      </c>
      <c r="AO104" s="573" t="str">
        <f>IF('Marks Entry'!X104="","",'Marks Entry'!X104)</f>
        <v/>
      </c>
      <c r="AP104" s="572" t="str">
        <f t="shared" si="248"/>
        <v/>
      </c>
      <c r="AQ104" s="573" t="str">
        <f>IF('Marks Entry'!Y104="","",'Marks Entry'!Y104)</f>
        <v/>
      </c>
      <c r="AR104" s="573" t="str">
        <f>IF('Marks Entry'!Z104="","",'Marks Entry'!Z104)</f>
        <v/>
      </c>
      <c r="AS104" s="572" t="str">
        <f t="shared" si="249"/>
        <v/>
      </c>
      <c r="AT104" s="572" t="str">
        <f t="shared" si="250"/>
        <v/>
      </c>
      <c r="AU104" s="573" t="str">
        <f>IF('Marks Entry'!AA104="","",'Marks Entry'!AA104)</f>
        <v/>
      </c>
      <c r="AV104" s="573" t="str">
        <f>IF('Marks Entry'!AB104="","",'Marks Entry'!AB104)</f>
        <v/>
      </c>
      <c r="AW104" s="572" t="str">
        <f t="shared" si="251"/>
        <v/>
      </c>
      <c r="AX104" s="156" t="str">
        <f t="shared" si="252"/>
        <v/>
      </c>
      <c r="AY104" s="156" t="str">
        <f t="shared" si="253"/>
        <v/>
      </c>
      <c r="AZ104" s="191" t="str">
        <f t="shared" si="254"/>
        <v/>
      </c>
      <c r="BA104" s="152">
        <f t="shared" si="255"/>
        <v>0</v>
      </c>
      <c r="BB104" s="153">
        <f t="shared" si="256"/>
        <v>0</v>
      </c>
      <c r="BC104" s="153" t="str">
        <f t="shared" si="257"/>
        <v/>
      </c>
      <c r="BD104" s="153" t="str">
        <f t="shared" si="258"/>
        <v/>
      </c>
      <c r="BE104" s="153" t="str">
        <f t="shared" si="259"/>
        <v/>
      </c>
      <c r="BF104" s="152" t="str">
        <f t="shared" si="260"/>
        <v/>
      </c>
      <c r="BG104" s="153" t="str">
        <f t="shared" si="261"/>
        <v/>
      </c>
      <c r="BH104" s="152" t="str">
        <f t="shared" si="262"/>
        <v/>
      </c>
      <c r="BI104" s="580" t="str">
        <f>IF('Marks Entry'!AC104="","",'Marks Entry'!AC104)</f>
        <v/>
      </c>
      <c r="BJ104" s="580" t="str">
        <f>IF('Marks Entry'!AD104="","",'Marks Entry'!AD104)</f>
        <v/>
      </c>
      <c r="BK104" s="580" t="str">
        <f>IF('Marks Entry'!AE104="","",'Marks Entry'!AE104)</f>
        <v/>
      </c>
      <c r="BL104" s="580" t="str">
        <f>IF('Marks Entry'!AF104="","",'Marks Entry'!AF104)</f>
        <v/>
      </c>
      <c r="BM104" s="581" t="str">
        <f t="shared" si="263"/>
        <v/>
      </c>
      <c r="BN104" s="580" t="str">
        <f>IF('Marks Entry'!AG104="","",'Marks Entry'!AG104)</f>
        <v/>
      </c>
      <c r="BO104" s="580" t="str">
        <f>IF('Marks Entry'!AH104="","",'Marks Entry'!AH104)</f>
        <v/>
      </c>
      <c r="BP104" s="581" t="str">
        <f t="shared" si="264"/>
        <v/>
      </c>
      <c r="BQ104" s="581" t="str">
        <f t="shared" si="265"/>
        <v/>
      </c>
      <c r="BR104" s="580" t="str">
        <f>IF('Marks Entry'!AI104="","",'Marks Entry'!AI104)</f>
        <v/>
      </c>
      <c r="BS104" s="580" t="str">
        <f>IF('Marks Entry'!AJ104="","",'Marks Entry'!AJ104)</f>
        <v/>
      </c>
      <c r="BT104" s="581" t="str">
        <f t="shared" si="266"/>
        <v/>
      </c>
      <c r="BU104" s="156" t="str">
        <f t="shared" si="267"/>
        <v/>
      </c>
      <c r="BV104" s="156" t="str">
        <f t="shared" si="268"/>
        <v/>
      </c>
      <c r="BW104" s="191" t="str">
        <f t="shared" si="269"/>
        <v/>
      </c>
      <c r="BX104" s="152">
        <f t="shared" si="270"/>
        <v>0</v>
      </c>
      <c r="BY104" s="153">
        <f t="shared" si="271"/>
        <v>0</v>
      </c>
      <c r="BZ104" s="153" t="str">
        <f t="shared" si="272"/>
        <v/>
      </c>
      <c r="CA104" s="153" t="str">
        <f t="shared" si="273"/>
        <v/>
      </c>
      <c r="CB104" s="153" t="str">
        <f t="shared" si="274"/>
        <v/>
      </c>
      <c r="CC104" s="152" t="str">
        <f t="shared" si="275"/>
        <v/>
      </c>
      <c r="CD104" s="153" t="str">
        <f t="shared" si="276"/>
        <v/>
      </c>
      <c r="CE104" s="152" t="str">
        <f t="shared" si="277"/>
        <v/>
      </c>
      <c r="CF104" s="580" t="str">
        <f>IF('Marks Entry'!AK104="","",'Marks Entry'!AK104)</f>
        <v/>
      </c>
      <c r="CG104" s="580" t="str">
        <f>IF('Marks Entry'!AL104="","",'Marks Entry'!AL104)</f>
        <v/>
      </c>
      <c r="CH104" s="580" t="str">
        <f>IF('Marks Entry'!AM104="","",'Marks Entry'!AM104)</f>
        <v/>
      </c>
      <c r="CI104" s="580" t="str">
        <f>IF('Marks Entry'!AN104="","",'Marks Entry'!AN104)</f>
        <v/>
      </c>
      <c r="CJ104" s="581" t="str">
        <f t="shared" si="278"/>
        <v/>
      </c>
      <c r="CK104" s="580" t="str">
        <f>IF('Marks Entry'!AO104="","",'Marks Entry'!AO104)</f>
        <v/>
      </c>
      <c r="CL104" s="580" t="str">
        <f>IF('Marks Entry'!AP104="","",'Marks Entry'!AP104)</f>
        <v/>
      </c>
      <c r="CM104" s="581" t="str">
        <f t="shared" si="279"/>
        <v/>
      </c>
      <c r="CN104" s="581" t="str">
        <f t="shared" si="280"/>
        <v/>
      </c>
      <c r="CO104" s="580" t="str">
        <f>IF('Marks Entry'!AQ104="","",'Marks Entry'!AQ104)</f>
        <v/>
      </c>
      <c r="CP104" s="580" t="str">
        <f>IF('Marks Entry'!AR104="","",'Marks Entry'!AR104)</f>
        <v/>
      </c>
      <c r="CQ104" s="581" t="str">
        <f t="shared" si="281"/>
        <v/>
      </c>
      <c r="CR104" s="156" t="str">
        <f t="shared" si="282"/>
        <v/>
      </c>
      <c r="CS104" s="156" t="str">
        <f t="shared" si="283"/>
        <v/>
      </c>
      <c r="CT104" s="191" t="str">
        <f t="shared" si="284"/>
        <v/>
      </c>
      <c r="CU104" s="152">
        <f t="shared" si="285"/>
        <v>0</v>
      </c>
      <c r="CV104" s="153">
        <f t="shared" si="286"/>
        <v>0</v>
      </c>
      <c r="CW104" s="153" t="str">
        <f t="shared" si="287"/>
        <v/>
      </c>
      <c r="CX104" s="153" t="str">
        <f t="shared" si="288"/>
        <v/>
      </c>
      <c r="CY104" s="153" t="str">
        <f t="shared" si="289"/>
        <v/>
      </c>
      <c r="CZ104" s="152" t="str">
        <f t="shared" si="290"/>
        <v/>
      </c>
      <c r="DA104" s="153" t="str">
        <f t="shared" si="291"/>
        <v/>
      </c>
      <c r="DB104" s="152" t="str">
        <f t="shared" si="292"/>
        <v/>
      </c>
      <c r="DC104" s="153">
        <f t="shared" si="293"/>
        <v>0</v>
      </c>
      <c r="DD104" s="851" t="str">
        <f>IF('Marks Entry'!AS104="","",IF(OR('Master Sheet'!$D$19="YES",'Marks Entry'!$BA$1=1),'Marks Entry'!AS104,""))</f>
        <v/>
      </c>
      <c r="DE104" s="851" t="str">
        <f>IF('Marks Entry'!AT104="","",IF(OR('Master Sheet'!$D$19="YES",'Marks Entry'!$BA$1=1),'Marks Entry'!AT104,""))</f>
        <v/>
      </c>
      <c r="DF104" s="851" t="str">
        <f>IF('Marks Entry'!AU104="","",IF(OR('Master Sheet'!$D$19="YES",'Marks Entry'!$BA$1=1),'Marks Entry'!AU104,""))</f>
        <v/>
      </c>
      <c r="DG104" s="851" t="str">
        <f>IF('Marks Entry'!AV104="","",IF(OR('Master Sheet'!$D$19="YES",'Marks Entry'!$BA$1=1),'Marks Entry'!AV104,""))</f>
        <v/>
      </c>
      <c r="DH104" s="852" t="str">
        <f t="shared" si="294"/>
        <v/>
      </c>
      <c r="DI104" s="851" t="str">
        <f>IF('Marks Entry'!AW104="","",IF(OR('Master Sheet'!$D$19="YES",'Marks Entry'!$BA$1=1),'Marks Entry'!AW104,""))</f>
        <v/>
      </c>
      <c r="DJ104" s="851" t="str">
        <f>IF('Marks Entry'!AX104="","",IF(OR('Master Sheet'!$D$19="YES",'Marks Entry'!$BA$1=1),'Marks Entry'!AX104,""))</f>
        <v/>
      </c>
      <c r="DK104" s="852" t="str">
        <f t="shared" si="295"/>
        <v/>
      </c>
      <c r="DL104" s="852" t="str">
        <f t="shared" si="296"/>
        <v/>
      </c>
      <c r="DM104" s="851" t="str">
        <f>IF('Marks Entry'!AY104="","",IF(OR('Master Sheet'!$D$19="YES",'Marks Entry'!$BA$1=1),'Marks Entry'!AY104,""))</f>
        <v/>
      </c>
      <c r="DN104" s="851" t="str">
        <f>IF('Marks Entry'!AZ104="","",IF(OR('Master Sheet'!$D$19="YES",'Marks Entry'!$BA$1=1),'Marks Entry'!AZ104,""))</f>
        <v/>
      </c>
      <c r="DO104" s="851" t="str">
        <f>IF('Marks Entry'!BA104="","",IF(OR('Master Sheet'!$D$19="YES",'Marks Entry'!$BA$1=1),'Marks Entry'!BA104,""))</f>
        <v/>
      </c>
      <c r="DP104" s="852" t="str">
        <f t="shared" si="297"/>
        <v/>
      </c>
      <c r="DQ104" s="156" t="str">
        <f t="shared" si="298"/>
        <v/>
      </c>
      <c r="DR104" s="156" t="str">
        <f t="shared" si="299"/>
        <v/>
      </c>
      <c r="DS104" s="156" t="str">
        <f t="shared" si="300"/>
        <v/>
      </c>
      <c r="DT104" s="191" t="str">
        <f t="shared" si="301"/>
        <v/>
      </c>
      <c r="DU104" s="152">
        <f t="shared" si="302"/>
        <v>0</v>
      </c>
      <c r="DV104" s="153">
        <f t="shared" si="303"/>
        <v>0</v>
      </c>
      <c r="DW104" s="153" t="str">
        <f t="shared" si="304"/>
        <v/>
      </c>
      <c r="DX104" s="153" t="str">
        <f>IF(OR($B104="NSO",$B104=0,DS104=""),"",IF(AND(DJ104="",DO104=""),"",IF('Master Sheet'!$D$19="YES",$DO$6-COUNTIF(DO104,"ML")*DO$6,DS$6-(COUNTIF(DJ104,"ML")*DJ$6)-(COUNTIF(DO104,"ML")*DO$6))))</f>
        <v/>
      </c>
      <c r="DY104" s="153" t="str">
        <f>IF(OR($B104="NSO",$B104=0),"",IF(AND(DH104="",DI104="",DM104=""),"",IF(AND('Master Sheet'!$D$19="YES",'Marks Entry'!$BA$1=1),100,IF(AND(DJ104="",DO104=""),SUM(($DQ$7+$DR$7)-(DU104+DV104)),SUM(($DQ$6+$DR$6)-(DU104+DV104))))))</f>
        <v/>
      </c>
      <c r="DZ104" s="152" t="str">
        <f t="shared" si="305"/>
        <v/>
      </c>
      <c r="EA104" s="153" t="str">
        <f t="shared" si="306"/>
        <v/>
      </c>
      <c r="EB104" s="152" t="str">
        <f t="shared" si="307"/>
        <v/>
      </c>
      <c r="EC104" s="584" t="str">
        <f>IF('Marks Entry'!BB104="","",'Marks Entry'!BB104)</f>
        <v/>
      </c>
      <c r="ED104" s="584" t="str">
        <f>IF('Marks Entry'!BC104="","",'Marks Entry'!BC104)</f>
        <v/>
      </c>
      <c r="EE104" s="584" t="str">
        <f>IF('Marks Entry'!BD104="","",'Marks Entry'!BD104)</f>
        <v/>
      </c>
      <c r="EF104" s="590" t="str">
        <f t="shared" si="308"/>
        <v/>
      </c>
      <c r="EG104" s="595">
        <f t="shared" si="309"/>
        <v>0</v>
      </c>
      <c r="EH104" s="595">
        <f t="shared" si="310"/>
        <v>0</v>
      </c>
      <c r="EI104" s="192" t="str">
        <f t="shared" si="311"/>
        <v/>
      </c>
      <c r="EJ104" s="595" t="str">
        <f t="shared" si="312"/>
        <v/>
      </c>
      <c r="EK104" s="595" t="str">
        <f t="shared" si="313"/>
        <v/>
      </c>
      <c r="EL104" s="193" t="str">
        <f t="shared" si="314"/>
        <v/>
      </c>
      <c r="EM104" s="193" t="str">
        <f t="shared" si="315"/>
        <v/>
      </c>
      <c r="EN104" s="193" t="str">
        <f t="shared" si="316"/>
        <v/>
      </c>
      <c r="EO104" s="193" t="str">
        <f t="shared" si="317"/>
        <v/>
      </c>
      <c r="EP104" s="193" t="str">
        <f t="shared" si="318"/>
        <v/>
      </c>
      <c r="EQ104" s="193" t="str">
        <f t="shared" si="319"/>
        <v/>
      </c>
      <c r="ER104" s="194">
        <f t="shared" si="320"/>
        <v>0</v>
      </c>
      <c r="ES104" s="194">
        <f t="shared" si="321"/>
        <v>0</v>
      </c>
      <c r="ET104" s="194">
        <f t="shared" si="322"/>
        <v>0</v>
      </c>
      <c r="EU104" s="194">
        <f t="shared" si="323"/>
        <v>0</v>
      </c>
      <c r="EV104" s="194">
        <f t="shared" si="324"/>
        <v>0</v>
      </c>
      <c r="EW104" s="194" t="str">
        <f t="shared" si="325"/>
        <v/>
      </c>
      <c r="EX104" s="195" t="str">
        <f t="shared" si="326"/>
        <v/>
      </c>
      <c r="EY104" s="196" t="str">
        <f>IF('Marks Entry'!BE104="","",'Marks Entry'!BE104)</f>
        <v/>
      </c>
      <c r="EZ104" s="196" t="str">
        <f>IF('Marks Entry'!BF104="","",'Marks Entry'!BF104)</f>
        <v/>
      </c>
      <c r="FA104" s="196" t="str">
        <f>IF('Marks Entry'!BG104="","",'Marks Entry'!BG104)</f>
        <v/>
      </c>
      <c r="FB104" s="596" t="str">
        <f t="shared" si="327"/>
        <v/>
      </c>
      <c r="FC104" s="196" t="str">
        <f>IF('Marks Entry'!BH104="","",'Marks Entry'!BH104)</f>
        <v/>
      </c>
      <c r="FD104" s="196" t="str">
        <f>IF('Marks Entry'!BI104="","",'Marks Entry'!BI104)</f>
        <v/>
      </c>
      <c r="FE104" s="197" t="str">
        <f t="shared" si="328"/>
        <v/>
      </c>
      <c r="FF104" s="198" t="str">
        <f t="shared" si="329"/>
        <v/>
      </c>
      <c r="FG104" s="199" t="str">
        <f>IF(AND(E104=""),"",IF('Student DATA Entry'!L100="","",'Student DATA Entry'!L100))</f>
        <v/>
      </c>
      <c r="FH104" s="200" t="str">
        <f>IF(AND(E104=""),"",IF('Student DATA Entry'!M100="","",'Student DATA Entry'!M100))</f>
        <v/>
      </c>
      <c r="FI104" s="201" t="str">
        <f t="shared" si="330"/>
        <v/>
      </c>
      <c r="FJ104" s="188" t="str">
        <f t="shared" si="331"/>
        <v/>
      </c>
      <c r="FK104" s="188" t="str">
        <f t="shared" si="332"/>
        <v/>
      </c>
      <c r="FL104" s="202" t="str">
        <f t="shared" ref="FL104:FL135" si="360">IF(FJ104="G",ROUNDUP(36%*T104-Q104,0),"")</f>
        <v/>
      </c>
      <c r="FM104" s="188" t="str">
        <f t="shared" si="333"/>
        <v/>
      </c>
      <c r="FN104" s="203" t="str">
        <f t="shared" si="334"/>
        <v/>
      </c>
      <c r="FO104" s="202" t="str">
        <f t="shared" ref="FO104:FO135" si="361">IF(FM104="G",ROUNDUP(36%*AH104-AE104,0),"")</f>
        <v/>
      </c>
      <c r="FP104" s="204" t="str">
        <f t="shared" si="335"/>
        <v/>
      </c>
      <c r="FQ104" s="188" t="str">
        <f t="shared" ref="FQ104:FQ135" si="362">IF(AL104="A",FP104,"")</f>
        <v/>
      </c>
      <c r="FR104" s="188" t="str">
        <f t="shared" ref="FR104:FR135" si="363">IF(AL104="B",FP104,"")</f>
        <v/>
      </c>
      <c r="FS104" s="188" t="str">
        <f t="shared" ref="FS104:FS135" si="364">IF(AL104="C",FP104,"")</f>
        <v/>
      </c>
      <c r="FT104" s="188" t="str">
        <f t="shared" ref="FT104:FT135" si="365">IF(AL104="D",FP104,"")</f>
        <v/>
      </c>
      <c r="FU104" s="188" t="str">
        <f t="shared" si="336"/>
        <v/>
      </c>
      <c r="FV104" s="205" t="str">
        <f t="shared" ref="FV104:FV135" si="366">IF(FP104="G",ROUNDUP(36%*BE104-AX104,0),"")</f>
        <v/>
      </c>
      <c r="FW104" s="204" t="str">
        <f t="shared" si="337"/>
        <v/>
      </c>
      <c r="FX104" s="188" t="str">
        <f t="shared" ref="FX104:FX135" si="367">IF(BI104="A",FW104,"")</f>
        <v/>
      </c>
      <c r="FY104" s="188" t="str">
        <f t="shared" ref="FY104:FY135" si="368">IF(BI104="B",FW104,"")</f>
        <v/>
      </c>
      <c r="FZ104" s="188" t="str">
        <f t="shared" ref="FZ104:FZ135" si="369">IF(BI104="C",FW104,"")</f>
        <v/>
      </c>
      <c r="GA104" s="188" t="str">
        <f t="shared" ref="GA104:GA135" si="370">IF(BI104="D",FW104,"")</f>
        <v/>
      </c>
      <c r="GB104" s="188" t="str">
        <f t="shared" si="338"/>
        <v/>
      </c>
      <c r="GC104" s="205" t="str">
        <f t="shared" ref="GC104:GC135" si="371">IF(FW104="G",ROUNDUP(36%*CB104-BU104,0),"")</f>
        <v/>
      </c>
      <c r="GD104" s="204" t="str">
        <f t="shared" si="339"/>
        <v/>
      </c>
      <c r="GE104" s="188" t="str">
        <f t="shared" ref="GE104:GE135" si="372">IF(CF104="A",GD104,"")</f>
        <v/>
      </c>
      <c r="GF104" s="188" t="str">
        <f t="shared" ref="GF104:GF135" si="373">IF(CF104="B",GD104,"")</f>
        <v/>
      </c>
      <c r="GG104" s="188" t="str">
        <f t="shared" ref="GG104:GG135" si="374">IF(CF104="C",GD104,"")</f>
        <v/>
      </c>
      <c r="GH104" s="188" t="str">
        <f t="shared" ref="GH104:GH135" si="375">IF(CF104="D",GD104,"")</f>
        <v/>
      </c>
      <c r="GI104" s="188" t="str">
        <f t="shared" si="340"/>
        <v/>
      </c>
      <c r="GJ104" s="205" t="str">
        <f t="shared" ref="GJ104:GJ135" si="376">IF(GD104="G",ROUNDUP(36%*CY104-CR104,0),"")</f>
        <v/>
      </c>
      <c r="GK104" s="204" t="str">
        <f t="shared" si="341"/>
        <v/>
      </c>
      <c r="GL104" s="188" t="str">
        <f t="shared" ref="GL104:GL135" si="377">IF(DD104="A",GK104,"")</f>
        <v/>
      </c>
      <c r="GM104" s="188" t="str">
        <f t="shared" ref="GM104:GM135" si="378">IF(DD104="B",GK104,"")</f>
        <v/>
      </c>
      <c r="GN104" s="188" t="str">
        <f t="shared" ref="GN104:GN135" si="379">IF(DD104="C",GK104,"")</f>
        <v/>
      </c>
      <c r="GO104" s="188" t="str">
        <f t="shared" ref="GO104:GO135" si="380">IF(DD104="D",GK104,"")</f>
        <v/>
      </c>
      <c r="GP104" s="188" t="str">
        <f t="shared" si="342"/>
        <v/>
      </c>
      <c r="GQ104" s="205" t="str">
        <f t="shared" ref="GQ104:GQ135" si="381">IF(GK104="G",ROUNDUP(36%*DY104-DQ104,0),"")</f>
        <v/>
      </c>
      <c r="GR104" s="188" t="str">
        <f t="shared" si="343"/>
        <v/>
      </c>
      <c r="GS104" s="188" t="str">
        <f t="shared" si="344"/>
        <v/>
      </c>
      <c r="GT104" s="206" t="str">
        <f t="shared" si="345"/>
        <v xml:space="preserve">    </v>
      </c>
      <c r="GU104" s="206" t="str">
        <f t="shared" si="346"/>
        <v xml:space="preserve">    </v>
      </c>
      <c r="GV104" s="206" t="str">
        <f t="shared" si="347"/>
        <v xml:space="preserve">    </v>
      </c>
      <c r="GW104" s="206" t="str">
        <f t="shared" si="348"/>
        <v xml:space="preserve">       </v>
      </c>
      <c r="GX104" s="598" t="str">
        <f t="shared" si="349"/>
        <v xml:space="preserve">     </v>
      </c>
      <c r="GY104" s="207" t="str">
        <f t="shared" ref="GY104:GY135" si="382">IF(B104="NSO","NSO",IF(AND(OR(EX104="PASS",EX104="BY GRACE PASS",EX104="RE-EXAM"),EW104="F"),"FAIL",IF(AND(OR(EX104="PASS",EX104="BY GRACE PASS"),EW104="RE"),"RE-EXAM",EX104)))</f>
        <v/>
      </c>
      <c r="GZ104" s="606" t="str">
        <f>IF(AND(Q104="",AE104="",AZ104="",BW104="",CT104=""),"",IF(AND('Master Sheet'!$D$19="YES",'Marks Entry'!$BA$1=1),SUM(Q104,AE104,AZ104,BW104,DT104),SUM(Q104,AE104,AZ104,BW104,CT104)))</f>
        <v/>
      </c>
      <c r="HA104" s="208" t="str">
        <f>IF(GZ104="","",IF(AND('Master Sheet'!$D$19="YES",'Marks Entry'!$BA$1=1),GZ104/((900)-DC104)*100,GZ104/((1000)-DC104)*100))</f>
        <v/>
      </c>
      <c r="HB104" s="611" t="str">
        <f t="shared" si="350"/>
        <v/>
      </c>
      <c r="HC104" s="609" t="str">
        <f t="shared" si="351"/>
        <v/>
      </c>
      <c r="HD104" s="610" t="str">
        <f t="shared" si="352"/>
        <v/>
      </c>
      <c r="HE104" s="209" t="str">
        <f>IFERROR(IF(OR(GY104="SUPPLEMENTARY",GY104="RE-EXAM"),'Supp. Result Entry'!AS103,""),"")</f>
        <v/>
      </c>
      <c r="HF104" s="613" t="str">
        <f t="shared" si="353"/>
        <v/>
      </c>
      <c r="HG104" s="598" t="str">
        <f t="shared" si="354"/>
        <v/>
      </c>
      <c r="HH104" s="598" t="str">
        <f>IF(AND(HE104="",HF104="",HG104=""),"",IF(OR(GY104="SUPPLEMENTARY",GY104="RE-EXAM"),'Supp. Result Entry'!AS103,GY104))</f>
        <v/>
      </c>
      <c r="HI104" s="179"/>
      <c r="HY104" s="211" t="str">
        <f>IF('Supp. Result Entry'!U103="","",'Supp. Result Entry'!$U$6)</f>
        <v/>
      </c>
      <c r="HZ104" s="212" t="str">
        <f>IF('Supp. Result Entry'!X103="","",'Supp. Result Entry'!$X$6)</f>
        <v/>
      </c>
      <c r="IA104" s="212" t="str">
        <f>IF('Supp. Result Entry'!AA103="","",'Supp. Result Entry'!$AA$6)</f>
        <v/>
      </c>
      <c r="IB104" s="212" t="str">
        <f>IF('Supp. Result Entry'!AD103="","",'Supp. Result Entry'!$AD$6)</f>
        <v/>
      </c>
      <c r="IC104" s="212" t="str">
        <f>IF('Supp. Result Entry'!AG103="","",'Supp. Result Entry'!$AG$6)</f>
        <v/>
      </c>
      <c r="ID104" s="212" t="str">
        <f>IF('Supp. Result Entry'!AJ103="","",'Supp. Result Entry'!$AJ$6)</f>
        <v/>
      </c>
      <c r="IE104" s="212" t="str">
        <f>IF('Supp. Result Entry'!V103="","",'Supp. Result Entry'!V103)</f>
        <v/>
      </c>
      <c r="IF104" s="212" t="str">
        <f>IF('Supp. Result Entry'!Y103="","",'Supp. Result Entry'!Y103)</f>
        <v/>
      </c>
      <c r="IG104" s="212" t="str">
        <f>IF('Supp. Result Entry'!AB103="","",'Supp. Result Entry'!AB103)</f>
        <v/>
      </c>
      <c r="IH104" s="212" t="str">
        <f>IF('Supp. Result Entry'!AE103="","",'Supp. Result Entry'!AE103)</f>
        <v/>
      </c>
      <c r="II104" s="212" t="str">
        <f>IF('Supp. Result Entry'!AH103="","",'Supp. Result Entry'!AH103)</f>
        <v/>
      </c>
      <c r="IJ104" s="212" t="str">
        <f>IF('Supp. Result Entry'!AK103="","",'Supp. Result Entry'!AK103)</f>
        <v/>
      </c>
      <c r="IK104" s="212" t="str">
        <f>IF('Supp. Result Entry'!W103="","",'Supp. Result Entry'!W103)</f>
        <v/>
      </c>
      <c r="IL104" s="212" t="str">
        <f>IF('Supp. Result Entry'!Z103="","",'Supp. Result Entry'!Z103)</f>
        <v/>
      </c>
      <c r="IM104" s="212" t="str">
        <f>IF('Supp. Result Entry'!AC103="","",'Supp. Result Entry'!AC103)</f>
        <v/>
      </c>
      <c r="IN104" s="212" t="str">
        <f>IF('Supp. Result Entry'!AF103="","",'Supp. Result Entry'!AF103)</f>
        <v/>
      </c>
      <c r="IO104" s="212" t="str">
        <f>IF('Supp. Result Entry'!AI103="","",'Supp. Result Entry'!AI103)</f>
        <v/>
      </c>
      <c r="IP104" s="212" t="str">
        <f>IF('Supp. Result Entry'!AL103="","",'Supp. Result Entry'!AL103)</f>
        <v/>
      </c>
      <c r="IQ104" s="212">
        <f>COUNTIF('Supp. Result Entry'!K103:Q103,"S")</f>
        <v>0</v>
      </c>
      <c r="IR104" s="212">
        <f t="shared" si="355"/>
        <v>0</v>
      </c>
      <c r="IS104" s="212">
        <f t="shared" si="356"/>
        <v>0</v>
      </c>
      <c r="IT104" s="212" t="str">
        <f t="shared" si="224"/>
        <v/>
      </c>
      <c r="IU104" s="212" t="str">
        <f t="shared" si="225"/>
        <v/>
      </c>
      <c r="IV104" s="212" t="str">
        <f t="shared" si="226"/>
        <v/>
      </c>
      <c r="IW104" s="212" t="str">
        <f t="shared" si="227"/>
        <v/>
      </c>
      <c r="IX104" s="212" t="str">
        <f t="shared" si="228"/>
        <v/>
      </c>
      <c r="IY104" s="212" t="str">
        <f t="shared" si="357"/>
        <v/>
      </c>
      <c r="IZ104" s="212" t="str">
        <f t="shared" si="358"/>
        <v/>
      </c>
      <c r="JA104" s="212" t="str">
        <f t="shared" si="229"/>
        <v/>
      </c>
      <c r="JB104" s="210" t="str">
        <f t="shared" si="359"/>
        <v/>
      </c>
    </row>
    <row r="105" spans="1:262" s="210" customFormat="1" ht="21" customHeight="1">
      <c r="A105" s="183">
        <v>98</v>
      </c>
      <c r="B105" s="184" t="str">
        <f>IF('Marks Entry'!B105="","",'Marks Entry'!B105)</f>
        <v/>
      </c>
      <c r="C105" s="185" t="str">
        <f>IF('Marks Entry'!D105="","",'Marks Entry'!D105)</f>
        <v/>
      </c>
      <c r="D105" s="186" t="str">
        <f>IF('Marks Entry'!E105="","",'Marks Entry'!E105)</f>
        <v/>
      </c>
      <c r="E105" s="187" t="str">
        <f>IF('Marks Entry'!F105="","",'Marks Entry'!F105)</f>
        <v/>
      </c>
      <c r="F105" s="187" t="str">
        <f>IF('Marks Entry'!G105="","",'Marks Entry'!G105)</f>
        <v/>
      </c>
      <c r="G105" s="187" t="str">
        <f>IF('Marks Entry'!H105="","",'Marks Entry'!H105)</f>
        <v/>
      </c>
      <c r="H105" s="188" t="str">
        <f>IF('Marks Entry'!I105="","",'Marks Entry'!I105)</f>
        <v/>
      </c>
      <c r="I105" s="189" t="str">
        <f>IF('Marks Entry'!J105="","",'Marks Entry'!J105)</f>
        <v/>
      </c>
      <c r="J105" s="545" t="str">
        <f>IF('Marks Entry'!K105="","",'Marks Entry'!K105)</f>
        <v/>
      </c>
      <c r="K105" s="545" t="str">
        <f>IF('Marks Entry'!L105="","",'Marks Entry'!L105)</f>
        <v/>
      </c>
      <c r="L105" s="545" t="str">
        <f>IF('Marks Entry'!M105="","",'Marks Entry'!M105)</f>
        <v/>
      </c>
      <c r="M105" s="546" t="str">
        <f t="shared" si="230"/>
        <v/>
      </c>
      <c r="N105" s="545" t="str">
        <f>IF('Marks Entry'!N105="","",'Marks Entry'!N105)</f>
        <v/>
      </c>
      <c r="O105" s="546" t="str">
        <f t="shared" si="231"/>
        <v/>
      </c>
      <c r="P105" s="545" t="str">
        <f>IF('Marks Entry'!O105="","",'Marks Entry'!O105)</f>
        <v/>
      </c>
      <c r="Q105" s="547" t="str">
        <f t="shared" si="232"/>
        <v/>
      </c>
      <c r="R105" s="152">
        <f t="shared" si="233"/>
        <v>0</v>
      </c>
      <c r="S105" s="152">
        <f t="shared" si="234"/>
        <v>0</v>
      </c>
      <c r="T105" s="153" t="str">
        <f t="shared" si="235"/>
        <v/>
      </c>
      <c r="U105" s="152" t="str">
        <f t="shared" si="236"/>
        <v/>
      </c>
      <c r="V105" s="152" t="str">
        <f t="shared" si="237"/>
        <v/>
      </c>
      <c r="W105" s="152" t="str">
        <f t="shared" si="238"/>
        <v/>
      </c>
      <c r="X105" s="545" t="str">
        <f>IF('Marks Entry'!P105="","",'Marks Entry'!P105)</f>
        <v/>
      </c>
      <c r="Y105" s="545" t="str">
        <f>IF('Marks Entry'!Q105="","",'Marks Entry'!Q105)</f>
        <v/>
      </c>
      <c r="Z105" s="545" t="str">
        <f>IF('Marks Entry'!R105="","",'Marks Entry'!R105)</f>
        <v/>
      </c>
      <c r="AA105" s="546" t="str">
        <f t="shared" si="239"/>
        <v/>
      </c>
      <c r="AB105" s="545" t="str">
        <f>IF('Marks Entry'!S105="","",'Marks Entry'!S105)</f>
        <v/>
      </c>
      <c r="AC105" s="546" t="str">
        <f t="shared" si="240"/>
        <v/>
      </c>
      <c r="AD105" s="545" t="str">
        <f>IF('Marks Entry'!T105="","",'Marks Entry'!T105)</f>
        <v/>
      </c>
      <c r="AE105" s="547" t="str">
        <f t="shared" si="241"/>
        <v/>
      </c>
      <c r="AF105" s="152">
        <f t="shared" si="242"/>
        <v>0</v>
      </c>
      <c r="AG105" s="152">
        <f t="shared" si="243"/>
        <v>0</v>
      </c>
      <c r="AH105" s="153" t="str">
        <f t="shared" si="244"/>
        <v/>
      </c>
      <c r="AI105" s="152" t="str">
        <f t="shared" si="245"/>
        <v/>
      </c>
      <c r="AJ105" s="152" t="str">
        <f t="shared" si="246"/>
        <v/>
      </c>
      <c r="AK105" s="152" t="str">
        <f t="shared" si="247"/>
        <v/>
      </c>
      <c r="AL105" s="573" t="str">
        <f>IF('Marks Entry'!U105="","",'Marks Entry'!U105)</f>
        <v/>
      </c>
      <c r="AM105" s="573" t="str">
        <f>IF('Marks Entry'!V105="","",'Marks Entry'!V105)</f>
        <v/>
      </c>
      <c r="AN105" s="573" t="str">
        <f>IF('Marks Entry'!W105="","",'Marks Entry'!W105)</f>
        <v/>
      </c>
      <c r="AO105" s="573" t="str">
        <f>IF('Marks Entry'!X105="","",'Marks Entry'!X105)</f>
        <v/>
      </c>
      <c r="AP105" s="572" t="str">
        <f t="shared" si="248"/>
        <v/>
      </c>
      <c r="AQ105" s="573" t="str">
        <f>IF('Marks Entry'!Y105="","",'Marks Entry'!Y105)</f>
        <v/>
      </c>
      <c r="AR105" s="573" t="str">
        <f>IF('Marks Entry'!Z105="","",'Marks Entry'!Z105)</f>
        <v/>
      </c>
      <c r="AS105" s="572" t="str">
        <f t="shared" si="249"/>
        <v/>
      </c>
      <c r="AT105" s="572" t="str">
        <f t="shared" si="250"/>
        <v/>
      </c>
      <c r="AU105" s="573" t="str">
        <f>IF('Marks Entry'!AA105="","",'Marks Entry'!AA105)</f>
        <v/>
      </c>
      <c r="AV105" s="573" t="str">
        <f>IF('Marks Entry'!AB105="","",'Marks Entry'!AB105)</f>
        <v/>
      </c>
      <c r="AW105" s="572" t="str">
        <f t="shared" si="251"/>
        <v/>
      </c>
      <c r="AX105" s="156" t="str">
        <f t="shared" si="252"/>
        <v/>
      </c>
      <c r="AY105" s="156" t="str">
        <f t="shared" si="253"/>
        <v/>
      </c>
      <c r="AZ105" s="191" t="str">
        <f t="shared" si="254"/>
        <v/>
      </c>
      <c r="BA105" s="152">
        <f t="shared" si="255"/>
        <v>0</v>
      </c>
      <c r="BB105" s="153">
        <f t="shared" si="256"/>
        <v>0</v>
      </c>
      <c r="BC105" s="153" t="str">
        <f t="shared" si="257"/>
        <v/>
      </c>
      <c r="BD105" s="153" t="str">
        <f t="shared" si="258"/>
        <v/>
      </c>
      <c r="BE105" s="153" t="str">
        <f t="shared" si="259"/>
        <v/>
      </c>
      <c r="BF105" s="152" t="str">
        <f t="shared" si="260"/>
        <v/>
      </c>
      <c r="BG105" s="153" t="str">
        <f t="shared" si="261"/>
        <v/>
      </c>
      <c r="BH105" s="152" t="str">
        <f t="shared" si="262"/>
        <v/>
      </c>
      <c r="BI105" s="580" t="str">
        <f>IF('Marks Entry'!AC105="","",'Marks Entry'!AC105)</f>
        <v/>
      </c>
      <c r="BJ105" s="580" t="str">
        <f>IF('Marks Entry'!AD105="","",'Marks Entry'!AD105)</f>
        <v/>
      </c>
      <c r="BK105" s="580" t="str">
        <f>IF('Marks Entry'!AE105="","",'Marks Entry'!AE105)</f>
        <v/>
      </c>
      <c r="BL105" s="580" t="str">
        <f>IF('Marks Entry'!AF105="","",'Marks Entry'!AF105)</f>
        <v/>
      </c>
      <c r="BM105" s="581" t="str">
        <f t="shared" si="263"/>
        <v/>
      </c>
      <c r="BN105" s="580" t="str">
        <f>IF('Marks Entry'!AG105="","",'Marks Entry'!AG105)</f>
        <v/>
      </c>
      <c r="BO105" s="580" t="str">
        <f>IF('Marks Entry'!AH105="","",'Marks Entry'!AH105)</f>
        <v/>
      </c>
      <c r="BP105" s="581" t="str">
        <f t="shared" si="264"/>
        <v/>
      </c>
      <c r="BQ105" s="581" t="str">
        <f t="shared" si="265"/>
        <v/>
      </c>
      <c r="BR105" s="580" t="str">
        <f>IF('Marks Entry'!AI105="","",'Marks Entry'!AI105)</f>
        <v/>
      </c>
      <c r="BS105" s="580" t="str">
        <f>IF('Marks Entry'!AJ105="","",'Marks Entry'!AJ105)</f>
        <v/>
      </c>
      <c r="BT105" s="581" t="str">
        <f t="shared" si="266"/>
        <v/>
      </c>
      <c r="BU105" s="156" t="str">
        <f t="shared" si="267"/>
        <v/>
      </c>
      <c r="BV105" s="156" t="str">
        <f t="shared" si="268"/>
        <v/>
      </c>
      <c r="BW105" s="191" t="str">
        <f t="shared" si="269"/>
        <v/>
      </c>
      <c r="BX105" s="152">
        <f t="shared" si="270"/>
        <v>0</v>
      </c>
      <c r="BY105" s="153">
        <f t="shared" si="271"/>
        <v>0</v>
      </c>
      <c r="BZ105" s="153" t="str">
        <f t="shared" si="272"/>
        <v/>
      </c>
      <c r="CA105" s="153" t="str">
        <f t="shared" si="273"/>
        <v/>
      </c>
      <c r="CB105" s="153" t="str">
        <f t="shared" si="274"/>
        <v/>
      </c>
      <c r="CC105" s="152" t="str">
        <f t="shared" si="275"/>
        <v/>
      </c>
      <c r="CD105" s="153" t="str">
        <f t="shared" si="276"/>
        <v/>
      </c>
      <c r="CE105" s="152" t="str">
        <f t="shared" si="277"/>
        <v/>
      </c>
      <c r="CF105" s="580" t="str">
        <f>IF('Marks Entry'!AK105="","",'Marks Entry'!AK105)</f>
        <v/>
      </c>
      <c r="CG105" s="580" t="str">
        <f>IF('Marks Entry'!AL105="","",'Marks Entry'!AL105)</f>
        <v/>
      </c>
      <c r="CH105" s="580" t="str">
        <f>IF('Marks Entry'!AM105="","",'Marks Entry'!AM105)</f>
        <v/>
      </c>
      <c r="CI105" s="580" t="str">
        <f>IF('Marks Entry'!AN105="","",'Marks Entry'!AN105)</f>
        <v/>
      </c>
      <c r="CJ105" s="581" t="str">
        <f t="shared" si="278"/>
        <v/>
      </c>
      <c r="CK105" s="580" t="str">
        <f>IF('Marks Entry'!AO105="","",'Marks Entry'!AO105)</f>
        <v/>
      </c>
      <c r="CL105" s="580" t="str">
        <f>IF('Marks Entry'!AP105="","",'Marks Entry'!AP105)</f>
        <v/>
      </c>
      <c r="CM105" s="581" t="str">
        <f t="shared" si="279"/>
        <v/>
      </c>
      <c r="CN105" s="581" t="str">
        <f t="shared" si="280"/>
        <v/>
      </c>
      <c r="CO105" s="580" t="str">
        <f>IF('Marks Entry'!AQ105="","",'Marks Entry'!AQ105)</f>
        <v/>
      </c>
      <c r="CP105" s="580" t="str">
        <f>IF('Marks Entry'!AR105="","",'Marks Entry'!AR105)</f>
        <v/>
      </c>
      <c r="CQ105" s="581" t="str">
        <f t="shared" si="281"/>
        <v/>
      </c>
      <c r="CR105" s="156" t="str">
        <f t="shared" si="282"/>
        <v/>
      </c>
      <c r="CS105" s="156" t="str">
        <f t="shared" si="283"/>
        <v/>
      </c>
      <c r="CT105" s="191" t="str">
        <f t="shared" si="284"/>
        <v/>
      </c>
      <c r="CU105" s="152">
        <f t="shared" si="285"/>
        <v>0</v>
      </c>
      <c r="CV105" s="153">
        <f t="shared" si="286"/>
        <v>0</v>
      </c>
      <c r="CW105" s="153" t="str">
        <f t="shared" si="287"/>
        <v/>
      </c>
      <c r="CX105" s="153" t="str">
        <f t="shared" si="288"/>
        <v/>
      </c>
      <c r="CY105" s="153" t="str">
        <f t="shared" si="289"/>
        <v/>
      </c>
      <c r="CZ105" s="152" t="str">
        <f t="shared" si="290"/>
        <v/>
      </c>
      <c r="DA105" s="153" t="str">
        <f t="shared" si="291"/>
        <v/>
      </c>
      <c r="DB105" s="152" t="str">
        <f t="shared" si="292"/>
        <v/>
      </c>
      <c r="DC105" s="153">
        <f t="shared" si="293"/>
        <v>0</v>
      </c>
      <c r="DD105" s="851" t="str">
        <f>IF('Marks Entry'!AS105="","",IF(OR('Master Sheet'!$D$19="YES",'Marks Entry'!$BA$1=1),'Marks Entry'!AS105,""))</f>
        <v/>
      </c>
      <c r="DE105" s="851" t="str">
        <f>IF('Marks Entry'!AT105="","",IF(OR('Master Sheet'!$D$19="YES",'Marks Entry'!$BA$1=1),'Marks Entry'!AT105,""))</f>
        <v/>
      </c>
      <c r="DF105" s="851" t="str">
        <f>IF('Marks Entry'!AU105="","",IF(OR('Master Sheet'!$D$19="YES",'Marks Entry'!$BA$1=1),'Marks Entry'!AU105,""))</f>
        <v/>
      </c>
      <c r="DG105" s="851" t="str">
        <f>IF('Marks Entry'!AV105="","",IF(OR('Master Sheet'!$D$19="YES",'Marks Entry'!$BA$1=1),'Marks Entry'!AV105,""))</f>
        <v/>
      </c>
      <c r="DH105" s="852" t="str">
        <f t="shared" si="294"/>
        <v/>
      </c>
      <c r="DI105" s="851" t="str">
        <f>IF('Marks Entry'!AW105="","",IF(OR('Master Sheet'!$D$19="YES",'Marks Entry'!$BA$1=1),'Marks Entry'!AW105,""))</f>
        <v/>
      </c>
      <c r="DJ105" s="851" t="str">
        <f>IF('Marks Entry'!AX105="","",IF(OR('Master Sheet'!$D$19="YES",'Marks Entry'!$BA$1=1),'Marks Entry'!AX105,""))</f>
        <v/>
      </c>
      <c r="DK105" s="852" t="str">
        <f t="shared" si="295"/>
        <v/>
      </c>
      <c r="DL105" s="852" t="str">
        <f t="shared" si="296"/>
        <v/>
      </c>
      <c r="DM105" s="851" t="str">
        <f>IF('Marks Entry'!AY105="","",IF(OR('Master Sheet'!$D$19="YES",'Marks Entry'!$BA$1=1),'Marks Entry'!AY105,""))</f>
        <v/>
      </c>
      <c r="DN105" s="851" t="str">
        <f>IF('Marks Entry'!AZ105="","",IF(OR('Master Sheet'!$D$19="YES",'Marks Entry'!$BA$1=1),'Marks Entry'!AZ105,""))</f>
        <v/>
      </c>
      <c r="DO105" s="851" t="str">
        <f>IF('Marks Entry'!BA105="","",IF(OR('Master Sheet'!$D$19="YES",'Marks Entry'!$BA$1=1),'Marks Entry'!BA105,""))</f>
        <v/>
      </c>
      <c r="DP105" s="852" t="str">
        <f t="shared" si="297"/>
        <v/>
      </c>
      <c r="DQ105" s="156" t="str">
        <f t="shared" si="298"/>
        <v/>
      </c>
      <c r="DR105" s="156" t="str">
        <f t="shared" si="299"/>
        <v/>
      </c>
      <c r="DS105" s="156" t="str">
        <f t="shared" si="300"/>
        <v/>
      </c>
      <c r="DT105" s="191" t="str">
        <f t="shared" si="301"/>
        <v/>
      </c>
      <c r="DU105" s="152">
        <f t="shared" si="302"/>
        <v>0</v>
      </c>
      <c r="DV105" s="153">
        <f t="shared" si="303"/>
        <v>0</v>
      </c>
      <c r="DW105" s="153" t="str">
        <f t="shared" si="304"/>
        <v/>
      </c>
      <c r="DX105" s="153" t="str">
        <f>IF(OR($B105="NSO",$B105=0,DS105=""),"",IF(AND(DJ105="",DO105=""),"",IF('Master Sheet'!$D$19="YES",$DO$6-COUNTIF(DO105,"ML")*DO$6,DS$6-(COUNTIF(DJ105,"ML")*DJ$6)-(COUNTIF(DO105,"ML")*DO$6))))</f>
        <v/>
      </c>
      <c r="DY105" s="153" t="str">
        <f>IF(OR($B105="NSO",$B105=0),"",IF(AND(DH105="",DI105="",DM105=""),"",IF(AND('Master Sheet'!$D$19="YES",'Marks Entry'!$BA$1=1),100,IF(AND(DJ105="",DO105=""),SUM(($DQ$7+$DR$7)-(DU105+DV105)),SUM(($DQ$6+$DR$6)-(DU105+DV105))))))</f>
        <v/>
      </c>
      <c r="DZ105" s="152" t="str">
        <f t="shared" si="305"/>
        <v/>
      </c>
      <c r="EA105" s="153" t="str">
        <f t="shared" si="306"/>
        <v/>
      </c>
      <c r="EB105" s="152" t="str">
        <f t="shared" si="307"/>
        <v/>
      </c>
      <c r="EC105" s="584" t="str">
        <f>IF('Marks Entry'!BB105="","",'Marks Entry'!BB105)</f>
        <v/>
      </c>
      <c r="ED105" s="584" t="str">
        <f>IF('Marks Entry'!BC105="","",'Marks Entry'!BC105)</f>
        <v/>
      </c>
      <c r="EE105" s="584" t="str">
        <f>IF('Marks Entry'!BD105="","",'Marks Entry'!BD105)</f>
        <v/>
      </c>
      <c r="EF105" s="590" t="str">
        <f t="shared" si="308"/>
        <v/>
      </c>
      <c r="EG105" s="595">
        <f t="shared" si="309"/>
        <v>0</v>
      </c>
      <c r="EH105" s="595">
        <f t="shared" si="310"/>
        <v>0</v>
      </c>
      <c r="EI105" s="192" t="str">
        <f t="shared" si="311"/>
        <v/>
      </c>
      <c r="EJ105" s="595" t="str">
        <f t="shared" si="312"/>
        <v/>
      </c>
      <c r="EK105" s="595" t="str">
        <f t="shared" si="313"/>
        <v/>
      </c>
      <c r="EL105" s="193" t="str">
        <f t="shared" si="314"/>
        <v/>
      </c>
      <c r="EM105" s="193" t="str">
        <f t="shared" si="315"/>
        <v/>
      </c>
      <c r="EN105" s="193" t="str">
        <f t="shared" si="316"/>
        <v/>
      </c>
      <c r="EO105" s="193" t="str">
        <f t="shared" si="317"/>
        <v/>
      </c>
      <c r="EP105" s="193" t="str">
        <f t="shared" si="318"/>
        <v/>
      </c>
      <c r="EQ105" s="193" t="str">
        <f t="shared" si="319"/>
        <v/>
      </c>
      <c r="ER105" s="194">
        <f t="shared" si="320"/>
        <v>0</v>
      </c>
      <c r="ES105" s="194">
        <f t="shared" si="321"/>
        <v>0</v>
      </c>
      <c r="ET105" s="194">
        <f t="shared" si="322"/>
        <v>0</v>
      </c>
      <c r="EU105" s="194">
        <f t="shared" si="323"/>
        <v>0</v>
      </c>
      <c r="EV105" s="194">
        <f t="shared" si="324"/>
        <v>0</v>
      </c>
      <c r="EW105" s="194" t="str">
        <f t="shared" si="325"/>
        <v/>
      </c>
      <c r="EX105" s="195" t="str">
        <f t="shared" si="326"/>
        <v/>
      </c>
      <c r="EY105" s="196" t="str">
        <f>IF('Marks Entry'!BE105="","",'Marks Entry'!BE105)</f>
        <v/>
      </c>
      <c r="EZ105" s="196" t="str">
        <f>IF('Marks Entry'!BF105="","",'Marks Entry'!BF105)</f>
        <v/>
      </c>
      <c r="FA105" s="196" t="str">
        <f>IF('Marks Entry'!BG105="","",'Marks Entry'!BG105)</f>
        <v/>
      </c>
      <c r="FB105" s="596" t="str">
        <f t="shared" si="327"/>
        <v/>
      </c>
      <c r="FC105" s="196" t="str">
        <f>IF('Marks Entry'!BH105="","",'Marks Entry'!BH105)</f>
        <v/>
      </c>
      <c r="FD105" s="196" t="str">
        <f>IF('Marks Entry'!BI105="","",'Marks Entry'!BI105)</f>
        <v/>
      </c>
      <c r="FE105" s="197" t="str">
        <f t="shared" si="328"/>
        <v/>
      </c>
      <c r="FF105" s="198" t="str">
        <f t="shared" si="329"/>
        <v/>
      </c>
      <c r="FG105" s="199" t="str">
        <f>IF(AND(E105=""),"",IF('Student DATA Entry'!L101="","",'Student DATA Entry'!L101))</f>
        <v/>
      </c>
      <c r="FH105" s="200" t="str">
        <f>IF(AND(E105=""),"",IF('Student DATA Entry'!M101="","",'Student DATA Entry'!M101))</f>
        <v/>
      </c>
      <c r="FI105" s="201" t="str">
        <f t="shared" si="330"/>
        <v/>
      </c>
      <c r="FJ105" s="188" t="str">
        <f t="shared" si="331"/>
        <v/>
      </c>
      <c r="FK105" s="188" t="str">
        <f t="shared" si="332"/>
        <v/>
      </c>
      <c r="FL105" s="202" t="str">
        <f t="shared" si="360"/>
        <v/>
      </c>
      <c r="FM105" s="188" t="str">
        <f t="shared" si="333"/>
        <v/>
      </c>
      <c r="FN105" s="203" t="str">
        <f t="shared" si="334"/>
        <v/>
      </c>
      <c r="FO105" s="202" t="str">
        <f t="shared" si="361"/>
        <v/>
      </c>
      <c r="FP105" s="204" t="str">
        <f t="shared" si="335"/>
        <v/>
      </c>
      <c r="FQ105" s="188" t="str">
        <f t="shared" si="362"/>
        <v/>
      </c>
      <c r="FR105" s="188" t="str">
        <f t="shared" si="363"/>
        <v/>
      </c>
      <c r="FS105" s="188" t="str">
        <f t="shared" si="364"/>
        <v/>
      </c>
      <c r="FT105" s="188" t="str">
        <f t="shared" si="365"/>
        <v/>
      </c>
      <c r="FU105" s="188" t="str">
        <f t="shared" si="336"/>
        <v/>
      </c>
      <c r="FV105" s="205" t="str">
        <f t="shared" si="366"/>
        <v/>
      </c>
      <c r="FW105" s="204" t="str">
        <f t="shared" si="337"/>
        <v/>
      </c>
      <c r="FX105" s="188" t="str">
        <f t="shared" si="367"/>
        <v/>
      </c>
      <c r="FY105" s="188" t="str">
        <f t="shared" si="368"/>
        <v/>
      </c>
      <c r="FZ105" s="188" t="str">
        <f t="shared" si="369"/>
        <v/>
      </c>
      <c r="GA105" s="188" t="str">
        <f t="shared" si="370"/>
        <v/>
      </c>
      <c r="GB105" s="188" t="str">
        <f t="shared" si="338"/>
        <v/>
      </c>
      <c r="GC105" s="205" t="str">
        <f t="shared" si="371"/>
        <v/>
      </c>
      <c r="GD105" s="204" t="str">
        <f t="shared" si="339"/>
        <v/>
      </c>
      <c r="GE105" s="188" t="str">
        <f t="shared" si="372"/>
        <v/>
      </c>
      <c r="GF105" s="188" t="str">
        <f t="shared" si="373"/>
        <v/>
      </c>
      <c r="GG105" s="188" t="str">
        <f t="shared" si="374"/>
        <v/>
      </c>
      <c r="GH105" s="188" t="str">
        <f t="shared" si="375"/>
        <v/>
      </c>
      <c r="GI105" s="188" t="str">
        <f t="shared" si="340"/>
        <v/>
      </c>
      <c r="GJ105" s="205" t="str">
        <f t="shared" si="376"/>
        <v/>
      </c>
      <c r="GK105" s="204" t="str">
        <f t="shared" si="341"/>
        <v/>
      </c>
      <c r="GL105" s="188" t="str">
        <f t="shared" si="377"/>
        <v/>
      </c>
      <c r="GM105" s="188" t="str">
        <f t="shared" si="378"/>
        <v/>
      </c>
      <c r="GN105" s="188" t="str">
        <f t="shared" si="379"/>
        <v/>
      </c>
      <c r="GO105" s="188" t="str">
        <f t="shared" si="380"/>
        <v/>
      </c>
      <c r="GP105" s="188" t="str">
        <f t="shared" si="342"/>
        <v/>
      </c>
      <c r="GQ105" s="205" t="str">
        <f t="shared" si="381"/>
        <v/>
      </c>
      <c r="GR105" s="188" t="str">
        <f t="shared" si="343"/>
        <v/>
      </c>
      <c r="GS105" s="188" t="str">
        <f t="shared" si="344"/>
        <v/>
      </c>
      <c r="GT105" s="206" t="str">
        <f t="shared" si="345"/>
        <v xml:space="preserve">    </v>
      </c>
      <c r="GU105" s="206" t="str">
        <f t="shared" si="346"/>
        <v xml:space="preserve">    </v>
      </c>
      <c r="GV105" s="206" t="str">
        <f t="shared" si="347"/>
        <v xml:space="preserve">    </v>
      </c>
      <c r="GW105" s="206" t="str">
        <f t="shared" si="348"/>
        <v xml:space="preserve">       </v>
      </c>
      <c r="GX105" s="598" t="str">
        <f t="shared" si="349"/>
        <v xml:space="preserve">     </v>
      </c>
      <c r="GY105" s="207" t="str">
        <f t="shared" si="382"/>
        <v/>
      </c>
      <c r="GZ105" s="606" t="str">
        <f>IF(AND(Q105="",AE105="",AZ105="",BW105="",CT105=""),"",IF(AND('Master Sheet'!$D$19="YES",'Marks Entry'!$BA$1=1),SUM(Q105,AE105,AZ105,BW105,DT105),SUM(Q105,AE105,AZ105,BW105,CT105)))</f>
        <v/>
      </c>
      <c r="HA105" s="208" t="str">
        <f>IF(GZ105="","",IF(AND('Master Sheet'!$D$19="YES",'Marks Entry'!$BA$1=1),GZ105/((900)-DC105)*100,GZ105/((1000)-DC105)*100))</f>
        <v/>
      </c>
      <c r="HB105" s="611" t="str">
        <f t="shared" si="350"/>
        <v/>
      </c>
      <c r="HC105" s="609" t="str">
        <f t="shared" si="351"/>
        <v/>
      </c>
      <c r="HD105" s="610" t="str">
        <f t="shared" si="352"/>
        <v/>
      </c>
      <c r="HE105" s="209" t="str">
        <f>IFERROR(IF(OR(GY105="SUPPLEMENTARY",GY105="RE-EXAM"),'Supp. Result Entry'!AS104,""),"")</f>
        <v/>
      </c>
      <c r="HF105" s="613" t="str">
        <f t="shared" si="353"/>
        <v/>
      </c>
      <c r="HG105" s="598" t="str">
        <f t="shared" si="354"/>
        <v/>
      </c>
      <c r="HH105" s="598" t="str">
        <f>IF(AND(HE105="",HF105="",HG105=""),"",IF(OR(GY105="SUPPLEMENTARY",GY105="RE-EXAM"),'Supp. Result Entry'!AS104,GY105))</f>
        <v/>
      </c>
      <c r="HI105" s="179"/>
      <c r="HY105" s="211" t="str">
        <f>IF('Supp. Result Entry'!U104="","",'Supp. Result Entry'!$U$6)</f>
        <v/>
      </c>
      <c r="HZ105" s="212" t="str">
        <f>IF('Supp. Result Entry'!X104="","",'Supp. Result Entry'!$X$6)</f>
        <v/>
      </c>
      <c r="IA105" s="212" t="str">
        <f>IF('Supp. Result Entry'!AA104="","",'Supp. Result Entry'!$AA$6)</f>
        <v/>
      </c>
      <c r="IB105" s="212" t="str">
        <f>IF('Supp. Result Entry'!AD104="","",'Supp. Result Entry'!$AD$6)</f>
        <v/>
      </c>
      <c r="IC105" s="212" t="str">
        <f>IF('Supp. Result Entry'!AG104="","",'Supp. Result Entry'!$AG$6)</f>
        <v/>
      </c>
      <c r="ID105" s="212" t="str">
        <f>IF('Supp. Result Entry'!AJ104="","",'Supp. Result Entry'!$AJ$6)</f>
        <v/>
      </c>
      <c r="IE105" s="212" t="str">
        <f>IF('Supp. Result Entry'!V104="","",'Supp. Result Entry'!V104)</f>
        <v/>
      </c>
      <c r="IF105" s="212" t="str">
        <f>IF('Supp. Result Entry'!Y104="","",'Supp. Result Entry'!Y104)</f>
        <v/>
      </c>
      <c r="IG105" s="212" t="str">
        <f>IF('Supp. Result Entry'!AB104="","",'Supp. Result Entry'!AB104)</f>
        <v/>
      </c>
      <c r="IH105" s="212" t="str">
        <f>IF('Supp. Result Entry'!AE104="","",'Supp. Result Entry'!AE104)</f>
        <v/>
      </c>
      <c r="II105" s="212" t="str">
        <f>IF('Supp. Result Entry'!AH104="","",'Supp. Result Entry'!AH104)</f>
        <v/>
      </c>
      <c r="IJ105" s="212" t="str">
        <f>IF('Supp. Result Entry'!AK104="","",'Supp. Result Entry'!AK104)</f>
        <v/>
      </c>
      <c r="IK105" s="212" t="str">
        <f>IF('Supp. Result Entry'!W104="","",'Supp. Result Entry'!W104)</f>
        <v/>
      </c>
      <c r="IL105" s="212" t="str">
        <f>IF('Supp. Result Entry'!Z104="","",'Supp. Result Entry'!Z104)</f>
        <v/>
      </c>
      <c r="IM105" s="212" t="str">
        <f>IF('Supp. Result Entry'!AC104="","",'Supp. Result Entry'!AC104)</f>
        <v/>
      </c>
      <c r="IN105" s="212" t="str">
        <f>IF('Supp. Result Entry'!AF104="","",'Supp. Result Entry'!AF104)</f>
        <v/>
      </c>
      <c r="IO105" s="212" t="str">
        <f>IF('Supp. Result Entry'!AI104="","",'Supp. Result Entry'!AI104)</f>
        <v/>
      </c>
      <c r="IP105" s="212" t="str">
        <f>IF('Supp. Result Entry'!AL104="","",'Supp. Result Entry'!AL104)</f>
        <v/>
      </c>
      <c r="IQ105" s="212">
        <f>COUNTIF('Supp. Result Entry'!K104:Q104,"S")</f>
        <v>0</v>
      </c>
      <c r="IR105" s="212">
        <f t="shared" si="355"/>
        <v>0</v>
      </c>
      <c r="IS105" s="212">
        <f t="shared" si="356"/>
        <v>0</v>
      </c>
      <c r="IT105" s="212" t="str">
        <f t="shared" si="224"/>
        <v/>
      </c>
      <c r="IU105" s="212" t="str">
        <f t="shared" si="225"/>
        <v/>
      </c>
      <c r="IV105" s="212" t="str">
        <f t="shared" si="226"/>
        <v/>
      </c>
      <c r="IW105" s="212" t="str">
        <f t="shared" si="227"/>
        <v/>
      </c>
      <c r="IX105" s="212" t="str">
        <f t="shared" si="228"/>
        <v/>
      </c>
      <c r="IY105" s="212" t="str">
        <f t="shared" si="357"/>
        <v/>
      </c>
      <c r="IZ105" s="212" t="str">
        <f t="shared" si="358"/>
        <v/>
      </c>
      <c r="JA105" s="212" t="str">
        <f t="shared" si="229"/>
        <v/>
      </c>
      <c r="JB105" s="210" t="str">
        <f t="shared" si="359"/>
        <v/>
      </c>
    </row>
    <row r="106" spans="1:262" s="210" customFormat="1" ht="21" customHeight="1">
      <c r="A106" s="183">
        <v>99</v>
      </c>
      <c r="B106" s="184" t="str">
        <f>IF('Marks Entry'!B106="","",'Marks Entry'!B106)</f>
        <v/>
      </c>
      <c r="C106" s="185" t="str">
        <f>IF('Marks Entry'!D106="","",'Marks Entry'!D106)</f>
        <v/>
      </c>
      <c r="D106" s="186" t="str">
        <f>IF('Marks Entry'!E106="","",'Marks Entry'!E106)</f>
        <v/>
      </c>
      <c r="E106" s="187" t="str">
        <f>IF('Marks Entry'!F106="","",'Marks Entry'!F106)</f>
        <v/>
      </c>
      <c r="F106" s="187" t="str">
        <f>IF('Marks Entry'!G106="","",'Marks Entry'!G106)</f>
        <v/>
      </c>
      <c r="G106" s="187" t="str">
        <f>IF('Marks Entry'!H106="","",'Marks Entry'!H106)</f>
        <v/>
      </c>
      <c r="H106" s="188" t="str">
        <f>IF('Marks Entry'!I106="","",'Marks Entry'!I106)</f>
        <v/>
      </c>
      <c r="I106" s="189" t="str">
        <f>IF('Marks Entry'!J106="","",'Marks Entry'!J106)</f>
        <v/>
      </c>
      <c r="J106" s="545" t="str">
        <f>IF('Marks Entry'!K106="","",'Marks Entry'!K106)</f>
        <v/>
      </c>
      <c r="K106" s="545" t="str">
        <f>IF('Marks Entry'!L106="","",'Marks Entry'!L106)</f>
        <v/>
      </c>
      <c r="L106" s="545" t="str">
        <f>IF('Marks Entry'!M106="","",'Marks Entry'!M106)</f>
        <v/>
      </c>
      <c r="M106" s="546" t="str">
        <f t="shared" si="230"/>
        <v/>
      </c>
      <c r="N106" s="545" t="str">
        <f>IF('Marks Entry'!N106="","",'Marks Entry'!N106)</f>
        <v/>
      </c>
      <c r="O106" s="546" t="str">
        <f t="shared" si="231"/>
        <v/>
      </c>
      <c r="P106" s="545" t="str">
        <f>IF('Marks Entry'!O106="","",'Marks Entry'!O106)</f>
        <v/>
      </c>
      <c r="Q106" s="547" t="str">
        <f t="shared" si="232"/>
        <v/>
      </c>
      <c r="R106" s="152">
        <f t="shared" si="233"/>
        <v>0</v>
      </c>
      <c r="S106" s="152">
        <f t="shared" si="234"/>
        <v>0</v>
      </c>
      <c r="T106" s="153" t="str">
        <f t="shared" si="235"/>
        <v/>
      </c>
      <c r="U106" s="152" t="str">
        <f t="shared" si="236"/>
        <v/>
      </c>
      <c r="V106" s="152" t="str">
        <f t="shared" si="237"/>
        <v/>
      </c>
      <c r="W106" s="152" t="str">
        <f t="shared" si="238"/>
        <v/>
      </c>
      <c r="X106" s="545" t="str">
        <f>IF('Marks Entry'!P106="","",'Marks Entry'!P106)</f>
        <v/>
      </c>
      <c r="Y106" s="545" t="str">
        <f>IF('Marks Entry'!Q106="","",'Marks Entry'!Q106)</f>
        <v/>
      </c>
      <c r="Z106" s="545" t="str">
        <f>IF('Marks Entry'!R106="","",'Marks Entry'!R106)</f>
        <v/>
      </c>
      <c r="AA106" s="546" t="str">
        <f t="shared" si="239"/>
        <v/>
      </c>
      <c r="AB106" s="545" t="str">
        <f>IF('Marks Entry'!S106="","",'Marks Entry'!S106)</f>
        <v/>
      </c>
      <c r="AC106" s="546" t="str">
        <f t="shared" si="240"/>
        <v/>
      </c>
      <c r="AD106" s="545" t="str">
        <f>IF('Marks Entry'!T106="","",'Marks Entry'!T106)</f>
        <v/>
      </c>
      <c r="AE106" s="547" t="str">
        <f t="shared" si="241"/>
        <v/>
      </c>
      <c r="AF106" s="152">
        <f t="shared" si="242"/>
        <v>0</v>
      </c>
      <c r="AG106" s="152">
        <f t="shared" si="243"/>
        <v>0</v>
      </c>
      <c r="AH106" s="153" t="str">
        <f t="shared" si="244"/>
        <v/>
      </c>
      <c r="AI106" s="152" t="str">
        <f t="shared" si="245"/>
        <v/>
      </c>
      <c r="AJ106" s="152" t="str">
        <f t="shared" si="246"/>
        <v/>
      </c>
      <c r="AK106" s="152" t="str">
        <f t="shared" si="247"/>
        <v/>
      </c>
      <c r="AL106" s="573" t="str">
        <f>IF('Marks Entry'!U106="","",'Marks Entry'!U106)</f>
        <v/>
      </c>
      <c r="AM106" s="573" t="str">
        <f>IF('Marks Entry'!V106="","",'Marks Entry'!V106)</f>
        <v/>
      </c>
      <c r="AN106" s="573" t="str">
        <f>IF('Marks Entry'!W106="","",'Marks Entry'!W106)</f>
        <v/>
      </c>
      <c r="AO106" s="573" t="str">
        <f>IF('Marks Entry'!X106="","",'Marks Entry'!X106)</f>
        <v/>
      </c>
      <c r="AP106" s="572" t="str">
        <f t="shared" si="248"/>
        <v/>
      </c>
      <c r="AQ106" s="573" t="str">
        <f>IF('Marks Entry'!Y106="","",'Marks Entry'!Y106)</f>
        <v/>
      </c>
      <c r="AR106" s="573" t="str">
        <f>IF('Marks Entry'!Z106="","",'Marks Entry'!Z106)</f>
        <v/>
      </c>
      <c r="AS106" s="572" t="str">
        <f t="shared" si="249"/>
        <v/>
      </c>
      <c r="AT106" s="572" t="str">
        <f t="shared" si="250"/>
        <v/>
      </c>
      <c r="AU106" s="573" t="str">
        <f>IF('Marks Entry'!AA106="","",'Marks Entry'!AA106)</f>
        <v/>
      </c>
      <c r="AV106" s="573" t="str">
        <f>IF('Marks Entry'!AB106="","",'Marks Entry'!AB106)</f>
        <v/>
      </c>
      <c r="AW106" s="572" t="str">
        <f t="shared" si="251"/>
        <v/>
      </c>
      <c r="AX106" s="156" t="str">
        <f t="shared" si="252"/>
        <v/>
      </c>
      <c r="AY106" s="156" t="str">
        <f t="shared" si="253"/>
        <v/>
      </c>
      <c r="AZ106" s="191" t="str">
        <f t="shared" si="254"/>
        <v/>
      </c>
      <c r="BA106" s="152">
        <f t="shared" si="255"/>
        <v>0</v>
      </c>
      <c r="BB106" s="153">
        <f t="shared" si="256"/>
        <v>0</v>
      </c>
      <c r="BC106" s="153" t="str">
        <f t="shared" si="257"/>
        <v/>
      </c>
      <c r="BD106" s="153" t="str">
        <f t="shared" si="258"/>
        <v/>
      </c>
      <c r="BE106" s="153" t="str">
        <f t="shared" si="259"/>
        <v/>
      </c>
      <c r="BF106" s="152" t="str">
        <f t="shared" si="260"/>
        <v/>
      </c>
      <c r="BG106" s="153" t="str">
        <f t="shared" si="261"/>
        <v/>
      </c>
      <c r="BH106" s="152" t="str">
        <f t="shared" si="262"/>
        <v/>
      </c>
      <c r="BI106" s="580" t="str">
        <f>IF('Marks Entry'!AC106="","",'Marks Entry'!AC106)</f>
        <v/>
      </c>
      <c r="BJ106" s="580" t="str">
        <f>IF('Marks Entry'!AD106="","",'Marks Entry'!AD106)</f>
        <v/>
      </c>
      <c r="BK106" s="580" t="str">
        <f>IF('Marks Entry'!AE106="","",'Marks Entry'!AE106)</f>
        <v/>
      </c>
      <c r="BL106" s="580" t="str">
        <f>IF('Marks Entry'!AF106="","",'Marks Entry'!AF106)</f>
        <v/>
      </c>
      <c r="BM106" s="581" t="str">
        <f t="shared" si="263"/>
        <v/>
      </c>
      <c r="BN106" s="580" t="str">
        <f>IF('Marks Entry'!AG106="","",'Marks Entry'!AG106)</f>
        <v/>
      </c>
      <c r="BO106" s="580" t="str">
        <f>IF('Marks Entry'!AH106="","",'Marks Entry'!AH106)</f>
        <v/>
      </c>
      <c r="BP106" s="581" t="str">
        <f t="shared" si="264"/>
        <v/>
      </c>
      <c r="BQ106" s="581" t="str">
        <f t="shared" si="265"/>
        <v/>
      </c>
      <c r="BR106" s="580" t="str">
        <f>IF('Marks Entry'!AI106="","",'Marks Entry'!AI106)</f>
        <v/>
      </c>
      <c r="BS106" s="580" t="str">
        <f>IF('Marks Entry'!AJ106="","",'Marks Entry'!AJ106)</f>
        <v/>
      </c>
      <c r="BT106" s="581" t="str">
        <f t="shared" si="266"/>
        <v/>
      </c>
      <c r="BU106" s="156" t="str">
        <f t="shared" si="267"/>
        <v/>
      </c>
      <c r="BV106" s="156" t="str">
        <f t="shared" si="268"/>
        <v/>
      </c>
      <c r="BW106" s="191" t="str">
        <f t="shared" si="269"/>
        <v/>
      </c>
      <c r="BX106" s="152">
        <f t="shared" si="270"/>
        <v>0</v>
      </c>
      <c r="BY106" s="153">
        <f t="shared" si="271"/>
        <v>0</v>
      </c>
      <c r="BZ106" s="153" t="str">
        <f t="shared" si="272"/>
        <v/>
      </c>
      <c r="CA106" s="153" t="str">
        <f t="shared" si="273"/>
        <v/>
      </c>
      <c r="CB106" s="153" t="str">
        <f t="shared" si="274"/>
        <v/>
      </c>
      <c r="CC106" s="152" t="str">
        <f t="shared" si="275"/>
        <v/>
      </c>
      <c r="CD106" s="153" t="str">
        <f t="shared" si="276"/>
        <v/>
      </c>
      <c r="CE106" s="152" t="str">
        <f t="shared" si="277"/>
        <v/>
      </c>
      <c r="CF106" s="580" t="str">
        <f>IF('Marks Entry'!AK106="","",'Marks Entry'!AK106)</f>
        <v/>
      </c>
      <c r="CG106" s="580" t="str">
        <f>IF('Marks Entry'!AL106="","",'Marks Entry'!AL106)</f>
        <v/>
      </c>
      <c r="CH106" s="580" t="str">
        <f>IF('Marks Entry'!AM106="","",'Marks Entry'!AM106)</f>
        <v/>
      </c>
      <c r="CI106" s="580" t="str">
        <f>IF('Marks Entry'!AN106="","",'Marks Entry'!AN106)</f>
        <v/>
      </c>
      <c r="CJ106" s="581" t="str">
        <f t="shared" si="278"/>
        <v/>
      </c>
      <c r="CK106" s="580" t="str">
        <f>IF('Marks Entry'!AO106="","",'Marks Entry'!AO106)</f>
        <v/>
      </c>
      <c r="CL106" s="580" t="str">
        <f>IF('Marks Entry'!AP106="","",'Marks Entry'!AP106)</f>
        <v/>
      </c>
      <c r="CM106" s="581" t="str">
        <f t="shared" si="279"/>
        <v/>
      </c>
      <c r="CN106" s="581" t="str">
        <f t="shared" si="280"/>
        <v/>
      </c>
      <c r="CO106" s="580" t="str">
        <f>IF('Marks Entry'!AQ106="","",'Marks Entry'!AQ106)</f>
        <v/>
      </c>
      <c r="CP106" s="580" t="str">
        <f>IF('Marks Entry'!AR106="","",'Marks Entry'!AR106)</f>
        <v/>
      </c>
      <c r="CQ106" s="581" t="str">
        <f t="shared" si="281"/>
        <v/>
      </c>
      <c r="CR106" s="156" t="str">
        <f t="shared" si="282"/>
        <v/>
      </c>
      <c r="CS106" s="156" t="str">
        <f t="shared" si="283"/>
        <v/>
      </c>
      <c r="CT106" s="191" t="str">
        <f t="shared" si="284"/>
        <v/>
      </c>
      <c r="CU106" s="152">
        <f t="shared" si="285"/>
        <v>0</v>
      </c>
      <c r="CV106" s="153">
        <f t="shared" si="286"/>
        <v>0</v>
      </c>
      <c r="CW106" s="153" t="str">
        <f t="shared" si="287"/>
        <v/>
      </c>
      <c r="CX106" s="153" t="str">
        <f t="shared" si="288"/>
        <v/>
      </c>
      <c r="CY106" s="153" t="str">
        <f t="shared" si="289"/>
        <v/>
      </c>
      <c r="CZ106" s="152" t="str">
        <f t="shared" si="290"/>
        <v/>
      </c>
      <c r="DA106" s="153" t="str">
        <f t="shared" si="291"/>
        <v/>
      </c>
      <c r="DB106" s="152" t="str">
        <f t="shared" si="292"/>
        <v/>
      </c>
      <c r="DC106" s="153">
        <f t="shared" si="293"/>
        <v>0</v>
      </c>
      <c r="DD106" s="851" t="str">
        <f>IF('Marks Entry'!AS106="","",IF(OR('Master Sheet'!$D$19="YES",'Marks Entry'!$BA$1=1),'Marks Entry'!AS106,""))</f>
        <v/>
      </c>
      <c r="DE106" s="851" t="str">
        <f>IF('Marks Entry'!AT106="","",IF(OR('Master Sheet'!$D$19="YES",'Marks Entry'!$BA$1=1),'Marks Entry'!AT106,""))</f>
        <v/>
      </c>
      <c r="DF106" s="851" t="str">
        <f>IF('Marks Entry'!AU106="","",IF(OR('Master Sheet'!$D$19="YES",'Marks Entry'!$BA$1=1),'Marks Entry'!AU106,""))</f>
        <v/>
      </c>
      <c r="DG106" s="851" t="str">
        <f>IF('Marks Entry'!AV106="","",IF(OR('Master Sheet'!$D$19="YES",'Marks Entry'!$BA$1=1),'Marks Entry'!AV106,""))</f>
        <v/>
      </c>
      <c r="DH106" s="852" t="str">
        <f t="shared" si="294"/>
        <v/>
      </c>
      <c r="DI106" s="851" t="str">
        <f>IF('Marks Entry'!AW106="","",IF(OR('Master Sheet'!$D$19="YES",'Marks Entry'!$BA$1=1),'Marks Entry'!AW106,""))</f>
        <v/>
      </c>
      <c r="DJ106" s="851" t="str">
        <f>IF('Marks Entry'!AX106="","",IF(OR('Master Sheet'!$D$19="YES",'Marks Entry'!$BA$1=1),'Marks Entry'!AX106,""))</f>
        <v/>
      </c>
      <c r="DK106" s="852" t="str">
        <f t="shared" si="295"/>
        <v/>
      </c>
      <c r="DL106" s="852" t="str">
        <f t="shared" si="296"/>
        <v/>
      </c>
      <c r="DM106" s="851" t="str">
        <f>IF('Marks Entry'!AY106="","",IF(OR('Master Sheet'!$D$19="YES",'Marks Entry'!$BA$1=1),'Marks Entry'!AY106,""))</f>
        <v/>
      </c>
      <c r="DN106" s="851" t="str">
        <f>IF('Marks Entry'!AZ106="","",IF(OR('Master Sheet'!$D$19="YES",'Marks Entry'!$BA$1=1),'Marks Entry'!AZ106,""))</f>
        <v/>
      </c>
      <c r="DO106" s="851" t="str">
        <f>IF('Marks Entry'!BA106="","",IF(OR('Master Sheet'!$D$19="YES",'Marks Entry'!$BA$1=1),'Marks Entry'!BA106,""))</f>
        <v/>
      </c>
      <c r="DP106" s="852" t="str">
        <f t="shared" si="297"/>
        <v/>
      </c>
      <c r="DQ106" s="156" t="str">
        <f t="shared" si="298"/>
        <v/>
      </c>
      <c r="DR106" s="156" t="str">
        <f t="shared" si="299"/>
        <v/>
      </c>
      <c r="DS106" s="156" t="str">
        <f t="shared" si="300"/>
        <v/>
      </c>
      <c r="DT106" s="191" t="str">
        <f t="shared" si="301"/>
        <v/>
      </c>
      <c r="DU106" s="152">
        <f t="shared" si="302"/>
        <v>0</v>
      </c>
      <c r="DV106" s="153">
        <f t="shared" si="303"/>
        <v>0</v>
      </c>
      <c r="DW106" s="153" t="str">
        <f t="shared" si="304"/>
        <v/>
      </c>
      <c r="DX106" s="153" t="str">
        <f>IF(OR($B106="NSO",$B106=0,DS106=""),"",IF(AND(DJ106="",DO106=""),"",IF('Master Sheet'!$D$19="YES",$DO$6-COUNTIF(DO106,"ML")*DO$6,DS$6-(COUNTIF(DJ106,"ML")*DJ$6)-(COUNTIF(DO106,"ML")*DO$6))))</f>
        <v/>
      </c>
      <c r="DY106" s="153" t="str">
        <f>IF(OR($B106="NSO",$B106=0),"",IF(AND(DH106="",DI106="",DM106=""),"",IF(AND('Master Sheet'!$D$19="YES",'Marks Entry'!$BA$1=1),100,IF(AND(DJ106="",DO106=""),SUM(($DQ$7+$DR$7)-(DU106+DV106)),SUM(($DQ$6+$DR$6)-(DU106+DV106))))))</f>
        <v/>
      </c>
      <c r="DZ106" s="152" t="str">
        <f t="shared" si="305"/>
        <v/>
      </c>
      <c r="EA106" s="153" t="str">
        <f t="shared" si="306"/>
        <v/>
      </c>
      <c r="EB106" s="152" t="str">
        <f t="shared" si="307"/>
        <v/>
      </c>
      <c r="EC106" s="584" t="str">
        <f>IF('Marks Entry'!BB106="","",'Marks Entry'!BB106)</f>
        <v/>
      </c>
      <c r="ED106" s="584" t="str">
        <f>IF('Marks Entry'!BC106="","",'Marks Entry'!BC106)</f>
        <v/>
      </c>
      <c r="EE106" s="584" t="str">
        <f>IF('Marks Entry'!BD106="","",'Marks Entry'!BD106)</f>
        <v/>
      </c>
      <c r="EF106" s="590" t="str">
        <f t="shared" si="308"/>
        <v/>
      </c>
      <c r="EG106" s="595">
        <f t="shared" si="309"/>
        <v>0</v>
      </c>
      <c r="EH106" s="595">
        <f t="shared" si="310"/>
        <v>0</v>
      </c>
      <c r="EI106" s="192" t="str">
        <f t="shared" si="311"/>
        <v/>
      </c>
      <c r="EJ106" s="595" t="str">
        <f t="shared" si="312"/>
        <v/>
      </c>
      <c r="EK106" s="595" t="str">
        <f t="shared" si="313"/>
        <v/>
      </c>
      <c r="EL106" s="193" t="str">
        <f t="shared" si="314"/>
        <v/>
      </c>
      <c r="EM106" s="193" t="str">
        <f t="shared" si="315"/>
        <v/>
      </c>
      <c r="EN106" s="193" t="str">
        <f t="shared" si="316"/>
        <v/>
      </c>
      <c r="EO106" s="193" t="str">
        <f t="shared" si="317"/>
        <v/>
      </c>
      <c r="EP106" s="193" t="str">
        <f t="shared" si="318"/>
        <v/>
      </c>
      <c r="EQ106" s="193" t="str">
        <f t="shared" si="319"/>
        <v/>
      </c>
      <c r="ER106" s="194">
        <f t="shared" si="320"/>
        <v>0</v>
      </c>
      <c r="ES106" s="194">
        <f t="shared" si="321"/>
        <v>0</v>
      </c>
      <c r="ET106" s="194">
        <f t="shared" si="322"/>
        <v>0</v>
      </c>
      <c r="EU106" s="194">
        <f t="shared" si="323"/>
        <v>0</v>
      </c>
      <c r="EV106" s="194">
        <f t="shared" si="324"/>
        <v>0</v>
      </c>
      <c r="EW106" s="194" t="str">
        <f t="shared" si="325"/>
        <v/>
      </c>
      <c r="EX106" s="195" t="str">
        <f t="shared" si="326"/>
        <v/>
      </c>
      <c r="EY106" s="196" t="str">
        <f>IF('Marks Entry'!BE106="","",'Marks Entry'!BE106)</f>
        <v/>
      </c>
      <c r="EZ106" s="196" t="str">
        <f>IF('Marks Entry'!BF106="","",'Marks Entry'!BF106)</f>
        <v/>
      </c>
      <c r="FA106" s="196" t="str">
        <f>IF('Marks Entry'!BG106="","",'Marks Entry'!BG106)</f>
        <v/>
      </c>
      <c r="FB106" s="596" t="str">
        <f t="shared" si="327"/>
        <v/>
      </c>
      <c r="FC106" s="196" t="str">
        <f>IF('Marks Entry'!BH106="","",'Marks Entry'!BH106)</f>
        <v/>
      </c>
      <c r="FD106" s="196" t="str">
        <f>IF('Marks Entry'!BI106="","",'Marks Entry'!BI106)</f>
        <v/>
      </c>
      <c r="FE106" s="197" t="str">
        <f t="shared" si="328"/>
        <v/>
      </c>
      <c r="FF106" s="198" t="str">
        <f t="shared" si="329"/>
        <v/>
      </c>
      <c r="FG106" s="199" t="str">
        <f>IF(AND(E106=""),"",IF('Student DATA Entry'!L102="","",'Student DATA Entry'!L102))</f>
        <v/>
      </c>
      <c r="FH106" s="200" t="str">
        <f>IF(AND(E106=""),"",IF('Student DATA Entry'!M102="","",'Student DATA Entry'!M102))</f>
        <v/>
      </c>
      <c r="FI106" s="201" t="str">
        <f t="shared" si="330"/>
        <v/>
      </c>
      <c r="FJ106" s="188" t="str">
        <f t="shared" si="331"/>
        <v/>
      </c>
      <c r="FK106" s="188" t="str">
        <f t="shared" si="332"/>
        <v/>
      </c>
      <c r="FL106" s="202" t="str">
        <f t="shared" si="360"/>
        <v/>
      </c>
      <c r="FM106" s="188" t="str">
        <f t="shared" si="333"/>
        <v/>
      </c>
      <c r="FN106" s="203" t="str">
        <f t="shared" si="334"/>
        <v/>
      </c>
      <c r="FO106" s="202" t="str">
        <f t="shared" si="361"/>
        <v/>
      </c>
      <c r="FP106" s="204" t="str">
        <f t="shared" si="335"/>
        <v/>
      </c>
      <c r="FQ106" s="188" t="str">
        <f t="shared" si="362"/>
        <v/>
      </c>
      <c r="FR106" s="188" t="str">
        <f t="shared" si="363"/>
        <v/>
      </c>
      <c r="FS106" s="188" t="str">
        <f t="shared" si="364"/>
        <v/>
      </c>
      <c r="FT106" s="188" t="str">
        <f t="shared" si="365"/>
        <v/>
      </c>
      <c r="FU106" s="188" t="str">
        <f t="shared" si="336"/>
        <v/>
      </c>
      <c r="FV106" s="205" t="str">
        <f t="shared" si="366"/>
        <v/>
      </c>
      <c r="FW106" s="204" t="str">
        <f t="shared" si="337"/>
        <v/>
      </c>
      <c r="FX106" s="188" t="str">
        <f t="shared" si="367"/>
        <v/>
      </c>
      <c r="FY106" s="188" t="str">
        <f t="shared" si="368"/>
        <v/>
      </c>
      <c r="FZ106" s="188" t="str">
        <f t="shared" si="369"/>
        <v/>
      </c>
      <c r="GA106" s="188" t="str">
        <f t="shared" si="370"/>
        <v/>
      </c>
      <c r="GB106" s="188" t="str">
        <f t="shared" si="338"/>
        <v/>
      </c>
      <c r="GC106" s="205" t="str">
        <f t="shared" si="371"/>
        <v/>
      </c>
      <c r="GD106" s="204" t="str">
        <f t="shared" si="339"/>
        <v/>
      </c>
      <c r="GE106" s="188" t="str">
        <f t="shared" si="372"/>
        <v/>
      </c>
      <c r="GF106" s="188" t="str">
        <f t="shared" si="373"/>
        <v/>
      </c>
      <c r="GG106" s="188" t="str">
        <f t="shared" si="374"/>
        <v/>
      </c>
      <c r="GH106" s="188" t="str">
        <f t="shared" si="375"/>
        <v/>
      </c>
      <c r="GI106" s="188" t="str">
        <f t="shared" si="340"/>
        <v/>
      </c>
      <c r="GJ106" s="205" t="str">
        <f t="shared" si="376"/>
        <v/>
      </c>
      <c r="GK106" s="204" t="str">
        <f t="shared" si="341"/>
        <v/>
      </c>
      <c r="GL106" s="188" t="str">
        <f t="shared" si="377"/>
        <v/>
      </c>
      <c r="GM106" s="188" t="str">
        <f t="shared" si="378"/>
        <v/>
      </c>
      <c r="GN106" s="188" t="str">
        <f t="shared" si="379"/>
        <v/>
      </c>
      <c r="GO106" s="188" t="str">
        <f t="shared" si="380"/>
        <v/>
      </c>
      <c r="GP106" s="188" t="str">
        <f t="shared" si="342"/>
        <v/>
      </c>
      <c r="GQ106" s="205" t="str">
        <f t="shared" si="381"/>
        <v/>
      </c>
      <c r="GR106" s="188" t="str">
        <f t="shared" si="343"/>
        <v/>
      </c>
      <c r="GS106" s="188" t="str">
        <f t="shared" si="344"/>
        <v/>
      </c>
      <c r="GT106" s="206" t="str">
        <f t="shared" si="345"/>
        <v xml:space="preserve">    </v>
      </c>
      <c r="GU106" s="206" t="str">
        <f t="shared" si="346"/>
        <v xml:space="preserve">    </v>
      </c>
      <c r="GV106" s="206" t="str">
        <f t="shared" si="347"/>
        <v xml:space="preserve">    </v>
      </c>
      <c r="GW106" s="206" t="str">
        <f t="shared" si="348"/>
        <v xml:space="preserve">       </v>
      </c>
      <c r="GX106" s="598" t="str">
        <f t="shared" si="349"/>
        <v xml:space="preserve">     </v>
      </c>
      <c r="GY106" s="207" t="str">
        <f t="shared" si="382"/>
        <v/>
      </c>
      <c r="GZ106" s="606" t="str">
        <f>IF(AND(Q106="",AE106="",AZ106="",BW106="",CT106=""),"",IF(AND('Master Sheet'!$D$19="YES",'Marks Entry'!$BA$1=1),SUM(Q106,AE106,AZ106,BW106,DT106),SUM(Q106,AE106,AZ106,BW106,CT106)))</f>
        <v/>
      </c>
      <c r="HA106" s="208" t="str">
        <f>IF(GZ106="","",IF(AND('Master Sheet'!$D$19="YES",'Marks Entry'!$BA$1=1),GZ106/((900)-DC106)*100,GZ106/((1000)-DC106)*100))</f>
        <v/>
      </c>
      <c r="HB106" s="611" t="str">
        <f t="shared" si="350"/>
        <v/>
      </c>
      <c r="HC106" s="609" t="str">
        <f t="shared" si="351"/>
        <v/>
      </c>
      <c r="HD106" s="610" t="str">
        <f t="shared" si="352"/>
        <v/>
      </c>
      <c r="HE106" s="209" t="str">
        <f>IFERROR(IF(OR(GY106="SUPPLEMENTARY",GY106="RE-EXAM"),'Supp. Result Entry'!AS105,""),"")</f>
        <v/>
      </c>
      <c r="HF106" s="613" t="str">
        <f t="shared" si="353"/>
        <v/>
      </c>
      <c r="HG106" s="598" t="str">
        <f t="shared" si="354"/>
        <v/>
      </c>
      <c r="HH106" s="598" t="str">
        <f>IF(AND(HE106="",HF106="",HG106=""),"",IF(OR(GY106="SUPPLEMENTARY",GY106="RE-EXAM"),'Supp. Result Entry'!AS105,GY106))</f>
        <v/>
      </c>
      <c r="HI106" s="179"/>
      <c r="HY106" s="211" t="str">
        <f>IF('Supp. Result Entry'!U105="","",'Supp. Result Entry'!$U$6)</f>
        <v/>
      </c>
      <c r="HZ106" s="212" t="str">
        <f>IF('Supp. Result Entry'!X105="","",'Supp. Result Entry'!$X$6)</f>
        <v/>
      </c>
      <c r="IA106" s="212" t="str">
        <f>IF('Supp. Result Entry'!AA105="","",'Supp. Result Entry'!$AA$6)</f>
        <v/>
      </c>
      <c r="IB106" s="212" t="str">
        <f>IF('Supp. Result Entry'!AD105="","",'Supp. Result Entry'!$AD$6)</f>
        <v/>
      </c>
      <c r="IC106" s="212" t="str">
        <f>IF('Supp. Result Entry'!AG105="","",'Supp. Result Entry'!$AG$6)</f>
        <v/>
      </c>
      <c r="ID106" s="212" t="str">
        <f>IF('Supp. Result Entry'!AJ105="","",'Supp. Result Entry'!$AJ$6)</f>
        <v/>
      </c>
      <c r="IE106" s="212" t="str">
        <f>IF('Supp. Result Entry'!V105="","",'Supp. Result Entry'!V105)</f>
        <v/>
      </c>
      <c r="IF106" s="212" t="str">
        <f>IF('Supp. Result Entry'!Y105="","",'Supp. Result Entry'!Y105)</f>
        <v/>
      </c>
      <c r="IG106" s="212" t="str">
        <f>IF('Supp. Result Entry'!AB105="","",'Supp. Result Entry'!AB105)</f>
        <v/>
      </c>
      <c r="IH106" s="212" t="str">
        <f>IF('Supp. Result Entry'!AE105="","",'Supp. Result Entry'!AE105)</f>
        <v/>
      </c>
      <c r="II106" s="212" t="str">
        <f>IF('Supp. Result Entry'!AH105="","",'Supp. Result Entry'!AH105)</f>
        <v/>
      </c>
      <c r="IJ106" s="212" t="str">
        <f>IF('Supp. Result Entry'!AK105="","",'Supp. Result Entry'!AK105)</f>
        <v/>
      </c>
      <c r="IK106" s="212" t="str">
        <f>IF('Supp. Result Entry'!W105="","",'Supp. Result Entry'!W105)</f>
        <v/>
      </c>
      <c r="IL106" s="212" t="str">
        <f>IF('Supp. Result Entry'!Z105="","",'Supp. Result Entry'!Z105)</f>
        <v/>
      </c>
      <c r="IM106" s="212" t="str">
        <f>IF('Supp. Result Entry'!AC105="","",'Supp. Result Entry'!AC105)</f>
        <v/>
      </c>
      <c r="IN106" s="212" t="str">
        <f>IF('Supp. Result Entry'!AF105="","",'Supp. Result Entry'!AF105)</f>
        <v/>
      </c>
      <c r="IO106" s="212" t="str">
        <f>IF('Supp. Result Entry'!AI105="","",'Supp. Result Entry'!AI105)</f>
        <v/>
      </c>
      <c r="IP106" s="212" t="str">
        <f>IF('Supp. Result Entry'!AL105="","",'Supp. Result Entry'!AL105)</f>
        <v/>
      </c>
      <c r="IQ106" s="212">
        <f>COUNTIF('Supp. Result Entry'!K105:Q105,"S")</f>
        <v>0</v>
      </c>
      <c r="IR106" s="212">
        <f t="shared" si="355"/>
        <v>0</v>
      </c>
      <c r="IS106" s="212">
        <f t="shared" si="356"/>
        <v>0</v>
      </c>
      <c r="IT106" s="212" t="str">
        <f t="shared" si="224"/>
        <v/>
      </c>
      <c r="IU106" s="212" t="str">
        <f t="shared" si="225"/>
        <v/>
      </c>
      <c r="IV106" s="212" t="str">
        <f t="shared" si="226"/>
        <v/>
      </c>
      <c r="IW106" s="212" t="str">
        <f t="shared" si="227"/>
        <v/>
      </c>
      <c r="IX106" s="212" t="str">
        <f t="shared" si="228"/>
        <v/>
      </c>
      <c r="IY106" s="212" t="str">
        <f t="shared" si="357"/>
        <v/>
      </c>
      <c r="IZ106" s="212" t="str">
        <f t="shared" si="358"/>
        <v/>
      </c>
      <c r="JA106" s="212" t="str">
        <f t="shared" si="229"/>
        <v/>
      </c>
      <c r="JB106" s="210" t="str">
        <f t="shared" si="359"/>
        <v/>
      </c>
    </row>
    <row r="107" spans="1:262" s="210" customFormat="1" ht="21" customHeight="1">
      <c r="A107" s="183">
        <v>100</v>
      </c>
      <c r="B107" s="184" t="str">
        <f>IF('Marks Entry'!B107="","",'Marks Entry'!B107)</f>
        <v/>
      </c>
      <c r="C107" s="185" t="str">
        <f>IF('Marks Entry'!D107="","",'Marks Entry'!D107)</f>
        <v/>
      </c>
      <c r="D107" s="186" t="str">
        <f>IF('Marks Entry'!E107="","",'Marks Entry'!E107)</f>
        <v/>
      </c>
      <c r="E107" s="187" t="str">
        <f>IF('Marks Entry'!F107="","",'Marks Entry'!F107)</f>
        <v/>
      </c>
      <c r="F107" s="187" t="str">
        <f>IF('Marks Entry'!G107="","",'Marks Entry'!G107)</f>
        <v/>
      </c>
      <c r="G107" s="187" t="str">
        <f>IF('Marks Entry'!H107="","",'Marks Entry'!H107)</f>
        <v/>
      </c>
      <c r="H107" s="188" t="str">
        <f>IF('Marks Entry'!I107="","",'Marks Entry'!I107)</f>
        <v/>
      </c>
      <c r="I107" s="189" t="str">
        <f>IF('Marks Entry'!J107="","",'Marks Entry'!J107)</f>
        <v/>
      </c>
      <c r="J107" s="545" t="str">
        <f>IF('Marks Entry'!K107="","",'Marks Entry'!K107)</f>
        <v/>
      </c>
      <c r="K107" s="545" t="str">
        <f>IF('Marks Entry'!L107="","",'Marks Entry'!L107)</f>
        <v/>
      </c>
      <c r="L107" s="545" t="str">
        <f>IF('Marks Entry'!M107="","",'Marks Entry'!M107)</f>
        <v/>
      </c>
      <c r="M107" s="546" t="str">
        <f t="shared" si="230"/>
        <v/>
      </c>
      <c r="N107" s="545" t="str">
        <f>IF('Marks Entry'!N107="","",'Marks Entry'!N107)</f>
        <v/>
      </c>
      <c r="O107" s="546" t="str">
        <f t="shared" si="231"/>
        <v/>
      </c>
      <c r="P107" s="545" t="str">
        <f>IF('Marks Entry'!O107="","",'Marks Entry'!O107)</f>
        <v/>
      </c>
      <c r="Q107" s="547" t="str">
        <f t="shared" si="232"/>
        <v/>
      </c>
      <c r="R107" s="152">
        <f t="shared" si="233"/>
        <v>0</v>
      </c>
      <c r="S107" s="152">
        <f t="shared" si="234"/>
        <v>0</v>
      </c>
      <c r="T107" s="153" t="str">
        <f t="shared" si="235"/>
        <v/>
      </c>
      <c r="U107" s="152" t="str">
        <f t="shared" si="236"/>
        <v/>
      </c>
      <c r="V107" s="152" t="str">
        <f t="shared" si="237"/>
        <v/>
      </c>
      <c r="W107" s="152" t="str">
        <f t="shared" si="238"/>
        <v/>
      </c>
      <c r="X107" s="545" t="str">
        <f>IF('Marks Entry'!P107="","",'Marks Entry'!P107)</f>
        <v/>
      </c>
      <c r="Y107" s="545" t="str">
        <f>IF('Marks Entry'!Q107="","",'Marks Entry'!Q107)</f>
        <v/>
      </c>
      <c r="Z107" s="545" t="str">
        <f>IF('Marks Entry'!R107="","",'Marks Entry'!R107)</f>
        <v/>
      </c>
      <c r="AA107" s="546" t="str">
        <f t="shared" si="239"/>
        <v/>
      </c>
      <c r="AB107" s="545" t="str">
        <f>IF('Marks Entry'!S107="","",'Marks Entry'!S107)</f>
        <v/>
      </c>
      <c r="AC107" s="546" t="str">
        <f t="shared" si="240"/>
        <v/>
      </c>
      <c r="AD107" s="545" t="str">
        <f>IF('Marks Entry'!T107="","",'Marks Entry'!T107)</f>
        <v/>
      </c>
      <c r="AE107" s="547" t="str">
        <f t="shared" si="241"/>
        <v/>
      </c>
      <c r="AF107" s="152">
        <f t="shared" si="242"/>
        <v>0</v>
      </c>
      <c r="AG107" s="152">
        <f t="shared" si="243"/>
        <v>0</v>
      </c>
      <c r="AH107" s="153" t="str">
        <f t="shared" si="244"/>
        <v/>
      </c>
      <c r="AI107" s="152" t="str">
        <f t="shared" si="245"/>
        <v/>
      </c>
      <c r="AJ107" s="152" t="str">
        <f t="shared" si="246"/>
        <v/>
      </c>
      <c r="AK107" s="152" t="str">
        <f t="shared" si="247"/>
        <v/>
      </c>
      <c r="AL107" s="573" t="str">
        <f>IF('Marks Entry'!U107="","",'Marks Entry'!U107)</f>
        <v/>
      </c>
      <c r="AM107" s="573" t="str">
        <f>IF('Marks Entry'!V107="","",'Marks Entry'!V107)</f>
        <v/>
      </c>
      <c r="AN107" s="573" t="str">
        <f>IF('Marks Entry'!W107="","",'Marks Entry'!W107)</f>
        <v/>
      </c>
      <c r="AO107" s="573" t="str">
        <f>IF('Marks Entry'!X107="","",'Marks Entry'!X107)</f>
        <v/>
      </c>
      <c r="AP107" s="572" t="str">
        <f t="shared" si="248"/>
        <v/>
      </c>
      <c r="AQ107" s="573" t="str">
        <f>IF('Marks Entry'!Y107="","",'Marks Entry'!Y107)</f>
        <v/>
      </c>
      <c r="AR107" s="573" t="str">
        <f>IF('Marks Entry'!Z107="","",'Marks Entry'!Z107)</f>
        <v/>
      </c>
      <c r="AS107" s="572" t="str">
        <f t="shared" si="249"/>
        <v/>
      </c>
      <c r="AT107" s="572" t="str">
        <f t="shared" si="250"/>
        <v/>
      </c>
      <c r="AU107" s="573" t="str">
        <f>IF('Marks Entry'!AA107="","",'Marks Entry'!AA107)</f>
        <v/>
      </c>
      <c r="AV107" s="573" t="str">
        <f>IF('Marks Entry'!AB107="","",'Marks Entry'!AB107)</f>
        <v/>
      </c>
      <c r="AW107" s="572" t="str">
        <f t="shared" si="251"/>
        <v/>
      </c>
      <c r="AX107" s="156" t="str">
        <f t="shared" si="252"/>
        <v/>
      </c>
      <c r="AY107" s="156" t="str">
        <f t="shared" si="253"/>
        <v/>
      </c>
      <c r="AZ107" s="191" t="str">
        <f t="shared" si="254"/>
        <v/>
      </c>
      <c r="BA107" s="152">
        <f t="shared" si="255"/>
        <v>0</v>
      </c>
      <c r="BB107" s="153">
        <f t="shared" si="256"/>
        <v>0</v>
      </c>
      <c r="BC107" s="153" t="str">
        <f t="shared" si="257"/>
        <v/>
      </c>
      <c r="BD107" s="153" t="str">
        <f t="shared" si="258"/>
        <v/>
      </c>
      <c r="BE107" s="153" t="str">
        <f t="shared" si="259"/>
        <v/>
      </c>
      <c r="BF107" s="152" t="str">
        <f t="shared" si="260"/>
        <v/>
      </c>
      <c r="BG107" s="153" t="str">
        <f t="shared" si="261"/>
        <v/>
      </c>
      <c r="BH107" s="152" t="str">
        <f t="shared" si="262"/>
        <v/>
      </c>
      <c r="BI107" s="580" t="str">
        <f>IF('Marks Entry'!AC107="","",'Marks Entry'!AC107)</f>
        <v/>
      </c>
      <c r="BJ107" s="580" t="str">
        <f>IF('Marks Entry'!AD107="","",'Marks Entry'!AD107)</f>
        <v/>
      </c>
      <c r="BK107" s="580" t="str">
        <f>IF('Marks Entry'!AE107="","",'Marks Entry'!AE107)</f>
        <v/>
      </c>
      <c r="BL107" s="580" t="str">
        <f>IF('Marks Entry'!AF107="","",'Marks Entry'!AF107)</f>
        <v/>
      </c>
      <c r="BM107" s="581" t="str">
        <f t="shared" si="263"/>
        <v/>
      </c>
      <c r="BN107" s="580" t="str">
        <f>IF('Marks Entry'!AG107="","",'Marks Entry'!AG107)</f>
        <v/>
      </c>
      <c r="BO107" s="580" t="str">
        <f>IF('Marks Entry'!AH107="","",'Marks Entry'!AH107)</f>
        <v/>
      </c>
      <c r="BP107" s="581" t="str">
        <f t="shared" si="264"/>
        <v/>
      </c>
      <c r="BQ107" s="581" t="str">
        <f t="shared" si="265"/>
        <v/>
      </c>
      <c r="BR107" s="580" t="str">
        <f>IF('Marks Entry'!AI107="","",'Marks Entry'!AI107)</f>
        <v/>
      </c>
      <c r="BS107" s="580" t="str">
        <f>IF('Marks Entry'!AJ107="","",'Marks Entry'!AJ107)</f>
        <v/>
      </c>
      <c r="BT107" s="581" t="str">
        <f t="shared" si="266"/>
        <v/>
      </c>
      <c r="BU107" s="156" t="str">
        <f t="shared" si="267"/>
        <v/>
      </c>
      <c r="BV107" s="156" t="str">
        <f t="shared" si="268"/>
        <v/>
      </c>
      <c r="BW107" s="191" t="str">
        <f t="shared" si="269"/>
        <v/>
      </c>
      <c r="BX107" s="152">
        <f t="shared" si="270"/>
        <v>0</v>
      </c>
      <c r="BY107" s="153">
        <f t="shared" si="271"/>
        <v>0</v>
      </c>
      <c r="BZ107" s="153" t="str">
        <f t="shared" si="272"/>
        <v/>
      </c>
      <c r="CA107" s="153" t="str">
        <f t="shared" si="273"/>
        <v/>
      </c>
      <c r="CB107" s="153" t="str">
        <f t="shared" si="274"/>
        <v/>
      </c>
      <c r="CC107" s="152" t="str">
        <f t="shared" si="275"/>
        <v/>
      </c>
      <c r="CD107" s="153" t="str">
        <f t="shared" si="276"/>
        <v/>
      </c>
      <c r="CE107" s="152" t="str">
        <f t="shared" si="277"/>
        <v/>
      </c>
      <c r="CF107" s="580" t="str">
        <f>IF('Marks Entry'!AK107="","",'Marks Entry'!AK107)</f>
        <v/>
      </c>
      <c r="CG107" s="580" t="str">
        <f>IF('Marks Entry'!AL107="","",'Marks Entry'!AL107)</f>
        <v/>
      </c>
      <c r="CH107" s="580" t="str">
        <f>IF('Marks Entry'!AM107="","",'Marks Entry'!AM107)</f>
        <v/>
      </c>
      <c r="CI107" s="580" t="str">
        <f>IF('Marks Entry'!AN107="","",'Marks Entry'!AN107)</f>
        <v/>
      </c>
      <c r="CJ107" s="581" t="str">
        <f t="shared" si="278"/>
        <v/>
      </c>
      <c r="CK107" s="580" t="str">
        <f>IF('Marks Entry'!AO107="","",'Marks Entry'!AO107)</f>
        <v/>
      </c>
      <c r="CL107" s="580" t="str">
        <f>IF('Marks Entry'!AP107="","",'Marks Entry'!AP107)</f>
        <v/>
      </c>
      <c r="CM107" s="581" t="str">
        <f t="shared" si="279"/>
        <v/>
      </c>
      <c r="CN107" s="581" t="str">
        <f t="shared" si="280"/>
        <v/>
      </c>
      <c r="CO107" s="580" t="str">
        <f>IF('Marks Entry'!AQ107="","",'Marks Entry'!AQ107)</f>
        <v/>
      </c>
      <c r="CP107" s="580" t="str">
        <f>IF('Marks Entry'!AR107="","",'Marks Entry'!AR107)</f>
        <v/>
      </c>
      <c r="CQ107" s="581" t="str">
        <f t="shared" si="281"/>
        <v/>
      </c>
      <c r="CR107" s="156" t="str">
        <f t="shared" si="282"/>
        <v/>
      </c>
      <c r="CS107" s="156" t="str">
        <f t="shared" si="283"/>
        <v/>
      </c>
      <c r="CT107" s="191" t="str">
        <f t="shared" si="284"/>
        <v/>
      </c>
      <c r="CU107" s="152">
        <f t="shared" si="285"/>
        <v>0</v>
      </c>
      <c r="CV107" s="153">
        <f t="shared" si="286"/>
        <v>0</v>
      </c>
      <c r="CW107" s="153" t="str">
        <f t="shared" si="287"/>
        <v/>
      </c>
      <c r="CX107" s="153" t="str">
        <f t="shared" si="288"/>
        <v/>
      </c>
      <c r="CY107" s="153" t="str">
        <f t="shared" si="289"/>
        <v/>
      </c>
      <c r="CZ107" s="152" t="str">
        <f t="shared" si="290"/>
        <v/>
      </c>
      <c r="DA107" s="153" t="str">
        <f t="shared" si="291"/>
        <v/>
      </c>
      <c r="DB107" s="152" t="str">
        <f t="shared" si="292"/>
        <v/>
      </c>
      <c r="DC107" s="153">
        <f t="shared" si="293"/>
        <v>0</v>
      </c>
      <c r="DD107" s="851" t="str">
        <f>IF('Marks Entry'!AS107="","",IF(OR('Master Sheet'!$D$19="YES",'Marks Entry'!$BA$1=1),'Marks Entry'!AS107,""))</f>
        <v/>
      </c>
      <c r="DE107" s="851" t="str">
        <f>IF('Marks Entry'!AT107="","",IF(OR('Master Sheet'!$D$19="YES",'Marks Entry'!$BA$1=1),'Marks Entry'!AT107,""))</f>
        <v/>
      </c>
      <c r="DF107" s="851" t="str">
        <f>IF('Marks Entry'!AU107="","",IF(OR('Master Sheet'!$D$19="YES",'Marks Entry'!$BA$1=1),'Marks Entry'!AU107,""))</f>
        <v/>
      </c>
      <c r="DG107" s="851" t="str">
        <f>IF('Marks Entry'!AV107="","",IF(OR('Master Sheet'!$D$19="YES",'Marks Entry'!$BA$1=1),'Marks Entry'!AV107,""))</f>
        <v/>
      </c>
      <c r="DH107" s="852" t="str">
        <f t="shared" si="294"/>
        <v/>
      </c>
      <c r="DI107" s="851" t="str">
        <f>IF('Marks Entry'!AW107="","",IF(OR('Master Sheet'!$D$19="YES",'Marks Entry'!$BA$1=1),'Marks Entry'!AW107,""))</f>
        <v/>
      </c>
      <c r="DJ107" s="851" t="str">
        <f>IF('Marks Entry'!AX107="","",IF(OR('Master Sheet'!$D$19="YES",'Marks Entry'!$BA$1=1),'Marks Entry'!AX107,""))</f>
        <v/>
      </c>
      <c r="DK107" s="852" t="str">
        <f t="shared" si="295"/>
        <v/>
      </c>
      <c r="DL107" s="852" t="str">
        <f t="shared" si="296"/>
        <v/>
      </c>
      <c r="DM107" s="851" t="str">
        <f>IF('Marks Entry'!AY107="","",IF(OR('Master Sheet'!$D$19="YES",'Marks Entry'!$BA$1=1),'Marks Entry'!AY107,""))</f>
        <v/>
      </c>
      <c r="DN107" s="851" t="str">
        <f>IF('Marks Entry'!AZ107="","",IF(OR('Master Sheet'!$D$19="YES",'Marks Entry'!$BA$1=1),'Marks Entry'!AZ107,""))</f>
        <v/>
      </c>
      <c r="DO107" s="851" t="str">
        <f>IF('Marks Entry'!BA107="","",IF(OR('Master Sheet'!$D$19="YES",'Marks Entry'!$BA$1=1),'Marks Entry'!BA107,""))</f>
        <v/>
      </c>
      <c r="DP107" s="852" t="str">
        <f t="shared" si="297"/>
        <v/>
      </c>
      <c r="DQ107" s="156" t="str">
        <f t="shared" si="298"/>
        <v/>
      </c>
      <c r="DR107" s="156" t="str">
        <f t="shared" si="299"/>
        <v/>
      </c>
      <c r="DS107" s="156" t="str">
        <f t="shared" si="300"/>
        <v/>
      </c>
      <c r="DT107" s="191" t="str">
        <f t="shared" si="301"/>
        <v/>
      </c>
      <c r="DU107" s="152">
        <f t="shared" si="302"/>
        <v>0</v>
      </c>
      <c r="DV107" s="153">
        <f t="shared" si="303"/>
        <v>0</v>
      </c>
      <c r="DW107" s="153" t="str">
        <f t="shared" si="304"/>
        <v/>
      </c>
      <c r="DX107" s="153" t="str">
        <f>IF(OR($B107="NSO",$B107=0,DS107=""),"",IF(AND(DJ107="",DO107=""),"",IF('Master Sheet'!$D$19="YES",$DO$6-COUNTIF(DO107,"ML")*DO$6,DS$6-(COUNTIF(DJ107,"ML")*DJ$6)-(COUNTIF(DO107,"ML")*DO$6))))</f>
        <v/>
      </c>
      <c r="DY107" s="153" t="str">
        <f>IF(OR($B107="NSO",$B107=0),"",IF(AND(DH107="",DI107="",DM107=""),"",IF(AND('Master Sheet'!$D$19="YES",'Marks Entry'!$BA$1=1),100,IF(AND(DJ107="",DO107=""),SUM(($DQ$7+$DR$7)-(DU107+DV107)),SUM(($DQ$6+$DR$6)-(DU107+DV107))))))</f>
        <v/>
      </c>
      <c r="DZ107" s="152" t="str">
        <f t="shared" si="305"/>
        <v/>
      </c>
      <c r="EA107" s="153" t="str">
        <f t="shared" si="306"/>
        <v/>
      </c>
      <c r="EB107" s="152" t="str">
        <f t="shared" si="307"/>
        <v/>
      </c>
      <c r="EC107" s="584" t="str">
        <f>IF('Marks Entry'!BB107="","",'Marks Entry'!BB107)</f>
        <v/>
      </c>
      <c r="ED107" s="584" t="str">
        <f>IF('Marks Entry'!BC107="","",'Marks Entry'!BC107)</f>
        <v/>
      </c>
      <c r="EE107" s="584" t="str">
        <f>IF('Marks Entry'!BD107="","",'Marks Entry'!BD107)</f>
        <v/>
      </c>
      <c r="EF107" s="590" t="str">
        <f t="shared" si="308"/>
        <v/>
      </c>
      <c r="EG107" s="595">
        <f t="shared" si="309"/>
        <v>0</v>
      </c>
      <c r="EH107" s="595">
        <f t="shared" si="310"/>
        <v>0</v>
      </c>
      <c r="EI107" s="192" t="str">
        <f t="shared" si="311"/>
        <v/>
      </c>
      <c r="EJ107" s="595" t="str">
        <f t="shared" si="312"/>
        <v/>
      </c>
      <c r="EK107" s="595" t="str">
        <f t="shared" si="313"/>
        <v/>
      </c>
      <c r="EL107" s="193" t="str">
        <f t="shared" si="314"/>
        <v/>
      </c>
      <c r="EM107" s="193" t="str">
        <f t="shared" si="315"/>
        <v/>
      </c>
      <c r="EN107" s="193" t="str">
        <f t="shared" si="316"/>
        <v/>
      </c>
      <c r="EO107" s="193" t="str">
        <f t="shared" si="317"/>
        <v/>
      </c>
      <c r="EP107" s="193" t="str">
        <f t="shared" si="318"/>
        <v/>
      </c>
      <c r="EQ107" s="193" t="str">
        <f t="shared" si="319"/>
        <v/>
      </c>
      <c r="ER107" s="194">
        <f t="shared" si="320"/>
        <v>0</v>
      </c>
      <c r="ES107" s="194">
        <f t="shared" si="321"/>
        <v>0</v>
      </c>
      <c r="ET107" s="194">
        <f t="shared" si="322"/>
        <v>0</v>
      </c>
      <c r="EU107" s="194">
        <f t="shared" si="323"/>
        <v>0</v>
      </c>
      <c r="EV107" s="194">
        <f t="shared" si="324"/>
        <v>0</v>
      </c>
      <c r="EW107" s="194" t="str">
        <f t="shared" si="325"/>
        <v/>
      </c>
      <c r="EX107" s="195" t="str">
        <f t="shared" si="326"/>
        <v/>
      </c>
      <c r="EY107" s="196" t="str">
        <f>IF('Marks Entry'!BE107="","",'Marks Entry'!BE107)</f>
        <v/>
      </c>
      <c r="EZ107" s="196" t="str">
        <f>IF('Marks Entry'!BF107="","",'Marks Entry'!BF107)</f>
        <v/>
      </c>
      <c r="FA107" s="196" t="str">
        <f>IF('Marks Entry'!BG107="","",'Marks Entry'!BG107)</f>
        <v/>
      </c>
      <c r="FB107" s="596" t="str">
        <f t="shared" si="327"/>
        <v/>
      </c>
      <c r="FC107" s="196" t="str">
        <f>IF('Marks Entry'!BH107="","",'Marks Entry'!BH107)</f>
        <v/>
      </c>
      <c r="FD107" s="196" t="str">
        <f>IF('Marks Entry'!BI107="","",'Marks Entry'!BI107)</f>
        <v/>
      </c>
      <c r="FE107" s="197" t="str">
        <f t="shared" si="328"/>
        <v/>
      </c>
      <c r="FF107" s="198" t="str">
        <f t="shared" si="329"/>
        <v/>
      </c>
      <c r="FG107" s="199" t="str">
        <f>IF(AND(E107=""),"",IF('Student DATA Entry'!L103="","",'Student DATA Entry'!L103))</f>
        <v/>
      </c>
      <c r="FH107" s="200" t="str">
        <f>IF(AND(E107=""),"",IF('Student DATA Entry'!M103="","",'Student DATA Entry'!M103))</f>
        <v/>
      </c>
      <c r="FI107" s="201" t="str">
        <f t="shared" si="330"/>
        <v/>
      </c>
      <c r="FJ107" s="188" t="str">
        <f t="shared" si="331"/>
        <v/>
      </c>
      <c r="FK107" s="188" t="str">
        <f t="shared" si="332"/>
        <v/>
      </c>
      <c r="FL107" s="202" t="str">
        <f t="shared" si="360"/>
        <v/>
      </c>
      <c r="FM107" s="188" t="str">
        <f t="shared" si="333"/>
        <v/>
      </c>
      <c r="FN107" s="203" t="str">
        <f t="shared" si="334"/>
        <v/>
      </c>
      <c r="FO107" s="202" t="str">
        <f t="shared" si="361"/>
        <v/>
      </c>
      <c r="FP107" s="204" t="str">
        <f t="shared" si="335"/>
        <v/>
      </c>
      <c r="FQ107" s="188" t="str">
        <f t="shared" si="362"/>
        <v/>
      </c>
      <c r="FR107" s="188" t="str">
        <f t="shared" si="363"/>
        <v/>
      </c>
      <c r="FS107" s="188" t="str">
        <f t="shared" si="364"/>
        <v/>
      </c>
      <c r="FT107" s="188" t="str">
        <f t="shared" si="365"/>
        <v/>
      </c>
      <c r="FU107" s="188" t="str">
        <f t="shared" si="336"/>
        <v/>
      </c>
      <c r="FV107" s="205" t="str">
        <f t="shared" si="366"/>
        <v/>
      </c>
      <c r="FW107" s="204" t="str">
        <f t="shared" si="337"/>
        <v/>
      </c>
      <c r="FX107" s="188" t="str">
        <f t="shared" si="367"/>
        <v/>
      </c>
      <c r="FY107" s="188" t="str">
        <f t="shared" si="368"/>
        <v/>
      </c>
      <c r="FZ107" s="188" t="str">
        <f t="shared" si="369"/>
        <v/>
      </c>
      <c r="GA107" s="188" t="str">
        <f t="shared" si="370"/>
        <v/>
      </c>
      <c r="GB107" s="188" t="str">
        <f t="shared" si="338"/>
        <v/>
      </c>
      <c r="GC107" s="205" t="str">
        <f t="shared" si="371"/>
        <v/>
      </c>
      <c r="GD107" s="204" t="str">
        <f t="shared" si="339"/>
        <v/>
      </c>
      <c r="GE107" s="188" t="str">
        <f t="shared" si="372"/>
        <v/>
      </c>
      <c r="GF107" s="188" t="str">
        <f t="shared" si="373"/>
        <v/>
      </c>
      <c r="GG107" s="188" t="str">
        <f t="shared" si="374"/>
        <v/>
      </c>
      <c r="GH107" s="188" t="str">
        <f t="shared" si="375"/>
        <v/>
      </c>
      <c r="GI107" s="188" t="str">
        <f t="shared" si="340"/>
        <v/>
      </c>
      <c r="GJ107" s="205" t="str">
        <f t="shared" si="376"/>
        <v/>
      </c>
      <c r="GK107" s="204" t="str">
        <f t="shared" si="341"/>
        <v/>
      </c>
      <c r="GL107" s="188" t="str">
        <f t="shared" si="377"/>
        <v/>
      </c>
      <c r="GM107" s="188" t="str">
        <f t="shared" si="378"/>
        <v/>
      </c>
      <c r="GN107" s="188" t="str">
        <f t="shared" si="379"/>
        <v/>
      </c>
      <c r="GO107" s="188" t="str">
        <f t="shared" si="380"/>
        <v/>
      </c>
      <c r="GP107" s="188" t="str">
        <f t="shared" si="342"/>
        <v/>
      </c>
      <c r="GQ107" s="205" t="str">
        <f t="shared" si="381"/>
        <v/>
      </c>
      <c r="GR107" s="188" t="str">
        <f t="shared" si="343"/>
        <v/>
      </c>
      <c r="GS107" s="188" t="str">
        <f t="shared" si="344"/>
        <v/>
      </c>
      <c r="GT107" s="206" t="str">
        <f t="shared" si="345"/>
        <v xml:space="preserve">    </v>
      </c>
      <c r="GU107" s="206" t="str">
        <f t="shared" si="346"/>
        <v xml:space="preserve">    </v>
      </c>
      <c r="GV107" s="206" t="str">
        <f t="shared" si="347"/>
        <v xml:space="preserve">    </v>
      </c>
      <c r="GW107" s="206" t="str">
        <f t="shared" si="348"/>
        <v xml:space="preserve">       </v>
      </c>
      <c r="GX107" s="598" t="str">
        <f t="shared" si="349"/>
        <v xml:space="preserve">     </v>
      </c>
      <c r="GY107" s="207" t="str">
        <f t="shared" si="382"/>
        <v/>
      </c>
      <c r="GZ107" s="606" t="str">
        <f>IF(AND(Q107="",AE107="",AZ107="",BW107="",CT107=""),"",IF(AND('Master Sheet'!$D$19="YES",'Marks Entry'!$BA$1=1),SUM(Q107,AE107,AZ107,BW107,DT107),SUM(Q107,AE107,AZ107,BW107,CT107)))</f>
        <v/>
      </c>
      <c r="HA107" s="208" t="str">
        <f>IF(GZ107="","",IF(AND('Master Sheet'!$D$19="YES",'Marks Entry'!$BA$1=1),GZ107/((900)-DC107)*100,GZ107/((1000)-DC107)*100))</f>
        <v/>
      </c>
      <c r="HB107" s="611" t="str">
        <f t="shared" si="350"/>
        <v/>
      </c>
      <c r="HC107" s="609" t="str">
        <f t="shared" si="351"/>
        <v/>
      </c>
      <c r="HD107" s="610" t="str">
        <f t="shared" si="352"/>
        <v/>
      </c>
      <c r="HE107" s="209" t="str">
        <f>IFERROR(IF(OR(GY107="SUPPLEMENTARY",GY107="RE-EXAM"),'Supp. Result Entry'!AS106,""),"")</f>
        <v/>
      </c>
      <c r="HF107" s="613" t="str">
        <f t="shared" si="353"/>
        <v/>
      </c>
      <c r="HG107" s="598" t="str">
        <f t="shared" si="354"/>
        <v/>
      </c>
      <c r="HH107" s="598" t="str">
        <f>IF(AND(HE107="",HF107="",HG107=""),"",IF(OR(GY107="SUPPLEMENTARY",GY107="RE-EXAM"),'Supp. Result Entry'!AS106,GY107))</f>
        <v/>
      </c>
      <c r="HI107" s="179"/>
      <c r="HY107" s="211" t="str">
        <f>IF('Supp. Result Entry'!U106="","",'Supp. Result Entry'!$U$6)</f>
        <v/>
      </c>
      <c r="HZ107" s="212" t="str">
        <f>IF('Supp. Result Entry'!X106="","",'Supp. Result Entry'!$X$6)</f>
        <v/>
      </c>
      <c r="IA107" s="212" t="str">
        <f>IF('Supp. Result Entry'!AA106="","",'Supp. Result Entry'!$AA$6)</f>
        <v/>
      </c>
      <c r="IB107" s="212" t="str">
        <f>IF('Supp. Result Entry'!AD106="","",'Supp. Result Entry'!$AD$6)</f>
        <v/>
      </c>
      <c r="IC107" s="212" t="str">
        <f>IF('Supp. Result Entry'!AG106="","",'Supp. Result Entry'!$AG$6)</f>
        <v/>
      </c>
      <c r="ID107" s="212" t="str">
        <f>IF('Supp. Result Entry'!AJ106="","",'Supp. Result Entry'!$AJ$6)</f>
        <v/>
      </c>
      <c r="IE107" s="212" t="str">
        <f>IF('Supp. Result Entry'!V106="","",'Supp. Result Entry'!V106)</f>
        <v/>
      </c>
      <c r="IF107" s="212" t="str">
        <f>IF('Supp. Result Entry'!Y106="","",'Supp. Result Entry'!Y106)</f>
        <v/>
      </c>
      <c r="IG107" s="212" t="str">
        <f>IF('Supp. Result Entry'!AB106="","",'Supp. Result Entry'!AB106)</f>
        <v/>
      </c>
      <c r="IH107" s="212" t="str">
        <f>IF('Supp. Result Entry'!AE106="","",'Supp. Result Entry'!AE106)</f>
        <v/>
      </c>
      <c r="II107" s="212" t="str">
        <f>IF('Supp. Result Entry'!AH106="","",'Supp. Result Entry'!AH106)</f>
        <v/>
      </c>
      <c r="IJ107" s="212" t="str">
        <f>IF('Supp. Result Entry'!AK106="","",'Supp. Result Entry'!AK106)</f>
        <v/>
      </c>
      <c r="IK107" s="212" t="str">
        <f>IF('Supp. Result Entry'!W106="","",'Supp. Result Entry'!W106)</f>
        <v/>
      </c>
      <c r="IL107" s="212" t="str">
        <f>IF('Supp. Result Entry'!Z106="","",'Supp. Result Entry'!Z106)</f>
        <v/>
      </c>
      <c r="IM107" s="212" t="str">
        <f>IF('Supp. Result Entry'!AC106="","",'Supp. Result Entry'!AC106)</f>
        <v/>
      </c>
      <c r="IN107" s="212" t="str">
        <f>IF('Supp. Result Entry'!AF106="","",'Supp. Result Entry'!AF106)</f>
        <v/>
      </c>
      <c r="IO107" s="212" t="str">
        <f>IF('Supp. Result Entry'!AI106="","",'Supp. Result Entry'!AI106)</f>
        <v/>
      </c>
      <c r="IP107" s="212" t="str">
        <f>IF('Supp. Result Entry'!AL106="","",'Supp. Result Entry'!AL106)</f>
        <v/>
      </c>
      <c r="IQ107" s="212">
        <f>COUNTIF('Supp. Result Entry'!K106:Q106,"S")</f>
        <v>0</v>
      </c>
      <c r="IR107" s="212">
        <f t="shared" si="355"/>
        <v>0</v>
      </c>
      <c r="IS107" s="212">
        <f t="shared" si="356"/>
        <v>0</v>
      </c>
      <c r="IT107" s="212" t="str">
        <f t="shared" si="224"/>
        <v/>
      </c>
      <c r="IU107" s="212" t="str">
        <f t="shared" si="225"/>
        <v/>
      </c>
      <c r="IV107" s="212" t="str">
        <f t="shared" si="226"/>
        <v/>
      </c>
      <c r="IW107" s="212" t="str">
        <f t="shared" si="227"/>
        <v/>
      </c>
      <c r="IX107" s="212" t="str">
        <f t="shared" si="228"/>
        <v/>
      </c>
      <c r="IY107" s="212" t="str">
        <f t="shared" si="357"/>
        <v/>
      </c>
      <c r="IZ107" s="212" t="str">
        <f t="shared" si="358"/>
        <v/>
      </c>
      <c r="JA107" s="212" t="str">
        <f t="shared" si="229"/>
        <v/>
      </c>
      <c r="JB107" s="210" t="str">
        <f t="shared" si="359"/>
        <v/>
      </c>
    </row>
    <row r="108" spans="1:262" s="210" customFormat="1" ht="21" customHeight="1">
      <c r="A108" s="183">
        <v>101</v>
      </c>
      <c r="B108" s="184" t="str">
        <f>IF('Marks Entry'!B108="","",'Marks Entry'!B108)</f>
        <v/>
      </c>
      <c r="C108" s="185" t="str">
        <f>IF('Marks Entry'!D108="","",'Marks Entry'!D108)</f>
        <v/>
      </c>
      <c r="D108" s="186" t="str">
        <f>IF('Marks Entry'!E108="","",'Marks Entry'!E108)</f>
        <v/>
      </c>
      <c r="E108" s="187" t="str">
        <f>IF('Marks Entry'!F108="","",'Marks Entry'!F108)</f>
        <v/>
      </c>
      <c r="F108" s="187" t="str">
        <f>IF('Marks Entry'!G108="","",'Marks Entry'!G108)</f>
        <v/>
      </c>
      <c r="G108" s="187" t="str">
        <f>IF('Marks Entry'!H108="","",'Marks Entry'!H108)</f>
        <v/>
      </c>
      <c r="H108" s="188" t="str">
        <f>IF('Marks Entry'!I108="","",'Marks Entry'!I108)</f>
        <v/>
      </c>
      <c r="I108" s="189" t="str">
        <f>IF('Marks Entry'!J108="","",'Marks Entry'!J108)</f>
        <v/>
      </c>
      <c r="J108" s="545" t="str">
        <f>IF('Marks Entry'!K108="","",'Marks Entry'!K108)</f>
        <v/>
      </c>
      <c r="K108" s="545" t="str">
        <f>IF('Marks Entry'!L108="","",'Marks Entry'!L108)</f>
        <v/>
      </c>
      <c r="L108" s="545" t="str">
        <f>IF('Marks Entry'!M108="","",'Marks Entry'!M108)</f>
        <v/>
      </c>
      <c r="M108" s="546" t="str">
        <f t="shared" si="230"/>
        <v/>
      </c>
      <c r="N108" s="545" t="str">
        <f>IF('Marks Entry'!N108="","",'Marks Entry'!N108)</f>
        <v/>
      </c>
      <c r="O108" s="546" t="str">
        <f t="shared" si="231"/>
        <v/>
      </c>
      <c r="P108" s="545" t="str">
        <f>IF('Marks Entry'!O108="","",'Marks Entry'!O108)</f>
        <v/>
      </c>
      <c r="Q108" s="547" t="str">
        <f t="shared" si="232"/>
        <v/>
      </c>
      <c r="R108" s="152">
        <f t="shared" si="233"/>
        <v>0</v>
      </c>
      <c r="S108" s="152">
        <f t="shared" si="234"/>
        <v>0</v>
      </c>
      <c r="T108" s="153" t="str">
        <f t="shared" si="235"/>
        <v/>
      </c>
      <c r="U108" s="152" t="str">
        <f t="shared" si="236"/>
        <v/>
      </c>
      <c r="V108" s="152" t="str">
        <f t="shared" si="237"/>
        <v/>
      </c>
      <c r="W108" s="152" t="str">
        <f t="shared" si="238"/>
        <v/>
      </c>
      <c r="X108" s="545" t="str">
        <f>IF('Marks Entry'!P108="","",'Marks Entry'!P108)</f>
        <v/>
      </c>
      <c r="Y108" s="545" t="str">
        <f>IF('Marks Entry'!Q108="","",'Marks Entry'!Q108)</f>
        <v/>
      </c>
      <c r="Z108" s="545" t="str">
        <f>IF('Marks Entry'!R108="","",'Marks Entry'!R108)</f>
        <v/>
      </c>
      <c r="AA108" s="546" t="str">
        <f t="shared" si="239"/>
        <v/>
      </c>
      <c r="AB108" s="545" t="str">
        <f>IF('Marks Entry'!S108="","",'Marks Entry'!S108)</f>
        <v/>
      </c>
      <c r="AC108" s="546" t="str">
        <f t="shared" si="240"/>
        <v/>
      </c>
      <c r="AD108" s="545" t="str">
        <f>IF('Marks Entry'!T108="","",'Marks Entry'!T108)</f>
        <v/>
      </c>
      <c r="AE108" s="547" t="str">
        <f t="shared" si="241"/>
        <v/>
      </c>
      <c r="AF108" s="152">
        <f t="shared" si="242"/>
        <v>0</v>
      </c>
      <c r="AG108" s="152">
        <f t="shared" si="243"/>
        <v>0</v>
      </c>
      <c r="AH108" s="153" t="str">
        <f t="shared" si="244"/>
        <v/>
      </c>
      <c r="AI108" s="152" t="str">
        <f t="shared" si="245"/>
        <v/>
      </c>
      <c r="AJ108" s="152" t="str">
        <f t="shared" si="246"/>
        <v/>
      </c>
      <c r="AK108" s="152" t="str">
        <f t="shared" si="247"/>
        <v/>
      </c>
      <c r="AL108" s="573" t="str">
        <f>IF('Marks Entry'!U108="","",'Marks Entry'!U108)</f>
        <v/>
      </c>
      <c r="AM108" s="573" t="str">
        <f>IF('Marks Entry'!V108="","",'Marks Entry'!V108)</f>
        <v/>
      </c>
      <c r="AN108" s="573" t="str">
        <f>IF('Marks Entry'!W108="","",'Marks Entry'!W108)</f>
        <v/>
      </c>
      <c r="AO108" s="573" t="str">
        <f>IF('Marks Entry'!X108="","",'Marks Entry'!X108)</f>
        <v/>
      </c>
      <c r="AP108" s="572" t="str">
        <f t="shared" si="248"/>
        <v/>
      </c>
      <c r="AQ108" s="573" t="str">
        <f>IF('Marks Entry'!Y108="","",'Marks Entry'!Y108)</f>
        <v/>
      </c>
      <c r="AR108" s="573" t="str">
        <f>IF('Marks Entry'!Z108="","",'Marks Entry'!Z108)</f>
        <v/>
      </c>
      <c r="AS108" s="572" t="str">
        <f t="shared" si="249"/>
        <v/>
      </c>
      <c r="AT108" s="572" t="str">
        <f t="shared" si="250"/>
        <v/>
      </c>
      <c r="AU108" s="573" t="str">
        <f>IF('Marks Entry'!AA108="","",'Marks Entry'!AA108)</f>
        <v/>
      </c>
      <c r="AV108" s="573" t="str">
        <f>IF('Marks Entry'!AB108="","",'Marks Entry'!AB108)</f>
        <v/>
      </c>
      <c r="AW108" s="572" t="str">
        <f t="shared" si="251"/>
        <v/>
      </c>
      <c r="AX108" s="156" t="str">
        <f t="shared" si="252"/>
        <v/>
      </c>
      <c r="AY108" s="156" t="str">
        <f t="shared" si="253"/>
        <v/>
      </c>
      <c r="AZ108" s="191" t="str">
        <f t="shared" si="254"/>
        <v/>
      </c>
      <c r="BA108" s="152">
        <f t="shared" si="255"/>
        <v>0</v>
      </c>
      <c r="BB108" s="153">
        <f t="shared" si="256"/>
        <v>0</v>
      </c>
      <c r="BC108" s="153" t="str">
        <f t="shared" si="257"/>
        <v/>
      </c>
      <c r="BD108" s="153" t="str">
        <f t="shared" si="258"/>
        <v/>
      </c>
      <c r="BE108" s="153" t="str">
        <f t="shared" si="259"/>
        <v/>
      </c>
      <c r="BF108" s="152" t="str">
        <f t="shared" si="260"/>
        <v/>
      </c>
      <c r="BG108" s="153" t="str">
        <f t="shared" si="261"/>
        <v/>
      </c>
      <c r="BH108" s="152" t="str">
        <f t="shared" si="262"/>
        <v/>
      </c>
      <c r="BI108" s="580" t="str">
        <f>IF('Marks Entry'!AC108="","",'Marks Entry'!AC108)</f>
        <v/>
      </c>
      <c r="BJ108" s="580" t="str">
        <f>IF('Marks Entry'!AD108="","",'Marks Entry'!AD108)</f>
        <v/>
      </c>
      <c r="BK108" s="580" t="str">
        <f>IF('Marks Entry'!AE108="","",'Marks Entry'!AE108)</f>
        <v/>
      </c>
      <c r="BL108" s="580" t="str">
        <f>IF('Marks Entry'!AF108="","",'Marks Entry'!AF108)</f>
        <v/>
      </c>
      <c r="BM108" s="581" t="str">
        <f t="shared" si="263"/>
        <v/>
      </c>
      <c r="BN108" s="580" t="str">
        <f>IF('Marks Entry'!AG108="","",'Marks Entry'!AG108)</f>
        <v/>
      </c>
      <c r="BO108" s="580" t="str">
        <f>IF('Marks Entry'!AH108="","",'Marks Entry'!AH108)</f>
        <v/>
      </c>
      <c r="BP108" s="581" t="str">
        <f t="shared" si="264"/>
        <v/>
      </c>
      <c r="BQ108" s="581" t="str">
        <f t="shared" si="265"/>
        <v/>
      </c>
      <c r="BR108" s="580" t="str">
        <f>IF('Marks Entry'!AI108="","",'Marks Entry'!AI108)</f>
        <v/>
      </c>
      <c r="BS108" s="580" t="str">
        <f>IF('Marks Entry'!AJ108="","",'Marks Entry'!AJ108)</f>
        <v/>
      </c>
      <c r="BT108" s="581" t="str">
        <f t="shared" si="266"/>
        <v/>
      </c>
      <c r="BU108" s="156" t="str">
        <f t="shared" si="267"/>
        <v/>
      </c>
      <c r="BV108" s="156" t="str">
        <f t="shared" si="268"/>
        <v/>
      </c>
      <c r="BW108" s="191" t="str">
        <f t="shared" si="269"/>
        <v/>
      </c>
      <c r="BX108" s="152">
        <f t="shared" si="270"/>
        <v>0</v>
      </c>
      <c r="BY108" s="153">
        <f t="shared" si="271"/>
        <v>0</v>
      </c>
      <c r="BZ108" s="153" t="str">
        <f t="shared" si="272"/>
        <v/>
      </c>
      <c r="CA108" s="153" t="str">
        <f t="shared" si="273"/>
        <v/>
      </c>
      <c r="CB108" s="153" t="str">
        <f t="shared" si="274"/>
        <v/>
      </c>
      <c r="CC108" s="152" t="str">
        <f t="shared" si="275"/>
        <v/>
      </c>
      <c r="CD108" s="153" t="str">
        <f t="shared" si="276"/>
        <v/>
      </c>
      <c r="CE108" s="152" t="str">
        <f t="shared" si="277"/>
        <v/>
      </c>
      <c r="CF108" s="580" t="str">
        <f>IF('Marks Entry'!AK108="","",'Marks Entry'!AK108)</f>
        <v/>
      </c>
      <c r="CG108" s="580" t="str">
        <f>IF('Marks Entry'!AL108="","",'Marks Entry'!AL108)</f>
        <v/>
      </c>
      <c r="CH108" s="580" t="str">
        <f>IF('Marks Entry'!AM108="","",'Marks Entry'!AM108)</f>
        <v/>
      </c>
      <c r="CI108" s="580" t="str">
        <f>IF('Marks Entry'!AN108="","",'Marks Entry'!AN108)</f>
        <v/>
      </c>
      <c r="CJ108" s="581" t="str">
        <f t="shared" si="278"/>
        <v/>
      </c>
      <c r="CK108" s="580" t="str">
        <f>IF('Marks Entry'!AO108="","",'Marks Entry'!AO108)</f>
        <v/>
      </c>
      <c r="CL108" s="580" t="str">
        <f>IF('Marks Entry'!AP108="","",'Marks Entry'!AP108)</f>
        <v/>
      </c>
      <c r="CM108" s="581" t="str">
        <f t="shared" si="279"/>
        <v/>
      </c>
      <c r="CN108" s="581" t="str">
        <f t="shared" si="280"/>
        <v/>
      </c>
      <c r="CO108" s="580" t="str">
        <f>IF('Marks Entry'!AQ108="","",'Marks Entry'!AQ108)</f>
        <v/>
      </c>
      <c r="CP108" s="580" t="str">
        <f>IF('Marks Entry'!AR108="","",'Marks Entry'!AR108)</f>
        <v/>
      </c>
      <c r="CQ108" s="581" t="str">
        <f t="shared" si="281"/>
        <v/>
      </c>
      <c r="CR108" s="156" t="str">
        <f t="shared" si="282"/>
        <v/>
      </c>
      <c r="CS108" s="156" t="str">
        <f t="shared" si="283"/>
        <v/>
      </c>
      <c r="CT108" s="191" t="str">
        <f t="shared" si="284"/>
        <v/>
      </c>
      <c r="CU108" s="152">
        <f t="shared" si="285"/>
        <v>0</v>
      </c>
      <c r="CV108" s="153">
        <f t="shared" si="286"/>
        <v>0</v>
      </c>
      <c r="CW108" s="153" t="str">
        <f t="shared" si="287"/>
        <v/>
      </c>
      <c r="CX108" s="153" t="str">
        <f t="shared" si="288"/>
        <v/>
      </c>
      <c r="CY108" s="153" t="str">
        <f t="shared" si="289"/>
        <v/>
      </c>
      <c r="CZ108" s="152" t="str">
        <f t="shared" si="290"/>
        <v/>
      </c>
      <c r="DA108" s="153" t="str">
        <f t="shared" si="291"/>
        <v/>
      </c>
      <c r="DB108" s="152" t="str">
        <f t="shared" si="292"/>
        <v/>
      </c>
      <c r="DC108" s="153">
        <f t="shared" si="293"/>
        <v>0</v>
      </c>
      <c r="DD108" s="851" t="str">
        <f>IF('Marks Entry'!AS108="","",IF(OR('Master Sheet'!$D$19="YES",'Marks Entry'!$BA$1=1),'Marks Entry'!AS108,""))</f>
        <v/>
      </c>
      <c r="DE108" s="851" t="str">
        <f>IF('Marks Entry'!AT108="","",IF(OR('Master Sheet'!$D$19="YES",'Marks Entry'!$BA$1=1),'Marks Entry'!AT108,""))</f>
        <v/>
      </c>
      <c r="DF108" s="851" t="str">
        <f>IF('Marks Entry'!AU108="","",IF(OR('Master Sheet'!$D$19="YES",'Marks Entry'!$BA$1=1),'Marks Entry'!AU108,""))</f>
        <v/>
      </c>
      <c r="DG108" s="851" t="str">
        <f>IF('Marks Entry'!AV108="","",IF(OR('Master Sheet'!$D$19="YES",'Marks Entry'!$BA$1=1),'Marks Entry'!AV108,""))</f>
        <v/>
      </c>
      <c r="DH108" s="852" t="str">
        <f t="shared" si="294"/>
        <v/>
      </c>
      <c r="DI108" s="851" t="str">
        <f>IF('Marks Entry'!AW108="","",IF(OR('Master Sheet'!$D$19="YES",'Marks Entry'!$BA$1=1),'Marks Entry'!AW108,""))</f>
        <v/>
      </c>
      <c r="DJ108" s="851" t="str">
        <f>IF('Marks Entry'!AX108="","",IF(OR('Master Sheet'!$D$19="YES",'Marks Entry'!$BA$1=1),'Marks Entry'!AX108,""))</f>
        <v/>
      </c>
      <c r="DK108" s="852" t="str">
        <f t="shared" si="295"/>
        <v/>
      </c>
      <c r="DL108" s="852" t="str">
        <f t="shared" si="296"/>
        <v/>
      </c>
      <c r="DM108" s="851" t="str">
        <f>IF('Marks Entry'!AY108="","",IF(OR('Master Sheet'!$D$19="YES",'Marks Entry'!$BA$1=1),'Marks Entry'!AY108,""))</f>
        <v/>
      </c>
      <c r="DN108" s="851" t="str">
        <f>IF('Marks Entry'!AZ108="","",IF(OR('Master Sheet'!$D$19="YES",'Marks Entry'!$BA$1=1),'Marks Entry'!AZ108,""))</f>
        <v/>
      </c>
      <c r="DO108" s="851" t="str">
        <f>IF('Marks Entry'!BA108="","",IF(OR('Master Sheet'!$D$19="YES",'Marks Entry'!$BA$1=1),'Marks Entry'!BA108,""))</f>
        <v/>
      </c>
      <c r="DP108" s="852" t="str">
        <f t="shared" si="297"/>
        <v/>
      </c>
      <c r="DQ108" s="156" t="str">
        <f t="shared" si="298"/>
        <v/>
      </c>
      <c r="DR108" s="156" t="str">
        <f t="shared" si="299"/>
        <v/>
      </c>
      <c r="DS108" s="156" t="str">
        <f t="shared" si="300"/>
        <v/>
      </c>
      <c r="DT108" s="191" t="str">
        <f t="shared" si="301"/>
        <v/>
      </c>
      <c r="DU108" s="152">
        <f t="shared" si="302"/>
        <v>0</v>
      </c>
      <c r="DV108" s="153">
        <f t="shared" si="303"/>
        <v>0</v>
      </c>
      <c r="DW108" s="153" t="str">
        <f t="shared" si="304"/>
        <v/>
      </c>
      <c r="DX108" s="153" t="str">
        <f>IF(OR($B108="NSO",$B108=0,DS108=""),"",IF(AND(DJ108="",DO108=""),"",IF('Master Sheet'!$D$19="YES",$DO$6-COUNTIF(DO108,"ML")*DO$6,DS$6-(COUNTIF(DJ108,"ML")*DJ$6)-(COUNTIF(DO108,"ML")*DO$6))))</f>
        <v/>
      </c>
      <c r="DY108" s="153" t="str">
        <f>IF(OR($B108="NSO",$B108=0),"",IF(AND(DH108="",DI108="",DM108=""),"",IF(AND('Master Sheet'!$D$19="YES",'Marks Entry'!$BA$1=1),100,IF(AND(DJ108="",DO108=""),SUM(($DQ$7+$DR$7)-(DU108+DV108)),SUM(($DQ$6+$DR$6)-(DU108+DV108))))))</f>
        <v/>
      </c>
      <c r="DZ108" s="152" t="str">
        <f t="shared" si="305"/>
        <v/>
      </c>
      <c r="EA108" s="153" t="str">
        <f t="shared" si="306"/>
        <v/>
      </c>
      <c r="EB108" s="152" t="str">
        <f t="shared" si="307"/>
        <v/>
      </c>
      <c r="EC108" s="584" t="str">
        <f>IF('Marks Entry'!BB108="","",'Marks Entry'!BB108)</f>
        <v/>
      </c>
      <c r="ED108" s="584" t="str">
        <f>IF('Marks Entry'!BC108="","",'Marks Entry'!BC108)</f>
        <v/>
      </c>
      <c r="EE108" s="584" t="str">
        <f>IF('Marks Entry'!BD108="","",'Marks Entry'!BD108)</f>
        <v/>
      </c>
      <c r="EF108" s="590" t="str">
        <f t="shared" si="308"/>
        <v/>
      </c>
      <c r="EG108" s="595">
        <f t="shared" si="309"/>
        <v>0</v>
      </c>
      <c r="EH108" s="595">
        <f t="shared" si="310"/>
        <v>0</v>
      </c>
      <c r="EI108" s="192" t="str">
        <f t="shared" si="311"/>
        <v/>
      </c>
      <c r="EJ108" s="595" t="str">
        <f t="shared" si="312"/>
        <v/>
      </c>
      <c r="EK108" s="595" t="str">
        <f t="shared" si="313"/>
        <v/>
      </c>
      <c r="EL108" s="193" t="str">
        <f t="shared" si="314"/>
        <v/>
      </c>
      <c r="EM108" s="193" t="str">
        <f t="shared" si="315"/>
        <v/>
      </c>
      <c r="EN108" s="193" t="str">
        <f t="shared" si="316"/>
        <v/>
      </c>
      <c r="EO108" s="193" t="str">
        <f t="shared" si="317"/>
        <v/>
      </c>
      <c r="EP108" s="193" t="str">
        <f t="shared" si="318"/>
        <v/>
      </c>
      <c r="EQ108" s="193" t="str">
        <f t="shared" si="319"/>
        <v/>
      </c>
      <c r="ER108" s="194">
        <f t="shared" si="320"/>
        <v>0</v>
      </c>
      <c r="ES108" s="194">
        <f t="shared" si="321"/>
        <v>0</v>
      </c>
      <c r="ET108" s="194">
        <f t="shared" si="322"/>
        <v>0</v>
      </c>
      <c r="EU108" s="194">
        <f t="shared" si="323"/>
        <v>0</v>
      </c>
      <c r="EV108" s="194">
        <f t="shared" si="324"/>
        <v>0</v>
      </c>
      <c r="EW108" s="194" t="str">
        <f t="shared" si="325"/>
        <v/>
      </c>
      <c r="EX108" s="195" t="str">
        <f t="shared" si="326"/>
        <v/>
      </c>
      <c r="EY108" s="196" t="str">
        <f>IF('Marks Entry'!BE108="","",'Marks Entry'!BE108)</f>
        <v/>
      </c>
      <c r="EZ108" s="196" t="str">
        <f>IF('Marks Entry'!BF108="","",'Marks Entry'!BF108)</f>
        <v/>
      </c>
      <c r="FA108" s="196" t="str">
        <f>IF('Marks Entry'!BG108="","",'Marks Entry'!BG108)</f>
        <v/>
      </c>
      <c r="FB108" s="596" t="str">
        <f t="shared" si="327"/>
        <v/>
      </c>
      <c r="FC108" s="196" t="str">
        <f>IF('Marks Entry'!BH108="","",'Marks Entry'!BH108)</f>
        <v/>
      </c>
      <c r="FD108" s="196" t="str">
        <f>IF('Marks Entry'!BI108="","",'Marks Entry'!BI108)</f>
        <v/>
      </c>
      <c r="FE108" s="197" t="str">
        <f t="shared" si="328"/>
        <v/>
      </c>
      <c r="FF108" s="198" t="str">
        <f t="shared" si="329"/>
        <v/>
      </c>
      <c r="FG108" s="199" t="str">
        <f>IF(AND(E108=""),"",IF('Student DATA Entry'!L104="","",'Student DATA Entry'!L104))</f>
        <v/>
      </c>
      <c r="FH108" s="200" t="str">
        <f>IF(AND(E108=""),"",IF('Student DATA Entry'!M104="","",'Student DATA Entry'!M104))</f>
        <v/>
      </c>
      <c r="FI108" s="201" t="str">
        <f t="shared" si="330"/>
        <v/>
      </c>
      <c r="FJ108" s="188" t="str">
        <f t="shared" si="331"/>
        <v/>
      </c>
      <c r="FK108" s="188" t="str">
        <f t="shared" si="332"/>
        <v/>
      </c>
      <c r="FL108" s="202" t="str">
        <f t="shared" si="360"/>
        <v/>
      </c>
      <c r="FM108" s="188" t="str">
        <f t="shared" si="333"/>
        <v/>
      </c>
      <c r="FN108" s="203" t="str">
        <f t="shared" si="334"/>
        <v/>
      </c>
      <c r="FO108" s="202" t="str">
        <f t="shared" si="361"/>
        <v/>
      </c>
      <c r="FP108" s="204" t="str">
        <f t="shared" si="335"/>
        <v/>
      </c>
      <c r="FQ108" s="188" t="str">
        <f t="shared" si="362"/>
        <v/>
      </c>
      <c r="FR108" s="188" t="str">
        <f t="shared" si="363"/>
        <v/>
      </c>
      <c r="FS108" s="188" t="str">
        <f t="shared" si="364"/>
        <v/>
      </c>
      <c r="FT108" s="188" t="str">
        <f t="shared" si="365"/>
        <v/>
      </c>
      <c r="FU108" s="188" t="str">
        <f t="shared" si="336"/>
        <v/>
      </c>
      <c r="FV108" s="205" t="str">
        <f t="shared" si="366"/>
        <v/>
      </c>
      <c r="FW108" s="204" t="str">
        <f t="shared" si="337"/>
        <v/>
      </c>
      <c r="FX108" s="188" t="str">
        <f t="shared" si="367"/>
        <v/>
      </c>
      <c r="FY108" s="188" t="str">
        <f t="shared" si="368"/>
        <v/>
      </c>
      <c r="FZ108" s="188" t="str">
        <f t="shared" si="369"/>
        <v/>
      </c>
      <c r="GA108" s="188" t="str">
        <f t="shared" si="370"/>
        <v/>
      </c>
      <c r="GB108" s="188" t="str">
        <f t="shared" si="338"/>
        <v/>
      </c>
      <c r="GC108" s="205" t="str">
        <f t="shared" si="371"/>
        <v/>
      </c>
      <c r="GD108" s="204" t="str">
        <f t="shared" si="339"/>
        <v/>
      </c>
      <c r="GE108" s="188" t="str">
        <f t="shared" si="372"/>
        <v/>
      </c>
      <c r="GF108" s="188" t="str">
        <f t="shared" si="373"/>
        <v/>
      </c>
      <c r="GG108" s="188" t="str">
        <f t="shared" si="374"/>
        <v/>
      </c>
      <c r="GH108" s="188" t="str">
        <f t="shared" si="375"/>
        <v/>
      </c>
      <c r="GI108" s="188" t="str">
        <f t="shared" si="340"/>
        <v/>
      </c>
      <c r="GJ108" s="205" t="str">
        <f t="shared" si="376"/>
        <v/>
      </c>
      <c r="GK108" s="204" t="str">
        <f t="shared" si="341"/>
        <v/>
      </c>
      <c r="GL108" s="188" t="str">
        <f t="shared" si="377"/>
        <v/>
      </c>
      <c r="GM108" s="188" t="str">
        <f t="shared" si="378"/>
        <v/>
      </c>
      <c r="GN108" s="188" t="str">
        <f t="shared" si="379"/>
        <v/>
      </c>
      <c r="GO108" s="188" t="str">
        <f t="shared" si="380"/>
        <v/>
      </c>
      <c r="GP108" s="188" t="str">
        <f t="shared" si="342"/>
        <v/>
      </c>
      <c r="GQ108" s="205" t="str">
        <f t="shared" si="381"/>
        <v/>
      </c>
      <c r="GR108" s="188" t="str">
        <f t="shared" si="343"/>
        <v/>
      </c>
      <c r="GS108" s="188" t="str">
        <f t="shared" si="344"/>
        <v/>
      </c>
      <c r="GT108" s="206" t="str">
        <f t="shared" si="345"/>
        <v xml:space="preserve">    </v>
      </c>
      <c r="GU108" s="206" t="str">
        <f t="shared" si="346"/>
        <v xml:space="preserve">    </v>
      </c>
      <c r="GV108" s="206" t="str">
        <f t="shared" si="347"/>
        <v xml:space="preserve">    </v>
      </c>
      <c r="GW108" s="206" t="str">
        <f t="shared" si="348"/>
        <v xml:space="preserve">       </v>
      </c>
      <c r="GX108" s="598" t="str">
        <f t="shared" si="349"/>
        <v xml:space="preserve">     </v>
      </c>
      <c r="GY108" s="207" t="str">
        <f t="shared" si="382"/>
        <v/>
      </c>
      <c r="GZ108" s="606" t="str">
        <f>IF(AND(Q108="",AE108="",AZ108="",BW108="",CT108=""),"",IF(AND('Master Sheet'!$D$19="YES",'Marks Entry'!$BA$1=1),SUM(Q108,AE108,AZ108,BW108,DT108),SUM(Q108,AE108,AZ108,BW108,CT108)))</f>
        <v/>
      </c>
      <c r="HA108" s="208" t="str">
        <f>IF(GZ108="","",IF(AND('Master Sheet'!$D$19="YES",'Marks Entry'!$BA$1=1),GZ108/((900)-DC108)*100,GZ108/((1000)-DC108)*100))</f>
        <v/>
      </c>
      <c r="HB108" s="611" t="str">
        <f t="shared" si="350"/>
        <v/>
      </c>
      <c r="HC108" s="609" t="str">
        <f t="shared" si="351"/>
        <v/>
      </c>
      <c r="HD108" s="610" t="str">
        <f t="shared" si="352"/>
        <v/>
      </c>
      <c r="HE108" s="209" t="str">
        <f>IFERROR(IF(OR(GY108="SUPPLEMENTARY",GY108="RE-EXAM"),'Supp. Result Entry'!AS107,""),"")</f>
        <v/>
      </c>
      <c r="HF108" s="613" t="str">
        <f t="shared" si="353"/>
        <v/>
      </c>
      <c r="HG108" s="598" t="str">
        <f t="shared" si="354"/>
        <v/>
      </c>
      <c r="HH108" s="598" t="str">
        <f>IF(AND(HE108="",HF108="",HG108=""),"",IF(OR(GY108="SUPPLEMENTARY",GY108="RE-EXAM"),'Supp. Result Entry'!AS107,GY108))</f>
        <v/>
      </c>
      <c r="HI108" s="179"/>
      <c r="HY108" s="211" t="str">
        <f>IF('Supp. Result Entry'!U107="","",'Supp. Result Entry'!$U$6)</f>
        <v/>
      </c>
      <c r="HZ108" s="212" t="str">
        <f>IF('Supp. Result Entry'!X107="","",'Supp. Result Entry'!$X$6)</f>
        <v/>
      </c>
      <c r="IA108" s="212" t="str">
        <f>IF('Supp. Result Entry'!AA107="","",'Supp. Result Entry'!$AA$6)</f>
        <v/>
      </c>
      <c r="IB108" s="212" t="str">
        <f>IF('Supp. Result Entry'!AD107="","",'Supp. Result Entry'!$AD$6)</f>
        <v/>
      </c>
      <c r="IC108" s="212" t="str">
        <f>IF('Supp. Result Entry'!AG107="","",'Supp. Result Entry'!$AG$6)</f>
        <v/>
      </c>
      <c r="ID108" s="212" t="str">
        <f>IF('Supp. Result Entry'!AJ107="","",'Supp. Result Entry'!$AJ$6)</f>
        <v/>
      </c>
      <c r="IE108" s="212" t="str">
        <f>IF('Supp. Result Entry'!V107="","",'Supp. Result Entry'!V107)</f>
        <v/>
      </c>
      <c r="IF108" s="212" t="str">
        <f>IF('Supp. Result Entry'!Y107="","",'Supp. Result Entry'!Y107)</f>
        <v/>
      </c>
      <c r="IG108" s="212" t="str">
        <f>IF('Supp. Result Entry'!AB107="","",'Supp. Result Entry'!AB107)</f>
        <v/>
      </c>
      <c r="IH108" s="212" t="str">
        <f>IF('Supp. Result Entry'!AE107="","",'Supp. Result Entry'!AE107)</f>
        <v/>
      </c>
      <c r="II108" s="212" t="str">
        <f>IF('Supp. Result Entry'!AH107="","",'Supp. Result Entry'!AH107)</f>
        <v/>
      </c>
      <c r="IJ108" s="212" t="str">
        <f>IF('Supp. Result Entry'!AK107="","",'Supp. Result Entry'!AK107)</f>
        <v/>
      </c>
      <c r="IK108" s="212" t="str">
        <f>IF('Supp. Result Entry'!W107="","",'Supp. Result Entry'!W107)</f>
        <v/>
      </c>
      <c r="IL108" s="212" t="str">
        <f>IF('Supp. Result Entry'!Z107="","",'Supp. Result Entry'!Z107)</f>
        <v/>
      </c>
      <c r="IM108" s="212" t="str">
        <f>IF('Supp. Result Entry'!AC107="","",'Supp. Result Entry'!AC107)</f>
        <v/>
      </c>
      <c r="IN108" s="212" t="str">
        <f>IF('Supp. Result Entry'!AF107="","",'Supp. Result Entry'!AF107)</f>
        <v/>
      </c>
      <c r="IO108" s="212" t="str">
        <f>IF('Supp. Result Entry'!AI107="","",'Supp. Result Entry'!AI107)</f>
        <v/>
      </c>
      <c r="IP108" s="212" t="str">
        <f>IF('Supp. Result Entry'!AL107="","",'Supp. Result Entry'!AL107)</f>
        <v/>
      </c>
      <c r="IQ108" s="212">
        <f>COUNTIF('Supp. Result Entry'!K107:Q107,"S")</f>
        <v>0</v>
      </c>
      <c r="IR108" s="212">
        <f t="shared" si="355"/>
        <v>0</v>
      </c>
      <c r="IS108" s="212">
        <f t="shared" si="356"/>
        <v>0</v>
      </c>
      <c r="IT108" s="212" t="str">
        <f t="shared" si="224"/>
        <v/>
      </c>
      <c r="IU108" s="212" t="str">
        <f t="shared" si="225"/>
        <v/>
      </c>
      <c r="IV108" s="212" t="str">
        <f t="shared" si="226"/>
        <v/>
      </c>
      <c r="IW108" s="212" t="str">
        <f t="shared" si="227"/>
        <v/>
      </c>
      <c r="IX108" s="212" t="str">
        <f t="shared" si="228"/>
        <v/>
      </c>
      <c r="IY108" s="212" t="str">
        <f t="shared" si="357"/>
        <v/>
      </c>
      <c r="IZ108" s="212" t="str">
        <f t="shared" si="358"/>
        <v/>
      </c>
      <c r="JA108" s="212" t="str">
        <f t="shared" si="229"/>
        <v/>
      </c>
      <c r="JB108" s="210" t="str">
        <f t="shared" si="359"/>
        <v/>
      </c>
    </row>
    <row r="109" spans="1:262" s="210" customFormat="1" ht="21" customHeight="1">
      <c r="A109" s="183">
        <v>102</v>
      </c>
      <c r="B109" s="184" t="str">
        <f>IF('Marks Entry'!B109="","",'Marks Entry'!B109)</f>
        <v/>
      </c>
      <c r="C109" s="185" t="str">
        <f>IF('Marks Entry'!D109="","",'Marks Entry'!D109)</f>
        <v/>
      </c>
      <c r="D109" s="186" t="str">
        <f>IF('Marks Entry'!E109="","",'Marks Entry'!E109)</f>
        <v/>
      </c>
      <c r="E109" s="187" t="str">
        <f>IF('Marks Entry'!F109="","",'Marks Entry'!F109)</f>
        <v/>
      </c>
      <c r="F109" s="187" t="str">
        <f>IF('Marks Entry'!G109="","",'Marks Entry'!G109)</f>
        <v/>
      </c>
      <c r="G109" s="187" t="str">
        <f>IF('Marks Entry'!H109="","",'Marks Entry'!H109)</f>
        <v/>
      </c>
      <c r="H109" s="188" t="str">
        <f>IF('Marks Entry'!I109="","",'Marks Entry'!I109)</f>
        <v/>
      </c>
      <c r="I109" s="189" t="str">
        <f>IF('Marks Entry'!J109="","",'Marks Entry'!J109)</f>
        <v/>
      </c>
      <c r="J109" s="545" t="str">
        <f>IF('Marks Entry'!K109="","",'Marks Entry'!K109)</f>
        <v/>
      </c>
      <c r="K109" s="545" t="str">
        <f>IF('Marks Entry'!L109="","",'Marks Entry'!L109)</f>
        <v/>
      </c>
      <c r="L109" s="545" t="str">
        <f>IF('Marks Entry'!M109="","",'Marks Entry'!M109)</f>
        <v/>
      </c>
      <c r="M109" s="546" t="str">
        <f t="shared" si="230"/>
        <v/>
      </c>
      <c r="N109" s="545" t="str">
        <f>IF('Marks Entry'!N109="","",'Marks Entry'!N109)</f>
        <v/>
      </c>
      <c r="O109" s="546" t="str">
        <f t="shared" si="231"/>
        <v/>
      </c>
      <c r="P109" s="545" t="str">
        <f>IF('Marks Entry'!O109="","",'Marks Entry'!O109)</f>
        <v/>
      </c>
      <c r="Q109" s="547" t="str">
        <f t="shared" si="232"/>
        <v/>
      </c>
      <c r="R109" s="152">
        <f t="shared" si="233"/>
        <v>0</v>
      </c>
      <c r="S109" s="152">
        <f t="shared" si="234"/>
        <v>0</v>
      </c>
      <c r="T109" s="153" t="str">
        <f t="shared" si="235"/>
        <v/>
      </c>
      <c r="U109" s="152" t="str">
        <f t="shared" si="236"/>
        <v/>
      </c>
      <c r="V109" s="152" t="str">
        <f t="shared" si="237"/>
        <v/>
      </c>
      <c r="W109" s="152" t="str">
        <f t="shared" si="238"/>
        <v/>
      </c>
      <c r="X109" s="545" t="str">
        <f>IF('Marks Entry'!P109="","",'Marks Entry'!P109)</f>
        <v/>
      </c>
      <c r="Y109" s="545" t="str">
        <f>IF('Marks Entry'!Q109="","",'Marks Entry'!Q109)</f>
        <v/>
      </c>
      <c r="Z109" s="545" t="str">
        <f>IF('Marks Entry'!R109="","",'Marks Entry'!R109)</f>
        <v/>
      </c>
      <c r="AA109" s="546" t="str">
        <f t="shared" si="239"/>
        <v/>
      </c>
      <c r="AB109" s="545" t="str">
        <f>IF('Marks Entry'!S109="","",'Marks Entry'!S109)</f>
        <v/>
      </c>
      <c r="AC109" s="546" t="str">
        <f t="shared" si="240"/>
        <v/>
      </c>
      <c r="AD109" s="545" t="str">
        <f>IF('Marks Entry'!T109="","",'Marks Entry'!T109)</f>
        <v/>
      </c>
      <c r="AE109" s="547" t="str">
        <f t="shared" si="241"/>
        <v/>
      </c>
      <c r="AF109" s="152">
        <f t="shared" si="242"/>
        <v>0</v>
      </c>
      <c r="AG109" s="152">
        <f t="shared" si="243"/>
        <v>0</v>
      </c>
      <c r="AH109" s="153" t="str">
        <f t="shared" si="244"/>
        <v/>
      </c>
      <c r="AI109" s="152" t="str">
        <f t="shared" si="245"/>
        <v/>
      </c>
      <c r="AJ109" s="152" t="str">
        <f t="shared" si="246"/>
        <v/>
      </c>
      <c r="AK109" s="152" t="str">
        <f t="shared" si="247"/>
        <v/>
      </c>
      <c r="AL109" s="573" t="str">
        <f>IF('Marks Entry'!U109="","",'Marks Entry'!U109)</f>
        <v/>
      </c>
      <c r="AM109" s="573" t="str">
        <f>IF('Marks Entry'!V109="","",'Marks Entry'!V109)</f>
        <v/>
      </c>
      <c r="AN109" s="573" t="str">
        <f>IF('Marks Entry'!W109="","",'Marks Entry'!W109)</f>
        <v/>
      </c>
      <c r="AO109" s="573" t="str">
        <f>IF('Marks Entry'!X109="","",'Marks Entry'!X109)</f>
        <v/>
      </c>
      <c r="AP109" s="572" t="str">
        <f t="shared" si="248"/>
        <v/>
      </c>
      <c r="AQ109" s="573" t="str">
        <f>IF('Marks Entry'!Y109="","",'Marks Entry'!Y109)</f>
        <v/>
      </c>
      <c r="AR109" s="573" t="str">
        <f>IF('Marks Entry'!Z109="","",'Marks Entry'!Z109)</f>
        <v/>
      </c>
      <c r="AS109" s="572" t="str">
        <f t="shared" si="249"/>
        <v/>
      </c>
      <c r="AT109" s="572" t="str">
        <f t="shared" si="250"/>
        <v/>
      </c>
      <c r="AU109" s="573" t="str">
        <f>IF('Marks Entry'!AA109="","",'Marks Entry'!AA109)</f>
        <v/>
      </c>
      <c r="AV109" s="573" t="str">
        <f>IF('Marks Entry'!AB109="","",'Marks Entry'!AB109)</f>
        <v/>
      </c>
      <c r="AW109" s="572" t="str">
        <f t="shared" si="251"/>
        <v/>
      </c>
      <c r="AX109" s="156" t="str">
        <f t="shared" si="252"/>
        <v/>
      </c>
      <c r="AY109" s="156" t="str">
        <f t="shared" si="253"/>
        <v/>
      </c>
      <c r="AZ109" s="191" t="str">
        <f t="shared" si="254"/>
        <v/>
      </c>
      <c r="BA109" s="152">
        <f t="shared" si="255"/>
        <v>0</v>
      </c>
      <c r="BB109" s="153">
        <f t="shared" si="256"/>
        <v>0</v>
      </c>
      <c r="BC109" s="153" t="str">
        <f t="shared" si="257"/>
        <v/>
      </c>
      <c r="BD109" s="153" t="str">
        <f t="shared" si="258"/>
        <v/>
      </c>
      <c r="BE109" s="153" t="str">
        <f t="shared" si="259"/>
        <v/>
      </c>
      <c r="BF109" s="152" t="str">
        <f t="shared" si="260"/>
        <v/>
      </c>
      <c r="BG109" s="153" t="str">
        <f t="shared" si="261"/>
        <v/>
      </c>
      <c r="BH109" s="152" t="str">
        <f t="shared" si="262"/>
        <v/>
      </c>
      <c r="BI109" s="580" t="str">
        <f>IF('Marks Entry'!AC109="","",'Marks Entry'!AC109)</f>
        <v/>
      </c>
      <c r="BJ109" s="580" t="str">
        <f>IF('Marks Entry'!AD109="","",'Marks Entry'!AD109)</f>
        <v/>
      </c>
      <c r="BK109" s="580" t="str">
        <f>IF('Marks Entry'!AE109="","",'Marks Entry'!AE109)</f>
        <v/>
      </c>
      <c r="BL109" s="580" t="str">
        <f>IF('Marks Entry'!AF109="","",'Marks Entry'!AF109)</f>
        <v/>
      </c>
      <c r="BM109" s="581" t="str">
        <f t="shared" si="263"/>
        <v/>
      </c>
      <c r="BN109" s="580" t="str">
        <f>IF('Marks Entry'!AG109="","",'Marks Entry'!AG109)</f>
        <v/>
      </c>
      <c r="BO109" s="580" t="str">
        <f>IF('Marks Entry'!AH109="","",'Marks Entry'!AH109)</f>
        <v/>
      </c>
      <c r="BP109" s="581" t="str">
        <f t="shared" si="264"/>
        <v/>
      </c>
      <c r="BQ109" s="581" t="str">
        <f t="shared" si="265"/>
        <v/>
      </c>
      <c r="BR109" s="580" t="str">
        <f>IF('Marks Entry'!AI109="","",'Marks Entry'!AI109)</f>
        <v/>
      </c>
      <c r="BS109" s="580" t="str">
        <f>IF('Marks Entry'!AJ109="","",'Marks Entry'!AJ109)</f>
        <v/>
      </c>
      <c r="BT109" s="581" t="str">
        <f t="shared" si="266"/>
        <v/>
      </c>
      <c r="BU109" s="156" t="str">
        <f t="shared" si="267"/>
        <v/>
      </c>
      <c r="BV109" s="156" t="str">
        <f t="shared" si="268"/>
        <v/>
      </c>
      <c r="BW109" s="191" t="str">
        <f t="shared" si="269"/>
        <v/>
      </c>
      <c r="BX109" s="152">
        <f t="shared" si="270"/>
        <v>0</v>
      </c>
      <c r="BY109" s="153">
        <f t="shared" si="271"/>
        <v>0</v>
      </c>
      <c r="BZ109" s="153" t="str">
        <f t="shared" si="272"/>
        <v/>
      </c>
      <c r="CA109" s="153" t="str">
        <f t="shared" si="273"/>
        <v/>
      </c>
      <c r="CB109" s="153" t="str">
        <f t="shared" si="274"/>
        <v/>
      </c>
      <c r="CC109" s="152" t="str">
        <f t="shared" si="275"/>
        <v/>
      </c>
      <c r="CD109" s="153" t="str">
        <f t="shared" si="276"/>
        <v/>
      </c>
      <c r="CE109" s="152" t="str">
        <f t="shared" si="277"/>
        <v/>
      </c>
      <c r="CF109" s="580" t="str">
        <f>IF('Marks Entry'!AK109="","",'Marks Entry'!AK109)</f>
        <v/>
      </c>
      <c r="CG109" s="580" t="str">
        <f>IF('Marks Entry'!AL109="","",'Marks Entry'!AL109)</f>
        <v/>
      </c>
      <c r="CH109" s="580" t="str">
        <f>IF('Marks Entry'!AM109="","",'Marks Entry'!AM109)</f>
        <v/>
      </c>
      <c r="CI109" s="580" t="str">
        <f>IF('Marks Entry'!AN109="","",'Marks Entry'!AN109)</f>
        <v/>
      </c>
      <c r="CJ109" s="581" t="str">
        <f t="shared" si="278"/>
        <v/>
      </c>
      <c r="CK109" s="580" t="str">
        <f>IF('Marks Entry'!AO109="","",'Marks Entry'!AO109)</f>
        <v/>
      </c>
      <c r="CL109" s="580" t="str">
        <f>IF('Marks Entry'!AP109="","",'Marks Entry'!AP109)</f>
        <v/>
      </c>
      <c r="CM109" s="581" t="str">
        <f t="shared" si="279"/>
        <v/>
      </c>
      <c r="CN109" s="581" t="str">
        <f t="shared" si="280"/>
        <v/>
      </c>
      <c r="CO109" s="580" t="str">
        <f>IF('Marks Entry'!AQ109="","",'Marks Entry'!AQ109)</f>
        <v/>
      </c>
      <c r="CP109" s="580" t="str">
        <f>IF('Marks Entry'!AR109="","",'Marks Entry'!AR109)</f>
        <v/>
      </c>
      <c r="CQ109" s="581" t="str">
        <f t="shared" si="281"/>
        <v/>
      </c>
      <c r="CR109" s="156" t="str">
        <f t="shared" si="282"/>
        <v/>
      </c>
      <c r="CS109" s="156" t="str">
        <f t="shared" si="283"/>
        <v/>
      </c>
      <c r="CT109" s="191" t="str">
        <f t="shared" si="284"/>
        <v/>
      </c>
      <c r="CU109" s="152">
        <f t="shared" si="285"/>
        <v>0</v>
      </c>
      <c r="CV109" s="153">
        <f t="shared" si="286"/>
        <v>0</v>
      </c>
      <c r="CW109" s="153" t="str">
        <f t="shared" si="287"/>
        <v/>
      </c>
      <c r="CX109" s="153" t="str">
        <f t="shared" si="288"/>
        <v/>
      </c>
      <c r="CY109" s="153" t="str">
        <f t="shared" si="289"/>
        <v/>
      </c>
      <c r="CZ109" s="152" t="str">
        <f t="shared" si="290"/>
        <v/>
      </c>
      <c r="DA109" s="153" t="str">
        <f t="shared" si="291"/>
        <v/>
      </c>
      <c r="DB109" s="152" t="str">
        <f t="shared" si="292"/>
        <v/>
      </c>
      <c r="DC109" s="153">
        <f t="shared" si="293"/>
        <v>0</v>
      </c>
      <c r="DD109" s="851" t="str">
        <f>IF('Marks Entry'!AS109="","",IF(OR('Master Sheet'!$D$19="YES",'Marks Entry'!$BA$1=1),'Marks Entry'!AS109,""))</f>
        <v/>
      </c>
      <c r="DE109" s="851" t="str">
        <f>IF('Marks Entry'!AT109="","",IF(OR('Master Sheet'!$D$19="YES",'Marks Entry'!$BA$1=1),'Marks Entry'!AT109,""))</f>
        <v/>
      </c>
      <c r="DF109" s="851" t="str">
        <f>IF('Marks Entry'!AU109="","",IF(OR('Master Sheet'!$D$19="YES",'Marks Entry'!$BA$1=1),'Marks Entry'!AU109,""))</f>
        <v/>
      </c>
      <c r="DG109" s="851" t="str">
        <f>IF('Marks Entry'!AV109="","",IF(OR('Master Sheet'!$D$19="YES",'Marks Entry'!$BA$1=1),'Marks Entry'!AV109,""))</f>
        <v/>
      </c>
      <c r="DH109" s="852" t="str">
        <f t="shared" si="294"/>
        <v/>
      </c>
      <c r="DI109" s="851" t="str">
        <f>IF('Marks Entry'!AW109="","",IF(OR('Master Sheet'!$D$19="YES",'Marks Entry'!$BA$1=1),'Marks Entry'!AW109,""))</f>
        <v/>
      </c>
      <c r="DJ109" s="851" t="str">
        <f>IF('Marks Entry'!AX109="","",IF(OR('Master Sheet'!$D$19="YES",'Marks Entry'!$BA$1=1),'Marks Entry'!AX109,""))</f>
        <v/>
      </c>
      <c r="DK109" s="852" t="str">
        <f t="shared" si="295"/>
        <v/>
      </c>
      <c r="DL109" s="852" t="str">
        <f t="shared" si="296"/>
        <v/>
      </c>
      <c r="DM109" s="851" t="str">
        <f>IF('Marks Entry'!AY109="","",IF(OR('Master Sheet'!$D$19="YES",'Marks Entry'!$BA$1=1),'Marks Entry'!AY109,""))</f>
        <v/>
      </c>
      <c r="DN109" s="851" t="str">
        <f>IF('Marks Entry'!AZ109="","",IF(OR('Master Sheet'!$D$19="YES",'Marks Entry'!$BA$1=1),'Marks Entry'!AZ109,""))</f>
        <v/>
      </c>
      <c r="DO109" s="851" t="str">
        <f>IF('Marks Entry'!BA109="","",IF(OR('Master Sheet'!$D$19="YES",'Marks Entry'!$BA$1=1),'Marks Entry'!BA109,""))</f>
        <v/>
      </c>
      <c r="DP109" s="852" t="str">
        <f t="shared" si="297"/>
        <v/>
      </c>
      <c r="DQ109" s="156" t="str">
        <f t="shared" si="298"/>
        <v/>
      </c>
      <c r="DR109" s="156" t="str">
        <f t="shared" si="299"/>
        <v/>
      </c>
      <c r="DS109" s="156" t="str">
        <f t="shared" si="300"/>
        <v/>
      </c>
      <c r="DT109" s="191" t="str">
        <f t="shared" si="301"/>
        <v/>
      </c>
      <c r="DU109" s="152">
        <f t="shared" si="302"/>
        <v>0</v>
      </c>
      <c r="DV109" s="153">
        <f t="shared" si="303"/>
        <v>0</v>
      </c>
      <c r="DW109" s="153" t="str">
        <f t="shared" si="304"/>
        <v/>
      </c>
      <c r="DX109" s="153" t="str">
        <f>IF(OR($B109="NSO",$B109=0,DS109=""),"",IF(AND(DJ109="",DO109=""),"",IF('Master Sheet'!$D$19="YES",$DO$6-COUNTIF(DO109,"ML")*DO$6,DS$6-(COUNTIF(DJ109,"ML")*DJ$6)-(COUNTIF(DO109,"ML")*DO$6))))</f>
        <v/>
      </c>
      <c r="DY109" s="153" t="str">
        <f>IF(OR($B109="NSO",$B109=0),"",IF(AND(DH109="",DI109="",DM109=""),"",IF(AND('Master Sheet'!$D$19="YES",'Marks Entry'!$BA$1=1),100,IF(AND(DJ109="",DO109=""),SUM(($DQ$7+$DR$7)-(DU109+DV109)),SUM(($DQ$6+$DR$6)-(DU109+DV109))))))</f>
        <v/>
      </c>
      <c r="DZ109" s="152" t="str">
        <f t="shared" si="305"/>
        <v/>
      </c>
      <c r="EA109" s="153" t="str">
        <f t="shared" si="306"/>
        <v/>
      </c>
      <c r="EB109" s="152" t="str">
        <f t="shared" si="307"/>
        <v/>
      </c>
      <c r="EC109" s="584" t="str">
        <f>IF('Marks Entry'!BB109="","",'Marks Entry'!BB109)</f>
        <v/>
      </c>
      <c r="ED109" s="584" t="str">
        <f>IF('Marks Entry'!BC109="","",'Marks Entry'!BC109)</f>
        <v/>
      </c>
      <c r="EE109" s="584" t="str">
        <f>IF('Marks Entry'!BD109="","",'Marks Entry'!BD109)</f>
        <v/>
      </c>
      <c r="EF109" s="590" t="str">
        <f t="shared" si="308"/>
        <v/>
      </c>
      <c r="EG109" s="595">
        <f t="shared" si="309"/>
        <v>0</v>
      </c>
      <c r="EH109" s="595">
        <f t="shared" si="310"/>
        <v>0</v>
      </c>
      <c r="EI109" s="192" t="str">
        <f t="shared" si="311"/>
        <v/>
      </c>
      <c r="EJ109" s="595" t="str">
        <f t="shared" si="312"/>
        <v/>
      </c>
      <c r="EK109" s="595" t="str">
        <f t="shared" si="313"/>
        <v/>
      </c>
      <c r="EL109" s="193" t="str">
        <f t="shared" si="314"/>
        <v/>
      </c>
      <c r="EM109" s="193" t="str">
        <f t="shared" si="315"/>
        <v/>
      </c>
      <c r="EN109" s="193" t="str">
        <f t="shared" si="316"/>
        <v/>
      </c>
      <c r="EO109" s="193" t="str">
        <f t="shared" si="317"/>
        <v/>
      </c>
      <c r="EP109" s="193" t="str">
        <f t="shared" si="318"/>
        <v/>
      </c>
      <c r="EQ109" s="193" t="str">
        <f t="shared" si="319"/>
        <v/>
      </c>
      <c r="ER109" s="194">
        <f t="shared" si="320"/>
        <v>0</v>
      </c>
      <c r="ES109" s="194">
        <f t="shared" si="321"/>
        <v>0</v>
      </c>
      <c r="ET109" s="194">
        <f t="shared" si="322"/>
        <v>0</v>
      </c>
      <c r="EU109" s="194">
        <f t="shared" si="323"/>
        <v>0</v>
      </c>
      <c r="EV109" s="194">
        <f t="shared" si="324"/>
        <v>0</v>
      </c>
      <c r="EW109" s="194" t="str">
        <f t="shared" si="325"/>
        <v/>
      </c>
      <c r="EX109" s="195" t="str">
        <f t="shared" si="326"/>
        <v/>
      </c>
      <c r="EY109" s="196" t="str">
        <f>IF('Marks Entry'!BE109="","",'Marks Entry'!BE109)</f>
        <v/>
      </c>
      <c r="EZ109" s="196" t="str">
        <f>IF('Marks Entry'!BF109="","",'Marks Entry'!BF109)</f>
        <v/>
      </c>
      <c r="FA109" s="196" t="str">
        <f>IF('Marks Entry'!BG109="","",'Marks Entry'!BG109)</f>
        <v/>
      </c>
      <c r="FB109" s="596" t="str">
        <f t="shared" si="327"/>
        <v/>
      </c>
      <c r="FC109" s="196" t="str">
        <f>IF('Marks Entry'!BH109="","",'Marks Entry'!BH109)</f>
        <v/>
      </c>
      <c r="FD109" s="196" t="str">
        <f>IF('Marks Entry'!BI109="","",'Marks Entry'!BI109)</f>
        <v/>
      </c>
      <c r="FE109" s="197" t="str">
        <f t="shared" si="328"/>
        <v/>
      </c>
      <c r="FF109" s="198" t="str">
        <f t="shared" si="329"/>
        <v/>
      </c>
      <c r="FG109" s="199" t="str">
        <f>IF(AND(E109=""),"",IF('Student DATA Entry'!L105="","",'Student DATA Entry'!L105))</f>
        <v/>
      </c>
      <c r="FH109" s="200" t="str">
        <f>IF(AND(E109=""),"",IF('Student DATA Entry'!M105="","",'Student DATA Entry'!M105))</f>
        <v/>
      </c>
      <c r="FI109" s="201" t="str">
        <f t="shared" si="330"/>
        <v/>
      </c>
      <c r="FJ109" s="188" t="str">
        <f t="shared" si="331"/>
        <v/>
      </c>
      <c r="FK109" s="188" t="str">
        <f t="shared" si="332"/>
        <v/>
      </c>
      <c r="FL109" s="202" t="str">
        <f t="shared" si="360"/>
        <v/>
      </c>
      <c r="FM109" s="188" t="str">
        <f t="shared" si="333"/>
        <v/>
      </c>
      <c r="FN109" s="203" t="str">
        <f t="shared" si="334"/>
        <v/>
      </c>
      <c r="FO109" s="202" t="str">
        <f t="shared" si="361"/>
        <v/>
      </c>
      <c r="FP109" s="204" t="str">
        <f t="shared" si="335"/>
        <v/>
      </c>
      <c r="FQ109" s="188" t="str">
        <f t="shared" si="362"/>
        <v/>
      </c>
      <c r="FR109" s="188" t="str">
        <f t="shared" si="363"/>
        <v/>
      </c>
      <c r="FS109" s="188" t="str">
        <f t="shared" si="364"/>
        <v/>
      </c>
      <c r="FT109" s="188" t="str">
        <f t="shared" si="365"/>
        <v/>
      </c>
      <c r="FU109" s="188" t="str">
        <f t="shared" si="336"/>
        <v/>
      </c>
      <c r="FV109" s="205" t="str">
        <f t="shared" si="366"/>
        <v/>
      </c>
      <c r="FW109" s="204" t="str">
        <f t="shared" si="337"/>
        <v/>
      </c>
      <c r="FX109" s="188" t="str">
        <f t="shared" si="367"/>
        <v/>
      </c>
      <c r="FY109" s="188" t="str">
        <f t="shared" si="368"/>
        <v/>
      </c>
      <c r="FZ109" s="188" t="str">
        <f t="shared" si="369"/>
        <v/>
      </c>
      <c r="GA109" s="188" t="str">
        <f t="shared" si="370"/>
        <v/>
      </c>
      <c r="GB109" s="188" t="str">
        <f t="shared" si="338"/>
        <v/>
      </c>
      <c r="GC109" s="205" t="str">
        <f t="shared" si="371"/>
        <v/>
      </c>
      <c r="GD109" s="204" t="str">
        <f t="shared" si="339"/>
        <v/>
      </c>
      <c r="GE109" s="188" t="str">
        <f t="shared" si="372"/>
        <v/>
      </c>
      <c r="GF109" s="188" t="str">
        <f t="shared" si="373"/>
        <v/>
      </c>
      <c r="GG109" s="188" t="str">
        <f t="shared" si="374"/>
        <v/>
      </c>
      <c r="GH109" s="188" t="str">
        <f t="shared" si="375"/>
        <v/>
      </c>
      <c r="GI109" s="188" t="str">
        <f t="shared" si="340"/>
        <v/>
      </c>
      <c r="GJ109" s="205" t="str">
        <f t="shared" si="376"/>
        <v/>
      </c>
      <c r="GK109" s="204" t="str">
        <f t="shared" si="341"/>
        <v/>
      </c>
      <c r="GL109" s="188" t="str">
        <f t="shared" si="377"/>
        <v/>
      </c>
      <c r="GM109" s="188" t="str">
        <f t="shared" si="378"/>
        <v/>
      </c>
      <c r="GN109" s="188" t="str">
        <f t="shared" si="379"/>
        <v/>
      </c>
      <c r="GO109" s="188" t="str">
        <f t="shared" si="380"/>
        <v/>
      </c>
      <c r="GP109" s="188" t="str">
        <f t="shared" si="342"/>
        <v/>
      </c>
      <c r="GQ109" s="205" t="str">
        <f t="shared" si="381"/>
        <v/>
      </c>
      <c r="GR109" s="188" t="str">
        <f t="shared" si="343"/>
        <v/>
      </c>
      <c r="GS109" s="188" t="str">
        <f t="shared" si="344"/>
        <v/>
      </c>
      <c r="GT109" s="206" t="str">
        <f t="shared" si="345"/>
        <v xml:space="preserve">    </v>
      </c>
      <c r="GU109" s="206" t="str">
        <f t="shared" si="346"/>
        <v xml:space="preserve">    </v>
      </c>
      <c r="GV109" s="206" t="str">
        <f t="shared" si="347"/>
        <v xml:space="preserve">    </v>
      </c>
      <c r="GW109" s="206" t="str">
        <f t="shared" si="348"/>
        <v xml:space="preserve">       </v>
      </c>
      <c r="GX109" s="598" t="str">
        <f t="shared" si="349"/>
        <v xml:space="preserve">     </v>
      </c>
      <c r="GY109" s="207" t="str">
        <f t="shared" si="382"/>
        <v/>
      </c>
      <c r="GZ109" s="606" t="str">
        <f>IF(AND(Q109="",AE109="",AZ109="",BW109="",CT109=""),"",IF(AND('Master Sheet'!$D$19="YES",'Marks Entry'!$BA$1=1),SUM(Q109,AE109,AZ109,BW109,DT109),SUM(Q109,AE109,AZ109,BW109,CT109)))</f>
        <v/>
      </c>
      <c r="HA109" s="208" t="str">
        <f>IF(GZ109="","",IF(AND('Master Sheet'!$D$19="YES",'Marks Entry'!$BA$1=1),GZ109/((900)-DC109)*100,GZ109/((1000)-DC109)*100))</f>
        <v/>
      </c>
      <c r="HB109" s="611" t="str">
        <f t="shared" si="350"/>
        <v/>
      </c>
      <c r="HC109" s="609" t="str">
        <f t="shared" si="351"/>
        <v/>
      </c>
      <c r="HD109" s="610" t="str">
        <f t="shared" si="352"/>
        <v/>
      </c>
      <c r="HE109" s="209" t="str">
        <f>IFERROR(IF(OR(GY109="SUPPLEMENTARY",GY109="RE-EXAM"),'Supp. Result Entry'!AS108,""),"")</f>
        <v/>
      </c>
      <c r="HF109" s="613" t="str">
        <f t="shared" si="353"/>
        <v/>
      </c>
      <c r="HG109" s="598" t="str">
        <f t="shared" si="354"/>
        <v/>
      </c>
      <c r="HH109" s="598" t="str">
        <f>IF(AND(HE109="",HF109="",HG109=""),"",IF(OR(GY109="SUPPLEMENTARY",GY109="RE-EXAM"),'Supp. Result Entry'!AS108,GY109))</f>
        <v/>
      </c>
      <c r="HI109" s="179"/>
      <c r="HY109" s="211" t="str">
        <f>IF('Supp. Result Entry'!U108="","",'Supp. Result Entry'!$U$6)</f>
        <v/>
      </c>
      <c r="HZ109" s="212" t="str">
        <f>IF('Supp. Result Entry'!X108="","",'Supp. Result Entry'!$X$6)</f>
        <v/>
      </c>
      <c r="IA109" s="212" t="str">
        <f>IF('Supp. Result Entry'!AA108="","",'Supp. Result Entry'!$AA$6)</f>
        <v/>
      </c>
      <c r="IB109" s="212" t="str">
        <f>IF('Supp. Result Entry'!AD108="","",'Supp. Result Entry'!$AD$6)</f>
        <v/>
      </c>
      <c r="IC109" s="212" t="str">
        <f>IF('Supp. Result Entry'!AG108="","",'Supp. Result Entry'!$AG$6)</f>
        <v/>
      </c>
      <c r="ID109" s="212" t="str">
        <f>IF('Supp. Result Entry'!AJ108="","",'Supp. Result Entry'!$AJ$6)</f>
        <v/>
      </c>
      <c r="IE109" s="212" t="str">
        <f>IF('Supp. Result Entry'!V108="","",'Supp. Result Entry'!V108)</f>
        <v/>
      </c>
      <c r="IF109" s="212" t="str">
        <f>IF('Supp. Result Entry'!Y108="","",'Supp. Result Entry'!Y108)</f>
        <v/>
      </c>
      <c r="IG109" s="212" t="str">
        <f>IF('Supp. Result Entry'!AB108="","",'Supp. Result Entry'!AB108)</f>
        <v/>
      </c>
      <c r="IH109" s="212" t="str">
        <f>IF('Supp. Result Entry'!AE108="","",'Supp. Result Entry'!AE108)</f>
        <v/>
      </c>
      <c r="II109" s="212" t="str">
        <f>IF('Supp. Result Entry'!AH108="","",'Supp. Result Entry'!AH108)</f>
        <v/>
      </c>
      <c r="IJ109" s="212" t="str">
        <f>IF('Supp. Result Entry'!AK108="","",'Supp. Result Entry'!AK108)</f>
        <v/>
      </c>
      <c r="IK109" s="212" t="str">
        <f>IF('Supp. Result Entry'!W108="","",'Supp. Result Entry'!W108)</f>
        <v/>
      </c>
      <c r="IL109" s="212" t="str">
        <f>IF('Supp. Result Entry'!Z108="","",'Supp. Result Entry'!Z108)</f>
        <v/>
      </c>
      <c r="IM109" s="212" t="str">
        <f>IF('Supp. Result Entry'!AC108="","",'Supp. Result Entry'!AC108)</f>
        <v/>
      </c>
      <c r="IN109" s="212" t="str">
        <f>IF('Supp. Result Entry'!AF108="","",'Supp. Result Entry'!AF108)</f>
        <v/>
      </c>
      <c r="IO109" s="212" t="str">
        <f>IF('Supp. Result Entry'!AI108="","",'Supp. Result Entry'!AI108)</f>
        <v/>
      </c>
      <c r="IP109" s="212" t="str">
        <f>IF('Supp. Result Entry'!AL108="","",'Supp. Result Entry'!AL108)</f>
        <v/>
      </c>
      <c r="IQ109" s="212">
        <f>COUNTIF('Supp. Result Entry'!K108:Q108,"S")</f>
        <v>0</v>
      </c>
      <c r="IR109" s="212">
        <f t="shared" si="355"/>
        <v>0</v>
      </c>
      <c r="IS109" s="212">
        <f t="shared" si="356"/>
        <v>0</v>
      </c>
      <c r="IT109" s="212" t="str">
        <f t="shared" si="224"/>
        <v/>
      </c>
      <c r="IU109" s="212" t="str">
        <f t="shared" si="225"/>
        <v/>
      </c>
      <c r="IV109" s="212" t="str">
        <f t="shared" si="226"/>
        <v/>
      </c>
      <c r="IW109" s="212" t="str">
        <f t="shared" si="227"/>
        <v/>
      </c>
      <c r="IX109" s="212" t="str">
        <f t="shared" si="228"/>
        <v/>
      </c>
      <c r="IY109" s="212" t="str">
        <f t="shared" si="357"/>
        <v/>
      </c>
      <c r="IZ109" s="212" t="str">
        <f t="shared" si="358"/>
        <v/>
      </c>
      <c r="JA109" s="212" t="str">
        <f t="shared" si="229"/>
        <v/>
      </c>
      <c r="JB109" s="210" t="str">
        <f t="shared" si="359"/>
        <v/>
      </c>
    </row>
    <row r="110" spans="1:262" s="210" customFormat="1" ht="21" customHeight="1">
      <c r="A110" s="183">
        <v>103</v>
      </c>
      <c r="B110" s="184" t="str">
        <f>IF('Marks Entry'!B110="","",'Marks Entry'!B110)</f>
        <v/>
      </c>
      <c r="C110" s="185" t="str">
        <f>IF('Marks Entry'!D110="","",'Marks Entry'!D110)</f>
        <v/>
      </c>
      <c r="D110" s="186" t="str">
        <f>IF('Marks Entry'!E110="","",'Marks Entry'!E110)</f>
        <v/>
      </c>
      <c r="E110" s="187" t="str">
        <f>IF('Marks Entry'!F110="","",'Marks Entry'!F110)</f>
        <v/>
      </c>
      <c r="F110" s="187" t="str">
        <f>IF('Marks Entry'!G110="","",'Marks Entry'!G110)</f>
        <v/>
      </c>
      <c r="G110" s="187" t="str">
        <f>IF('Marks Entry'!H110="","",'Marks Entry'!H110)</f>
        <v/>
      </c>
      <c r="H110" s="188" t="str">
        <f>IF('Marks Entry'!I110="","",'Marks Entry'!I110)</f>
        <v/>
      </c>
      <c r="I110" s="189" t="str">
        <f>IF('Marks Entry'!J110="","",'Marks Entry'!J110)</f>
        <v/>
      </c>
      <c r="J110" s="545" t="str">
        <f>IF('Marks Entry'!K110="","",'Marks Entry'!K110)</f>
        <v/>
      </c>
      <c r="K110" s="545" t="str">
        <f>IF('Marks Entry'!L110="","",'Marks Entry'!L110)</f>
        <v/>
      </c>
      <c r="L110" s="545" t="str">
        <f>IF('Marks Entry'!M110="","",'Marks Entry'!M110)</f>
        <v/>
      </c>
      <c r="M110" s="546" t="str">
        <f t="shared" si="230"/>
        <v/>
      </c>
      <c r="N110" s="545" t="str">
        <f>IF('Marks Entry'!N110="","",'Marks Entry'!N110)</f>
        <v/>
      </c>
      <c r="O110" s="546" t="str">
        <f t="shared" si="231"/>
        <v/>
      </c>
      <c r="P110" s="545" t="str">
        <f>IF('Marks Entry'!O110="","",'Marks Entry'!O110)</f>
        <v/>
      </c>
      <c r="Q110" s="547" t="str">
        <f t="shared" si="232"/>
        <v/>
      </c>
      <c r="R110" s="152">
        <f t="shared" si="233"/>
        <v>0</v>
      </c>
      <c r="S110" s="152">
        <f t="shared" si="234"/>
        <v>0</v>
      </c>
      <c r="T110" s="153" t="str">
        <f t="shared" si="235"/>
        <v/>
      </c>
      <c r="U110" s="152" t="str">
        <f t="shared" si="236"/>
        <v/>
      </c>
      <c r="V110" s="152" t="str">
        <f t="shared" si="237"/>
        <v/>
      </c>
      <c r="W110" s="152" t="str">
        <f t="shared" si="238"/>
        <v/>
      </c>
      <c r="X110" s="545" t="str">
        <f>IF('Marks Entry'!P110="","",'Marks Entry'!P110)</f>
        <v/>
      </c>
      <c r="Y110" s="545" t="str">
        <f>IF('Marks Entry'!Q110="","",'Marks Entry'!Q110)</f>
        <v/>
      </c>
      <c r="Z110" s="545" t="str">
        <f>IF('Marks Entry'!R110="","",'Marks Entry'!R110)</f>
        <v/>
      </c>
      <c r="AA110" s="546" t="str">
        <f t="shared" si="239"/>
        <v/>
      </c>
      <c r="AB110" s="545" t="str">
        <f>IF('Marks Entry'!S110="","",'Marks Entry'!S110)</f>
        <v/>
      </c>
      <c r="AC110" s="546" t="str">
        <f t="shared" si="240"/>
        <v/>
      </c>
      <c r="AD110" s="545" t="str">
        <f>IF('Marks Entry'!T110="","",'Marks Entry'!T110)</f>
        <v/>
      </c>
      <c r="AE110" s="547" t="str">
        <f t="shared" si="241"/>
        <v/>
      </c>
      <c r="AF110" s="152">
        <f t="shared" si="242"/>
        <v>0</v>
      </c>
      <c r="AG110" s="152">
        <f t="shared" si="243"/>
        <v>0</v>
      </c>
      <c r="AH110" s="153" t="str">
        <f t="shared" si="244"/>
        <v/>
      </c>
      <c r="AI110" s="152" t="str">
        <f t="shared" si="245"/>
        <v/>
      </c>
      <c r="AJ110" s="152" t="str">
        <f t="shared" si="246"/>
        <v/>
      </c>
      <c r="AK110" s="152" t="str">
        <f t="shared" si="247"/>
        <v/>
      </c>
      <c r="AL110" s="573" t="str">
        <f>IF('Marks Entry'!U110="","",'Marks Entry'!U110)</f>
        <v/>
      </c>
      <c r="AM110" s="573" t="str">
        <f>IF('Marks Entry'!V110="","",'Marks Entry'!V110)</f>
        <v/>
      </c>
      <c r="AN110" s="573" t="str">
        <f>IF('Marks Entry'!W110="","",'Marks Entry'!W110)</f>
        <v/>
      </c>
      <c r="AO110" s="573" t="str">
        <f>IF('Marks Entry'!X110="","",'Marks Entry'!X110)</f>
        <v/>
      </c>
      <c r="AP110" s="572" t="str">
        <f t="shared" si="248"/>
        <v/>
      </c>
      <c r="AQ110" s="573" t="str">
        <f>IF('Marks Entry'!Y110="","",'Marks Entry'!Y110)</f>
        <v/>
      </c>
      <c r="AR110" s="573" t="str">
        <f>IF('Marks Entry'!Z110="","",'Marks Entry'!Z110)</f>
        <v/>
      </c>
      <c r="AS110" s="572" t="str">
        <f t="shared" si="249"/>
        <v/>
      </c>
      <c r="AT110" s="572" t="str">
        <f t="shared" si="250"/>
        <v/>
      </c>
      <c r="AU110" s="573" t="str">
        <f>IF('Marks Entry'!AA110="","",'Marks Entry'!AA110)</f>
        <v/>
      </c>
      <c r="AV110" s="573" t="str">
        <f>IF('Marks Entry'!AB110="","",'Marks Entry'!AB110)</f>
        <v/>
      </c>
      <c r="AW110" s="572" t="str">
        <f t="shared" si="251"/>
        <v/>
      </c>
      <c r="AX110" s="156" t="str">
        <f t="shared" si="252"/>
        <v/>
      </c>
      <c r="AY110" s="156" t="str">
        <f t="shared" si="253"/>
        <v/>
      </c>
      <c r="AZ110" s="191" t="str">
        <f t="shared" si="254"/>
        <v/>
      </c>
      <c r="BA110" s="152">
        <f t="shared" si="255"/>
        <v>0</v>
      </c>
      <c r="BB110" s="153">
        <f t="shared" si="256"/>
        <v>0</v>
      </c>
      <c r="BC110" s="153" t="str">
        <f t="shared" si="257"/>
        <v/>
      </c>
      <c r="BD110" s="153" t="str">
        <f t="shared" si="258"/>
        <v/>
      </c>
      <c r="BE110" s="153" t="str">
        <f t="shared" si="259"/>
        <v/>
      </c>
      <c r="BF110" s="152" t="str">
        <f t="shared" si="260"/>
        <v/>
      </c>
      <c r="BG110" s="153" t="str">
        <f t="shared" si="261"/>
        <v/>
      </c>
      <c r="BH110" s="152" t="str">
        <f t="shared" si="262"/>
        <v/>
      </c>
      <c r="BI110" s="580" t="str">
        <f>IF('Marks Entry'!AC110="","",'Marks Entry'!AC110)</f>
        <v/>
      </c>
      <c r="BJ110" s="580" t="str">
        <f>IF('Marks Entry'!AD110="","",'Marks Entry'!AD110)</f>
        <v/>
      </c>
      <c r="BK110" s="580" t="str">
        <f>IF('Marks Entry'!AE110="","",'Marks Entry'!AE110)</f>
        <v/>
      </c>
      <c r="BL110" s="580" t="str">
        <f>IF('Marks Entry'!AF110="","",'Marks Entry'!AF110)</f>
        <v/>
      </c>
      <c r="BM110" s="581" t="str">
        <f t="shared" si="263"/>
        <v/>
      </c>
      <c r="BN110" s="580" t="str">
        <f>IF('Marks Entry'!AG110="","",'Marks Entry'!AG110)</f>
        <v/>
      </c>
      <c r="BO110" s="580" t="str">
        <f>IF('Marks Entry'!AH110="","",'Marks Entry'!AH110)</f>
        <v/>
      </c>
      <c r="BP110" s="581" t="str">
        <f t="shared" si="264"/>
        <v/>
      </c>
      <c r="BQ110" s="581" t="str">
        <f t="shared" si="265"/>
        <v/>
      </c>
      <c r="BR110" s="580" t="str">
        <f>IF('Marks Entry'!AI110="","",'Marks Entry'!AI110)</f>
        <v/>
      </c>
      <c r="BS110" s="580" t="str">
        <f>IF('Marks Entry'!AJ110="","",'Marks Entry'!AJ110)</f>
        <v/>
      </c>
      <c r="BT110" s="581" t="str">
        <f t="shared" si="266"/>
        <v/>
      </c>
      <c r="BU110" s="156" t="str">
        <f t="shared" si="267"/>
        <v/>
      </c>
      <c r="BV110" s="156" t="str">
        <f t="shared" si="268"/>
        <v/>
      </c>
      <c r="BW110" s="191" t="str">
        <f t="shared" si="269"/>
        <v/>
      </c>
      <c r="BX110" s="152">
        <f t="shared" si="270"/>
        <v>0</v>
      </c>
      <c r="BY110" s="153">
        <f t="shared" si="271"/>
        <v>0</v>
      </c>
      <c r="BZ110" s="153" t="str">
        <f t="shared" si="272"/>
        <v/>
      </c>
      <c r="CA110" s="153" t="str">
        <f t="shared" si="273"/>
        <v/>
      </c>
      <c r="CB110" s="153" t="str">
        <f t="shared" si="274"/>
        <v/>
      </c>
      <c r="CC110" s="152" t="str">
        <f t="shared" si="275"/>
        <v/>
      </c>
      <c r="CD110" s="153" t="str">
        <f t="shared" si="276"/>
        <v/>
      </c>
      <c r="CE110" s="152" t="str">
        <f t="shared" si="277"/>
        <v/>
      </c>
      <c r="CF110" s="580" t="str">
        <f>IF('Marks Entry'!AK110="","",'Marks Entry'!AK110)</f>
        <v/>
      </c>
      <c r="CG110" s="580" t="str">
        <f>IF('Marks Entry'!AL110="","",'Marks Entry'!AL110)</f>
        <v/>
      </c>
      <c r="CH110" s="580" t="str">
        <f>IF('Marks Entry'!AM110="","",'Marks Entry'!AM110)</f>
        <v/>
      </c>
      <c r="CI110" s="580" t="str">
        <f>IF('Marks Entry'!AN110="","",'Marks Entry'!AN110)</f>
        <v/>
      </c>
      <c r="CJ110" s="581" t="str">
        <f t="shared" si="278"/>
        <v/>
      </c>
      <c r="CK110" s="580" t="str">
        <f>IF('Marks Entry'!AO110="","",'Marks Entry'!AO110)</f>
        <v/>
      </c>
      <c r="CL110" s="580" t="str">
        <f>IF('Marks Entry'!AP110="","",'Marks Entry'!AP110)</f>
        <v/>
      </c>
      <c r="CM110" s="581" t="str">
        <f t="shared" si="279"/>
        <v/>
      </c>
      <c r="CN110" s="581" t="str">
        <f t="shared" si="280"/>
        <v/>
      </c>
      <c r="CO110" s="580" t="str">
        <f>IF('Marks Entry'!AQ110="","",'Marks Entry'!AQ110)</f>
        <v/>
      </c>
      <c r="CP110" s="580" t="str">
        <f>IF('Marks Entry'!AR110="","",'Marks Entry'!AR110)</f>
        <v/>
      </c>
      <c r="CQ110" s="581" t="str">
        <f t="shared" si="281"/>
        <v/>
      </c>
      <c r="CR110" s="156" t="str">
        <f t="shared" si="282"/>
        <v/>
      </c>
      <c r="CS110" s="156" t="str">
        <f t="shared" si="283"/>
        <v/>
      </c>
      <c r="CT110" s="191" t="str">
        <f t="shared" si="284"/>
        <v/>
      </c>
      <c r="CU110" s="152">
        <f t="shared" si="285"/>
        <v>0</v>
      </c>
      <c r="CV110" s="153">
        <f t="shared" si="286"/>
        <v>0</v>
      </c>
      <c r="CW110" s="153" t="str">
        <f t="shared" si="287"/>
        <v/>
      </c>
      <c r="CX110" s="153" t="str">
        <f t="shared" si="288"/>
        <v/>
      </c>
      <c r="CY110" s="153" t="str">
        <f t="shared" si="289"/>
        <v/>
      </c>
      <c r="CZ110" s="152" t="str">
        <f t="shared" si="290"/>
        <v/>
      </c>
      <c r="DA110" s="153" t="str">
        <f t="shared" si="291"/>
        <v/>
      </c>
      <c r="DB110" s="152" t="str">
        <f t="shared" si="292"/>
        <v/>
      </c>
      <c r="DC110" s="153">
        <f t="shared" si="293"/>
        <v>0</v>
      </c>
      <c r="DD110" s="851" t="str">
        <f>IF('Marks Entry'!AS110="","",IF(OR('Master Sheet'!$D$19="YES",'Marks Entry'!$BA$1=1),'Marks Entry'!AS110,""))</f>
        <v/>
      </c>
      <c r="DE110" s="851" t="str">
        <f>IF('Marks Entry'!AT110="","",IF(OR('Master Sheet'!$D$19="YES",'Marks Entry'!$BA$1=1),'Marks Entry'!AT110,""))</f>
        <v/>
      </c>
      <c r="DF110" s="851" t="str">
        <f>IF('Marks Entry'!AU110="","",IF(OR('Master Sheet'!$D$19="YES",'Marks Entry'!$BA$1=1),'Marks Entry'!AU110,""))</f>
        <v/>
      </c>
      <c r="DG110" s="851" t="str">
        <f>IF('Marks Entry'!AV110="","",IF(OR('Master Sheet'!$D$19="YES",'Marks Entry'!$BA$1=1),'Marks Entry'!AV110,""))</f>
        <v/>
      </c>
      <c r="DH110" s="852" t="str">
        <f t="shared" si="294"/>
        <v/>
      </c>
      <c r="DI110" s="851" t="str">
        <f>IF('Marks Entry'!AW110="","",IF(OR('Master Sheet'!$D$19="YES",'Marks Entry'!$BA$1=1),'Marks Entry'!AW110,""))</f>
        <v/>
      </c>
      <c r="DJ110" s="851" t="str">
        <f>IF('Marks Entry'!AX110="","",IF(OR('Master Sheet'!$D$19="YES",'Marks Entry'!$BA$1=1),'Marks Entry'!AX110,""))</f>
        <v/>
      </c>
      <c r="DK110" s="852" t="str">
        <f t="shared" si="295"/>
        <v/>
      </c>
      <c r="DL110" s="852" t="str">
        <f t="shared" si="296"/>
        <v/>
      </c>
      <c r="DM110" s="851" t="str">
        <f>IF('Marks Entry'!AY110="","",IF(OR('Master Sheet'!$D$19="YES",'Marks Entry'!$BA$1=1),'Marks Entry'!AY110,""))</f>
        <v/>
      </c>
      <c r="DN110" s="851" t="str">
        <f>IF('Marks Entry'!AZ110="","",IF(OR('Master Sheet'!$D$19="YES",'Marks Entry'!$BA$1=1),'Marks Entry'!AZ110,""))</f>
        <v/>
      </c>
      <c r="DO110" s="851" t="str">
        <f>IF('Marks Entry'!BA110="","",IF(OR('Master Sheet'!$D$19="YES",'Marks Entry'!$BA$1=1),'Marks Entry'!BA110,""))</f>
        <v/>
      </c>
      <c r="DP110" s="852" t="str">
        <f t="shared" si="297"/>
        <v/>
      </c>
      <c r="DQ110" s="156" t="str">
        <f t="shared" si="298"/>
        <v/>
      </c>
      <c r="DR110" s="156" t="str">
        <f t="shared" si="299"/>
        <v/>
      </c>
      <c r="DS110" s="156" t="str">
        <f t="shared" si="300"/>
        <v/>
      </c>
      <c r="DT110" s="191" t="str">
        <f t="shared" si="301"/>
        <v/>
      </c>
      <c r="DU110" s="152">
        <f t="shared" si="302"/>
        <v>0</v>
      </c>
      <c r="DV110" s="153">
        <f t="shared" si="303"/>
        <v>0</v>
      </c>
      <c r="DW110" s="153" t="str">
        <f t="shared" si="304"/>
        <v/>
      </c>
      <c r="DX110" s="153" t="str">
        <f>IF(OR($B110="NSO",$B110=0,DS110=""),"",IF(AND(DJ110="",DO110=""),"",IF('Master Sheet'!$D$19="YES",$DO$6-COUNTIF(DO110,"ML")*DO$6,DS$6-(COUNTIF(DJ110,"ML")*DJ$6)-(COUNTIF(DO110,"ML")*DO$6))))</f>
        <v/>
      </c>
      <c r="DY110" s="153" t="str">
        <f>IF(OR($B110="NSO",$B110=0),"",IF(AND(DH110="",DI110="",DM110=""),"",IF(AND('Master Sheet'!$D$19="YES",'Marks Entry'!$BA$1=1),100,IF(AND(DJ110="",DO110=""),SUM(($DQ$7+$DR$7)-(DU110+DV110)),SUM(($DQ$6+$DR$6)-(DU110+DV110))))))</f>
        <v/>
      </c>
      <c r="DZ110" s="152" t="str">
        <f t="shared" si="305"/>
        <v/>
      </c>
      <c r="EA110" s="153" t="str">
        <f t="shared" si="306"/>
        <v/>
      </c>
      <c r="EB110" s="152" t="str">
        <f t="shared" si="307"/>
        <v/>
      </c>
      <c r="EC110" s="584" t="str">
        <f>IF('Marks Entry'!BB110="","",'Marks Entry'!BB110)</f>
        <v/>
      </c>
      <c r="ED110" s="584" t="str">
        <f>IF('Marks Entry'!BC110="","",'Marks Entry'!BC110)</f>
        <v/>
      </c>
      <c r="EE110" s="584" t="str">
        <f>IF('Marks Entry'!BD110="","",'Marks Entry'!BD110)</f>
        <v/>
      </c>
      <c r="EF110" s="590" t="str">
        <f t="shared" si="308"/>
        <v/>
      </c>
      <c r="EG110" s="595">
        <f t="shared" si="309"/>
        <v>0</v>
      </c>
      <c r="EH110" s="595">
        <f t="shared" si="310"/>
        <v>0</v>
      </c>
      <c r="EI110" s="192" t="str">
        <f t="shared" si="311"/>
        <v/>
      </c>
      <c r="EJ110" s="595" t="str">
        <f t="shared" si="312"/>
        <v/>
      </c>
      <c r="EK110" s="595" t="str">
        <f t="shared" si="313"/>
        <v/>
      </c>
      <c r="EL110" s="193" t="str">
        <f t="shared" si="314"/>
        <v/>
      </c>
      <c r="EM110" s="193" t="str">
        <f t="shared" si="315"/>
        <v/>
      </c>
      <c r="EN110" s="193" t="str">
        <f t="shared" si="316"/>
        <v/>
      </c>
      <c r="EO110" s="193" t="str">
        <f t="shared" si="317"/>
        <v/>
      </c>
      <c r="EP110" s="193" t="str">
        <f t="shared" si="318"/>
        <v/>
      </c>
      <c r="EQ110" s="193" t="str">
        <f t="shared" si="319"/>
        <v/>
      </c>
      <c r="ER110" s="194">
        <f t="shared" si="320"/>
        <v>0</v>
      </c>
      <c r="ES110" s="194">
        <f t="shared" si="321"/>
        <v>0</v>
      </c>
      <c r="ET110" s="194">
        <f t="shared" si="322"/>
        <v>0</v>
      </c>
      <c r="EU110" s="194">
        <f t="shared" si="323"/>
        <v>0</v>
      </c>
      <c r="EV110" s="194">
        <f t="shared" si="324"/>
        <v>0</v>
      </c>
      <c r="EW110" s="194" t="str">
        <f t="shared" si="325"/>
        <v/>
      </c>
      <c r="EX110" s="195" t="str">
        <f t="shared" si="326"/>
        <v/>
      </c>
      <c r="EY110" s="196" t="str">
        <f>IF('Marks Entry'!BE110="","",'Marks Entry'!BE110)</f>
        <v/>
      </c>
      <c r="EZ110" s="196" t="str">
        <f>IF('Marks Entry'!BF110="","",'Marks Entry'!BF110)</f>
        <v/>
      </c>
      <c r="FA110" s="196" t="str">
        <f>IF('Marks Entry'!BG110="","",'Marks Entry'!BG110)</f>
        <v/>
      </c>
      <c r="FB110" s="596" t="str">
        <f t="shared" si="327"/>
        <v/>
      </c>
      <c r="FC110" s="196" t="str">
        <f>IF('Marks Entry'!BH110="","",'Marks Entry'!BH110)</f>
        <v/>
      </c>
      <c r="FD110" s="196" t="str">
        <f>IF('Marks Entry'!BI110="","",'Marks Entry'!BI110)</f>
        <v/>
      </c>
      <c r="FE110" s="197" t="str">
        <f t="shared" si="328"/>
        <v/>
      </c>
      <c r="FF110" s="198" t="str">
        <f t="shared" si="329"/>
        <v/>
      </c>
      <c r="FG110" s="199" t="str">
        <f>IF(AND(E110=""),"",IF('Student DATA Entry'!L106="","",'Student DATA Entry'!L106))</f>
        <v/>
      </c>
      <c r="FH110" s="200" t="str">
        <f>IF(AND(E110=""),"",IF('Student DATA Entry'!M106="","",'Student DATA Entry'!M106))</f>
        <v/>
      </c>
      <c r="FI110" s="201" t="str">
        <f t="shared" si="330"/>
        <v/>
      </c>
      <c r="FJ110" s="188" t="str">
        <f t="shared" si="331"/>
        <v/>
      </c>
      <c r="FK110" s="188" t="str">
        <f t="shared" si="332"/>
        <v/>
      </c>
      <c r="FL110" s="202" t="str">
        <f t="shared" si="360"/>
        <v/>
      </c>
      <c r="FM110" s="188" t="str">
        <f t="shared" si="333"/>
        <v/>
      </c>
      <c r="FN110" s="203" t="str">
        <f t="shared" si="334"/>
        <v/>
      </c>
      <c r="FO110" s="202" t="str">
        <f t="shared" si="361"/>
        <v/>
      </c>
      <c r="FP110" s="204" t="str">
        <f t="shared" si="335"/>
        <v/>
      </c>
      <c r="FQ110" s="188" t="str">
        <f t="shared" si="362"/>
        <v/>
      </c>
      <c r="FR110" s="188" t="str">
        <f t="shared" si="363"/>
        <v/>
      </c>
      <c r="FS110" s="188" t="str">
        <f t="shared" si="364"/>
        <v/>
      </c>
      <c r="FT110" s="188" t="str">
        <f t="shared" si="365"/>
        <v/>
      </c>
      <c r="FU110" s="188" t="str">
        <f t="shared" si="336"/>
        <v/>
      </c>
      <c r="FV110" s="205" t="str">
        <f t="shared" si="366"/>
        <v/>
      </c>
      <c r="FW110" s="204" t="str">
        <f t="shared" si="337"/>
        <v/>
      </c>
      <c r="FX110" s="188" t="str">
        <f t="shared" si="367"/>
        <v/>
      </c>
      <c r="FY110" s="188" t="str">
        <f t="shared" si="368"/>
        <v/>
      </c>
      <c r="FZ110" s="188" t="str">
        <f t="shared" si="369"/>
        <v/>
      </c>
      <c r="GA110" s="188" t="str">
        <f t="shared" si="370"/>
        <v/>
      </c>
      <c r="GB110" s="188" t="str">
        <f t="shared" si="338"/>
        <v/>
      </c>
      <c r="GC110" s="205" t="str">
        <f t="shared" si="371"/>
        <v/>
      </c>
      <c r="GD110" s="204" t="str">
        <f t="shared" si="339"/>
        <v/>
      </c>
      <c r="GE110" s="188" t="str">
        <f t="shared" si="372"/>
        <v/>
      </c>
      <c r="GF110" s="188" t="str">
        <f t="shared" si="373"/>
        <v/>
      </c>
      <c r="GG110" s="188" t="str">
        <f t="shared" si="374"/>
        <v/>
      </c>
      <c r="GH110" s="188" t="str">
        <f t="shared" si="375"/>
        <v/>
      </c>
      <c r="GI110" s="188" t="str">
        <f t="shared" si="340"/>
        <v/>
      </c>
      <c r="GJ110" s="205" t="str">
        <f t="shared" si="376"/>
        <v/>
      </c>
      <c r="GK110" s="204" t="str">
        <f t="shared" si="341"/>
        <v/>
      </c>
      <c r="GL110" s="188" t="str">
        <f t="shared" si="377"/>
        <v/>
      </c>
      <c r="GM110" s="188" t="str">
        <f t="shared" si="378"/>
        <v/>
      </c>
      <c r="GN110" s="188" t="str">
        <f t="shared" si="379"/>
        <v/>
      </c>
      <c r="GO110" s="188" t="str">
        <f t="shared" si="380"/>
        <v/>
      </c>
      <c r="GP110" s="188" t="str">
        <f t="shared" si="342"/>
        <v/>
      </c>
      <c r="GQ110" s="205" t="str">
        <f t="shared" si="381"/>
        <v/>
      </c>
      <c r="GR110" s="188" t="str">
        <f t="shared" si="343"/>
        <v/>
      </c>
      <c r="GS110" s="188" t="str">
        <f t="shared" si="344"/>
        <v/>
      </c>
      <c r="GT110" s="206" t="str">
        <f t="shared" si="345"/>
        <v xml:space="preserve">    </v>
      </c>
      <c r="GU110" s="206" t="str">
        <f t="shared" si="346"/>
        <v xml:space="preserve">    </v>
      </c>
      <c r="GV110" s="206" t="str">
        <f t="shared" si="347"/>
        <v xml:space="preserve">    </v>
      </c>
      <c r="GW110" s="206" t="str">
        <f t="shared" si="348"/>
        <v xml:space="preserve">       </v>
      </c>
      <c r="GX110" s="598" t="str">
        <f t="shared" si="349"/>
        <v xml:space="preserve">     </v>
      </c>
      <c r="GY110" s="207" t="str">
        <f t="shared" si="382"/>
        <v/>
      </c>
      <c r="GZ110" s="606" t="str">
        <f>IF(AND(Q110="",AE110="",AZ110="",BW110="",CT110=""),"",IF(AND('Master Sheet'!$D$19="YES",'Marks Entry'!$BA$1=1),SUM(Q110,AE110,AZ110,BW110,DT110),SUM(Q110,AE110,AZ110,BW110,CT110)))</f>
        <v/>
      </c>
      <c r="HA110" s="208" t="str">
        <f>IF(GZ110="","",IF(AND('Master Sheet'!$D$19="YES",'Marks Entry'!$BA$1=1),GZ110/((900)-DC110)*100,GZ110/((1000)-DC110)*100))</f>
        <v/>
      </c>
      <c r="HB110" s="611" t="str">
        <f t="shared" si="350"/>
        <v/>
      </c>
      <c r="HC110" s="609" t="str">
        <f t="shared" si="351"/>
        <v/>
      </c>
      <c r="HD110" s="610" t="str">
        <f t="shared" si="352"/>
        <v/>
      </c>
      <c r="HE110" s="209" t="str">
        <f>IFERROR(IF(OR(GY110="SUPPLEMENTARY",GY110="RE-EXAM"),'Supp. Result Entry'!AS109,""),"")</f>
        <v/>
      </c>
      <c r="HF110" s="613" t="str">
        <f t="shared" si="353"/>
        <v/>
      </c>
      <c r="HG110" s="598" t="str">
        <f t="shared" si="354"/>
        <v/>
      </c>
      <c r="HH110" s="598" t="str">
        <f>IF(AND(HE110="",HF110="",HG110=""),"",IF(OR(GY110="SUPPLEMENTARY",GY110="RE-EXAM"),'Supp. Result Entry'!AS109,GY110))</f>
        <v/>
      </c>
      <c r="HI110" s="179"/>
      <c r="HY110" s="211" t="str">
        <f>IF('Supp. Result Entry'!U109="","",'Supp. Result Entry'!$U$6)</f>
        <v/>
      </c>
      <c r="HZ110" s="212" t="str">
        <f>IF('Supp. Result Entry'!X109="","",'Supp. Result Entry'!$X$6)</f>
        <v/>
      </c>
      <c r="IA110" s="212" t="str">
        <f>IF('Supp. Result Entry'!AA109="","",'Supp. Result Entry'!$AA$6)</f>
        <v/>
      </c>
      <c r="IB110" s="212" t="str">
        <f>IF('Supp. Result Entry'!AD109="","",'Supp. Result Entry'!$AD$6)</f>
        <v/>
      </c>
      <c r="IC110" s="212" t="str">
        <f>IF('Supp. Result Entry'!AG109="","",'Supp. Result Entry'!$AG$6)</f>
        <v/>
      </c>
      <c r="ID110" s="212" t="str">
        <f>IF('Supp. Result Entry'!AJ109="","",'Supp. Result Entry'!$AJ$6)</f>
        <v/>
      </c>
      <c r="IE110" s="212" t="str">
        <f>IF('Supp. Result Entry'!V109="","",'Supp. Result Entry'!V109)</f>
        <v/>
      </c>
      <c r="IF110" s="212" t="str">
        <f>IF('Supp. Result Entry'!Y109="","",'Supp. Result Entry'!Y109)</f>
        <v/>
      </c>
      <c r="IG110" s="212" t="str">
        <f>IF('Supp. Result Entry'!AB109="","",'Supp. Result Entry'!AB109)</f>
        <v/>
      </c>
      <c r="IH110" s="212" t="str">
        <f>IF('Supp. Result Entry'!AE109="","",'Supp. Result Entry'!AE109)</f>
        <v/>
      </c>
      <c r="II110" s="212" t="str">
        <f>IF('Supp. Result Entry'!AH109="","",'Supp. Result Entry'!AH109)</f>
        <v/>
      </c>
      <c r="IJ110" s="212" t="str">
        <f>IF('Supp. Result Entry'!AK109="","",'Supp. Result Entry'!AK109)</f>
        <v/>
      </c>
      <c r="IK110" s="212" t="str">
        <f>IF('Supp. Result Entry'!W109="","",'Supp. Result Entry'!W109)</f>
        <v/>
      </c>
      <c r="IL110" s="212" t="str">
        <f>IF('Supp. Result Entry'!Z109="","",'Supp. Result Entry'!Z109)</f>
        <v/>
      </c>
      <c r="IM110" s="212" t="str">
        <f>IF('Supp. Result Entry'!AC109="","",'Supp. Result Entry'!AC109)</f>
        <v/>
      </c>
      <c r="IN110" s="212" t="str">
        <f>IF('Supp. Result Entry'!AF109="","",'Supp. Result Entry'!AF109)</f>
        <v/>
      </c>
      <c r="IO110" s="212" t="str">
        <f>IF('Supp. Result Entry'!AI109="","",'Supp. Result Entry'!AI109)</f>
        <v/>
      </c>
      <c r="IP110" s="212" t="str">
        <f>IF('Supp. Result Entry'!AL109="","",'Supp. Result Entry'!AL109)</f>
        <v/>
      </c>
      <c r="IQ110" s="212">
        <f>COUNTIF('Supp. Result Entry'!K109:Q109,"S")</f>
        <v>0</v>
      </c>
      <c r="IR110" s="212">
        <f t="shared" si="355"/>
        <v>0</v>
      </c>
      <c r="IS110" s="212">
        <f t="shared" si="356"/>
        <v>0</v>
      </c>
      <c r="IT110" s="212" t="str">
        <f t="shared" si="224"/>
        <v/>
      </c>
      <c r="IU110" s="212" t="str">
        <f t="shared" si="225"/>
        <v/>
      </c>
      <c r="IV110" s="212" t="str">
        <f t="shared" si="226"/>
        <v/>
      </c>
      <c r="IW110" s="212" t="str">
        <f t="shared" si="227"/>
        <v/>
      </c>
      <c r="IX110" s="212" t="str">
        <f t="shared" si="228"/>
        <v/>
      </c>
      <c r="IY110" s="212" t="str">
        <f t="shared" si="357"/>
        <v/>
      </c>
      <c r="IZ110" s="212" t="str">
        <f t="shared" si="358"/>
        <v/>
      </c>
      <c r="JA110" s="212" t="str">
        <f t="shared" si="229"/>
        <v/>
      </c>
      <c r="JB110" s="210" t="str">
        <f t="shared" si="359"/>
        <v/>
      </c>
    </row>
    <row r="111" spans="1:262" s="210" customFormat="1" ht="21" customHeight="1">
      <c r="A111" s="183">
        <v>104</v>
      </c>
      <c r="B111" s="184" t="str">
        <f>IF('Marks Entry'!B111="","",'Marks Entry'!B111)</f>
        <v/>
      </c>
      <c r="C111" s="185" t="str">
        <f>IF('Marks Entry'!D111="","",'Marks Entry'!D111)</f>
        <v/>
      </c>
      <c r="D111" s="186" t="str">
        <f>IF('Marks Entry'!E111="","",'Marks Entry'!E111)</f>
        <v/>
      </c>
      <c r="E111" s="187" t="str">
        <f>IF('Marks Entry'!F111="","",'Marks Entry'!F111)</f>
        <v/>
      </c>
      <c r="F111" s="187" t="str">
        <f>IF('Marks Entry'!G111="","",'Marks Entry'!G111)</f>
        <v/>
      </c>
      <c r="G111" s="187" t="str">
        <f>IF('Marks Entry'!H111="","",'Marks Entry'!H111)</f>
        <v/>
      </c>
      <c r="H111" s="188" t="str">
        <f>IF('Marks Entry'!I111="","",'Marks Entry'!I111)</f>
        <v/>
      </c>
      <c r="I111" s="189" t="str">
        <f>IF('Marks Entry'!J111="","",'Marks Entry'!J111)</f>
        <v/>
      </c>
      <c r="J111" s="545" t="str">
        <f>IF('Marks Entry'!K111="","",'Marks Entry'!K111)</f>
        <v/>
      </c>
      <c r="K111" s="545" t="str">
        <f>IF('Marks Entry'!L111="","",'Marks Entry'!L111)</f>
        <v/>
      </c>
      <c r="L111" s="545" t="str">
        <f>IF('Marks Entry'!M111="","",'Marks Entry'!M111)</f>
        <v/>
      </c>
      <c r="M111" s="546" t="str">
        <f t="shared" si="230"/>
        <v/>
      </c>
      <c r="N111" s="545" t="str">
        <f>IF('Marks Entry'!N111="","",'Marks Entry'!N111)</f>
        <v/>
      </c>
      <c r="O111" s="546" t="str">
        <f t="shared" si="231"/>
        <v/>
      </c>
      <c r="P111" s="545" t="str">
        <f>IF('Marks Entry'!O111="","",'Marks Entry'!O111)</f>
        <v/>
      </c>
      <c r="Q111" s="547" t="str">
        <f t="shared" si="232"/>
        <v/>
      </c>
      <c r="R111" s="152">
        <f t="shared" si="233"/>
        <v>0</v>
      </c>
      <c r="S111" s="152">
        <f t="shared" si="234"/>
        <v>0</v>
      </c>
      <c r="T111" s="153" t="str">
        <f t="shared" si="235"/>
        <v/>
      </c>
      <c r="U111" s="152" t="str">
        <f t="shared" si="236"/>
        <v/>
      </c>
      <c r="V111" s="152" t="str">
        <f t="shared" si="237"/>
        <v/>
      </c>
      <c r="W111" s="152" t="str">
        <f t="shared" si="238"/>
        <v/>
      </c>
      <c r="X111" s="545" t="str">
        <f>IF('Marks Entry'!P111="","",'Marks Entry'!P111)</f>
        <v/>
      </c>
      <c r="Y111" s="545" t="str">
        <f>IF('Marks Entry'!Q111="","",'Marks Entry'!Q111)</f>
        <v/>
      </c>
      <c r="Z111" s="545" t="str">
        <f>IF('Marks Entry'!R111="","",'Marks Entry'!R111)</f>
        <v/>
      </c>
      <c r="AA111" s="546" t="str">
        <f t="shared" si="239"/>
        <v/>
      </c>
      <c r="AB111" s="545" t="str">
        <f>IF('Marks Entry'!S111="","",'Marks Entry'!S111)</f>
        <v/>
      </c>
      <c r="AC111" s="546" t="str">
        <f t="shared" si="240"/>
        <v/>
      </c>
      <c r="AD111" s="545" t="str">
        <f>IF('Marks Entry'!T111="","",'Marks Entry'!T111)</f>
        <v/>
      </c>
      <c r="AE111" s="547" t="str">
        <f t="shared" si="241"/>
        <v/>
      </c>
      <c r="AF111" s="152">
        <f t="shared" si="242"/>
        <v>0</v>
      </c>
      <c r="AG111" s="152">
        <f t="shared" si="243"/>
        <v>0</v>
      </c>
      <c r="AH111" s="153" t="str">
        <f t="shared" si="244"/>
        <v/>
      </c>
      <c r="AI111" s="152" t="str">
        <f t="shared" si="245"/>
        <v/>
      </c>
      <c r="AJ111" s="152" t="str">
        <f t="shared" si="246"/>
        <v/>
      </c>
      <c r="AK111" s="152" t="str">
        <f t="shared" si="247"/>
        <v/>
      </c>
      <c r="AL111" s="573" t="str">
        <f>IF('Marks Entry'!U111="","",'Marks Entry'!U111)</f>
        <v/>
      </c>
      <c r="AM111" s="573" t="str">
        <f>IF('Marks Entry'!V111="","",'Marks Entry'!V111)</f>
        <v/>
      </c>
      <c r="AN111" s="573" t="str">
        <f>IF('Marks Entry'!W111="","",'Marks Entry'!W111)</f>
        <v/>
      </c>
      <c r="AO111" s="573" t="str">
        <f>IF('Marks Entry'!X111="","",'Marks Entry'!X111)</f>
        <v/>
      </c>
      <c r="AP111" s="572" t="str">
        <f t="shared" si="248"/>
        <v/>
      </c>
      <c r="AQ111" s="573" t="str">
        <f>IF('Marks Entry'!Y111="","",'Marks Entry'!Y111)</f>
        <v/>
      </c>
      <c r="AR111" s="573" t="str">
        <f>IF('Marks Entry'!Z111="","",'Marks Entry'!Z111)</f>
        <v/>
      </c>
      <c r="AS111" s="572" t="str">
        <f t="shared" si="249"/>
        <v/>
      </c>
      <c r="AT111" s="572" t="str">
        <f t="shared" si="250"/>
        <v/>
      </c>
      <c r="AU111" s="573" t="str">
        <f>IF('Marks Entry'!AA111="","",'Marks Entry'!AA111)</f>
        <v/>
      </c>
      <c r="AV111" s="573" t="str">
        <f>IF('Marks Entry'!AB111="","",'Marks Entry'!AB111)</f>
        <v/>
      </c>
      <c r="AW111" s="572" t="str">
        <f t="shared" si="251"/>
        <v/>
      </c>
      <c r="AX111" s="156" t="str">
        <f t="shared" si="252"/>
        <v/>
      </c>
      <c r="AY111" s="156" t="str">
        <f t="shared" si="253"/>
        <v/>
      </c>
      <c r="AZ111" s="191" t="str">
        <f t="shared" si="254"/>
        <v/>
      </c>
      <c r="BA111" s="152">
        <f t="shared" si="255"/>
        <v>0</v>
      </c>
      <c r="BB111" s="153">
        <f t="shared" si="256"/>
        <v>0</v>
      </c>
      <c r="BC111" s="153" t="str">
        <f t="shared" si="257"/>
        <v/>
      </c>
      <c r="BD111" s="153" t="str">
        <f t="shared" si="258"/>
        <v/>
      </c>
      <c r="BE111" s="153" t="str">
        <f t="shared" si="259"/>
        <v/>
      </c>
      <c r="BF111" s="152" t="str">
        <f t="shared" si="260"/>
        <v/>
      </c>
      <c r="BG111" s="153" t="str">
        <f t="shared" si="261"/>
        <v/>
      </c>
      <c r="BH111" s="152" t="str">
        <f t="shared" si="262"/>
        <v/>
      </c>
      <c r="BI111" s="580" t="str">
        <f>IF('Marks Entry'!AC111="","",'Marks Entry'!AC111)</f>
        <v/>
      </c>
      <c r="BJ111" s="580" t="str">
        <f>IF('Marks Entry'!AD111="","",'Marks Entry'!AD111)</f>
        <v/>
      </c>
      <c r="BK111" s="580" t="str">
        <f>IF('Marks Entry'!AE111="","",'Marks Entry'!AE111)</f>
        <v/>
      </c>
      <c r="BL111" s="580" t="str">
        <f>IF('Marks Entry'!AF111="","",'Marks Entry'!AF111)</f>
        <v/>
      </c>
      <c r="BM111" s="581" t="str">
        <f t="shared" si="263"/>
        <v/>
      </c>
      <c r="BN111" s="580" t="str">
        <f>IF('Marks Entry'!AG111="","",'Marks Entry'!AG111)</f>
        <v/>
      </c>
      <c r="BO111" s="580" t="str">
        <f>IF('Marks Entry'!AH111="","",'Marks Entry'!AH111)</f>
        <v/>
      </c>
      <c r="BP111" s="581" t="str">
        <f t="shared" si="264"/>
        <v/>
      </c>
      <c r="BQ111" s="581" t="str">
        <f t="shared" si="265"/>
        <v/>
      </c>
      <c r="BR111" s="580" t="str">
        <f>IF('Marks Entry'!AI111="","",'Marks Entry'!AI111)</f>
        <v/>
      </c>
      <c r="BS111" s="580" t="str">
        <f>IF('Marks Entry'!AJ111="","",'Marks Entry'!AJ111)</f>
        <v/>
      </c>
      <c r="BT111" s="581" t="str">
        <f t="shared" si="266"/>
        <v/>
      </c>
      <c r="BU111" s="156" t="str">
        <f t="shared" si="267"/>
        <v/>
      </c>
      <c r="BV111" s="156" t="str">
        <f t="shared" si="268"/>
        <v/>
      </c>
      <c r="BW111" s="191" t="str">
        <f t="shared" si="269"/>
        <v/>
      </c>
      <c r="BX111" s="152">
        <f t="shared" si="270"/>
        <v>0</v>
      </c>
      <c r="BY111" s="153">
        <f t="shared" si="271"/>
        <v>0</v>
      </c>
      <c r="BZ111" s="153" t="str">
        <f t="shared" si="272"/>
        <v/>
      </c>
      <c r="CA111" s="153" t="str">
        <f t="shared" si="273"/>
        <v/>
      </c>
      <c r="CB111" s="153" t="str">
        <f t="shared" si="274"/>
        <v/>
      </c>
      <c r="CC111" s="152" t="str">
        <f t="shared" si="275"/>
        <v/>
      </c>
      <c r="CD111" s="153" t="str">
        <f t="shared" si="276"/>
        <v/>
      </c>
      <c r="CE111" s="152" t="str">
        <f t="shared" si="277"/>
        <v/>
      </c>
      <c r="CF111" s="580" t="str">
        <f>IF('Marks Entry'!AK111="","",'Marks Entry'!AK111)</f>
        <v/>
      </c>
      <c r="CG111" s="580" t="str">
        <f>IF('Marks Entry'!AL111="","",'Marks Entry'!AL111)</f>
        <v/>
      </c>
      <c r="CH111" s="580" t="str">
        <f>IF('Marks Entry'!AM111="","",'Marks Entry'!AM111)</f>
        <v/>
      </c>
      <c r="CI111" s="580" t="str">
        <f>IF('Marks Entry'!AN111="","",'Marks Entry'!AN111)</f>
        <v/>
      </c>
      <c r="CJ111" s="581" t="str">
        <f t="shared" si="278"/>
        <v/>
      </c>
      <c r="CK111" s="580" t="str">
        <f>IF('Marks Entry'!AO111="","",'Marks Entry'!AO111)</f>
        <v/>
      </c>
      <c r="CL111" s="580" t="str">
        <f>IF('Marks Entry'!AP111="","",'Marks Entry'!AP111)</f>
        <v/>
      </c>
      <c r="CM111" s="581" t="str">
        <f t="shared" si="279"/>
        <v/>
      </c>
      <c r="CN111" s="581" t="str">
        <f t="shared" si="280"/>
        <v/>
      </c>
      <c r="CO111" s="580" t="str">
        <f>IF('Marks Entry'!AQ111="","",'Marks Entry'!AQ111)</f>
        <v/>
      </c>
      <c r="CP111" s="580" t="str">
        <f>IF('Marks Entry'!AR111="","",'Marks Entry'!AR111)</f>
        <v/>
      </c>
      <c r="CQ111" s="581" t="str">
        <f t="shared" si="281"/>
        <v/>
      </c>
      <c r="CR111" s="156" t="str">
        <f t="shared" si="282"/>
        <v/>
      </c>
      <c r="CS111" s="156" t="str">
        <f t="shared" si="283"/>
        <v/>
      </c>
      <c r="CT111" s="191" t="str">
        <f t="shared" si="284"/>
        <v/>
      </c>
      <c r="CU111" s="152">
        <f t="shared" si="285"/>
        <v>0</v>
      </c>
      <c r="CV111" s="153">
        <f t="shared" si="286"/>
        <v>0</v>
      </c>
      <c r="CW111" s="153" t="str">
        <f t="shared" si="287"/>
        <v/>
      </c>
      <c r="CX111" s="153" t="str">
        <f t="shared" si="288"/>
        <v/>
      </c>
      <c r="CY111" s="153" t="str">
        <f t="shared" si="289"/>
        <v/>
      </c>
      <c r="CZ111" s="152" t="str">
        <f t="shared" si="290"/>
        <v/>
      </c>
      <c r="DA111" s="153" t="str">
        <f t="shared" si="291"/>
        <v/>
      </c>
      <c r="DB111" s="152" t="str">
        <f t="shared" si="292"/>
        <v/>
      </c>
      <c r="DC111" s="153">
        <f t="shared" si="293"/>
        <v>0</v>
      </c>
      <c r="DD111" s="851" t="str">
        <f>IF('Marks Entry'!AS111="","",IF(OR('Master Sheet'!$D$19="YES",'Marks Entry'!$BA$1=1),'Marks Entry'!AS111,""))</f>
        <v/>
      </c>
      <c r="DE111" s="851" t="str">
        <f>IF('Marks Entry'!AT111="","",IF(OR('Master Sheet'!$D$19="YES",'Marks Entry'!$BA$1=1),'Marks Entry'!AT111,""))</f>
        <v/>
      </c>
      <c r="DF111" s="851" t="str">
        <f>IF('Marks Entry'!AU111="","",IF(OR('Master Sheet'!$D$19="YES",'Marks Entry'!$BA$1=1),'Marks Entry'!AU111,""))</f>
        <v/>
      </c>
      <c r="DG111" s="851" t="str">
        <f>IF('Marks Entry'!AV111="","",IF(OR('Master Sheet'!$D$19="YES",'Marks Entry'!$BA$1=1),'Marks Entry'!AV111,""))</f>
        <v/>
      </c>
      <c r="DH111" s="852" t="str">
        <f t="shared" si="294"/>
        <v/>
      </c>
      <c r="DI111" s="851" t="str">
        <f>IF('Marks Entry'!AW111="","",IF(OR('Master Sheet'!$D$19="YES",'Marks Entry'!$BA$1=1),'Marks Entry'!AW111,""))</f>
        <v/>
      </c>
      <c r="DJ111" s="851" t="str">
        <f>IF('Marks Entry'!AX111="","",IF(OR('Master Sheet'!$D$19="YES",'Marks Entry'!$BA$1=1),'Marks Entry'!AX111,""))</f>
        <v/>
      </c>
      <c r="DK111" s="852" t="str">
        <f t="shared" si="295"/>
        <v/>
      </c>
      <c r="DL111" s="852" t="str">
        <f t="shared" si="296"/>
        <v/>
      </c>
      <c r="DM111" s="851" t="str">
        <f>IF('Marks Entry'!AY111="","",IF(OR('Master Sheet'!$D$19="YES",'Marks Entry'!$BA$1=1),'Marks Entry'!AY111,""))</f>
        <v/>
      </c>
      <c r="DN111" s="851" t="str">
        <f>IF('Marks Entry'!AZ111="","",IF(OR('Master Sheet'!$D$19="YES",'Marks Entry'!$BA$1=1),'Marks Entry'!AZ111,""))</f>
        <v/>
      </c>
      <c r="DO111" s="851" t="str">
        <f>IF('Marks Entry'!BA111="","",IF(OR('Master Sheet'!$D$19="YES",'Marks Entry'!$BA$1=1),'Marks Entry'!BA111,""))</f>
        <v/>
      </c>
      <c r="DP111" s="852" t="str">
        <f t="shared" si="297"/>
        <v/>
      </c>
      <c r="DQ111" s="156" t="str">
        <f t="shared" si="298"/>
        <v/>
      </c>
      <c r="DR111" s="156" t="str">
        <f t="shared" si="299"/>
        <v/>
      </c>
      <c r="DS111" s="156" t="str">
        <f t="shared" si="300"/>
        <v/>
      </c>
      <c r="DT111" s="191" t="str">
        <f t="shared" si="301"/>
        <v/>
      </c>
      <c r="DU111" s="152">
        <f t="shared" si="302"/>
        <v>0</v>
      </c>
      <c r="DV111" s="153">
        <f t="shared" si="303"/>
        <v>0</v>
      </c>
      <c r="DW111" s="153" t="str">
        <f t="shared" si="304"/>
        <v/>
      </c>
      <c r="DX111" s="153" t="str">
        <f>IF(OR($B111="NSO",$B111=0,DS111=""),"",IF(AND(DJ111="",DO111=""),"",IF('Master Sheet'!$D$19="YES",$DO$6-COUNTIF(DO111,"ML")*DO$6,DS$6-(COUNTIF(DJ111,"ML")*DJ$6)-(COUNTIF(DO111,"ML")*DO$6))))</f>
        <v/>
      </c>
      <c r="DY111" s="153" t="str">
        <f>IF(OR($B111="NSO",$B111=0),"",IF(AND(DH111="",DI111="",DM111=""),"",IF(AND('Master Sheet'!$D$19="YES",'Marks Entry'!$BA$1=1),100,IF(AND(DJ111="",DO111=""),SUM(($DQ$7+$DR$7)-(DU111+DV111)),SUM(($DQ$6+$DR$6)-(DU111+DV111))))))</f>
        <v/>
      </c>
      <c r="DZ111" s="152" t="str">
        <f t="shared" si="305"/>
        <v/>
      </c>
      <c r="EA111" s="153" t="str">
        <f t="shared" si="306"/>
        <v/>
      </c>
      <c r="EB111" s="152" t="str">
        <f t="shared" si="307"/>
        <v/>
      </c>
      <c r="EC111" s="584" t="str">
        <f>IF('Marks Entry'!BB111="","",'Marks Entry'!BB111)</f>
        <v/>
      </c>
      <c r="ED111" s="584" t="str">
        <f>IF('Marks Entry'!BC111="","",'Marks Entry'!BC111)</f>
        <v/>
      </c>
      <c r="EE111" s="584" t="str">
        <f>IF('Marks Entry'!BD111="","",'Marks Entry'!BD111)</f>
        <v/>
      </c>
      <c r="EF111" s="590" t="str">
        <f t="shared" si="308"/>
        <v/>
      </c>
      <c r="EG111" s="595">
        <f t="shared" si="309"/>
        <v>0</v>
      </c>
      <c r="EH111" s="595">
        <f t="shared" si="310"/>
        <v>0</v>
      </c>
      <c r="EI111" s="192" t="str">
        <f t="shared" si="311"/>
        <v/>
      </c>
      <c r="EJ111" s="595" t="str">
        <f t="shared" si="312"/>
        <v/>
      </c>
      <c r="EK111" s="595" t="str">
        <f t="shared" si="313"/>
        <v/>
      </c>
      <c r="EL111" s="193" t="str">
        <f t="shared" si="314"/>
        <v/>
      </c>
      <c r="EM111" s="193" t="str">
        <f t="shared" si="315"/>
        <v/>
      </c>
      <c r="EN111" s="193" t="str">
        <f t="shared" si="316"/>
        <v/>
      </c>
      <c r="EO111" s="193" t="str">
        <f t="shared" si="317"/>
        <v/>
      </c>
      <c r="EP111" s="193" t="str">
        <f t="shared" si="318"/>
        <v/>
      </c>
      <c r="EQ111" s="193" t="str">
        <f t="shared" si="319"/>
        <v/>
      </c>
      <c r="ER111" s="194">
        <f t="shared" si="320"/>
        <v>0</v>
      </c>
      <c r="ES111" s="194">
        <f t="shared" si="321"/>
        <v>0</v>
      </c>
      <c r="ET111" s="194">
        <f t="shared" si="322"/>
        <v>0</v>
      </c>
      <c r="EU111" s="194">
        <f t="shared" si="323"/>
        <v>0</v>
      </c>
      <c r="EV111" s="194">
        <f t="shared" si="324"/>
        <v>0</v>
      </c>
      <c r="EW111" s="194" t="str">
        <f t="shared" si="325"/>
        <v/>
      </c>
      <c r="EX111" s="195" t="str">
        <f t="shared" si="326"/>
        <v/>
      </c>
      <c r="EY111" s="196" t="str">
        <f>IF('Marks Entry'!BE111="","",'Marks Entry'!BE111)</f>
        <v/>
      </c>
      <c r="EZ111" s="196" t="str">
        <f>IF('Marks Entry'!BF111="","",'Marks Entry'!BF111)</f>
        <v/>
      </c>
      <c r="FA111" s="196" t="str">
        <f>IF('Marks Entry'!BG111="","",'Marks Entry'!BG111)</f>
        <v/>
      </c>
      <c r="FB111" s="596" t="str">
        <f t="shared" si="327"/>
        <v/>
      </c>
      <c r="FC111" s="196" t="str">
        <f>IF('Marks Entry'!BH111="","",'Marks Entry'!BH111)</f>
        <v/>
      </c>
      <c r="FD111" s="196" t="str">
        <f>IF('Marks Entry'!BI111="","",'Marks Entry'!BI111)</f>
        <v/>
      </c>
      <c r="FE111" s="197" t="str">
        <f t="shared" si="328"/>
        <v/>
      </c>
      <c r="FF111" s="198" t="str">
        <f t="shared" si="329"/>
        <v/>
      </c>
      <c r="FG111" s="199" t="str">
        <f>IF(AND(E111=""),"",IF('Student DATA Entry'!L107="","",'Student DATA Entry'!L107))</f>
        <v/>
      </c>
      <c r="FH111" s="200" t="str">
        <f>IF(AND(E111=""),"",IF('Student DATA Entry'!M107="","",'Student DATA Entry'!M107))</f>
        <v/>
      </c>
      <c r="FI111" s="201" t="str">
        <f t="shared" si="330"/>
        <v/>
      </c>
      <c r="FJ111" s="188" t="str">
        <f t="shared" si="331"/>
        <v/>
      </c>
      <c r="FK111" s="188" t="str">
        <f t="shared" si="332"/>
        <v/>
      </c>
      <c r="FL111" s="202" t="str">
        <f t="shared" si="360"/>
        <v/>
      </c>
      <c r="FM111" s="188" t="str">
        <f t="shared" si="333"/>
        <v/>
      </c>
      <c r="FN111" s="203" t="str">
        <f t="shared" si="334"/>
        <v/>
      </c>
      <c r="FO111" s="202" t="str">
        <f t="shared" si="361"/>
        <v/>
      </c>
      <c r="FP111" s="204" t="str">
        <f t="shared" si="335"/>
        <v/>
      </c>
      <c r="FQ111" s="188" t="str">
        <f t="shared" si="362"/>
        <v/>
      </c>
      <c r="FR111" s="188" t="str">
        <f t="shared" si="363"/>
        <v/>
      </c>
      <c r="FS111" s="188" t="str">
        <f t="shared" si="364"/>
        <v/>
      </c>
      <c r="FT111" s="188" t="str">
        <f t="shared" si="365"/>
        <v/>
      </c>
      <c r="FU111" s="188" t="str">
        <f t="shared" si="336"/>
        <v/>
      </c>
      <c r="FV111" s="205" t="str">
        <f t="shared" si="366"/>
        <v/>
      </c>
      <c r="FW111" s="204" t="str">
        <f t="shared" si="337"/>
        <v/>
      </c>
      <c r="FX111" s="188" t="str">
        <f t="shared" si="367"/>
        <v/>
      </c>
      <c r="FY111" s="188" t="str">
        <f t="shared" si="368"/>
        <v/>
      </c>
      <c r="FZ111" s="188" t="str">
        <f t="shared" si="369"/>
        <v/>
      </c>
      <c r="GA111" s="188" t="str">
        <f t="shared" si="370"/>
        <v/>
      </c>
      <c r="GB111" s="188" t="str">
        <f t="shared" si="338"/>
        <v/>
      </c>
      <c r="GC111" s="205" t="str">
        <f t="shared" si="371"/>
        <v/>
      </c>
      <c r="GD111" s="204" t="str">
        <f t="shared" si="339"/>
        <v/>
      </c>
      <c r="GE111" s="188" t="str">
        <f t="shared" si="372"/>
        <v/>
      </c>
      <c r="GF111" s="188" t="str">
        <f t="shared" si="373"/>
        <v/>
      </c>
      <c r="GG111" s="188" t="str">
        <f t="shared" si="374"/>
        <v/>
      </c>
      <c r="GH111" s="188" t="str">
        <f t="shared" si="375"/>
        <v/>
      </c>
      <c r="GI111" s="188" t="str">
        <f t="shared" si="340"/>
        <v/>
      </c>
      <c r="GJ111" s="205" t="str">
        <f t="shared" si="376"/>
        <v/>
      </c>
      <c r="GK111" s="204" t="str">
        <f t="shared" si="341"/>
        <v/>
      </c>
      <c r="GL111" s="188" t="str">
        <f t="shared" si="377"/>
        <v/>
      </c>
      <c r="GM111" s="188" t="str">
        <f t="shared" si="378"/>
        <v/>
      </c>
      <c r="GN111" s="188" t="str">
        <f t="shared" si="379"/>
        <v/>
      </c>
      <c r="GO111" s="188" t="str">
        <f t="shared" si="380"/>
        <v/>
      </c>
      <c r="GP111" s="188" t="str">
        <f t="shared" si="342"/>
        <v/>
      </c>
      <c r="GQ111" s="205" t="str">
        <f t="shared" si="381"/>
        <v/>
      </c>
      <c r="GR111" s="188" t="str">
        <f t="shared" si="343"/>
        <v/>
      </c>
      <c r="GS111" s="188" t="str">
        <f t="shared" si="344"/>
        <v/>
      </c>
      <c r="GT111" s="206" t="str">
        <f t="shared" si="345"/>
        <v xml:space="preserve">    </v>
      </c>
      <c r="GU111" s="206" t="str">
        <f t="shared" si="346"/>
        <v xml:space="preserve">    </v>
      </c>
      <c r="GV111" s="206" t="str">
        <f t="shared" si="347"/>
        <v xml:space="preserve">    </v>
      </c>
      <c r="GW111" s="206" t="str">
        <f t="shared" si="348"/>
        <v xml:space="preserve">       </v>
      </c>
      <c r="GX111" s="598" t="str">
        <f t="shared" si="349"/>
        <v xml:space="preserve">     </v>
      </c>
      <c r="GY111" s="207" t="str">
        <f t="shared" si="382"/>
        <v/>
      </c>
      <c r="GZ111" s="606" t="str">
        <f>IF(AND(Q111="",AE111="",AZ111="",BW111="",CT111=""),"",IF(AND('Master Sheet'!$D$19="YES",'Marks Entry'!$BA$1=1),SUM(Q111,AE111,AZ111,BW111,DT111),SUM(Q111,AE111,AZ111,BW111,CT111)))</f>
        <v/>
      </c>
      <c r="HA111" s="208" t="str">
        <f>IF(GZ111="","",IF(AND('Master Sheet'!$D$19="YES",'Marks Entry'!$BA$1=1),GZ111/((900)-DC111)*100,GZ111/((1000)-DC111)*100))</f>
        <v/>
      </c>
      <c r="HB111" s="611" t="str">
        <f t="shared" si="350"/>
        <v/>
      </c>
      <c r="HC111" s="609" t="str">
        <f t="shared" si="351"/>
        <v/>
      </c>
      <c r="HD111" s="610" t="str">
        <f t="shared" si="352"/>
        <v/>
      </c>
      <c r="HE111" s="209" t="str">
        <f>IFERROR(IF(OR(GY111="SUPPLEMENTARY",GY111="RE-EXAM"),'Supp. Result Entry'!AS110,""),"")</f>
        <v/>
      </c>
      <c r="HF111" s="613" t="str">
        <f t="shared" si="353"/>
        <v/>
      </c>
      <c r="HG111" s="598" t="str">
        <f t="shared" si="354"/>
        <v/>
      </c>
      <c r="HH111" s="598" t="str">
        <f>IF(AND(HE111="",HF111="",HG111=""),"",IF(OR(GY111="SUPPLEMENTARY",GY111="RE-EXAM"),'Supp. Result Entry'!AS110,GY111))</f>
        <v/>
      </c>
      <c r="HI111" s="179"/>
      <c r="HY111" s="211" t="str">
        <f>IF('Supp. Result Entry'!U110="","",'Supp. Result Entry'!$U$6)</f>
        <v/>
      </c>
      <c r="HZ111" s="212" t="str">
        <f>IF('Supp. Result Entry'!X110="","",'Supp. Result Entry'!$X$6)</f>
        <v/>
      </c>
      <c r="IA111" s="212" t="str">
        <f>IF('Supp. Result Entry'!AA110="","",'Supp. Result Entry'!$AA$6)</f>
        <v/>
      </c>
      <c r="IB111" s="212" t="str">
        <f>IF('Supp. Result Entry'!AD110="","",'Supp. Result Entry'!$AD$6)</f>
        <v/>
      </c>
      <c r="IC111" s="212" t="str">
        <f>IF('Supp. Result Entry'!AG110="","",'Supp. Result Entry'!$AG$6)</f>
        <v/>
      </c>
      <c r="ID111" s="212" t="str">
        <f>IF('Supp. Result Entry'!AJ110="","",'Supp. Result Entry'!$AJ$6)</f>
        <v/>
      </c>
      <c r="IE111" s="212" t="str">
        <f>IF('Supp. Result Entry'!V110="","",'Supp. Result Entry'!V110)</f>
        <v/>
      </c>
      <c r="IF111" s="212" t="str">
        <f>IF('Supp. Result Entry'!Y110="","",'Supp. Result Entry'!Y110)</f>
        <v/>
      </c>
      <c r="IG111" s="212" t="str">
        <f>IF('Supp. Result Entry'!AB110="","",'Supp. Result Entry'!AB110)</f>
        <v/>
      </c>
      <c r="IH111" s="212" t="str">
        <f>IF('Supp. Result Entry'!AE110="","",'Supp. Result Entry'!AE110)</f>
        <v/>
      </c>
      <c r="II111" s="212" t="str">
        <f>IF('Supp. Result Entry'!AH110="","",'Supp. Result Entry'!AH110)</f>
        <v/>
      </c>
      <c r="IJ111" s="212" t="str">
        <f>IF('Supp. Result Entry'!AK110="","",'Supp. Result Entry'!AK110)</f>
        <v/>
      </c>
      <c r="IK111" s="212" t="str">
        <f>IF('Supp. Result Entry'!W110="","",'Supp. Result Entry'!W110)</f>
        <v/>
      </c>
      <c r="IL111" s="212" t="str">
        <f>IF('Supp. Result Entry'!Z110="","",'Supp. Result Entry'!Z110)</f>
        <v/>
      </c>
      <c r="IM111" s="212" t="str">
        <f>IF('Supp. Result Entry'!AC110="","",'Supp. Result Entry'!AC110)</f>
        <v/>
      </c>
      <c r="IN111" s="212" t="str">
        <f>IF('Supp. Result Entry'!AF110="","",'Supp. Result Entry'!AF110)</f>
        <v/>
      </c>
      <c r="IO111" s="212" t="str">
        <f>IF('Supp. Result Entry'!AI110="","",'Supp. Result Entry'!AI110)</f>
        <v/>
      </c>
      <c r="IP111" s="212" t="str">
        <f>IF('Supp. Result Entry'!AL110="","",'Supp. Result Entry'!AL110)</f>
        <v/>
      </c>
      <c r="IQ111" s="212">
        <f>COUNTIF('Supp. Result Entry'!K110:Q110,"S")</f>
        <v>0</v>
      </c>
      <c r="IR111" s="212">
        <f t="shared" si="355"/>
        <v>0</v>
      </c>
      <c r="IS111" s="212">
        <f t="shared" si="356"/>
        <v>0</v>
      </c>
      <c r="IT111" s="212" t="str">
        <f t="shared" si="224"/>
        <v/>
      </c>
      <c r="IU111" s="212" t="str">
        <f t="shared" si="225"/>
        <v/>
      </c>
      <c r="IV111" s="212" t="str">
        <f t="shared" si="226"/>
        <v/>
      </c>
      <c r="IW111" s="212" t="str">
        <f t="shared" si="227"/>
        <v/>
      </c>
      <c r="IX111" s="212" t="str">
        <f t="shared" si="228"/>
        <v/>
      </c>
      <c r="IY111" s="212" t="str">
        <f t="shared" si="357"/>
        <v/>
      </c>
      <c r="IZ111" s="212" t="str">
        <f t="shared" si="358"/>
        <v/>
      </c>
      <c r="JA111" s="212" t="str">
        <f t="shared" si="229"/>
        <v/>
      </c>
      <c r="JB111" s="210" t="str">
        <f t="shared" si="359"/>
        <v/>
      </c>
    </row>
    <row r="112" spans="1:262" s="210" customFormat="1" ht="21" customHeight="1">
      <c r="A112" s="183">
        <v>105</v>
      </c>
      <c r="B112" s="184" t="str">
        <f>IF('Marks Entry'!B112="","",'Marks Entry'!B112)</f>
        <v/>
      </c>
      <c r="C112" s="185" t="str">
        <f>IF('Marks Entry'!D112="","",'Marks Entry'!D112)</f>
        <v/>
      </c>
      <c r="D112" s="186" t="str">
        <f>IF('Marks Entry'!E112="","",'Marks Entry'!E112)</f>
        <v/>
      </c>
      <c r="E112" s="187" t="str">
        <f>IF('Marks Entry'!F112="","",'Marks Entry'!F112)</f>
        <v/>
      </c>
      <c r="F112" s="187" t="str">
        <f>IF('Marks Entry'!G112="","",'Marks Entry'!G112)</f>
        <v/>
      </c>
      <c r="G112" s="187" t="str">
        <f>IF('Marks Entry'!H112="","",'Marks Entry'!H112)</f>
        <v/>
      </c>
      <c r="H112" s="188" t="str">
        <f>IF('Marks Entry'!I112="","",'Marks Entry'!I112)</f>
        <v/>
      </c>
      <c r="I112" s="189" t="str">
        <f>IF('Marks Entry'!J112="","",'Marks Entry'!J112)</f>
        <v/>
      </c>
      <c r="J112" s="545" t="str">
        <f>IF('Marks Entry'!K112="","",'Marks Entry'!K112)</f>
        <v/>
      </c>
      <c r="K112" s="545" t="str">
        <f>IF('Marks Entry'!L112="","",'Marks Entry'!L112)</f>
        <v/>
      </c>
      <c r="L112" s="545" t="str">
        <f>IF('Marks Entry'!M112="","",'Marks Entry'!M112)</f>
        <v/>
      </c>
      <c r="M112" s="546" t="str">
        <f t="shared" si="230"/>
        <v/>
      </c>
      <c r="N112" s="545" t="str">
        <f>IF('Marks Entry'!N112="","",'Marks Entry'!N112)</f>
        <v/>
      </c>
      <c r="O112" s="546" t="str">
        <f t="shared" si="231"/>
        <v/>
      </c>
      <c r="P112" s="545" t="str">
        <f>IF('Marks Entry'!O112="","",'Marks Entry'!O112)</f>
        <v/>
      </c>
      <c r="Q112" s="547" t="str">
        <f t="shared" si="232"/>
        <v/>
      </c>
      <c r="R112" s="152">
        <f t="shared" si="233"/>
        <v>0</v>
      </c>
      <c r="S112" s="152">
        <f t="shared" si="234"/>
        <v>0</v>
      </c>
      <c r="T112" s="153" t="str">
        <f t="shared" si="235"/>
        <v/>
      </c>
      <c r="U112" s="152" t="str">
        <f t="shared" si="236"/>
        <v/>
      </c>
      <c r="V112" s="152" t="str">
        <f t="shared" si="237"/>
        <v/>
      </c>
      <c r="W112" s="152" t="str">
        <f t="shared" si="238"/>
        <v/>
      </c>
      <c r="X112" s="545" t="str">
        <f>IF('Marks Entry'!P112="","",'Marks Entry'!P112)</f>
        <v/>
      </c>
      <c r="Y112" s="545" t="str">
        <f>IF('Marks Entry'!Q112="","",'Marks Entry'!Q112)</f>
        <v/>
      </c>
      <c r="Z112" s="545" t="str">
        <f>IF('Marks Entry'!R112="","",'Marks Entry'!R112)</f>
        <v/>
      </c>
      <c r="AA112" s="546" t="str">
        <f t="shared" si="239"/>
        <v/>
      </c>
      <c r="AB112" s="545" t="str">
        <f>IF('Marks Entry'!S112="","",'Marks Entry'!S112)</f>
        <v/>
      </c>
      <c r="AC112" s="546" t="str">
        <f t="shared" si="240"/>
        <v/>
      </c>
      <c r="AD112" s="545" t="str">
        <f>IF('Marks Entry'!T112="","",'Marks Entry'!T112)</f>
        <v/>
      </c>
      <c r="AE112" s="547" t="str">
        <f t="shared" si="241"/>
        <v/>
      </c>
      <c r="AF112" s="152">
        <f t="shared" si="242"/>
        <v>0</v>
      </c>
      <c r="AG112" s="152">
        <f t="shared" si="243"/>
        <v>0</v>
      </c>
      <c r="AH112" s="153" t="str">
        <f t="shared" si="244"/>
        <v/>
      </c>
      <c r="AI112" s="152" t="str">
        <f t="shared" si="245"/>
        <v/>
      </c>
      <c r="AJ112" s="152" t="str">
        <f t="shared" si="246"/>
        <v/>
      </c>
      <c r="AK112" s="152" t="str">
        <f t="shared" si="247"/>
        <v/>
      </c>
      <c r="AL112" s="573" t="str">
        <f>IF('Marks Entry'!U112="","",'Marks Entry'!U112)</f>
        <v/>
      </c>
      <c r="AM112" s="573" t="str">
        <f>IF('Marks Entry'!V112="","",'Marks Entry'!V112)</f>
        <v/>
      </c>
      <c r="AN112" s="573" t="str">
        <f>IF('Marks Entry'!W112="","",'Marks Entry'!W112)</f>
        <v/>
      </c>
      <c r="AO112" s="573" t="str">
        <f>IF('Marks Entry'!X112="","",'Marks Entry'!X112)</f>
        <v/>
      </c>
      <c r="AP112" s="572" t="str">
        <f t="shared" si="248"/>
        <v/>
      </c>
      <c r="AQ112" s="573" t="str">
        <f>IF('Marks Entry'!Y112="","",'Marks Entry'!Y112)</f>
        <v/>
      </c>
      <c r="AR112" s="573" t="str">
        <f>IF('Marks Entry'!Z112="","",'Marks Entry'!Z112)</f>
        <v/>
      </c>
      <c r="AS112" s="572" t="str">
        <f t="shared" si="249"/>
        <v/>
      </c>
      <c r="AT112" s="572" t="str">
        <f t="shared" si="250"/>
        <v/>
      </c>
      <c r="AU112" s="573" t="str">
        <f>IF('Marks Entry'!AA112="","",'Marks Entry'!AA112)</f>
        <v/>
      </c>
      <c r="AV112" s="573" t="str">
        <f>IF('Marks Entry'!AB112="","",'Marks Entry'!AB112)</f>
        <v/>
      </c>
      <c r="AW112" s="572" t="str">
        <f t="shared" si="251"/>
        <v/>
      </c>
      <c r="AX112" s="156" t="str">
        <f t="shared" si="252"/>
        <v/>
      </c>
      <c r="AY112" s="156" t="str">
        <f t="shared" si="253"/>
        <v/>
      </c>
      <c r="AZ112" s="191" t="str">
        <f t="shared" si="254"/>
        <v/>
      </c>
      <c r="BA112" s="152">
        <f t="shared" si="255"/>
        <v>0</v>
      </c>
      <c r="BB112" s="153">
        <f t="shared" si="256"/>
        <v>0</v>
      </c>
      <c r="BC112" s="153" t="str">
        <f t="shared" si="257"/>
        <v/>
      </c>
      <c r="BD112" s="153" t="str">
        <f t="shared" si="258"/>
        <v/>
      </c>
      <c r="BE112" s="153" t="str">
        <f t="shared" si="259"/>
        <v/>
      </c>
      <c r="BF112" s="152" t="str">
        <f t="shared" si="260"/>
        <v/>
      </c>
      <c r="BG112" s="153" t="str">
        <f t="shared" si="261"/>
        <v/>
      </c>
      <c r="BH112" s="152" t="str">
        <f t="shared" si="262"/>
        <v/>
      </c>
      <c r="BI112" s="580" t="str">
        <f>IF('Marks Entry'!AC112="","",'Marks Entry'!AC112)</f>
        <v/>
      </c>
      <c r="BJ112" s="580" t="str">
        <f>IF('Marks Entry'!AD112="","",'Marks Entry'!AD112)</f>
        <v/>
      </c>
      <c r="BK112" s="580" t="str">
        <f>IF('Marks Entry'!AE112="","",'Marks Entry'!AE112)</f>
        <v/>
      </c>
      <c r="BL112" s="580" t="str">
        <f>IF('Marks Entry'!AF112="","",'Marks Entry'!AF112)</f>
        <v/>
      </c>
      <c r="BM112" s="581" t="str">
        <f t="shared" si="263"/>
        <v/>
      </c>
      <c r="BN112" s="580" t="str">
        <f>IF('Marks Entry'!AG112="","",'Marks Entry'!AG112)</f>
        <v/>
      </c>
      <c r="BO112" s="580" t="str">
        <f>IF('Marks Entry'!AH112="","",'Marks Entry'!AH112)</f>
        <v/>
      </c>
      <c r="BP112" s="581" t="str">
        <f t="shared" si="264"/>
        <v/>
      </c>
      <c r="BQ112" s="581" t="str">
        <f t="shared" si="265"/>
        <v/>
      </c>
      <c r="BR112" s="580" t="str">
        <f>IF('Marks Entry'!AI112="","",'Marks Entry'!AI112)</f>
        <v/>
      </c>
      <c r="BS112" s="580" t="str">
        <f>IF('Marks Entry'!AJ112="","",'Marks Entry'!AJ112)</f>
        <v/>
      </c>
      <c r="BT112" s="581" t="str">
        <f t="shared" si="266"/>
        <v/>
      </c>
      <c r="BU112" s="156" t="str">
        <f t="shared" si="267"/>
        <v/>
      </c>
      <c r="BV112" s="156" t="str">
        <f t="shared" si="268"/>
        <v/>
      </c>
      <c r="BW112" s="191" t="str">
        <f t="shared" si="269"/>
        <v/>
      </c>
      <c r="BX112" s="152">
        <f t="shared" si="270"/>
        <v>0</v>
      </c>
      <c r="BY112" s="153">
        <f t="shared" si="271"/>
        <v>0</v>
      </c>
      <c r="BZ112" s="153" t="str">
        <f t="shared" si="272"/>
        <v/>
      </c>
      <c r="CA112" s="153" t="str">
        <f t="shared" si="273"/>
        <v/>
      </c>
      <c r="CB112" s="153" t="str">
        <f t="shared" si="274"/>
        <v/>
      </c>
      <c r="CC112" s="152" t="str">
        <f t="shared" si="275"/>
        <v/>
      </c>
      <c r="CD112" s="153" t="str">
        <f t="shared" si="276"/>
        <v/>
      </c>
      <c r="CE112" s="152" t="str">
        <f t="shared" si="277"/>
        <v/>
      </c>
      <c r="CF112" s="580" t="str">
        <f>IF('Marks Entry'!AK112="","",'Marks Entry'!AK112)</f>
        <v/>
      </c>
      <c r="CG112" s="580" t="str">
        <f>IF('Marks Entry'!AL112="","",'Marks Entry'!AL112)</f>
        <v/>
      </c>
      <c r="CH112" s="580" t="str">
        <f>IF('Marks Entry'!AM112="","",'Marks Entry'!AM112)</f>
        <v/>
      </c>
      <c r="CI112" s="580" t="str">
        <f>IF('Marks Entry'!AN112="","",'Marks Entry'!AN112)</f>
        <v/>
      </c>
      <c r="CJ112" s="581" t="str">
        <f t="shared" si="278"/>
        <v/>
      </c>
      <c r="CK112" s="580" t="str">
        <f>IF('Marks Entry'!AO112="","",'Marks Entry'!AO112)</f>
        <v/>
      </c>
      <c r="CL112" s="580" t="str">
        <f>IF('Marks Entry'!AP112="","",'Marks Entry'!AP112)</f>
        <v/>
      </c>
      <c r="CM112" s="581" t="str">
        <f t="shared" si="279"/>
        <v/>
      </c>
      <c r="CN112" s="581" t="str">
        <f t="shared" si="280"/>
        <v/>
      </c>
      <c r="CO112" s="580" t="str">
        <f>IF('Marks Entry'!AQ112="","",'Marks Entry'!AQ112)</f>
        <v/>
      </c>
      <c r="CP112" s="580" t="str">
        <f>IF('Marks Entry'!AR112="","",'Marks Entry'!AR112)</f>
        <v/>
      </c>
      <c r="CQ112" s="581" t="str">
        <f t="shared" si="281"/>
        <v/>
      </c>
      <c r="CR112" s="156" t="str">
        <f t="shared" si="282"/>
        <v/>
      </c>
      <c r="CS112" s="156" t="str">
        <f t="shared" si="283"/>
        <v/>
      </c>
      <c r="CT112" s="191" t="str">
        <f t="shared" si="284"/>
        <v/>
      </c>
      <c r="CU112" s="152">
        <f t="shared" si="285"/>
        <v>0</v>
      </c>
      <c r="CV112" s="153">
        <f t="shared" si="286"/>
        <v>0</v>
      </c>
      <c r="CW112" s="153" t="str">
        <f t="shared" si="287"/>
        <v/>
      </c>
      <c r="CX112" s="153" t="str">
        <f t="shared" si="288"/>
        <v/>
      </c>
      <c r="CY112" s="153" t="str">
        <f t="shared" si="289"/>
        <v/>
      </c>
      <c r="CZ112" s="152" t="str">
        <f t="shared" si="290"/>
        <v/>
      </c>
      <c r="DA112" s="153" t="str">
        <f t="shared" si="291"/>
        <v/>
      </c>
      <c r="DB112" s="152" t="str">
        <f t="shared" si="292"/>
        <v/>
      </c>
      <c r="DC112" s="153">
        <f t="shared" si="293"/>
        <v>0</v>
      </c>
      <c r="DD112" s="851" t="str">
        <f>IF('Marks Entry'!AS112="","",IF(OR('Master Sheet'!$D$19="YES",'Marks Entry'!$BA$1=1),'Marks Entry'!AS112,""))</f>
        <v/>
      </c>
      <c r="DE112" s="851" t="str">
        <f>IF('Marks Entry'!AT112="","",IF(OR('Master Sheet'!$D$19="YES",'Marks Entry'!$BA$1=1),'Marks Entry'!AT112,""))</f>
        <v/>
      </c>
      <c r="DF112" s="851" t="str">
        <f>IF('Marks Entry'!AU112="","",IF(OR('Master Sheet'!$D$19="YES",'Marks Entry'!$BA$1=1),'Marks Entry'!AU112,""))</f>
        <v/>
      </c>
      <c r="DG112" s="851" t="str">
        <f>IF('Marks Entry'!AV112="","",IF(OR('Master Sheet'!$D$19="YES",'Marks Entry'!$BA$1=1),'Marks Entry'!AV112,""))</f>
        <v/>
      </c>
      <c r="DH112" s="852" t="str">
        <f t="shared" si="294"/>
        <v/>
      </c>
      <c r="DI112" s="851" t="str">
        <f>IF('Marks Entry'!AW112="","",IF(OR('Master Sheet'!$D$19="YES",'Marks Entry'!$BA$1=1),'Marks Entry'!AW112,""))</f>
        <v/>
      </c>
      <c r="DJ112" s="851" t="str">
        <f>IF('Marks Entry'!AX112="","",IF(OR('Master Sheet'!$D$19="YES",'Marks Entry'!$BA$1=1),'Marks Entry'!AX112,""))</f>
        <v/>
      </c>
      <c r="DK112" s="852" t="str">
        <f t="shared" si="295"/>
        <v/>
      </c>
      <c r="DL112" s="852" t="str">
        <f t="shared" si="296"/>
        <v/>
      </c>
      <c r="DM112" s="851" t="str">
        <f>IF('Marks Entry'!AY112="","",IF(OR('Master Sheet'!$D$19="YES",'Marks Entry'!$BA$1=1),'Marks Entry'!AY112,""))</f>
        <v/>
      </c>
      <c r="DN112" s="851" t="str">
        <f>IF('Marks Entry'!AZ112="","",IF(OR('Master Sheet'!$D$19="YES",'Marks Entry'!$BA$1=1),'Marks Entry'!AZ112,""))</f>
        <v/>
      </c>
      <c r="DO112" s="851" t="str">
        <f>IF('Marks Entry'!BA112="","",IF(OR('Master Sheet'!$D$19="YES",'Marks Entry'!$BA$1=1),'Marks Entry'!BA112,""))</f>
        <v/>
      </c>
      <c r="DP112" s="852" t="str">
        <f t="shared" si="297"/>
        <v/>
      </c>
      <c r="DQ112" s="156" t="str">
        <f t="shared" si="298"/>
        <v/>
      </c>
      <c r="DR112" s="156" t="str">
        <f t="shared" si="299"/>
        <v/>
      </c>
      <c r="DS112" s="156" t="str">
        <f t="shared" si="300"/>
        <v/>
      </c>
      <c r="DT112" s="191" t="str">
        <f t="shared" si="301"/>
        <v/>
      </c>
      <c r="DU112" s="152">
        <f t="shared" si="302"/>
        <v>0</v>
      </c>
      <c r="DV112" s="153">
        <f t="shared" si="303"/>
        <v>0</v>
      </c>
      <c r="DW112" s="153" t="str">
        <f t="shared" si="304"/>
        <v/>
      </c>
      <c r="DX112" s="153" t="str">
        <f>IF(OR($B112="NSO",$B112=0,DS112=""),"",IF(AND(DJ112="",DO112=""),"",IF('Master Sheet'!$D$19="YES",$DO$6-COUNTIF(DO112,"ML")*DO$6,DS$6-(COUNTIF(DJ112,"ML")*DJ$6)-(COUNTIF(DO112,"ML")*DO$6))))</f>
        <v/>
      </c>
      <c r="DY112" s="153" t="str">
        <f>IF(OR($B112="NSO",$B112=0),"",IF(AND(DH112="",DI112="",DM112=""),"",IF(AND('Master Sheet'!$D$19="YES",'Marks Entry'!$BA$1=1),100,IF(AND(DJ112="",DO112=""),SUM(($DQ$7+$DR$7)-(DU112+DV112)),SUM(($DQ$6+$DR$6)-(DU112+DV112))))))</f>
        <v/>
      </c>
      <c r="DZ112" s="152" t="str">
        <f t="shared" si="305"/>
        <v/>
      </c>
      <c r="EA112" s="153" t="str">
        <f t="shared" si="306"/>
        <v/>
      </c>
      <c r="EB112" s="152" t="str">
        <f t="shared" si="307"/>
        <v/>
      </c>
      <c r="EC112" s="584" t="str">
        <f>IF('Marks Entry'!BB112="","",'Marks Entry'!BB112)</f>
        <v/>
      </c>
      <c r="ED112" s="584" t="str">
        <f>IF('Marks Entry'!BC112="","",'Marks Entry'!BC112)</f>
        <v/>
      </c>
      <c r="EE112" s="584" t="str">
        <f>IF('Marks Entry'!BD112="","",'Marks Entry'!BD112)</f>
        <v/>
      </c>
      <c r="EF112" s="590" t="str">
        <f t="shared" si="308"/>
        <v/>
      </c>
      <c r="EG112" s="595">
        <f t="shared" si="309"/>
        <v>0</v>
      </c>
      <c r="EH112" s="595">
        <f t="shared" si="310"/>
        <v>0</v>
      </c>
      <c r="EI112" s="192" t="str">
        <f t="shared" si="311"/>
        <v/>
      </c>
      <c r="EJ112" s="595" t="str">
        <f t="shared" si="312"/>
        <v/>
      </c>
      <c r="EK112" s="595" t="str">
        <f t="shared" si="313"/>
        <v/>
      </c>
      <c r="EL112" s="193" t="str">
        <f t="shared" si="314"/>
        <v/>
      </c>
      <c r="EM112" s="193" t="str">
        <f t="shared" si="315"/>
        <v/>
      </c>
      <c r="EN112" s="193" t="str">
        <f t="shared" si="316"/>
        <v/>
      </c>
      <c r="EO112" s="193" t="str">
        <f t="shared" si="317"/>
        <v/>
      </c>
      <c r="EP112" s="193" t="str">
        <f t="shared" si="318"/>
        <v/>
      </c>
      <c r="EQ112" s="193" t="str">
        <f t="shared" si="319"/>
        <v/>
      </c>
      <c r="ER112" s="194">
        <f t="shared" si="320"/>
        <v>0</v>
      </c>
      <c r="ES112" s="194">
        <f t="shared" si="321"/>
        <v>0</v>
      </c>
      <c r="ET112" s="194">
        <f t="shared" si="322"/>
        <v>0</v>
      </c>
      <c r="EU112" s="194">
        <f t="shared" si="323"/>
        <v>0</v>
      </c>
      <c r="EV112" s="194">
        <f t="shared" si="324"/>
        <v>0</v>
      </c>
      <c r="EW112" s="194" t="str">
        <f t="shared" si="325"/>
        <v/>
      </c>
      <c r="EX112" s="195" t="str">
        <f t="shared" si="326"/>
        <v/>
      </c>
      <c r="EY112" s="196" t="str">
        <f>IF('Marks Entry'!BE112="","",'Marks Entry'!BE112)</f>
        <v/>
      </c>
      <c r="EZ112" s="196" t="str">
        <f>IF('Marks Entry'!BF112="","",'Marks Entry'!BF112)</f>
        <v/>
      </c>
      <c r="FA112" s="196" t="str">
        <f>IF('Marks Entry'!BG112="","",'Marks Entry'!BG112)</f>
        <v/>
      </c>
      <c r="FB112" s="596" t="str">
        <f t="shared" si="327"/>
        <v/>
      </c>
      <c r="FC112" s="196" t="str">
        <f>IF('Marks Entry'!BH112="","",'Marks Entry'!BH112)</f>
        <v/>
      </c>
      <c r="FD112" s="196" t="str">
        <f>IF('Marks Entry'!BI112="","",'Marks Entry'!BI112)</f>
        <v/>
      </c>
      <c r="FE112" s="197" t="str">
        <f t="shared" si="328"/>
        <v/>
      </c>
      <c r="FF112" s="198" t="str">
        <f t="shared" si="329"/>
        <v/>
      </c>
      <c r="FG112" s="199" t="str">
        <f>IF(AND(E112=""),"",IF('Student DATA Entry'!L108="","",'Student DATA Entry'!L108))</f>
        <v/>
      </c>
      <c r="FH112" s="200" t="str">
        <f>IF(AND(E112=""),"",IF('Student DATA Entry'!M108="","",'Student DATA Entry'!M108))</f>
        <v/>
      </c>
      <c r="FI112" s="201" t="str">
        <f t="shared" si="330"/>
        <v/>
      </c>
      <c r="FJ112" s="188" t="str">
        <f t="shared" si="331"/>
        <v/>
      </c>
      <c r="FK112" s="188" t="str">
        <f t="shared" si="332"/>
        <v/>
      </c>
      <c r="FL112" s="202" t="str">
        <f t="shared" si="360"/>
        <v/>
      </c>
      <c r="FM112" s="188" t="str">
        <f t="shared" si="333"/>
        <v/>
      </c>
      <c r="FN112" s="203" t="str">
        <f t="shared" si="334"/>
        <v/>
      </c>
      <c r="FO112" s="202" t="str">
        <f t="shared" si="361"/>
        <v/>
      </c>
      <c r="FP112" s="204" t="str">
        <f t="shared" si="335"/>
        <v/>
      </c>
      <c r="FQ112" s="188" t="str">
        <f t="shared" si="362"/>
        <v/>
      </c>
      <c r="FR112" s="188" t="str">
        <f t="shared" si="363"/>
        <v/>
      </c>
      <c r="FS112" s="188" t="str">
        <f t="shared" si="364"/>
        <v/>
      </c>
      <c r="FT112" s="188" t="str">
        <f t="shared" si="365"/>
        <v/>
      </c>
      <c r="FU112" s="188" t="str">
        <f t="shared" si="336"/>
        <v/>
      </c>
      <c r="FV112" s="205" t="str">
        <f t="shared" si="366"/>
        <v/>
      </c>
      <c r="FW112" s="204" t="str">
        <f t="shared" si="337"/>
        <v/>
      </c>
      <c r="FX112" s="188" t="str">
        <f t="shared" si="367"/>
        <v/>
      </c>
      <c r="FY112" s="188" t="str">
        <f t="shared" si="368"/>
        <v/>
      </c>
      <c r="FZ112" s="188" t="str">
        <f t="shared" si="369"/>
        <v/>
      </c>
      <c r="GA112" s="188" t="str">
        <f t="shared" si="370"/>
        <v/>
      </c>
      <c r="GB112" s="188" t="str">
        <f t="shared" si="338"/>
        <v/>
      </c>
      <c r="GC112" s="205" t="str">
        <f t="shared" si="371"/>
        <v/>
      </c>
      <c r="GD112" s="204" t="str">
        <f t="shared" si="339"/>
        <v/>
      </c>
      <c r="GE112" s="188" t="str">
        <f t="shared" si="372"/>
        <v/>
      </c>
      <c r="GF112" s="188" t="str">
        <f t="shared" si="373"/>
        <v/>
      </c>
      <c r="GG112" s="188" t="str">
        <f t="shared" si="374"/>
        <v/>
      </c>
      <c r="GH112" s="188" t="str">
        <f t="shared" si="375"/>
        <v/>
      </c>
      <c r="GI112" s="188" t="str">
        <f t="shared" si="340"/>
        <v/>
      </c>
      <c r="GJ112" s="205" t="str">
        <f t="shared" si="376"/>
        <v/>
      </c>
      <c r="GK112" s="204" t="str">
        <f t="shared" si="341"/>
        <v/>
      </c>
      <c r="GL112" s="188" t="str">
        <f t="shared" si="377"/>
        <v/>
      </c>
      <c r="GM112" s="188" t="str">
        <f t="shared" si="378"/>
        <v/>
      </c>
      <c r="GN112" s="188" t="str">
        <f t="shared" si="379"/>
        <v/>
      </c>
      <c r="GO112" s="188" t="str">
        <f t="shared" si="380"/>
        <v/>
      </c>
      <c r="GP112" s="188" t="str">
        <f t="shared" si="342"/>
        <v/>
      </c>
      <c r="GQ112" s="205" t="str">
        <f t="shared" si="381"/>
        <v/>
      </c>
      <c r="GR112" s="188" t="str">
        <f t="shared" si="343"/>
        <v/>
      </c>
      <c r="GS112" s="188" t="str">
        <f t="shared" si="344"/>
        <v/>
      </c>
      <c r="GT112" s="206" t="str">
        <f t="shared" si="345"/>
        <v xml:space="preserve">    </v>
      </c>
      <c r="GU112" s="206" t="str">
        <f t="shared" si="346"/>
        <v xml:space="preserve">    </v>
      </c>
      <c r="GV112" s="206" t="str">
        <f t="shared" si="347"/>
        <v xml:space="preserve">    </v>
      </c>
      <c r="GW112" s="206" t="str">
        <f t="shared" si="348"/>
        <v xml:space="preserve">       </v>
      </c>
      <c r="GX112" s="598" t="str">
        <f t="shared" si="349"/>
        <v xml:space="preserve">     </v>
      </c>
      <c r="GY112" s="207" t="str">
        <f t="shared" si="382"/>
        <v/>
      </c>
      <c r="GZ112" s="606" t="str">
        <f>IF(AND(Q112="",AE112="",AZ112="",BW112="",CT112=""),"",IF(AND('Master Sheet'!$D$19="YES",'Marks Entry'!$BA$1=1),SUM(Q112,AE112,AZ112,BW112,DT112),SUM(Q112,AE112,AZ112,BW112,CT112)))</f>
        <v/>
      </c>
      <c r="HA112" s="208" t="str">
        <f>IF(GZ112="","",IF(AND('Master Sheet'!$D$19="YES",'Marks Entry'!$BA$1=1),GZ112/((900)-DC112)*100,GZ112/((1000)-DC112)*100))</f>
        <v/>
      </c>
      <c r="HB112" s="611" t="str">
        <f t="shared" si="350"/>
        <v/>
      </c>
      <c r="HC112" s="609" t="str">
        <f t="shared" si="351"/>
        <v/>
      </c>
      <c r="HD112" s="610" t="str">
        <f t="shared" si="352"/>
        <v/>
      </c>
      <c r="HE112" s="209" t="str">
        <f>IFERROR(IF(OR(GY112="SUPPLEMENTARY",GY112="RE-EXAM"),'Supp. Result Entry'!AS111,""),"")</f>
        <v/>
      </c>
      <c r="HF112" s="613" t="str">
        <f t="shared" si="353"/>
        <v/>
      </c>
      <c r="HG112" s="598" t="str">
        <f t="shared" si="354"/>
        <v/>
      </c>
      <c r="HH112" s="598" t="str">
        <f>IF(AND(HE112="",HF112="",HG112=""),"",IF(OR(GY112="SUPPLEMENTARY",GY112="RE-EXAM"),'Supp. Result Entry'!AS111,GY112))</f>
        <v/>
      </c>
      <c r="HI112" s="179"/>
      <c r="HY112" s="211" t="str">
        <f>IF('Supp. Result Entry'!U111="","",'Supp. Result Entry'!$U$6)</f>
        <v/>
      </c>
      <c r="HZ112" s="212" t="str">
        <f>IF('Supp. Result Entry'!X111="","",'Supp. Result Entry'!$X$6)</f>
        <v/>
      </c>
      <c r="IA112" s="212" t="str">
        <f>IF('Supp. Result Entry'!AA111="","",'Supp. Result Entry'!$AA$6)</f>
        <v/>
      </c>
      <c r="IB112" s="212" t="str">
        <f>IF('Supp. Result Entry'!AD111="","",'Supp. Result Entry'!$AD$6)</f>
        <v/>
      </c>
      <c r="IC112" s="212" t="str">
        <f>IF('Supp. Result Entry'!AG111="","",'Supp. Result Entry'!$AG$6)</f>
        <v/>
      </c>
      <c r="ID112" s="212" t="str">
        <f>IF('Supp. Result Entry'!AJ111="","",'Supp. Result Entry'!$AJ$6)</f>
        <v/>
      </c>
      <c r="IE112" s="212" t="str">
        <f>IF('Supp. Result Entry'!V111="","",'Supp. Result Entry'!V111)</f>
        <v/>
      </c>
      <c r="IF112" s="212" t="str">
        <f>IF('Supp. Result Entry'!Y111="","",'Supp. Result Entry'!Y111)</f>
        <v/>
      </c>
      <c r="IG112" s="212" t="str">
        <f>IF('Supp. Result Entry'!AB111="","",'Supp. Result Entry'!AB111)</f>
        <v/>
      </c>
      <c r="IH112" s="212" t="str">
        <f>IF('Supp. Result Entry'!AE111="","",'Supp. Result Entry'!AE111)</f>
        <v/>
      </c>
      <c r="II112" s="212" t="str">
        <f>IF('Supp. Result Entry'!AH111="","",'Supp. Result Entry'!AH111)</f>
        <v/>
      </c>
      <c r="IJ112" s="212" t="str">
        <f>IF('Supp. Result Entry'!AK111="","",'Supp. Result Entry'!AK111)</f>
        <v/>
      </c>
      <c r="IK112" s="212" t="str">
        <f>IF('Supp. Result Entry'!W111="","",'Supp. Result Entry'!W111)</f>
        <v/>
      </c>
      <c r="IL112" s="212" t="str">
        <f>IF('Supp. Result Entry'!Z111="","",'Supp. Result Entry'!Z111)</f>
        <v/>
      </c>
      <c r="IM112" s="212" t="str">
        <f>IF('Supp. Result Entry'!AC111="","",'Supp. Result Entry'!AC111)</f>
        <v/>
      </c>
      <c r="IN112" s="212" t="str">
        <f>IF('Supp. Result Entry'!AF111="","",'Supp. Result Entry'!AF111)</f>
        <v/>
      </c>
      <c r="IO112" s="212" t="str">
        <f>IF('Supp. Result Entry'!AI111="","",'Supp. Result Entry'!AI111)</f>
        <v/>
      </c>
      <c r="IP112" s="212" t="str">
        <f>IF('Supp. Result Entry'!AL111="","",'Supp. Result Entry'!AL111)</f>
        <v/>
      </c>
      <c r="IQ112" s="212">
        <f>COUNTIF('Supp. Result Entry'!K111:Q111,"S")</f>
        <v>0</v>
      </c>
      <c r="IR112" s="212">
        <f t="shared" si="355"/>
        <v>0</v>
      </c>
      <c r="IS112" s="212">
        <f t="shared" si="356"/>
        <v>0</v>
      </c>
      <c r="IT112" s="212" t="str">
        <f t="shared" si="224"/>
        <v/>
      </c>
      <c r="IU112" s="212" t="str">
        <f t="shared" si="225"/>
        <v/>
      </c>
      <c r="IV112" s="212" t="str">
        <f t="shared" si="226"/>
        <v/>
      </c>
      <c r="IW112" s="212" t="str">
        <f t="shared" si="227"/>
        <v/>
      </c>
      <c r="IX112" s="212" t="str">
        <f t="shared" si="228"/>
        <v/>
      </c>
      <c r="IY112" s="212" t="str">
        <f t="shared" si="357"/>
        <v/>
      </c>
      <c r="IZ112" s="212" t="str">
        <f t="shared" si="358"/>
        <v/>
      </c>
      <c r="JA112" s="212" t="str">
        <f t="shared" si="229"/>
        <v/>
      </c>
      <c r="JB112" s="210" t="str">
        <f t="shared" si="359"/>
        <v/>
      </c>
    </row>
    <row r="113" spans="1:262" s="210" customFormat="1" ht="21" customHeight="1">
      <c r="A113" s="183">
        <v>106</v>
      </c>
      <c r="B113" s="184" t="str">
        <f>IF('Marks Entry'!B113="","",'Marks Entry'!B113)</f>
        <v/>
      </c>
      <c r="C113" s="185" t="str">
        <f>IF('Marks Entry'!D113="","",'Marks Entry'!D113)</f>
        <v/>
      </c>
      <c r="D113" s="186" t="str">
        <f>IF('Marks Entry'!E113="","",'Marks Entry'!E113)</f>
        <v/>
      </c>
      <c r="E113" s="187" t="str">
        <f>IF('Marks Entry'!F113="","",'Marks Entry'!F113)</f>
        <v/>
      </c>
      <c r="F113" s="187" t="str">
        <f>IF('Marks Entry'!G113="","",'Marks Entry'!G113)</f>
        <v/>
      </c>
      <c r="G113" s="187" t="str">
        <f>IF('Marks Entry'!H113="","",'Marks Entry'!H113)</f>
        <v/>
      </c>
      <c r="H113" s="188" t="str">
        <f>IF('Marks Entry'!I113="","",'Marks Entry'!I113)</f>
        <v/>
      </c>
      <c r="I113" s="189" t="str">
        <f>IF('Marks Entry'!J113="","",'Marks Entry'!J113)</f>
        <v/>
      </c>
      <c r="J113" s="545" t="str">
        <f>IF('Marks Entry'!K113="","",'Marks Entry'!K113)</f>
        <v/>
      </c>
      <c r="K113" s="545" t="str">
        <f>IF('Marks Entry'!L113="","",'Marks Entry'!L113)</f>
        <v/>
      </c>
      <c r="L113" s="545" t="str">
        <f>IF('Marks Entry'!M113="","",'Marks Entry'!M113)</f>
        <v/>
      </c>
      <c r="M113" s="546" t="str">
        <f t="shared" si="230"/>
        <v/>
      </c>
      <c r="N113" s="545" t="str">
        <f>IF('Marks Entry'!N113="","",'Marks Entry'!N113)</f>
        <v/>
      </c>
      <c r="O113" s="546" t="str">
        <f t="shared" si="231"/>
        <v/>
      </c>
      <c r="P113" s="545" t="str">
        <f>IF('Marks Entry'!O113="","",'Marks Entry'!O113)</f>
        <v/>
      </c>
      <c r="Q113" s="547" t="str">
        <f t="shared" si="232"/>
        <v/>
      </c>
      <c r="R113" s="152">
        <f t="shared" si="233"/>
        <v>0</v>
      </c>
      <c r="S113" s="152">
        <f t="shared" si="234"/>
        <v>0</v>
      </c>
      <c r="T113" s="153" t="str">
        <f t="shared" si="235"/>
        <v/>
      </c>
      <c r="U113" s="152" t="str">
        <f t="shared" si="236"/>
        <v/>
      </c>
      <c r="V113" s="152" t="str">
        <f t="shared" si="237"/>
        <v/>
      </c>
      <c r="W113" s="152" t="str">
        <f t="shared" si="238"/>
        <v/>
      </c>
      <c r="X113" s="545" t="str">
        <f>IF('Marks Entry'!P113="","",'Marks Entry'!P113)</f>
        <v/>
      </c>
      <c r="Y113" s="545" t="str">
        <f>IF('Marks Entry'!Q113="","",'Marks Entry'!Q113)</f>
        <v/>
      </c>
      <c r="Z113" s="545" t="str">
        <f>IF('Marks Entry'!R113="","",'Marks Entry'!R113)</f>
        <v/>
      </c>
      <c r="AA113" s="546" t="str">
        <f t="shared" si="239"/>
        <v/>
      </c>
      <c r="AB113" s="545" t="str">
        <f>IF('Marks Entry'!S113="","",'Marks Entry'!S113)</f>
        <v/>
      </c>
      <c r="AC113" s="546" t="str">
        <f t="shared" si="240"/>
        <v/>
      </c>
      <c r="AD113" s="545" t="str">
        <f>IF('Marks Entry'!T113="","",'Marks Entry'!T113)</f>
        <v/>
      </c>
      <c r="AE113" s="547" t="str">
        <f t="shared" si="241"/>
        <v/>
      </c>
      <c r="AF113" s="152">
        <f t="shared" si="242"/>
        <v>0</v>
      </c>
      <c r="AG113" s="152">
        <f t="shared" si="243"/>
        <v>0</v>
      </c>
      <c r="AH113" s="153" t="str">
        <f t="shared" si="244"/>
        <v/>
      </c>
      <c r="AI113" s="152" t="str">
        <f t="shared" si="245"/>
        <v/>
      </c>
      <c r="AJ113" s="152" t="str">
        <f t="shared" si="246"/>
        <v/>
      </c>
      <c r="AK113" s="152" t="str">
        <f t="shared" si="247"/>
        <v/>
      </c>
      <c r="AL113" s="573" t="str">
        <f>IF('Marks Entry'!U113="","",'Marks Entry'!U113)</f>
        <v/>
      </c>
      <c r="AM113" s="573" t="str">
        <f>IF('Marks Entry'!V113="","",'Marks Entry'!V113)</f>
        <v/>
      </c>
      <c r="AN113" s="573" t="str">
        <f>IF('Marks Entry'!W113="","",'Marks Entry'!W113)</f>
        <v/>
      </c>
      <c r="AO113" s="573" t="str">
        <f>IF('Marks Entry'!X113="","",'Marks Entry'!X113)</f>
        <v/>
      </c>
      <c r="AP113" s="572" t="str">
        <f t="shared" si="248"/>
        <v/>
      </c>
      <c r="AQ113" s="573" t="str">
        <f>IF('Marks Entry'!Y113="","",'Marks Entry'!Y113)</f>
        <v/>
      </c>
      <c r="AR113" s="573" t="str">
        <f>IF('Marks Entry'!Z113="","",'Marks Entry'!Z113)</f>
        <v/>
      </c>
      <c r="AS113" s="572" t="str">
        <f t="shared" si="249"/>
        <v/>
      </c>
      <c r="AT113" s="572" t="str">
        <f t="shared" si="250"/>
        <v/>
      </c>
      <c r="AU113" s="573" t="str">
        <f>IF('Marks Entry'!AA113="","",'Marks Entry'!AA113)</f>
        <v/>
      </c>
      <c r="AV113" s="573" t="str">
        <f>IF('Marks Entry'!AB113="","",'Marks Entry'!AB113)</f>
        <v/>
      </c>
      <c r="AW113" s="572" t="str">
        <f t="shared" si="251"/>
        <v/>
      </c>
      <c r="AX113" s="156" t="str">
        <f t="shared" si="252"/>
        <v/>
      </c>
      <c r="AY113" s="156" t="str">
        <f t="shared" si="253"/>
        <v/>
      </c>
      <c r="AZ113" s="191" t="str">
        <f t="shared" si="254"/>
        <v/>
      </c>
      <c r="BA113" s="152">
        <f t="shared" si="255"/>
        <v>0</v>
      </c>
      <c r="BB113" s="153">
        <f t="shared" si="256"/>
        <v>0</v>
      </c>
      <c r="BC113" s="153" t="str">
        <f t="shared" si="257"/>
        <v/>
      </c>
      <c r="BD113" s="153" t="str">
        <f t="shared" si="258"/>
        <v/>
      </c>
      <c r="BE113" s="153" t="str">
        <f t="shared" si="259"/>
        <v/>
      </c>
      <c r="BF113" s="152" t="str">
        <f t="shared" si="260"/>
        <v/>
      </c>
      <c r="BG113" s="153" t="str">
        <f t="shared" si="261"/>
        <v/>
      </c>
      <c r="BH113" s="152" t="str">
        <f t="shared" si="262"/>
        <v/>
      </c>
      <c r="BI113" s="580" t="str">
        <f>IF('Marks Entry'!AC113="","",'Marks Entry'!AC113)</f>
        <v/>
      </c>
      <c r="BJ113" s="580" t="str">
        <f>IF('Marks Entry'!AD113="","",'Marks Entry'!AD113)</f>
        <v/>
      </c>
      <c r="BK113" s="580" t="str">
        <f>IF('Marks Entry'!AE113="","",'Marks Entry'!AE113)</f>
        <v/>
      </c>
      <c r="BL113" s="580" t="str">
        <f>IF('Marks Entry'!AF113="","",'Marks Entry'!AF113)</f>
        <v/>
      </c>
      <c r="BM113" s="581" t="str">
        <f t="shared" si="263"/>
        <v/>
      </c>
      <c r="BN113" s="580" t="str">
        <f>IF('Marks Entry'!AG113="","",'Marks Entry'!AG113)</f>
        <v/>
      </c>
      <c r="BO113" s="580" t="str">
        <f>IF('Marks Entry'!AH113="","",'Marks Entry'!AH113)</f>
        <v/>
      </c>
      <c r="BP113" s="581" t="str">
        <f t="shared" si="264"/>
        <v/>
      </c>
      <c r="BQ113" s="581" t="str">
        <f t="shared" si="265"/>
        <v/>
      </c>
      <c r="BR113" s="580" t="str">
        <f>IF('Marks Entry'!AI113="","",'Marks Entry'!AI113)</f>
        <v/>
      </c>
      <c r="BS113" s="580" t="str">
        <f>IF('Marks Entry'!AJ113="","",'Marks Entry'!AJ113)</f>
        <v/>
      </c>
      <c r="BT113" s="581" t="str">
        <f t="shared" si="266"/>
        <v/>
      </c>
      <c r="BU113" s="156" t="str">
        <f t="shared" si="267"/>
        <v/>
      </c>
      <c r="BV113" s="156" t="str">
        <f t="shared" si="268"/>
        <v/>
      </c>
      <c r="BW113" s="191" t="str">
        <f t="shared" si="269"/>
        <v/>
      </c>
      <c r="BX113" s="152">
        <f t="shared" si="270"/>
        <v>0</v>
      </c>
      <c r="BY113" s="153">
        <f t="shared" si="271"/>
        <v>0</v>
      </c>
      <c r="BZ113" s="153" t="str">
        <f t="shared" si="272"/>
        <v/>
      </c>
      <c r="CA113" s="153" t="str">
        <f t="shared" si="273"/>
        <v/>
      </c>
      <c r="CB113" s="153" t="str">
        <f t="shared" si="274"/>
        <v/>
      </c>
      <c r="CC113" s="152" t="str">
        <f t="shared" si="275"/>
        <v/>
      </c>
      <c r="CD113" s="153" t="str">
        <f t="shared" si="276"/>
        <v/>
      </c>
      <c r="CE113" s="152" t="str">
        <f t="shared" si="277"/>
        <v/>
      </c>
      <c r="CF113" s="580" t="str">
        <f>IF('Marks Entry'!AK113="","",'Marks Entry'!AK113)</f>
        <v/>
      </c>
      <c r="CG113" s="580" t="str">
        <f>IF('Marks Entry'!AL113="","",'Marks Entry'!AL113)</f>
        <v/>
      </c>
      <c r="CH113" s="580" t="str">
        <f>IF('Marks Entry'!AM113="","",'Marks Entry'!AM113)</f>
        <v/>
      </c>
      <c r="CI113" s="580" t="str">
        <f>IF('Marks Entry'!AN113="","",'Marks Entry'!AN113)</f>
        <v/>
      </c>
      <c r="CJ113" s="581" t="str">
        <f t="shared" si="278"/>
        <v/>
      </c>
      <c r="CK113" s="580" t="str">
        <f>IF('Marks Entry'!AO113="","",'Marks Entry'!AO113)</f>
        <v/>
      </c>
      <c r="CL113" s="580" t="str">
        <f>IF('Marks Entry'!AP113="","",'Marks Entry'!AP113)</f>
        <v/>
      </c>
      <c r="CM113" s="581" t="str">
        <f t="shared" si="279"/>
        <v/>
      </c>
      <c r="CN113" s="581" t="str">
        <f t="shared" si="280"/>
        <v/>
      </c>
      <c r="CO113" s="580" t="str">
        <f>IF('Marks Entry'!AQ113="","",'Marks Entry'!AQ113)</f>
        <v/>
      </c>
      <c r="CP113" s="580" t="str">
        <f>IF('Marks Entry'!AR113="","",'Marks Entry'!AR113)</f>
        <v/>
      </c>
      <c r="CQ113" s="581" t="str">
        <f t="shared" si="281"/>
        <v/>
      </c>
      <c r="CR113" s="156" t="str">
        <f t="shared" si="282"/>
        <v/>
      </c>
      <c r="CS113" s="156" t="str">
        <f t="shared" si="283"/>
        <v/>
      </c>
      <c r="CT113" s="191" t="str">
        <f t="shared" si="284"/>
        <v/>
      </c>
      <c r="CU113" s="152">
        <f t="shared" si="285"/>
        <v>0</v>
      </c>
      <c r="CV113" s="153">
        <f t="shared" si="286"/>
        <v>0</v>
      </c>
      <c r="CW113" s="153" t="str">
        <f t="shared" si="287"/>
        <v/>
      </c>
      <c r="CX113" s="153" t="str">
        <f t="shared" si="288"/>
        <v/>
      </c>
      <c r="CY113" s="153" t="str">
        <f t="shared" si="289"/>
        <v/>
      </c>
      <c r="CZ113" s="152" t="str">
        <f t="shared" si="290"/>
        <v/>
      </c>
      <c r="DA113" s="153" t="str">
        <f t="shared" si="291"/>
        <v/>
      </c>
      <c r="DB113" s="152" t="str">
        <f t="shared" si="292"/>
        <v/>
      </c>
      <c r="DC113" s="153">
        <f t="shared" si="293"/>
        <v>0</v>
      </c>
      <c r="DD113" s="851" t="str">
        <f>IF('Marks Entry'!AS113="","",IF(OR('Master Sheet'!$D$19="YES",'Marks Entry'!$BA$1=1),'Marks Entry'!AS113,""))</f>
        <v/>
      </c>
      <c r="DE113" s="851" t="str">
        <f>IF('Marks Entry'!AT113="","",IF(OR('Master Sheet'!$D$19="YES",'Marks Entry'!$BA$1=1),'Marks Entry'!AT113,""))</f>
        <v/>
      </c>
      <c r="DF113" s="851" t="str">
        <f>IF('Marks Entry'!AU113="","",IF(OR('Master Sheet'!$D$19="YES",'Marks Entry'!$BA$1=1),'Marks Entry'!AU113,""))</f>
        <v/>
      </c>
      <c r="DG113" s="851" t="str">
        <f>IF('Marks Entry'!AV113="","",IF(OR('Master Sheet'!$D$19="YES",'Marks Entry'!$BA$1=1),'Marks Entry'!AV113,""))</f>
        <v/>
      </c>
      <c r="DH113" s="852" t="str">
        <f t="shared" si="294"/>
        <v/>
      </c>
      <c r="DI113" s="851" t="str">
        <f>IF('Marks Entry'!AW113="","",IF(OR('Master Sheet'!$D$19="YES",'Marks Entry'!$BA$1=1),'Marks Entry'!AW113,""))</f>
        <v/>
      </c>
      <c r="DJ113" s="851" t="str">
        <f>IF('Marks Entry'!AX113="","",IF(OR('Master Sheet'!$D$19="YES",'Marks Entry'!$BA$1=1),'Marks Entry'!AX113,""))</f>
        <v/>
      </c>
      <c r="DK113" s="852" t="str">
        <f t="shared" si="295"/>
        <v/>
      </c>
      <c r="DL113" s="852" t="str">
        <f t="shared" si="296"/>
        <v/>
      </c>
      <c r="DM113" s="851" t="str">
        <f>IF('Marks Entry'!AY113="","",IF(OR('Master Sheet'!$D$19="YES",'Marks Entry'!$BA$1=1),'Marks Entry'!AY113,""))</f>
        <v/>
      </c>
      <c r="DN113" s="851" t="str">
        <f>IF('Marks Entry'!AZ113="","",IF(OR('Master Sheet'!$D$19="YES",'Marks Entry'!$BA$1=1),'Marks Entry'!AZ113,""))</f>
        <v/>
      </c>
      <c r="DO113" s="851" t="str">
        <f>IF('Marks Entry'!BA113="","",IF(OR('Master Sheet'!$D$19="YES",'Marks Entry'!$BA$1=1),'Marks Entry'!BA113,""))</f>
        <v/>
      </c>
      <c r="DP113" s="852" t="str">
        <f t="shared" si="297"/>
        <v/>
      </c>
      <c r="DQ113" s="156" t="str">
        <f t="shared" si="298"/>
        <v/>
      </c>
      <c r="DR113" s="156" t="str">
        <f t="shared" si="299"/>
        <v/>
      </c>
      <c r="DS113" s="156" t="str">
        <f t="shared" si="300"/>
        <v/>
      </c>
      <c r="DT113" s="191" t="str">
        <f t="shared" si="301"/>
        <v/>
      </c>
      <c r="DU113" s="152">
        <f t="shared" si="302"/>
        <v>0</v>
      </c>
      <c r="DV113" s="153">
        <f t="shared" si="303"/>
        <v>0</v>
      </c>
      <c r="DW113" s="153" t="str">
        <f t="shared" si="304"/>
        <v/>
      </c>
      <c r="DX113" s="153" t="str">
        <f>IF(OR($B113="NSO",$B113=0,DS113=""),"",IF(AND(DJ113="",DO113=""),"",IF('Master Sheet'!$D$19="YES",$DO$6-COUNTIF(DO113,"ML")*DO$6,DS$6-(COUNTIF(DJ113,"ML")*DJ$6)-(COUNTIF(DO113,"ML")*DO$6))))</f>
        <v/>
      </c>
      <c r="DY113" s="153" t="str">
        <f>IF(OR($B113="NSO",$B113=0),"",IF(AND(DH113="",DI113="",DM113=""),"",IF(AND('Master Sheet'!$D$19="YES",'Marks Entry'!$BA$1=1),100,IF(AND(DJ113="",DO113=""),SUM(($DQ$7+$DR$7)-(DU113+DV113)),SUM(($DQ$6+$DR$6)-(DU113+DV113))))))</f>
        <v/>
      </c>
      <c r="DZ113" s="152" t="str">
        <f t="shared" si="305"/>
        <v/>
      </c>
      <c r="EA113" s="153" t="str">
        <f t="shared" si="306"/>
        <v/>
      </c>
      <c r="EB113" s="152" t="str">
        <f t="shared" si="307"/>
        <v/>
      </c>
      <c r="EC113" s="584" t="str">
        <f>IF('Marks Entry'!BB113="","",'Marks Entry'!BB113)</f>
        <v/>
      </c>
      <c r="ED113" s="584" t="str">
        <f>IF('Marks Entry'!BC113="","",'Marks Entry'!BC113)</f>
        <v/>
      </c>
      <c r="EE113" s="584" t="str">
        <f>IF('Marks Entry'!BD113="","",'Marks Entry'!BD113)</f>
        <v/>
      </c>
      <c r="EF113" s="590" t="str">
        <f t="shared" si="308"/>
        <v/>
      </c>
      <c r="EG113" s="595">
        <f t="shared" si="309"/>
        <v>0</v>
      </c>
      <c r="EH113" s="595">
        <f t="shared" si="310"/>
        <v>0</v>
      </c>
      <c r="EI113" s="192" t="str">
        <f t="shared" si="311"/>
        <v/>
      </c>
      <c r="EJ113" s="595" t="str">
        <f t="shared" si="312"/>
        <v/>
      </c>
      <c r="EK113" s="595" t="str">
        <f t="shared" si="313"/>
        <v/>
      </c>
      <c r="EL113" s="193" t="str">
        <f t="shared" si="314"/>
        <v/>
      </c>
      <c r="EM113" s="193" t="str">
        <f t="shared" si="315"/>
        <v/>
      </c>
      <c r="EN113" s="193" t="str">
        <f t="shared" si="316"/>
        <v/>
      </c>
      <c r="EO113" s="193" t="str">
        <f t="shared" si="317"/>
        <v/>
      </c>
      <c r="EP113" s="193" t="str">
        <f t="shared" si="318"/>
        <v/>
      </c>
      <c r="EQ113" s="193" t="str">
        <f t="shared" si="319"/>
        <v/>
      </c>
      <c r="ER113" s="194">
        <f t="shared" si="320"/>
        <v>0</v>
      </c>
      <c r="ES113" s="194">
        <f t="shared" si="321"/>
        <v>0</v>
      </c>
      <c r="ET113" s="194">
        <f t="shared" si="322"/>
        <v>0</v>
      </c>
      <c r="EU113" s="194">
        <f t="shared" si="323"/>
        <v>0</v>
      </c>
      <c r="EV113" s="194">
        <f t="shared" si="324"/>
        <v>0</v>
      </c>
      <c r="EW113" s="194" t="str">
        <f t="shared" si="325"/>
        <v/>
      </c>
      <c r="EX113" s="195" t="str">
        <f t="shared" si="326"/>
        <v/>
      </c>
      <c r="EY113" s="196" t="str">
        <f>IF('Marks Entry'!BE113="","",'Marks Entry'!BE113)</f>
        <v/>
      </c>
      <c r="EZ113" s="196" t="str">
        <f>IF('Marks Entry'!BF113="","",'Marks Entry'!BF113)</f>
        <v/>
      </c>
      <c r="FA113" s="196" t="str">
        <f>IF('Marks Entry'!BG113="","",'Marks Entry'!BG113)</f>
        <v/>
      </c>
      <c r="FB113" s="596" t="str">
        <f t="shared" si="327"/>
        <v/>
      </c>
      <c r="FC113" s="196" t="str">
        <f>IF('Marks Entry'!BH113="","",'Marks Entry'!BH113)</f>
        <v/>
      </c>
      <c r="FD113" s="196" t="str">
        <f>IF('Marks Entry'!BI113="","",'Marks Entry'!BI113)</f>
        <v/>
      </c>
      <c r="FE113" s="197" t="str">
        <f t="shared" si="328"/>
        <v/>
      </c>
      <c r="FF113" s="198" t="str">
        <f t="shared" si="329"/>
        <v/>
      </c>
      <c r="FG113" s="199" t="str">
        <f>IF(AND(E113=""),"",IF('Student DATA Entry'!L109="","",'Student DATA Entry'!L109))</f>
        <v/>
      </c>
      <c r="FH113" s="200" t="str">
        <f>IF(AND(E113=""),"",IF('Student DATA Entry'!M109="","",'Student DATA Entry'!M109))</f>
        <v/>
      </c>
      <c r="FI113" s="201" t="str">
        <f t="shared" si="330"/>
        <v/>
      </c>
      <c r="FJ113" s="188" t="str">
        <f t="shared" si="331"/>
        <v/>
      </c>
      <c r="FK113" s="188" t="str">
        <f t="shared" si="332"/>
        <v/>
      </c>
      <c r="FL113" s="202" t="str">
        <f t="shared" si="360"/>
        <v/>
      </c>
      <c r="FM113" s="188" t="str">
        <f t="shared" si="333"/>
        <v/>
      </c>
      <c r="FN113" s="203" t="str">
        <f t="shared" si="334"/>
        <v/>
      </c>
      <c r="FO113" s="202" t="str">
        <f t="shared" si="361"/>
        <v/>
      </c>
      <c r="FP113" s="204" t="str">
        <f t="shared" si="335"/>
        <v/>
      </c>
      <c r="FQ113" s="188" t="str">
        <f t="shared" si="362"/>
        <v/>
      </c>
      <c r="FR113" s="188" t="str">
        <f t="shared" si="363"/>
        <v/>
      </c>
      <c r="FS113" s="188" t="str">
        <f t="shared" si="364"/>
        <v/>
      </c>
      <c r="FT113" s="188" t="str">
        <f t="shared" si="365"/>
        <v/>
      </c>
      <c r="FU113" s="188" t="str">
        <f t="shared" si="336"/>
        <v/>
      </c>
      <c r="FV113" s="205" t="str">
        <f t="shared" si="366"/>
        <v/>
      </c>
      <c r="FW113" s="204" t="str">
        <f t="shared" si="337"/>
        <v/>
      </c>
      <c r="FX113" s="188" t="str">
        <f t="shared" si="367"/>
        <v/>
      </c>
      <c r="FY113" s="188" t="str">
        <f t="shared" si="368"/>
        <v/>
      </c>
      <c r="FZ113" s="188" t="str">
        <f t="shared" si="369"/>
        <v/>
      </c>
      <c r="GA113" s="188" t="str">
        <f t="shared" si="370"/>
        <v/>
      </c>
      <c r="GB113" s="188" t="str">
        <f t="shared" si="338"/>
        <v/>
      </c>
      <c r="GC113" s="205" t="str">
        <f t="shared" si="371"/>
        <v/>
      </c>
      <c r="GD113" s="204" t="str">
        <f t="shared" si="339"/>
        <v/>
      </c>
      <c r="GE113" s="188" t="str">
        <f t="shared" si="372"/>
        <v/>
      </c>
      <c r="GF113" s="188" t="str">
        <f t="shared" si="373"/>
        <v/>
      </c>
      <c r="GG113" s="188" t="str">
        <f t="shared" si="374"/>
        <v/>
      </c>
      <c r="GH113" s="188" t="str">
        <f t="shared" si="375"/>
        <v/>
      </c>
      <c r="GI113" s="188" t="str">
        <f t="shared" si="340"/>
        <v/>
      </c>
      <c r="GJ113" s="205" t="str">
        <f t="shared" si="376"/>
        <v/>
      </c>
      <c r="GK113" s="204" t="str">
        <f t="shared" si="341"/>
        <v/>
      </c>
      <c r="GL113" s="188" t="str">
        <f t="shared" si="377"/>
        <v/>
      </c>
      <c r="GM113" s="188" t="str">
        <f t="shared" si="378"/>
        <v/>
      </c>
      <c r="GN113" s="188" t="str">
        <f t="shared" si="379"/>
        <v/>
      </c>
      <c r="GO113" s="188" t="str">
        <f t="shared" si="380"/>
        <v/>
      </c>
      <c r="GP113" s="188" t="str">
        <f t="shared" si="342"/>
        <v/>
      </c>
      <c r="GQ113" s="205" t="str">
        <f t="shared" si="381"/>
        <v/>
      </c>
      <c r="GR113" s="188" t="str">
        <f t="shared" si="343"/>
        <v/>
      </c>
      <c r="GS113" s="188" t="str">
        <f t="shared" si="344"/>
        <v/>
      </c>
      <c r="GT113" s="206" t="str">
        <f t="shared" si="345"/>
        <v xml:space="preserve">    </v>
      </c>
      <c r="GU113" s="206" t="str">
        <f t="shared" si="346"/>
        <v xml:space="preserve">    </v>
      </c>
      <c r="GV113" s="206" t="str">
        <f t="shared" si="347"/>
        <v xml:space="preserve">    </v>
      </c>
      <c r="GW113" s="206" t="str">
        <f t="shared" si="348"/>
        <v xml:space="preserve">       </v>
      </c>
      <c r="GX113" s="598" t="str">
        <f t="shared" si="349"/>
        <v xml:space="preserve">     </v>
      </c>
      <c r="GY113" s="207" t="str">
        <f t="shared" si="382"/>
        <v/>
      </c>
      <c r="GZ113" s="606" t="str">
        <f>IF(AND(Q113="",AE113="",AZ113="",BW113="",CT113=""),"",IF(AND('Master Sheet'!$D$19="YES",'Marks Entry'!$BA$1=1),SUM(Q113,AE113,AZ113,BW113,DT113),SUM(Q113,AE113,AZ113,BW113,CT113)))</f>
        <v/>
      </c>
      <c r="HA113" s="208" t="str">
        <f>IF(GZ113="","",IF(AND('Master Sheet'!$D$19="YES",'Marks Entry'!$BA$1=1),GZ113/((900)-DC113)*100,GZ113/((1000)-DC113)*100))</f>
        <v/>
      </c>
      <c r="HB113" s="611" t="str">
        <f t="shared" si="350"/>
        <v/>
      </c>
      <c r="HC113" s="609" t="str">
        <f t="shared" si="351"/>
        <v/>
      </c>
      <c r="HD113" s="610" t="str">
        <f t="shared" si="352"/>
        <v/>
      </c>
      <c r="HE113" s="209" t="str">
        <f>IFERROR(IF(OR(GY113="SUPPLEMENTARY",GY113="RE-EXAM"),'Supp. Result Entry'!AS112,""),"")</f>
        <v/>
      </c>
      <c r="HF113" s="613" t="str">
        <f t="shared" si="353"/>
        <v/>
      </c>
      <c r="HG113" s="598" t="str">
        <f t="shared" si="354"/>
        <v/>
      </c>
      <c r="HH113" s="598" t="str">
        <f>IF(AND(HE113="",HF113="",HG113=""),"",IF(OR(GY113="SUPPLEMENTARY",GY113="RE-EXAM"),'Supp. Result Entry'!AS112,GY113))</f>
        <v/>
      </c>
      <c r="HI113" s="179"/>
      <c r="HY113" s="211" t="str">
        <f>IF('Supp. Result Entry'!U112="","",'Supp. Result Entry'!$U$6)</f>
        <v/>
      </c>
      <c r="HZ113" s="212" t="str">
        <f>IF('Supp. Result Entry'!X112="","",'Supp. Result Entry'!$X$6)</f>
        <v/>
      </c>
      <c r="IA113" s="212" t="str">
        <f>IF('Supp. Result Entry'!AA112="","",'Supp. Result Entry'!$AA$6)</f>
        <v/>
      </c>
      <c r="IB113" s="212" t="str">
        <f>IF('Supp. Result Entry'!AD112="","",'Supp. Result Entry'!$AD$6)</f>
        <v/>
      </c>
      <c r="IC113" s="212" t="str">
        <f>IF('Supp. Result Entry'!AG112="","",'Supp. Result Entry'!$AG$6)</f>
        <v/>
      </c>
      <c r="ID113" s="212" t="str">
        <f>IF('Supp. Result Entry'!AJ112="","",'Supp. Result Entry'!$AJ$6)</f>
        <v/>
      </c>
      <c r="IE113" s="212" t="str">
        <f>IF('Supp. Result Entry'!V112="","",'Supp. Result Entry'!V112)</f>
        <v/>
      </c>
      <c r="IF113" s="212" t="str">
        <f>IF('Supp. Result Entry'!Y112="","",'Supp. Result Entry'!Y112)</f>
        <v/>
      </c>
      <c r="IG113" s="212" t="str">
        <f>IF('Supp. Result Entry'!AB112="","",'Supp. Result Entry'!AB112)</f>
        <v/>
      </c>
      <c r="IH113" s="212" t="str">
        <f>IF('Supp. Result Entry'!AE112="","",'Supp. Result Entry'!AE112)</f>
        <v/>
      </c>
      <c r="II113" s="212" t="str">
        <f>IF('Supp. Result Entry'!AH112="","",'Supp. Result Entry'!AH112)</f>
        <v/>
      </c>
      <c r="IJ113" s="212" t="str">
        <f>IF('Supp. Result Entry'!AK112="","",'Supp. Result Entry'!AK112)</f>
        <v/>
      </c>
      <c r="IK113" s="212" t="str">
        <f>IF('Supp. Result Entry'!W112="","",'Supp. Result Entry'!W112)</f>
        <v/>
      </c>
      <c r="IL113" s="212" t="str">
        <f>IF('Supp. Result Entry'!Z112="","",'Supp. Result Entry'!Z112)</f>
        <v/>
      </c>
      <c r="IM113" s="212" t="str">
        <f>IF('Supp. Result Entry'!AC112="","",'Supp. Result Entry'!AC112)</f>
        <v/>
      </c>
      <c r="IN113" s="212" t="str">
        <f>IF('Supp. Result Entry'!AF112="","",'Supp. Result Entry'!AF112)</f>
        <v/>
      </c>
      <c r="IO113" s="212" t="str">
        <f>IF('Supp. Result Entry'!AI112="","",'Supp. Result Entry'!AI112)</f>
        <v/>
      </c>
      <c r="IP113" s="212" t="str">
        <f>IF('Supp. Result Entry'!AL112="","",'Supp. Result Entry'!AL112)</f>
        <v/>
      </c>
      <c r="IQ113" s="212">
        <f>COUNTIF('Supp. Result Entry'!K112:Q112,"S")</f>
        <v>0</v>
      </c>
      <c r="IR113" s="212">
        <f t="shared" si="355"/>
        <v>0</v>
      </c>
      <c r="IS113" s="212">
        <f t="shared" si="356"/>
        <v>0</v>
      </c>
      <c r="IT113" s="212" t="str">
        <f t="shared" si="224"/>
        <v/>
      </c>
      <c r="IU113" s="212" t="str">
        <f t="shared" si="225"/>
        <v/>
      </c>
      <c r="IV113" s="212" t="str">
        <f t="shared" si="226"/>
        <v/>
      </c>
      <c r="IW113" s="212" t="str">
        <f t="shared" si="227"/>
        <v/>
      </c>
      <c r="IX113" s="212" t="str">
        <f t="shared" si="228"/>
        <v/>
      </c>
      <c r="IY113" s="212" t="str">
        <f t="shared" si="357"/>
        <v/>
      </c>
      <c r="IZ113" s="212" t="str">
        <f t="shared" si="358"/>
        <v/>
      </c>
      <c r="JA113" s="212" t="str">
        <f t="shared" si="229"/>
        <v/>
      </c>
      <c r="JB113" s="210" t="str">
        <f t="shared" si="359"/>
        <v/>
      </c>
    </row>
    <row r="114" spans="1:262" s="210" customFormat="1" ht="21" customHeight="1">
      <c r="A114" s="183">
        <v>107</v>
      </c>
      <c r="B114" s="184" t="str">
        <f>IF('Marks Entry'!B114="","",'Marks Entry'!B114)</f>
        <v/>
      </c>
      <c r="C114" s="185" t="str">
        <f>IF('Marks Entry'!D114="","",'Marks Entry'!D114)</f>
        <v/>
      </c>
      <c r="D114" s="186" t="str">
        <f>IF('Marks Entry'!E114="","",'Marks Entry'!E114)</f>
        <v/>
      </c>
      <c r="E114" s="187" t="str">
        <f>IF('Marks Entry'!F114="","",'Marks Entry'!F114)</f>
        <v/>
      </c>
      <c r="F114" s="187" t="str">
        <f>IF('Marks Entry'!G114="","",'Marks Entry'!G114)</f>
        <v/>
      </c>
      <c r="G114" s="187" t="str">
        <f>IF('Marks Entry'!H114="","",'Marks Entry'!H114)</f>
        <v/>
      </c>
      <c r="H114" s="188" t="str">
        <f>IF('Marks Entry'!I114="","",'Marks Entry'!I114)</f>
        <v/>
      </c>
      <c r="I114" s="189" t="str">
        <f>IF('Marks Entry'!J114="","",'Marks Entry'!J114)</f>
        <v/>
      </c>
      <c r="J114" s="545" t="str">
        <f>IF('Marks Entry'!K114="","",'Marks Entry'!K114)</f>
        <v/>
      </c>
      <c r="K114" s="545" t="str">
        <f>IF('Marks Entry'!L114="","",'Marks Entry'!L114)</f>
        <v/>
      </c>
      <c r="L114" s="545" t="str">
        <f>IF('Marks Entry'!M114="","",'Marks Entry'!M114)</f>
        <v/>
      </c>
      <c r="M114" s="546" t="str">
        <f t="shared" si="230"/>
        <v/>
      </c>
      <c r="N114" s="545" t="str">
        <f>IF('Marks Entry'!N114="","",'Marks Entry'!N114)</f>
        <v/>
      </c>
      <c r="O114" s="546" t="str">
        <f t="shared" si="231"/>
        <v/>
      </c>
      <c r="P114" s="545" t="str">
        <f>IF('Marks Entry'!O114="","",'Marks Entry'!O114)</f>
        <v/>
      </c>
      <c r="Q114" s="547" t="str">
        <f t="shared" si="232"/>
        <v/>
      </c>
      <c r="R114" s="152">
        <f t="shared" si="233"/>
        <v>0</v>
      </c>
      <c r="S114" s="152">
        <f t="shared" si="234"/>
        <v>0</v>
      </c>
      <c r="T114" s="153" t="str">
        <f t="shared" si="235"/>
        <v/>
      </c>
      <c r="U114" s="152" t="str">
        <f t="shared" si="236"/>
        <v/>
      </c>
      <c r="V114" s="152" t="str">
        <f t="shared" si="237"/>
        <v/>
      </c>
      <c r="W114" s="152" t="str">
        <f t="shared" si="238"/>
        <v/>
      </c>
      <c r="X114" s="545" t="str">
        <f>IF('Marks Entry'!P114="","",'Marks Entry'!P114)</f>
        <v/>
      </c>
      <c r="Y114" s="545" t="str">
        <f>IF('Marks Entry'!Q114="","",'Marks Entry'!Q114)</f>
        <v/>
      </c>
      <c r="Z114" s="545" t="str">
        <f>IF('Marks Entry'!R114="","",'Marks Entry'!R114)</f>
        <v/>
      </c>
      <c r="AA114" s="546" t="str">
        <f t="shared" si="239"/>
        <v/>
      </c>
      <c r="AB114" s="545" t="str">
        <f>IF('Marks Entry'!S114="","",'Marks Entry'!S114)</f>
        <v/>
      </c>
      <c r="AC114" s="546" t="str">
        <f t="shared" si="240"/>
        <v/>
      </c>
      <c r="AD114" s="545" t="str">
        <f>IF('Marks Entry'!T114="","",'Marks Entry'!T114)</f>
        <v/>
      </c>
      <c r="AE114" s="547" t="str">
        <f t="shared" si="241"/>
        <v/>
      </c>
      <c r="AF114" s="152">
        <f t="shared" si="242"/>
        <v>0</v>
      </c>
      <c r="AG114" s="152">
        <f t="shared" si="243"/>
        <v>0</v>
      </c>
      <c r="AH114" s="153" t="str">
        <f t="shared" si="244"/>
        <v/>
      </c>
      <c r="AI114" s="152" t="str">
        <f t="shared" si="245"/>
        <v/>
      </c>
      <c r="AJ114" s="152" t="str">
        <f t="shared" si="246"/>
        <v/>
      </c>
      <c r="AK114" s="152" t="str">
        <f t="shared" si="247"/>
        <v/>
      </c>
      <c r="AL114" s="573" t="str">
        <f>IF('Marks Entry'!U114="","",'Marks Entry'!U114)</f>
        <v/>
      </c>
      <c r="AM114" s="573" t="str">
        <f>IF('Marks Entry'!V114="","",'Marks Entry'!V114)</f>
        <v/>
      </c>
      <c r="AN114" s="573" t="str">
        <f>IF('Marks Entry'!W114="","",'Marks Entry'!W114)</f>
        <v/>
      </c>
      <c r="AO114" s="573" t="str">
        <f>IF('Marks Entry'!X114="","",'Marks Entry'!X114)</f>
        <v/>
      </c>
      <c r="AP114" s="572" t="str">
        <f t="shared" si="248"/>
        <v/>
      </c>
      <c r="AQ114" s="573" t="str">
        <f>IF('Marks Entry'!Y114="","",'Marks Entry'!Y114)</f>
        <v/>
      </c>
      <c r="AR114" s="573" t="str">
        <f>IF('Marks Entry'!Z114="","",'Marks Entry'!Z114)</f>
        <v/>
      </c>
      <c r="AS114" s="572" t="str">
        <f t="shared" si="249"/>
        <v/>
      </c>
      <c r="AT114" s="572" t="str">
        <f t="shared" si="250"/>
        <v/>
      </c>
      <c r="AU114" s="573" t="str">
        <f>IF('Marks Entry'!AA114="","",'Marks Entry'!AA114)</f>
        <v/>
      </c>
      <c r="AV114" s="573" t="str">
        <f>IF('Marks Entry'!AB114="","",'Marks Entry'!AB114)</f>
        <v/>
      </c>
      <c r="AW114" s="572" t="str">
        <f t="shared" si="251"/>
        <v/>
      </c>
      <c r="AX114" s="156" t="str">
        <f t="shared" si="252"/>
        <v/>
      </c>
      <c r="AY114" s="156" t="str">
        <f t="shared" si="253"/>
        <v/>
      </c>
      <c r="AZ114" s="191" t="str">
        <f t="shared" si="254"/>
        <v/>
      </c>
      <c r="BA114" s="152">
        <f t="shared" si="255"/>
        <v>0</v>
      </c>
      <c r="BB114" s="153">
        <f t="shared" si="256"/>
        <v>0</v>
      </c>
      <c r="BC114" s="153" t="str">
        <f t="shared" si="257"/>
        <v/>
      </c>
      <c r="BD114" s="153" t="str">
        <f t="shared" si="258"/>
        <v/>
      </c>
      <c r="BE114" s="153" t="str">
        <f t="shared" si="259"/>
        <v/>
      </c>
      <c r="BF114" s="152" t="str">
        <f t="shared" si="260"/>
        <v/>
      </c>
      <c r="BG114" s="153" t="str">
        <f t="shared" si="261"/>
        <v/>
      </c>
      <c r="BH114" s="152" t="str">
        <f t="shared" si="262"/>
        <v/>
      </c>
      <c r="BI114" s="580" t="str">
        <f>IF('Marks Entry'!AC114="","",'Marks Entry'!AC114)</f>
        <v/>
      </c>
      <c r="BJ114" s="580" t="str">
        <f>IF('Marks Entry'!AD114="","",'Marks Entry'!AD114)</f>
        <v/>
      </c>
      <c r="BK114" s="580" t="str">
        <f>IF('Marks Entry'!AE114="","",'Marks Entry'!AE114)</f>
        <v/>
      </c>
      <c r="BL114" s="580" t="str">
        <f>IF('Marks Entry'!AF114="","",'Marks Entry'!AF114)</f>
        <v/>
      </c>
      <c r="BM114" s="581" t="str">
        <f t="shared" si="263"/>
        <v/>
      </c>
      <c r="BN114" s="580" t="str">
        <f>IF('Marks Entry'!AG114="","",'Marks Entry'!AG114)</f>
        <v/>
      </c>
      <c r="BO114" s="580" t="str">
        <f>IF('Marks Entry'!AH114="","",'Marks Entry'!AH114)</f>
        <v/>
      </c>
      <c r="BP114" s="581" t="str">
        <f t="shared" si="264"/>
        <v/>
      </c>
      <c r="BQ114" s="581" t="str">
        <f t="shared" si="265"/>
        <v/>
      </c>
      <c r="BR114" s="580" t="str">
        <f>IF('Marks Entry'!AI114="","",'Marks Entry'!AI114)</f>
        <v/>
      </c>
      <c r="BS114" s="580" t="str">
        <f>IF('Marks Entry'!AJ114="","",'Marks Entry'!AJ114)</f>
        <v/>
      </c>
      <c r="BT114" s="581" t="str">
        <f t="shared" si="266"/>
        <v/>
      </c>
      <c r="BU114" s="156" t="str">
        <f t="shared" si="267"/>
        <v/>
      </c>
      <c r="BV114" s="156" t="str">
        <f t="shared" si="268"/>
        <v/>
      </c>
      <c r="BW114" s="191" t="str">
        <f t="shared" si="269"/>
        <v/>
      </c>
      <c r="BX114" s="152">
        <f t="shared" si="270"/>
        <v>0</v>
      </c>
      <c r="BY114" s="153">
        <f t="shared" si="271"/>
        <v>0</v>
      </c>
      <c r="BZ114" s="153" t="str">
        <f t="shared" si="272"/>
        <v/>
      </c>
      <c r="CA114" s="153" t="str">
        <f t="shared" si="273"/>
        <v/>
      </c>
      <c r="CB114" s="153" t="str">
        <f t="shared" si="274"/>
        <v/>
      </c>
      <c r="CC114" s="152" t="str">
        <f t="shared" si="275"/>
        <v/>
      </c>
      <c r="CD114" s="153" t="str">
        <f t="shared" si="276"/>
        <v/>
      </c>
      <c r="CE114" s="152" t="str">
        <f t="shared" si="277"/>
        <v/>
      </c>
      <c r="CF114" s="580" t="str">
        <f>IF('Marks Entry'!AK114="","",'Marks Entry'!AK114)</f>
        <v/>
      </c>
      <c r="CG114" s="580" t="str">
        <f>IF('Marks Entry'!AL114="","",'Marks Entry'!AL114)</f>
        <v/>
      </c>
      <c r="CH114" s="580" t="str">
        <f>IF('Marks Entry'!AM114="","",'Marks Entry'!AM114)</f>
        <v/>
      </c>
      <c r="CI114" s="580" t="str">
        <f>IF('Marks Entry'!AN114="","",'Marks Entry'!AN114)</f>
        <v/>
      </c>
      <c r="CJ114" s="581" t="str">
        <f t="shared" si="278"/>
        <v/>
      </c>
      <c r="CK114" s="580" t="str">
        <f>IF('Marks Entry'!AO114="","",'Marks Entry'!AO114)</f>
        <v/>
      </c>
      <c r="CL114" s="580" t="str">
        <f>IF('Marks Entry'!AP114="","",'Marks Entry'!AP114)</f>
        <v/>
      </c>
      <c r="CM114" s="581" t="str">
        <f t="shared" si="279"/>
        <v/>
      </c>
      <c r="CN114" s="581" t="str">
        <f t="shared" si="280"/>
        <v/>
      </c>
      <c r="CO114" s="580" t="str">
        <f>IF('Marks Entry'!AQ114="","",'Marks Entry'!AQ114)</f>
        <v/>
      </c>
      <c r="CP114" s="580" t="str">
        <f>IF('Marks Entry'!AR114="","",'Marks Entry'!AR114)</f>
        <v/>
      </c>
      <c r="CQ114" s="581" t="str">
        <f t="shared" si="281"/>
        <v/>
      </c>
      <c r="CR114" s="156" t="str">
        <f t="shared" si="282"/>
        <v/>
      </c>
      <c r="CS114" s="156" t="str">
        <f t="shared" si="283"/>
        <v/>
      </c>
      <c r="CT114" s="191" t="str">
        <f t="shared" si="284"/>
        <v/>
      </c>
      <c r="CU114" s="152">
        <f t="shared" si="285"/>
        <v>0</v>
      </c>
      <c r="CV114" s="153">
        <f t="shared" si="286"/>
        <v>0</v>
      </c>
      <c r="CW114" s="153" t="str">
        <f t="shared" si="287"/>
        <v/>
      </c>
      <c r="CX114" s="153" t="str">
        <f t="shared" si="288"/>
        <v/>
      </c>
      <c r="CY114" s="153" t="str">
        <f t="shared" si="289"/>
        <v/>
      </c>
      <c r="CZ114" s="152" t="str">
        <f t="shared" si="290"/>
        <v/>
      </c>
      <c r="DA114" s="153" t="str">
        <f t="shared" si="291"/>
        <v/>
      </c>
      <c r="DB114" s="152" t="str">
        <f t="shared" si="292"/>
        <v/>
      </c>
      <c r="DC114" s="153">
        <f t="shared" si="293"/>
        <v>0</v>
      </c>
      <c r="DD114" s="851" t="str">
        <f>IF('Marks Entry'!AS114="","",IF(OR('Master Sheet'!$D$19="YES",'Marks Entry'!$BA$1=1),'Marks Entry'!AS114,""))</f>
        <v/>
      </c>
      <c r="DE114" s="851" t="str">
        <f>IF('Marks Entry'!AT114="","",IF(OR('Master Sheet'!$D$19="YES",'Marks Entry'!$BA$1=1),'Marks Entry'!AT114,""))</f>
        <v/>
      </c>
      <c r="DF114" s="851" t="str">
        <f>IF('Marks Entry'!AU114="","",IF(OR('Master Sheet'!$D$19="YES",'Marks Entry'!$BA$1=1),'Marks Entry'!AU114,""))</f>
        <v/>
      </c>
      <c r="DG114" s="851" t="str">
        <f>IF('Marks Entry'!AV114="","",IF(OR('Master Sheet'!$D$19="YES",'Marks Entry'!$BA$1=1),'Marks Entry'!AV114,""))</f>
        <v/>
      </c>
      <c r="DH114" s="852" t="str">
        <f t="shared" si="294"/>
        <v/>
      </c>
      <c r="DI114" s="851" t="str">
        <f>IF('Marks Entry'!AW114="","",IF(OR('Master Sheet'!$D$19="YES",'Marks Entry'!$BA$1=1),'Marks Entry'!AW114,""))</f>
        <v/>
      </c>
      <c r="DJ114" s="851" t="str">
        <f>IF('Marks Entry'!AX114="","",IF(OR('Master Sheet'!$D$19="YES",'Marks Entry'!$BA$1=1),'Marks Entry'!AX114,""))</f>
        <v/>
      </c>
      <c r="DK114" s="852" t="str">
        <f t="shared" si="295"/>
        <v/>
      </c>
      <c r="DL114" s="852" t="str">
        <f t="shared" si="296"/>
        <v/>
      </c>
      <c r="DM114" s="851" t="str">
        <f>IF('Marks Entry'!AY114="","",IF(OR('Master Sheet'!$D$19="YES",'Marks Entry'!$BA$1=1),'Marks Entry'!AY114,""))</f>
        <v/>
      </c>
      <c r="DN114" s="851" t="str">
        <f>IF('Marks Entry'!AZ114="","",IF(OR('Master Sheet'!$D$19="YES",'Marks Entry'!$BA$1=1),'Marks Entry'!AZ114,""))</f>
        <v/>
      </c>
      <c r="DO114" s="851" t="str">
        <f>IF('Marks Entry'!BA114="","",IF(OR('Master Sheet'!$D$19="YES",'Marks Entry'!$BA$1=1),'Marks Entry'!BA114,""))</f>
        <v/>
      </c>
      <c r="DP114" s="852" t="str">
        <f t="shared" si="297"/>
        <v/>
      </c>
      <c r="DQ114" s="156" t="str">
        <f t="shared" si="298"/>
        <v/>
      </c>
      <c r="DR114" s="156" t="str">
        <f t="shared" si="299"/>
        <v/>
      </c>
      <c r="DS114" s="156" t="str">
        <f t="shared" si="300"/>
        <v/>
      </c>
      <c r="DT114" s="191" t="str">
        <f t="shared" si="301"/>
        <v/>
      </c>
      <c r="DU114" s="152">
        <f t="shared" si="302"/>
        <v>0</v>
      </c>
      <c r="DV114" s="153">
        <f t="shared" si="303"/>
        <v>0</v>
      </c>
      <c r="DW114" s="153" t="str">
        <f t="shared" si="304"/>
        <v/>
      </c>
      <c r="DX114" s="153" t="str">
        <f>IF(OR($B114="NSO",$B114=0,DS114=""),"",IF(AND(DJ114="",DO114=""),"",IF('Master Sheet'!$D$19="YES",$DO$6-COUNTIF(DO114,"ML")*DO$6,DS$6-(COUNTIF(DJ114,"ML")*DJ$6)-(COUNTIF(DO114,"ML")*DO$6))))</f>
        <v/>
      </c>
      <c r="DY114" s="153" t="str">
        <f>IF(OR($B114="NSO",$B114=0),"",IF(AND(DH114="",DI114="",DM114=""),"",IF(AND('Master Sheet'!$D$19="YES",'Marks Entry'!$BA$1=1),100,IF(AND(DJ114="",DO114=""),SUM(($DQ$7+$DR$7)-(DU114+DV114)),SUM(($DQ$6+$DR$6)-(DU114+DV114))))))</f>
        <v/>
      </c>
      <c r="DZ114" s="152" t="str">
        <f t="shared" si="305"/>
        <v/>
      </c>
      <c r="EA114" s="153" t="str">
        <f t="shared" si="306"/>
        <v/>
      </c>
      <c r="EB114" s="152" t="str">
        <f t="shared" si="307"/>
        <v/>
      </c>
      <c r="EC114" s="584" t="str">
        <f>IF('Marks Entry'!BB114="","",'Marks Entry'!BB114)</f>
        <v/>
      </c>
      <c r="ED114" s="584" t="str">
        <f>IF('Marks Entry'!BC114="","",'Marks Entry'!BC114)</f>
        <v/>
      </c>
      <c r="EE114" s="584" t="str">
        <f>IF('Marks Entry'!BD114="","",'Marks Entry'!BD114)</f>
        <v/>
      </c>
      <c r="EF114" s="590" t="str">
        <f t="shared" si="308"/>
        <v/>
      </c>
      <c r="EG114" s="595">
        <f t="shared" si="309"/>
        <v>0</v>
      </c>
      <c r="EH114" s="595">
        <f t="shared" si="310"/>
        <v>0</v>
      </c>
      <c r="EI114" s="192" t="str">
        <f t="shared" si="311"/>
        <v/>
      </c>
      <c r="EJ114" s="595" t="str">
        <f t="shared" si="312"/>
        <v/>
      </c>
      <c r="EK114" s="595" t="str">
        <f t="shared" si="313"/>
        <v/>
      </c>
      <c r="EL114" s="193" t="str">
        <f t="shared" si="314"/>
        <v/>
      </c>
      <c r="EM114" s="193" t="str">
        <f t="shared" si="315"/>
        <v/>
      </c>
      <c r="EN114" s="193" t="str">
        <f t="shared" si="316"/>
        <v/>
      </c>
      <c r="EO114" s="193" t="str">
        <f t="shared" si="317"/>
        <v/>
      </c>
      <c r="EP114" s="193" t="str">
        <f t="shared" si="318"/>
        <v/>
      </c>
      <c r="EQ114" s="193" t="str">
        <f t="shared" si="319"/>
        <v/>
      </c>
      <c r="ER114" s="194">
        <f t="shared" si="320"/>
        <v>0</v>
      </c>
      <c r="ES114" s="194">
        <f t="shared" si="321"/>
        <v>0</v>
      </c>
      <c r="ET114" s="194">
        <f t="shared" si="322"/>
        <v>0</v>
      </c>
      <c r="EU114" s="194">
        <f t="shared" si="323"/>
        <v>0</v>
      </c>
      <c r="EV114" s="194">
        <f t="shared" si="324"/>
        <v>0</v>
      </c>
      <c r="EW114" s="194" t="str">
        <f t="shared" si="325"/>
        <v/>
      </c>
      <c r="EX114" s="195" t="str">
        <f t="shared" si="326"/>
        <v/>
      </c>
      <c r="EY114" s="196" t="str">
        <f>IF('Marks Entry'!BE114="","",'Marks Entry'!BE114)</f>
        <v/>
      </c>
      <c r="EZ114" s="196" t="str">
        <f>IF('Marks Entry'!BF114="","",'Marks Entry'!BF114)</f>
        <v/>
      </c>
      <c r="FA114" s="196" t="str">
        <f>IF('Marks Entry'!BG114="","",'Marks Entry'!BG114)</f>
        <v/>
      </c>
      <c r="FB114" s="596" t="str">
        <f t="shared" si="327"/>
        <v/>
      </c>
      <c r="FC114" s="196" t="str">
        <f>IF('Marks Entry'!BH114="","",'Marks Entry'!BH114)</f>
        <v/>
      </c>
      <c r="FD114" s="196" t="str">
        <f>IF('Marks Entry'!BI114="","",'Marks Entry'!BI114)</f>
        <v/>
      </c>
      <c r="FE114" s="197" t="str">
        <f t="shared" si="328"/>
        <v/>
      </c>
      <c r="FF114" s="198" t="str">
        <f t="shared" si="329"/>
        <v/>
      </c>
      <c r="FG114" s="199" t="str">
        <f>IF(AND(E114=""),"",IF('Student DATA Entry'!L110="","",'Student DATA Entry'!L110))</f>
        <v/>
      </c>
      <c r="FH114" s="200" t="str">
        <f>IF(AND(E114=""),"",IF('Student DATA Entry'!M110="","",'Student DATA Entry'!M110))</f>
        <v/>
      </c>
      <c r="FI114" s="201" t="str">
        <f t="shared" si="330"/>
        <v/>
      </c>
      <c r="FJ114" s="188" t="str">
        <f t="shared" si="331"/>
        <v/>
      </c>
      <c r="FK114" s="188" t="str">
        <f t="shared" si="332"/>
        <v/>
      </c>
      <c r="FL114" s="202" t="str">
        <f t="shared" si="360"/>
        <v/>
      </c>
      <c r="FM114" s="188" t="str">
        <f t="shared" si="333"/>
        <v/>
      </c>
      <c r="FN114" s="203" t="str">
        <f t="shared" si="334"/>
        <v/>
      </c>
      <c r="FO114" s="202" t="str">
        <f t="shared" si="361"/>
        <v/>
      </c>
      <c r="FP114" s="204" t="str">
        <f t="shared" si="335"/>
        <v/>
      </c>
      <c r="FQ114" s="188" t="str">
        <f t="shared" si="362"/>
        <v/>
      </c>
      <c r="FR114" s="188" t="str">
        <f t="shared" si="363"/>
        <v/>
      </c>
      <c r="FS114" s="188" t="str">
        <f t="shared" si="364"/>
        <v/>
      </c>
      <c r="FT114" s="188" t="str">
        <f t="shared" si="365"/>
        <v/>
      </c>
      <c r="FU114" s="188" t="str">
        <f t="shared" si="336"/>
        <v/>
      </c>
      <c r="FV114" s="205" t="str">
        <f t="shared" si="366"/>
        <v/>
      </c>
      <c r="FW114" s="204" t="str">
        <f t="shared" si="337"/>
        <v/>
      </c>
      <c r="FX114" s="188" t="str">
        <f t="shared" si="367"/>
        <v/>
      </c>
      <c r="FY114" s="188" t="str">
        <f t="shared" si="368"/>
        <v/>
      </c>
      <c r="FZ114" s="188" t="str">
        <f t="shared" si="369"/>
        <v/>
      </c>
      <c r="GA114" s="188" t="str">
        <f t="shared" si="370"/>
        <v/>
      </c>
      <c r="GB114" s="188" t="str">
        <f t="shared" si="338"/>
        <v/>
      </c>
      <c r="GC114" s="205" t="str">
        <f t="shared" si="371"/>
        <v/>
      </c>
      <c r="GD114" s="204" t="str">
        <f t="shared" si="339"/>
        <v/>
      </c>
      <c r="GE114" s="188" t="str">
        <f t="shared" si="372"/>
        <v/>
      </c>
      <c r="GF114" s="188" t="str">
        <f t="shared" si="373"/>
        <v/>
      </c>
      <c r="GG114" s="188" t="str">
        <f t="shared" si="374"/>
        <v/>
      </c>
      <c r="GH114" s="188" t="str">
        <f t="shared" si="375"/>
        <v/>
      </c>
      <c r="GI114" s="188" t="str">
        <f t="shared" si="340"/>
        <v/>
      </c>
      <c r="GJ114" s="205" t="str">
        <f t="shared" si="376"/>
        <v/>
      </c>
      <c r="GK114" s="204" t="str">
        <f t="shared" si="341"/>
        <v/>
      </c>
      <c r="GL114" s="188" t="str">
        <f t="shared" si="377"/>
        <v/>
      </c>
      <c r="GM114" s="188" t="str">
        <f t="shared" si="378"/>
        <v/>
      </c>
      <c r="GN114" s="188" t="str">
        <f t="shared" si="379"/>
        <v/>
      </c>
      <c r="GO114" s="188" t="str">
        <f t="shared" si="380"/>
        <v/>
      </c>
      <c r="GP114" s="188" t="str">
        <f t="shared" si="342"/>
        <v/>
      </c>
      <c r="GQ114" s="205" t="str">
        <f t="shared" si="381"/>
        <v/>
      </c>
      <c r="GR114" s="188" t="str">
        <f t="shared" si="343"/>
        <v/>
      </c>
      <c r="GS114" s="188" t="str">
        <f t="shared" si="344"/>
        <v/>
      </c>
      <c r="GT114" s="206" t="str">
        <f t="shared" si="345"/>
        <v xml:space="preserve">    </v>
      </c>
      <c r="GU114" s="206" t="str">
        <f t="shared" si="346"/>
        <v xml:space="preserve">    </v>
      </c>
      <c r="GV114" s="206" t="str">
        <f t="shared" si="347"/>
        <v xml:space="preserve">    </v>
      </c>
      <c r="GW114" s="206" t="str">
        <f t="shared" si="348"/>
        <v xml:space="preserve">       </v>
      </c>
      <c r="GX114" s="598" t="str">
        <f t="shared" si="349"/>
        <v xml:space="preserve">     </v>
      </c>
      <c r="GY114" s="207" t="str">
        <f t="shared" si="382"/>
        <v/>
      </c>
      <c r="GZ114" s="606" t="str">
        <f>IF(AND(Q114="",AE114="",AZ114="",BW114="",CT114=""),"",IF(AND('Master Sheet'!$D$19="YES",'Marks Entry'!$BA$1=1),SUM(Q114,AE114,AZ114,BW114,DT114),SUM(Q114,AE114,AZ114,BW114,CT114)))</f>
        <v/>
      </c>
      <c r="HA114" s="208" t="str">
        <f>IF(GZ114="","",IF(AND('Master Sheet'!$D$19="YES",'Marks Entry'!$BA$1=1),GZ114/((900)-DC114)*100,GZ114/((1000)-DC114)*100))</f>
        <v/>
      </c>
      <c r="HB114" s="611" t="str">
        <f t="shared" si="350"/>
        <v/>
      </c>
      <c r="HC114" s="609" t="str">
        <f t="shared" si="351"/>
        <v/>
      </c>
      <c r="HD114" s="610" t="str">
        <f t="shared" si="352"/>
        <v/>
      </c>
      <c r="HE114" s="209" t="str">
        <f>IFERROR(IF(OR(GY114="SUPPLEMENTARY",GY114="RE-EXAM"),'Supp. Result Entry'!AS113,""),"")</f>
        <v/>
      </c>
      <c r="HF114" s="613" t="str">
        <f t="shared" si="353"/>
        <v/>
      </c>
      <c r="HG114" s="598" t="str">
        <f t="shared" si="354"/>
        <v/>
      </c>
      <c r="HH114" s="598" t="str">
        <f>IF(AND(HE114="",HF114="",HG114=""),"",IF(OR(GY114="SUPPLEMENTARY",GY114="RE-EXAM"),'Supp. Result Entry'!AS113,GY114))</f>
        <v/>
      </c>
      <c r="HI114" s="179"/>
      <c r="HY114" s="211" t="str">
        <f>IF('Supp. Result Entry'!U113="","",'Supp. Result Entry'!$U$6)</f>
        <v/>
      </c>
      <c r="HZ114" s="212" t="str">
        <f>IF('Supp. Result Entry'!X113="","",'Supp. Result Entry'!$X$6)</f>
        <v/>
      </c>
      <c r="IA114" s="212" t="str">
        <f>IF('Supp. Result Entry'!AA113="","",'Supp. Result Entry'!$AA$6)</f>
        <v/>
      </c>
      <c r="IB114" s="212" t="str">
        <f>IF('Supp. Result Entry'!AD113="","",'Supp. Result Entry'!$AD$6)</f>
        <v/>
      </c>
      <c r="IC114" s="212" t="str">
        <f>IF('Supp. Result Entry'!AG113="","",'Supp. Result Entry'!$AG$6)</f>
        <v/>
      </c>
      <c r="ID114" s="212" t="str">
        <f>IF('Supp. Result Entry'!AJ113="","",'Supp. Result Entry'!$AJ$6)</f>
        <v/>
      </c>
      <c r="IE114" s="212" t="str">
        <f>IF('Supp. Result Entry'!V113="","",'Supp. Result Entry'!V113)</f>
        <v/>
      </c>
      <c r="IF114" s="212" t="str">
        <f>IF('Supp. Result Entry'!Y113="","",'Supp. Result Entry'!Y113)</f>
        <v/>
      </c>
      <c r="IG114" s="212" t="str">
        <f>IF('Supp. Result Entry'!AB113="","",'Supp. Result Entry'!AB113)</f>
        <v/>
      </c>
      <c r="IH114" s="212" t="str">
        <f>IF('Supp. Result Entry'!AE113="","",'Supp. Result Entry'!AE113)</f>
        <v/>
      </c>
      <c r="II114" s="212" t="str">
        <f>IF('Supp. Result Entry'!AH113="","",'Supp. Result Entry'!AH113)</f>
        <v/>
      </c>
      <c r="IJ114" s="212" t="str">
        <f>IF('Supp. Result Entry'!AK113="","",'Supp. Result Entry'!AK113)</f>
        <v/>
      </c>
      <c r="IK114" s="212" t="str">
        <f>IF('Supp. Result Entry'!W113="","",'Supp. Result Entry'!W113)</f>
        <v/>
      </c>
      <c r="IL114" s="212" t="str">
        <f>IF('Supp. Result Entry'!Z113="","",'Supp. Result Entry'!Z113)</f>
        <v/>
      </c>
      <c r="IM114" s="212" t="str">
        <f>IF('Supp. Result Entry'!AC113="","",'Supp. Result Entry'!AC113)</f>
        <v/>
      </c>
      <c r="IN114" s="212" t="str">
        <f>IF('Supp. Result Entry'!AF113="","",'Supp. Result Entry'!AF113)</f>
        <v/>
      </c>
      <c r="IO114" s="212" t="str">
        <f>IF('Supp. Result Entry'!AI113="","",'Supp. Result Entry'!AI113)</f>
        <v/>
      </c>
      <c r="IP114" s="212" t="str">
        <f>IF('Supp. Result Entry'!AL113="","",'Supp. Result Entry'!AL113)</f>
        <v/>
      </c>
      <c r="IQ114" s="212">
        <f>COUNTIF('Supp. Result Entry'!K113:Q113,"S")</f>
        <v>0</v>
      </c>
      <c r="IR114" s="212">
        <f t="shared" si="355"/>
        <v>0</v>
      </c>
      <c r="IS114" s="212">
        <f t="shared" si="356"/>
        <v>0</v>
      </c>
      <c r="IT114" s="212" t="str">
        <f t="shared" si="224"/>
        <v/>
      </c>
      <c r="IU114" s="212" t="str">
        <f t="shared" si="225"/>
        <v/>
      </c>
      <c r="IV114" s="212" t="str">
        <f t="shared" si="226"/>
        <v/>
      </c>
      <c r="IW114" s="212" t="str">
        <f t="shared" si="227"/>
        <v/>
      </c>
      <c r="IX114" s="212" t="str">
        <f t="shared" si="228"/>
        <v/>
      </c>
      <c r="IY114" s="212" t="str">
        <f t="shared" si="357"/>
        <v/>
      </c>
      <c r="IZ114" s="212" t="str">
        <f t="shared" si="358"/>
        <v/>
      </c>
      <c r="JA114" s="212" t="str">
        <f t="shared" si="229"/>
        <v/>
      </c>
      <c r="JB114" s="210" t="str">
        <f t="shared" si="359"/>
        <v/>
      </c>
    </row>
    <row r="115" spans="1:262" s="210" customFormat="1" ht="21" customHeight="1">
      <c r="A115" s="183">
        <v>108</v>
      </c>
      <c r="B115" s="184" t="str">
        <f>IF('Marks Entry'!B115="","",'Marks Entry'!B115)</f>
        <v/>
      </c>
      <c r="C115" s="185" t="str">
        <f>IF('Marks Entry'!D115="","",'Marks Entry'!D115)</f>
        <v/>
      </c>
      <c r="D115" s="186" t="str">
        <f>IF('Marks Entry'!E115="","",'Marks Entry'!E115)</f>
        <v/>
      </c>
      <c r="E115" s="187" t="str">
        <f>IF('Marks Entry'!F115="","",'Marks Entry'!F115)</f>
        <v/>
      </c>
      <c r="F115" s="187" t="str">
        <f>IF('Marks Entry'!G115="","",'Marks Entry'!G115)</f>
        <v/>
      </c>
      <c r="G115" s="187" t="str">
        <f>IF('Marks Entry'!H115="","",'Marks Entry'!H115)</f>
        <v/>
      </c>
      <c r="H115" s="188" t="str">
        <f>IF('Marks Entry'!I115="","",'Marks Entry'!I115)</f>
        <v/>
      </c>
      <c r="I115" s="189" t="str">
        <f>IF('Marks Entry'!J115="","",'Marks Entry'!J115)</f>
        <v/>
      </c>
      <c r="J115" s="545" t="str">
        <f>IF('Marks Entry'!K115="","",'Marks Entry'!K115)</f>
        <v/>
      </c>
      <c r="K115" s="545" t="str">
        <f>IF('Marks Entry'!L115="","",'Marks Entry'!L115)</f>
        <v/>
      </c>
      <c r="L115" s="545" t="str">
        <f>IF('Marks Entry'!M115="","",'Marks Entry'!M115)</f>
        <v/>
      </c>
      <c r="M115" s="546" t="str">
        <f t="shared" si="230"/>
        <v/>
      </c>
      <c r="N115" s="545" t="str">
        <f>IF('Marks Entry'!N115="","",'Marks Entry'!N115)</f>
        <v/>
      </c>
      <c r="O115" s="546" t="str">
        <f t="shared" si="231"/>
        <v/>
      </c>
      <c r="P115" s="545" t="str">
        <f>IF('Marks Entry'!O115="","",'Marks Entry'!O115)</f>
        <v/>
      </c>
      <c r="Q115" s="547" t="str">
        <f t="shared" si="232"/>
        <v/>
      </c>
      <c r="R115" s="152">
        <f t="shared" si="233"/>
        <v>0</v>
      </c>
      <c r="S115" s="152">
        <f t="shared" si="234"/>
        <v>0</v>
      </c>
      <c r="T115" s="153" t="str">
        <f t="shared" si="235"/>
        <v/>
      </c>
      <c r="U115" s="152" t="str">
        <f t="shared" si="236"/>
        <v/>
      </c>
      <c r="V115" s="152" t="str">
        <f t="shared" si="237"/>
        <v/>
      </c>
      <c r="W115" s="152" t="str">
        <f t="shared" si="238"/>
        <v/>
      </c>
      <c r="X115" s="545" t="str">
        <f>IF('Marks Entry'!P115="","",'Marks Entry'!P115)</f>
        <v/>
      </c>
      <c r="Y115" s="545" t="str">
        <f>IF('Marks Entry'!Q115="","",'Marks Entry'!Q115)</f>
        <v/>
      </c>
      <c r="Z115" s="545" t="str">
        <f>IF('Marks Entry'!R115="","",'Marks Entry'!R115)</f>
        <v/>
      </c>
      <c r="AA115" s="546" t="str">
        <f t="shared" si="239"/>
        <v/>
      </c>
      <c r="AB115" s="545" t="str">
        <f>IF('Marks Entry'!S115="","",'Marks Entry'!S115)</f>
        <v/>
      </c>
      <c r="AC115" s="546" t="str">
        <f t="shared" si="240"/>
        <v/>
      </c>
      <c r="AD115" s="545" t="str">
        <f>IF('Marks Entry'!T115="","",'Marks Entry'!T115)</f>
        <v/>
      </c>
      <c r="AE115" s="547" t="str">
        <f t="shared" si="241"/>
        <v/>
      </c>
      <c r="AF115" s="152">
        <f t="shared" si="242"/>
        <v>0</v>
      </c>
      <c r="AG115" s="152">
        <f t="shared" si="243"/>
        <v>0</v>
      </c>
      <c r="AH115" s="153" t="str">
        <f t="shared" si="244"/>
        <v/>
      </c>
      <c r="AI115" s="152" t="str">
        <f t="shared" si="245"/>
        <v/>
      </c>
      <c r="AJ115" s="152" t="str">
        <f t="shared" si="246"/>
        <v/>
      </c>
      <c r="AK115" s="152" t="str">
        <f t="shared" si="247"/>
        <v/>
      </c>
      <c r="AL115" s="573" t="str">
        <f>IF('Marks Entry'!U115="","",'Marks Entry'!U115)</f>
        <v/>
      </c>
      <c r="AM115" s="573" t="str">
        <f>IF('Marks Entry'!V115="","",'Marks Entry'!V115)</f>
        <v/>
      </c>
      <c r="AN115" s="573" t="str">
        <f>IF('Marks Entry'!W115="","",'Marks Entry'!W115)</f>
        <v/>
      </c>
      <c r="AO115" s="573" t="str">
        <f>IF('Marks Entry'!X115="","",'Marks Entry'!X115)</f>
        <v/>
      </c>
      <c r="AP115" s="572" t="str">
        <f t="shared" si="248"/>
        <v/>
      </c>
      <c r="AQ115" s="573" t="str">
        <f>IF('Marks Entry'!Y115="","",'Marks Entry'!Y115)</f>
        <v/>
      </c>
      <c r="AR115" s="573" t="str">
        <f>IF('Marks Entry'!Z115="","",'Marks Entry'!Z115)</f>
        <v/>
      </c>
      <c r="AS115" s="572" t="str">
        <f t="shared" si="249"/>
        <v/>
      </c>
      <c r="AT115" s="572" t="str">
        <f t="shared" si="250"/>
        <v/>
      </c>
      <c r="AU115" s="573" t="str">
        <f>IF('Marks Entry'!AA115="","",'Marks Entry'!AA115)</f>
        <v/>
      </c>
      <c r="AV115" s="573" t="str">
        <f>IF('Marks Entry'!AB115="","",'Marks Entry'!AB115)</f>
        <v/>
      </c>
      <c r="AW115" s="572" t="str">
        <f t="shared" si="251"/>
        <v/>
      </c>
      <c r="AX115" s="156" t="str">
        <f t="shared" si="252"/>
        <v/>
      </c>
      <c r="AY115" s="156" t="str">
        <f t="shared" si="253"/>
        <v/>
      </c>
      <c r="AZ115" s="191" t="str">
        <f t="shared" si="254"/>
        <v/>
      </c>
      <c r="BA115" s="152">
        <f t="shared" si="255"/>
        <v>0</v>
      </c>
      <c r="BB115" s="153">
        <f t="shared" si="256"/>
        <v>0</v>
      </c>
      <c r="BC115" s="153" t="str">
        <f t="shared" si="257"/>
        <v/>
      </c>
      <c r="BD115" s="153" t="str">
        <f t="shared" si="258"/>
        <v/>
      </c>
      <c r="BE115" s="153" t="str">
        <f t="shared" si="259"/>
        <v/>
      </c>
      <c r="BF115" s="152" t="str">
        <f t="shared" si="260"/>
        <v/>
      </c>
      <c r="BG115" s="153" t="str">
        <f t="shared" si="261"/>
        <v/>
      </c>
      <c r="BH115" s="152" t="str">
        <f t="shared" si="262"/>
        <v/>
      </c>
      <c r="BI115" s="580" t="str">
        <f>IF('Marks Entry'!AC115="","",'Marks Entry'!AC115)</f>
        <v/>
      </c>
      <c r="BJ115" s="580" t="str">
        <f>IF('Marks Entry'!AD115="","",'Marks Entry'!AD115)</f>
        <v/>
      </c>
      <c r="BK115" s="580" t="str">
        <f>IF('Marks Entry'!AE115="","",'Marks Entry'!AE115)</f>
        <v/>
      </c>
      <c r="BL115" s="580" t="str">
        <f>IF('Marks Entry'!AF115="","",'Marks Entry'!AF115)</f>
        <v/>
      </c>
      <c r="BM115" s="581" t="str">
        <f t="shared" si="263"/>
        <v/>
      </c>
      <c r="BN115" s="580" t="str">
        <f>IF('Marks Entry'!AG115="","",'Marks Entry'!AG115)</f>
        <v/>
      </c>
      <c r="BO115" s="580" t="str">
        <f>IF('Marks Entry'!AH115="","",'Marks Entry'!AH115)</f>
        <v/>
      </c>
      <c r="BP115" s="581" t="str">
        <f t="shared" si="264"/>
        <v/>
      </c>
      <c r="BQ115" s="581" t="str">
        <f t="shared" si="265"/>
        <v/>
      </c>
      <c r="BR115" s="580" t="str">
        <f>IF('Marks Entry'!AI115="","",'Marks Entry'!AI115)</f>
        <v/>
      </c>
      <c r="BS115" s="580" t="str">
        <f>IF('Marks Entry'!AJ115="","",'Marks Entry'!AJ115)</f>
        <v/>
      </c>
      <c r="BT115" s="581" t="str">
        <f t="shared" si="266"/>
        <v/>
      </c>
      <c r="BU115" s="156" t="str">
        <f t="shared" si="267"/>
        <v/>
      </c>
      <c r="BV115" s="156" t="str">
        <f t="shared" si="268"/>
        <v/>
      </c>
      <c r="BW115" s="191" t="str">
        <f t="shared" si="269"/>
        <v/>
      </c>
      <c r="BX115" s="152">
        <f t="shared" si="270"/>
        <v>0</v>
      </c>
      <c r="BY115" s="153">
        <f t="shared" si="271"/>
        <v>0</v>
      </c>
      <c r="BZ115" s="153" t="str">
        <f t="shared" si="272"/>
        <v/>
      </c>
      <c r="CA115" s="153" t="str">
        <f t="shared" si="273"/>
        <v/>
      </c>
      <c r="CB115" s="153" t="str">
        <f t="shared" si="274"/>
        <v/>
      </c>
      <c r="CC115" s="152" t="str">
        <f t="shared" si="275"/>
        <v/>
      </c>
      <c r="CD115" s="153" t="str">
        <f t="shared" si="276"/>
        <v/>
      </c>
      <c r="CE115" s="152" t="str">
        <f t="shared" si="277"/>
        <v/>
      </c>
      <c r="CF115" s="580" t="str">
        <f>IF('Marks Entry'!AK115="","",'Marks Entry'!AK115)</f>
        <v/>
      </c>
      <c r="CG115" s="580" t="str">
        <f>IF('Marks Entry'!AL115="","",'Marks Entry'!AL115)</f>
        <v/>
      </c>
      <c r="CH115" s="580" t="str">
        <f>IF('Marks Entry'!AM115="","",'Marks Entry'!AM115)</f>
        <v/>
      </c>
      <c r="CI115" s="580" t="str">
        <f>IF('Marks Entry'!AN115="","",'Marks Entry'!AN115)</f>
        <v/>
      </c>
      <c r="CJ115" s="581" t="str">
        <f t="shared" si="278"/>
        <v/>
      </c>
      <c r="CK115" s="580" t="str">
        <f>IF('Marks Entry'!AO115="","",'Marks Entry'!AO115)</f>
        <v/>
      </c>
      <c r="CL115" s="580" t="str">
        <f>IF('Marks Entry'!AP115="","",'Marks Entry'!AP115)</f>
        <v/>
      </c>
      <c r="CM115" s="581" t="str">
        <f t="shared" si="279"/>
        <v/>
      </c>
      <c r="CN115" s="581" t="str">
        <f t="shared" si="280"/>
        <v/>
      </c>
      <c r="CO115" s="580" t="str">
        <f>IF('Marks Entry'!AQ115="","",'Marks Entry'!AQ115)</f>
        <v/>
      </c>
      <c r="CP115" s="580" t="str">
        <f>IF('Marks Entry'!AR115="","",'Marks Entry'!AR115)</f>
        <v/>
      </c>
      <c r="CQ115" s="581" t="str">
        <f t="shared" si="281"/>
        <v/>
      </c>
      <c r="CR115" s="156" t="str">
        <f t="shared" si="282"/>
        <v/>
      </c>
      <c r="CS115" s="156" t="str">
        <f t="shared" si="283"/>
        <v/>
      </c>
      <c r="CT115" s="191" t="str">
        <f t="shared" si="284"/>
        <v/>
      </c>
      <c r="CU115" s="152">
        <f t="shared" si="285"/>
        <v>0</v>
      </c>
      <c r="CV115" s="153">
        <f t="shared" si="286"/>
        <v>0</v>
      </c>
      <c r="CW115" s="153" t="str">
        <f t="shared" si="287"/>
        <v/>
      </c>
      <c r="CX115" s="153" t="str">
        <f t="shared" si="288"/>
        <v/>
      </c>
      <c r="CY115" s="153" t="str">
        <f t="shared" si="289"/>
        <v/>
      </c>
      <c r="CZ115" s="152" t="str">
        <f t="shared" si="290"/>
        <v/>
      </c>
      <c r="DA115" s="153" t="str">
        <f t="shared" si="291"/>
        <v/>
      </c>
      <c r="DB115" s="152" t="str">
        <f t="shared" si="292"/>
        <v/>
      </c>
      <c r="DC115" s="153">
        <f t="shared" si="293"/>
        <v>0</v>
      </c>
      <c r="DD115" s="851" t="str">
        <f>IF('Marks Entry'!AS115="","",IF(OR('Master Sheet'!$D$19="YES",'Marks Entry'!$BA$1=1),'Marks Entry'!AS115,""))</f>
        <v/>
      </c>
      <c r="DE115" s="851" t="str">
        <f>IF('Marks Entry'!AT115="","",IF(OR('Master Sheet'!$D$19="YES",'Marks Entry'!$BA$1=1),'Marks Entry'!AT115,""))</f>
        <v/>
      </c>
      <c r="DF115" s="851" t="str">
        <f>IF('Marks Entry'!AU115="","",IF(OR('Master Sheet'!$D$19="YES",'Marks Entry'!$BA$1=1),'Marks Entry'!AU115,""))</f>
        <v/>
      </c>
      <c r="DG115" s="851" t="str">
        <f>IF('Marks Entry'!AV115="","",IF(OR('Master Sheet'!$D$19="YES",'Marks Entry'!$BA$1=1),'Marks Entry'!AV115,""))</f>
        <v/>
      </c>
      <c r="DH115" s="852" t="str">
        <f t="shared" si="294"/>
        <v/>
      </c>
      <c r="DI115" s="851" t="str">
        <f>IF('Marks Entry'!AW115="","",IF(OR('Master Sheet'!$D$19="YES",'Marks Entry'!$BA$1=1),'Marks Entry'!AW115,""))</f>
        <v/>
      </c>
      <c r="DJ115" s="851" t="str">
        <f>IF('Marks Entry'!AX115="","",IF(OR('Master Sheet'!$D$19="YES",'Marks Entry'!$BA$1=1),'Marks Entry'!AX115,""))</f>
        <v/>
      </c>
      <c r="DK115" s="852" t="str">
        <f t="shared" si="295"/>
        <v/>
      </c>
      <c r="DL115" s="852" t="str">
        <f t="shared" si="296"/>
        <v/>
      </c>
      <c r="DM115" s="851" t="str">
        <f>IF('Marks Entry'!AY115="","",IF(OR('Master Sheet'!$D$19="YES",'Marks Entry'!$BA$1=1),'Marks Entry'!AY115,""))</f>
        <v/>
      </c>
      <c r="DN115" s="851" t="str">
        <f>IF('Marks Entry'!AZ115="","",IF(OR('Master Sheet'!$D$19="YES",'Marks Entry'!$BA$1=1),'Marks Entry'!AZ115,""))</f>
        <v/>
      </c>
      <c r="DO115" s="851" t="str">
        <f>IF('Marks Entry'!BA115="","",IF(OR('Master Sheet'!$D$19="YES",'Marks Entry'!$BA$1=1),'Marks Entry'!BA115,""))</f>
        <v/>
      </c>
      <c r="DP115" s="852" t="str">
        <f t="shared" si="297"/>
        <v/>
      </c>
      <c r="DQ115" s="156" t="str">
        <f t="shared" si="298"/>
        <v/>
      </c>
      <c r="DR115" s="156" t="str">
        <f t="shared" si="299"/>
        <v/>
      </c>
      <c r="DS115" s="156" t="str">
        <f t="shared" si="300"/>
        <v/>
      </c>
      <c r="DT115" s="191" t="str">
        <f t="shared" si="301"/>
        <v/>
      </c>
      <c r="DU115" s="152">
        <f t="shared" si="302"/>
        <v>0</v>
      </c>
      <c r="DV115" s="153">
        <f t="shared" si="303"/>
        <v>0</v>
      </c>
      <c r="DW115" s="153" t="str">
        <f t="shared" si="304"/>
        <v/>
      </c>
      <c r="DX115" s="153" t="str">
        <f>IF(OR($B115="NSO",$B115=0,DS115=""),"",IF(AND(DJ115="",DO115=""),"",IF('Master Sheet'!$D$19="YES",$DO$6-COUNTIF(DO115,"ML")*DO$6,DS$6-(COUNTIF(DJ115,"ML")*DJ$6)-(COUNTIF(DO115,"ML")*DO$6))))</f>
        <v/>
      </c>
      <c r="DY115" s="153" t="str">
        <f>IF(OR($B115="NSO",$B115=0),"",IF(AND(DH115="",DI115="",DM115=""),"",IF(AND('Master Sheet'!$D$19="YES",'Marks Entry'!$BA$1=1),100,IF(AND(DJ115="",DO115=""),SUM(($DQ$7+$DR$7)-(DU115+DV115)),SUM(($DQ$6+$DR$6)-(DU115+DV115))))))</f>
        <v/>
      </c>
      <c r="DZ115" s="152" t="str">
        <f t="shared" si="305"/>
        <v/>
      </c>
      <c r="EA115" s="153" t="str">
        <f t="shared" si="306"/>
        <v/>
      </c>
      <c r="EB115" s="152" t="str">
        <f t="shared" si="307"/>
        <v/>
      </c>
      <c r="EC115" s="584" t="str">
        <f>IF('Marks Entry'!BB115="","",'Marks Entry'!BB115)</f>
        <v/>
      </c>
      <c r="ED115" s="584" t="str">
        <f>IF('Marks Entry'!BC115="","",'Marks Entry'!BC115)</f>
        <v/>
      </c>
      <c r="EE115" s="584" t="str">
        <f>IF('Marks Entry'!BD115="","",'Marks Entry'!BD115)</f>
        <v/>
      </c>
      <c r="EF115" s="590" t="str">
        <f t="shared" si="308"/>
        <v/>
      </c>
      <c r="EG115" s="595">
        <f t="shared" si="309"/>
        <v>0</v>
      </c>
      <c r="EH115" s="595">
        <f t="shared" si="310"/>
        <v>0</v>
      </c>
      <c r="EI115" s="192" t="str">
        <f t="shared" si="311"/>
        <v/>
      </c>
      <c r="EJ115" s="595" t="str">
        <f t="shared" si="312"/>
        <v/>
      </c>
      <c r="EK115" s="595" t="str">
        <f t="shared" si="313"/>
        <v/>
      </c>
      <c r="EL115" s="193" t="str">
        <f t="shared" si="314"/>
        <v/>
      </c>
      <c r="EM115" s="193" t="str">
        <f t="shared" si="315"/>
        <v/>
      </c>
      <c r="EN115" s="193" t="str">
        <f t="shared" si="316"/>
        <v/>
      </c>
      <c r="EO115" s="193" t="str">
        <f t="shared" si="317"/>
        <v/>
      </c>
      <c r="EP115" s="193" t="str">
        <f t="shared" si="318"/>
        <v/>
      </c>
      <c r="EQ115" s="193" t="str">
        <f t="shared" si="319"/>
        <v/>
      </c>
      <c r="ER115" s="194">
        <f t="shared" si="320"/>
        <v>0</v>
      </c>
      <c r="ES115" s="194">
        <f t="shared" si="321"/>
        <v>0</v>
      </c>
      <c r="ET115" s="194">
        <f t="shared" si="322"/>
        <v>0</v>
      </c>
      <c r="EU115" s="194">
        <f t="shared" si="323"/>
        <v>0</v>
      </c>
      <c r="EV115" s="194">
        <f t="shared" si="324"/>
        <v>0</v>
      </c>
      <c r="EW115" s="194" t="str">
        <f t="shared" si="325"/>
        <v/>
      </c>
      <c r="EX115" s="195" t="str">
        <f t="shared" si="326"/>
        <v/>
      </c>
      <c r="EY115" s="196" t="str">
        <f>IF('Marks Entry'!BE115="","",'Marks Entry'!BE115)</f>
        <v/>
      </c>
      <c r="EZ115" s="196" t="str">
        <f>IF('Marks Entry'!BF115="","",'Marks Entry'!BF115)</f>
        <v/>
      </c>
      <c r="FA115" s="196" t="str">
        <f>IF('Marks Entry'!BG115="","",'Marks Entry'!BG115)</f>
        <v/>
      </c>
      <c r="FB115" s="596" t="str">
        <f t="shared" si="327"/>
        <v/>
      </c>
      <c r="FC115" s="196" t="str">
        <f>IF('Marks Entry'!BH115="","",'Marks Entry'!BH115)</f>
        <v/>
      </c>
      <c r="FD115" s="196" t="str">
        <f>IF('Marks Entry'!BI115="","",'Marks Entry'!BI115)</f>
        <v/>
      </c>
      <c r="FE115" s="197" t="str">
        <f t="shared" si="328"/>
        <v/>
      </c>
      <c r="FF115" s="198" t="str">
        <f t="shared" si="329"/>
        <v/>
      </c>
      <c r="FG115" s="199" t="str">
        <f>IF(AND(E115=""),"",IF('Student DATA Entry'!L111="","",'Student DATA Entry'!L111))</f>
        <v/>
      </c>
      <c r="FH115" s="200" t="str">
        <f>IF(AND(E115=""),"",IF('Student DATA Entry'!M111="","",'Student DATA Entry'!M111))</f>
        <v/>
      </c>
      <c r="FI115" s="201" t="str">
        <f t="shared" si="330"/>
        <v/>
      </c>
      <c r="FJ115" s="188" t="str">
        <f t="shared" si="331"/>
        <v/>
      </c>
      <c r="FK115" s="188" t="str">
        <f t="shared" si="332"/>
        <v/>
      </c>
      <c r="FL115" s="202" t="str">
        <f t="shared" si="360"/>
        <v/>
      </c>
      <c r="FM115" s="188" t="str">
        <f t="shared" si="333"/>
        <v/>
      </c>
      <c r="FN115" s="203" t="str">
        <f t="shared" si="334"/>
        <v/>
      </c>
      <c r="FO115" s="202" t="str">
        <f t="shared" si="361"/>
        <v/>
      </c>
      <c r="FP115" s="204" t="str">
        <f t="shared" si="335"/>
        <v/>
      </c>
      <c r="FQ115" s="188" t="str">
        <f t="shared" si="362"/>
        <v/>
      </c>
      <c r="FR115" s="188" t="str">
        <f t="shared" si="363"/>
        <v/>
      </c>
      <c r="FS115" s="188" t="str">
        <f t="shared" si="364"/>
        <v/>
      </c>
      <c r="FT115" s="188" t="str">
        <f t="shared" si="365"/>
        <v/>
      </c>
      <c r="FU115" s="188" t="str">
        <f t="shared" si="336"/>
        <v/>
      </c>
      <c r="FV115" s="205" t="str">
        <f t="shared" si="366"/>
        <v/>
      </c>
      <c r="FW115" s="204" t="str">
        <f t="shared" si="337"/>
        <v/>
      </c>
      <c r="FX115" s="188" t="str">
        <f t="shared" si="367"/>
        <v/>
      </c>
      <c r="FY115" s="188" t="str">
        <f t="shared" si="368"/>
        <v/>
      </c>
      <c r="FZ115" s="188" t="str">
        <f t="shared" si="369"/>
        <v/>
      </c>
      <c r="GA115" s="188" t="str">
        <f t="shared" si="370"/>
        <v/>
      </c>
      <c r="GB115" s="188" t="str">
        <f t="shared" si="338"/>
        <v/>
      </c>
      <c r="GC115" s="205" t="str">
        <f t="shared" si="371"/>
        <v/>
      </c>
      <c r="GD115" s="204" t="str">
        <f t="shared" si="339"/>
        <v/>
      </c>
      <c r="GE115" s="188" t="str">
        <f t="shared" si="372"/>
        <v/>
      </c>
      <c r="GF115" s="188" t="str">
        <f t="shared" si="373"/>
        <v/>
      </c>
      <c r="GG115" s="188" t="str">
        <f t="shared" si="374"/>
        <v/>
      </c>
      <c r="GH115" s="188" t="str">
        <f t="shared" si="375"/>
        <v/>
      </c>
      <c r="GI115" s="188" t="str">
        <f t="shared" si="340"/>
        <v/>
      </c>
      <c r="GJ115" s="205" t="str">
        <f t="shared" si="376"/>
        <v/>
      </c>
      <c r="GK115" s="204" t="str">
        <f t="shared" si="341"/>
        <v/>
      </c>
      <c r="GL115" s="188" t="str">
        <f t="shared" si="377"/>
        <v/>
      </c>
      <c r="GM115" s="188" t="str">
        <f t="shared" si="378"/>
        <v/>
      </c>
      <c r="GN115" s="188" t="str">
        <f t="shared" si="379"/>
        <v/>
      </c>
      <c r="GO115" s="188" t="str">
        <f t="shared" si="380"/>
        <v/>
      </c>
      <c r="GP115" s="188" t="str">
        <f t="shared" si="342"/>
        <v/>
      </c>
      <c r="GQ115" s="205" t="str">
        <f t="shared" si="381"/>
        <v/>
      </c>
      <c r="GR115" s="188" t="str">
        <f t="shared" si="343"/>
        <v/>
      </c>
      <c r="GS115" s="188" t="str">
        <f t="shared" si="344"/>
        <v/>
      </c>
      <c r="GT115" s="206" t="str">
        <f t="shared" si="345"/>
        <v xml:space="preserve">    </v>
      </c>
      <c r="GU115" s="206" t="str">
        <f t="shared" si="346"/>
        <v xml:space="preserve">    </v>
      </c>
      <c r="GV115" s="206" t="str">
        <f t="shared" si="347"/>
        <v xml:space="preserve">    </v>
      </c>
      <c r="GW115" s="206" t="str">
        <f t="shared" si="348"/>
        <v xml:space="preserve">       </v>
      </c>
      <c r="GX115" s="598" t="str">
        <f t="shared" si="349"/>
        <v xml:space="preserve">     </v>
      </c>
      <c r="GY115" s="207" t="str">
        <f t="shared" si="382"/>
        <v/>
      </c>
      <c r="GZ115" s="606" t="str">
        <f>IF(AND(Q115="",AE115="",AZ115="",BW115="",CT115=""),"",IF(AND('Master Sheet'!$D$19="YES",'Marks Entry'!$BA$1=1),SUM(Q115,AE115,AZ115,BW115,DT115),SUM(Q115,AE115,AZ115,BW115,CT115)))</f>
        <v/>
      </c>
      <c r="HA115" s="208" t="str">
        <f>IF(GZ115="","",IF(AND('Master Sheet'!$D$19="YES",'Marks Entry'!$BA$1=1),GZ115/((900)-DC115)*100,GZ115/((1000)-DC115)*100))</f>
        <v/>
      </c>
      <c r="HB115" s="611" t="str">
        <f t="shared" si="350"/>
        <v/>
      </c>
      <c r="HC115" s="609" t="str">
        <f t="shared" si="351"/>
        <v/>
      </c>
      <c r="HD115" s="610" t="str">
        <f t="shared" si="352"/>
        <v/>
      </c>
      <c r="HE115" s="209" t="str">
        <f>IFERROR(IF(OR(GY115="SUPPLEMENTARY",GY115="RE-EXAM"),'Supp. Result Entry'!AS114,""),"")</f>
        <v/>
      </c>
      <c r="HF115" s="613" t="str">
        <f t="shared" si="353"/>
        <v/>
      </c>
      <c r="HG115" s="598" t="str">
        <f t="shared" si="354"/>
        <v/>
      </c>
      <c r="HH115" s="598" t="str">
        <f>IF(AND(HE115="",HF115="",HG115=""),"",IF(OR(GY115="SUPPLEMENTARY",GY115="RE-EXAM"),'Supp. Result Entry'!AS114,GY115))</f>
        <v/>
      </c>
      <c r="HI115" s="179"/>
      <c r="HY115" s="211" t="str">
        <f>IF('Supp. Result Entry'!U114="","",'Supp. Result Entry'!$U$6)</f>
        <v/>
      </c>
      <c r="HZ115" s="212" t="str">
        <f>IF('Supp. Result Entry'!X114="","",'Supp. Result Entry'!$X$6)</f>
        <v/>
      </c>
      <c r="IA115" s="212" t="str">
        <f>IF('Supp. Result Entry'!AA114="","",'Supp. Result Entry'!$AA$6)</f>
        <v/>
      </c>
      <c r="IB115" s="212" t="str">
        <f>IF('Supp. Result Entry'!AD114="","",'Supp. Result Entry'!$AD$6)</f>
        <v/>
      </c>
      <c r="IC115" s="212" t="str">
        <f>IF('Supp. Result Entry'!AG114="","",'Supp. Result Entry'!$AG$6)</f>
        <v/>
      </c>
      <c r="ID115" s="212" t="str">
        <f>IF('Supp. Result Entry'!AJ114="","",'Supp. Result Entry'!$AJ$6)</f>
        <v/>
      </c>
      <c r="IE115" s="212" t="str">
        <f>IF('Supp. Result Entry'!V114="","",'Supp. Result Entry'!V114)</f>
        <v/>
      </c>
      <c r="IF115" s="212" t="str">
        <f>IF('Supp. Result Entry'!Y114="","",'Supp. Result Entry'!Y114)</f>
        <v/>
      </c>
      <c r="IG115" s="212" t="str">
        <f>IF('Supp. Result Entry'!AB114="","",'Supp. Result Entry'!AB114)</f>
        <v/>
      </c>
      <c r="IH115" s="212" t="str">
        <f>IF('Supp. Result Entry'!AE114="","",'Supp. Result Entry'!AE114)</f>
        <v/>
      </c>
      <c r="II115" s="212" t="str">
        <f>IF('Supp. Result Entry'!AH114="","",'Supp. Result Entry'!AH114)</f>
        <v/>
      </c>
      <c r="IJ115" s="212" t="str">
        <f>IF('Supp. Result Entry'!AK114="","",'Supp. Result Entry'!AK114)</f>
        <v/>
      </c>
      <c r="IK115" s="212" t="str">
        <f>IF('Supp. Result Entry'!W114="","",'Supp. Result Entry'!W114)</f>
        <v/>
      </c>
      <c r="IL115" s="212" t="str">
        <f>IF('Supp. Result Entry'!Z114="","",'Supp. Result Entry'!Z114)</f>
        <v/>
      </c>
      <c r="IM115" s="212" t="str">
        <f>IF('Supp. Result Entry'!AC114="","",'Supp. Result Entry'!AC114)</f>
        <v/>
      </c>
      <c r="IN115" s="212" t="str">
        <f>IF('Supp. Result Entry'!AF114="","",'Supp. Result Entry'!AF114)</f>
        <v/>
      </c>
      <c r="IO115" s="212" t="str">
        <f>IF('Supp. Result Entry'!AI114="","",'Supp. Result Entry'!AI114)</f>
        <v/>
      </c>
      <c r="IP115" s="212" t="str">
        <f>IF('Supp. Result Entry'!AL114="","",'Supp. Result Entry'!AL114)</f>
        <v/>
      </c>
      <c r="IQ115" s="212">
        <f>COUNTIF('Supp. Result Entry'!K114:Q114,"S")</f>
        <v>0</v>
      </c>
      <c r="IR115" s="212">
        <f t="shared" si="355"/>
        <v>0</v>
      </c>
      <c r="IS115" s="212">
        <f t="shared" si="356"/>
        <v>0</v>
      </c>
      <c r="IT115" s="212" t="str">
        <f t="shared" si="224"/>
        <v/>
      </c>
      <c r="IU115" s="212" t="str">
        <f t="shared" si="225"/>
        <v/>
      </c>
      <c r="IV115" s="212" t="str">
        <f t="shared" si="226"/>
        <v/>
      </c>
      <c r="IW115" s="212" t="str">
        <f t="shared" si="227"/>
        <v/>
      </c>
      <c r="IX115" s="212" t="str">
        <f t="shared" si="228"/>
        <v/>
      </c>
      <c r="IY115" s="212" t="str">
        <f t="shared" si="357"/>
        <v/>
      </c>
      <c r="IZ115" s="212" t="str">
        <f t="shared" si="358"/>
        <v/>
      </c>
      <c r="JA115" s="212" t="str">
        <f t="shared" si="229"/>
        <v/>
      </c>
      <c r="JB115" s="210" t="str">
        <f t="shared" si="359"/>
        <v/>
      </c>
    </row>
    <row r="116" spans="1:262" s="210" customFormat="1" ht="21" customHeight="1">
      <c r="A116" s="183">
        <v>109</v>
      </c>
      <c r="B116" s="184" t="str">
        <f>IF('Marks Entry'!B116="","",'Marks Entry'!B116)</f>
        <v/>
      </c>
      <c r="C116" s="185" t="str">
        <f>IF('Marks Entry'!D116="","",'Marks Entry'!D116)</f>
        <v/>
      </c>
      <c r="D116" s="186" t="str">
        <f>IF('Marks Entry'!E116="","",'Marks Entry'!E116)</f>
        <v/>
      </c>
      <c r="E116" s="187" t="str">
        <f>IF('Marks Entry'!F116="","",'Marks Entry'!F116)</f>
        <v/>
      </c>
      <c r="F116" s="187" t="str">
        <f>IF('Marks Entry'!G116="","",'Marks Entry'!G116)</f>
        <v/>
      </c>
      <c r="G116" s="187" t="str">
        <f>IF('Marks Entry'!H116="","",'Marks Entry'!H116)</f>
        <v/>
      </c>
      <c r="H116" s="188" t="str">
        <f>IF('Marks Entry'!I116="","",'Marks Entry'!I116)</f>
        <v/>
      </c>
      <c r="I116" s="189" t="str">
        <f>IF('Marks Entry'!J116="","",'Marks Entry'!J116)</f>
        <v/>
      </c>
      <c r="J116" s="545" t="str">
        <f>IF('Marks Entry'!K116="","",'Marks Entry'!K116)</f>
        <v/>
      </c>
      <c r="K116" s="545" t="str">
        <f>IF('Marks Entry'!L116="","",'Marks Entry'!L116)</f>
        <v/>
      </c>
      <c r="L116" s="545" t="str">
        <f>IF('Marks Entry'!M116="","",'Marks Entry'!M116)</f>
        <v/>
      </c>
      <c r="M116" s="546" t="str">
        <f t="shared" si="230"/>
        <v/>
      </c>
      <c r="N116" s="545" t="str">
        <f>IF('Marks Entry'!N116="","",'Marks Entry'!N116)</f>
        <v/>
      </c>
      <c r="O116" s="546" t="str">
        <f t="shared" si="231"/>
        <v/>
      </c>
      <c r="P116" s="545" t="str">
        <f>IF('Marks Entry'!O116="","",'Marks Entry'!O116)</f>
        <v/>
      </c>
      <c r="Q116" s="547" t="str">
        <f t="shared" si="232"/>
        <v/>
      </c>
      <c r="R116" s="152">
        <f t="shared" si="233"/>
        <v>0</v>
      </c>
      <c r="S116" s="152">
        <f t="shared" si="234"/>
        <v>0</v>
      </c>
      <c r="T116" s="153" t="str">
        <f t="shared" si="235"/>
        <v/>
      </c>
      <c r="U116" s="152" t="str">
        <f t="shared" si="236"/>
        <v/>
      </c>
      <c r="V116" s="152" t="str">
        <f t="shared" si="237"/>
        <v/>
      </c>
      <c r="W116" s="152" t="str">
        <f t="shared" si="238"/>
        <v/>
      </c>
      <c r="X116" s="545" t="str">
        <f>IF('Marks Entry'!P116="","",'Marks Entry'!P116)</f>
        <v/>
      </c>
      <c r="Y116" s="545" t="str">
        <f>IF('Marks Entry'!Q116="","",'Marks Entry'!Q116)</f>
        <v/>
      </c>
      <c r="Z116" s="545" t="str">
        <f>IF('Marks Entry'!R116="","",'Marks Entry'!R116)</f>
        <v/>
      </c>
      <c r="AA116" s="546" t="str">
        <f t="shared" si="239"/>
        <v/>
      </c>
      <c r="AB116" s="545" t="str">
        <f>IF('Marks Entry'!S116="","",'Marks Entry'!S116)</f>
        <v/>
      </c>
      <c r="AC116" s="546" t="str">
        <f t="shared" si="240"/>
        <v/>
      </c>
      <c r="AD116" s="545" t="str">
        <f>IF('Marks Entry'!T116="","",'Marks Entry'!T116)</f>
        <v/>
      </c>
      <c r="AE116" s="547" t="str">
        <f t="shared" si="241"/>
        <v/>
      </c>
      <c r="AF116" s="152">
        <f t="shared" si="242"/>
        <v>0</v>
      </c>
      <c r="AG116" s="152">
        <f t="shared" si="243"/>
        <v>0</v>
      </c>
      <c r="AH116" s="153" t="str">
        <f t="shared" si="244"/>
        <v/>
      </c>
      <c r="AI116" s="152" t="str">
        <f t="shared" si="245"/>
        <v/>
      </c>
      <c r="AJ116" s="152" t="str">
        <f t="shared" si="246"/>
        <v/>
      </c>
      <c r="AK116" s="152" t="str">
        <f t="shared" si="247"/>
        <v/>
      </c>
      <c r="AL116" s="573" t="str">
        <f>IF('Marks Entry'!U116="","",'Marks Entry'!U116)</f>
        <v/>
      </c>
      <c r="AM116" s="573" t="str">
        <f>IF('Marks Entry'!V116="","",'Marks Entry'!V116)</f>
        <v/>
      </c>
      <c r="AN116" s="573" t="str">
        <f>IF('Marks Entry'!W116="","",'Marks Entry'!W116)</f>
        <v/>
      </c>
      <c r="AO116" s="573" t="str">
        <f>IF('Marks Entry'!X116="","",'Marks Entry'!X116)</f>
        <v/>
      </c>
      <c r="AP116" s="572" t="str">
        <f t="shared" si="248"/>
        <v/>
      </c>
      <c r="AQ116" s="573" t="str">
        <f>IF('Marks Entry'!Y116="","",'Marks Entry'!Y116)</f>
        <v/>
      </c>
      <c r="AR116" s="573" t="str">
        <f>IF('Marks Entry'!Z116="","",'Marks Entry'!Z116)</f>
        <v/>
      </c>
      <c r="AS116" s="572" t="str">
        <f t="shared" si="249"/>
        <v/>
      </c>
      <c r="AT116" s="572" t="str">
        <f t="shared" si="250"/>
        <v/>
      </c>
      <c r="AU116" s="573" t="str">
        <f>IF('Marks Entry'!AA116="","",'Marks Entry'!AA116)</f>
        <v/>
      </c>
      <c r="AV116" s="573" t="str">
        <f>IF('Marks Entry'!AB116="","",'Marks Entry'!AB116)</f>
        <v/>
      </c>
      <c r="AW116" s="572" t="str">
        <f t="shared" si="251"/>
        <v/>
      </c>
      <c r="AX116" s="156" t="str">
        <f t="shared" si="252"/>
        <v/>
      </c>
      <c r="AY116" s="156" t="str">
        <f t="shared" si="253"/>
        <v/>
      </c>
      <c r="AZ116" s="191" t="str">
        <f t="shared" si="254"/>
        <v/>
      </c>
      <c r="BA116" s="152">
        <f t="shared" si="255"/>
        <v>0</v>
      </c>
      <c r="BB116" s="153">
        <f t="shared" si="256"/>
        <v>0</v>
      </c>
      <c r="BC116" s="153" t="str">
        <f t="shared" si="257"/>
        <v/>
      </c>
      <c r="BD116" s="153" t="str">
        <f t="shared" si="258"/>
        <v/>
      </c>
      <c r="BE116" s="153" t="str">
        <f t="shared" si="259"/>
        <v/>
      </c>
      <c r="BF116" s="152" t="str">
        <f t="shared" si="260"/>
        <v/>
      </c>
      <c r="BG116" s="153" t="str">
        <f t="shared" si="261"/>
        <v/>
      </c>
      <c r="BH116" s="152" t="str">
        <f t="shared" si="262"/>
        <v/>
      </c>
      <c r="BI116" s="580" t="str">
        <f>IF('Marks Entry'!AC116="","",'Marks Entry'!AC116)</f>
        <v/>
      </c>
      <c r="BJ116" s="580" t="str">
        <f>IF('Marks Entry'!AD116="","",'Marks Entry'!AD116)</f>
        <v/>
      </c>
      <c r="BK116" s="580" t="str">
        <f>IF('Marks Entry'!AE116="","",'Marks Entry'!AE116)</f>
        <v/>
      </c>
      <c r="BL116" s="580" t="str">
        <f>IF('Marks Entry'!AF116="","",'Marks Entry'!AF116)</f>
        <v/>
      </c>
      <c r="BM116" s="581" t="str">
        <f t="shared" si="263"/>
        <v/>
      </c>
      <c r="BN116" s="580" t="str">
        <f>IF('Marks Entry'!AG116="","",'Marks Entry'!AG116)</f>
        <v/>
      </c>
      <c r="BO116" s="580" t="str">
        <f>IF('Marks Entry'!AH116="","",'Marks Entry'!AH116)</f>
        <v/>
      </c>
      <c r="BP116" s="581" t="str">
        <f t="shared" si="264"/>
        <v/>
      </c>
      <c r="BQ116" s="581" t="str">
        <f t="shared" si="265"/>
        <v/>
      </c>
      <c r="BR116" s="580" t="str">
        <f>IF('Marks Entry'!AI116="","",'Marks Entry'!AI116)</f>
        <v/>
      </c>
      <c r="BS116" s="580" t="str">
        <f>IF('Marks Entry'!AJ116="","",'Marks Entry'!AJ116)</f>
        <v/>
      </c>
      <c r="BT116" s="581" t="str">
        <f t="shared" si="266"/>
        <v/>
      </c>
      <c r="BU116" s="156" t="str">
        <f t="shared" si="267"/>
        <v/>
      </c>
      <c r="BV116" s="156" t="str">
        <f t="shared" si="268"/>
        <v/>
      </c>
      <c r="BW116" s="191" t="str">
        <f t="shared" si="269"/>
        <v/>
      </c>
      <c r="BX116" s="152">
        <f t="shared" si="270"/>
        <v>0</v>
      </c>
      <c r="BY116" s="153">
        <f t="shared" si="271"/>
        <v>0</v>
      </c>
      <c r="BZ116" s="153" t="str">
        <f t="shared" si="272"/>
        <v/>
      </c>
      <c r="CA116" s="153" t="str">
        <f t="shared" si="273"/>
        <v/>
      </c>
      <c r="CB116" s="153" t="str">
        <f t="shared" si="274"/>
        <v/>
      </c>
      <c r="CC116" s="152" t="str">
        <f t="shared" si="275"/>
        <v/>
      </c>
      <c r="CD116" s="153" t="str">
        <f t="shared" si="276"/>
        <v/>
      </c>
      <c r="CE116" s="152" t="str">
        <f t="shared" si="277"/>
        <v/>
      </c>
      <c r="CF116" s="580" t="str">
        <f>IF('Marks Entry'!AK116="","",'Marks Entry'!AK116)</f>
        <v/>
      </c>
      <c r="CG116" s="580" t="str">
        <f>IF('Marks Entry'!AL116="","",'Marks Entry'!AL116)</f>
        <v/>
      </c>
      <c r="CH116" s="580" t="str">
        <f>IF('Marks Entry'!AM116="","",'Marks Entry'!AM116)</f>
        <v/>
      </c>
      <c r="CI116" s="580" t="str">
        <f>IF('Marks Entry'!AN116="","",'Marks Entry'!AN116)</f>
        <v/>
      </c>
      <c r="CJ116" s="581" t="str">
        <f t="shared" si="278"/>
        <v/>
      </c>
      <c r="CK116" s="580" t="str">
        <f>IF('Marks Entry'!AO116="","",'Marks Entry'!AO116)</f>
        <v/>
      </c>
      <c r="CL116" s="580" t="str">
        <f>IF('Marks Entry'!AP116="","",'Marks Entry'!AP116)</f>
        <v/>
      </c>
      <c r="CM116" s="581" t="str">
        <f t="shared" si="279"/>
        <v/>
      </c>
      <c r="CN116" s="581" t="str">
        <f t="shared" si="280"/>
        <v/>
      </c>
      <c r="CO116" s="580" t="str">
        <f>IF('Marks Entry'!AQ116="","",'Marks Entry'!AQ116)</f>
        <v/>
      </c>
      <c r="CP116" s="580" t="str">
        <f>IF('Marks Entry'!AR116="","",'Marks Entry'!AR116)</f>
        <v/>
      </c>
      <c r="CQ116" s="581" t="str">
        <f t="shared" si="281"/>
        <v/>
      </c>
      <c r="CR116" s="156" t="str">
        <f t="shared" si="282"/>
        <v/>
      </c>
      <c r="CS116" s="156" t="str">
        <f t="shared" si="283"/>
        <v/>
      </c>
      <c r="CT116" s="191" t="str">
        <f t="shared" si="284"/>
        <v/>
      </c>
      <c r="CU116" s="152">
        <f t="shared" si="285"/>
        <v>0</v>
      </c>
      <c r="CV116" s="153">
        <f t="shared" si="286"/>
        <v>0</v>
      </c>
      <c r="CW116" s="153" t="str">
        <f t="shared" si="287"/>
        <v/>
      </c>
      <c r="CX116" s="153" t="str">
        <f t="shared" si="288"/>
        <v/>
      </c>
      <c r="CY116" s="153" t="str">
        <f t="shared" si="289"/>
        <v/>
      </c>
      <c r="CZ116" s="152" t="str">
        <f t="shared" si="290"/>
        <v/>
      </c>
      <c r="DA116" s="153" t="str">
        <f t="shared" si="291"/>
        <v/>
      </c>
      <c r="DB116" s="152" t="str">
        <f t="shared" si="292"/>
        <v/>
      </c>
      <c r="DC116" s="153">
        <f t="shared" si="293"/>
        <v>0</v>
      </c>
      <c r="DD116" s="851" t="str">
        <f>IF('Marks Entry'!AS116="","",IF(OR('Master Sheet'!$D$19="YES",'Marks Entry'!$BA$1=1),'Marks Entry'!AS116,""))</f>
        <v/>
      </c>
      <c r="DE116" s="851" t="str">
        <f>IF('Marks Entry'!AT116="","",IF(OR('Master Sheet'!$D$19="YES",'Marks Entry'!$BA$1=1),'Marks Entry'!AT116,""))</f>
        <v/>
      </c>
      <c r="DF116" s="851" t="str">
        <f>IF('Marks Entry'!AU116="","",IF(OR('Master Sheet'!$D$19="YES",'Marks Entry'!$BA$1=1),'Marks Entry'!AU116,""))</f>
        <v/>
      </c>
      <c r="DG116" s="851" t="str">
        <f>IF('Marks Entry'!AV116="","",IF(OR('Master Sheet'!$D$19="YES",'Marks Entry'!$BA$1=1),'Marks Entry'!AV116,""))</f>
        <v/>
      </c>
      <c r="DH116" s="852" t="str">
        <f t="shared" si="294"/>
        <v/>
      </c>
      <c r="DI116" s="851" t="str">
        <f>IF('Marks Entry'!AW116="","",IF(OR('Master Sheet'!$D$19="YES",'Marks Entry'!$BA$1=1),'Marks Entry'!AW116,""))</f>
        <v/>
      </c>
      <c r="DJ116" s="851" t="str">
        <f>IF('Marks Entry'!AX116="","",IF(OR('Master Sheet'!$D$19="YES",'Marks Entry'!$BA$1=1),'Marks Entry'!AX116,""))</f>
        <v/>
      </c>
      <c r="DK116" s="852" t="str">
        <f t="shared" si="295"/>
        <v/>
      </c>
      <c r="DL116" s="852" t="str">
        <f t="shared" si="296"/>
        <v/>
      </c>
      <c r="DM116" s="851" t="str">
        <f>IF('Marks Entry'!AY116="","",IF(OR('Master Sheet'!$D$19="YES",'Marks Entry'!$BA$1=1),'Marks Entry'!AY116,""))</f>
        <v/>
      </c>
      <c r="DN116" s="851" t="str">
        <f>IF('Marks Entry'!AZ116="","",IF(OR('Master Sheet'!$D$19="YES",'Marks Entry'!$BA$1=1),'Marks Entry'!AZ116,""))</f>
        <v/>
      </c>
      <c r="DO116" s="851" t="str">
        <f>IF('Marks Entry'!BA116="","",IF(OR('Master Sheet'!$D$19="YES",'Marks Entry'!$BA$1=1),'Marks Entry'!BA116,""))</f>
        <v/>
      </c>
      <c r="DP116" s="852" t="str">
        <f t="shared" si="297"/>
        <v/>
      </c>
      <c r="DQ116" s="156" t="str">
        <f t="shared" si="298"/>
        <v/>
      </c>
      <c r="DR116" s="156" t="str">
        <f t="shared" si="299"/>
        <v/>
      </c>
      <c r="DS116" s="156" t="str">
        <f t="shared" si="300"/>
        <v/>
      </c>
      <c r="DT116" s="191" t="str">
        <f t="shared" si="301"/>
        <v/>
      </c>
      <c r="DU116" s="152">
        <f t="shared" si="302"/>
        <v>0</v>
      </c>
      <c r="DV116" s="153">
        <f t="shared" si="303"/>
        <v>0</v>
      </c>
      <c r="DW116" s="153" t="str">
        <f t="shared" si="304"/>
        <v/>
      </c>
      <c r="DX116" s="153" t="str">
        <f>IF(OR($B116="NSO",$B116=0,DS116=""),"",IF(AND(DJ116="",DO116=""),"",IF('Master Sheet'!$D$19="YES",$DO$6-COUNTIF(DO116,"ML")*DO$6,DS$6-(COUNTIF(DJ116,"ML")*DJ$6)-(COUNTIF(DO116,"ML")*DO$6))))</f>
        <v/>
      </c>
      <c r="DY116" s="153" t="str">
        <f>IF(OR($B116="NSO",$B116=0),"",IF(AND(DH116="",DI116="",DM116=""),"",IF(AND('Master Sheet'!$D$19="YES",'Marks Entry'!$BA$1=1),100,IF(AND(DJ116="",DO116=""),SUM(($DQ$7+$DR$7)-(DU116+DV116)),SUM(($DQ$6+$DR$6)-(DU116+DV116))))))</f>
        <v/>
      </c>
      <c r="DZ116" s="152" t="str">
        <f t="shared" si="305"/>
        <v/>
      </c>
      <c r="EA116" s="153" t="str">
        <f t="shared" si="306"/>
        <v/>
      </c>
      <c r="EB116" s="152" t="str">
        <f t="shared" si="307"/>
        <v/>
      </c>
      <c r="EC116" s="584" t="str">
        <f>IF('Marks Entry'!BB116="","",'Marks Entry'!BB116)</f>
        <v/>
      </c>
      <c r="ED116" s="584" t="str">
        <f>IF('Marks Entry'!BC116="","",'Marks Entry'!BC116)</f>
        <v/>
      </c>
      <c r="EE116" s="584" t="str">
        <f>IF('Marks Entry'!BD116="","",'Marks Entry'!BD116)</f>
        <v/>
      </c>
      <c r="EF116" s="590" t="str">
        <f t="shared" si="308"/>
        <v/>
      </c>
      <c r="EG116" s="595">
        <f t="shared" si="309"/>
        <v>0</v>
      </c>
      <c r="EH116" s="595">
        <f t="shared" si="310"/>
        <v>0</v>
      </c>
      <c r="EI116" s="192" t="str">
        <f t="shared" si="311"/>
        <v/>
      </c>
      <c r="EJ116" s="595" t="str">
        <f t="shared" si="312"/>
        <v/>
      </c>
      <c r="EK116" s="595" t="str">
        <f t="shared" si="313"/>
        <v/>
      </c>
      <c r="EL116" s="193" t="str">
        <f t="shared" si="314"/>
        <v/>
      </c>
      <c r="EM116" s="193" t="str">
        <f t="shared" si="315"/>
        <v/>
      </c>
      <c r="EN116" s="193" t="str">
        <f t="shared" si="316"/>
        <v/>
      </c>
      <c r="EO116" s="193" t="str">
        <f t="shared" si="317"/>
        <v/>
      </c>
      <c r="EP116" s="193" t="str">
        <f t="shared" si="318"/>
        <v/>
      </c>
      <c r="EQ116" s="193" t="str">
        <f t="shared" si="319"/>
        <v/>
      </c>
      <c r="ER116" s="194">
        <f t="shared" si="320"/>
        <v>0</v>
      </c>
      <c r="ES116" s="194">
        <f t="shared" si="321"/>
        <v>0</v>
      </c>
      <c r="ET116" s="194">
        <f t="shared" si="322"/>
        <v>0</v>
      </c>
      <c r="EU116" s="194">
        <f t="shared" si="323"/>
        <v>0</v>
      </c>
      <c r="EV116" s="194">
        <f t="shared" si="324"/>
        <v>0</v>
      </c>
      <c r="EW116" s="194" t="str">
        <f t="shared" si="325"/>
        <v/>
      </c>
      <c r="EX116" s="195" t="str">
        <f t="shared" si="326"/>
        <v/>
      </c>
      <c r="EY116" s="196" t="str">
        <f>IF('Marks Entry'!BE116="","",'Marks Entry'!BE116)</f>
        <v/>
      </c>
      <c r="EZ116" s="196" t="str">
        <f>IF('Marks Entry'!BF116="","",'Marks Entry'!BF116)</f>
        <v/>
      </c>
      <c r="FA116" s="196" t="str">
        <f>IF('Marks Entry'!BG116="","",'Marks Entry'!BG116)</f>
        <v/>
      </c>
      <c r="FB116" s="596" t="str">
        <f t="shared" si="327"/>
        <v/>
      </c>
      <c r="FC116" s="196" t="str">
        <f>IF('Marks Entry'!BH116="","",'Marks Entry'!BH116)</f>
        <v/>
      </c>
      <c r="FD116" s="196" t="str">
        <f>IF('Marks Entry'!BI116="","",'Marks Entry'!BI116)</f>
        <v/>
      </c>
      <c r="FE116" s="197" t="str">
        <f t="shared" si="328"/>
        <v/>
      </c>
      <c r="FF116" s="198" t="str">
        <f t="shared" si="329"/>
        <v/>
      </c>
      <c r="FG116" s="199" t="str">
        <f>IF(AND(E116=""),"",IF('Student DATA Entry'!L112="","",'Student DATA Entry'!L112))</f>
        <v/>
      </c>
      <c r="FH116" s="200" t="str">
        <f>IF(AND(E116=""),"",IF('Student DATA Entry'!M112="","",'Student DATA Entry'!M112))</f>
        <v/>
      </c>
      <c r="FI116" s="201" t="str">
        <f t="shared" si="330"/>
        <v/>
      </c>
      <c r="FJ116" s="188" t="str">
        <f t="shared" si="331"/>
        <v/>
      </c>
      <c r="FK116" s="188" t="str">
        <f t="shared" si="332"/>
        <v/>
      </c>
      <c r="FL116" s="202" t="str">
        <f t="shared" si="360"/>
        <v/>
      </c>
      <c r="FM116" s="188" t="str">
        <f t="shared" si="333"/>
        <v/>
      </c>
      <c r="FN116" s="203" t="str">
        <f t="shared" si="334"/>
        <v/>
      </c>
      <c r="FO116" s="202" t="str">
        <f t="shared" si="361"/>
        <v/>
      </c>
      <c r="FP116" s="204" t="str">
        <f t="shared" si="335"/>
        <v/>
      </c>
      <c r="FQ116" s="188" t="str">
        <f t="shared" si="362"/>
        <v/>
      </c>
      <c r="FR116" s="188" t="str">
        <f t="shared" si="363"/>
        <v/>
      </c>
      <c r="FS116" s="188" t="str">
        <f t="shared" si="364"/>
        <v/>
      </c>
      <c r="FT116" s="188" t="str">
        <f t="shared" si="365"/>
        <v/>
      </c>
      <c r="FU116" s="188" t="str">
        <f t="shared" si="336"/>
        <v/>
      </c>
      <c r="FV116" s="205" t="str">
        <f t="shared" si="366"/>
        <v/>
      </c>
      <c r="FW116" s="204" t="str">
        <f t="shared" si="337"/>
        <v/>
      </c>
      <c r="FX116" s="188" t="str">
        <f t="shared" si="367"/>
        <v/>
      </c>
      <c r="FY116" s="188" t="str">
        <f t="shared" si="368"/>
        <v/>
      </c>
      <c r="FZ116" s="188" t="str">
        <f t="shared" si="369"/>
        <v/>
      </c>
      <c r="GA116" s="188" t="str">
        <f t="shared" si="370"/>
        <v/>
      </c>
      <c r="GB116" s="188" t="str">
        <f t="shared" si="338"/>
        <v/>
      </c>
      <c r="GC116" s="205" t="str">
        <f t="shared" si="371"/>
        <v/>
      </c>
      <c r="GD116" s="204" t="str">
        <f t="shared" si="339"/>
        <v/>
      </c>
      <c r="GE116" s="188" t="str">
        <f t="shared" si="372"/>
        <v/>
      </c>
      <c r="GF116" s="188" t="str">
        <f t="shared" si="373"/>
        <v/>
      </c>
      <c r="GG116" s="188" t="str">
        <f t="shared" si="374"/>
        <v/>
      </c>
      <c r="GH116" s="188" t="str">
        <f t="shared" si="375"/>
        <v/>
      </c>
      <c r="GI116" s="188" t="str">
        <f t="shared" si="340"/>
        <v/>
      </c>
      <c r="GJ116" s="205" t="str">
        <f t="shared" si="376"/>
        <v/>
      </c>
      <c r="GK116" s="204" t="str">
        <f t="shared" si="341"/>
        <v/>
      </c>
      <c r="GL116" s="188" t="str">
        <f t="shared" si="377"/>
        <v/>
      </c>
      <c r="GM116" s="188" t="str">
        <f t="shared" si="378"/>
        <v/>
      </c>
      <c r="GN116" s="188" t="str">
        <f t="shared" si="379"/>
        <v/>
      </c>
      <c r="GO116" s="188" t="str">
        <f t="shared" si="380"/>
        <v/>
      </c>
      <c r="GP116" s="188" t="str">
        <f t="shared" si="342"/>
        <v/>
      </c>
      <c r="GQ116" s="205" t="str">
        <f t="shared" si="381"/>
        <v/>
      </c>
      <c r="GR116" s="188" t="str">
        <f t="shared" si="343"/>
        <v/>
      </c>
      <c r="GS116" s="188" t="str">
        <f t="shared" si="344"/>
        <v/>
      </c>
      <c r="GT116" s="206" t="str">
        <f t="shared" si="345"/>
        <v xml:space="preserve">    </v>
      </c>
      <c r="GU116" s="206" t="str">
        <f t="shared" si="346"/>
        <v xml:space="preserve">    </v>
      </c>
      <c r="GV116" s="206" t="str">
        <f t="shared" si="347"/>
        <v xml:space="preserve">    </v>
      </c>
      <c r="GW116" s="206" t="str">
        <f t="shared" si="348"/>
        <v xml:space="preserve">       </v>
      </c>
      <c r="GX116" s="598" t="str">
        <f t="shared" si="349"/>
        <v xml:space="preserve">     </v>
      </c>
      <c r="GY116" s="207" t="str">
        <f t="shared" si="382"/>
        <v/>
      </c>
      <c r="GZ116" s="606" t="str">
        <f>IF(AND(Q116="",AE116="",AZ116="",BW116="",CT116=""),"",IF(AND('Master Sheet'!$D$19="YES",'Marks Entry'!$BA$1=1),SUM(Q116,AE116,AZ116,BW116,DT116),SUM(Q116,AE116,AZ116,BW116,CT116)))</f>
        <v/>
      </c>
      <c r="HA116" s="208" t="str">
        <f>IF(GZ116="","",IF(AND('Master Sheet'!$D$19="YES",'Marks Entry'!$BA$1=1),GZ116/((900)-DC116)*100,GZ116/((1000)-DC116)*100))</f>
        <v/>
      </c>
      <c r="HB116" s="611" t="str">
        <f t="shared" si="350"/>
        <v/>
      </c>
      <c r="HC116" s="609" t="str">
        <f t="shared" si="351"/>
        <v/>
      </c>
      <c r="HD116" s="610" t="str">
        <f t="shared" si="352"/>
        <v/>
      </c>
      <c r="HE116" s="209" t="str">
        <f>IFERROR(IF(OR(GY116="SUPPLEMENTARY",GY116="RE-EXAM"),'Supp. Result Entry'!AS115,""),"")</f>
        <v/>
      </c>
      <c r="HF116" s="613" t="str">
        <f t="shared" si="353"/>
        <v/>
      </c>
      <c r="HG116" s="598" t="str">
        <f t="shared" si="354"/>
        <v/>
      </c>
      <c r="HH116" s="598" t="str">
        <f>IF(AND(HE116="",HF116="",HG116=""),"",IF(OR(GY116="SUPPLEMENTARY",GY116="RE-EXAM"),'Supp. Result Entry'!AS115,GY116))</f>
        <v/>
      </c>
      <c r="HI116" s="179"/>
      <c r="HY116" s="211" t="str">
        <f>IF('Supp. Result Entry'!U115="","",'Supp. Result Entry'!$U$6)</f>
        <v/>
      </c>
      <c r="HZ116" s="212" t="str">
        <f>IF('Supp. Result Entry'!X115="","",'Supp. Result Entry'!$X$6)</f>
        <v/>
      </c>
      <c r="IA116" s="212" t="str">
        <f>IF('Supp. Result Entry'!AA115="","",'Supp. Result Entry'!$AA$6)</f>
        <v/>
      </c>
      <c r="IB116" s="212" t="str">
        <f>IF('Supp. Result Entry'!AD115="","",'Supp. Result Entry'!$AD$6)</f>
        <v/>
      </c>
      <c r="IC116" s="212" t="str">
        <f>IF('Supp. Result Entry'!AG115="","",'Supp. Result Entry'!$AG$6)</f>
        <v/>
      </c>
      <c r="ID116" s="212" t="str">
        <f>IF('Supp. Result Entry'!AJ115="","",'Supp. Result Entry'!$AJ$6)</f>
        <v/>
      </c>
      <c r="IE116" s="212" t="str">
        <f>IF('Supp. Result Entry'!V115="","",'Supp. Result Entry'!V115)</f>
        <v/>
      </c>
      <c r="IF116" s="212" t="str">
        <f>IF('Supp. Result Entry'!Y115="","",'Supp. Result Entry'!Y115)</f>
        <v/>
      </c>
      <c r="IG116" s="212" t="str">
        <f>IF('Supp. Result Entry'!AB115="","",'Supp. Result Entry'!AB115)</f>
        <v/>
      </c>
      <c r="IH116" s="212" t="str">
        <f>IF('Supp. Result Entry'!AE115="","",'Supp. Result Entry'!AE115)</f>
        <v/>
      </c>
      <c r="II116" s="212" t="str">
        <f>IF('Supp. Result Entry'!AH115="","",'Supp. Result Entry'!AH115)</f>
        <v/>
      </c>
      <c r="IJ116" s="212" t="str">
        <f>IF('Supp. Result Entry'!AK115="","",'Supp. Result Entry'!AK115)</f>
        <v/>
      </c>
      <c r="IK116" s="212" t="str">
        <f>IF('Supp. Result Entry'!W115="","",'Supp. Result Entry'!W115)</f>
        <v/>
      </c>
      <c r="IL116" s="212" t="str">
        <f>IF('Supp. Result Entry'!Z115="","",'Supp. Result Entry'!Z115)</f>
        <v/>
      </c>
      <c r="IM116" s="212" t="str">
        <f>IF('Supp. Result Entry'!AC115="","",'Supp. Result Entry'!AC115)</f>
        <v/>
      </c>
      <c r="IN116" s="212" t="str">
        <f>IF('Supp. Result Entry'!AF115="","",'Supp. Result Entry'!AF115)</f>
        <v/>
      </c>
      <c r="IO116" s="212" t="str">
        <f>IF('Supp. Result Entry'!AI115="","",'Supp. Result Entry'!AI115)</f>
        <v/>
      </c>
      <c r="IP116" s="212" t="str">
        <f>IF('Supp. Result Entry'!AL115="","",'Supp. Result Entry'!AL115)</f>
        <v/>
      </c>
      <c r="IQ116" s="212">
        <f>COUNTIF('Supp. Result Entry'!K115:Q115,"S")</f>
        <v>0</v>
      </c>
      <c r="IR116" s="212">
        <f t="shared" si="355"/>
        <v>0</v>
      </c>
      <c r="IS116" s="212">
        <f t="shared" si="356"/>
        <v>0</v>
      </c>
      <c r="IT116" s="212" t="str">
        <f t="shared" si="224"/>
        <v/>
      </c>
      <c r="IU116" s="212" t="str">
        <f t="shared" si="225"/>
        <v/>
      </c>
      <c r="IV116" s="212" t="str">
        <f t="shared" si="226"/>
        <v/>
      </c>
      <c r="IW116" s="212" t="str">
        <f t="shared" si="227"/>
        <v/>
      </c>
      <c r="IX116" s="212" t="str">
        <f t="shared" si="228"/>
        <v/>
      </c>
      <c r="IY116" s="212" t="str">
        <f t="shared" si="357"/>
        <v/>
      </c>
      <c r="IZ116" s="212" t="str">
        <f t="shared" si="358"/>
        <v/>
      </c>
      <c r="JA116" s="212" t="str">
        <f t="shared" si="229"/>
        <v/>
      </c>
      <c r="JB116" s="210" t="str">
        <f t="shared" si="359"/>
        <v/>
      </c>
    </row>
    <row r="117" spans="1:262" s="210" customFormat="1" ht="21" customHeight="1">
      <c r="A117" s="183">
        <v>110</v>
      </c>
      <c r="B117" s="184" t="str">
        <f>IF('Marks Entry'!B117="","",'Marks Entry'!B117)</f>
        <v/>
      </c>
      <c r="C117" s="185" t="str">
        <f>IF('Marks Entry'!D117="","",'Marks Entry'!D117)</f>
        <v/>
      </c>
      <c r="D117" s="186" t="str">
        <f>IF('Marks Entry'!E117="","",'Marks Entry'!E117)</f>
        <v/>
      </c>
      <c r="E117" s="187" t="str">
        <f>IF('Marks Entry'!F117="","",'Marks Entry'!F117)</f>
        <v/>
      </c>
      <c r="F117" s="187" t="str">
        <f>IF('Marks Entry'!G117="","",'Marks Entry'!G117)</f>
        <v/>
      </c>
      <c r="G117" s="187" t="str">
        <f>IF('Marks Entry'!H117="","",'Marks Entry'!H117)</f>
        <v/>
      </c>
      <c r="H117" s="188" t="str">
        <f>IF('Marks Entry'!I117="","",'Marks Entry'!I117)</f>
        <v/>
      </c>
      <c r="I117" s="189" t="str">
        <f>IF('Marks Entry'!J117="","",'Marks Entry'!J117)</f>
        <v/>
      </c>
      <c r="J117" s="545" t="str">
        <f>IF('Marks Entry'!K117="","",'Marks Entry'!K117)</f>
        <v/>
      </c>
      <c r="K117" s="545" t="str">
        <f>IF('Marks Entry'!L117="","",'Marks Entry'!L117)</f>
        <v/>
      </c>
      <c r="L117" s="545" t="str">
        <f>IF('Marks Entry'!M117="","",'Marks Entry'!M117)</f>
        <v/>
      </c>
      <c r="M117" s="546" t="str">
        <f t="shared" si="230"/>
        <v/>
      </c>
      <c r="N117" s="545" t="str">
        <f>IF('Marks Entry'!N117="","",'Marks Entry'!N117)</f>
        <v/>
      </c>
      <c r="O117" s="546" t="str">
        <f t="shared" si="231"/>
        <v/>
      </c>
      <c r="P117" s="545" t="str">
        <f>IF('Marks Entry'!O117="","",'Marks Entry'!O117)</f>
        <v/>
      </c>
      <c r="Q117" s="547" t="str">
        <f t="shared" si="232"/>
        <v/>
      </c>
      <c r="R117" s="152">
        <f t="shared" si="233"/>
        <v>0</v>
      </c>
      <c r="S117" s="152">
        <f t="shared" si="234"/>
        <v>0</v>
      </c>
      <c r="T117" s="153" t="str">
        <f t="shared" si="235"/>
        <v/>
      </c>
      <c r="U117" s="152" t="str">
        <f t="shared" si="236"/>
        <v/>
      </c>
      <c r="V117" s="152" t="str">
        <f t="shared" si="237"/>
        <v/>
      </c>
      <c r="W117" s="152" t="str">
        <f t="shared" si="238"/>
        <v/>
      </c>
      <c r="X117" s="545" t="str">
        <f>IF('Marks Entry'!P117="","",'Marks Entry'!P117)</f>
        <v/>
      </c>
      <c r="Y117" s="545" t="str">
        <f>IF('Marks Entry'!Q117="","",'Marks Entry'!Q117)</f>
        <v/>
      </c>
      <c r="Z117" s="545" t="str">
        <f>IF('Marks Entry'!R117="","",'Marks Entry'!R117)</f>
        <v/>
      </c>
      <c r="AA117" s="546" t="str">
        <f t="shared" si="239"/>
        <v/>
      </c>
      <c r="AB117" s="545" t="str">
        <f>IF('Marks Entry'!S117="","",'Marks Entry'!S117)</f>
        <v/>
      </c>
      <c r="AC117" s="546" t="str">
        <f t="shared" si="240"/>
        <v/>
      </c>
      <c r="AD117" s="545" t="str">
        <f>IF('Marks Entry'!T117="","",'Marks Entry'!T117)</f>
        <v/>
      </c>
      <c r="AE117" s="547" t="str">
        <f t="shared" si="241"/>
        <v/>
      </c>
      <c r="AF117" s="152">
        <f t="shared" si="242"/>
        <v>0</v>
      </c>
      <c r="AG117" s="152">
        <f t="shared" si="243"/>
        <v>0</v>
      </c>
      <c r="AH117" s="153" t="str">
        <f t="shared" si="244"/>
        <v/>
      </c>
      <c r="AI117" s="152" t="str">
        <f t="shared" si="245"/>
        <v/>
      </c>
      <c r="AJ117" s="152" t="str">
        <f t="shared" si="246"/>
        <v/>
      </c>
      <c r="AK117" s="152" t="str">
        <f t="shared" si="247"/>
        <v/>
      </c>
      <c r="AL117" s="573" t="str">
        <f>IF('Marks Entry'!U117="","",'Marks Entry'!U117)</f>
        <v/>
      </c>
      <c r="AM117" s="573" t="str">
        <f>IF('Marks Entry'!V117="","",'Marks Entry'!V117)</f>
        <v/>
      </c>
      <c r="AN117" s="573" t="str">
        <f>IF('Marks Entry'!W117="","",'Marks Entry'!W117)</f>
        <v/>
      </c>
      <c r="AO117" s="573" t="str">
        <f>IF('Marks Entry'!X117="","",'Marks Entry'!X117)</f>
        <v/>
      </c>
      <c r="AP117" s="572" t="str">
        <f t="shared" si="248"/>
        <v/>
      </c>
      <c r="AQ117" s="573" t="str">
        <f>IF('Marks Entry'!Y117="","",'Marks Entry'!Y117)</f>
        <v/>
      </c>
      <c r="AR117" s="573" t="str">
        <f>IF('Marks Entry'!Z117="","",'Marks Entry'!Z117)</f>
        <v/>
      </c>
      <c r="AS117" s="572" t="str">
        <f t="shared" si="249"/>
        <v/>
      </c>
      <c r="AT117" s="572" t="str">
        <f t="shared" si="250"/>
        <v/>
      </c>
      <c r="AU117" s="573" t="str">
        <f>IF('Marks Entry'!AA117="","",'Marks Entry'!AA117)</f>
        <v/>
      </c>
      <c r="AV117" s="573" t="str">
        <f>IF('Marks Entry'!AB117="","",'Marks Entry'!AB117)</f>
        <v/>
      </c>
      <c r="AW117" s="572" t="str">
        <f t="shared" si="251"/>
        <v/>
      </c>
      <c r="AX117" s="156" t="str">
        <f t="shared" si="252"/>
        <v/>
      </c>
      <c r="AY117" s="156" t="str">
        <f t="shared" si="253"/>
        <v/>
      </c>
      <c r="AZ117" s="191" t="str">
        <f t="shared" si="254"/>
        <v/>
      </c>
      <c r="BA117" s="152">
        <f t="shared" si="255"/>
        <v>0</v>
      </c>
      <c r="BB117" s="153">
        <f t="shared" si="256"/>
        <v>0</v>
      </c>
      <c r="BC117" s="153" t="str">
        <f t="shared" si="257"/>
        <v/>
      </c>
      <c r="BD117" s="153" t="str">
        <f t="shared" si="258"/>
        <v/>
      </c>
      <c r="BE117" s="153" t="str">
        <f t="shared" si="259"/>
        <v/>
      </c>
      <c r="BF117" s="152" t="str">
        <f t="shared" si="260"/>
        <v/>
      </c>
      <c r="BG117" s="153" t="str">
        <f t="shared" si="261"/>
        <v/>
      </c>
      <c r="BH117" s="152" t="str">
        <f t="shared" si="262"/>
        <v/>
      </c>
      <c r="BI117" s="580" t="str">
        <f>IF('Marks Entry'!AC117="","",'Marks Entry'!AC117)</f>
        <v/>
      </c>
      <c r="BJ117" s="580" t="str">
        <f>IF('Marks Entry'!AD117="","",'Marks Entry'!AD117)</f>
        <v/>
      </c>
      <c r="BK117" s="580" t="str">
        <f>IF('Marks Entry'!AE117="","",'Marks Entry'!AE117)</f>
        <v/>
      </c>
      <c r="BL117" s="580" t="str">
        <f>IF('Marks Entry'!AF117="","",'Marks Entry'!AF117)</f>
        <v/>
      </c>
      <c r="BM117" s="581" t="str">
        <f t="shared" si="263"/>
        <v/>
      </c>
      <c r="BN117" s="580" t="str">
        <f>IF('Marks Entry'!AG117="","",'Marks Entry'!AG117)</f>
        <v/>
      </c>
      <c r="BO117" s="580" t="str">
        <f>IF('Marks Entry'!AH117="","",'Marks Entry'!AH117)</f>
        <v/>
      </c>
      <c r="BP117" s="581" t="str">
        <f t="shared" si="264"/>
        <v/>
      </c>
      <c r="BQ117" s="581" t="str">
        <f t="shared" si="265"/>
        <v/>
      </c>
      <c r="BR117" s="580" t="str">
        <f>IF('Marks Entry'!AI117="","",'Marks Entry'!AI117)</f>
        <v/>
      </c>
      <c r="BS117" s="580" t="str">
        <f>IF('Marks Entry'!AJ117="","",'Marks Entry'!AJ117)</f>
        <v/>
      </c>
      <c r="BT117" s="581" t="str">
        <f t="shared" si="266"/>
        <v/>
      </c>
      <c r="BU117" s="156" t="str">
        <f t="shared" si="267"/>
        <v/>
      </c>
      <c r="BV117" s="156" t="str">
        <f t="shared" si="268"/>
        <v/>
      </c>
      <c r="BW117" s="191" t="str">
        <f t="shared" si="269"/>
        <v/>
      </c>
      <c r="BX117" s="152">
        <f t="shared" si="270"/>
        <v>0</v>
      </c>
      <c r="BY117" s="153">
        <f t="shared" si="271"/>
        <v>0</v>
      </c>
      <c r="BZ117" s="153" t="str">
        <f t="shared" si="272"/>
        <v/>
      </c>
      <c r="CA117" s="153" t="str">
        <f t="shared" si="273"/>
        <v/>
      </c>
      <c r="CB117" s="153" t="str">
        <f t="shared" si="274"/>
        <v/>
      </c>
      <c r="CC117" s="152" t="str">
        <f t="shared" si="275"/>
        <v/>
      </c>
      <c r="CD117" s="153" t="str">
        <f t="shared" si="276"/>
        <v/>
      </c>
      <c r="CE117" s="152" t="str">
        <f t="shared" si="277"/>
        <v/>
      </c>
      <c r="CF117" s="580" t="str">
        <f>IF('Marks Entry'!AK117="","",'Marks Entry'!AK117)</f>
        <v/>
      </c>
      <c r="CG117" s="580" t="str">
        <f>IF('Marks Entry'!AL117="","",'Marks Entry'!AL117)</f>
        <v/>
      </c>
      <c r="CH117" s="580" t="str">
        <f>IF('Marks Entry'!AM117="","",'Marks Entry'!AM117)</f>
        <v/>
      </c>
      <c r="CI117" s="580" t="str">
        <f>IF('Marks Entry'!AN117="","",'Marks Entry'!AN117)</f>
        <v/>
      </c>
      <c r="CJ117" s="581" t="str">
        <f t="shared" si="278"/>
        <v/>
      </c>
      <c r="CK117" s="580" t="str">
        <f>IF('Marks Entry'!AO117="","",'Marks Entry'!AO117)</f>
        <v/>
      </c>
      <c r="CL117" s="580" t="str">
        <f>IF('Marks Entry'!AP117="","",'Marks Entry'!AP117)</f>
        <v/>
      </c>
      <c r="CM117" s="581" t="str">
        <f t="shared" si="279"/>
        <v/>
      </c>
      <c r="CN117" s="581" t="str">
        <f t="shared" si="280"/>
        <v/>
      </c>
      <c r="CO117" s="580" t="str">
        <f>IF('Marks Entry'!AQ117="","",'Marks Entry'!AQ117)</f>
        <v/>
      </c>
      <c r="CP117" s="580" t="str">
        <f>IF('Marks Entry'!AR117="","",'Marks Entry'!AR117)</f>
        <v/>
      </c>
      <c r="CQ117" s="581" t="str">
        <f t="shared" si="281"/>
        <v/>
      </c>
      <c r="CR117" s="156" t="str">
        <f t="shared" si="282"/>
        <v/>
      </c>
      <c r="CS117" s="156" t="str">
        <f t="shared" si="283"/>
        <v/>
      </c>
      <c r="CT117" s="191" t="str">
        <f t="shared" si="284"/>
        <v/>
      </c>
      <c r="CU117" s="152">
        <f t="shared" si="285"/>
        <v>0</v>
      </c>
      <c r="CV117" s="153">
        <f t="shared" si="286"/>
        <v>0</v>
      </c>
      <c r="CW117" s="153" t="str">
        <f t="shared" si="287"/>
        <v/>
      </c>
      <c r="CX117" s="153" t="str">
        <f t="shared" si="288"/>
        <v/>
      </c>
      <c r="CY117" s="153" t="str">
        <f t="shared" si="289"/>
        <v/>
      </c>
      <c r="CZ117" s="152" t="str">
        <f t="shared" si="290"/>
        <v/>
      </c>
      <c r="DA117" s="153" t="str">
        <f t="shared" si="291"/>
        <v/>
      </c>
      <c r="DB117" s="152" t="str">
        <f t="shared" si="292"/>
        <v/>
      </c>
      <c r="DC117" s="153">
        <f t="shared" si="293"/>
        <v>0</v>
      </c>
      <c r="DD117" s="851" t="str">
        <f>IF('Marks Entry'!AS117="","",IF(OR('Master Sheet'!$D$19="YES",'Marks Entry'!$BA$1=1),'Marks Entry'!AS117,""))</f>
        <v/>
      </c>
      <c r="DE117" s="851" t="str">
        <f>IF('Marks Entry'!AT117="","",IF(OR('Master Sheet'!$D$19="YES",'Marks Entry'!$BA$1=1),'Marks Entry'!AT117,""))</f>
        <v/>
      </c>
      <c r="DF117" s="851" t="str">
        <f>IF('Marks Entry'!AU117="","",IF(OR('Master Sheet'!$D$19="YES",'Marks Entry'!$BA$1=1),'Marks Entry'!AU117,""))</f>
        <v/>
      </c>
      <c r="DG117" s="851" t="str">
        <f>IF('Marks Entry'!AV117="","",IF(OR('Master Sheet'!$D$19="YES",'Marks Entry'!$BA$1=1),'Marks Entry'!AV117,""))</f>
        <v/>
      </c>
      <c r="DH117" s="852" t="str">
        <f t="shared" si="294"/>
        <v/>
      </c>
      <c r="DI117" s="851" t="str">
        <f>IF('Marks Entry'!AW117="","",IF(OR('Master Sheet'!$D$19="YES",'Marks Entry'!$BA$1=1),'Marks Entry'!AW117,""))</f>
        <v/>
      </c>
      <c r="DJ117" s="851" t="str">
        <f>IF('Marks Entry'!AX117="","",IF(OR('Master Sheet'!$D$19="YES",'Marks Entry'!$BA$1=1),'Marks Entry'!AX117,""))</f>
        <v/>
      </c>
      <c r="DK117" s="852" t="str">
        <f t="shared" si="295"/>
        <v/>
      </c>
      <c r="DL117" s="852" t="str">
        <f t="shared" si="296"/>
        <v/>
      </c>
      <c r="DM117" s="851" t="str">
        <f>IF('Marks Entry'!AY117="","",IF(OR('Master Sheet'!$D$19="YES",'Marks Entry'!$BA$1=1),'Marks Entry'!AY117,""))</f>
        <v/>
      </c>
      <c r="DN117" s="851" t="str">
        <f>IF('Marks Entry'!AZ117="","",IF(OR('Master Sheet'!$D$19="YES",'Marks Entry'!$BA$1=1),'Marks Entry'!AZ117,""))</f>
        <v/>
      </c>
      <c r="DO117" s="851" t="str">
        <f>IF('Marks Entry'!BA117="","",IF(OR('Master Sheet'!$D$19="YES",'Marks Entry'!$BA$1=1),'Marks Entry'!BA117,""))</f>
        <v/>
      </c>
      <c r="DP117" s="852" t="str">
        <f t="shared" si="297"/>
        <v/>
      </c>
      <c r="DQ117" s="156" t="str">
        <f t="shared" si="298"/>
        <v/>
      </c>
      <c r="DR117" s="156" t="str">
        <f t="shared" si="299"/>
        <v/>
      </c>
      <c r="DS117" s="156" t="str">
        <f t="shared" si="300"/>
        <v/>
      </c>
      <c r="DT117" s="191" t="str">
        <f t="shared" si="301"/>
        <v/>
      </c>
      <c r="DU117" s="152">
        <f t="shared" si="302"/>
        <v>0</v>
      </c>
      <c r="DV117" s="153">
        <f t="shared" si="303"/>
        <v>0</v>
      </c>
      <c r="DW117" s="153" t="str">
        <f t="shared" si="304"/>
        <v/>
      </c>
      <c r="DX117" s="153" t="str">
        <f>IF(OR($B117="NSO",$B117=0,DS117=""),"",IF(AND(DJ117="",DO117=""),"",IF('Master Sheet'!$D$19="YES",$DO$6-COUNTIF(DO117,"ML")*DO$6,DS$6-(COUNTIF(DJ117,"ML")*DJ$6)-(COUNTIF(DO117,"ML")*DO$6))))</f>
        <v/>
      </c>
      <c r="DY117" s="153" t="str">
        <f>IF(OR($B117="NSO",$B117=0),"",IF(AND(DH117="",DI117="",DM117=""),"",IF(AND('Master Sheet'!$D$19="YES",'Marks Entry'!$BA$1=1),100,IF(AND(DJ117="",DO117=""),SUM(($DQ$7+$DR$7)-(DU117+DV117)),SUM(($DQ$6+$DR$6)-(DU117+DV117))))))</f>
        <v/>
      </c>
      <c r="DZ117" s="152" t="str">
        <f t="shared" si="305"/>
        <v/>
      </c>
      <c r="EA117" s="153" t="str">
        <f t="shared" si="306"/>
        <v/>
      </c>
      <c r="EB117" s="152" t="str">
        <f t="shared" si="307"/>
        <v/>
      </c>
      <c r="EC117" s="584" t="str">
        <f>IF('Marks Entry'!BB117="","",'Marks Entry'!BB117)</f>
        <v/>
      </c>
      <c r="ED117" s="584" t="str">
        <f>IF('Marks Entry'!BC117="","",'Marks Entry'!BC117)</f>
        <v/>
      </c>
      <c r="EE117" s="584" t="str">
        <f>IF('Marks Entry'!BD117="","",'Marks Entry'!BD117)</f>
        <v/>
      </c>
      <c r="EF117" s="590" t="str">
        <f t="shared" si="308"/>
        <v/>
      </c>
      <c r="EG117" s="595">
        <f t="shared" si="309"/>
        <v>0</v>
      </c>
      <c r="EH117" s="595">
        <f t="shared" si="310"/>
        <v>0</v>
      </c>
      <c r="EI117" s="192" t="str">
        <f t="shared" si="311"/>
        <v/>
      </c>
      <c r="EJ117" s="595" t="str">
        <f t="shared" si="312"/>
        <v/>
      </c>
      <c r="EK117" s="595" t="str">
        <f t="shared" si="313"/>
        <v/>
      </c>
      <c r="EL117" s="193" t="str">
        <f t="shared" si="314"/>
        <v/>
      </c>
      <c r="EM117" s="193" t="str">
        <f t="shared" si="315"/>
        <v/>
      </c>
      <c r="EN117" s="193" t="str">
        <f t="shared" si="316"/>
        <v/>
      </c>
      <c r="EO117" s="193" t="str">
        <f t="shared" si="317"/>
        <v/>
      </c>
      <c r="EP117" s="193" t="str">
        <f t="shared" si="318"/>
        <v/>
      </c>
      <c r="EQ117" s="193" t="str">
        <f t="shared" si="319"/>
        <v/>
      </c>
      <c r="ER117" s="194">
        <f t="shared" si="320"/>
        <v>0</v>
      </c>
      <c r="ES117" s="194">
        <f t="shared" si="321"/>
        <v>0</v>
      </c>
      <c r="ET117" s="194">
        <f t="shared" si="322"/>
        <v>0</v>
      </c>
      <c r="EU117" s="194">
        <f t="shared" si="323"/>
        <v>0</v>
      </c>
      <c r="EV117" s="194">
        <f t="shared" si="324"/>
        <v>0</v>
      </c>
      <c r="EW117" s="194" t="str">
        <f t="shared" si="325"/>
        <v/>
      </c>
      <c r="EX117" s="195" t="str">
        <f t="shared" si="326"/>
        <v/>
      </c>
      <c r="EY117" s="196" t="str">
        <f>IF('Marks Entry'!BE117="","",'Marks Entry'!BE117)</f>
        <v/>
      </c>
      <c r="EZ117" s="196" t="str">
        <f>IF('Marks Entry'!BF117="","",'Marks Entry'!BF117)</f>
        <v/>
      </c>
      <c r="FA117" s="196" t="str">
        <f>IF('Marks Entry'!BG117="","",'Marks Entry'!BG117)</f>
        <v/>
      </c>
      <c r="FB117" s="596" t="str">
        <f t="shared" si="327"/>
        <v/>
      </c>
      <c r="FC117" s="196" t="str">
        <f>IF('Marks Entry'!BH117="","",'Marks Entry'!BH117)</f>
        <v/>
      </c>
      <c r="FD117" s="196" t="str">
        <f>IF('Marks Entry'!BI117="","",'Marks Entry'!BI117)</f>
        <v/>
      </c>
      <c r="FE117" s="197" t="str">
        <f t="shared" si="328"/>
        <v/>
      </c>
      <c r="FF117" s="198" t="str">
        <f t="shared" si="329"/>
        <v/>
      </c>
      <c r="FG117" s="199" t="str">
        <f>IF(AND(E117=""),"",IF('Student DATA Entry'!L113="","",'Student DATA Entry'!L113))</f>
        <v/>
      </c>
      <c r="FH117" s="200" t="str">
        <f>IF(AND(E117=""),"",IF('Student DATA Entry'!M113="","",'Student DATA Entry'!M113))</f>
        <v/>
      </c>
      <c r="FI117" s="201" t="str">
        <f t="shared" si="330"/>
        <v/>
      </c>
      <c r="FJ117" s="188" t="str">
        <f t="shared" si="331"/>
        <v/>
      </c>
      <c r="FK117" s="188" t="str">
        <f t="shared" si="332"/>
        <v/>
      </c>
      <c r="FL117" s="202" t="str">
        <f t="shared" si="360"/>
        <v/>
      </c>
      <c r="FM117" s="188" t="str">
        <f t="shared" si="333"/>
        <v/>
      </c>
      <c r="FN117" s="203" t="str">
        <f t="shared" si="334"/>
        <v/>
      </c>
      <c r="FO117" s="202" t="str">
        <f t="shared" si="361"/>
        <v/>
      </c>
      <c r="FP117" s="204" t="str">
        <f t="shared" si="335"/>
        <v/>
      </c>
      <c r="FQ117" s="188" t="str">
        <f t="shared" si="362"/>
        <v/>
      </c>
      <c r="FR117" s="188" t="str">
        <f t="shared" si="363"/>
        <v/>
      </c>
      <c r="FS117" s="188" t="str">
        <f t="shared" si="364"/>
        <v/>
      </c>
      <c r="FT117" s="188" t="str">
        <f t="shared" si="365"/>
        <v/>
      </c>
      <c r="FU117" s="188" t="str">
        <f t="shared" si="336"/>
        <v/>
      </c>
      <c r="FV117" s="205" t="str">
        <f t="shared" si="366"/>
        <v/>
      </c>
      <c r="FW117" s="204" t="str">
        <f t="shared" si="337"/>
        <v/>
      </c>
      <c r="FX117" s="188" t="str">
        <f t="shared" si="367"/>
        <v/>
      </c>
      <c r="FY117" s="188" t="str">
        <f t="shared" si="368"/>
        <v/>
      </c>
      <c r="FZ117" s="188" t="str">
        <f t="shared" si="369"/>
        <v/>
      </c>
      <c r="GA117" s="188" t="str">
        <f t="shared" si="370"/>
        <v/>
      </c>
      <c r="GB117" s="188" t="str">
        <f t="shared" si="338"/>
        <v/>
      </c>
      <c r="GC117" s="205" t="str">
        <f t="shared" si="371"/>
        <v/>
      </c>
      <c r="GD117" s="204" t="str">
        <f t="shared" si="339"/>
        <v/>
      </c>
      <c r="GE117" s="188" t="str">
        <f t="shared" si="372"/>
        <v/>
      </c>
      <c r="GF117" s="188" t="str">
        <f t="shared" si="373"/>
        <v/>
      </c>
      <c r="GG117" s="188" t="str">
        <f t="shared" si="374"/>
        <v/>
      </c>
      <c r="GH117" s="188" t="str">
        <f t="shared" si="375"/>
        <v/>
      </c>
      <c r="GI117" s="188" t="str">
        <f t="shared" si="340"/>
        <v/>
      </c>
      <c r="GJ117" s="205" t="str">
        <f t="shared" si="376"/>
        <v/>
      </c>
      <c r="GK117" s="204" t="str">
        <f t="shared" si="341"/>
        <v/>
      </c>
      <c r="GL117" s="188" t="str">
        <f t="shared" si="377"/>
        <v/>
      </c>
      <c r="GM117" s="188" t="str">
        <f t="shared" si="378"/>
        <v/>
      </c>
      <c r="GN117" s="188" t="str">
        <f t="shared" si="379"/>
        <v/>
      </c>
      <c r="GO117" s="188" t="str">
        <f t="shared" si="380"/>
        <v/>
      </c>
      <c r="GP117" s="188" t="str">
        <f t="shared" si="342"/>
        <v/>
      </c>
      <c r="GQ117" s="205" t="str">
        <f t="shared" si="381"/>
        <v/>
      </c>
      <c r="GR117" s="188" t="str">
        <f t="shared" si="343"/>
        <v/>
      </c>
      <c r="GS117" s="188" t="str">
        <f t="shared" si="344"/>
        <v/>
      </c>
      <c r="GT117" s="206" t="str">
        <f t="shared" si="345"/>
        <v xml:space="preserve">    </v>
      </c>
      <c r="GU117" s="206" t="str">
        <f t="shared" si="346"/>
        <v xml:space="preserve">    </v>
      </c>
      <c r="GV117" s="206" t="str">
        <f t="shared" si="347"/>
        <v xml:space="preserve">    </v>
      </c>
      <c r="GW117" s="206" t="str">
        <f t="shared" si="348"/>
        <v xml:space="preserve">       </v>
      </c>
      <c r="GX117" s="598" t="str">
        <f t="shared" si="349"/>
        <v xml:space="preserve">     </v>
      </c>
      <c r="GY117" s="207" t="str">
        <f t="shared" si="382"/>
        <v/>
      </c>
      <c r="GZ117" s="606" t="str">
        <f>IF(AND(Q117="",AE117="",AZ117="",BW117="",CT117=""),"",IF(AND('Master Sheet'!$D$19="YES",'Marks Entry'!$BA$1=1),SUM(Q117,AE117,AZ117,BW117,DT117),SUM(Q117,AE117,AZ117,BW117,CT117)))</f>
        <v/>
      </c>
      <c r="HA117" s="208" t="str">
        <f>IF(GZ117="","",IF(AND('Master Sheet'!$D$19="YES",'Marks Entry'!$BA$1=1),GZ117/((900)-DC117)*100,GZ117/((1000)-DC117)*100))</f>
        <v/>
      </c>
      <c r="HB117" s="611" t="str">
        <f t="shared" si="350"/>
        <v/>
      </c>
      <c r="HC117" s="609" t="str">
        <f t="shared" si="351"/>
        <v/>
      </c>
      <c r="HD117" s="610" t="str">
        <f t="shared" si="352"/>
        <v/>
      </c>
      <c r="HE117" s="209" t="str">
        <f>IFERROR(IF(OR(GY117="SUPPLEMENTARY",GY117="RE-EXAM"),'Supp. Result Entry'!AS116,""),"")</f>
        <v/>
      </c>
      <c r="HF117" s="613" t="str">
        <f t="shared" si="353"/>
        <v/>
      </c>
      <c r="HG117" s="598" t="str">
        <f t="shared" si="354"/>
        <v/>
      </c>
      <c r="HH117" s="598" t="str">
        <f>IF(AND(HE117="",HF117="",HG117=""),"",IF(OR(GY117="SUPPLEMENTARY",GY117="RE-EXAM"),'Supp. Result Entry'!AS116,GY117))</f>
        <v/>
      </c>
      <c r="HI117" s="179"/>
      <c r="HY117" s="211" t="str">
        <f>IF('Supp. Result Entry'!U116="","",'Supp. Result Entry'!$U$6)</f>
        <v/>
      </c>
      <c r="HZ117" s="212" t="str">
        <f>IF('Supp. Result Entry'!X116="","",'Supp. Result Entry'!$X$6)</f>
        <v/>
      </c>
      <c r="IA117" s="212" t="str">
        <f>IF('Supp. Result Entry'!AA116="","",'Supp. Result Entry'!$AA$6)</f>
        <v/>
      </c>
      <c r="IB117" s="212" t="str">
        <f>IF('Supp. Result Entry'!AD116="","",'Supp. Result Entry'!$AD$6)</f>
        <v/>
      </c>
      <c r="IC117" s="212" t="str">
        <f>IF('Supp. Result Entry'!AG116="","",'Supp. Result Entry'!$AG$6)</f>
        <v/>
      </c>
      <c r="ID117" s="212" t="str">
        <f>IF('Supp. Result Entry'!AJ116="","",'Supp. Result Entry'!$AJ$6)</f>
        <v/>
      </c>
      <c r="IE117" s="212" t="str">
        <f>IF('Supp. Result Entry'!V116="","",'Supp. Result Entry'!V116)</f>
        <v/>
      </c>
      <c r="IF117" s="212" t="str">
        <f>IF('Supp. Result Entry'!Y116="","",'Supp. Result Entry'!Y116)</f>
        <v/>
      </c>
      <c r="IG117" s="212" t="str">
        <f>IF('Supp. Result Entry'!AB116="","",'Supp. Result Entry'!AB116)</f>
        <v/>
      </c>
      <c r="IH117" s="212" t="str">
        <f>IF('Supp. Result Entry'!AE116="","",'Supp. Result Entry'!AE116)</f>
        <v/>
      </c>
      <c r="II117" s="212" t="str">
        <f>IF('Supp. Result Entry'!AH116="","",'Supp. Result Entry'!AH116)</f>
        <v/>
      </c>
      <c r="IJ117" s="212" t="str">
        <f>IF('Supp. Result Entry'!AK116="","",'Supp. Result Entry'!AK116)</f>
        <v/>
      </c>
      <c r="IK117" s="212" t="str">
        <f>IF('Supp. Result Entry'!W116="","",'Supp. Result Entry'!W116)</f>
        <v/>
      </c>
      <c r="IL117" s="212" t="str">
        <f>IF('Supp. Result Entry'!Z116="","",'Supp. Result Entry'!Z116)</f>
        <v/>
      </c>
      <c r="IM117" s="212" t="str">
        <f>IF('Supp. Result Entry'!AC116="","",'Supp. Result Entry'!AC116)</f>
        <v/>
      </c>
      <c r="IN117" s="212" t="str">
        <f>IF('Supp. Result Entry'!AF116="","",'Supp. Result Entry'!AF116)</f>
        <v/>
      </c>
      <c r="IO117" s="212" t="str">
        <f>IF('Supp. Result Entry'!AI116="","",'Supp. Result Entry'!AI116)</f>
        <v/>
      </c>
      <c r="IP117" s="212" t="str">
        <f>IF('Supp. Result Entry'!AL116="","",'Supp. Result Entry'!AL116)</f>
        <v/>
      </c>
      <c r="IQ117" s="212">
        <f>COUNTIF('Supp. Result Entry'!K116:Q116,"S")</f>
        <v>0</v>
      </c>
      <c r="IR117" s="212">
        <f t="shared" si="355"/>
        <v>0</v>
      </c>
      <c r="IS117" s="212">
        <f t="shared" si="356"/>
        <v>0</v>
      </c>
      <c r="IT117" s="212" t="str">
        <f t="shared" si="224"/>
        <v/>
      </c>
      <c r="IU117" s="212" t="str">
        <f t="shared" si="225"/>
        <v/>
      </c>
      <c r="IV117" s="212" t="str">
        <f t="shared" si="226"/>
        <v/>
      </c>
      <c r="IW117" s="212" t="str">
        <f t="shared" si="227"/>
        <v/>
      </c>
      <c r="IX117" s="212" t="str">
        <f t="shared" si="228"/>
        <v/>
      </c>
      <c r="IY117" s="212" t="str">
        <f t="shared" si="357"/>
        <v/>
      </c>
      <c r="IZ117" s="212" t="str">
        <f t="shared" si="358"/>
        <v/>
      </c>
      <c r="JA117" s="212" t="str">
        <f t="shared" si="229"/>
        <v/>
      </c>
      <c r="JB117" s="210" t="str">
        <f t="shared" si="359"/>
        <v/>
      </c>
    </row>
    <row r="118" spans="1:262" s="210" customFormat="1" ht="21" customHeight="1">
      <c r="A118" s="183">
        <v>111</v>
      </c>
      <c r="B118" s="184" t="str">
        <f>IF('Marks Entry'!B118="","",'Marks Entry'!B118)</f>
        <v/>
      </c>
      <c r="C118" s="185" t="str">
        <f>IF('Marks Entry'!D118="","",'Marks Entry'!D118)</f>
        <v/>
      </c>
      <c r="D118" s="186" t="str">
        <f>IF('Marks Entry'!E118="","",'Marks Entry'!E118)</f>
        <v/>
      </c>
      <c r="E118" s="187" t="str">
        <f>IF('Marks Entry'!F118="","",'Marks Entry'!F118)</f>
        <v/>
      </c>
      <c r="F118" s="187" t="str">
        <f>IF('Marks Entry'!G118="","",'Marks Entry'!G118)</f>
        <v/>
      </c>
      <c r="G118" s="187" t="str">
        <f>IF('Marks Entry'!H118="","",'Marks Entry'!H118)</f>
        <v/>
      </c>
      <c r="H118" s="188" t="str">
        <f>IF('Marks Entry'!I118="","",'Marks Entry'!I118)</f>
        <v/>
      </c>
      <c r="I118" s="189" t="str">
        <f>IF('Marks Entry'!J118="","",'Marks Entry'!J118)</f>
        <v/>
      </c>
      <c r="J118" s="545" t="str">
        <f>IF('Marks Entry'!K118="","",'Marks Entry'!K118)</f>
        <v/>
      </c>
      <c r="K118" s="545" t="str">
        <f>IF('Marks Entry'!L118="","",'Marks Entry'!L118)</f>
        <v/>
      </c>
      <c r="L118" s="545" t="str">
        <f>IF('Marks Entry'!M118="","",'Marks Entry'!M118)</f>
        <v/>
      </c>
      <c r="M118" s="546" t="str">
        <f t="shared" si="230"/>
        <v/>
      </c>
      <c r="N118" s="545" t="str">
        <f>IF('Marks Entry'!N118="","",'Marks Entry'!N118)</f>
        <v/>
      </c>
      <c r="O118" s="546" t="str">
        <f t="shared" si="231"/>
        <v/>
      </c>
      <c r="P118" s="545" t="str">
        <f>IF('Marks Entry'!O118="","",'Marks Entry'!O118)</f>
        <v/>
      </c>
      <c r="Q118" s="547" t="str">
        <f t="shared" si="232"/>
        <v/>
      </c>
      <c r="R118" s="152">
        <f t="shared" si="233"/>
        <v>0</v>
      </c>
      <c r="S118" s="152">
        <f t="shared" si="234"/>
        <v>0</v>
      </c>
      <c r="T118" s="153" t="str">
        <f t="shared" si="235"/>
        <v/>
      </c>
      <c r="U118" s="152" t="str">
        <f t="shared" si="236"/>
        <v/>
      </c>
      <c r="V118" s="152" t="str">
        <f t="shared" si="237"/>
        <v/>
      </c>
      <c r="W118" s="152" t="str">
        <f t="shared" si="238"/>
        <v/>
      </c>
      <c r="X118" s="545" t="str">
        <f>IF('Marks Entry'!P118="","",'Marks Entry'!P118)</f>
        <v/>
      </c>
      <c r="Y118" s="545" t="str">
        <f>IF('Marks Entry'!Q118="","",'Marks Entry'!Q118)</f>
        <v/>
      </c>
      <c r="Z118" s="545" t="str">
        <f>IF('Marks Entry'!R118="","",'Marks Entry'!R118)</f>
        <v/>
      </c>
      <c r="AA118" s="546" t="str">
        <f t="shared" si="239"/>
        <v/>
      </c>
      <c r="AB118" s="545" t="str">
        <f>IF('Marks Entry'!S118="","",'Marks Entry'!S118)</f>
        <v/>
      </c>
      <c r="AC118" s="546" t="str">
        <f t="shared" si="240"/>
        <v/>
      </c>
      <c r="AD118" s="545" t="str">
        <f>IF('Marks Entry'!T118="","",'Marks Entry'!T118)</f>
        <v/>
      </c>
      <c r="AE118" s="547" t="str">
        <f t="shared" si="241"/>
        <v/>
      </c>
      <c r="AF118" s="152">
        <f t="shared" si="242"/>
        <v>0</v>
      </c>
      <c r="AG118" s="152">
        <f t="shared" si="243"/>
        <v>0</v>
      </c>
      <c r="AH118" s="153" t="str">
        <f t="shared" si="244"/>
        <v/>
      </c>
      <c r="AI118" s="152" t="str">
        <f t="shared" si="245"/>
        <v/>
      </c>
      <c r="AJ118" s="152" t="str">
        <f t="shared" si="246"/>
        <v/>
      </c>
      <c r="AK118" s="152" t="str">
        <f t="shared" si="247"/>
        <v/>
      </c>
      <c r="AL118" s="573" t="str">
        <f>IF('Marks Entry'!U118="","",'Marks Entry'!U118)</f>
        <v/>
      </c>
      <c r="AM118" s="573" t="str">
        <f>IF('Marks Entry'!V118="","",'Marks Entry'!V118)</f>
        <v/>
      </c>
      <c r="AN118" s="573" t="str">
        <f>IF('Marks Entry'!W118="","",'Marks Entry'!W118)</f>
        <v/>
      </c>
      <c r="AO118" s="573" t="str">
        <f>IF('Marks Entry'!X118="","",'Marks Entry'!X118)</f>
        <v/>
      </c>
      <c r="AP118" s="572" t="str">
        <f t="shared" si="248"/>
        <v/>
      </c>
      <c r="AQ118" s="573" t="str">
        <f>IF('Marks Entry'!Y118="","",'Marks Entry'!Y118)</f>
        <v/>
      </c>
      <c r="AR118" s="573" t="str">
        <f>IF('Marks Entry'!Z118="","",'Marks Entry'!Z118)</f>
        <v/>
      </c>
      <c r="AS118" s="572" t="str">
        <f t="shared" si="249"/>
        <v/>
      </c>
      <c r="AT118" s="572" t="str">
        <f t="shared" si="250"/>
        <v/>
      </c>
      <c r="AU118" s="573" t="str">
        <f>IF('Marks Entry'!AA118="","",'Marks Entry'!AA118)</f>
        <v/>
      </c>
      <c r="AV118" s="573" t="str">
        <f>IF('Marks Entry'!AB118="","",'Marks Entry'!AB118)</f>
        <v/>
      </c>
      <c r="AW118" s="572" t="str">
        <f t="shared" si="251"/>
        <v/>
      </c>
      <c r="AX118" s="156" t="str">
        <f t="shared" si="252"/>
        <v/>
      </c>
      <c r="AY118" s="156" t="str">
        <f t="shared" si="253"/>
        <v/>
      </c>
      <c r="AZ118" s="191" t="str">
        <f t="shared" si="254"/>
        <v/>
      </c>
      <c r="BA118" s="152">
        <f t="shared" si="255"/>
        <v>0</v>
      </c>
      <c r="BB118" s="153">
        <f t="shared" si="256"/>
        <v>0</v>
      </c>
      <c r="BC118" s="153" t="str">
        <f t="shared" si="257"/>
        <v/>
      </c>
      <c r="BD118" s="153" t="str">
        <f t="shared" si="258"/>
        <v/>
      </c>
      <c r="BE118" s="153" t="str">
        <f t="shared" si="259"/>
        <v/>
      </c>
      <c r="BF118" s="152" t="str">
        <f t="shared" si="260"/>
        <v/>
      </c>
      <c r="BG118" s="153" t="str">
        <f t="shared" si="261"/>
        <v/>
      </c>
      <c r="BH118" s="152" t="str">
        <f t="shared" si="262"/>
        <v/>
      </c>
      <c r="BI118" s="580" t="str">
        <f>IF('Marks Entry'!AC118="","",'Marks Entry'!AC118)</f>
        <v/>
      </c>
      <c r="BJ118" s="580" t="str">
        <f>IF('Marks Entry'!AD118="","",'Marks Entry'!AD118)</f>
        <v/>
      </c>
      <c r="BK118" s="580" t="str">
        <f>IF('Marks Entry'!AE118="","",'Marks Entry'!AE118)</f>
        <v/>
      </c>
      <c r="BL118" s="580" t="str">
        <f>IF('Marks Entry'!AF118="","",'Marks Entry'!AF118)</f>
        <v/>
      </c>
      <c r="BM118" s="581" t="str">
        <f t="shared" si="263"/>
        <v/>
      </c>
      <c r="BN118" s="580" t="str">
        <f>IF('Marks Entry'!AG118="","",'Marks Entry'!AG118)</f>
        <v/>
      </c>
      <c r="BO118" s="580" t="str">
        <f>IF('Marks Entry'!AH118="","",'Marks Entry'!AH118)</f>
        <v/>
      </c>
      <c r="BP118" s="581" t="str">
        <f t="shared" si="264"/>
        <v/>
      </c>
      <c r="BQ118" s="581" t="str">
        <f t="shared" si="265"/>
        <v/>
      </c>
      <c r="BR118" s="580" t="str">
        <f>IF('Marks Entry'!AI118="","",'Marks Entry'!AI118)</f>
        <v/>
      </c>
      <c r="BS118" s="580" t="str">
        <f>IF('Marks Entry'!AJ118="","",'Marks Entry'!AJ118)</f>
        <v/>
      </c>
      <c r="BT118" s="581" t="str">
        <f t="shared" si="266"/>
        <v/>
      </c>
      <c r="BU118" s="156" t="str">
        <f t="shared" si="267"/>
        <v/>
      </c>
      <c r="BV118" s="156" t="str">
        <f t="shared" si="268"/>
        <v/>
      </c>
      <c r="BW118" s="191" t="str">
        <f t="shared" si="269"/>
        <v/>
      </c>
      <c r="BX118" s="152">
        <f t="shared" si="270"/>
        <v>0</v>
      </c>
      <c r="BY118" s="153">
        <f t="shared" si="271"/>
        <v>0</v>
      </c>
      <c r="BZ118" s="153" t="str">
        <f t="shared" si="272"/>
        <v/>
      </c>
      <c r="CA118" s="153" t="str">
        <f t="shared" si="273"/>
        <v/>
      </c>
      <c r="CB118" s="153" t="str">
        <f t="shared" si="274"/>
        <v/>
      </c>
      <c r="CC118" s="152" t="str">
        <f t="shared" si="275"/>
        <v/>
      </c>
      <c r="CD118" s="153" t="str">
        <f t="shared" si="276"/>
        <v/>
      </c>
      <c r="CE118" s="152" t="str">
        <f t="shared" si="277"/>
        <v/>
      </c>
      <c r="CF118" s="580" t="str">
        <f>IF('Marks Entry'!AK118="","",'Marks Entry'!AK118)</f>
        <v/>
      </c>
      <c r="CG118" s="580" t="str">
        <f>IF('Marks Entry'!AL118="","",'Marks Entry'!AL118)</f>
        <v/>
      </c>
      <c r="CH118" s="580" t="str">
        <f>IF('Marks Entry'!AM118="","",'Marks Entry'!AM118)</f>
        <v/>
      </c>
      <c r="CI118" s="580" t="str">
        <f>IF('Marks Entry'!AN118="","",'Marks Entry'!AN118)</f>
        <v/>
      </c>
      <c r="CJ118" s="581" t="str">
        <f t="shared" si="278"/>
        <v/>
      </c>
      <c r="CK118" s="580" t="str">
        <f>IF('Marks Entry'!AO118="","",'Marks Entry'!AO118)</f>
        <v/>
      </c>
      <c r="CL118" s="580" t="str">
        <f>IF('Marks Entry'!AP118="","",'Marks Entry'!AP118)</f>
        <v/>
      </c>
      <c r="CM118" s="581" t="str">
        <f t="shared" si="279"/>
        <v/>
      </c>
      <c r="CN118" s="581" t="str">
        <f t="shared" si="280"/>
        <v/>
      </c>
      <c r="CO118" s="580" t="str">
        <f>IF('Marks Entry'!AQ118="","",'Marks Entry'!AQ118)</f>
        <v/>
      </c>
      <c r="CP118" s="580" t="str">
        <f>IF('Marks Entry'!AR118="","",'Marks Entry'!AR118)</f>
        <v/>
      </c>
      <c r="CQ118" s="581" t="str">
        <f t="shared" si="281"/>
        <v/>
      </c>
      <c r="CR118" s="156" t="str">
        <f t="shared" si="282"/>
        <v/>
      </c>
      <c r="CS118" s="156" t="str">
        <f t="shared" si="283"/>
        <v/>
      </c>
      <c r="CT118" s="191" t="str">
        <f t="shared" si="284"/>
        <v/>
      </c>
      <c r="CU118" s="152">
        <f t="shared" si="285"/>
        <v>0</v>
      </c>
      <c r="CV118" s="153">
        <f t="shared" si="286"/>
        <v>0</v>
      </c>
      <c r="CW118" s="153" t="str">
        <f t="shared" si="287"/>
        <v/>
      </c>
      <c r="CX118" s="153" t="str">
        <f t="shared" si="288"/>
        <v/>
      </c>
      <c r="CY118" s="153" t="str">
        <f t="shared" si="289"/>
        <v/>
      </c>
      <c r="CZ118" s="152" t="str">
        <f t="shared" si="290"/>
        <v/>
      </c>
      <c r="DA118" s="153" t="str">
        <f t="shared" si="291"/>
        <v/>
      </c>
      <c r="DB118" s="152" t="str">
        <f t="shared" si="292"/>
        <v/>
      </c>
      <c r="DC118" s="153">
        <f t="shared" si="293"/>
        <v>0</v>
      </c>
      <c r="DD118" s="851" t="str">
        <f>IF('Marks Entry'!AS118="","",IF(OR('Master Sheet'!$D$19="YES",'Marks Entry'!$BA$1=1),'Marks Entry'!AS118,""))</f>
        <v/>
      </c>
      <c r="DE118" s="851" t="str">
        <f>IF('Marks Entry'!AT118="","",IF(OR('Master Sheet'!$D$19="YES",'Marks Entry'!$BA$1=1),'Marks Entry'!AT118,""))</f>
        <v/>
      </c>
      <c r="DF118" s="851" t="str">
        <f>IF('Marks Entry'!AU118="","",IF(OR('Master Sheet'!$D$19="YES",'Marks Entry'!$BA$1=1),'Marks Entry'!AU118,""))</f>
        <v/>
      </c>
      <c r="DG118" s="851" t="str">
        <f>IF('Marks Entry'!AV118="","",IF(OR('Master Sheet'!$D$19="YES",'Marks Entry'!$BA$1=1),'Marks Entry'!AV118,""))</f>
        <v/>
      </c>
      <c r="DH118" s="852" t="str">
        <f t="shared" si="294"/>
        <v/>
      </c>
      <c r="DI118" s="851" t="str">
        <f>IF('Marks Entry'!AW118="","",IF(OR('Master Sheet'!$D$19="YES",'Marks Entry'!$BA$1=1),'Marks Entry'!AW118,""))</f>
        <v/>
      </c>
      <c r="DJ118" s="851" t="str">
        <f>IF('Marks Entry'!AX118="","",IF(OR('Master Sheet'!$D$19="YES",'Marks Entry'!$BA$1=1),'Marks Entry'!AX118,""))</f>
        <v/>
      </c>
      <c r="DK118" s="852" t="str">
        <f t="shared" si="295"/>
        <v/>
      </c>
      <c r="DL118" s="852" t="str">
        <f t="shared" si="296"/>
        <v/>
      </c>
      <c r="DM118" s="851" t="str">
        <f>IF('Marks Entry'!AY118="","",IF(OR('Master Sheet'!$D$19="YES",'Marks Entry'!$BA$1=1),'Marks Entry'!AY118,""))</f>
        <v/>
      </c>
      <c r="DN118" s="851" t="str">
        <f>IF('Marks Entry'!AZ118="","",IF(OR('Master Sheet'!$D$19="YES",'Marks Entry'!$BA$1=1),'Marks Entry'!AZ118,""))</f>
        <v/>
      </c>
      <c r="DO118" s="851" t="str">
        <f>IF('Marks Entry'!BA118="","",IF(OR('Master Sheet'!$D$19="YES",'Marks Entry'!$BA$1=1),'Marks Entry'!BA118,""))</f>
        <v/>
      </c>
      <c r="DP118" s="852" t="str">
        <f t="shared" si="297"/>
        <v/>
      </c>
      <c r="DQ118" s="156" t="str">
        <f t="shared" si="298"/>
        <v/>
      </c>
      <c r="DR118" s="156" t="str">
        <f t="shared" si="299"/>
        <v/>
      </c>
      <c r="DS118" s="156" t="str">
        <f t="shared" si="300"/>
        <v/>
      </c>
      <c r="DT118" s="191" t="str">
        <f t="shared" si="301"/>
        <v/>
      </c>
      <c r="DU118" s="152">
        <f t="shared" si="302"/>
        <v>0</v>
      </c>
      <c r="DV118" s="153">
        <f t="shared" si="303"/>
        <v>0</v>
      </c>
      <c r="DW118" s="153" t="str">
        <f t="shared" si="304"/>
        <v/>
      </c>
      <c r="DX118" s="153" t="str">
        <f>IF(OR($B118="NSO",$B118=0,DS118=""),"",IF(AND(DJ118="",DO118=""),"",IF('Master Sheet'!$D$19="YES",$DO$6-COUNTIF(DO118,"ML")*DO$6,DS$6-(COUNTIF(DJ118,"ML")*DJ$6)-(COUNTIF(DO118,"ML")*DO$6))))</f>
        <v/>
      </c>
      <c r="DY118" s="153" t="str">
        <f>IF(OR($B118="NSO",$B118=0),"",IF(AND(DH118="",DI118="",DM118=""),"",IF(AND('Master Sheet'!$D$19="YES",'Marks Entry'!$BA$1=1),100,IF(AND(DJ118="",DO118=""),SUM(($DQ$7+$DR$7)-(DU118+DV118)),SUM(($DQ$6+$DR$6)-(DU118+DV118))))))</f>
        <v/>
      </c>
      <c r="DZ118" s="152" t="str">
        <f t="shared" si="305"/>
        <v/>
      </c>
      <c r="EA118" s="153" t="str">
        <f t="shared" si="306"/>
        <v/>
      </c>
      <c r="EB118" s="152" t="str">
        <f t="shared" si="307"/>
        <v/>
      </c>
      <c r="EC118" s="584" t="str">
        <f>IF('Marks Entry'!BB118="","",'Marks Entry'!BB118)</f>
        <v/>
      </c>
      <c r="ED118" s="584" t="str">
        <f>IF('Marks Entry'!BC118="","",'Marks Entry'!BC118)</f>
        <v/>
      </c>
      <c r="EE118" s="584" t="str">
        <f>IF('Marks Entry'!BD118="","",'Marks Entry'!BD118)</f>
        <v/>
      </c>
      <c r="EF118" s="590" t="str">
        <f t="shared" si="308"/>
        <v/>
      </c>
      <c r="EG118" s="595">
        <f t="shared" si="309"/>
        <v>0</v>
      </c>
      <c r="EH118" s="595">
        <f t="shared" si="310"/>
        <v>0</v>
      </c>
      <c r="EI118" s="192" t="str">
        <f t="shared" si="311"/>
        <v/>
      </c>
      <c r="EJ118" s="595" t="str">
        <f t="shared" si="312"/>
        <v/>
      </c>
      <c r="EK118" s="595" t="str">
        <f t="shared" si="313"/>
        <v/>
      </c>
      <c r="EL118" s="193" t="str">
        <f t="shared" si="314"/>
        <v/>
      </c>
      <c r="EM118" s="193" t="str">
        <f t="shared" si="315"/>
        <v/>
      </c>
      <c r="EN118" s="193" t="str">
        <f t="shared" si="316"/>
        <v/>
      </c>
      <c r="EO118" s="193" t="str">
        <f t="shared" si="317"/>
        <v/>
      </c>
      <c r="EP118" s="193" t="str">
        <f t="shared" si="318"/>
        <v/>
      </c>
      <c r="EQ118" s="193" t="str">
        <f t="shared" si="319"/>
        <v/>
      </c>
      <c r="ER118" s="194">
        <f t="shared" si="320"/>
        <v>0</v>
      </c>
      <c r="ES118" s="194">
        <f t="shared" si="321"/>
        <v>0</v>
      </c>
      <c r="ET118" s="194">
        <f t="shared" si="322"/>
        <v>0</v>
      </c>
      <c r="EU118" s="194">
        <f t="shared" si="323"/>
        <v>0</v>
      </c>
      <c r="EV118" s="194">
        <f t="shared" si="324"/>
        <v>0</v>
      </c>
      <c r="EW118" s="194" t="str">
        <f t="shared" si="325"/>
        <v/>
      </c>
      <c r="EX118" s="195" t="str">
        <f t="shared" si="326"/>
        <v/>
      </c>
      <c r="EY118" s="196" t="str">
        <f>IF('Marks Entry'!BE118="","",'Marks Entry'!BE118)</f>
        <v/>
      </c>
      <c r="EZ118" s="196" t="str">
        <f>IF('Marks Entry'!BF118="","",'Marks Entry'!BF118)</f>
        <v/>
      </c>
      <c r="FA118" s="196" t="str">
        <f>IF('Marks Entry'!BG118="","",'Marks Entry'!BG118)</f>
        <v/>
      </c>
      <c r="FB118" s="596" t="str">
        <f t="shared" si="327"/>
        <v/>
      </c>
      <c r="FC118" s="196" t="str">
        <f>IF('Marks Entry'!BH118="","",'Marks Entry'!BH118)</f>
        <v/>
      </c>
      <c r="FD118" s="196" t="str">
        <f>IF('Marks Entry'!BI118="","",'Marks Entry'!BI118)</f>
        <v/>
      </c>
      <c r="FE118" s="197" t="str">
        <f t="shared" si="328"/>
        <v/>
      </c>
      <c r="FF118" s="198" t="str">
        <f t="shared" si="329"/>
        <v/>
      </c>
      <c r="FG118" s="199" t="str">
        <f>IF(AND(E118=""),"",IF('Student DATA Entry'!L114="","",'Student DATA Entry'!L114))</f>
        <v/>
      </c>
      <c r="FH118" s="200" t="str">
        <f>IF(AND(E118=""),"",IF('Student DATA Entry'!M114="","",'Student DATA Entry'!M114))</f>
        <v/>
      </c>
      <c r="FI118" s="201" t="str">
        <f t="shared" si="330"/>
        <v/>
      </c>
      <c r="FJ118" s="188" t="str">
        <f t="shared" si="331"/>
        <v/>
      </c>
      <c r="FK118" s="188" t="str">
        <f t="shared" si="332"/>
        <v/>
      </c>
      <c r="FL118" s="202" t="str">
        <f t="shared" si="360"/>
        <v/>
      </c>
      <c r="FM118" s="188" t="str">
        <f t="shared" si="333"/>
        <v/>
      </c>
      <c r="FN118" s="203" t="str">
        <f t="shared" si="334"/>
        <v/>
      </c>
      <c r="FO118" s="202" t="str">
        <f t="shared" si="361"/>
        <v/>
      </c>
      <c r="FP118" s="204" t="str">
        <f t="shared" si="335"/>
        <v/>
      </c>
      <c r="FQ118" s="188" t="str">
        <f t="shared" si="362"/>
        <v/>
      </c>
      <c r="FR118" s="188" t="str">
        <f t="shared" si="363"/>
        <v/>
      </c>
      <c r="FS118" s="188" t="str">
        <f t="shared" si="364"/>
        <v/>
      </c>
      <c r="FT118" s="188" t="str">
        <f t="shared" si="365"/>
        <v/>
      </c>
      <c r="FU118" s="188" t="str">
        <f t="shared" si="336"/>
        <v/>
      </c>
      <c r="FV118" s="205" t="str">
        <f t="shared" si="366"/>
        <v/>
      </c>
      <c r="FW118" s="204" t="str">
        <f t="shared" si="337"/>
        <v/>
      </c>
      <c r="FX118" s="188" t="str">
        <f t="shared" si="367"/>
        <v/>
      </c>
      <c r="FY118" s="188" t="str">
        <f t="shared" si="368"/>
        <v/>
      </c>
      <c r="FZ118" s="188" t="str">
        <f t="shared" si="369"/>
        <v/>
      </c>
      <c r="GA118" s="188" t="str">
        <f t="shared" si="370"/>
        <v/>
      </c>
      <c r="GB118" s="188" t="str">
        <f t="shared" si="338"/>
        <v/>
      </c>
      <c r="GC118" s="205" t="str">
        <f t="shared" si="371"/>
        <v/>
      </c>
      <c r="GD118" s="204" t="str">
        <f t="shared" si="339"/>
        <v/>
      </c>
      <c r="GE118" s="188" t="str">
        <f t="shared" si="372"/>
        <v/>
      </c>
      <c r="GF118" s="188" t="str">
        <f t="shared" si="373"/>
        <v/>
      </c>
      <c r="GG118" s="188" t="str">
        <f t="shared" si="374"/>
        <v/>
      </c>
      <c r="GH118" s="188" t="str">
        <f t="shared" si="375"/>
        <v/>
      </c>
      <c r="GI118" s="188" t="str">
        <f t="shared" si="340"/>
        <v/>
      </c>
      <c r="GJ118" s="205" t="str">
        <f t="shared" si="376"/>
        <v/>
      </c>
      <c r="GK118" s="204" t="str">
        <f t="shared" si="341"/>
        <v/>
      </c>
      <c r="GL118" s="188" t="str">
        <f t="shared" si="377"/>
        <v/>
      </c>
      <c r="GM118" s="188" t="str">
        <f t="shared" si="378"/>
        <v/>
      </c>
      <c r="GN118" s="188" t="str">
        <f t="shared" si="379"/>
        <v/>
      </c>
      <c r="GO118" s="188" t="str">
        <f t="shared" si="380"/>
        <v/>
      </c>
      <c r="GP118" s="188" t="str">
        <f t="shared" si="342"/>
        <v/>
      </c>
      <c r="GQ118" s="205" t="str">
        <f t="shared" si="381"/>
        <v/>
      </c>
      <c r="GR118" s="188" t="str">
        <f t="shared" si="343"/>
        <v/>
      </c>
      <c r="GS118" s="188" t="str">
        <f t="shared" si="344"/>
        <v/>
      </c>
      <c r="GT118" s="206" t="str">
        <f t="shared" si="345"/>
        <v xml:space="preserve">    </v>
      </c>
      <c r="GU118" s="206" t="str">
        <f t="shared" si="346"/>
        <v xml:space="preserve">    </v>
      </c>
      <c r="GV118" s="206" t="str">
        <f t="shared" si="347"/>
        <v xml:space="preserve">    </v>
      </c>
      <c r="GW118" s="206" t="str">
        <f t="shared" si="348"/>
        <v xml:space="preserve">       </v>
      </c>
      <c r="GX118" s="598" t="str">
        <f t="shared" si="349"/>
        <v xml:space="preserve">     </v>
      </c>
      <c r="GY118" s="207" t="str">
        <f t="shared" si="382"/>
        <v/>
      </c>
      <c r="GZ118" s="606" t="str">
        <f>IF(AND(Q118="",AE118="",AZ118="",BW118="",CT118=""),"",IF(AND('Master Sheet'!$D$19="YES",'Marks Entry'!$BA$1=1),SUM(Q118,AE118,AZ118,BW118,DT118),SUM(Q118,AE118,AZ118,BW118,CT118)))</f>
        <v/>
      </c>
      <c r="HA118" s="208" t="str">
        <f>IF(GZ118="","",IF(AND('Master Sheet'!$D$19="YES",'Marks Entry'!$BA$1=1),GZ118/((900)-DC118)*100,GZ118/((1000)-DC118)*100))</f>
        <v/>
      </c>
      <c r="HB118" s="611" t="str">
        <f t="shared" si="350"/>
        <v/>
      </c>
      <c r="HC118" s="609" t="str">
        <f t="shared" si="351"/>
        <v/>
      </c>
      <c r="HD118" s="610" t="str">
        <f t="shared" si="352"/>
        <v/>
      </c>
      <c r="HE118" s="209" t="str">
        <f>IFERROR(IF(OR(GY118="SUPPLEMENTARY",GY118="RE-EXAM"),'Supp. Result Entry'!AS117,""),"")</f>
        <v/>
      </c>
      <c r="HF118" s="613" t="str">
        <f t="shared" si="353"/>
        <v/>
      </c>
      <c r="HG118" s="598" t="str">
        <f t="shared" si="354"/>
        <v/>
      </c>
      <c r="HH118" s="598" t="str">
        <f>IF(AND(HE118="",HF118="",HG118=""),"",IF(OR(GY118="SUPPLEMENTARY",GY118="RE-EXAM"),'Supp. Result Entry'!AS117,GY118))</f>
        <v/>
      </c>
      <c r="HI118" s="179"/>
      <c r="HY118" s="211" t="str">
        <f>IF('Supp. Result Entry'!U117="","",'Supp. Result Entry'!$U$6)</f>
        <v/>
      </c>
      <c r="HZ118" s="212" t="str">
        <f>IF('Supp. Result Entry'!X117="","",'Supp. Result Entry'!$X$6)</f>
        <v/>
      </c>
      <c r="IA118" s="212" t="str">
        <f>IF('Supp. Result Entry'!AA117="","",'Supp. Result Entry'!$AA$6)</f>
        <v/>
      </c>
      <c r="IB118" s="212" t="str">
        <f>IF('Supp. Result Entry'!AD117="","",'Supp. Result Entry'!$AD$6)</f>
        <v/>
      </c>
      <c r="IC118" s="212" t="str">
        <f>IF('Supp. Result Entry'!AG117="","",'Supp. Result Entry'!$AG$6)</f>
        <v/>
      </c>
      <c r="ID118" s="212" t="str">
        <f>IF('Supp. Result Entry'!AJ117="","",'Supp. Result Entry'!$AJ$6)</f>
        <v/>
      </c>
      <c r="IE118" s="212" t="str">
        <f>IF('Supp. Result Entry'!V117="","",'Supp. Result Entry'!V117)</f>
        <v/>
      </c>
      <c r="IF118" s="212" t="str">
        <f>IF('Supp. Result Entry'!Y117="","",'Supp. Result Entry'!Y117)</f>
        <v/>
      </c>
      <c r="IG118" s="212" t="str">
        <f>IF('Supp. Result Entry'!AB117="","",'Supp. Result Entry'!AB117)</f>
        <v/>
      </c>
      <c r="IH118" s="212" t="str">
        <f>IF('Supp. Result Entry'!AE117="","",'Supp. Result Entry'!AE117)</f>
        <v/>
      </c>
      <c r="II118" s="212" t="str">
        <f>IF('Supp. Result Entry'!AH117="","",'Supp. Result Entry'!AH117)</f>
        <v/>
      </c>
      <c r="IJ118" s="212" t="str">
        <f>IF('Supp. Result Entry'!AK117="","",'Supp. Result Entry'!AK117)</f>
        <v/>
      </c>
      <c r="IK118" s="212" t="str">
        <f>IF('Supp. Result Entry'!W117="","",'Supp. Result Entry'!W117)</f>
        <v/>
      </c>
      <c r="IL118" s="212" t="str">
        <f>IF('Supp. Result Entry'!Z117="","",'Supp. Result Entry'!Z117)</f>
        <v/>
      </c>
      <c r="IM118" s="212" t="str">
        <f>IF('Supp. Result Entry'!AC117="","",'Supp. Result Entry'!AC117)</f>
        <v/>
      </c>
      <c r="IN118" s="212" t="str">
        <f>IF('Supp. Result Entry'!AF117="","",'Supp. Result Entry'!AF117)</f>
        <v/>
      </c>
      <c r="IO118" s="212" t="str">
        <f>IF('Supp. Result Entry'!AI117="","",'Supp. Result Entry'!AI117)</f>
        <v/>
      </c>
      <c r="IP118" s="212" t="str">
        <f>IF('Supp. Result Entry'!AL117="","",'Supp. Result Entry'!AL117)</f>
        <v/>
      </c>
      <c r="IQ118" s="212">
        <f>COUNTIF('Supp. Result Entry'!K117:Q117,"S")</f>
        <v>0</v>
      </c>
      <c r="IR118" s="212">
        <f t="shared" si="355"/>
        <v>0</v>
      </c>
      <c r="IS118" s="212">
        <f t="shared" si="356"/>
        <v>0</v>
      </c>
      <c r="IT118" s="212" t="str">
        <f t="shared" si="224"/>
        <v/>
      </c>
      <c r="IU118" s="212" t="str">
        <f t="shared" si="225"/>
        <v/>
      </c>
      <c r="IV118" s="212" t="str">
        <f t="shared" si="226"/>
        <v/>
      </c>
      <c r="IW118" s="212" t="str">
        <f t="shared" si="227"/>
        <v/>
      </c>
      <c r="IX118" s="212" t="str">
        <f t="shared" si="228"/>
        <v/>
      </c>
      <c r="IY118" s="212" t="str">
        <f t="shared" si="357"/>
        <v/>
      </c>
      <c r="IZ118" s="212" t="str">
        <f t="shared" si="358"/>
        <v/>
      </c>
      <c r="JA118" s="212" t="str">
        <f t="shared" si="229"/>
        <v/>
      </c>
      <c r="JB118" s="210" t="str">
        <f t="shared" si="359"/>
        <v/>
      </c>
    </row>
    <row r="119" spans="1:262" s="210" customFormat="1" ht="21" customHeight="1">
      <c r="A119" s="183">
        <v>112</v>
      </c>
      <c r="B119" s="184" t="str">
        <f>IF('Marks Entry'!B119="","",'Marks Entry'!B119)</f>
        <v/>
      </c>
      <c r="C119" s="185" t="str">
        <f>IF('Marks Entry'!D119="","",'Marks Entry'!D119)</f>
        <v/>
      </c>
      <c r="D119" s="186" t="str">
        <f>IF('Marks Entry'!E119="","",'Marks Entry'!E119)</f>
        <v/>
      </c>
      <c r="E119" s="187" t="str">
        <f>IF('Marks Entry'!F119="","",'Marks Entry'!F119)</f>
        <v/>
      </c>
      <c r="F119" s="187" t="str">
        <f>IF('Marks Entry'!G119="","",'Marks Entry'!G119)</f>
        <v/>
      </c>
      <c r="G119" s="187" t="str">
        <f>IF('Marks Entry'!H119="","",'Marks Entry'!H119)</f>
        <v/>
      </c>
      <c r="H119" s="188" t="str">
        <f>IF('Marks Entry'!I119="","",'Marks Entry'!I119)</f>
        <v/>
      </c>
      <c r="I119" s="189" t="str">
        <f>IF('Marks Entry'!J119="","",'Marks Entry'!J119)</f>
        <v/>
      </c>
      <c r="J119" s="545" t="str">
        <f>IF('Marks Entry'!K119="","",'Marks Entry'!K119)</f>
        <v/>
      </c>
      <c r="K119" s="545" t="str">
        <f>IF('Marks Entry'!L119="","",'Marks Entry'!L119)</f>
        <v/>
      </c>
      <c r="L119" s="545" t="str">
        <f>IF('Marks Entry'!M119="","",'Marks Entry'!M119)</f>
        <v/>
      </c>
      <c r="M119" s="546" t="str">
        <f t="shared" si="230"/>
        <v/>
      </c>
      <c r="N119" s="545" t="str">
        <f>IF('Marks Entry'!N119="","",'Marks Entry'!N119)</f>
        <v/>
      </c>
      <c r="O119" s="546" t="str">
        <f t="shared" si="231"/>
        <v/>
      </c>
      <c r="P119" s="545" t="str">
        <f>IF('Marks Entry'!O119="","",'Marks Entry'!O119)</f>
        <v/>
      </c>
      <c r="Q119" s="547" t="str">
        <f t="shared" si="232"/>
        <v/>
      </c>
      <c r="R119" s="152">
        <f t="shared" si="233"/>
        <v>0</v>
      </c>
      <c r="S119" s="152">
        <f t="shared" si="234"/>
        <v>0</v>
      </c>
      <c r="T119" s="153" t="str">
        <f t="shared" si="235"/>
        <v/>
      </c>
      <c r="U119" s="152" t="str">
        <f t="shared" si="236"/>
        <v/>
      </c>
      <c r="V119" s="152" t="str">
        <f t="shared" si="237"/>
        <v/>
      </c>
      <c r="W119" s="152" t="str">
        <f t="shared" si="238"/>
        <v/>
      </c>
      <c r="X119" s="545" t="str">
        <f>IF('Marks Entry'!P119="","",'Marks Entry'!P119)</f>
        <v/>
      </c>
      <c r="Y119" s="545" t="str">
        <f>IF('Marks Entry'!Q119="","",'Marks Entry'!Q119)</f>
        <v/>
      </c>
      <c r="Z119" s="545" t="str">
        <f>IF('Marks Entry'!R119="","",'Marks Entry'!R119)</f>
        <v/>
      </c>
      <c r="AA119" s="546" t="str">
        <f t="shared" si="239"/>
        <v/>
      </c>
      <c r="AB119" s="545" t="str">
        <f>IF('Marks Entry'!S119="","",'Marks Entry'!S119)</f>
        <v/>
      </c>
      <c r="AC119" s="546" t="str">
        <f t="shared" si="240"/>
        <v/>
      </c>
      <c r="AD119" s="545" t="str">
        <f>IF('Marks Entry'!T119="","",'Marks Entry'!T119)</f>
        <v/>
      </c>
      <c r="AE119" s="547" t="str">
        <f t="shared" si="241"/>
        <v/>
      </c>
      <c r="AF119" s="152">
        <f t="shared" si="242"/>
        <v>0</v>
      </c>
      <c r="AG119" s="152">
        <f t="shared" si="243"/>
        <v>0</v>
      </c>
      <c r="AH119" s="153" t="str">
        <f t="shared" si="244"/>
        <v/>
      </c>
      <c r="AI119" s="152" t="str">
        <f t="shared" si="245"/>
        <v/>
      </c>
      <c r="AJ119" s="152" t="str">
        <f t="shared" si="246"/>
        <v/>
      </c>
      <c r="AK119" s="152" t="str">
        <f t="shared" si="247"/>
        <v/>
      </c>
      <c r="AL119" s="573" t="str">
        <f>IF('Marks Entry'!U119="","",'Marks Entry'!U119)</f>
        <v/>
      </c>
      <c r="AM119" s="573" t="str">
        <f>IF('Marks Entry'!V119="","",'Marks Entry'!V119)</f>
        <v/>
      </c>
      <c r="AN119" s="573" t="str">
        <f>IF('Marks Entry'!W119="","",'Marks Entry'!W119)</f>
        <v/>
      </c>
      <c r="AO119" s="573" t="str">
        <f>IF('Marks Entry'!X119="","",'Marks Entry'!X119)</f>
        <v/>
      </c>
      <c r="AP119" s="572" t="str">
        <f t="shared" si="248"/>
        <v/>
      </c>
      <c r="AQ119" s="573" t="str">
        <f>IF('Marks Entry'!Y119="","",'Marks Entry'!Y119)</f>
        <v/>
      </c>
      <c r="AR119" s="573" t="str">
        <f>IF('Marks Entry'!Z119="","",'Marks Entry'!Z119)</f>
        <v/>
      </c>
      <c r="AS119" s="572" t="str">
        <f t="shared" si="249"/>
        <v/>
      </c>
      <c r="AT119" s="572" t="str">
        <f t="shared" si="250"/>
        <v/>
      </c>
      <c r="AU119" s="573" t="str">
        <f>IF('Marks Entry'!AA119="","",'Marks Entry'!AA119)</f>
        <v/>
      </c>
      <c r="AV119" s="573" t="str">
        <f>IF('Marks Entry'!AB119="","",'Marks Entry'!AB119)</f>
        <v/>
      </c>
      <c r="AW119" s="572" t="str">
        <f t="shared" si="251"/>
        <v/>
      </c>
      <c r="AX119" s="156" t="str">
        <f t="shared" si="252"/>
        <v/>
      </c>
      <c r="AY119" s="156" t="str">
        <f t="shared" si="253"/>
        <v/>
      </c>
      <c r="AZ119" s="191" t="str">
        <f t="shared" si="254"/>
        <v/>
      </c>
      <c r="BA119" s="152">
        <f t="shared" si="255"/>
        <v>0</v>
      </c>
      <c r="BB119" s="153">
        <f t="shared" si="256"/>
        <v>0</v>
      </c>
      <c r="BC119" s="153" t="str">
        <f t="shared" si="257"/>
        <v/>
      </c>
      <c r="BD119" s="153" t="str">
        <f t="shared" si="258"/>
        <v/>
      </c>
      <c r="BE119" s="153" t="str">
        <f t="shared" si="259"/>
        <v/>
      </c>
      <c r="BF119" s="152" t="str">
        <f t="shared" si="260"/>
        <v/>
      </c>
      <c r="BG119" s="153" t="str">
        <f t="shared" si="261"/>
        <v/>
      </c>
      <c r="BH119" s="152" t="str">
        <f t="shared" si="262"/>
        <v/>
      </c>
      <c r="BI119" s="580" t="str">
        <f>IF('Marks Entry'!AC119="","",'Marks Entry'!AC119)</f>
        <v/>
      </c>
      <c r="BJ119" s="580" t="str">
        <f>IF('Marks Entry'!AD119="","",'Marks Entry'!AD119)</f>
        <v/>
      </c>
      <c r="BK119" s="580" t="str">
        <f>IF('Marks Entry'!AE119="","",'Marks Entry'!AE119)</f>
        <v/>
      </c>
      <c r="BL119" s="580" t="str">
        <f>IF('Marks Entry'!AF119="","",'Marks Entry'!AF119)</f>
        <v/>
      </c>
      <c r="BM119" s="581" t="str">
        <f t="shared" si="263"/>
        <v/>
      </c>
      <c r="BN119" s="580" t="str">
        <f>IF('Marks Entry'!AG119="","",'Marks Entry'!AG119)</f>
        <v/>
      </c>
      <c r="BO119" s="580" t="str">
        <f>IF('Marks Entry'!AH119="","",'Marks Entry'!AH119)</f>
        <v/>
      </c>
      <c r="BP119" s="581" t="str">
        <f t="shared" si="264"/>
        <v/>
      </c>
      <c r="BQ119" s="581" t="str">
        <f t="shared" si="265"/>
        <v/>
      </c>
      <c r="BR119" s="580" t="str">
        <f>IF('Marks Entry'!AI119="","",'Marks Entry'!AI119)</f>
        <v/>
      </c>
      <c r="BS119" s="580" t="str">
        <f>IF('Marks Entry'!AJ119="","",'Marks Entry'!AJ119)</f>
        <v/>
      </c>
      <c r="BT119" s="581" t="str">
        <f t="shared" si="266"/>
        <v/>
      </c>
      <c r="BU119" s="156" t="str">
        <f t="shared" si="267"/>
        <v/>
      </c>
      <c r="BV119" s="156" t="str">
        <f t="shared" si="268"/>
        <v/>
      </c>
      <c r="BW119" s="191" t="str">
        <f t="shared" si="269"/>
        <v/>
      </c>
      <c r="BX119" s="152">
        <f t="shared" si="270"/>
        <v>0</v>
      </c>
      <c r="BY119" s="153">
        <f t="shared" si="271"/>
        <v>0</v>
      </c>
      <c r="BZ119" s="153" t="str">
        <f t="shared" si="272"/>
        <v/>
      </c>
      <c r="CA119" s="153" t="str">
        <f t="shared" si="273"/>
        <v/>
      </c>
      <c r="CB119" s="153" t="str">
        <f t="shared" si="274"/>
        <v/>
      </c>
      <c r="CC119" s="152" t="str">
        <f t="shared" si="275"/>
        <v/>
      </c>
      <c r="CD119" s="153" t="str">
        <f t="shared" si="276"/>
        <v/>
      </c>
      <c r="CE119" s="152" t="str">
        <f t="shared" si="277"/>
        <v/>
      </c>
      <c r="CF119" s="580" t="str">
        <f>IF('Marks Entry'!AK119="","",'Marks Entry'!AK119)</f>
        <v/>
      </c>
      <c r="CG119" s="580" t="str">
        <f>IF('Marks Entry'!AL119="","",'Marks Entry'!AL119)</f>
        <v/>
      </c>
      <c r="CH119" s="580" t="str">
        <f>IF('Marks Entry'!AM119="","",'Marks Entry'!AM119)</f>
        <v/>
      </c>
      <c r="CI119" s="580" t="str">
        <f>IF('Marks Entry'!AN119="","",'Marks Entry'!AN119)</f>
        <v/>
      </c>
      <c r="CJ119" s="581" t="str">
        <f t="shared" si="278"/>
        <v/>
      </c>
      <c r="CK119" s="580" t="str">
        <f>IF('Marks Entry'!AO119="","",'Marks Entry'!AO119)</f>
        <v/>
      </c>
      <c r="CL119" s="580" t="str">
        <f>IF('Marks Entry'!AP119="","",'Marks Entry'!AP119)</f>
        <v/>
      </c>
      <c r="CM119" s="581" t="str">
        <f t="shared" si="279"/>
        <v/>
      </c>
      <c r="CN119" s="581" t="str">
        <f t="shared" si="280"/>
        <v/>
      </c>
      <c r="CO119" s="580" t="str">
        <f>IF('Marks Entry'!AQ119="","",'Marks Entry'!AQ119)</f>
        <v/>
      </c>
      <c r="CP119" s="580" t="str">
        <f>IF('Marks Entry'!AR119="","",'Marks Entry'!AR119)</f>
        <v/>
      </c>
      <c r="CQ119" s="581" t="str">
        <f t="shared" si="281"/>
        <v/>
      </c>
      <c r="CR119" s="156" t="str">
        <f t="shared" si="282"/>
        <v/>
      </c>
      <c r="CS119" s="156" t="str">
        <f t="shared" si="283"/>
        <v/>
      </c>
      <c r="CT119" s="191" t="str">
        <f t="shared" si="284"/>
        <v/>
      </c>
      <c r="CU119" s="152">
        <f t="shared" si="285"/>
        <v>0</v>
      </c>
      <c r="CV119" s="153">
        <f t="shared" si="286"/>
        <v>0</v>
      </c>
      <c r="CW119" s="153" t="str">
        <f t="shared" si="287"/>
        <v/>
      </c>
      <c r="CX119" s="153" t="str">
        <f t="shared" si="288"/>
        <v/>
      </c>
      <c r="CY119" s="153" t="str">
        <f t="shared" si="289"/>
        <v/>
      </c>
      <c r="CZ119" s="152" t="str">
        <f t="shared" si="290"/>
        <v/>
      </c>
      <c r="DA119" s="153" t="str">
        <f t="shared" si="291"/>
        <v/>
      </c>
      <c r="DB119" s="152" t="str">
        <f t="shared" si="292"/>
        <v/>
      </c>
      <c r="DC119" s="153">
        <f t="shared" si="293"/>
        <v>0</v>
      </c>
      <c r="DD119" s="851" t="str">
        <f>IF('Marks Entry'!AS119="","",IF(OR('Master Sheet'!$D$19="YES",'Marks Entry'!$BA$1=1),'Marks Entry'!AS119,""))</f>
        <v/>
      </c>
      <c r="DE119" s="851" t="str">
        <f>IF('Marks Entry'!AT119="","",IF(OR('Master Sheet'!$D$19="YES",'Marks Entry'!$BA$1=1),'Marks Entry'!AT119,""))</f>
        <v/>
      </c>
      <c r="DF119" s="851" t="str">
        <f>IF('Marks Entry'!AU119="","",IF(OR('Master Sheet'!$D$19="YES",'Marks Entry'!$BA$1=1),'Marks Entry'!AU119,""))</f>
        <v/>
      </c>
      <c r="DG119" s="851" t="str">
        <f>IF('Marks Entry'!AV119="","",IF(OR('Master Sheet'!$D$19="YES",'Marks Entry'!$BA$1=1),'Marks Entry'!AV119,""))</f>
        <v/>
      </c>
      <c r="DH119" s="852" t="str">
        <f t="shared" si="294"/>
        <v/>
      </c>
      <c r="DI119" s="851" t="str">
        <f>IF('Marks Entry'!AW119="","",IF(OR('Master Sheet'!$D$19="YES",'Marks Entry'!$BA$1=1),'Marks Entry'!AW119,""))</f>
        <v/>
      </c>
      <c r="DJ119" s="851" t="str">
        <f>IF('Marks Entry'!AX119="","",IF(OR('Master Sheet'!$D$19="YES",'Marks Entry'!$BA$1=1),'Marks Entry'!AX119,""))</f>
        <v/>
      </c>
      <c r="DK119" s="852" t="str">
        <f t="shared" si="295"/>
        <v/>
      </c>
      <c r="DL119" s="852" t="str">
        <f t="shared" si="296"/>
        <v/>
      </c>
      <c r="DM119" s="851" t="str">
        <f>IF('Marks Entry'!AY119="","",IF(OR('Master Sheet'!$D$19="YES",'Marks Entry'!$BA$1=1),'Marks Entry'!AY119,""))</f>
        <v/>
      </c>
      <c r="DN119" s="851" t="str">
        <f>IF('Marks Entry'!AZ119="","",IF(OR('Master Sheet'!$D$19="YES",'Marks Entry'!$BA$1=1),'Marks Entry'!AZ119,""))</f>
        <v/>
      </c>
      <c r="DO119" s="851" t="str">
        <f>IF('Marks Entry'!BA119="","",IF(OR('Master Sheet'!$D$19="YES",'Marks Entry'!$BA$1=1),'Marks Entry'!BA119,""))</f>
        <v/>
      </c>
      <c r="DP119" s="852" t="str">
        <f t="shared" si="297"/>
        <v/>
      </c>
      <c r="DQ119" s="156" t="str">
        <f t="shared" si="298"/>
        <v/>
      </c>
      <c r="DR119" s="156" t="str">
        <f t="shared" si="299"/>
        <v/>
      </c>
      <c r="DS119" s="156" t="str">
        <f t="shared" si="300"/>
        <v/>
      </c>
      <c r="DT119" s="191" t="str">
        <f t="shared" si="301"/>
        <v/>
      </c>
      <c r="DU119" s="152">
        <f t="shared" si="302"/>
        <v>0</v>
      </c>
      <c r="DV119" s="153">
        <f t="shared" si="303"/>
        <v>0</v>
      </c>
      <c r="DW119" s="153" t="str">
        <f t="shared" si="304"/>
        <v/>
      </c>
      <c r="DX119" s="153" t="str">
        <f>IF(OR($B119="NSO",$B119=0,DS119=""),"",IF(AND(DJ119="",DO119=""),"",IF('Master Sheet'!$D$19="YES",$DO$6-COUNTIF(DO119,"ML")*DO$6,DS$6-(COUNTIF(DJ119,"ML")*DJ$6)-(COUNTIF(DO119,"ML")*DO$6))))</f>
        <v/>
      </c>
      <c r="DY119" s="153" t="str">
        <f>IF(OR($B119="NSO",$B119=0),"",IF(AND(DH119="",DI119="",DM119=""),"",IF(AND('Master Sheet'!$D$19="YES",'Marks Entry'!$BA$1=1),100,IF(AND(DJ119="",DO119=""),SUM(($DQ$7+$DR$7)-(DU119+DV119)),SUM(($DQ$6+$DR$6)-(DU119+DV119))))))</f>
        <v/>
      </c>
      <c r="DZ119" s="152" t="str">
        <f t="shared" si="305"/>
        <v/>
      </c>
      <c r="EA119" s="153" t="str">
        <f t="shared" si="306"/>
        <v/>
      </c>
      <c r="EB119" s="152" t="str">
        <f t="shared" si="307"/>
        <v/>
      </c>
      <c r="EC119" s="584" t="str">
        <f>IF('Marks Entry'!BB119="","",'Marks Entry'!BB119)</f>
        <v/>
      </c>
      <c r="ED119" s="584" t="str">
        <f>IF('Marks Entry'!BC119="","",'Marks Entry'!BC119)</f>
        <v/>
      </c>
      <c r="EE119" s="584" t="str">
        <f>IF('Marks Entry'!BD119="","",'Marks Entry'!BD119)</f>
        <v/>
      </c>
      <c r="EF119" s="590" t="str">
        <f t="shared" si="308"/>
        <v/>
      </c>
      <c r="EG119" s="595">
        <f t="shared" si="309"/>
        <v>0</v>
      </c>
      <c r="EH119" s="595">
        <f t="shared" si="310"/>
        <v>0</v>
      </c>
      <c r="EI119" s="192" t="str">
        <f t="shared" si="311"/>
        <v/>
      </c>
      <c r="EJ119" s="595" t="str">
        <f t="shared" si="312"/>
        <v/>
      </c>
      <c r="EK119" s="595" t="str">
        <f t="shared" si="313"/>
        <v/>
      </c>
      <c r="EL119" s="193" t="str">
        <f t="shared" si="314"/>
        <v/>
      </c>
      <c r="EM119" s="193" t="str">
        <f t="shared" si="315"/>
        <v/>
      </c>
      <c r="EN119" s="193" t="str">
        <f t="shared" si="316"/>
        <v/>
      </c>
      <c r="EO119" s="193" t="str">
        <f t="shared" si="317"/>
        <v/>
      </c>
      <c r="EP119" s="193" t="str">
        <f t="shared" si="318"/>
        <v/>
      </c>
      <c r="EQ119" s="193" t="str">
        <f t="shared" si="319"/>
        <v/>
      </c>
      <c r="ER119" s="194">
        <f t="shared" si="320"/>
        <v>0</v>
      </c>
      <c r="ES119" s="194">
        <f t="shared" si="321"/>
        <v>0</v>
      </c>
      <c r="ET119" s="194">
        <f t="shared" si="322"/>
        <v>0</v>
      </c>
      <c r="EU119" s="194">
        <f t="shared" si="323"/>
        <v>0</v>
      </c>
      <c r="EV119" s="194">
        <f t="shared" si="324"/>
        <v>0</v>
      </c>
      <c r="EW119" s="194" t="str">
        <f t="shared" si="325"/>
        <v/>
      </c>
      <c r="EX119" s="195" t="str">
        <f t="shared" si="326"/>
        <v/>
      </c>
      <c r="EY119" s="196" t="str">
        <f>IF('Marks Entry'!BE119="","",'Marks Entry'!BE119)</f>
        <v/>
      </c>
      <c r="EZ119" s="196" t="str">
        <f>IF('Marks Entry'!BF119="","",'Marks Entry'!BF119)</f>
        <v/>
      </c>
      <c r="FA119" s="196" t="str">
        <f>IF('Marks Entry'!BG119="","",'Marks Entry'!BG119)</f>
        <v/>
      </c>
      <c r="FB119" s="596" t="str">
        <f t="shared" si="327"/>
        <v/>
      </c>
      <c r="FC119" s="196" t="str">
        <f>IF('Marks Entry'!BH119="","",'Marks Entry'!BH119)</f>
        <v/>
      </c>
      <c r="FD119" s="196" t="str">
        <f>IF('Marks Entry'!BI119="","",'Marks Entry'!BI119)</f>
        <v/>
      </c>
      <c r="FE119" s="197" t="str">
        <f t="shared" si="328"/>
        <v/>
      </c>
      <c r="FF119" s="198" t="str">
        <f t="shared" si="329"/>
        <v/>
      </c>
      <c r="FG119" s="199" t="str">
        <f>IF(AND(E119=""),"",IF('Student DATA Entry'!L115="","",'Student DATA Entry'!L115))</f>
        <v/>
      </c>
      <c r="FH119" s="200" t="str">
        <f>IF(AND(E119=""),"",IF('Student DATA Entry'!M115="","",'Student DATA Entry'!M115))</f>
        <v/>
      </c>
      <c r="FI119" s="201" t="str">
        <f t="shared" si="330"/>
        <v/>
      </c>
      <c r="FJ119" s="188" t="str">
        <f t="shared" si="331"/>
        <v/>
      </c>
      <c r="FK119" s="188" t="str">
        <f t="shared" si="332"/>
        <v/>
      </c>
      <c r="FL119" s="202" t="str">
        <f t="shared" si="360"/>
        <v/>
      </c>
      <c r="FM119" s="188" t="str">
        <f t="shared" si="333"/>
        <v/>
      </c>
      <c r="FN119" s="203" t="str">
        <f t="shared" si="334"/>
        <v/>
      </c>
      <c r="FO119" s="202" t="str">
        <f t="shared" si="361"/>
        <v/>
      </c>
      <c r="FP119" s="204" t="str">
        <f t="shared" si="335"/>
        <v/>
      </c>
      <c r="FQ119" s="188" t="str">
        <f t="shared" si="362"/>
        <v/>
      </c>
      <c r="FR119" s="188" t="str">
        <f t="shared" si="363"/>
        <v/>
      </c>
      <c r="FS119" s="188" t="str">
        <f t="shared" si="364"/>
        <v/>
      </c>
      <c r="FT119" s="188" t="str">
        <f t="shared" si="365"/>
        <v/>
      </c>
      <c r="FU119" s="188" t="str">
        <f t="shared" si="336"/>
        <v/>
      </c>
      <c r="FV119" s="205" t="str">
        <f t="shared" si="366"/>
        <v/>
      </c>
      <c r="FW119" s="204" t="str">
        <f t="shared" si="337"/>
        <v/>
      </c>
      <c r="FX119" s="188" t="str">
        <f t="shared" si="367"/>
        <v/>
      </c>
      <c r="FY119" s="188" t="str">
        <f t="shared" si="368"/>
        <v/>
      </c>
      <c r="FZ119" s="188" t="str">
        <f t="shared" si="369"/>
        <v/>
      </c>
      <c r="GA119" s="188" t="str">
        <f t="shared" si="370"/>
        <v/>
      </c>
      <c r="GB119" s="188" t="str">
        <f t="shared" si="338"/>
        <v/>
      </c>
      <c r="GC119" s="205" t="str">
        <f t="shared" si="371"/>
        <v/>
      </c>
      <c r="GD119" s="204" t="str">
        <f t="shared" si="339"/>
        <v/>
      </c>
      <c r="GE119" s="188" t="str">
        <f t="shared" si="372"/>
        <v/>
      </c>
      <c r="GF119" s="188" t="str">
        <f t="shared" si="373"/>
        <v/>
      </c>
      <c r="GG119" s="188" t="str">
        <f t="shared" si="374"/>
        <v/>
      </c>
      <c r="GH119" s="188" t="str">
        <f t="shared" si="375"/>
        <v/>
      </c>
      <c r="GI119" s="188" t="str">
        <f t="shared" si="340"/>
        <v/>
      </c>
      <c r="GJ119" s="205" t="str">
        <f t="shared" si="376"/>
        <v/>
      </c>
      <c r="GK119" s="204" t="str">
        <f t="shared" si="341"/>
        <v/>
      </c>
      <c r="GL119" s="188" t="str">
        <f t="shared" si="377"/>
        <v/>
      </c>
      <c r="GM119" s="188" t="str">
        <f t="shared" si="378"/>
        <v/>
      </c>
      <c r="GN119" s="188" t="str">
        <f t="shared" si="379"/>
        <v/>
      </c>
      <c r="GO119" s="188" t="str">
        <f t="shared" si="380"/>
        <v/>
      </c>
      <c r="GP119" s="188" t="str">
        <f t="shared" si="342"/>
        <v/>
      </c>
      <c r="GQ119" s="205" t="str">
        <f t="shared" si="381"/>
        <v/>
      </c>
      <c r="GR119" s="188" t="str">
        <f t="shared" si="343"/>
        <v/>
      </c>
      <c r="GS119" s="188" t="str">
        <f t="shared" si="344"/>
        <v/>
      </c>
      <c r="GT119" s="206" t="str">
        <f t="shared" si="345"/>
        <v xml:space="preserve">    </v>
      </c>
      <c r="GU119" s="206" t="str">
        <f t="shared" si="346"/>
        <v xml:space="preserve">    </v>
      </c>
      <c r="GV119" s="206" t="str">
        <f t="shared" si="347"/>
        <v xml:space="preserve">    </v>
      </c>
      <c r="GW119" s="206" t="str">
        <f t="shared" si="348"/>
        <v xml:space="preserve">       </v>
      </c>
      <c r="GX119" s="598" t="str">
        <f t="shared" si="349"/>
        <v xml:space="preserve">     </v>
      </c>
      <c r="GY119" s="207" t="str">
        <f t="shared" si="382"/>
        <v/>
      </c>
      <c r="GZ119" s="606" t="str">
        <f>IF(AND(Q119="",AE119="",AZ119="",BW119="",CT119=""),"",IF(AND('Master Sheet'!$D$19="YES",'Marks Entry'!$BA$1=1),SUM(Q119,AE119,AZ119,BW119,DT119),SUM(Q119,AE119,AZ119,BW119,CT119)))</f>
        <v/>
      </c>
      <c r="HA119" s="208" t="str">
        <f>IF(GZ119="","",IF(AND('Master Sheet'!$D$19="YES",'Marks Entry'!$BA$1=1),GZ119/((900)-DC119)*100,GZ119/((1000)-DC119)*100))</f>
        <v/>
      </c>
      <c r="HB119" s="611" t="str">
        <f t="shared" si="350"/>
        <v/>
      </c>
      <c r="HC119" s="609" t="str">
        <f t="shared" si="351"/>
        <v/>
      </c>
      <c r="HD119" s="610" t="str">
        <f t="shared" si="352"/>
        <v/>
      </c>
      <c r="HE119" s="209" t="str">
        <f>IFERROR(IF(OR(GY119="SUPPLEMENTARY",GY119="RE-EXAM"),'Supp. Result Entry'!AS118,""),"")</f>
        <v/>
      </c>
      <c r="HF119" s="613" t="str">
        <f t="shared" si="353"/>
        <v/>
      </c>
      <c r="HG119" s="598" t="str">
        <f t="shared" si="354"/>
        <v/>
      </c>
      <c r="HH119" s="598" t="str">
        <f>IF(AND(HE119="",HF119="",HG119=""),"",IF(OR(GY119="SUPPLEMENTARY",GY119="RE-EXAM"),'Supp. Result Entry'!AS118,GY119))</f>
        <v/>
      </c>
      <c r="HI119" s="179"/>
      <c r="HY119" s="211" t="str">
        <f>IF('Supp. Result Entry'!U118="","",'Supp. Result Entry'!$U$6)</f>
        <v/>
      </c>
      <c r="HZ119" s="212" t="str">
        <f>IF('Supp. Result Entry'!X118="","",'Supp. Result Entry'!$X$6)</f>
        <v/>
      </c>
      <c r="IA119" s="212" t="str">
        <f>IF('Supp. Result Entry'!AA118="","",'Supp. Result Entry'!$AA$6)</f>
        <v/>
      </c>
      <c r="IB119" s="212" t="str">
        <f>IF('Supp. Result Entry'!AD118="","",'Supp. Result Entry'!$AD$6)</f>
        <v/>
      </c>
      <c r="IC119" s="212" t="str">
        <f>IF('Supp. Result Entry'!AG118="","",'Supp. Result Entry'!$AG$6)</f>
        <v/>
      </c>
      <c r="ID119" s="212" t="str">
        <f>IF('Supp. Result Entry'!AJ118="","",'Supp. Result Entry'!$AJ$6)</f>
        <v/>
      </c>
      <c r="IE119" s="212" t="str">
        <f>IF('Supp. Result Entry'!V118="","",'Supp. Result Entry'!V118)</f>
        <v/>
      </c>
      <c r="IF119" s="212" t="str">
        <f>IF('Supp. Result Entry'!Y118="","",'Supp. Result Entry'!Y118)</f>
        <v/>
      </c>
      <c r="IG119" s="212" t="str">
        <f>IF('Supp. Result Entry'!AB118="","",'Supp. Result Entry'!AB118)</f>
        <v/>
      </c>
      <c r="IH119" s="212" t="str">
        <f>IF('Supp. Result Entry'!AE118="","",'Supp. Result Entry'!AE118)</f>
        <v/>
      </c>
      <c r="II119" s="212" t="str">
        <f>IF('Supp. Result Entry'!AH118="","",'Supp. Result Entry'!AH118)</f>
        <v/>
      </c>
      <c r="IJ119" s="212" t="str">
        <f>IF('Supp. Result Entry'!AK118="","",'Supp. Result Entry'!AK118)</f>
        <v/>
      </c>
      <c r="IK119" s="212" t="str">
        <f>IF('Supp. Result Entry'!W118="","",'Supp. Result Entry'!W118)</f>
        <v/>
      </c>
      <c r="IL119" s="212" t="str">
        <f>IF('Supp. Result Entry'!Z118="","",'Supp. Result Entry'!Z118)</f>
        <v/>
      </c>
      <c r="IM119" s="212" t="str">
        <f>IF('Supp. Result Entry'!AC118="","",'Supp. Result Entry'!AC118)</f>
        <v/>
      </c>
      <c r="IN119" s="212" t="str">
        <f>IF('Supp. Result Entry'!AF118="","",'Supp. Result Entry'!AF118)</f>
        <v/>
      </c>
      <c r="IO119" s="212" t="str">
        <f>IF('Supp. Result Entry'!AI118="","",'Supp. Result Entry'!AI118)</f>
        <v/>
      </c>
      <c r="IP119" s="212" t="str">
        <f>IF('Supp. Result Entry'!AL118="","",'Supp. Result Entry'!AL118)</f>
        <v/>
      </c>
      <c r="IQ119" s="212">
        <f>COUNTIF('Supp. Result Entry'!K118:Q118,"S")</f>
        <v>0</v>
      </c>
      <c r="IR119" s="212">
        <f t="shared" si="355"/>
        <v>0</v>
      </c>
      <c r="IS119" s="212">
        <f t="shared" si="356"/>
        <v>0</v>
      </c>
      <c r="IT119" s="212" t="str">
        <f t="shared" si="224"/>
        <v/>
      </c>
      <c r="IU119" s="212" t="str">
        <f t="shared" si="225"/>
        <v/>
      </c>
      <c r="IV119" s="212" t="str">
        <f t="shared" si="226"/>
        <v/>
      </c>
      <c r="IW119" s="212" t="str">
        <f t="shared" si="227"/>
        <v/>
      </c>
      <c r="IX119" s="212" t="str">
        <f t="shared" si="228"/>
        <v/>
      </c>
      <c r="IY119" s="212" t="str">
        <f t="shared" si="357"/>
        <v/>
      </c>
      <c r="IZ119" s="212" t="str">
        <f t="shared" si="358"/>
        <v/>
      </c>
      <c r="JA119" s="212" t="str">
        <f t="shared" si="229"/>
        <v/>
      </c>
      <c r="JB119" s="210" t="str">
        <f t="shared" si="359"/>
        <v/>
      </c>
    </row>
    <row r="120" spans="1:262" s="210" customFormat="1" ht="21" customHeight="1">
      <c r="A120" s="183">
        <v>113</v>
      </c>
      <c r="B120" s="184" t="str">
        <f>IF('Marks Entry'!B120="","",'Marks Entry'!B120)</f>
        <v/>
      </c>
      <c r="C120" s="185" t="str">
        <f>IF('Marks Entry'!D120="","",'Marks Entry'!D120)</f>
        <v/>
      </c>
      <c r="D120" s="186" t="str">
        <f>IF('Marks Entry'!E120="","",'Marks Entry'!E120)</f>
        <v/>
      </c>
      <c r="E120" s="187" t="str">
        <f>IF('Marks Entry'!F120="","",'Marks Entry'!F120)</f>
        <v/>
      </c>
      <c r="F120" s="187" t="str">
        <f>IF('Marks Entry'!G120="","",'Marks Entry'!G120)</f>
        <v/>
      </c>
      <c r="G120" s="187" t="str">
        <f>IF('Marks Entry'!H120="","",'Marks Entry'!H120)</f>
        <v/>
      </c>
      <c r="H120" s="188" t="str">
        <f>IF('Marks Entry'!I120="","",'Marks Entry'!I120)</f>
        <v/>
      </c>
      <c r="I120" s="189" t="str">
        <f>IF('Marks Entry'!J120="","",'Marks Entry'!J120)</f>
        <v/>
      </c>
      <c r="J120" s="545" t="str">
        <f>IF('Marks Entry'!K120="","",'Marks Entry'!K120)</f>
        <v/>
      </c>
      <c r="K120" s="545" t="str">
        <f>IF('Marks Entry'!L120="","",'Marks Entry'!L120)</f>
        <v/>
      </c>
      <c r="L120" s="545" t="str">
        <f>IF('Marks Entry'!M120="","",'Marks Entry'!M120)</f>
        <v/>
      </c>
      <c r="M120" s="546" t="str">
        <f t="shared" si="230"/>
        <v/>
      </c>
      <c r="N120" s="545" t="str">
        <f>IF('Marks Entry'!N120="","",'Marks Entry'!N120)</f>
        <v/>
      </c>
      <c r="O120" s="546" t="str">
        <f t="shared" si="231"/>
        <v/>
      </c>
      <c r="P120" s="545" t="str">
        <f>IF('Marks Entry'!O120="","",'Marks Entry'!O120)</f>
        <v/>
      </c>
      <c r="Q120" s="547" t="str">
        <f t="shared" si="232"/>
        <v/>
      </c>
      <c r="R120" s="152">
        <f t="shared" si="233"/>
        <v>0</v>
      </c>
      <c r="S120" s="152">
        <f t="shared" si="234"/>
        <v>0</v>
      </c>
      <c r="T120" s="153" t="str">
        <f t="shared" si="235"/>
        <v/>
      </c>
      <c r="U120" s="152" t="str">
        <f t="shared" si="236"/>
        <v/>
      </c>
      <c r="V120" s="152" t="str">
        <f t="shared" si="237"/>
        <v/>
      </c>
      <c r="W120" s="152" t="str">
        <f t="shared" si="238"/>
        <v/>
      </c>
      <c r="X120" s="545" t="str">
        <f>IF('Marks Entry'!P120="","",'Marks Entry'!P120)</f>
        <v/>
      </c>
      <c r="Y120" s="545" t="str">
        <f>IF('Marks Entry'!Q120="","",'Marks Entry'!Q120)</f>
        <v/>
      </c>
      <c r="Z120" s="545" t="str">
        <f>IF('Marks Entry'!R120="","",'Marks Entry'!R120)</f>
        <v/>
      </c>
      <c r="AA120" s="546" t="str">
        <f t="shared" si="239"/>
        <v/>
      </c>
      <c r="AB120" s="545" t="str">
        <f>IF('Marks Entry'!S120="","",'Marks Entry'!S120)</f>
        <v/>
      </c>
      <c r="AC120" s="546" t="str">
        <f t="shared" si="240"/>
        <v/>
      </c>
      <c r="AD120" s="545" t="str">
        <f>IF('Marks Entry'!T120="","",'Marks Entry'!T120)</f>
        <v/>
      </c>
      <c r="AE120" s="547" t="str">
        <f t="shared" si="241"/>
        <v/>
      </c>
      <c r="AF120" s="152">
        <f t="shared" si="242"/>
        <v>0</v>
      </c>
      <c r="AG120" s="152">
        <f t="shared" si="243"/>
        <v>0</v>
      </c>
      <c r="AH120" s="153" t="str">
        <f t="shared" si="244"/>
        <v/>
      </c>
      <c r="AI120" s="152" t="str">
        <f t="shared" si="245"/>
        <v/>
      </c>
      <c r="AJ120" s="152" t="str">
        <f t="shared" si="246"/>
        <v/>
      </c>
      <c r="AK120" s="152" t="str">
        <f t="shared" si="247"/>
        <v/>
      </c>
      <c r="AL120" s="573" t="str">
        <f>IF('Marks Entry'!U120="","",'Marks Entry'!U120)</f>
        <v/>
      </c>
      <c r="AM120" s="573" t="str">
        <f>IF('Marks Entry'!V120="","",'Marks Entry'!V120)</f>
        <v/>
      </c>
      <c r="AN120" s="573" t="str">
        <f>IF('Marks Entry'!W120="","",'Marks Entry'!W120)</f>
        <v/>
      </c>
      <c r="AO120" s="573" t="str">
        <f>IF('Marks Entry'!X120="","",'Marks Entry'!X120)</f>
        <v/>
      </c>
      <c r="AP120" s="572" t="str">
        <f t="shared" si="248"/>
        <v/>
      </c>
      <c r="AQ120" s="573" t="str">
        <f>IF('Marks Entry'!Y120="","",'Marks Entry'!Y120)</f>
        <v/>
      </c>
      <c r="AR120" s="573" t="str">
        <f>IF('Marks Entry'!Z120="","",'Marks Entry'!Z120)</f>
        <v/>
      </c>
      <c r="AS120" s="572" t="str">
        <f t="shared" si="249"/>
        <v/>
      </c>
      <c r="AT120" s="572" t="str">
        <f t="shared" si="250"/>
        <v/>
      </c>
      <c r="AU120" s="573" t="str">
        <f>IF('Marks Entry'!AA120="","",'Marks Entry'!AA120)</f>
        <v/>
      </c>
      <c r="AV120" s="573" t="str">
        <f>IF('Marks Entry'!AB120="","",'Marks Entry'!AB120)</f>
        <v/>
      </c>
      <c r="AW120" s="572" t="str">
        <f t="shared" si="251"/>
        <v/>
      </c>
      <c r="AX120" s="156" t="str">
        <f t="shared" si="252"/>
        <v/>
      </c>
      <c r="AY120" s="156" t="str">
        <f t="shared" si="253"/>
        <v/>
      </c>
      <c r="AZ120" s="191" t="str">
        <f t="shared" si="254"/>
        <v/>
      </c>
      <c r="BA120" s="152">
        <f t="shared" si="255"/>
        <v>0</v>
      </c>
      <c r="BB120" s="153">
        <f t="shared" si="256"/>
        <v>0</v>
      </c>
      <c r="BC120" s="153" t="str">
        <f t="shared" si="257"/>
        <v/>
      </c>
      <c r="BD120" s="153" t="str">
        <f t="shared" si="258"/>
        <v/>
      </c>
      <c r="BE120" s="153" t="str">
        <f t="shared" si="259"/>
        <v/>
      </c>
      <c r="BF120" s="152" t="str">
        <f t="shared" si="260"/>
        <v/>
      </c>
      <c r="BG120" s="153" t="str">
        <f t="shared" si="261"/>
        <v/>
      </c>
      <c r="BH120" s="152" t="str">
        <f t="shared" si="262"/>
        <v/>
      </c>
      <c r="BI120" s="580" t="str">
        <f>IF('Marks Entry'!AC120="","",'Marks Entry'!AC120)</f>
        <v/>
      </c>
      <c r="BJ120" s="580" t="str">
        <f>IF('Marks Entry'!AD120="","",'Marks Entry'!AD120)</f>
        <v/>
      </c>
      <c r="BK120" s="580" t="str">
        <f>IF('Marks Entry'!AE120="","",'Marks Entry'!AE120)</f>
        <v/>
      </c>
      <c r="BL120" s="580" t="str">
        <f>IF('Marks Entry'!AF120="","",'Marks Entry'!AF120)</f>
        <v/>
      </c>
      <c r="BM120" s="581" t="str">
        <f t="shared" si="263"/>
        <v/>
      </c>
      <c r="BN120" s="580" t="str">
        <f>IF('Marks Entry'!AG120="","",'Marks Entry'!AG120)</f>
        <v/>
      </c>
      <c r="BO120" s="580" t="str">
        <f>IF('Marks Entry'!AH120="","",'Marks Entry'!AH120)</f>
        <v/>
      </c>
      <c r="BP120" s="581" t="str">
        <f t="shared" si="264"/>
        <v/>
      </c>
      <c r="BQ120" s="581" t="str">
        <f t="shared" si="265"/>
        <v/>
      </c>
      <c r="BR120" s="580" t="str">
        <f>IF('Marks Entry'!AI120="","",'Marks Entry'!AI120)</f>
        <v/>
      </c>
      <c r="BS120" s="580" t="str">
        <f>IF('Marks Entry'!AJ120="","",'Marks Entry'!AJ120)</f>
        <v/>
      </c>
      <c r="BT120" s="581" t="str">
        <f t="shared" si="266"/>
        <v/>
      </c>
      <c r="BU120" s="156" t="str">
        <f t="shared" si="267"/>
        <v/>
      </c>
      <c r="BV120" s="156" t="str">
        <f t="shared" si="268"/>
        <v/>
      </c>
      <c r="BW120" s="191" t="str">
        <f t="shared" si="269"/>
        <v/>
      </c>
      <c r="BX120" s="152">
        <f t="shared" si="270"/>
        <v>0</v>
      </c>
      <c r="BY120" s="153">
        <f t="shared" si="271"/>
        <v>0</v>
      </c>
      <c r="BZ120" s="153" t="str">
        <f t="shared" si="272"/>
        <v/>
      </c>
      <c r="CA120" s="153" t="str">
        <f t="shared" si="273"/>
        <v/>
      </c>
      <c r="CB120" s="153" t="str">
        <f t="shared" si="274"/>
        <v/>
      </c>
      <c r="CC120" s="152" t="str">
        <f t="shared" si="275"/>
        <v/>
      </c>
      <c r="CD120" s="153" t="str">
        <f t="shared" si="276"/>
        <v/>
      </c>
      <c r="CE120" s="152" t="str">
        <f t="shared" si="277"/>
        <v/>
      </c>
      <c r="CF120" s="580" t="str">
        <f>IF('Marks Entry'!AK120="","",'Marks Entry'!AK120)</f>
        <v/>
      </c>
      <c r="CG120" s="580" t="str">
        <f>IF('Marks Entry'!AL120="","",'Marks Entry'!AL120)</f>
        <v/>
      </c>
      <c r="CH120" s="580" t="str">
        <f>IF('Marks Entry'!AM120="","",'Marks Entry'!AM120)</f>
        <v/>
      </c>
      <c r="CI120" s="580" t="str">
        <f>IF('Marks Entry'!AN120="","",'Marks Entry'!AN120)</f>
        <v/>
      </c>
      <c r="CJ120" s="581" t="str">
        <f t="shared" si="278"/>
        <v/>
      </c>
      <c r="CK120" s="580" t="str">
        <f>IF('Marks Entry'!AO120="","",'Marks Entry'!AO120)</f>
        <v/>
      </c>
      <c r="CL120" s="580" t="str">
        <f>IF('Marks Entry'!AP120="","",'Marks Entry'!AP120)</f>
        <v/>
      </c>
      <c r="CM120" s="581" t="str">
        <f t="shared" si="279"/>
        <v/>
      </c>
      <c r="CN120" s="581" t="str">
        <f t="shared" si="280"/>
        <v/>
      </c>
      <c r="CO120" s="580" t="str">
        <f>IF('Marks Entry'!AQ120="","",'Marks Entry'!AQ120)</f>
        <v/>
      </c>
      <c r="CP120" s="580" t="str">
        <f>IF('Marks Entry'!AR120="","",'Marks Entry'!AR120)</f>
        <v/>
      </c>
      <c r="CQ120" s="581" t="str">
        <f t="shared" si="281"/>
        <v/>
      </c>
      <c r="CR120" s="156" t="str">
        <f t="shared" si="282"/>
        <v/>
      </c>
      <c r="CS120" s="156" t="str">
        <f t="shared" si="283"/>
        <v/>
      </c>
      <c r="CT120" s="191" t="str">
        <f t="shared" si="284"/>
        <v/>
      </c>
      <c r="CU120" s="152">
        <f t="shared" si="285"/>
        <v>0</v>
      </c>
      <c r="CV120" s="153">
        <f t="shared" si="286"/>
        <v>0</v>
      </c>
      <c r="CW120" s="153" t="str">
        <f t="shared" si="287"/>
        <v/>
      </c>
      <c r="CX120" s="153" t="str">
        <f t="shared" si="288"/>
        <v/>
      </c>
      <c r="CY120" s="153" t="str">
        <f t="shared" si="289"/>
        <v/>
      </c>
      <c r="CZ120" s="152" t="str">
        <f t="shared" si="290"/>
        <v/>
      </c>
      <c r="DA120" s="153" t="str">
        <f t="shared" si="291"/>
        <v/>
      </c>
      <c r="DB120" s="152" t="str">
        <f t="shared" si="292"/>
        <v/>
      </c>
      <c r="DC120" s="153">
        <f t="shared" si="293"/>
        <v>0</v>
      </c>
      <c r="DD120" s="851" t="str">
        <f>IF('Marks Entry'!AS120="","",IF(OR('Master Sheet'!$D$19="YES",'Marks Entry'!$BA$1=1),'Marks Entry'!AS120,""))</f>
        <v/>
      </c>
      <c r="DE120" s="851" t="str">
        <f>IF('Marks Entry'!AT120="","",IF(OR('Master Sheet'!$D$19="YES",'Marks Entry'!$BA$1=1),'Marks Entry'!AT120,""))</f>
        <v/>
      </c>
      <c r="DF120" s="851" t="str">
        <f>IF('Marks Entry'!AU120="","",IF(OR('Master Sheet'!$D$19="YES",'Marks Entry'!$BA$1=1),'Marks Entry'!AU120,""))</f>
        <v/>
      </c>
      <c r="DG120" s="851" t="str">
        <f>IF('Marks Entry'!AV120="","",IF(OR('Master Sheet'!$D$19="YES",'Marks Entry'!$BA$1=1),'Marks Entry'!AV120,""))</f>
        <v/>
      </c>
      <c r="DH120" s="852" t="str">
        <f t="shared" si="294"/>
        <v/>
      </c>
      <c r="DI120" s="851" t="str">
        <f>IF('Marks Entry'!AW120="","",IF(OR('Master Sheet'!$D$19="YES",'Marks Entry'!$BA$1=1),'Marks Entry'!AW120,""))</f>
        <v/>
      </c>
      <c r="DJ120" s="851" t="str">
        <f>IF('Marks Entry'!AX120="","",IF(OR('Master Sheet'!$D$19="YES",'Marks Entry'!$BA$1=1),'Marks Entry'!AX120,""))</f>
        <v/>
      </c>
      <c r="DK120" s="852" t="str">
        <f t="shared" si="295"/>
        <v/>
      </c>
      <c r="DL120" s="852" t="str">
        <f t="shared" si="296"/>
        <v/>
      </c>
      <c r="DM120" s="851" t="str">
        <f>IF('Marks Entry'!AY120="","",IF(OR('Master Sheet'!$D$19="YES",'Marks Entry'!$BA$1=1),'Marks Entry'!AY120,""))</f>
        <v/>
      </c>
      <c r="DN120" s="851" t="str">
        <f>IF('Marks Entry'!AZ120="","",IF(OR('Master Sheet'!$D$19="YES",'Marks Entry'!$BA$1=1),'Marks Entry'!AZ120,""))</f>
        <v/>
      </c>
      <c r="DO120" s="851" t="str">
        <f>IF('Marks Entry'!BA120="","",IF(OR('Master Sheet'!$D$19="YES",'Marks Entry'!$BA$1=1),'Marks Entry'!BA120,""))</f>
        <v/>
      </c>
      <c r="DP120" s="852" t="str">
        <f t="shared" si="297"/>
        <v/>
      </c>
      <c r="DQ120" s="156" t="str">
        <f t="shared" si="298"/>
        <v/>
      </c>
      <c r="DR120" s="156" t="str">
        <f t="shared" si="299"/>
        <v/>
      </c>
      <c r="DS120" s="156" t="str">
        <f t="shared" si="300"/>
        <v/>
      </c>
      <c r="DT120" s="191" t="str">
        <f t="shared" si="301"/>
        <v/>
      </c>
      <c r="DU120" s="152">
        <f t="shared" si="302"/>
        <v>0</v>
      </c>
      <c r="DV120" s="153">
        <f t="shared" si="303"/>
        <v>0</v>
      </c>
      <c r="DW120" s="153" t="str">
        <f t="shared" si="304"/>
        <v/>
      </c>
      <c r="DX120" s="153" t="str">
        <f>IF(OR($B120="NSO",$B120=0,DS120=""),"",IF(AND(DJ120="",DO120=""),"",IF('Master Sheet'!$D$19="YES",$DO$6-COUNTIF(DO120,"ML")*DO$6,DS$6-(COUNTIF(DJ120,"ML")*DJ$6)-(COUNTIF(DO120,"ML")*DO$6))))</f>
        <v/>
      </c>
      <c r="DY120" s="153" t="str">
        <f>IF(OR($B120="NSO",$B120=0),"",IF(AND(DH120="",DI120="",DM120=""),"",IF(AND('Master Sheet'!$D$19="YES",'Marks Entry'!$BA$1=1),100,IF(AND(DJ120="",DO120=""),SUM(($DQ$7+$DR$7)-(DU120+DV120)),SUM(($DQ$6+$DR$6)-(DU120+DV120))))))</f>
        <v/>
      </c>
      <c r="DZ120" s="152" t="str">
        <f t="shared" si="305"/>
        <v/>
      </c>
      <c r="EA120" s="153" t="str">
        <f t="shared" si="306"/>
        <v/>
      </c>
      <c r="EB120" s="152" t="str">
        <f t="shared" si="307"/>
        <v/>
      </c>
      <c r="EC120" s="584" t="str">
        <f>IF('Marks Entry'!BB120="","",'Marks Entry'!BB120)</f>
        <v/>
      </c>
      <c r="ED120" s="584" t="str">
        <f>IF('Marks Entry'!BC120="","",'Marks Entry'!BC120)</f>
        <v/>
      </c>
      <c r="EE120" s="584" t="str">
        <f>IF('Marks Entry'!BD120="","",'Marks Entry'!BD120)</f>
        <v/>
      </c>
      <c r="EF120" s="590" t="str">
        <f t="shared" si="308"/>
        <v/>
      </c>
      <c r="EG120" s="595">
        <f t="shared" si="309"/>
        <v>0</v>
      </c>
      <c r="EH120" s="595">
        <f t="shared" si="310"/>
        <v>0</v>
      </c>
      <c r="EI120" s="192" t="str">
        <f t="shared" si="311"/>
        <v/>
      </c>
      <c r="EJ120" s="595" t="str">
        <f t="shared" si="312"/>
        <v/>
      </c>
      <c r="EK120" s="595" t="str">
        <f t="shared" si="313"/>
        <v/>
      </c>
      <c r="EL120" s="193" t="str">
        <f t="shared" si="314"/>
        <v/>
      </c>
      <c r="EM120" s="193" t="str">
        <f t="shared" si="315"/>
        <v/>
      </c>
      <c r="EN120" s="193" t="str">
        <f t="shared" si="316"/>
        <v/>
      </c>
      <c r="EO120" s="193" t="str">
        <f t="shared" si="317"/>
        <v/>
      </c>
      <c r="EP120" s="193" t="str">
        <f t="shared" si="318"/>
        <v/>
      </c>
      <c r="EQ120" s="193" t="str">
        <f t="shared" si="319"/>
        <v/>
      </c>
      <c r="ER120" s="194">
        <f t="shared" si="320"/>
        <v>0</v>
      </c>
      <c r="ES120" s="194">
        <f t="shared" si="321"/>
        <v>0</v>
      </c>
      <c r="ET120" s="194">
        <f t="shared" si="322"/>
        <v>0</v>
      </c>
      <c r="EU120" s="194">
        <f t="shared" si="323"/>
        <v>0</v>
      </c>
      <c r="EV120" s="194">
        <f t="shared" si="324"/>
        <v>0</v>
      </c>
      <c r="EW120" s="194" t="str">
        <f t="shared" si="325"/>
        <v/>
      </c>
      <c r="EX120" s="195" t="str">
        <f t="shared" si="326"/>
        <v/>
      </c>
      <c r="EY120" s="196" t="str">
        <f>IF('Marks Entry'!BE120="","",'Marks Entry'!BE120)</f>
        <v/>
      </c>
      <c r="EZ120" s="196" t="str">
        <f>IF('Marks Entry'!BF120="","",'Marks Entry'!BF120)</f>
        <v/>
      </c>
      <c r="FA120" s="196" t="str">
        <f>IF('Marks Entry'!BG120="","",'Marks Entry'!BG120)</f>
        <v/>
      </c>
      <c r="FB120" s="596" t="str">
        <f t="shared" si="327"/>
        <v/>
      </c>
      <c r="FC120" s="196" t="str">
        <f>IF('Marks Entry'!BH120="","",'Marks Entry'!BH120)</f>
        <v/>
      </c>
      <c r="FD120" s="196" t="str">
        <f>IF('Marks Entry'!BI120="","",'Marks Entry'!BI120)</f>
        <v/>
      </c>
      <c r="FE120" s="197" t="str">
        <f t="shared" si="328"/>
        <v/>
      </c>
      <c r="FF120" s="198" t="str">
        <f t="shared" si="329"/>
        <v/>
      </c>
      <c r="FG120" s="199" t="str">
        <f>IF(AND(E120=""),"",IF('Student DATA Entry'!L116="","",'Student DATA Entry'!L116))</f>
        <v/>
      </c>
      <c r="FH120" s="200" t="str">
        <f>IF(AND(E120=""),"",IF('Student DATA Entry'!M116="","",'Student DATA Entry'!M116))</f>
        <v/>
      </c>
      <c r="FI120" s="201" t="str">
        <f t="shared" si="330"/>
        <v/>
      </c>
      <c r="FJ120" s="188" t="str">
        <f t="shared" si="331"/>
        <v/>
      </c>
      <c r="FK120" s="188" t="str">
        <f t="shared" si="332"/>
        <v/>
      </c>
      <c r="FL120" s="202" t="str">
        <f t="shared" si="360"/>
        <v/>
      </c>
      <c r="FM120" s="188" t="str">
        <f t="shared" si="333"/>
        <v/>
      </c>
      <c r="FN120" s="203" t="str">
        <f t="shared" si="334"/>
        <v/>
      </c>
      <c r="FO120" s="202" t="str">
        <f t="shared" si="361"/>
        <v/>
      </c>
      <c r="FP120" s="204" t="str">
        <f t="shared" si="335"/>
        <v/>
      </c>
      <c r="FQ120" s="188" t="str">
        <f t="shared" si="362"/>
        <v/>
      </c>
      <c r="FR120" s="188" t="str">
        <f t="shared" si="363"/>
        <v/>
      </c>
      <c r="FS120" s="188" t="str">
        <f t="shared" si="364"/>
        <v/>
      </c>
      <c r="FT120" s="188" t="str">
        <f t="shared" si="365"/>
        <v/>
      </c>
      <c r="FU120" s="188" t="str">
        <f t="shared" si="336"/>
        <v/>
      </c>
      <c r="FV120" s="205" t="str">
        <f t="shared" si="366"/>
        <v/>
      </c>
      <c r="FW120" s="204" t="str">
        <f t="shared" si="337"/>
        <v/>
      </c>
      <c r="FX120" s="188" t="str">
        <f t="shared" si="367"/>
        <v/>
      </c>
      <c r="FY120" s="188" t="str">
        <f t="shared" si="368"/>
        <v/>
      </c>
      <c r="FZ120" s="188" t="str">
        <f t="shared" si="369"/>
        <v/>
      </c>
      <c r="GA120" s="188" t="str">
        <f t="shared" si="370"/>
        <v/>
      </c>
      <c r="GB120" s="188" t="str">
        <f t="shared" si="338"/>
        <v/>
      </c>
      <c r="GC120" s="205" t="str">
        <f t="shared" si="371"/>
        <v/>
      </c>
      <c r="GD120" s="204" t="str">
        <f t="shared" si="339"/>
        <v/>
      </c>
      <c r="GE120" s="188" t="str">
        <f t="shared" si="372"/>
        <v/>
      </c>
      <c r="GF120" s="188" t="str">
        <f t="shared" si="373"/>
        <v/>
      </c>
      <c r="GG120" s="188" t="str">
        <f t="shared" si="374"/>
        <v/>
      </c>
      <c r="GH120" s="188" t="str">
        <f t="shared" si="375"/>
        <v/>
      </c>
      <c r="GI120" s="188" t="str">
        <f t="shared" si="340"/>
        <v/>
      </c>
      <c r="GJ120" s="205" t="str">
        <f t="shared" si="376"/>
        <v/>
      </c>
      <c r="GK120" s="204" t="str">
        <f t="shared" si="341"/>
        <v/>
      </c>
      <c r="GL120" s="188" t="str">
        <f t="shared" si="377"/>
        <v/>
      </c>
      <c r="GM120" s="188" t="str">
        <f t="shared" si="378"/>
        <v/>
      </c>
      <c r="GN120" s="188" t="str">
        <f t="shared" si="379"/>
        <v/>
      </c>
      <c r="GO120" s="188" t="str">
        <f t="shared" si="380"/>
        <v/>
      </c>
      <c r="GP120" s="188" t="str">
        <f t="shared" si="342"/>
        <v/>
      </c>
      <c r="GQ120" s="205" t="str">
        <f t="shared" si="381"/>
        <v/>
      </c>
      <c r="GR120" s="188" t="str">
        <f t="shared" si="343"/>
        <v/>
      </c>
      <c r="GS120" s="188" t="str">
        <f t="shared" si="344"/>
        <v/>
      </c>
      <c r="GT120" s="206" t="str">
        <f t="shared" si="345"/>
        <v xml:space="preserve">    </v>
      </c>
      <c r="GU120" s="206" t="str">
        <f t="shared" si="346"/>
        <v xml:space="preserve">    </v>
      </c>
      <c r="GV120" s="206" t="str">
        <f t="shared" si="347"/>
        <v xml:space="preserve">    </v>
      </c>
      <c r="GW120" s="206" t="str">
        <f t="shared" si="348"/>
        <v xml:space="preserve">       </v>
      </c>
      <c r="GX120" s="598" t="str">
        <f t="shared" si="349"/>
        <v xml:space="preserve">     </v>
      </c>
      <c r="GY120" s="207" t="str">
        <f t="shared" si="382"/>
        <v/>
      </c>
      <c r="GZ120" s="606" t="str">
        <f>IF(AND(Q120="",AE120="",AZ120="",BW120="",CT120=""),"",IF(AND('Master Sheet'!$D$19="YES",'Marks Entry'!$BA$1=1),SUM(Q120,AE120,AZ120,BW120,DT120),SUM(Q120,AE120,AZ120,BW120,CT120)))</f>
        <v/>
      </c>
      <c r="HA120" s="208" t="str">
        <f>IF(GZ120="","",IF(AND('Master Sheet'!$D$19="YES",'Marks Entry'!$BA$1=1),GZ120/((900)-DC120)*100,GZ120/((1000)-DC120)*100))</f>
        <v/>
      </c>
      <c r="HB120" s="611" t="str">
        <f t="shared" si="350"/>
        <v/>
      </c>
      <c r="HC120" s="609" t="str">
        <f t="shared" si="351"/>
        <v/>
      </c>
      <c r="HD120" s="610" t="str">
        <f t="shared" si="352"/>
        <v/>
      </c>
      <c r="HE120" s="209" t="str">
        <f>IFERROR(IF(OR(GY120="SUPPLEMENTARY",GY120="RE-EXAM"),'Supp. Result Entry'!AS119,""),"")</f>
        <v/>
      </c>
      <c r="HF120" s="613" t="str">
        <f t="shared" si="353"/>
        <v/>
      </c>
      <c r="HG120" s="598" t="str">
        <f t="shared" si="354"/>
        <v/>
      </c>
      <c r="HH120" s="598" t="str">
        <f>IF(AND(HE120="",HF120="",HG120=""),"",IF(OR(GY120="SUPPLEMENTARY",GY120="RE-EXAM"),'Supp. Result Entry'!AS119,GY120))</f>
        <v/>
      </c>
      <c r="HI120" s="179"/>
      <c r="HY120" s="211" t="str">
        <f>IF('Supp. Result Entry'!U119="","",'Supp. Result Entry'!$U$6)</f>
        <v/>
      </c>
      <c r="HZ120" s="212" t="str">
        <f>IF('Supp. Result Entry'!X119="","",'Supp. Result Entry'!$X$6)</f>
        <v/>
      </c>
      <c r="IA120" s="212" t="str">
        <f>IF('Supp. Result Entry'!AA119="","",'Supp. Result Entry'!$AA$6)</f>
        <v/>
      </c>
      <c r="IB120" s="212" t="str">
        <f>IF('Supp. Result Entry'!AD119="","",'Supp. Result Entry'!$AD$6)</f>
        <v/>
      </c>
      <c r="IC120" s="212" t="str">
        <f>IF('Supp. Result Entry'!AG119="","",'Supp. Result Entry'!$AG$6)</f>
        <v/>
      </c>
      <c r="ID120" s="212" t="str">
        <f>IF('Supp. Result Entry'!AJ119="","",'Supp. Result Entry'!$AJ$6)</f>
        <v/>
      </c>
      <c r="IE120" s="212" t="str">
        <f>IF('Supp. Result Entry'!V119="","",'Supp. Result Entry'!V119)</f>
        <v/>
      </c>
      <c r="IF120" s="212" t="str">
        <f>IF('Supp. Result Entry'!Y119="","",'Supp. Result Entry'!Y119)</f>
        <v/>
      </c>
      <c r="IG120" s="212" t="str">
        <f>IF('Supp. Result Entry'!AB119="","",'Supp. Result Entry'!AB119)</f>
        <v/>
      </c>
      <c r="IH120" s="212" t="str">
        <f>IF('Supp. Result Entry'!AE119="","",'Supp. Result Entry'!AE119)</f>
        <v/>
      </c>
      <c r="II120" s="212" t="str">
        <f>IF('Supp. Result Entry'!AH119="","",'Supp. Result Entry'!AH119)</f>
        <v/>
      </c>
      <c r="IJ120" s="212" t="str">
        <f>IF('Supp. Result Entry'!AK119="","",'Supp. Result Entry'!AK119)</f>
        <v/>
      </c>
      <c r="IK120" s="212" t="str">
        <f>IF('Supp. Result Entry'!W119="","",'Supp. Result Entry'!W119)</f>
        <v/>
      </c>
      <c r="IL120" s="212" t="str">
        <f>IF('Supp. Result Entry'!Z119="","",'Supp. Result Entry'!Z119)</f>
        <v/>
      </c>
      <c r="IM120" s="212" t="str">
        <f>IF('Supp. Result Entry'!AC119="","",'Supp. Result Entry'!AC119)</f>
        <v/>
      </c>
      <c r="IN120" s="212" t="str">
        <f>IF('Supp. Result Entry'!AF119="","",'Supp. Result Entry'!AF119)</f>
        <v/>
      </c>
      <c r="IO120" s="212" t="str">
        <f>IF('Supp. Result Entry'!AI119="","",'Supp. Result Entry'!AI119)</f>
        <v/>
      </c>
      <c r="IP120" s="212" t="str">
        <f>IF('Supp. Result Entry'!AL119="","",'Supp. Result Entry'!AL119)</f>
        <v/>
      </c>
      <c r="IQ120" s="212">
        <f>COUNTIF('Supp. Result Entry'!K119:Q119,"S")</f>
        <v>0</v>
      </c>
      <c r="IR120" s="212">
        <f t="shared" si="355"/>
        <v>0</v>
      </c>
      <c r="IS120" s="212">
        <f t="shared" si="356"/>
        <v>0</v>
      </c>
      <c r="IT120" s="212" t="str">
        <f t="shared" si="224"/>
        <v/>
      </c>
      <c r="IU120" s="212" t="str">
        <f t="shared" si="225"/>
        <v/>
      </c>
      <c r="IV120" s="212" t="str">
        <f t="shared" si="226"/>
        <v/>
      </c>
      <c r="IW120" s="212" t="str">
        <f t="shared" si="227"/>
        <v/>
      </c>
      <c r="IX120" s="212" t="str">
        <f t="shared" si="228"/>
        <v/>
      </c>
      <c r="IY120" s="212" t="str">
        <f t="shared" si="357"/>
        <v/>
      </c>
      <c r="IZ120" s="212" t="str">
        <f t="shared" si="358"/>
        <v/>
      </c>
      <c r="JA120" s="212" t="str">
        <f t="shared" si="229"/>
        <v/>
      </c>
      <c r="JB120" s="210" t="str">
        <f t="shared" si="359"/>
        <v/>
      </c>
    </row>
    <row r="121" spans="1:262" s="210" customFormat="1" ht="21" customHeight="1">
      <c r="A121" s="183">
        <v>114</v>
      </c>
      <c r="B121" s="184" t="str">
        <f>IF('Marks Entry'!B121="","",'Marks Entry'!B121)</f>
        <v/>
      </c>
      <c r="C121" s="185" t="str">
        <f>IF('Marks Entry'!D121="","",'Marks Entry'!D121)</f>
        <v/>
      </c>
      <c r="D121" s="186" t="str">
        <f>IF('Marks Entry'!E121="","",'Marks Entry'!E121)</f>
        <v/>
      </c>
      <c r="E121" s="187" t="str">
        <f>IF('Marks Entry'!F121="","",'Marks Entry'!F121)</f>
        <v/>
      </c>
      <c r="F121" s="187" t="str">
        <f>IF('Marks Entry'!G121="","",'Marks Entry'!G121)</f>
        <v/>
      </c>
      <c r="G121" s="187" t="str">
        <f>IF('Marks Entry'!H121="","",'Marks Entry'!H121)</f>
        <v/>
      </c>
      <c r="H121" s="188" t="str">
        <f>IF('Marks Entry'!I121="","",'Marks Entry'!I121)</f>
        <v/>
      </c>
      <c r="I121" s="189" t="str">
        <f>IF('Marks Entry'!J121="","",'Marks Entry'!J121)</f>
        <v/>
      </c>
      <c r="J121" s="545" t="str">
        <f>IF('Marks Entry'!K121="","",'Marks Entry'!K121)</f>
        <v/>
      </c>
      <c r="K121" s="545" t="str">
        <f>IF('Marks Entry'!L121="","",'Marks Entry'!L121)</f>
        <v/>
      </c>
      <c r="L121" s="545" t="str">
        <f>IF('Marks Entry'!M121="","",'Marks Entry'!M121)</f>
        <v/>
      </c>
      <c r="M121" s="546" t="str">
        <f t="shared" si="230"/>
        <v/>
      </c>
      <c r="N121" s="545" t="str">
        <f>IF('Marks Entry'!N121="","",'Marks Entry'!N121)</f>
        <v/>
      </c>
      <c r="O121" s="546" t="str">
        <f t="shared" si="231"/>
        <v/>
      </c>
      <c r="P121" s="545" t="str">
        <f>IF('Marks Entry'!O121="","",'Marks Entry'!O121)</f>
        <v/>
      </c>
      <c r="Q121" s="547" t="str">
        <f t="shared" si="232"/>
        <v/>
      </c>
      <c r="R121" s="152">
        <f t="shared" si="233"/>
        <v>0</v>
      </c>
      <c r="S121" s="152">
        <f t="shared" si="234"/>
        <v>0</v>
      </c>
      <c r="T121" s="153" t="str">
        <f t="shared" si="235"/>
        <v/>
      </c>
      <c r="U121" s="152" t="str">
        <f t="shared" si="236"/>
        <v/>
      </c>
      <c r="V121" s="152" t="str">
        <f t="shared" si="237"/>
        <v/>
      </c>
      <c r="W121" s="152" t="str">
        <f t="shared" si="238"/>
        <v/>
      </c>
      <c r="X121" s="545" t="str">
        <f>IF('Marks Entry'!P121="","",'Marks Entry'!P121)</f>
        <v/>
      </c>
      <c r="Y121" s="545" t="str">
        <f>IF('Marks Entry'!Q121="","",'Marks Entry'!Q121)</f>
        <v/>
      </c>
      <c r="Z121" s="545" t="str">
        <f>IF('Marks Entry'!R121="","",'Marks Entry'!R121)</f>
        <v/>
      </c>
      <c r="AA121" s="546" t="str">
        <f t="shared" si="239"/>
        <v/>
      </c>
      <c r="AB121" s="545" t="str">
        <f>IF('Marks Entry'!S121="","",'Marks Entry'!S121)</f>
        <v/>
      </c>
      <c r="AC121" s="546" t="str">
        <f t="shared" si="240"/>
        <v/>
      </c>
      <c r="AD121" s="545" t="str">
        <f>IF('Marks Entry'!T121="","",'Marks Entry'!T121)</f>
        <v/>
      </c>
      <c r="AE121" s="547" t="str">
        <f t="shared" si="241"/>
        <v/>
      </c>
      <c r="AF121" s="152">
        <f t="shared" si="242"/>
        <v>0</v>
      </c>
      <c r="AG121" s="152">
        <f t="shared" si="243"/>
        <v>0</v>
      </c>
      <c r="AH121" s="153" t="str">
        <f t="shared" si="244"/>
        <v/>
      </c>
      <c r="AI121" s="152" t="str">
        <f t="shared" si="245"/>
        <v/>
      </c>
      <c r="AJ121" s="152" t="str">
        <f t="shared" si="246"/>
        <v/>
      </c>
      <c r="AK121" s="152" t="str">
        <f t="shared" si="247"/>
        <v/>
      </c>
      <c r="AL121" s="573" t="str">
        <f>IF('Marks Entry'!U121="","",'Marks Entry'!U121)</f>
        <v/>
      </c>
      <c r="AM121" s="573" t="str">
        <f>IF('Marks Entry'!V121="","",'Marks Entry'!V121)</f>
        <v/>
      </c>
      <c r="AN121" s="573" t="str">
        <f>IF('Marks Entry'!W121="","",'Marks Entry'!W121)</f>
        <v/>
      </c>
      <c r="AO121" s="573" t="str">
        <f>IF('Marks Entry'!X121="","",'Marks Entry'!X121)</f>
        <v/>
      </c>
      <c r="AP121" s="572" t="str">
        <f t="shared" si="248"/>
        <v/>
      </c>
      <c r="AQ121" s="573" t="str">
        <f>IF('Marks Entry'!Y121="","",'Marks Entry'!Y121)</f>
        <v/>
      </c>
      <c r="AR121" s="573" t="str">
        <f>IF('Marks Entry'!Z121="","",'Marks Entry'!Z121)</f>
        <v/>
      </c>
      <c r="AS121" s="572" t="str">
        <f t="shared" si="249"/>
        <v/>
      </c>
      <c r="AT121" s="572" t="str">
        <f t="shared" si="250"/>
        <v/>
      </c>
      <c r="AU121" s="573" t="str">
        <f>IF('Marks Entry'!AA121="","",'Marks Entry'!AA121)</f>
        <v/>
      </c>
      <c r="AV121" s="573" t="str">
        <f>IF('Marks Entry'!AB121="","",'Marks Entry'!AB121)</f>
        <v/>
      </c>
      <c r="AW121" s="572" t="str">
        <f t="shared" si="251"/>
        <v/>
      </c>
      <c r="AX121" s="156" t="str">
        <f t="shared" si="252"/>
        <v/>
      </c>
      <c r="AY121" s="156" t="str">
        <f t="shared" si="253"/>
        <v/>
      </c>
      <c r="AZ121" s="191" t="str">
        <f t="shared" si="254"/>
        <v/>
      </c>
      <c r="BA121" s="152">
        <f t="shared" si="255"/>
        <v>0</v>
      </c>
      <c r="BB121" s="153">
        <f t="shared" si="256"/>
        <v>0</v>
      </c>
      <c r="BC121" s="153" t="str">
        <f t="shared" si="257"/>
        <v/>
      </c>
      <c r="BD121" s="153" t="str">
        <f t="shared" si="258"/>
        <v/>
      </c>
      <c r="BE121" s="153" t="str">
        <f t="shared" si="259"/>
        <v/>
      </c>
      <c r="BF121" s="152" t="str">
        <f t="shared" si="260"/>
        <v/>
      </c>
      <c r="BG121" s="153" t="str">
        <f t="shared" si="261"/>
        <v/>
      </c>
      <c r="BH121" s="152" t="str">
        <f t="shared" si="262"/>
        <v/>
      </c>
      <c r="BI121" s="580" t="str">
        <f>IF('Marks Entry'!AC121="","",'Marks Entry'!AC121)</f>
        <v/>
      </c>
      <c r="BJ121" s="580" t="str">
        <f>IF('Marks Entry'!AD121="","",'Marks Entry'!AD121)</f>
        <v/>
      </c>
      <c r="BK121" s="580" t="str">
        <f>IF('Marks Entry'!AE121="","",'Marks Entry'!AE121)</f>
        <v/>
      </c>
      <c r="BL121" s="580" t="str">
        <f>IF('Marks Entry'!AF121="","",'Marks Entry'!AF121)</f>
        <v/>
      </c>
      <c r="BM121" s="581" t="str">
        <f t="shared" si="263"/>
        <v/>
      </c>
      <c r="BN121" s="580" t="str">
        <f>IF('Marks Entry'!AG121="","",'Marks Entry'!AG121)</f>
        <v/>
      </c>
      <c r="BO121" s="580" t="str">
        <f>IF('Marks Entry'!AH121="","",'Marks Entry'!AH121)</f>
        <v/>
      </c>
      <c r="BP121" s="581" t="str">
        <f t="shared" si="264"/>
        <v/>
      </c>
      <c r="BQ121" s="581" t="str">
        <f t="shared" si="265"/>
        <v/>
      </c>
      <c r="BR121" s="580" t="str">
        <f>IF('Marks Entry'!AI121="","",'Marks Entry'!AI121)</f>
        <v/>
      </c>
      <c r="BS121" s="580" t="str">
        <f>IF('Marks Entry'!AJ121="","",'Marks Entry'!AJ121)</f>
        <v/>
      </c>
      <c r="BT121" s="581" t="str">
        <f t="shared" si="266"/>
        <v/>
      </c>
      <c r="BU121" s="156" t="str">
        <f t="shared" si="267"/>
        <v/>
      </c>
      <c r="BV121" s="156" t="str">
        <f t="shared" si="268"/>
        <v/>
      </c>
      <c r="BW121" s="191" t="str">
        <f t="shared" si="269"/>
        <v/>
      </c>
      <c r="BX121" s="152">
        <f t="shared" si="270"/>
        <v>0</v>
      </c>
      <c r="BY121" s="153">
        <f t="shared" si="271"/>
        <v>0</v>
      </c>
      <c r="BZ121" s="153" t="str">
        <f t="shared" si="272"/>
        <v/>
      </c>
      <c r="CA121" s="153" t="str">
        <f t="shared" si="273"/>
        <v/>
      </c>
      <c r="CB121" s="153" t="str">
        <f t="shared" si="274"/>
        <v/>
      </c>
      <c r="CC121" s="152" t="str">
        <f t="shared" si="275"/>
        <v/>
      </c>
      <c r="CD121" s="153" t="str">
        <f t="shared" si="276"/>
        <v/>
      </c>
      <c r="CE121" s="152" t="str">
        <f t="shared" si="277"/>
        <v/>
      </c>
      <c r="CF121" s="580" t="str">
        <f>IF('Marks Entry'!AK121="","",'Marks Entry'!AK121)</f>
        <v/>
      </c>
      <c r="CG121" s="580" t="str">
        <f>IF('Marks Entry'!AL121="","",'Marks Entry'!AL121)</f>
        <v/>
      </c>
      <c r="CH121" s="580" t="str">
        <f>IF('Marks Entry'!AM121="","",'Marks Entry'!AM121)</f>
        <v/>
      </c>
      <c r="CI121" s="580" t="str">
        <f>IF('Marks Entry'!AN121="","",'Marks Entry'!AN121)</f>
        <v/>
      </c>
      <c r="CJ121" s="581" t="str">
        <f t="shared" si="278"/>
        <v/>
      </c>
      <c r="CK121" s="580" t="str">
        <f>IF('Marks Entry'!AO121="","",'Marks Entry'!AO121)</f>
        <v/>
      </c>
      <c r="CL121" s="580" t="str">
        <f>IF('Marks Entry'!AP121="","",'Marks Entry'!AP121)</f>
        <v/>
      </c>
      <c r="CM121" s="581" t="str">
        <f t="shared" si="279"/>
        <v/>
      </c>
      <c r="CN121" s="581" t="str">
        <f t="shared" si="280"/>
        <v/>
      </c>
      <c r="CO121" s="580" t="str">
        <f>IF('Marks Entry'!AQ121="","",'Marks Entry'!AQ121)</f>
        <v/>
      </c>
      <c r="CP121" s="580" t="str">
        <f>IF('Marks Entry'!AR121="","",'Marks Entry'!AR121)</f>
        <v/>
      </c>
      <c r="CQ121" s="581" t="str">
        <f t="shared" si="281"/>
        <v/>
      </c>
      <c r="CR121" s="156" t="str">
        <f t="shared" si="282"/>
        <v/>
      </c>
      <c r="CS121" s="156" t="str">
        <f t="shared" si="283"/>
        <v/>
      </c>
      <c r="CT121" s="191" t="str">
        <f t="shared" si="284"/>
        <v/>
      </c>
      <c r="CU121" s="152">
        <f t="shared" si="285"/>
        <v>0</v>
      </c>
      <c r="CV121" s="153">
        <f t="shared" si="286"/>
        <v>0</v>
      </c>
      <c r="CW121" s="153" t="str">
        <f t="shared" si="287"/>
        <v/>
      </c>
      <c r="CX121" s="153" t="str">
        <f t="shared" si="288"/>
        <v/>
      </c>
      <c r="CY121" s="153" t="str">
        <f t="shared" si="289"/>
        <v/>
      </c>
      <c r="CZ121" s="152" t="str">
        <f t="shared" si="290"/>
        <v/>
      </c>
      <c r="DA121" s="153" t="str">
        <f t="shared" si="291"/>
        <v/>
      </c>
      <c r="DB121" s="152" t="str">
        <f t="shared" si="292"/>
        <v/>
      </c>
      <c r="DC121" s="153">
        <f t="shared" si="293"/>
        <v>0</v>
      </c>
      <c r="DD121" s="851" t="str">
        <f>IF('Marks Entry'!AS121="","",IF(OR('Master Sheet'!$D$19="YES",'Marks Entry'!$BA$1=1),'Marks Entry'!AS121,""))</f>
        <v/>
      </c>
      <c r="DE121" s="851" t="str">
        <f>IF('Marks Entry'!AT121="","",IF(OR('Master Sheet'!$D$19="YES",'Marks Entry'!$BA$1=1),'Marks Entry'!AT121,""))</f>
        <v/>
      </c>
      <c r="DF121" s="851" t="str">
        <f>IF('Marks Entry'!AU121="","",IF(OR('Master Sheet'!$D$19="YES",'Marks Entry'!$BA$1=1),'Marks Entry'!AU121,""))</f>
        <v/>
      </c>
      <c r="DG121" s="851" t="str">
        <f>IF('Marks Entry'!AV121="","",IF(OR('Master Sheet'!$D$19="YES",'Marks Entry'!$BA$1=1),'Marks Entry'!AV121,""))</f>
        <v/>
      </c>
      <c r="DH121" s="852" t="str">
        <f t="shared" si="294"/>
        <v/>
      </c>
      <c r="DI121" s="851" t="str">
        <f>IF('Marks Entry'!AW121="","",IF(OR('Master Sheet'!$D$19="YES",'Marks Entry'!$BA$1=1),'Marks Entry'!AW121,""))</f>
        <v/>
      </c>
      <c r="DJ121" s="851" t="str">
        <f>IF('Marks Entry'!AX121="","",IF(OR('Master Sheet'!$D$19="YES",'Marks Entry'!$BA$1=1),'Marks Entry'!AX121,""))</f>
        <v/>
      </c>
      <c r="DK121" s="852" t="str">
        <f t="shared" si="295"/>
        <v/>
      </c>
      <c r="DL121" s="852" t="str">
        <f t="shared" si="296"/>
        <v/>
      </c>
      <c r="DM121" s="851" t="str">
        <f>IF('Marks Entry'!AY121="","",IF(OR('Master Sheet'!$D$19="YES",'Marks Entry'!$BA$1=1),'Marks Entry'!AY121,""))</f>
        <v/>
      </c>
      <c r="DN121" s="851" t="str">
        <f>IF('Marks Entry'!AZ121="","",IF(OR('Master Sheet'!$D$19="YES",'Marks Entry'!$BA$1=1),'Marks Entry'!AZ121,""))</f>
        <v/>
      </c>
      <c r="DO121" s="851" t="str">
        <f>IF('Marks Entry'!BA121="","",IF(OR('Master Sheet'!$D$19="YES",'Marks Entry'!$BA$1=1),'Marks Entry'!BA121,""))</f>
        <v/>
      </c>
      <c r="DP121" s="852" t="str">
        <f t="shared" si="297"/>
        <v/>
      </c>
      <c r="DQ121" s="156" t="str">
        <f t="shared" si="298"/>
        <v/>
      </c>
      <c r="DR121" s="156" t="str">
        <f t="shared" si="299"/>
        <v/>
      </c>
      <c r="DS121" s="156" t="str">
        <f t="shared" si="300"/>
        <v/>
      </c>
      <c r="DT121" s="191" t="str">
        <f t="shared" si="301"/>
        <v/>
      </c>
      <c r="DU121" s="152">
        <f t="shared" si="302"/>
        <v>0</v>
      </c>
      <c r="DV121" s="153">
        <f t="shared" si="303"/>
        <v>0</v>
      </c>
      <c r="DW121" s="153" t="str">
        <f t="shared" si="304"/>
        <v/>
      </c>
      <c r="DX121" s="153" t="str">
        <f>IF(OR($B121="NSO",$B121=0,DS121=""),"",IF(AND(DJ121="",DO121=""),"",IF('Master Sheet'!$D$19="YES",$DO$6-COUNTIF(DO121,"ML")*DO$6,DS$6-(COUNTIF(DJ121,"ML")*DJ$6)-(COUNTIF(DO121,"ML")*DO$6))))</f>
        <v/>
      </c>
      <c r="DY121" s="153" t="str">
        <f>IF(OR($B121="NSO",$B121=0),"",IF(AND(DH121="",DI121="",DM121=""),"",IF(AND('Master Sheet'!$D$19="YES",'Marks Entry'!$BA$1=1),100,IF(AND(DJ121="",DO121=""),SUM(($DQ$7+$DR$7)-(DU121+DV121)),SUM(($DQ$6+$DR$6)-(DU121+DV121))))))</f>
        <v/>
      </c>
      <c r="DZ121" s="152" t="str">
        <f t="shared" si="305"/>
        <v/>
      </c>
      <c r="EA121" s="153" t="str">
        <f t="shared" si="306"/>
        <v/>
      </c>
      <c r="EB121" s="152" t="str">
        <f t="shared" si="307"/>
        <v/>
      </c>
      <c r="EC121" s="584" t="str">
        <f>IF('Marks Entry'!BB121="","",'Marks Entry'!BB121)</f>
        <v/>
      </c>
      <c r="ED121" s="584" t="str">
        <f>IF('Marks Entry'!BC121="","",'Marks Entry'!BC121)</f>
        <v/>
      </c>
      <c r="EE121" s="584" t="str">
        <f>IF('Marks Entry'!BD121="","",'Marks Entry'!BD121)</f>
        <v/>
      </c>
      <c r="EF121" s="590" t="str">
        <f t="shared" si="308"/>
        <v/>
      </c>
      <c r="EG121" s="595">
        <f t="shared" si="309"/>
        <v>0</v>
      </c>
      <c r="EH121" s="595">
        <f t="shared" si="310"/>
        <v>0</v>
      </c>
      <c r="EI121" s="192" t="str">
        <f t="shared" si="311"/>
        <v/>
      </c>
      <c r="EJ121" s="595" t="str">
        <f t="shared" si="312"/>
        <v/>
      </c>
      <c r="EK121" s="595" t="str">
        <f t="shared" si="313"/>
        <v/>
      </c>
      <c r="EL121" s="193" t="str">
        <f t="shared" si="314"/>
        <v/>
      </c>
      <c r="EM121" s="193" t="str">
        <f t="shared" si="315"/>
        <v/>
      </c>
      <c r="EN121" s="193" t="str">
        <f t="shared" si="316"/>
        <v/>
      </c>
      <c r="EO121" s="193" t="str">
        <f t="shared" si="317"/>
        <v/>
      </c>
      <c r="EP121" s="193" t="str">
        <f t="shared" si="318"/>
        <v/>
      </c>
      <c r="EQ121" s="193" t="str">
        <f t="shared" si="319"/>
        <v/>
      </c>
      <c r="ER121" s="194">
        <f t="shared" si="320"/>
        <v>0</v>
      </c>
      <c r="ES121" s="194">
        <f t="shared" si="321"/>
        <v>0</v>
      </c>
      <c r="ET121" s="194">
        <f t="shared" si="322"/>
        <v>0</v>
      </c>
      <c r="EU121" s="194">
        <f t="shared" si="323"/>
        <v>0</v>
      </c>
      <c r="EV121" s="194">
        <f t="shared" si="324"/>
        <v>0</v>
      </c>
      <c r="EW121" s="194" t="str">
        <f t="shared" si="325"/>
        <v/>
      </c>
      <c r="EX121" s="195" t="str">
        <f t="shared" si="326"/>
        <v/>
      </c>
      <c r="EY121" s="196" t="str">
        <f>IF('Marks Entry'!BE121="","",'Marks Entry'!BE121)</f>
        <v/>
      </c>
      <c r="EZ121" s="196" t="str">
        <f>IF('Marks Entry'!BF121="","",'Marks Entry'!BF121)</f>
        <v/>
      </c>
      <c r="FA121" s="196" t="str">
        <f>IF('Marks Entry'!BG121="","",'Marks Entry'!BG121)</f>
        <v/>
      </c>
      <c r="FB121" s="596" t="str">
        <f t="shared" si="327"/>
        <v/>
      </c>
      <c r="FC121" s="196" t="str">
        <f>IF('Marks Entry'!BH121="","",'Marks Entry'!BH121)</f>
        <v/>
      </c>
      <c r="FD121" s="196" t="str">
        <f>IF('Marks Entry'!BI121="","",'Marks Entry'!BI121)</f>
        <v/>
      </c>
      <c r="FE121" s="197" t="str">
        <f t="shared" si="328"/>
        <v/>
      </c>
      <c r="FF121" s="198" t="str">
        <f t="shared" si="329"/>
        <v/>
      </c>
      <c r="FG121" s="199" t="str">
        <f>IF(AND(E121=""),"",IF('Student DATA Entry'!L117="","",'Student DATA Entry'!L117))</f>
        <v/>
      </c>
      <c r="FH121" s="200" t="str">
        <f>IF(AND(E121=""),"",IF('Student DATA Entry'!M117="","",'Student DATA Entry'!M117))</f>
        <v/>
      </c>
      <c r="FI121" s="201" t="str">
        <f t="shared" si="330"/>
        <v/>
      </c>
      <c r="FJ121" s="188" t="str">
        <f t="shared" si="331"/>
        <v/>
      </c>
      <c r="FK121" s="188" t="str">
        <f t="shared" si="332"/>
        <v/>
      </c>
      <c r="FL121" s="202" t="str">
        <f t="shared" si="360"/>
        <v/>
      </c>
      <c r="FM121" s="188" t="str">
        <f t="shared" si="333"/>
        <v/>
      </c>
      <c r="FN121" s="203" t="str">
        <f t="shared" si="334"/>
        <v/>
      </c>
      <c r="FO121" s="202" t="str">
        <f t="shared" si="361"/>
        <v/>
      </c>
      <c r="FP121" s="204" t="str">
        <f t="shared" si="335"/>
        <v/>
      </c>
      <c r="FQ121" s="188" t="str">
        <f t="shared" si="362"/>
        <v/>
      </c>
      <c r="FR121" s="188" t="str">
        <f t="shared" si="363"/>
        <v/>
      </c>
      <c r="FS121" s="188" t="str">
        <f t="shared" si="364"/>
        <v/>
      </c>
      <c r="FT121" s="188" t="str">
        <f t="shared" si="365"/>
        <v/>
      </c>
      <c r="FU121" s="188" t="str">
        <f t="shared" si="336"/>
        <v/>
      </c>
      <c r="FV121" s="205" t="str">
        <f t="shared" si="366"/>
        <v/>
      </c>
      <c r="FW121" s="204" t="str">
        <f t="shared" si="337"/>
        <v/>
      </c>
      <c r="FX121" s="188" t="str">
        <f t="shared" si="367"/>
        <v/>
      </c>
      <c r="FY121" s="188" t="str">
        <f t="shared" si="368"/>
        <v/>
      </c>
      <c r="FZ121" s="188" t="str">
        <f t="shared" si="369"/>
        <v/>
      </c>
      <c r="GA121" s="188" t="str">
        <f t="shared" si="370"/>
        <v/>
      </c>
      <c r="GB121" s="188" t="str">
        <f t="shared" si="338"/>
        <v/>
      </c>
      <c r="GC121" s="205" t="str">
        <f t="shared" si="371"/>
        <v/>
      </c>
      <c r="GD121" s="204" t="str">
        <f t="shared" si="339"/>
        <v/>
      </c>
      <c r="GE121" s="188" t="str">
        <f t="shared" si="372"/>
        <v/>
      </c>
      <c r="GF121" s="188" t="str">
        <f t="shared" si="373"/>
        <v/>
      </c>
      <c r="GG121" s="188" t="str">
        <f t="shared" si="374"/>
        <v/>
      </c>
      <c r="GH121" s="188" t="str">
        <f t="shared" si="375"/>
        <v/>
      </c>
      <c r="GI121" s="188" t="str">
        <f t="shared" si="340"/>
        <v/>
      </c>
      <c r="GJ121" s="205" t="str">
        <f t="shared" si="376"/>
        <v/>
      </c>
      <c r="GK121" s="204" t="str">
        <f t="shared" si="341"/>
        <v/>
      </c>
      <c r="GL121" s="188" t="str">
        <f t="shared" si="377"/>
        <v/>
      </c>
      <c r="GM121" s="188" t="str">
        <f t="shared" si="378"/>
        <v/>
      </c>
      <c r="GN121" s="188" t="str">
        <f t="shared" si="379"/>
        <v/>
      </c>
      <c r="GO121" s="188" t="str">
        <f t="shared" si="380"/>
        <v/>
      </c>
      <c r="GP121" s="188" t="str">
        <f t="shared" si="342"/>
        <v/>
      </c>
      <c r="GQ121" s="205" t="str">
        <f t="shared" si="381"/>
        <v/>
      </c>
      <c r="GR121" s="188" t="str">
        <f t="shared" si="343"/>
        <v/>
      </c>
      <c r="GS121" s="188" t="str">
        <f t="shared" si="344"/>
        <v/>
      </c>
      <c r="GT121" s="206" t="str">
        <f t="shared" si="345"/>
        <v xml:space="preserve">    </v>
      </c>
      <c r="GU121" s="206" t="str">
        <f t="shared" si="346"/>
        <v xml:space="preserve">    </v>
      </c>
      <c r="GV121" s="206" t="str">
        <f t="shared" si="347"/>
        <v xml:space="preserve">    </v>
      </c>
      <c r="GW121" s="206" t="str">
        <f t="shared" si="348"/>
        <v xml:space="preserve">       </v>
      </c>
      <c r="GX121" s="598" t="str">
        <f t="shared" si="349"/>
        <v xml:space="preserve">     </v>
      </c>
      <c r="GY121" s="207" t="str">
        <f t="shared" si="382"/>
        <v/>
      </c>
      <c r="GZ121" s="606" t="str">
        <f>IF(AND(Q121="",AE121="",AZ121="",BW121="",CT121=""),"",IF(AND('Master Sheet'!$D$19="YES",'Marks Entry'!$BA$1=1),SUM(Q121,AE121,AZ121,BW121,DT121),SUM(Q121,AE121,AZ121,BW121,CT121)))</f>
        <v/>
      </c>
      <c r="HA121" s="208" t="str">
        <f>IF(GZ121="","",IF(AND('Master Sheet'!$D$19="YES",'Marks Entry'!$BA$1=1),GZ121/((900)-DC121)*100,GZ121/((1000)-DC121)*100))</f>
        <v/>
      </c>
      <c r="HB121" s="611" t="str">
        <f t="shared" si="350"/>
        <v/>
      </c>
      <c r="HC121" s="609" t="str">
        <f t="shared" si="351"/>
        <v/>
      </c>
      <c r="HD121" s="610" t="str">
        <f t="shared" si="352"/>
        <v/>
      </c>
      <c r="HE121" s="209" t="str">
        <f>IFERROR(IF(OR(GY121="SUPPLEMENTARY",GY121="RE-EXAM"),'Supp. Result Entry'!AS120,""),"")</f>
        <v/>
      </c>
      <c r="HF121" s="613" t="str">
        <f t="shared" si="353"/>
        <v/>
      </c>
      <c r="HG121" s="598" t="str">
        <f t="shared" si="354"/>
        <v/>
      </c>
      <c r="HH121" s="598" t="str">
        <f>IF(AND(HE121="",HF121="",HG121=""),"",IF(OR(GY121="SUPPLEMENTARY",GY121="RE-EXAM"),'Supp. Result Entry'!AS120,GY121))</f>
        <v/>
      </c>
      <c r="HI121" s="179"/>
      <c r="HY121" s="211" t="str">
        <f>IF('Supp. Result Entry'!U120="","",'Supp. Result Entry'!$U$6)</f>
        <v/>
      </c>
      <c r="HZ121" s="212" t="str">
        <f>IF('Supp. Result Entry'!X120="","",'Supp. Result Entry'!$X$6)</f>
        <v/>
      </c>
      <c r="IA121" s="212" t="str">
        <f>IF('Supp. Result Entry'!AA120="","",'Supp. Result Entry'!$AA$6)</f>
        <v/>
      </c>
      <c r="IB121" s="212" t="str">
        <f>IF('Supp. Result Entry'!AD120="","",'Supp. Result Entry'!$AD$6)</f>
        <v/>
      </c>
      <c r="IC121" s="212" t="str">
        <f>IF('Supp. Result Entry'!AG120="","",'Supp. Result Entry'!$AG$6)</f>
        <v/>
      </c>
      <c r="ID121" s="212" t="str">
        <f>IF('Supp. Result Entry'!AJ120="","",'Supp. Result Entry'!$AJ$6)</f>
        <v/>
      </c>
      <c r="IE121" s="212" t="str">
        <f>IF('Supp. Result Entry'!V120="","",'Supp. Result Entry'!V120)</f>
        <v/>
      </c>
      <c r="IF121" s="212" t="str">
        <f>IF('Supp. Result Entry'!Y120="","",'Supp. Result Entry'!Y120)</f>
        <v/>
      </c>
      <c r="IG121" s="212" t="str">
        <f>IF('Supp. Result Entry'!AB120="","",'Supp. Result Entry'!AB120)</f>
        <v/>
      </c>
      <c r="IH121" s="212" t="str">
        <f>IF('Supp. Result Entry'!AE120="","",'Supp. Result Entry'!AE120)</f>
        <v/>
      </c>
      <c r="II121" s="212" t="str">
        <f>IF('Supp. Result Entry'!AH120="","",'Supp. Result Entry'!AH120)</f>
        <v/>
      </c>
      <c r="IJ121" s="212" t="str">
        <f>IF('Supp. Result Entry'!AK120="","",'Supp. Result Entry'!AK120)</f>
        <v/>
      </c>
      <c r="IK121" s="212" t="str">
        <f>IF('Supp. Result Entry'!W120="","",'Supp. Result Entry'!W120)</f>
        <v/>
      </c>
      <c r="IL121" s="212" t="str">
        <f>IF('Supp. Result Entry'!Z120="","",'Supp. Result Entry'!Z120)</f>
        <v/>
      </c>
      <c r="IM121" s="212" t="str">
        <f>IF('Supp. Result Entry'!AC120="","",'Supp. Result Entry'!AC120)</f>
        <v/>
      </c>
      <c r="IN121" s="212" t="str">
        <f>IF('Supp. Result Entry'!AF120="","",'Supp. Result Entry'!AF120)</f>
        <v/>
      </c>
      <c r="IO121" s="212" t="str">
        <f>IF('Supp. Result Entry'!AI120="","",'Supp. Result Entry'!AI120)</f>
        <v/>
      </c>
      <c r="IP121" s="212" t="str">
        <f>IF('Supp. Result Entry'!AL120="","",'Supp. Result Entry'!AL120)</f>
        <v/>
      </c>
      <c r="IQ121" s="212">
        <f>COUNTIF('Supp. Result Entry'!K120:Q120,"S")</f>
        <v>0</v>
      </c>
      <c r="IR121" s="212">
        <f t="shared" si="355"/>
        <v>0</v>
      </c>
      <c r="IS121" s="212">
        <f t="shared" si="356"/>
        <v>0</v>
      </c>
      <c r="IT121" s="212" t="str">
        <f t="shared" si="224"/>
        <v/>
      </c>
      <c r="IU121" s="212" t="str">
        <f t="shared" si="225"/>
        <v/>
      </c>
      <c r="IV121" s="212" t="str">
        <f t="shared" si="226"/>
        <v/>
      </c>
      <c r="IW121" s="212" t="str">
        <f t="shared" si="227"/>
        <v/>
      </c>
      <c r="IX121" s="212" t="str">
        <f t="shared" si="228"/>
        <v/>
      </c>
      <c r="IY121" s="212" t="str">
        <f t="shared" si="357"/>
        <v/>
      </c>
      <c r="IZ121" s="212" t="str">
        <f t="shared" si="358"/>
        <v/>
      </c>
      <c r="JA121" s="212" t="str">
        <f t="shared" si="229"/>
        <v/>
      </c>
      <c r="JB121" s="210" t="str">
        <f t="shared" si="359"/>
        <v/>
      </c>
    </row>
    <row r="122" spans="1:262" s="210" customFormat="1" ht="21" customHeight="1">
      <c r="A122" s="183">
        <v>115</v>
      </c>
      <c r="B122" s="184" t="str">
        <f>IF('Marks Entry'!B122="","",'Marks Entry'!B122)</f>
        <v/>
      </c>
      <c r="C122" s="185" t="str">
        <f>IF('Marks Entry'!D122="","",'Marks Entry'!D122)</f>
        <v/>
      </c>
      <c r="D122" s="186" t="str">
        <f>IF('Marks Entry'!E122="","",'Marks Entry'!E122)</f>
        <v/>
      </c>
      <c r="E122" s="187" t="str">
        <f>IF('Marks Entry'!F122="","",'Marks Entry'!F122)</f>
        <v/>
      </c>
      <c r="F122" s="187" t="str">
        <f>IF('Marks Entry'!G122="","",'Marks Entry'!G122)</f>
        <v/>
      </c>
      <c r="G122" s="187" t="str">
        <f>IF('Marks Entry'!H122="","",'Marks Entry'!H122)</f>
        <v/>
      </c>
      <c r="H122" s="188" t="str">
        <f>IF('Marks Entry'!I122="","",'Marks Entry'!I122)</f>
        <v/>
      </c>
      <c r="I122" s="189" t="str">
        <f>IF('Marks Entry'!J122="","",'Marks Entry'!J122)</f>
        <v/>
      </c>
      <c r="J122" s="545" t="str">
        <f>IF('Marks Entry'!K122="","",'Marks Entry'!K122)</f>
        <v/>
      </c>
      <c r="K122" s="545" t="str">
        <f>IF('Marks Entry'!L122="","",'Marks Entry'!L122)</f>
        <v/>
      </c>
      <c r="L122" s="545" t="str">
        <f>IF('Marks Entry'!M122="","",'Marks Entry'!M122)</f>
        <v/>
      </c>
      <c r="M122" s="546" t="str">
        <f t="shared" si="230"/>
        <v/>
      </c>
      <c r="N122" s="545" t="str">
        <f>IF('Marks Entry'!N122="","",'Marks Entry'!N122)</f>
        <v/>
      </c>
      <c r="O122" s="546" t="str">
        <f t="shared" si="231"/>
        <v/>
      </c>
      <c r="P122" s="545" t="str">
        <f>IF('Marks Entry'!O122="","",'Marks Entry'!O122)</f>
        <v/>
      </c>
      <c r="Q122" s="547" t="str">
        <f t="shared" si="232"/>
        <v/>
      </c>
      <c r="R122" s="152">
        <f t="shared" si="233"/>
        <v>0</v>
      </c>
      <c r="S122" s="152">
        <f t="shared" si="234"/>
        <v>0</v>
      </c>
      <c r="T122" s="153" t="str">
        <f t="shared" si="235"/>
        <v/>
      </c>
      <c r="U122" s="152" t="str">
        <f t="shared" si="236"/>
        <v/>
      </c>
      <c r="V122" s="152" t="str">
        <f t="shared" si="237"/>
        <v/>
      </c>
      <c r="W122" s="152" t="str">
        <f t="shared" si="238"/>
        <v/>
      </c>
      <c r="X122" s="545" t="str">
        <f>IF('Marks Entry'!P122="","",'Marks Entry'!P122)</f>
        <v/>
      </c>
      <c r="Y122" s="545" t="str">
        <f>IF('Marks Entry'!Q122="","",'Marks Entry'!Q122)</f>
        <v/>
      </c>
      <c r="Z122" s="545" t="str">
        <f>IF('Marks Entry'!R122="","",'Marks Entry'!R122)</f>
        <v/>
      </c>
      <c r="AA122" s="546" t="str">
        <f t="shared" si="239"/>
        <v/>
      </c>
      <c r="AB122" s="545" t="str">
        <f>IF('Marks Entry'!S122="","",'Marks Entry'!S122)</f>
        <v/>
      </c>
      <c r="AC122" s="546" t="str">
        <f t="shared" si="240"/>
        <v/>
      </c>
      <c r="AD122" s="545" t="str">
        <f>IF('Marks Entry'!T122="","",'Marks Entry'!T122)</f>
        <v/>
      </c>
      <c r="AE122" s="547" t="str">
        <f t="shared" si="241"/>
        <v/>
      </c>
      <c r="AF122" s="152">
        <f t="shared" si="242"/>
        <v>0</v>
      </c>
      <c r="AG122" s="152">
        <f t="shared" si="243"/>
        <v>0</v>
      </c>
      <c r="AH122" s="153" t="str">
        <f t="shared" si="244"/>
        <v/>
      </c>
      <c r="AI122" s="152" t="str">
        <f t="shared" si="245"/>
        <v/>
      </c>
      <c r="AJ122" s="152" t="str">
        <f t="shared" si="246"/>
        <v/>
      </c>
      <c r="AK122" s="152" t="str">
        <f t="shared" si="247"/>
        <v/>
      </c>
      <c r="AL122" s="573" t="str">
        <f>IF('Marks Entry'!U122="","",'Marks Entry'!U122)</f>
        <v/>
      </c>
      <c r="AM122" s="573" t="str">
        <f>IF('Marks Entry'!V122="","",'Marks Entry'!V122)</f>
        <v/>
      </c>
      <c r="AN122" s="573" t="str">
        <f>IF('Marks Entry'!W122="","",'Marks Entry'!W122)</f>
        <v/>
      </c>
      <c r="AO122" s="573" t="str">
        <f>IF('Marks Entry'!X122="","",'Marks Entry'!X122)</f>
        <v/>
      </c>
      <c r="AP122" s="572" t="str">
        <f t="shared" si="248"/>
        <v/>
      </c>
      <c r="AQ122" s="573" t="str">
        <f>IF('Marks Entry'!Y122="","",'Marks Entry'!Y122)</f>
        <v/>
      </c>
      <c r="AR122" s="573" t="str">
        <f>IF('Marks Entry'!Z122="","",'Marks Entry'!Z122)</f>
        <v/>
      </c>
      <c r="AS122" s="572" t="str">
        <f t="shared" si="249"/>
        <v/>
      </c>
      <c r="AT122" s="572" t="str">
        <f t="shared" si="250"/>
        <v/>
      </c>
      <c r="AU122" s="573" t="str">
        <f>IF('Marks Entry'!AA122="","",'Marks Entry'!AA122)</f>
        <v/>
      </c>
      <c r="AV122" s="573" t="str">
        <f>IF('Marks Entry'!AB122="","",'Marks Entry'!AB122)</f>
        <v/>
      </c>
      <c r="AW122" s="572" t="str">
        <f t="shared" si="251"/>
        <v/>
      </c>
      <c r="AX122" s="156" t="str">
        <f t="shared" si="252"/>
        <v/>
      </c>
      <c r="AY122" s="156" t="str">
        <f t="shared" si="253"/>
        <v/>
      </c>
      <c r="AZ122" s="191" t="str">
        <f t="shared" si="254"/>
        <v/>
      </c>
      <c r="BA122" s="152">
        <f t="shared" si="255"/>
        <v>0</v>
      </c>
      <c r="BB122" s="153">
        <f t="shared" si="256"/>
        <v>0</v>
      </c>
      <c r="BC122" s="153" t="str">
        <f t="shared" si="257"/>
        <v/>
      </c>
      <c r="BD122" s="153" t="str">
        <f t="shared" si="258"/>
        <v/>
      </c>
      <c r="BE122" s="153" t="str">
        <f t="shared" si="259"/>
        <v/>
      </c>
      <c r="BF122" s="152" t="str">
        <f t="shared" si="260"/>
        <v/>
      </c>
      <c r="BG122" s="153" t="str">
        <f t="shared" si="261"/>
        <v/>
      </c>
      <c r="BH122" s="152" t="str">
        <f t="shared" si="262"/>
        <v/>
      </c>
      <c r="BI122" s="580" t="str">
        <f>IF('Marks Entry'!AC122="","",'Marks Entry'!AC122)</f>
        <v/>
      </c>
      <c r="BJ122" s="580" t="str">
        <f>IF('Marks Entry'!AD122="","",'Marks Entry'!AD122)</f>
        <v/>
      </c>
      <c r="BK122" s="580" t="str">
        <f>IF('Marks Entry'!AE122="","",'Marks Entry'!AE122)</f>
        <v/>
      </c>
      <c r="BL122" s="580" t="str">
        <f>IF('Marks Entry'!AF122="","",'Marks Entry'!AF122)</f>
        <v/>
      </c>
      <c r="BM122" s="581" t="str">
        <f t="shared" si="263"/>
        <v/>
      </c>
      <c r="BN122" s="580" t="str">
        <f>IF('Marks Entry'!AG122="","",'Marks Entry'!AG122)</f>
        <v/>
      </c>
      <c r="BO122" s="580" t="str">
        <f>IF('Marks Entry'!AH122="","",'Marks Entry'!AH122)</f>
        <v/>
      </c>
      <c r="BP122" s="581" t="str">
        <f t="shared" si="264"/>
        <v/>
      </c>
      <c r="BQ122" s="581" t="str">
        <f t="shared" si="265"/>
        <v/>
      </c>
      <c r="BR122" s="580" t="str">
        <f>IF('Marks Entry'!AI122="","",'Marks Entry'!AI122)</f>
        <v/>
      </c>
      <c r="BS122" s="580" t="str">
        <f>IF('Marks Entry'!AJ122="","",'Marks Entry'!AJ122)</f>
        <v/>
      </c>
      <c r="BT122" s="581" t="str">
        <f t="shared" si="266"/>
        <v/>
      </c>
      <c r="BU122" s="156" t="str">
        <f t="shared" si="267"/>
        <v/>
      </c>
      <c r="BV122" s="156" t="str">
        <f t="shared" si="268"/>
        <v/>
      </c>
      <c r="BW122" s="191" t="str">
        <f t="shared" si="269"/>
        <v/>
      </c>
      <c r="BX122" s="152">
        <f t="shared" si="270"/>
        <v>0</v>
      </c>
      <c r="BY122" s="153">
        <f t="shared" si="271"/>
        <v>0</v>
      </c>
      <c r="BZ122" s="153" t="str">
        <f t="shared" si="272"/>
        <v/>
      </c>
      <c r="CA122" s="153" t="str">
        <f t="shared" si="273"/>
        <v/>
      </c>
      <c r="CB122" s="153" t="str">
        <f t="shared" si="274"/>
        <v/>
      </c>
      <c r="CC122" s="152" t="str">
        <f t="shared" si="275"/>
        <v/>
      </c>
      <c r="CD122" s="153" t="str">
        <f t="shared" si="276"/>
        <v/>
      </c>
      <c r="CE122" s="152" t="str">
        <f t="shared" si="277"/>
        <v/>
      </c>
      <c r="CF122" s="580" t="str">
        <f>IF('Marks Entry'!AK122="","",'Marks Entry'!AK122)</f>
        <v/>
      </c>
      <c r="CG122" s="580" t="str">
        <f>IF('Marks Entry'!AL122="","",'Marks Entry'!AL122)</f>
        <v/>
      </c>
      <c r="CH122" s="580" t="str">
        <f>IF('Marks Entry'!AM122="","",'Marks Entry'!AM122)</f>
        <v/>
      </c>
      <c r="CI122" s="580" t="str">
        <f>IF('Marks Entry'!AN122="","",'Marks Entry'!AN122)</f>
        <v/>
      </c>
      <c r="CJ122" s="581" t="str">
        <f t="shared" si="278"/>
        <v/>
      </c>
      <c r="CK122" s="580" t="str">
        <f>IF('Marks Entry'!AO122="","",'Marks Entry'!AO122)</f>
        <v/>
      </c>
      <c r="CL122" s="580" t="str">
        <f>IF('Marks Entry'!AP122="","",'Marks Entry'!AP122)</f>
        <v/>
      </c>
      <c r="CM122" s="581" t="str">
        <f t="shared" si="279"/>
        <v/>
      </c>
      <c r="CN122" s="581" t="str">
        <f t="shared" si="280"/>
        <v/>
      </c>
      <c r="CO122" s="580" t="str">
        <f>IF('Marks Entry'!AQ122="","",'Marks Entry'!AQ122)</f>
        <v/>
      </c>
      <c r="CP122" s="580" t="str">
        <f>IF('Marks Entry'!AR122="","",'Marks Entry'!AR122)</f>
        <v/>
      </c>
      <c r="CQ122" s="581" t="str">
        <f t="shared" si="281"/>
        <v/>
      </c>
      <c r="CR122" s="156" t="str">
        <f t="shared" si="282"/>
        <v/>
      </c>
      <c r="CS122" s="156" t="str">
        <f t="shared" si="283"/>
        <v/>
      </c>
      <c r="CT122" s="191" t="str">
        <f t="shared" si="284"/>
        <v/>
      </c>
      <c r="CU122" s="152">
        <f t="shared" si="285"/>
        <v>0</v>
      </c>
      <c r="CV122" s="153">
        <f t="shared" si="286"/>
        <v>0</v>
      </c>
      <c r="CW122" s="153" t="str">
        <f t="shared" si="287"/>
        <v/>
      </c>
      <c r="CX122" s="153" t="str">
        <f t="shared" si="288"/>
        <v/>
      </c>
      <c r="CY122" s="153" t="str">
        <f t="shared" si="289"/>
        <v/>
      </c>
      <c r="CZ122" s="152" t="str">
        <f t="shared" si="290"/>
        <v/>
      </c>
      <c r="DA122" s="153" t="str">
        <f t="shared" si="291"/>
        <v/>
      </c>
      <c r="DB122" s="152" t="str">
        <f t="shared" si="292"/>
        <v/>
      </c>
      <c r="DC122" s="153">
        <f t="shared" si="293"/>
        <v>0</v>
      </c>
      <c r="DD122" s="851" t="str">
        <f>IF('Marks Entry'!AS122="","",IF(OR('Master Sheet'!$D$19="YES",'Marks Entry'!$BA$1=1),'Marks Entry'!AS122,""))</f>
        <v/>
      </c>
      <c r="DE122" s="851" t="str">
        <f>IF('Marks Entry'!AT122="","",IF(OR('Master Sheet'!$D$19="YES",'Marks Entry'!$BA$1=1),'Marks Entry'!AT122,""))</f>
        <v/>
      </c>
      <c r="DF122" s="851" t="str">
        <f>IF('Marks Entry'!AU122="","",IF(OR('Master Sheet'!$D$19="YES",'Marks Entry'!$BA$1=1),'Marks Entry'!AU122,""))</f>
        <v/>
      </c>
      <c r="DG122" s="851" t="str">
        <f>IF('Marks Entry'!AV122="","",IF(OR('Master Sheet'!$D$19="YES",'Marks Entry'!$BA$1=1),'Marks Entry'!AV122,""))</f>
        <v/>
      </c>
      <c r="DH122" s="852" t="str">
        <f t="shared" si="294"/>
        <v/>
      </c>
      <c r="DI122" s="851" t="str">
        <f>IF('Marks Entry'!AW122="","",IF(OR('Master Sheet'!$D$19="YES",'Marks Entry'!$BA$1=1),'Marks Entry'!AW122,""))</f>
        <v/>
      </c>
      <c r="DJ122" s="851" t="str">
        <f>IF('Marks Entry'!AX122="","",IF(OR('Master Sheet'!$D$19="YES",'Marks Entry'!$BA$1=1),'Marks Entry'!AX122,""))</f>
        <v/>
      </c>
      <c r="DK122" s="852" t="str">
        <f t="shared" si="295"/>
        <v/>
      </c>
      <c r="DL122" s="852" t="str">
        <f t="shared" si="296"/>
        <v/>
      </c>
      <c r="DM122" s="851" t="str">
        <f>IF('Marks Entry'!AY122="","",IF(OR('Master Sheet'!$D$19="YES",'Marks Entry'!$BA$1=1),'Marks Entry'!AY122,""))</f>
        <v/>
      </c>
      <c r="DN122" s="851" t="str">
        <f>IF('Marks Entry'!AZ122="","",IF(OR('Master Sheet'!$D$19="YES",'Marks Entry'!$BA$1=1),'Marks Entry'!AZ122,""))</f>
        <v/>
      </c>
      <c r="DO122" s="851" t="str">
        <f>IF('Marks Entry'!BA122="","",IF(OR('Master Sheet'!$D$19="YES",'Marks Entry'!$BA$1=1),'Marks Entry'!BA122,""))</f>
        <v/>
      </c>
      <c r="DP122" s="852" t="str">
        <f t="shared" si="297"/>
        <v/>
      </c>
      <c r="DQ122" s="156" t="str">
        <f t="shared" si="298"/>
        <v/>
      </c>
      <c r="DR122" s="156" t="str">
        <f t="shared" si="299"/>
        <v/>
      </c>
      <c r="DS122" s="156" t="str">
        <f t="shared" si="300"/>
        <v/>
      </c>
      <c r="DT122" s="191" t="str">
        <f t="shared" si="301"/>
        <v/>
      </c>
      <c r="DU122" s="152">
        <f t="shared" si="302"/>
        <v>0</v>
      </c>
      <c r="DV122" s="153">
        <f t="shared" si="303"/>
        <v>0</v>
      </c>
      <c r="DW122" s="153" t="str">
        <f t="shared" si="304"/>
        <v/>
      </c>
      <c r="DX122" s="153" t="str">
        <f>IF(OR($B122="NSO",$B122=0,DS122=""),"",IF(AND(DJ122="",DO122=""),"",IF('Master Sheet'!$D$19="YES",$DO$6-COUNTIF(DO122,"ML")*DO$6,DS$6-(COUNTIF(DJ122,"ML")*DJ$6)-(COUNTIF(DO122,"ML")*DO$6))))</f>
        <v/>
      </c>
      <c r="DY122" s="153" t="str">
        <f>IF(OR($B122="NSO",$B122=0),"",IF(AND(DH122="",DI122="",DM122=""),"",IF(AND('Master Sheet'!$D$19="YES",'Marks Entry'!$BA$1=1),100,IF(AND(DJ122="",DO122=""),SUM(($DQ$7+$DR$7)-(DU122+DV122)),SUM(($DQ$6+$DR$6)-(DU122+DV122))))))</f>
        <v/>
      </c>
      <c r="DZ122" s="152" t="str">
        <f t="shared" si="305"/>
        <v/>
      </c>
      <c r="EA122" s="153" t="str">
        <f t="shared" si="306"/>
        <v/>
      </c>
      <c r="EB122" s="152" t="str">
        <f t="shared" si="307"/>
        <v/>
      </c>
      <c r="EC122" s="584" t="str">
        <f>IF('Marks Entry'!BB122="","",'Marks Entry'!BB122)</f>
        <v/>
      </c>
      <c r="ED122" s="584" t="str">
        <f>IF('Marks Entry'!BC122="","",'Marks Entry'!BC122)</f>
        <v/>
      </c>
      <c r="EE122" s="584" t="str">
        <f>IF('Marks Entry'!BD122="","",'Marks Entry'!BD122)</f>
        <v/>
      </c>
      <c r="EF122" s="590" t="str">
        <f t="shared" si="308"/>
        <v/>
      </c>
      <c r="EG122" s="595">
        <f t="shared" si="309"/>
        <v>0</v>
      </c>
      <c r="EH122" s="595">
        <f t="shared" si="310"/>
        <v>0</v>
      </c>
      <c r="EI122" s="192" t="str">
        <f t="shared" si="311"/>
        <v/>
      </c>
      <c r="EJ122" s="595" t="str">
        <f t="shared" si="312"/>
        <v/>
      </c>
      <c r="EK122" s="595" t="str">
        <f t="shared" si="313"/>
        <v/>
      </c>
      <c r="EL122" s="193" t="str">
        <f t="shared" si="314"/>
        <v/>
      </c>
      <c r="EM122" s="193" t="str">
        <f t="shared" si="315"/>
        <v/>
      </c>
      <c r="EN122" s="193" t="str">
        <f t="shared" si="316"/>
        <v/>
      </c>
      <c r="EO122" s="193" t="str">
        <f t="shared" si="317"/>
        <v/>
      </c>
      <c r="EP122" s="193" t="str">
        <f t="shared" si="318"/>
        <v/>
      </c>
      <c r="EQ122" s="193" t="str">
        <f t="shared" si="319"/>
        <v/>
      </c>
      <c r="ER122" s="194">
        <f t="shared" si="320"/>
        <v>0</v>
      </c>
      <c r="ES122" s="194">
        <f t="shared" si="321"/>
        <v>0</v>
      </c>
      <c r="ET122" s="194">
        <f t="shared" si="322"/>
        <v>0</v>
      </c>
      <c r="EU122" s="194">
        <f t="shared" si="323"/>
        <v>0</v>
      </c>
      <c r="EV122" s="194">
        <f t="shared" si="324"/>
        <v>0</v>
      </c>
      <c r="EW122" s="194" t="str">
        <f t="shared" si="325"/>
        <v/>
      </c>
      <c r="EX122" s="195" t="str">
        <f t="shared" si="326"/>
        <v/>
      </c>
      <c r="EY122" s="196" t="str">
        <f>IF('Marks Entry'!BE122="","",'Marks Entry'!BE122)</f>
        <v/>
      </c>
      <c r="EZ122" s="196" t="str">
        <f>IF('Marks Entry'!BF122="","",'Marks Entry'!BF122)</f>
        <v/>
      </c>
      <c r="FA122" s="196" t="str">
        <f>IF('Marks Entry'!BG122="","",'Marks Entry'!BG122)</f>
        <v/>
      </c>
      <c r="FB122" s="596" t="str">
        <f t="shared" si="327"/>
        <v/>
      </c>
      <c r="FC122" s="196" t="str">
        <f>IF('Marks Entry'!BH122="","",'Marks Entry'!BH122)</f>
        <v/>
      </c>
      <c r="FD122" s="196" t="str">
        <f>IF('Marks Entry'!BI122="","",'Marks Entry'!BI122)</f>
        <v/>
      </c>
      <c r="FE122" s="197" t="str">
        <f t="shared" si="328"/>
        <v/>
      </c>
      <c r="FF122" s="198" t="str">
        <f t="shared" si="329"/>
        <v/>
      </c>
      <c r="FG122" s="199" t="str">
        <f>IF(AND(E122=""),"",IF('Student DATA Entry'!L118="","",'Student DATA Entry'!L118))</f>
        <v/>
      </c>
      <c r="FH122" s="200" t="str">
        <f>IF(AND(E122=""),"",IF('Student DATA Entry'!M118="","",'Student DATA Entry'!M118))</f>
        <v/>
      </c>
      <c r="FI122" s="201" t="str">
        <f t="shared" si="330"/>
        <v/>
      </c>
      <c r="FJ122" s="188" t="str">
        <f t="shared" si="331"/>
        <v/>
      </c>
      <c r="FK122" s="188" t="str">
        <f t="shared" si="332"/>
        <v/>
      </c>
      <c r="FL122" s="202" t="str">
        <f t="shared" si="360"/>
        <v/>
      </c>
      <c r="FM122" s="188" t="str">
        <f t="shared" si="333"/>
        <v/>
      </c>
      <c r="FN122" s="203" t="str">
        <f t="shared" si="334"/>
        <v/>
      </c>
      <c r="FO122" s="202" t="str">
        <f t="shared" si="361"/>
        <v/>
      </c>
      <c r="FP122" s="204" t="str">
        <f t="shared" si="335"/>
        <v/>
      </c>
      <c r="FQ122" s="188" t="str">
        <f t="shared" si="362"/>
        <v/>
      </c>
      <c r="FR122" s="188" t="str">
        <f t="shared" si="363"/>
        <v/>
      </c>
      <c r="FS122" s="188" t="str">
        <f t="shared" si="364"/>
        <v/>
      </c>
      <c r="FT122" s="188" t="str">
        <f t="shared" si="365"/>
        <v/>
      </c>
      <c r="FU122" s="188" t="str">
        <f t="shared" si="336"/>
        <v/>
      </c>
      <c r="FV122" s="205" t="str">
        <f t="shared" si="366"/>
        <v/>
      </c>
      <c r="FW122" s="204" t="str">
        <f t="shared" si="337"/>
        <v/>
      </c>
      <c r="FX122" s="188" t="str">
        <f t="shared" si="367"/>
        <v/>
      </c>
      <c r="FY122" s="188" t="str">
        <f t="shared" si="368"/>
        <v/>
      </c>
      <c r="FZ122" s="188" t="str">
        <f t="shared" si="369"/>
        <v/>
      </c>
      <c r="GA122" s="188" t="str">
        <f t="shared" si="370"/>
        <v/>
      </c>
      <c r="GB122" s="188" t="str">
        <f t="shared" si="338"/>
        <v/>
      </c>
      <c r="GC122" s="205" t="str">
        <f t="shared" si="371"/>
        <v/>
      </c>
      <c r="GD122" s="204" t="str">
        <f t="shared" si="339"/>
        <v/>
      </c>
      <c r="GE122" s="188" t="str">
        <f t="shared" si="372"/>
        <v/>
      </c>
      <c r="GF122" s="188" t="str">
        <f t="shared" si="373"/>
        <v/>
      </c>
      <c r="GG122" s="188" t="str">
        <f t="shared" si="374"/>
        <v/>
      </c>
      <c r="GH122" s="188" t="str">
        <f t="shared" si="375"/>
        <v/>
      </c>
      <c r="GI122" s="188" t="str">
        <f t="shared" si="340"/>
        <v/>
      </c>
      <c r="GJ122" s="205" t="str">
        <f t="shared" si="376"/>
        <v/>
      </c>
      <c r="GK122" s="204" t="str">
        <f t="shared" si="341"/>
        <v/>
      </c>
      <c r="GL122" s="188" t="str">
        <f t="shared" si="377"/>
        <v/>
      </c>
      <c r="GM122" s="188" t="str">
        <f t="shared" si="378"/>
        <v/>
      </c>
      <c r="GN122" s="188" t="str">
        <f t="shared" si="379"/>
        <v/>
      </c>
      <c r="GO122" s="188" t="str">
        <f t="shared" si="380"/>
        <v/>
      </c>
      <c r="GP122" s="188" t="str">
        <f t="shared" si="342"/>
        <v/>
      </c>
      <c r="GQ122" s="205" t="str">
        <f t="shared" si="381"/>
        <v/>
      </c>
      <c r="GR122" s="188" t="str">
        <f t="shared" si="343"/>
        <v/>
      </c>
      <c r="GS122" s="188" t="str">
        <f t="shared" si="344"/>
        <v/>
      </c>
      <c r="GT122" s="206" t="str">
        <f t="shared" si="345"/>
        <v xml:space="preserve">    </v>
      </c>
      <c r="GU122" s="206" t="str">
        <f t="shared" si="346"/>
        <v xml:space="preserve">    </v>
      </c>
      <c r="GV122" s="206" t="str">
        <f t="shared" si="347"/>
        <v xml:space="preserve">    </v>
      </c>
      <c r="GW122" s="206" t="str">
        <f t="shared" si="348"/>
        <v xml:space="preserve">       </v>
      </c>
      <c r="GX122" s="598" t="str">
        <f t="shared" si="349"/>
        <v xml:space="preserve">     </v>
      </c>
      <c r="GY122" s="207" t="str">
        <f t="shared" si="382"/>
        <v/>
      </c>
      <c r="GZ122" s="606" t="str">
        <f>IF(AND(Q122="",AE122="",AZ122="",BW122="",CT122=""),"",IF(AND('Master Sheet'!$D$19="YES",'Marks Entry'!$BA$1=1),SUM(Q122,AE122,AZ122,BW122,DT122),SUM(Q122,AE122,AZ122,BW122,CT122)))</f>
        <v/>
      </c>
      <c r="HA122" s="208" t="str">
        <f>IF(GZ122="","",IF(AND('Master Sheet'!$D$19="YES",'Marks Entry'!$BA$1=1),GZ122/((900)-DC122)*100,GZ122/((1000)-DC122)*100))</f>
        <v/>
      </c>
      <c r="HB122" s="611" t="str">
        <f t="shared" si="350"/>
        <v/>
      </c>
      <c r="HC122" s="609" t="str">
        <f t="shared" si="351"/>
        <v/>
      </c>
      <c r="HD122" s="610" t="str">
        <f t="shared" si="352"/>
        <v/>
      </c>
      <c r="HE122" s="209" t="str">
        <f>IFERROR(IF(OR(GY122="SUPPLEMENTARY",GY122="RE-EXAM"),'Supp. Result Entry'!AS121,""),"")</f>
        <v/>
      </c>
      <c r="HF122" s="613" t="str">
        <f t="shared" si="353"/>
        <v/>
      </c>
      <c r="HG122" s="598" t="str">
        <f t="shared" si="354"/>
        <v/>
      </c>
      <c r="HH122" s="598" t="str">
        <f>IF(AND(HE122="",HF122="",HG122=""),"",IF(OR(GY122="SUPPLEMENTARY",GY122="RE-EXAM"),'Supp. Result Entry'!AS121,GY122))</f>
        <v/>
      </c>
      <c r="HI122" s="179"/>
      <c r="HY122" s="211" t="str">
        <f>IF('Supp. Result Entry'!U121="","",'Supp. Result Entry'!$U$6)</f>
        <v/>
      </c>
      <c r="HZ122" s="212" t="str">
        <f>IF('Supp. Result Entry'!X121="","",'Supp. Result Entry'!$X$6)</f>
        <v/>
      </c>
      <c r="IA122" s="212" t="str">
        <f>IF('Supp. Result Entry'!AA121="","",'Supp. Result Entry'!$AA$6)</f>
        <v/>
      </c>
      <c r="IB122" s="212" t="str">
        <f>IF('Supp. Result Entry'!AD121="","",'Supp. Result Entry'!$AD$6)</f>
        <v/>
      </c>
      <c r="IC122" s="212" t="str">
        <f>IF('Supp. Result Entry'!AG121="","",'Supp. Result Entry'!$AG$6)</f>
        <v/>
      </c>
      <c r="ID122" s="212" t="str">
        <f>IF('Supp. Result Entry'!AJ121="","",'Supp. Result Entry'!$AJ$6)</f>
        <v/>
      </c>
      <c r="IE122" s="212" t="str">
        <f>IF('Supp. Result Entry'!V121="","",'Supp. Result Entry'!V121)</f>
        <v/>
      </c>
      <c r="IF122" s="212" t="str">
        <f>IF('Supp. Result Entry'!Y121="","",'Supp. Result Entry'!Y121)</f>
        <v/>
      </c>
      <c r="IG122" s="212" t="str">
        <f>IF('Supp. Result Entry'!AB121="","",'Supp. Result Entry'!AB121)</f>
        <v/>
      </c>
      <c r="IH122" s="212" t="str">
        <f>IF('Supp. Result Entry'!AE121="","",'Supp. Result Entry'!AE121)</f>
        <v/>
      </c>
      <c r="II122" s="212" t="str">
        <f>IF('Supp. Result Entry'!AH121="","",'Supp. Result Entry'!AH121)</f>
        <v/>
      </c>
      <c r="IJ122" s="212" t="str">
        <f>IF('Supp. Result Entry'!AK121="","",'Supp. Result Entry'!AK121)</f>
        <v/>
      </c>
      <c r="IK122" s="212" t="str">
        <f>IF('Supp. Result Entry'!W121="","",'Supp. Result Entry'!W121)</f>
        <v/>
      </c>
      <c r="IL122" s="212" t="str">
        <f>IF('Supp. Result Entry'!Z121="","",'Supp. Result Entry'!Z121)</f>
        <v/>
      </c>
      <c r="IM122" s="212" t="str">
        <f>IF('Supp. Result Entry'!AC121="","",'Supp. Result Entry'!AC121)</f>
        <v/>
      </c>
      <c r="IN122" s="212" t="str">
        <f>IF('Supp. Result Entry'!AF121="","",'Supp. Result Entry'!AF121)</f>
        <v/>
      </c>
      <c r="IO122" s="212" t="str">
        <f>IF('Supp. Result Entry'!AI121="","",'Supp. Result Entry'!AI121)</f>
        <v/>
      </c>
      <c r="IP122" s="212" t="str">
        <f>IF('Supp. Result Entry'!AL121="","",'Supp. Result Entry'!AL121)</f>
        <v/>
      </c>
      <c r="IQ122" s="212">
        <f>COUNTIF('Supp. Result Entry'!K121:Q121,"S")</f>
        <v>0</v>
      </c>
      <c r="IR122" s="212">
        <f t="shared" si="355"/>
        <v>0</v>
      </c>
      <c r="IS122" s="212">
        <f t="shared" si="356"/>
        <v>0</v>
      </c>
      <c r="IT122" s="212" t="str">
        <f t="shared" si="224"/>
        <v/>
      </c>
      <c r="IU122" s="212" t="str">
        <f t="shared" si="225"/>
        <v/>
      </c>
      <c r="IV122" s="212" t="str">
        <f t="shared" si="226"/>
        <v/>
      </c>
      <c r="IW122" s="212" t="str">
        <f t="shared" si="227"/>
        <v/>
      </c>
      <c r="IX122" s="212" t="str">
        <f t="shared" si="228"/>
        <v/>
      </c>
      <c r="IY122" s="212" t="str">
        <f t="shared" si="357"/>
        <v/>
      </c>
      <c r="IZ122" s="212" t="str">
        <f t="shared" si="358"/>
        <v/>
      </c>
      <c r="JA122" s="212" t="str">
        <f t="shared" si="229"/>
        <v/>
      </c>
      <c r="JB122" s="210" t="str">
        <f t="shared" si="359"/>
        <v/>
      </c>
    </row>
    <row r="123" spans="1:262" s="210" customFormat="1" ht="21" customHeight="1">
      <c r="A123" s="183">
        <v>116</v>
      </c>
      <c r="B123" s="184" t="str">
        <f>IF('Marks Entry'!B123="","",'Marks Entry'!B123)</f>
        <v/>
      </c>
      <c r="C123" s="185" t="str">
        <f>IF('Marks Entry'!D123="","",'Marks Entry'!D123)</f>
        <v/>
      </c>
      <c r="D123" s="186" t="str">
        <f>IF('Marks Entry'!E123="","",'Marks Entry'!E123)</f>
        <v/>
      </c>
      <c r="E123" s="187" t="str">
        <f>IF('Marks Entry'!F123="","",'Marks Entry'!F123)</f>
        <v/>
      </c>
      <c r="F123" s="187" t="str">
        <f>IF('Marks Entry'!G123="","",'Marks Entry'!G123)</f>
        <v/>
      </c>
      <c r="G123" s="187" t="str">
        <f>IF('Marks Entry'!H123="","",'Marks Entry'!H123)</f>
        <v/>
      </c>
      <c r="H123" s="188" t="str">
        <f>IF('Marks Entry'!I123="","",'Marks Entry'!I123)</f>
        <v/>
      </c>
      <c r="I123" s="189" t="str">
        <f>IF('Marks Entry'!J123="","",'Marks Entry'!J123)</f>
        <v/>
      </c>
      <c r="J123" s="545" t="str">
        <f>IF('Marks Entry'!K123="","",'Marks Entry'!K123)</f>
        <v/>
      </c>
      <c r="K123" s="545" t="str">
        <f>IF('Marks Entry'!L123="","",'Marks Entry'!L123)</f>
        <v/>
      </c>
      <c r="L123" s="545" t="str">
        <f>IF('Marks Entry'!M123="","",'Marks Entry'!M123)</f>
        <v/>
      </c>
      <c r="M123" s="546" t="str">
        <f t="shared" si="230"/>
        <v/>
      </c>
      <c r="N123" s="545" t="str">
        <f>IF('Marks Entry'!N123="","",'Marks Entry'!N123)</f>
        <v/>
      </c>
      <c r="O123" s="546" t="str">
        <f t="shared" si="231"/>
        <v/>
      </c>
      <c r="P123" s="545" t="str">
        <f>IF('Marks Entry'!O123="","",'Marks Entry'!O123)</f>
        <v/>
      </c>
      <c r="Q123" s="547" t="str">
        <f t="shared" si="232"/>
        <v/>
      </c>
      <c r="R123" s="152">
        <f t="shared" si="233"/>
        <v>0</v>
      </c>
      <c r="S123" s="152">
        <f t="shared" si="234"/>
        <v>0</v>
      </c>
      <c r="T123" s="153" t="str">
        <f t="shared" si="235"/>
        <v/>
      </c>
      <c r="U123" s="152" t="str">
        <f t="shared" si="236"/>
        <v/>
      </c>
      <c r="V123" s="152" t="str">
        <f t="shared" si="237"/>
        <v/>
      </c>
      <c r="W123" s="152" t="str">
        <f t="shared" si="238"/>
        <v/>
      </c>
      <c r="X123" s="545" t="str">
        <f>IF('Marks Entry'!P123="","",'Marks Entry'!P123)</f>
        <v/>
      </c>
      <c r="Y123" s="545" t="str">
        <f>IF('Marks Entry'!Q123="","",'Marks Entry'!Q123)</f>
        <v/>
      </c>
      <c r="Z123" s="545" t="str">
        <f>IF('Marks Entry'!R123="","",'Marks Entry'!R123)</f>
        <v/>
      </c>
      <c r="AA123" s="546" t="str">
        <f t="shared" si="239"/>
        <v/>
      </c>
      <c r="AB123" s="545" t="str">
        <f>IF('Marks Entry'!S123="","",'Marks Entry'!S123)</f>
        <v/>
      </c>
      <c r="AC123" s="546" t="str">
        <f t="shared" si="240"/>
        <v/>
      </c>
      <c r="AD123" s="545" t="str">
        <f>IF('Marks Entry'!T123="","",'Marks Entry'!T123)</f>
        <v/>
      </c>
      <c r="AE123" s="547" t="str">
        <f t="shared" si="241"/>
        <v/>
      </c>
      <c r="AF123" s="152">
        <f t="shared" si="242"/>
        <v>0</v>
      </c>
      <c r="AG123" s="152">
        <f t="shared" si="243"/>
        <v>0</v>
      </c>
      <c r="AH123" s="153" t="str">
        <f t="shared" si="244"/>
        <v/>
      </c>
      <c r="AI123" s="152" t="str">
        <f t="shared" si="245"/>
        <v/>
      </c>
      <c r="AJ123" s="152" t="str">
        <f t="shared" si="246"/>
        <v/>
      </c>
      <c r="AK123" s="152" t="str">
        <f t="shared" si="247"/>
        <v/>
      </c>
      <c r="AL123" s="573" t="str">
        <f>IF('Marks Entry'!U123="","",'Marks Entry'!U123)</f>
        <v/>
      </c>
      <c r="AM123" s="573" t="str">
        <f>IF('Marks Entry'!V123="","",'Marks Entry'!V123)</f>
        <v/>
      </c>
      <c r="AN123" s="573" t="str">
        <f>IF('Marks Entry'!W123="","",'Marks Entry'!W123)</f>
        <v/>
      </c>
      <c r="AO123" s="573" t="str">
        <f>IF('Marks Entry'!X123="","",'Marks Entry'!X123)</f>
        <v/>
      </c>
      <c r="AP123" s="572" t="str">
        <f t="shared" si="248"/>
        <v/>
      </c>
      <c r="AQ123" s="573" t="str">
        <f>IF('Marks Entry'!Y123="","",'Marks Entry'!Y123)</f>
        <v/>
      </c>
      <c r="AR123" s="573" t="str">
        <f>IF('Marks Entry'!Z123="","",'Marks Entry'!Z123)</f>
        <v/>
      </c>
      <c r="AS123" s="572" t="str">
        <f t="shared" si="249"/>
        <v/>
      </c>
      <c r="AT123" s="572" t="str">
        <f t="shared" si="250"/>
        <v/>
      </c>
      <c r="AU123" s="573" t="str">
        <f>IF('Marks Entry'!AA123="","",'Marks Entry'!AA123)</f>
        <v/>
      </c>
      <c r="AV123" s="573" t="str">
        <f>IF('Marks Entry'!AB123="","",'Marks Entry'!AB123)</f>
        <v/>
      </c>
      <c r="AW123" s="572" t="str">
        <f t="shared" si="251"/>
        <v/>
      </c>
      <c r="AX123" s="156" t="str">
        <f t="shared" si="252"/>
        <v/>
      </c>
      <c r="AY123" s="156" t="str">
        <f t="shared" si="253"/>
        <v/>
      </c>
      <c r="AZ123" s="191" t="str">
        <f t="shared" si="254"/>
        <v/>
      </c>
      <c r="BA123" s="152">
        <f t="shared" si="255"/>
        <v>0</v>
      </c>
      <c r="BB123" s="153">
        <f t="shared" si="256"/>
        <v>0</v>
      </c>
      <c r="BC123" s="153" t="str">
        <f t="shared" si="257"/>
        <v/>
      </c>
      <c r="BD123" s="153" t="str">
        <f t="shared" si="258"/>
        <v/>
      </c>
      <c r="BE123" s="153" t="str">
        <f t="shared" si="259"/>
        <v/>
      </c>
      <c r="BF123" s="152" t="str">
        <f t="shared" si="260"/>
        <v/>
      </c>
      <c r="BG123" s="153" t="str">
        <f t="shared" si="261"/>
        <v/>
      </c>
      <c r="BH123" s="152" t="str">
        <f t="shared" si="262"/>
        <v/>
      </c>
      <c r="BI123" s="580" t="str">
        <f>IF('Marks Entry'!AC123="","",'Marks Entry'!AC123)</f>
        <v/>
      </c>
      <c r="BJ123" s="580" t="str">
        <f>IF('Marks Entry'!AD123="","",'Marks Entry'!AD123)</f>
        <v/>
      </c>
      <c r="BK123" s="580" t="str">
        <f>IF('Marks Entry'!AE123="","",'Marks Entry'!AE123)</f>
        <v/>
      </c>
      <c r="BL123" s="580" t="str">
        <f>IF('Marks Entry'!AF123="","",'Marks Entry'!AF123)</f>
        <v/>
      </c>
      <c r="BM123" s="581" t="str">
        <f t="shared" si="263"/>
        <v/>
      </c>
      <c r="BN123" s="580" t="str">
        <f>IF('Marks Entry'!AG123="","",'Marks Entry'!AG123)</f>
        <v/>
      </c>
      <c r="BO123" s="580" t="str">
        <f>IF('Marks Entry'!AH123="","",'Marks Entry'!AH123)</f>
        <v/>
      </c>
      <c r="BP123" s="581" t="str">
        <f t="shared" si="264"/>
        <v/>
      </c>
      <c r="BQ123" s="581" t="str">
        <f t="shared" si="265"/>
        <v/>
      </c>
      <c r="BR123" s="580" t="str">
        <f>IF('Marks Entry'!AI123="","",'Marks Entry'!AI123)</f>
        <v/>
      </c>
      <c r="BS123" s="580" t="str">
        <f>IF('Marks Entry'!AJ123="","",'Marks Entry'!AJ123)</f>
        <v/>
      </c>
      <c r="BT123" s="581" t="str">
        <f t="shared" si="266"/>
        <v/>
      </c>
      <c r="BU123" s="156" t="str">
        <f t="shared" si="267"/>
        <v/>
      </c>
      <c r="BV123" s="156" t="str">
        <f t="shared" si="268"/>
        <v/>
      </c>
      <c r="BW123" s="191" t="str">
        <f t="shared" si="269"/>
        <v/>
      </c>
      <c r="BX123" s="152">
        <f t="shared" si="270"/>
        <v>0</v>
      </c>
      <c r="BY123" s="153">
        <f t="shared" si="271"/>
        <v>0</v>
      </c>
      <c r="BZ123" s="153" t="str">
        <f t="shared" si="272"/>
        <v/>
      </c>
      <c r="CA123" s="153" t="str">
        <f t="shared" si="273"/>
        <v/>
      </c>
      <c r="CB123" s="153" t="str">
        <f t="shared" si="274"/>
        <v/>
      </c>
      <c r="CC123" s="152" t="str">
        <f t="shared" si="275"/>
        <v/>
      </c>
      <c r="CD123" s="153" t="str">
        <f t="shared" si="276"/>
        <v/>
      </c>
      <c r="CE123" s="152" t="str">
        <f t="shared" si="277"/>
        <v/>
      </c>
      <c r="CF123" s="580" t="str">
        <f>IF('Marks Entry'!AK123="","",'Marks Entry'!AK123)</f>
        <v/>
      </c>
      <c r="CG123" s="580" t="str">
        <f>IF('Marks Entry'!AL123="","",'Marks Entry'!AL123)</f>
        <v/>
      </c>
      <c r="CH123" s="580" t="str">
        <f>IF('Marks Entry'!AM123="","",'Marks Entry'!AM123)</f>
        <v/>
      </c>
      <c r="CI123" s="580" t="str">
        <f>IF('Marks Entry'!AN123="","",'Marks Entry'!AN123)</f>
        <v/>
      </c>
      <c r="CJ123" s="581" t="str">
        <f t="shared" si="278"/>
        <v/>
      </c>
      <c r="CK123" s="580" t="str">
        <f>IF('Marks Entry'!AO123="","",'Marks Entry'!AO123)</f>
        <v/>
      </c>
      <c r="CL123" s="580" t="str">
        <f>IF('Marks Entry'!AP123="","",'Marks Entry'!AP123)</f>
        <v/>
      </c>
      <c r="CM123" s="581" t="str">
        <f t="shared" si="279"/>
        <v/>
      </c>
      <c r="CN123" s="581" t="str">
        <f t="shared" si="280"/>
        <v/>
      </c>
      <c r="CO123" s="580" t="str">
        <f>IF('Marks Entry'!AQ123="","",'Marks Entry'!AQ123)</f>
        <v/>
      </c>
      <c r="CP123" s="580" t="str">
        <f>IF('Marks Entry'!AR123="","",'Marks Entry'!AR123)</f>
        <v/>
      </c>
      <c r="CQ123" s="581" t="str">
        <f t="shared" si="281"/>
        <v/>
      </c>
      <c r="CR123" s="156" t="str">
        <f t="shared" si="282"/>
        <v/>
      </c>
      <c r="CS123" s="156" t="str">
        <f t="shared" si="283"/>
        <v/>
      </c>
      <c r="CT123" s="191" t="str">
        <f t="shared" si="284"/>
        <v/>
      </c>
      <c r="CU123" s="152">
        <f t="shared" si="285"/>
        <v>0</v>
      </c>
      <c r="CV123" s="153">
        <f t="shared" si="286"/>
        <v>0</v>
      </c>
      <c r="CW123" s="153" t="str">
        <f t="shared" si="287"/>
        <v/>
      </c>
      <c r="CX123" s="153" t="str">
        <f t="shared" si="288"/>
        <v/>
      </c>
      <c r="CY123" s="153" t="str">
        <f t="shared" si="289"/>
        <v/>
      </c>
      <c r="CZ123" s="152" t="str">
        <f t="shared" si="290"/>
        <v/>
      </c>
      <c r="DA123" s="153" t="str">
        <f t="shared" si="291"/>
        <v/>
      </c>
      <c r="DB123" s="152" t="str">
        <f t="shared" si="292"/>
        <v/>
      </c>
      <c r="DC123" s="153">
        <f t="shared" si="293"/>
        <v>0</v>
      </c>
      <c r="DD123" s="851" t="str">
        <f>IF('Marks Entry'!AS123="","",IF(OR('Master Sheet'!$D$19="YES",'Marks Entry'!$BA$1=1),'Marks Entry'!AS123,""))</f>
        <v/>
      </c>
      <c r="DE123" s="851" t="str">
        <f>IF('Marks Entry'!AT123="","",IF(OR('Master Sheet'!$D$19="YES",'Marks Entry'!$BA$1=1),'Marks Entry'!AT123,""))</f>
        <v/>
      </c>
      <c r="DF123" s="851" t="str">
        <f>IF('Marks Entry'!AU123="","",IF(OR('Master Sheet'!$D$19="YES",'Marks Entry'!$BA$1=1),'Marks Entry'!AU123,""))</f>
        <v/>
      </c>
      <c r="DG123" s="851" t="str">
        <f>IF('Marks Entry'!AV123="","",IF(OR('Master Sheet'!$D$19="YES",'Marks Entry'!$BA$1=1),'Marks Entry'!AV123,""))</f>
        <v/>
      </c>
      <c r="DH123" s="852" t="str">
        <f t="shared" si="294"/>
        <v/>
      </c>
      <c r="DI123" s="851" t="str">
        <f>IF('Marks Entry'!AW123="","",IF(OR('Master Sheet'!$D$19="YES",'Marks Entry'!$BA$1=1),'Marks Entry'!AW123,""))</f>
        <v/>
      </c>
      <c r="DJ123" s="851" t="str">
        <f>IF('Marks Entry'!AX123="","",IF(OR('Master Sheet'!$D$19="YES",'Marks Entry'!$BA$1=1),'Marks Entry'!AX123,""))</f>
        <v/>
      </c>
      <c r="DK123" s="852" t="str">
        <f t="shared" si="295"/>
        <v/>
      </c>
      <c r="DL123" s="852" t="str">
        <f t="shared" si="296"/>
        <v/>
      </c>
      <c r="DM123" s="851" t="str">
        <f>IF('Marks Entry'!AY123="","",IF(OR('Master Sheet'!$D$19="YES",'Marks Entry'!$BA$1=1),'Marks Entry'!AY123,""))</f>
        <v/>
      </c>
      <c r="DN123" s="851" t="str">
        <f>IF('Marks Entry'!AZ123="","",IF(OR('Master Sheet'!$D$19="YES",'Marks Entry'!$BA$1=1),'Marks Entry'!AZ123,""))</f>
        <v/>
      </c>
      <c r="DO123" s="851" t="str">
        <f>IF('Marks Entry'!BA123="","",IF(OR('Master Sheet'!$D$19="YES",'Marks Entry'!$BA$1=1),'Marks Entry'!BA123,""))</f>
        <v/>
      </c>
      <c r="DP123" s="852" t="str">
        <f t="shared" si="297"/>
        <v/>
      </c>
      <c r="DQ123" s="156" t="str">
        <f t="shared" si="298"/>
        <v/>
      </c>
      <c r="DR123" s="156" t="str">
        <f t="shared" si="299"/>
        <v/>
      </c>
      <c r="DS123" s="156" t="str">
        <f t="shared" si="300"/>
        <v/>
      </c>
      <c r="DT123" s="191" t="str">
        <f t="shared" si="301"/>
        <v/>
      </c>
      <c r="DU123" s="152">
        <f t="shared" si="302"/>
        <v>0</v>
      </c>
      <c r="DV123" s="153">
        <f t="shared" si="303"/>
        <v>0</v>
      </c>
      <c r="DW123" s="153" t="str">
        <f t="shared" si="304"/>
        <v/>
      </c>
      <c r="DX123" s="153" t="str">
        <f>IF(OR($B123="NSO",$B123=0,DS123=""),"",IF(AND(DJ123="",DO123=""),"",IF('Master Sheet'!$D$19="YES",$DO$6-COUNTIF(DO123,"ML")*DO$6,DS$6-(COUNTIF(DJ123,"ML")*DJ$6)-(COUNTIF(DO123,"ML")*DO$6))))</f>
        <v/>
      </c>
      <c r="DY123" s="153" t="str">
        <f>IF(OR($B123="NSO",$B123=0),"",IF(AND(DH123="",DI123="",DM123=""),"",IF(AND('Master Sheet'!$D$19="YES",'Marks Entry'!$BA$1=1),100,IF(AND(DJ123="",DO123=""),SUM(($DQ$7+$DR$7)-(DU123+DV123)),SUM(($DQ$6+$DR$6)-(DU123+DV123))))))</f>
        <v/>
      </c>
      <c r="DZ123" s="152" t="str">
        <f t="shared" si="305"/>
        <v/>
      </c>
      <c r="EA123" s="153" t="str">
        <f t="shared" si="306"/>
        <v/>
      </c>
      <c r="EB123" s="152" t="str">
        <f t="shared" si="307"/>
        <v/>
      </c>
      <c r="EC123" s="584" t="str">
        <f>IF('Marks Entry'!BB123="","",'Marks Entry'!BB123)</f>
        <v/>
      </c>
      <c r="ED123" s="584" t="str">
        <f>IF('Marks Entry'!BC123="","",'Marks Entry'!BC123)</f>
        <v/>
      </c>
      <c r="EE123" s="584" t="str">
        <f>IF('Marks Entry'!BD123="","",'Marks Entry'!BD123)</f>
        <v/>
      </c>
      <c r="EF123" s="590" t="str">
        <f t="shared" si="308"/>
        <v/>
      </c>
      <c r="EG123" s="595">
        <f t="shared" si="309"/>
        <v>0</v>
      </c>
      <c r="EH123" s="595">
        <f t="shared" si="310"/>
        <v>0</v>
      </c>
      <c r="EI123" s="192" t="str">
        <f t="shared" si="311"/>
        <v/>
      </c>
      <c r="EJ123" s="595" t="str">
        <f t="shared" si="312"/>
        <v/>
      </c>
      <c r="EK123" s="595" t="str">
        <f t="shared" si="313"/>
        <v/>
      </c>
      <c r="EL123" s="193" t="str">
        <f t="shared" si="314"/>
        <v/>
      </c>
      <c r="EM123" s="193" t="str">
        <f t="shared" si="315"/>
        <v/>
      </c>
      <c r="EN123" s="193" t="str">
        <f t="shared" si="316"/>
        <v/>
      </c>
      <c r="EO123" s="193" t="str">
        <f t="shared" si="317"/>
        <v/>
      </c>
      <c r="EP123" s="193" t="str">
        <f t="shared" si="318"/>
        <v/>
      </c>
      <c r="EQ123" s="193" t="str">
        <f t="shared" si="319"/>
        <v/>
      </c>
      <c r="ER123" s="194">
        <f t="shared" si="320"/>
        <v>0</v>
      </c>
      <c r="ES123" s="194">
        <f t="shared" si="321"/>
        <v>0</v>
      </c>
      <c r="ET123" s="194">
        <f t="shared" si="322"/>
        <v>0</v>
      </c>
      <c r="EU123" s="194">
        <f t="shared" si="323"/>
        <v>0</v>
      </c>
      <c r="EV123" s="194">
        <f t="shared" si="324"/>
        <v>0</v>
      </c>
      <c r="EW123" s="194" t="str">
        <f t="shared" si="325"/>
        <v/>
      </c>
      <c r="EX123" s="195" t="str">
        <f t="shared" si="326"/>
        <v/>
      </c>
      <c r="EY123" s="196" t="str">
        <f>IF('Marks Entry'!BE123="","",'Marks Entry'!BE123)</f>
        <v/>
      </c>
      <c r="EZ123" s="196" t="str">
        <f>IF('Marks Entry'!BF123="","",'Marks Entry'!BF123)</f>
        <v/>
      </c>
      <c r="FA123" s="196" t="str">
        <f>IF('Marks Entry'!BG123="","",'Marks Entry'!BG123)</f>
        <v/>
      </c>
      <c r="FB123" s="596" t="str">
        <f t="shared" si="327"/>
        <v/>
      </c>
      <c r="FC123" s="196" t="str">
        <f>IF('Marks Entry'!BH123="","",'Marks Entry'!BH123)</f>
        <v/>
      </c>
      <c r="FD123" s="196" t="str">
        <f>IF('Marks Entry'!BI123="","",'Marks Entry'!BI123)</f>
        <v/>
      </c>
      <c r="FE123" s="197" t="str">
        <f t="shared" si="328"/>
        <v/>
      </c>
      <c r="FF123" s="198" t="str">
        <f t="shared" si="329"/>
        <v/>
      </c>
      <c r="FG123" s="199" t="str">
        <f>IF(AND(E123=""),"",IF('Student DATA Entry'!L119="","",'Student DATA Entry'!L119))</f>
        <v/>
      </c>
      <c r="FH123" s="200" t="str">
        <f>IF(AND(E123=""),"",IF('Student DATA Entry'!M119="","",'Student DATA Entry'!M119))</f>
        <v/>
      </c>
      <c r="FI123" s="201" t="str">
        <f t="shared" si="330"/>
        <v/>
      </c>
      <c r="FJ123" s="188" t="str">
        <f t="shared" si="331"/>
        <v/>
      </c>
      <c r="FK123" s="188" t="str">
        <f t="shared" si="332"/>
        <v/>
      </c>
      <c r="FL123" s="202" t="str">
        <f t="shared" si="360"/>
        <v/>
      </c>
      <c r="FM123" s="188" t="str">
        <f t="shared" si="333"/>
        <v/>
      </c>
      <c r="FN123" s="203" t="str">
        <f t="shared" si="334"/>
        <v/>
      </c>
      <c r="FO123" s="202" t="str">
        <f t="shared" si="361"/>
        <v/>
      </c>
      <c r="FP123" s="204" t="str">
        <f t="shared" si="335"/>
        <v/>
      </c>
      <c r="FQ123" s="188" t="str">
        <f t="shared" si="362"/>
        <v/>
      </c>
      <c r="FR123" s="188" t="str">
        <f t="shared" si="363"/>
        <v/>
      </c>
      <c r="FS123" s="188" t="str">
        <f t="shared" si="364"/>
        <v/>
      </c>
      <c r="FT123" s="188" t="str">
        <f t="shared" si="365"/>
        <v/>
      </c>
      <c r="FU123" s="188" t="str">
        <f t="shared" si="336"/>
        <v/>
      </c>
      <c r="FV123" s="205" t="str">
        <f t="shared" si="366"/>
        <v/>
      </c>
      <c r="FW123" s="204" t="str">
        <f t="shared" si="337"/>
        <v/>
      </c>
      <c r="FX123" s="188" t="str">
        <f t="shared" si="367"/>
        <v/>
      </c>
      <c r="FY123" s="188" t="str">
        <f t="shared" si="368"/>
        <v/>
      </c>
      <c r="FZ123" s="188" t="str">
        <f t="shared" si="369"/>
        <v/>
      </c>
      <c r="GA123" s="188" t="str">
        <f t="shared" si="370"/>
        <v/>
      </c>
      <c r="GB123" s="188" t="str">
        <f t="shared" si="338"/>
        <v/>
      </c>
      <c r="GC123" s="205" t="str">
        <f t="shared" si="371"/>
        <v/>
      </c>
      <c r="GD123" s="204" t="str">
        <f t="shared" si="339"/>
        <v/>
      </c>
      <c r="GE123" s="188" t="str">
        <f t="shared" si="372"/>
        <v/>
      </c>
      <c r="GF123" s="188" t="str">
        <f t="shared" si="373"/>
        <v/>
      </c>
      <c r="GG123" s="188" t="str">
        <f t="shared" si="374"/>
        <v/>
      </c>
      <c r="GH123" s="188" t="str">
        <f t="shared" si="375"/>
        <v/>
      </c>
      <c r="GI123" s="188" t="str">
        <f t="shared" si="340"/>
        <v/>
      </c>
      <c r="GJ123" s="205" t="str">
        <f t="shared" si="376"/>
        <v/>
      </c>
      <c r="GK123" s="204" t="str">
        <f t="shared" si="341"/>
        <v/>
      </c>
      <c r="GL123" s="188" t="str">
        <f t="shared" si="377"/>
        <v/>
      </c>
      <c r="GM123" s="188" t="str">
        <f t="shared" si="378"/>
        <v/>
      </c>
      <c r="GN123" s="188" t="str">
        <f t="shared" si="379"/>
        <v/>
      </c>
      <c r="GO123" s="188" t="str">
        <f t="shared" si="380"/>
        <v/>
      </c>
      <c r="GP123" s="188" t="str">
        <f t="shared" si="342"/>
        <v/>
      </c>
      <c r="GQ123" s="205" t="str">
        <f t="shared" si="381"/>
        <v/>
      </c>
      <c r="GR123" s="188" t="str">
        <f t="shared" si="343"/>
        <v/>
      </c>
      <c r="GS123" s="188" t="str">
        <f t="shared" si="344"/>
        <v/>
      </c>
      <c r="GT123" s="206" t="str">
        <f t="shared" si="345"/>
        <v xml:space="preserve">    </v>
      </c>
      <c r="GU123" s="206" t="str">
        <f t="shared" si="346"/>
        <v xml:space="preserve">    </v>
      </c>
      <c r="GV123" s="206" t="str">
        <f t="shared" si="347"/>
        <v xml:space="preserve">    </v>
      </c>
      <c r="GW123" s="206" t="str">
        <f t="shared" si="348"/>
        <v xml:space="preserve">       </v>
      </c>
      <c r="GX123" s="598" t="str">
        <f t="shared" si="349"/>
        <v xml:space="preserve">     </v>
      </c>
      <c r="GY123" s="207" t="str">
        <f t="shared" si="382"/>
        <v/>
      </c>
      <c r="GZ123" s="606" t="str">
        <f>IF(AND(Q123="",AE123="",AZ123="",BW123="",CT123=""),"",IF(AND('Master Sheet'!$D$19="YES",'Marks Entry'!$BA$1=1),SUM(Q123,AE123,AZ123,BW123,DT123),SUM(Q123,AE123,AZ123,BW123,CT123)))</f>
        <v/>
      </c>
      <c r="HA123" s="208" t="str">
        <f>IF(GZ123="","",IF(AND('Master Sheet'!$D$19="YES",'Marks Entry'!$BA$1=1),GZ123/((900)-DC123)*100,GZ123/((1000)-DC123)*100))</f>
        <v/>
      </c>
      <c r="HB123" s="611" t="str">
        <f t="shared" si="350"/>
        <v/>
      </c>
      <c r="HC123" s="609" t="str">
        <f t="shared" si="351"/>
        <v/>
      </c>
      <c r="HD123" s="610" t="str">
        <f t="shared" si="352"/>
        <v/>
      </c>
      <c r="HE123" s="209" t="str">
        <f>IFERROR(IF(OR(GY123="SUPPLEMENTARY",GY123="RE-EXAM"),'Supp. Result Entry'!AS122,""),"")</f>
        <v/>
      </c>
      <c r="HF123" s="613" t="str">
        <f t="shared" si="353"/>
        <v/>
      </c>
      <c r="HG123" s="598" t="str">
        <f t="shared" si="354"/>
        <v/>
      </c>
      <c r="HH123" s="598" t="str">
        <f>IF(AND(HE123="",HF123="",HG123=""),"",IF(OR(GY123="SUPPLEMENTARY",GY123="RE-EXAM"),'Supp. Result Entry'!AS122,GY123))</f>
        <v/>
      </c>
      <c r="HI123" s="179"/>
      <c r="HY123" s="211" t="str">
        <f>IF('Supp. Result Entry'!U122="","",'Supp. Result Entry'!$U$6)</f>
        <v/>
      </c>
      <c r="HZ123" s="212" t="str">
        <f>IF('Supp. Result Entry'!X122="","",'Supp. Result Entry'!$X$6)</f>
        <v/>
      </c>
      <c r="IA123" s="212" t="str">
        <f>IF('Supp. Result Entry'!AA122="","",'Supp. Result Entry'!$AA$6)</f>
        <v/>
      </c>
      <c r="IB123" s="212" t="str">
        <f>IF('Supp. Result Entry'!AD122="","",'Supp. Result Entry'!$AD$6)</f>
        <v/>
      </c>
      <c r="IC123" s="212" t="str">
        <f>IF('Supp. Result Entry'!AG122="","",'Supp. Result Entry'!$AG$6)</f>
        <v/>
      </c>
      <c r="ID123" s="212" t="str">
        <f>IF('Supp. Result Entry'!AJ122="","",'Supp. Result Entry'!$AJ$6)</f>
        <v/>
      </c>
      <c r="IE123" s="212" t="str">
        <f>IF('Supp. Result Entry'!V122="","",'Supp. Result Entry'!V122)</f>
        <v/>
      </c>
      <c r="IF123" s="212" t="str">
        <f>IF('Supp. Result Entry'!Y122="","",'Supp. Result Entry'!Y122)</f>
        <v/>
      </c>
      <c r="IG123" s="212" t="str">
        <f>IF('Supp. Result Entry'!AB122="","",'Supp. Result Entry'!AB122)</f>
        <v/>
      </c>
      <c r="IH123" s="212" t="str">
        <f>IF('Supp. Result Entry'!AE122="","",'Supp. Result Entry'!AE122)</f>
        <v/>
      </c>
      <c r="II123" s="212" t="str">
        <f>IF('Supp. Result Entry'!AH122="","",'Supp. Result Entry'!AH122)</f>
        <v/>
      </c>
      <c r="IJ123" s="212" t="str">
        <f>IF('Supp. Result Entry'!AK122="","",'Supp. Result Entry'!AK122)</f>
        <v/>
      </c>
      <c r="IK123" s="212" t="str">
        <f>IF('Supp. Result Entry'!W122="","",'Supp. Result Entry'!W122)</f>
        <v/>
      </c>
      <c r="IL123" s="212" t="str">
        <f>IF('Supp. Result Entry'!Z122="","",'Supp. Result Entry'!Z122)</f>
        <v/>
      </c>
      <c r="IM123" s="212" t="str">
        <f>IF('Supp. Result Entry'!AC122="","",'Supp. Result Entry'!AC122)</f>
        <v/>
      </c>
      <c r="IN123" s="212" t="str">
        <f>IF('Supp. Result Entry'!AF122="","",'Supp. Result Entry'!AF122)</f>
        <v/>
      </c>
      <c r="IO123" s="212" t="str">
        <f>IF('Supp. Result Entry'!AI122="","",'Supp. Result Entry'!AI122)</f>
        <v/>
      </c>
      <c r="IP123" s="212" t="str">
        <f>IF('Supp. Result Entry'!AL122="","",'Supp. Result Entry'!AL122)</f>
        <v/>
      </c>
      <c r="IQ123" s="212">
        <f>COUNTIF('Supp. Result Entry'!K122:Q122,"S")</f>
        <v>0</v>
      </c>
      <c r="IR123" s="212">
        <f t="shared" si="355"/>
        <v>0</v>
      </c>
      <c r="IS123" s="212">
        <f t="shared" si="356"/>
        <v>0</v>
      </c>
      <c r="IT123" s="212" t="str">
        <f t="shared" si="224"/>
        <v/>
      </c>
      <c r="IU123" s="212" t="str">
        <f t="shared" si="225"/>
        <v/>
      </c>
      <c r="IV123" s="212" t="str">
        <f t="shared" si="226"/>
        <v/>
      </c>
      <c r="IW123" s="212" t="str">
        <f t="shared" si="227"/>
        <v/>
      </c>
      <c r="IX123" s="212" t="str">
        <f t="shared" si="228"/>
        <v/>
      </c>
      <c r="IY123" s="212" t="str">
        <f t="shared" si="357"/>
        <v/>
      </c>
      <c r="IZ123" s="212" t="str">
        <f t="shared" si="358"/>
        <v/>
      </c>
      <c r="JA123" s="212" t="str">
        <f t="shared" si="229"/>
        <v/>
      </c>
      <c r="JB123" s="210" t="str">
        <f t="shared" si="359"/>
        <v/>
      </c>
    </row>
    <row r="124" spans="1:262" s="210" customFormat="1" ht="21" customHeight="1">
      <c r="A124" s="183">
        <v>117</v>
      </c>
      <c r="B124" s="184" t="str">
        <f>IF('Marks Entry'!B124="","",'Marks Entry'!B124)</f>
        <v/>
      </c>
      <c r="C124" s="185" t="str">
        <f>IF('Marks Entry'!D124="","",'Marks Entry'!D124)</f>
        <v/>
      </c>
      <c r="D124" s="186" t="str">
        <f>IF('Marks Entry'!E124="","",'Marks Entry'!E124)</f>
        <v/>
      </c>
      <c r="E124" s="187" t="str">
        <f>IF('Marks Entry'!F124="","",'Marks Entry'!F124)</f>
        <v/>
      </c>
      <c r="F124" s="187" t="str">
        <f>IF('Marks Entry'!G124="","",'Marks Entry'!G124)</f>
        <v/>
      </c>
      <c r="G124" s="187" t="str">
        <f>IF('Marks Entry'!H124="","",'Marks Entry'!H124)</f>
        <v/>
      </c>
      <c r="H124" s="188" t="str">
        <f>IF('Marks Entry'!I124="","",'Marks Entry'!I124)</f>
        <v/>
      </c>
      <c r="I124" s="189" t="str">
        <f>IF('Marks Entry'!J124="","",'Marks Entry'!J124)</f>
        <v/>
      </c>
      <c r="J124" s="545" t="str">
        <f>IF('Marks Entry'!K124="","",'Marks Entry'!K124)</f>
        <v/>
      </c>
      <c r="K124" s="545" t="str">
        <f>IF('Marks Entry'!L124="","",'Marks Entry'!L124)</f>
        <v/>
      </c>
      <c r="L124" s="545" t="str">
        <f>IF('Marks Entry'!M124="","",'Marks Entry'!M124)</f>
        <v/>
      </c>
      <c r="M124" s="546" t="str">
        <f t="shared" si="230"/>
        <v/>
      </c>
      <c r="N124" s="545" t="str">
        <f>IF('Marks Entry'!N124="","",'Marks Entry'!N124)</f>
        <v/>
      </c>
      <c r="O124" s="546" t="str">
        <f t="shared" si="231"/>
        <v/>
      </c>
      <c r="P124" s="545" t="str">
        <f>IF('Marks Entry'!O124="","",'Marks Entry'!O124)</f>
        <v/>
      </c>
      <c r="Q124" s="547" t="str">
        <f t="shared" si="232"/>
        <v/>
      </c>
      <c r="R124" s="152">
        <f t="shared" si="233"/>
        <v>0</v>
      </c>
      <c r="S124" s="152">
        <f t="shared" si="234"/>
        <v>0</v>
      </c>
      <c r="T124" s="153" t="str">
        <f t="shared" si="235"/>
        <v/>
      </c>
      <c r="U124" s="152" t="str">
        <f t="shared" si="236"/>
        <v/>
      </c>
      <c r="V124" s="152" t="str">
        <f t="shared" si="237"/>
        <v/>
      </c>
      <c r="W124" s="152" t="str">
        <f t="shared" si="238"/>
        <v/>
      </c>
      <c r="X124" s="545" t="str">
        <f>IF('Marks Entry'!P124="","",'Marks Entry'!P124)</f>
        <v/>
      </c>
      <c r="Y124" s="545" t="str">
        <f>IF('Marks Entry'!Q124="","",'Marks Entry'!Q124)</f>
        <v/>
      </c>
      <c r="Z124" s="545" t="str">
        <f>IF('Marks Entry'!R124="","",'Marks Entry'!R124)</f>
        <v/>
      </c>
      <c r="AA124" s="546" t="str">
        <f t="shared" si="239"/>
        <v/>
      </c>
      <c r="AB124" s="545" t="str">
        <f>IF('Marks Entry'!S124="","",'Marks Entry'!S124)</f>
        <v/>
      </c>
      <c r="AC124" s="546" t="str">
        <f t="shared" si="240"/>
        <v/>
      </c>
      <c r="AD124" s="545" t="str">
        <f>IF('Marks Entry'!T124="","",'Marks Entry'!T124)</f>
        <v/>
      </c>
      <c r="AE124" s="547" t="str">
        <f t="shared" si="241"/>
        <v/>
      </c>
      <c r="AF124" s="152">
        <f t="shared" si="242"/>
        <v>0</v>
      </c>
      <c r="AG124" s="152">
        <f t="shared" si="243"/>
        <v>0</v>
      </c>
      <c r="AH124" s="153" t="str">
        <f t="shared" si="244"/>
        <v/>
      </c>
      <c r="AI124" s="152" t="str">
        <f t="shared" si="245"/>
        <v/>
      </c>
      <c r="AJ124" s="152" t="str">
        <f t="shared" si="246"/>
        <v/>
      </c>
      <c r="AK124" s="152" t="str">
        <f t="shared" si="247"/>
        <v/>
      </c>
      <c r="AL124" s="573" t="str">
        <f>IF('Marks Entry'!U124="","",'Marks Entry'!U124)</f>
        <v/>
      </c>
      <c r="AM124" s="573" t="str">
        <f>IF('Marks Entry'!V124="","",'Marks Entry'!V124)</f>
        <v/>
      </c>
      <c r="AN124" s="573" t="str">
        <f>IF('Marks Entry'!W124="","",'Marks Entry'!W124)</f>
        <v/>
      </c>
      <c r="AO124" s="573" t="str">
        <f>IF('Marks Entry'!X124="","",'Marks Entry'!X124)</f>
        <v/>
      </c>
      <c r="AP124" s="572" t="str">
        <f t="shared" si="248"/>
        <v/>
      </c>
      <c r="AQ124" s="573" t="str">
        <f>IF('Marks Entry'!Y124="","",'Marks Entry'!Y124)</f>
        <v/>
      </c>
      <c r="AR124" s="573" t="str">
        <f>IF('Marks Entry'!Z124="","",'Marks Entry'!Z124)</f>
        <v/>
      </c>
      <c r="AS124" s="572" t="str">
        <f t="shared" si="249"/>
        <v/>
      </c>
      <c r="AT124" s="572" t="str">
        <f t="shared" si="250"/>
        <v/>
      </c>
      <c r="AU124" s="573" t="str">
        <f>IF('Marks Entry'!AA124="","",'Marks Entry'!AA124)</f>
        <v/>
      </c>
      <c r="AV124" s="573" t="str">
        <f>IF('Marks Entry'!AB124="","",'Marks Entry'!AB124)</f>
        <v/>
      </c>
      <c r="AW124" s="572" t="str">
        <f t="shared" si="251"/>
        <v/>
      </c>
      <c r="AX124" s="156" t="str">
        <f t="shared" si="252"/>
        <v/>
      </c>
      <c r="AY124" s="156" t="str">
        <f t="shared" si="253"/>
        <v/>
      </c>
      <c r="AZ124" s="191" t="str">
        <f t="shared" si="254"/>
        <v/>
      </c>
      <c r="BA124" s="152">
        <f t="shared" si="255"/>
        <v>0</v>
      </c>
      <c r="BB124" s="153">
        <f t="shared" si="256"/>
        <v>0</v>
      </c>
      <c r="BC124" s="153" t="str">
        <f t="shared" si="257"/>
        <v/>
      </c>
      <c r="BD124" s="153" t="str">
        <f t="shared" si="258"/>
        <v/>
      </c>
      <c r="BE124" s="153" t="str">
        <f t="shared" si="259"/>
        <v/>
      </c>
      <c r="BF124" s="152" t="str">
        <f t="shared" si="260"/>
        <v/>
      </c>
      <c r="BG124" s="153" t="str">
        <f t="shared" si="261"/>
        <v/>
      </c>
      <c r="BH124" s="152" t="str">
        <f t="shared" si="262"/>
        <v/>
      </c>
      <c r="BI124" s="580" t="str">
        <f>IF('Marks Entry'!AC124="","",'Marks Entry'!AC124)</f>
        <v/>
      </c>
      <c r="BJ124" s="580" t="str">
        <f>IF('Marks Entry'!AD124="","",'Marks Entry'!AD124)</f>
        <v/>
      </c>
      <c r="BK124" s="580" t="str">
        <f>IF('Marks Entry'!AE124="","",'Marks Entry'!AE124)</f>
        <v/>
      </c>
      <c r="BL124" s="580" t="str">
        <f>IF('Marks Entry'!AF124="","",'Marks Entry'!AF124)</f>
        <v/>
      </c>
      <c r="BM124" s="581" t="str">
        <f t="shared" si="263"/>
        <v/>
      </c>
      <c r="BN124" s="580" t="str">
        <f>IF('Marks Entry'!AG124="","",'Marks Entry'!AG124)</f>
        <v/>
      </c>
      <c r="BO124" s="580" t="str">
        <f>IF('Marks Entry'!AH124="","",'Marks Entry'!AH124)</f>
        <v/>
      </c>
      <c r="BP124" s="581" t="str">
        <f t="shared" si="264"/>
        <v/>
      </c>
      <c r="BQ124" s="581" t="str">
        <f t="shared" si="265"/>
        <v/>
      </c>
      <c r="BR124" s="580" t="str">
        <f>IF('Marks Entry'!AI124="","",'Marks Entry'!AI124)</f>
        <v/>
      </c>
      <c r="BS124" s="580" t="str">
        <f>IF('Marks Entry'!AJ124="","",'Marks Entry'!AJ124)</f>
        <v/>
      </c>
      <c r="BT124" s="581" t="str">
        <f t="shared" si="266"/>
        <v/>
      </c>
      <c r="BU124" s="156" t="str">
        <f t="shared" si="267"/>
        <v/>
      </c>
      <c r="BV124" s="156" t="str">
        <f t="shared" si="268"/>
        <v/>
      </c>
      <c r="BW124" s="191" t="str">
        <f t="shared" si="269"/>
        <v/>
      </c>
      <c r="BX124" s="152">
        <f t="shared" si="270"/>
        <v>0</v>
      </c>
      <c r="BY124" s="153">
        <f t="shared" si="271"/>
        <v>0</v>
      </c>
      <c r="BZ124" s="153" t="str">
        <f t="shared" si="272"/>
        <v/>
      </c>
      <c r="CA124" s="153" t="str">
        <f t="shared" si="273"/>
        <v/>
      </c>
      <c r="CB124" s="153" t="str">
        <f t="shared" si="274"/>
        <v/>
      </c>
      <c r="CC124" s="152" t="str">
        <f t="shared" si="275"/>
        <v/>
      </c>
      <c r="CD124" s="153" t="str">
        <f t="shared" si="276"/>
        <v/>
      </c>
      <c r="CE124" s="152" t="str">
        <f t="shared" si="277"/>
        <v/>
      </c>
      <c r="CF124" s="580" t="str">
        <f>IF('Marks Entry'!AK124="","",'Marks Entry'!AK124)</f>
        <v/>
      </c>
      <c r="CG124" s="580" t="str">
        <f>IF('Marks Entry'!AL124="","",'Marks Entry'!AL124)</f>
        <v/>
      </c>
      <c r="CH124" s="580" t="str">
        <f>IF('Marks Entry'!AM124="","",'Marks Entry'!AM124)</f>
        <v/>
      </c>
      <c r="CI124" s="580" t="str">
        <f>IF('Marks Entry'!AN124="","",'Marks Entry'!AN124)</f>
        <v/>
      </c>
      <c r="CJ124" s="581" t="str">
        <f t="shared" si="278"/>
        <v/>
      </c>
      <c r="CK124" s="580" t="str">
        <f>IF('Marks Entry'!AO124="","",'Marks Entry'!AO124)</f>
        <v/>
      </c>
      <c r="CL124" s="580" t="str">
        <f>IF('Marks Entry'!AP124="","",'Marks Entry'!AP124)</f>
        <v/>
      </c>
      <c r="CM124" s="581" t="str">
        <f t="shared" si="279"/>
        <v/>
      </c>
      <c r="CN124" s="581" t="str">
        <f t="shared" si="280"/>
        <v/>
      </c>
      <c r="CO124" s="580" t="str">
        <f>IF('Marks Entry'!AQ124="","",'Marks Entry'!AQ124)</f>
        <v/>
      </c>
      <c r="CP124" s="580" t="str">
        <f>IF('Marks Entry'!AR124="","",'Marks Entry'!AR124)</f>
        <v/>
      </c>
      <c r="CQ124" s="581" t="str">
        <f t="shared" si="281"/>
        <v/>
      </c>
      <c r="CR124" s="156" t="str">
        <f t="shared" si="282"/>
        <v/>
      </c>
      <c r="CS124" s="156" t="str">
        <f t="shared" si="283"/>
        <v/>
      </c>
      <c r="CT124" s="191" t="str">
        <f t="shared" si="284"/>
        <v/>
      </c>
      <c r="CU124" s="152">
        <f t="shared" si="285"/>
        <v>0</v>
      </c>
      <c r="CV124" s="153">
        <f t="shared" si="286"/>
        <v>0</v>
      </c>
      <c r="CW124" s="153" t="str">
        <f t="shared" si="287"/>
        <v/>
      </c>
      <c r="CX124" s="153" t="str">
        <f t="shared" si="288"/>
        <v/>
      </c>
      <c r="CY124" s="153" t="str">
        <f t="shared" si="289"/>
        <v/>
      </c>
      <c r="CZ124" s="152" t="str">
        <f t="shared" si="290"/>
        <v/>
      </c>
      <c r="DA124" s="153" t="str">
        <f t="shared" si="291"/>
        <v/>
      </c>
      <c r="DB124" s="152" t="str">
        <f t="shared" si="292"/>
        <v/>
      </c>
      <c r="DC124" s="153">
        <f t="shared" si="293"/>
        <v>0</v>
      </c>
      <c r="DD124" s="851" t="str">
        <f>IF('Marks Entry'!AS124="","",IF(OR('Master Sheet'!$D$19="YES",'Marks Entry'!$BA$1=1),'Marks Entry'!AS124,""))</f>
        <v/>
      </c>
      <c r="DE124" s="851" t="str">
        <f>IF('Marks Entry'!AT124="","",IF(OR('Master Sheet'!$D$19="YES",'Marks Entry'!$BA$1=1),'Marks Entry'!AT124,""))</f>
        <v/>
      </c>
      <c r="DF124" s="851" t="str">
        <f>IF('Marks Entry'!AU124="","",IF(OR('Master Sheet'!$D$19="YES",'Marks Entry'!$BA$1=1),'Marks Entry'!AU124,""))</f>
        <v/>
      </c>
      <c r="DG124" s="851" t="str">
        <f>IF('Marks Entry'!AV124="","",IF(OR('Master Sheet'!$D$19="YES",'Marks Entry'!$BA$1=1),'Marks Entry'!AV124,""))</f>
        <v/>
      </c>
      <c r="DH124" s="852" t="str">
        <f t="shared" si="294"/>
        <v/>
      </c>
      <c r="DI124" s="851" t="str">
        <f>IF('Marks Entry'!AW124="","",IF(OR('Master Sheet'!$D$19="YES",'Marks Entry'!$BA$1=1),'Marks Entry'!AW124,""))</f>
        <v/>
      </c>
      <c r="DJ124" s="851" t="str">
        <f>IF('Marks Entry'!AX124="","",IF(OR('Master Sheet'!$D$19="YES",'Marks Entry'!$BA$1=1),'Marks Entry'!AX124,""))</f>
        <v/>
      </c>
      <c r="DK124" s="852" t="str">
        <f t="shared" si="295"/>
        <v/>
      </c>
      <c r="DL124" s="852" t="str">
        <f t="shared" si="296"/>
        <v/>
      </c>
      <c r="DM124" s="851" t="str">
        <f>IF('Marks Entry'!AY124="","",IF(OR('Master Sheet'!$D$19="YES",'Marks Entry'!$BA$1=1),'Marks Entry'!AY124,""))</f>
        <v/>
      </c>
      <c r="DN124" s="851" t="str">
        <f>IF('Marks Entry'!AZ124="","",IF(OR('Master Sheet'!$D$19="YES",'Marks Entry'!$BA$1=1),'Marks Entry'!AZ124,""))</f>
        <v/>
      </c>
      <c r="DO124" s="851" t="str">
        <f>IF('Marks Entry'!BA124="","",IF(OR('Master Sheet'!$D$19="YES",'Marks Entry'!$BA$1=1),'Marks Entry'!BA124,""))</f>
        <v/>
      </c>
      <c r="DP124" s="852" t="str">
        <f t="shared" si="297"/>
        <v/>
      </c>
      <c r="DQ124" s="156" t="str">
        <f t="shared" si="298"/>
        <v/>
      </c>
      <c r="DR124" s="156" t="str">
        <f t="shared" si="299"/>
        <v/>
      </c>
      <c r="DS124" s="156" t="str">
        <f t="shared" si="300"/>
        <v/>
      </c>
      <c r="DT124" s="191" t="str">
        <f t="shared" si="301"/>
        <v/>
      </c>
      <c r="DU124" s="152">
        <f t="shared" si="302"/>
        <v>0</v>
      </c>
      <c r="DV124" s="153">
        <f t="shared" si="303"/>
        <v>0</v>
      </c>
      <c r="DW124" s="153" t="str">
        <f t="shared" si="304"/>
        <v/>
      </c>
      <c r="DX124" s="153" t="str">
        <f>IF(OR($B124="NSO",$B124=0,DS124=""),"",IF(AND(DJ124="",DO124=""),"",IF('Master Sheet'!$D$19="YES",$DO$6-COUNTIF(DO124,"ML")*DO$6,DS$6-(COUNTIF(DJ124,"ML")*DJ$6)-(COUNTIF(DO124,"ML")*DO$6))))</f>
        <v/>
      </c>
      <c r="DY124" s="153" t="str">
        <f>IF(OR($B124="NSO",$B124=0),"",IF(AND(DH124="",DI124="",DM124=""),"",IF(AND('Master Sheet'!$D$19="YES",'Marks Entry'!$BA$1=1),100,IF(AND(DJ124="",DO124=""),SUM(($DQ$7+$DR$7)-(DU124+DV124)),SUM(($DQ$6+$DR$6)-(DU124+DV124))))))</f>
        <v/>
      </c>
      <c r="DZ124" s="152" t="str">
        <f t="shared" si="305"/>
        <v/>
      </c>
      <c r="EA124" s="153" t="str">
        <f t="shared" si="306"/>
        <v/>
      </c>
      <c r="EB124" s="152" t="str">
        <f t="shared" si="307"/>
        <v/>
      </c>
      <c r="EC124" s="584" t="str">
        <f>IF('Marks Entry'!BB124="","",'Marks Entry'!BB124)</f>
        <v/>
      </c>
      <c r="ED124" s="584" t="str">
        <f>IF('Marks Entry'!BC124="","",'Marks Entry'!BC124)</f>
        <v/>
      </c>
      <c r="EE124" s="584" t="str">
        <f>IF('Marks Entry'!BD124="","",'Marks Entry'!BD124)</f>
        <v/>
      </c>
      <c r="EF124" s="590" t="str">
        <f t="shared" si="308"/>
        <v/>
      </c>
      <c r="EG124" s="595">
        <f t="shared" si="309"/>
        <v>0</v>
      </c>
      <c r="EH124" s="595">
        <f t="shared" si="310"/>
        <v>0</v>
      </c>
      <c r="EI124" s="192" t="str">
        <f t="shared" si="311"/>
        <v/>
      </c>
      <c r="EJ124" s="595" t="str">
        <f t="shared" si="312"/>
        <v/>
      </c>
      <c r="EK124" s="595" t="str">
        <f t="shared" si="313"/>
        <v/>
      </c>
      <c r="EL124" s="193" t="str">
        <f t="shared" si="314"/>
        <v/>
      </c>
      <c r="EM124" s="193" t="str">
        <f t="shared" si="315"/>
        <v/>
      </c>
      <c r="EN124" s="193" t="str">
        <f t="shared" si="316"/>
        <v/>
      </c>
      <c r="EO124" s="193" t="str">
        <f t="shared" si="317"/>
        <v/>
      </c>
      <c r="EP124" s="193" t="str">
        <f t="shared" si="318"/>
        <v/>
      </c>
      <c r="EQ124" s="193" t="str">
        <f t="shared" si="319"/>
        <v/>
      </c>
      <c r="ER124" s="194">
        <f t="shared" si="320"/>
        <v>0</v>
      </c>
      <c r="ES124" s="194">
        <f t="shared" si="321"/>
        <v>0</v>
      </c>
      <c r="ET124" s="194">
        <f t="shared" si="322"/>
        <v>0</v>
      </c>
      <c r="EU124" s="194">
        <f t="shared" si="323"/>
        <v>0</v>
      </c>
      <c r="EV124" s="194">
        <f t="shared" si="324"/>
        <v>0</v>
      </c>
      <c r="EW124" s="194" t="str">
        <f t="shared" si="325"/>
        <v/>
      </c>
      <c r="EX124" s="195" t="str">
        <f t="shared" si="326"/>
        <v/>
      </c>
      <c r="EY124" s="196" t="str">
        <f>IF('Marks Entry'!BE124="","",'Marks Entry'!BE124)</f>
        <v/>
      </c>
      <c r="EZ124" s="196" t="str">
        <f>IF('Marks Entry'!BF124="","",'Marks Entry'!BF124)</f>
        <v/>
      </c>
      <c r="FA124" s="196" t="str">
        <f>IF('Marks Entry'!BG124="","",'Marks Entry'!BG124)</f>
        <v/>
      </c>
      <c r="FB124" s="596" t="str">
        <f t="shared" si="327"/>
        <v/>
      </c>
      <c r="FC124" s="196" t="str">
        <f>IF('Marks Entry'!BH124="","",'Marks Entry'!BH124)</f>
        <v/>
      </c>
      <c r="FD124" s="196" t="str">
        <f>IF('Marks Entry'!BI124="","",'Marks Entry'!BI124)</f>
        <v/>
      </c>
      <c r="FE124" s="197" t="str">
        <f t="shared" si="328"/>
        <v/>
      </c>
      <c r="FF124" s="198" t="str">
        <f t="shared" si="329"/>
        <v/>
      </c>
      <c r="FG124" s="199" t="str">
        <f>IF(AND(E124=""),"",IF('Student DATA Entry'!L120="","",'Student DATA Entry'!L120))</f>
        <v/>
      </c>
      <c r="FH124" s="200" t="str">
        <f>IF(AND(E124=""),"",IF('Student DATA Entry'!M120="","",'Student DATA Entry'!M120))</f>
        <v/>
      </c>
      <c r="FI124" s="201" t="str">
        <f t="shared" si="330"/>
        <v/>
      </c>
      <c r="FJ124" s="188" t="str">
        <f t="shared" si="331"/>
        <v/>
      </c>
      <c r="FK124" s="188" t="str">
        <f t="shared" si="332"/>
        <v/>
      </c>
      <c r="FL124" s="202" t="str">
        <f t="shared" si="360"/>
        <v/>
      </c>
      <c r="FM124" s="188" t="str">
        <f t="shared" si="333"/>
        <v/>
      </c>
      <c r="FN124" s="203" t="str">
        <f t="shared" si="334"/>
        <v/>
      </c>
      <c r="FO124" s="202" t="str">
        <f t="shared" si="361"/>
        <v/>
      </c>
      <c r="FP124" s="204" t="str">
        <f t="shared" si="335"/>
        <v/>
      </c>
      <c r="FQ124" s="188" t="str">
        <f t="shared" si="362"/>
        <v/>
      </c>
      <c r="FR124" s="188" t="str">
        <f t="shared" si="363"/>
        <v/>
      </c>
      <c r="FS124" s="188" t="str">
        <f t="shared" si="364"/>
        <v/>
      </c>
      <c r="FT124" s="188" t="str">
        <f t="shared" si="365"/>
        <v/>
      </c>
      <c r="FU124" s="188" t="str">
        <f t="shared" si="336"/>
        <v/>
      </c>
      <c r="FV124" s="205" t="str">
        <f t="shared" si="366"/>
        <v/>
      </c>
      <c r="FW124" s="204" t="str">
        <f t="shared" si="337"/>
        <v/>
      </c>
      <c r="FX124" s="188" t="str">
        <f t="shared" si="367"/>
        <v/>
      </c>
      <c r="FY124" s="188" t="str">
        <f t="shared" si="368"/>
        <v/>
      </c>
      <c r="FZ124" s="188" t="str">
        <f t="shared" si="369"/>
        <v/>
      </c>
      <c r="GA124" s="188" t="str">
        <f t="shared" si="370"/>
        <v/>
      </c>
      <c r="GB124" s="188" t="str">
        <f t="shared" si="338"/>
        <v/>
      </c>
      <c r="GC124" s="205" t="str">
        <f t="shared" si="371"/>
        <v/>
      </c>
      <c r="GD124" s="204" t="str">
        <f t="shared" si="339"/>
        <v/>
      </c>
      <c r="GE124" s="188" t="str">
        <f t="shared" si="372"/>
        <v/>
      </c>
      <c r="GF124" s="188" t="str">
        <f t="shared" si="373"/>
        <v/>
      </c>
      <c r="GG124" s="188" t="str">
        <f t="shared" si="374"/>
        <v/>
      </c>
      <c r="GH124" s="188" t="str">
        <f t="shared" si="375"/>
        <v/>
      </c>
      <c r="GI124" s="188" t="str">
        <f t="shared" si="340"/>
        <v/>
      </c>
      <c r="GJ124" s="205" t="str">
        <f t="shared" si="376"/>
        <v/>
      </c>
      <c r="GK124" s="204" t="str">
        <f t="shared" si="341"/>
        <v/>
      </c>
      <c r="GL124" s="188" t="str">
        <f t="shared" si="377"/>
        <v/>
      </c>
      <c r="GM124" s="188" t="str">
        <f t="shared" si="378"/>
        <v/>
      </c>
      <c r="GN124" s="188" t="str">
        <f t="shared" si="379"/>
        <v/>
      </c>
      <c r="GO124" s="188" t="str">
        <f t="shared" si="380"/>
        <v/>
      </c>
      <c r="GP124" s="188" t="str">
        <f t="shared" si="342"/>
        <v/>
      </c>
      <c r="GQ124" s="205" t="str">
        <f t="shared" si="381"/>
        <v/>
      </c>
      <c r="GR124" s="188" t="str">
        <f t="shared" si="343"/>
        <v/>
      </c>
      <c r="GS124" s="188" t="str">
        <f t="shared" si="344"/>
        <v/>
      </c>
      <c r="GT124" s="206" t="str">
        <f t="shared" si="345"/>
        <v xml:space="preserve">    </v>
      </c>
      <c r="GU124" s="206" t="str">
        <f t="shared" si="346"/>
        <v xml:space="preserve">    </v>
      </c>
      <c r="GV124" s="206" t="str">
        <f t="shared" si="347"/>
        <v xml:space="preserve">    </v>
      </c>
      <c r="GW124" s="206" t="str">
        <f t="shared" si="348"/>
        <v xml:space="preserve">       </v>
      </c>
      <c r="GX124" s="598" t="str">
        <f t="shared" si="349"/>
        <v xml:space="preserve">     </v>
      </c>
      <c r="GY124" s="207" t="str">
        <f t="shared" si="382"/>
        <v/>
      </c>
      <c r="GZ124" s="606" t="str">
        <f>IF(AND(Q124="",AE124="",AZ124="",BW124="",CT124=""),"",IF(AND('Master Sheet'!$D$19="YES",'Marks Entry'!$BA$1=1),SUM(Q124,AE124,AZ124,BW124,DT124),SUM(Q124,AE124,AZ124,BW124,CT124)))</f>
        <v/>
      </c>
      <c r="HA124" s="208" t="str">
        <f>IF(GZ124="","",IF(AND('Master Sheet'!$D$19="YES",'Marks Entry'!$BA$1=1),GZ124/((900)-DC124)*100,GZ124/((1000)-DC124)*100))</f>
        <v/>
      </c>
      <c r="HB124" s="611" t="str">
        <f t="shared" si="350"/>
        <v/>
      </c>
      <c r="HC124" s="609" t="str">
        <f t="shared" si="351"/>
        <v/>
      </c>
      <c r="HD124" s="610" t="str">
        <f t="shared" si="352"/>
        <v/>
      </c>
      <c r="HE124" s="209" t="str">
        <f>IFERROR(IF(OR(GY124="SUPPLEMENTARY",GY124="RE-EXAM"),'Supp. Result Entry'!AS123,""),"")</f>
        <v/>
      </c>
      <c r="HF124" s="613" t="str">
        <f t="shared" si="353"/>
        <v/>
      </c>
      <c r="HG124" s="598" t="str">
        <f t="shared" si="354"/>
        <v/>
      </c>
      <c r="HH124" s="598" t="str">
        <f>IF(AND(HE124="",HF124="",HG124=""),"",IF(OR(GY124="SUPPLEMENTARY",GY124="RE-EXAM"),'Supp. Result Entry'!AS123,GY124))</f>
        <v/>
      </c>
      <c r="HI124" s="179"/>
      <c r="HY124" s="211" t="str">
        <f>IF('Supp. Result Entry'!U123="","",'Supp. Result Entry'!$U$6)</f>
        <v/>
      </c>
      <c r="HZ124" s="212" t="str">
        <f>IF('Supp. Result Entry'!X123="","",'Supp. Result Entry'!$X$6)</f>
        <v/>
      </c>
      <c r="IA124" s="212" t="str">
        <f>IF('Supp. Result Entry'!AA123="","",'Supp. Result Entry'!$AA$6)</f>
        <v/>
      </c>
      <c r="IB124" s="212" t="str">
        <f>IF('Supp. Result Entry'!AD123="","",'Supp. Result Entry'!$AD$6)</f>
        <v/>
      </c>
      <c r="IC124" s="212" t="str">
        <f>IF('Supp. Result Entry'!AG123="","",'Supp. Result Entry'!$AG$6)</f>
        <v/>
      </c>
      <c r="ID124" s="212" t="str">
        <f>IF('Supp. Result Entry'!AJ123="","",'Supp. Result Entry'!$AJ$6)</f>
        <v/>
      </c>
      <c r="IE124" s="212" t="str">
        <f>IF('Supp. Result Entry'!V123="","",'Supp. Result Entry'!V123)</f>
        <v/>
      </c>
      <c r="IF124" s="212" t="str">
        <f>IF('Supp. Result Entry'!Y123="","",'Supp. Result Entry'!Y123)</f>
        <v/>
      </c>
      <c r="IG124" s="212" t="str">
        <f>IF('Supp. Result Entry'!AB123="","",'Supp. Result Entry'!AB123)</f>
        <v/>
      </c>
      <c r="IH124" s="212" t="str">
        <f>IF('Supp. Result Entry'!AE123="","",'Supp. Result Entry'!AE123)</f>
        <v/>
      </c>
      <c r="II124" s="212" t="str">
        <f>IF('Supp. Result Entry'!AH123="","",'Supp. Result Entry'!AH123)</f>
        <v/>
      </c>
      <c r="IJ124" s="212" t="str">
        <f>IF('Supp. Result Entry'!AK123="","",'Supp. Result Entry'!AK123)</f>
        <v/>
      </c>
      <c r="IK124" s="212" t="str">
        <f>IF('Supp. Result Entry'!W123="","",'Supp. Result Entry'!W123)</f>
        <v/>
      </c>
      <c r="IL124" s="212" t="str">
        <f>IF('Supp. Result Entry'!Z123="","",'Supp. Result Entry'!Z123)</f>
        <v/>
      </c>
      <c r="IM124" s="212" t="str">
        <f>IF('Supp. Result Entry'!AC123="","",'Supp. Result Entry'!AC123)</f>
        <v/>
      </c>
      <c r="IN124" s="212" t="str">
        <f>IF('Supp. Result Entry'!AF123="","",'Supp. Result Entry'!AF123)</f>
        <v/>
      </c>
      <c r="IO124" s="212" t="str">
        <f>IF('Supp. Result Entry'!AI123="","",'Supp. Result Entry'!AI123)</f>
        <v/>
      </c>
      <c r="IP124" s="212" t="str">
        <f>IF('Supp. Result Entry'!AL123="","",'Supp. Result Entry'!AL123)</f>
        <v/>
      </c>
      <c r="IQ124" s="212">
        <f>COUNTIF('Supp. Result Entry'!K123:Q123,"S")</f>
        <v>0</v>
      </c>
      <c r="IR124" s="212">
        <f t="shared" si="355"/>
        <v>0</v>
      </c>
      <c r="IS124" s="212">
        <f t="shared" si="356"/>
        <v>0</v>
      </c>
      <c r="IT124" s="212" t="str">
        <f t="shared" si="224"/>
        <v/>
      </c>
      <c r="IU124" s="212" t="str">
        <f t="shared" si="225"/>
        <v/>
      </c>
      <c r="IV124" s="212" t="str">
        <f t="shared" si="226"/>
        <v/>
      </c>
      <c r="IW124" s="212" t="str">
        <f t="shared" si="227"/>
        <v/>
      </c>
      <c r="IX124" s="212" t="str">
        <f t="shared" si="228"/>
        <v/>
      </c>
      <c r="IY124" s="212" t="str">
        <f t="shared" si="357"/>
        <v/>
      </c>
      <c r="IZ124" s="212" t="str">
        <f t="shared" si="358"/>
        <v/>
      </c>
      <c r="JA124" s="212" t="str">
        <f t="shared" si="229"/>
        <v/>
      </c>
      <c r="JB124" s="210" t="str">
        <f t="shared" si="359"/>
        <v/>
      </c>
    </row>
    <row r="125" spans="1:262" s="210" customFormat="1" ht="21" customHeight="1">
      <c r="A125" s="183">
        <v>118</v>
      </c>
      <c r="B125" s="184" t="str">
        <f>IF('Marks Entry'!B125="","",'Marks Entry'!B125)</f>
        <v/>
      </c>
      <c r="C125" s="185" t="str">
        <f>IF('Marks Entry'!D125="","",'Marks Entry'!D125)</f>
        <v/>
      </c>
      <c r="D125" s="186" t="str">
        <f>IF('Marks Entry'!E125="","",'Marks Entry'!E125)</f>
        <v/>
      </c>
      <c r="E125" s="187" t="str">
        <f>IF('Marks Entry'!F125="","",'Marks Entry'!F125)</f>
        <v/>
      </c>
      <c r="F125" s="187" t="str">
        <f>IF('Marks Entry'!G125="","",'Marks Entry'!G125)</f>
        <v/>
      </c>
      <c r="G125" s="187" t="str">
        <f>IF('Marks Entry'!H125="","",'Marks Entry'!H125)</f>
        <v/>
      </c>
      <c r="H125" s="188" t="str">
        <f>IF('Marks Entry'!I125="","",'Marks Entry'!I125)</f>
        <v/>
      </c>
      <c r="I125" s="189" t="str">
        <f>IF('Marks Entry'!J125="","",'Marks Entry'!J125)</f>
        <v/>
      </c>
      <c r="J125" s="545" t="str">
        <f>IF('Marks Entry'!K125="","",'Marks Entry'!K125)</f>
        <v/>
      </c>
      <c r="K125" s="545" t="str">
        <f>IF('Marks Entry'!L125="","",'Marks Entry'!L125)</f>
        <v/>
      </c>
      <c r="L125" s="545" t="str">
        <f>IF('Marks Entry'!M125="","",'Marks Entry'!M125)</f>
        <v/>
      </c>
      <c r="M125" s="546" t="str">
        <f t="shared" si="230"/>
        <v/>
      </c>
      <c r="N125" s="545" t="str">
        <f>IF('Marks Entry'!N125="","",'Marks Entry'!N125)</f>
        <v/>
      </c>
      <c r="O125" s="546" t="str">
        <f t="shared" si="231"/>
        <v/>
      </c>
      <c r="P125" s="545" t="str">
        <f>IF('Marks Entry'!O125="","",'Marks Entry'!O125)</f>
        <v/>
      </c>
      <c r="Q125" s="547" t="str">
        <f t="shared" si="232"/>
        <v/>
      </c>
      <c r="R125" s="152">
        <f t="shared" si="233"/>
        <v>0</v>
      </c>
      <c r="S125" s="152">
        <f t="shared" si="234"/>
        <v>0</v>
      </c>
      <c r="T125" s="153" t="str">
        <f t="shared" si="235"/>
        <v/>
      </c>
      <c r="U125" s="152" t="str">
        <f t="shared" si="236"/>
        <v/>
      </c>
      <c r="V125" s="152" t="str">
        <f t="shared" si="237"/>
        <v/>
      </c>
      <c r="W125" s="152" t="str">
        <f t="shared" si="238"/>
        <v/>
      </c>
      <c r="X125" s="545" t="str">
        <f>IF('Marks Entry'!P125="","",'Marks Entry'!P125)</f>
        <v/>
      </c>
      <c r="Y125" s="545" t="str">
        <f>IF('Marks Entry'!Q125="","",'Marks Entry'!Q125)</f>
        <v/>
      </c>
      <c r="Z125" s="545" t="str">
        <f>IF('Marks Entry'!R125="","",'Marks Entry'!R125)</f>
        <v/>
      </c>
      <c r="AA125" s="546" t="str">
        <f t="shared" si="239"/>
        <v/>
      </c>
      <c r="AB125" s="545" t="str">
        <f>IF('Marks Entry'!S125="","",'Marks Entry'!S125)</f>
        <v/>
      </c>
      <c r="AC125" s="546" t="str">
        <f t="shared" si="240"/>
        <v/>
      </c>
      <c r="AD125" s="545" t="str">
        <f>IF('Marks Entry'!T125="","",'Marks Entry'!T125)</f>
        <v/>
      </c>
      <c r="AE125" s="547" t="str">
        <f t="shared" si="241"/>
        <v/>
      </c>
      <c r="AF125" s="152">
        <f t="shared" si="242"/>
        <v>0</v>
      </c>
      <c r="AG125" s="152">
        <f t="shared" si="243"/>
        <v>0</v>
      </c>
      <c r="AH125" s="153" t="str">
        <f t="shared" si="244"/>
        <v/>
      </c>
      <c r="AI125" s="152" t="str">
        <f t="shared" si="245"/>
        <v/>
      </c>
      <c r="AJ125" s="152" t="str">
        <f t="shared" si="246"/>
        <v/>
      </c>
      <c r="AK125" s="152" t="str">
        <f t="shared" si="247"/>
        <v/>
      </c>
      <c r="AL125" s="573" t="str">
        <f>IF('Marks Entry'!U125="","",'Marks Entry'!U125)</f>
        <v/>
      </c>
      <c r="AM125" s="573" t="str">
        <f>IF('Marks Entry'!V125="","",'Marks Entry'!V125)</f>
        <v/>
      </c>
      <c r="AN125" s="573" t="str">
        <f>IF('Marks Entry'!W125="","",'Marks Entry'!W125)</f>
        <v/>
      </c>
      <c r="AO125" s="573" t="str">
        <f>IF('Marks Entry'!X125="","",'Marks Entry'!X125)</f>
        <v/>
      </c>
      <c r="AP125" s="572" t="str">
        <f t="shared" si="248"/>
        <v/>
      </c>
      <c r="AQ125" s="573" t="str">
        <f>IF('Marks Entry'!Y125="","",'Marks Entry'!Y125)</f>
        <v/>
      </c>
      <c r="AR125" s="573" t="str">
        <f>IF('Marks Entry'!Z125="","",'Marks Entry'!Z125)</f>
        <v/>
      </c>
      <c r="AS125" s="572" t="str">
        <f t="shared" si="249"/>
        <v/>
      </c>
      <c r="AT125" s="572" t="str">
        <f t="shared" si="250"/>
        <v/>
      </c>
      <c r="AU125" s="573" t="str">
        <f>IF('Marks Entry'!AA125="","",'Marks Entry'!AA125)</f>
        <v/>
      </c>
      <c r="AV125" s="573" t="str">
        <f>IF('Marks Entry'!AB125="","",'Marks Entry'!AB125)</f>
        <v/>
      </c>
      <c r="AW125" s="572" t="str">
        <f t="shared" si="251"/>
        <v/>
      </c>
      <c r="AX125" s="156" t="str">
        <f t="shared" si="252"/>
        <v/>
      </c>
      <c r="AY125" s="156" t="str">
        <f t="shared" si="253"/>
        <v/>
      </c>
      <c r="AZ125" s="191" t="str">
        <f t="shared" si="254"/>
        <v/>
      </c>
      <c r="BA125" s="152">
        <f t="shared" si="255"/>
        <v>0</v>
      </c>
      <c r="BB125" s="153">
        <f t="shared" si="256"/>
        <v>0</v>
      </c>
      <c r="BC125" s="153" t="str">
        <f t="shared" si="257"/>
        <v/>
      </c>
      <c r="BD125" s="153" t="str">
        <f t="shared" si="258"/>
        <v/>
      </c>
      <c r="BE125" s="153" t="str">
        <f t="shared" si="259"/>
        <v/>
      </c>
      <c r="BF125" s="152" t="str">
        <f t="shared" si="260"/>
        <v/>
      </c>
      <c r="BG125" s="153" t="str">
        <f t="shared" si="261"/>
        <v/>
      </c>
      <c r="BH125" s="152" t="str">
        <f t="shared" si="262"/>
        <v/>
      </c>
      <c r="BI125" s="580" t="str">
        <f>IF('Marks Entry'!AC125="","",'Marks Entry'!AC125)</f>
        <v/>
      </c>
      <c r="BJ125" s="580" t="str">
        <f>IF('Marks Entry'!AD125="","",'Marks Entry'!AD125)</f>
        <v/>
      </c>
      <c r="BK125" s="580" t="str">
        <f>IF('Marks Entry'!AE125="","",'Marks Entry'!AE125)</f>
        <v/>
      </c>
      <c r="BL125" s="580" t="str">
        <f>IF('Marks Entry'!AF125="","",'Marks Entry'!AF125)</f>
        <v/>
      </c>
      <c r="BM125" s="581" t="str">
        <f t="shared" si="263"/>
        <v/>
      </c>
      <c r="BN125" s="580" t="str">
        <f>IF('Marks Entry'!AG125="","",'Marks Entry'!AG125)</f>
        <v/>
      </c>
      <c r="BO125" s="580" t="str">
        <f>IF('Marks Entry'!AH125="","",'Marks Entry'!AH125)</f>
        <v/>
      </c>
      <c r="BP125" s="581" t="str">
        <f t="shared" si="264"/>
        <v/>
      </c>
      <c r="BQ125" s="581" t="str">
        <f t="shared" si="265"/>
        <v/>
      </c>
      <c r="BR125" s="580" t="str">
        <f>IF('Marks Entry'!AI125="","",'Marks Entry'!AI125)</f>
        <v/>
      </c>
      <c r="BS125" s="580" t="str">
        <f>IF('Marks Entry'!AJ125="","",'Marks Entry'!AJ125)</f>
        <v/>
      </c>
      <c r="BT125" s="581" t="str">
        <f t="shared" si="266"/>
        <v/>
      </c>
      <c r="BU125" s="156" t="str">
        <f t="shared" si="267"/>
        <v/>
      </c>
      <c r="BV125" s="156" t="str">
        <f t="shared" si="268"/>
        <v/>
      </c>
      <c r="BW125" s="191" t="str">
        <f t="shared" si="269"/>
        <v/>
      </c>
      <c r="BX125" s="152">
        <f t="shared" si="270"/>
        <v>0</v>
      </c>
      <c r="BY125" s="153">
        <f t="shared" si="271"/>
        <v>0</v>
      </c>
      <c r="BZ125" s="153" t="str">
        <f t="shared" si="272"/>
        <v/>
      </c>
      <c r="CA125" s="153" t="str">
        <f t="shared" si="273"/>
        <v/>
      </c>
      <c r="CB125" s="153" t="str">
        <f t="shared" si="274"/>
        <v/>
      </c>
      <c r="CC125" s="152" t="str">
        <f t="shared" si="275"/>
        <v/>
      </c>
      <c r="CD125" s="153" t="str">
        <f t="shared" si="276"/>
        <v/>
      </c>
      <c r="CE125" s="152" t="str">
        <f t="shared" si="277"/>
        <v/>
      </c>
      <c r="CF125" s="580" t="str">
        <f>IF('Marks Entry'!AK125="","",'Marks Entry'!AK125)</f>
        <v/>
      </c>
      <c r="CG125" s="580" t="str">
        <f>IF('Marks Entry'!AL125="","",'Marks Entry'!AL125)</f>
        <v/>
      </c>
      <c r="CH125" s="580" t="str">
        <f>IF('Marks Entry'!AM125="","",'Marks Entry'!AM125)</f>
        <v/>
      </c>
      <c r="CI125" s="580" t="str">
        <f>IF('Marks Entry'!AN125="","",'Marks Entry'!AN125)</f>
        <v/>
      </c>
      <c r="CJ125" s="581" t="str">
        <f t="shared" si="278"/>
        <v/>
      </c>
      <c r="CK125" s="580" t="str">
        <f>IF('Marks Entry'!AO125="","",'Marks Entry'!AO125)</f>
        <v/>
      </c>
      <c r="CL125" s="580" t="str">
        <f>IF('Marks Entry'!AP125="","",'Marks Entry'!AP125)</f>
        <v/>
      </c>
      <c r="CM125" s="581" t="str">
        <f t="shared" si="279"/>
        <v/>
      </c>
      <c r="CN125" s="581" t="str">
        <f t="shared" si="280"/>
        <v/>
      </c>
      <c r="CO125" s="580" t="str">
        <f>IF('Marks Entry'!AQ125="","",'Marks Entry'!AQ125)</f>
        <v/>
      </c>
      <c r="CP125" s="580" t="str">
        <f>IF('Marks Entry'!AR125="","",'Marks Entry'!AR125)</f>
        <v/>
      </c>
      <c r="CQ125" s="581" t="str">
        <f t="shared" si="281"/>
        <v/>
      </c>
      <c r="CR125" s="156" t="str">
        <f t="shared" si="282"/>
        <v/>
      </c>
      <c r="CS125" s="156" t="str">
        <f t="shared" si="283"/>
        <v/>
      </c>
      <c r="CT125" s="191" t="str">
        <f t="shared" si="284"/>
        <v/>
      </c>
      <c r="CU125" s="152">
        <f t="shared" si="285"/>
        <v>0</v>
      </c>
      <c r="CV125" s="153">
        <f t="shared" si="286"/>
        <v>0</v>
      </c>
      <c r="CW125" s="153" t="str">
        <f t="shared" si="287"/>
        <v/>
      </c>
      <c r="CX125" s="153" t="str">
        <f t="shared" si="288"/>
        <v/>
      </c>
      <c r="CY125" s="153" t="str">
        <f t="shared" si="289"/>
        <v/>
      </c>
      <c r="CZ125" s="152" t="str">
        <f t="shared" si="290"/>
        <v/>
      </c>
      <c r="DA125" s="153" t="str">
        <f t="shared" si="291"/>
        <v/>
      </c>
      <c r="DB125" s="152" t="str">
        <f t="shared" si="292"/>
        <v/>
      </c>
      <c r="DC125" s="153">
        <f t="shared" si="293"/>
        <v>0</v>
      </c>
      <c r="DD125" s="851" t="str">
        <f>IF('Marks Entry'!AS125="","",IF(OR('Master Sheet'!$D$19="YES",'Marks Entry'!$BA$1=1),'Marks Entry'!AS125,""))</f>
        <v/>
      </c>
      <c r="DE125" s="851" t="str">
        <f>IF('Marks Entry'!AT125="","",IF(OR('Master Sheet'!$D$19="YES",'Marks Entry'!$BA$1=1),'Marks Entry'!AT125,""))</f>
        <v/>
      </c>
      <c r="DF125" s="851" t="str">
        <f>IF('Marks Entry'!AU125="","",IF(OR('Master Sheet'!$D$19="YES",'Marks Entry'!$BA$1=1),'Marks Entry'!AU125,""))</f>
        <v/>
      </c>
      <c r="DG125" s="851" t="str">
        <f>IF('Marks Entry'!AV125="","",IF(OR('Master Sheet'!$D$19="YES",'Marks Entry'!$BA$1=1),'Marks Entry'!AV125,""))</f>
        <v/>
      </c>
      <c r="DH125" s="852" t="str">
        <f t="shared" si="294"/>
        <v/>
      </c>
      <c r="DI125" s="851" t="str">
        <f>IF('Marks Entry'!AW125="","",IF(OR('Master Sheet'!$D$19="YES",'Marks Entry'!$BA$1=1),'Marks Entry'!AW125,""))</f>
        <v/>
      </c>
      <c r="DJ125" s="851" t="str">
        <f>IF('Marks Entry'!AX125="","",IF(OR('Master Sheet'!$D$19="YES",'Marks Entry'!$BA$1=1),'Marks Entry'!AX125,""))</f>
        <v/>
      </c>
      <c r="DK125" s="852" t="str">
        <f t="shared" si="295"/>
        <v/>
      </c>
      <c r="DL125" s="852" t="str">
        <f t="shared" si="296"/>
        <v/>
      </c>
      <c r="DM125" s="851" t="str">
        <f>IF('Marks Entry'!AY125="","",IF(OR('Master Sheet'!$D$19="YES",'Marks Entry'!$BA$1=1),'Marks Entry'!AY125,""))</f>
        <v/>
      </c>
      <c r="DN125" s="851" t="str">
        <f>IF('Marks Entry'!AZ125="","",IF(OR('Master Sheet'!$D$19="YES",'Marks Entry'!$BA$1=1),'Marks Entry'!AZ125,""))</f>
        <v/>
      </c>
      <c r="DO125" s="851" t="str">
        <f>IF('Marks Entry'!BA125="","",IF(OR('Master Sheet'!$D$19="YES",'Marks Entry'!$BA$1=1),'Marks Entry'!BA125,""))</f>
        <v/>
      </c>
      <c r="DP125" s="852" t="str">
        <f t="shared" si="297"/>
        <v/>
      </c>
      <c r="DQ125" s="156" t="str">
        <f t="shared" si="298"/>
        <v/>
      </c>
      <c r="DR125" s="156" t="str">
        <f t="shared" si="299"/>
        <v/>
      </c>
      <c r="DS125" s="156" t="str">
        <f t="shared" si="300"/>
        <v/>
      </c>
      <c r="DT125" s="191" t="str">
        <f t="shared" si="301"/>
        <v/>
      </c>
      <c r="DU125" s="152">
        <f t="shared" si="302"/>
        <v>0</v>
      </c>
      <c r="DV125" s="153">
        <f t="shared" si="303"/>
        <v>0</v>
      </c>
      <c r="DW125" s="153" t="str">
        <f t="shared" si="304"/>
        <v/>
      </c>
      <c r="DX125" s="153" t="str">
        <f>IF(OR($B125="NSO",$B125=0,DS125=""),"",IF(AND(DJ125="",DO125=""),"",IF('Master Sheet'!$D$19="YES",$DO$6-COUNTIF(DO125,"ML")*DO$6,DS$6-(COUNTIF(DJ125,"ML")*DJ$6)-(COUNTIF(DO125,"ML")*DO$6))))</f>
        <v/>
      </c>
      <c r="DY125" s="153" t="str">
        <f>IF(OR($B125="NSO",$B125=0),"",IF(AND(DH125="",DI125="",DM125=""),"",IF(AND('Master Sheet'!$D$19="YES",'Marks Entry'!$BA$1=1),100,IF(AND(DJ125="",DO125=""),SUM(($DQ$7+$DR$7)-(DU125+DV125)),SUM(($DQ$6+$DR$6)-(DU125+DV125))))))</f>
        <v/>
      </c>
      <c r="DZ125" s="152" t="str">
        <f t="shared" si="305"/>
        <v/>
      </c>
      <c r="EA125" s="153" t="str">
        <f t="shared" si="306"/>
        <v/>
      </c>
      <c r="EB125" s="152" t="str">
        <f t="shared" si="307"/>
        <v/>
      </c>
      <c r="EC125" s="584" t="str">
        <f>IF('Marks Entry'!BB125="","",'Marks Entry'!BB125)</f>
        <v/>
      </c>
      <c r="ED125" s="584" t="str">
        <f>IF('Marks Entry'!BC125="","",'Marks Entry'!BC125)</f>
        <v/>
      </c>
      <c r="EE125" s="584" t="str">
        <f>IF('Marks Entry'!BD125="","",'Marks Entry'!BD125)</f>
        <v/>
      </c>
      <c r="EF125" s="590" t="str">
        <f t="shared" si="308"/>
        <v/>
      </c>
      <c r="EG125" s="595">
        <f t="shared" si="309"/>
        <v>0</v>
      </c>
      <c r="EH125" s="595">
        <f t="shared" si="310"/>
        <v>0</v>
      </c>
      <c r="EI125" s="192" t="str">
        <f t="shared" si="311"/>
        <v/>
      </c>
      <c r="EJ125" s="595" t="str">
        <f t="shared" si="312"/>
        <v/>
      </c>
      <c r="EK125" s="595" t="str">
        <f t="shared" si="313"/>
        <v/>
      </c>
      <c r="EL125" s="193" t="str">
        <f t="shared" si="314"/>
        <v/>
      </c>
      <c r="EM125" s="193" t="str">
        <f t="shared" si="315"/>
        <v/>
      </c>
      <c r="EN125" s="193" t="str">
        <f t="shared" si="316"/>
        <v/>
      </c>
      <c r="EO125" s="193" t="str">
        <f t="shared" si="317"/>
        <v/>
      </c>
      <c r="EP125" s="193" t="str">
        <f t="shared" si="318"/>
        <v/>
      </c>
      <c r="EQ125" s="193" t="str">
        <f t="shared" si="319"/>
        <v/>
      </c>
      <c r="ER125" s="194">
        <f t="shared" si="320"/>
        <v>0</v>
      </c>
      <c r="ES125" s="194">
        <f t="shared" si="321"/>
        <v>0</v>
      </c>
      <c r="ET125" s="194">
        <f t="shared" si="322"/>
        <v>0</v>
      </c>
      <c r="EU125" s="194">
        <f t="shared" si="323"/>
        <v>0</v>
      </c>
      <c r="EV125" s="194">
        <f t="shared" si="324"/>
        <v>0</v>
      </c>
      <c r="EW125" s="194" t="str">
        <f t="shared" si="325"/>
        <v/>
      </c>
      <c r="EX125" s="195" t="str">
        <f t="shared" si="326"/>
        <v/>
      </c>
      <c r="EY125" s="196" t="str">
        <f>IF('Marks Entry'!BE125="","",'Marks Entry'!BE125)</f>
        <v/>
      </c>
      <c r="EZ125" s="196" t="str">
        <f>IF('Marks Entry'!BF125="","",'Marks Entry'!BF125)</f>
        <v/>
      </c>
      <c r="FA125" s="196" t="str">
        <f>IF('Marks Entry'!BG125="","",'Marks Entry'!BG125)</f>
        <v/>
      </c>
      <c r="FB125" s="596" t="str">
        <f t="shared" si="327"/>
        <v/>
      </c>
      <c r="FC125" s="196" t="str">
        <f>IF('Marks Entry'!BH125="","",'Marks Entry'!BH125)</f>
        <v/>
      </c>
      <c r="FD125" s="196" t="str">
        <f>IF('Marks Entry'!BI125="","",'Marks Entry'!BI125)</f>
        <v/>
      </c>
      <c r="FE125" s="197" t="str">
        <f t="shared" si="328"/>
        <v/>
      </c>
      <c r="FF125" s="198" t="str">
        <f t="shared" si="329"/>
        <v/>
      </c>
      <c r="FG125" s="199" t="str">
        <f>IF(AND(E125=""),"",IF('Student DATA Entry'!L121="","",'Student DATA Entry'!L121))</f>
        <v/>
      </c>
      <c r="FH125" s="200" t="str">
        <f>IF(AND(E125=""),"",IF('Student DATA Entry'!M121="","",'Student DATA Entry'!M121))</f>
        <v/>
      </c>
      <c r="FI125" s="201" t="str">
        <f t="shared" si="330"/>
        <v/>
      </c>
      <c r="FJ125" s="188" t="str">
        <f t="shared" si="331"/>
        <v/>
      </c>
      <c r="FK125" s="188" t="str">
        <f t="shared" si="332"/>
        <v/>
      </c>
      <c r="FL125" s="202" t="str">
        <f t="shared" si="360"/>
        <v/>
      </c>
      <c r="FM125" s="188" t="str">
        <f t="shared" si="333"/>
        <v/>
      </c>
      <c r="FN125" s="203" t="str">
        <f t="shared" si="334"/>
        <v/>
      </c>
      <c r="FO125" s="202" t="str">
        <f t="shared" si="361"/>
        <v/>
      </c>
      <c r="FP125" s="204" t="str">
        <f t="shared" si="335"/>
        <v/>
      </c>
      <c r="FQ125" s="188" t="str">
        <f t="shared" si="362"/>
        <v/>
      </c>
      <c r="FR125" s="188" t="str">
        <f t="shared" si="363"/>
        <v/>
      </c>
      <c r="FS125" s="188" t="str">
        <f t="shared" si="364"/>
        <v/>
      </c>
      <c r="FT125" s="188" t="str">
        <f t="shared" si="365"/>
        <v/>
      </c>
      <c r="FU125" s="188" t="str">
        <f t="shared" si="336"/>
        <v/>
      </c>
      <c r="FV125" s="205" t="str">
        <f t="shared" si="366"/>
        <v/>
      </c>
      <c r="FW125" s="204" t="str">
        <f t="shared" si="337"/>
        <v/>
      </c>
      <c r="FX125" s="188" t="str">
        <f t="shared" si="367"/>
        <v/>
      </c>
      <c r="FY125" s="188" t="str">
        <f t="shared" si="368"/>
        <v/>
      </c>
      <c r="FZ125" s="188" t="str">
        <f t="shared" si="369"/>
        <v/>
      </c>
      <c r="GA125" s="188" t="str">
        <f t="shared" si="370"/>
        <v/>
      </c>
      <c r="GB125" s="188" t="str">
        <f t="shared" si="338"/>
        <v/>
      </c>
      <c r="GC125" s="205" t="str">
        <f t="shared" si="371"/>
        <v/>
      </c>
      <c r="GD125" s="204" t="str">
        <f t="shared" si="339"/>
        <v/>
      </c>
      <c r="GE125" s="188" t="str">
        <f t="shared" si="372"/>
        <v/>
      </c>
      <c r="GF125" s="188" t="str">
        <f t="shared" si="373"/>
        <v/>
      </c>
      <c r="GG125" s="188" t="str">
        <f t="shared" si="374"/>
        <v/>
      </c>
      <c r="GH125" s="188" t="str">
        <f t="shared" si="375"/>
        <v/>
      </c>
      <c r="GI125" s="188" t="str">
        <f t="shared" si="340"/>
        <v/>
      </c>
      <c r="GJ125" s="205" t="str">
        <f t="shared" si="376"/>
        <v/>
      </c>
      <c r="GK125" s="204" t="str">
        <f t="shared" si="341"/>
        <v/>
      </c>
      <c r="GL125" s="188" t="str">
        <f t="shared" si="377"/>
        <v/>
      </c>
      <c r="GM125" s="188" t="str">
        <f t="shared" si="378"/>
        <v/>
      </c>
      <c r="GN125" s="188" t="str">
        <f t="shared" si="379"/>
        <v/>
      </c>
      <c r="GO125" s="188" t="str">
        <f t="shared" si="380"/>
        <v/>
      </c>
      <c r="GP125" s="188" t="str">
        <f t="shared" si="342"/>
        <v/>
      </c>
      <c r="GQ125" s="205" t="str">
        <f t="shared" si="381"/>
        <v/>
      </c>
      <c r="GR125" s="188" t="str">
        <f t="shared" si="343"/>
        <v/>
      </c>
      <c r="GS125" s="188" t="str">
        <f t="shared" si="344"/>
        <v/>
      </c>
      <c r="GT125" s="206" t="str">
        <f t="shared" si="345"/>
        <v xml:space="preserve">    </v>
      </c>
      <c r="GU125" s="206" t="str">
        <f t="shared" si="346"/>
        <v xml:space="preserve">    </v>
      </c>
      <c r="GV125" s="206" t="str">
        <f t="shared" si="347"/>
        <v xml:space="preserve">    </v>
      </c>
      <c r="GW125" s="206" t="str">
        <f t="shared" si="348"/>
        <v xml:space="preserve">       </v>
      </c>
      <c r="GX125" s="598" t="str">
        <f t="shared" si="349"/>
        <v xml:space="preserve">     </v>
      </c>
      <c r="GY125" s="207" t="str">
        <f t="shared" si="382"/>
        <v/>
      </c>
      <c r="GZ125" s="606" t="str">
        <f>IF(AND(Q125="",AE125="",AZ125="",BW125="",CT125=""),"",IF(AND('Master Sheet'!$D$19="YES",'Marks Entry'!$BA$1=1),SUM(Q125,AE125,AZ125,BW125,DT125),SUM(Q125,AE125,AZ125,BW125,CT125)))</f>
        <v/>
      </c>
      <c r="HA125" s="208" t="str">
        <f>IF(GZ125="","",IF(AND('Master Sheet'!$D$19="YES",'Marks Entry'!$BA$1=1),GZ125/((900)-DC125)*100,GZ125/((1000)-DC125)*100))</f>
        <v/>
      </c>
      <c r="HB125" s="611" t="str">
        <f t="shared" si="350"/>
        <v/>
      </c>
      <c r="HC125" s="609" t="str">
        <f t="shared" si="351"/>
        <v/>
      </c>
      <c r="HD125" s="610" t="str">
        <f t="shared" si="352"/>
        <v/>
      </c>
      <c r="HE125" s="209" t="str">
        <f>IFERROR(IF(OR(GY125="SUPPLEMENTARY",GY125="RE-EXAM"),'Supp. Result Entry'!AS124,""),"")</f>
        <v/>
      </c>
      <c r="HF125" s="613" t="str">
        <f t="shared" si="353"/>
        <v/>
      </c>
      <c r="HG125" s="598" t="str">
        <f t="shared" si="354"/>
        <v/>
      </c>
      <c r="HH125" s="598" t="str">
        <f>IF(AND(HE125="",HF125="",HG125=""),"",IF(OR(GY125="SUPPLEMENTARY",GY125="RE-EXAM"),'Supp. Result Entry'!AS124,GY125))</f>
        <v/>
      </c>
      <c r="HI125" s="179"/>
      <c r="HY125" s="211" t="str">
        <f>IF('Supp. Result Entry'!U124="","",'Supp. Result Entry'!$U$6)</f>
        <v/>
      </c>
      <c r="HZ125" s="212" t="str">
        <f>IF('Supp. Result Entry'!X124="","",'Supp. Result Entry'!$X$6)</f>
        <v/>
      </c>
      <c r="IA125" s="212" t="str">
        <f>IF('Supp. Result Entry'!AA124="","",'Supp. Result Entry'!$AA$6)</f>
        <v/>
      </c>
      <c r="IB125" s="212" t="str">
        <f>IF('Supp. Result Entry'!AD124="","",'Supp. Result Entry'!$AD$6)</f>
        <v/>
      </c>
      <c r="IC125" s="212" t="str">
        <f>IF('Supp. Result Entry'!AG124="","",'Supp. Result Entry'!$AG$6)</f>
        <v/>
      </c>
      <c r="ID125" s="212" t="str">
        <f>IF('Supp. Result Entry'!AJ124="","",'Supp. Result Entry'!$AJ$6)</f>
        <v/>
      </c>
      <c r="IE125" s="212" t="str">
        <f>IF('Supp. Result Entry'!V124="","",'Supp. Result Entry'!V124)</f>
        <v/>
      </c>
      <c r="IF125" s="212" t="str">
        <f>IF('Supp. Result Entry'!Y124="","",'Supp. Result Entry'!Y124)</f>
        <v/>
      </c>
      <c r="IG125" s="212" t="str">
        <f>IF('Supp. Result Entry'!AB124="","",'Supp. Result Entry'!AB124)</f>
        <v/>
      </c>
      <c r="IH125" s="212" t="str">
        <f>IF('Supp. Result Entry'!AE124="","",'Supp. Result Entry'!AE124)</f>
        <v/>
      </c>
      <c r="II125" s="212" t="str">
        <f>IF('Supp. Result Entry'!AH124="","",'Supp. Result Entry'!AH124)</f>
        <v/>
      </c>
      <c r="IJ125" s="212" t="str">
        <f>IF('Supp. Result Entry'!AK124="","",'Supp. Result Entry'!AK124)</f>
        <v/>
      </c>
      <c r="IK125" s="212" t="str">
        <f>IF('Supp. Result Entry'!W124="","",'Supp. Result Entry'!W124)</f>
        <v/>
      </c>
      <c r="IL125" s="212" t="str">
        <f>IF('Supp. Result Entry'!Z124="","",'Supp. Result Entry'!Z124)</f>
        <v/>
      </c>
      <c r="IM125" s="212" t="str">
        <f>IF('Supp. Result Entry'!AC124="","",'Supp. Result Entry'!AC124)</f>
        <v/>
      </c>
      <c r="IN125" s="212" t="str">
        <f>IF('Supp. Result Entry'!AF124="","",'Supp. Result Entry'!AF124)</f>
        <v/>
      </c>
      <c r="IO125" s="212" t="str">
        <f>IF('Supp. Result Entry'!AI124="","",'Supp. Result Entry'!AI124)</f>
        <v/>
      </c>
      <c r="IP125" s="212" t="str">
        <f>IF('Supp. Result Entry'!AL124="","",'Supp. Result Entry'!AL124)</f>
        <v/>
      </c>
      <c r="IQ125" s="212">
        <f>COUNTIF('Supp. Result Entry'!K124:Q124,"S")</f>
        <v>0</v>
      </c>
      <c r="IR125" s="212">
        <f t="shared" si="355"/>
        <v>0</v>
      </c>
      <c r="IS125" s="212">
        <f t="shared" si="356"/>
        <v>0</v>
      </c>
      <c r="IT125" s="212" t="str">
        <f t="shared" si="224"/>
        <v/>
      </c>
      <c r="IU125" s="212" t="str">
        <f t="shared" si="225"/>
        <v/>
      </c>
      <c r="IV125" s="212" t="str">
        <f t="shared" si="226"/>
        <v/>
      </c>
      <c r="IW125" s="212" t="str">
        <f t="shared" si="227"/>
        <v/>
      </c>
      <c r="IX125" s="212" t="str">
        <f t="shared" si="228"/>
        <v/>
      </c>
      <c r="IY125" s="212" t="str">
        <f t="shared" si="357"/>
        <v/>
      </c>
      <c r="IZ125" s="212" t="str">
        <f t="shared" si="358"/>
        <v/>
      </c>
      <c r="JA125" s="212" t="str">
        <f t="shared" si="229"/>
        <v/>
      </c>
      <c r="JB125" s="210" t="str">
        <f t="shared" si="359"/>
        <v/>
      </c>
    </row>
    <row r="126" spans="1:262" s="210" customFormat="1" ht="21" customHeight="1">
      <c r="A126" s="183">
        <v>119</v>
      </c>
      <c r="B126" s="184" t="str">
        <f>IF('Marks Entry'!B126="","",'Marks Entry'!B126)</f>
        <v/>
      </c>
      <c r="C126" s="185" t="str">
        <f>IF('Marks Entry'!D126="","",'Marks Entry'!D126)</f>
        <v/>
      </c>
      <c r="D126" s="186" t="str">
        <f>IF('Marks Entry'!E126="","",'Marks Entry'!E126)</f>
        <v/>
      </c>
      <c r="E126" s="187" t="str">
        <f>IF('Marks Entry'!F126="","",'Marks Entry'!F126)</f>
        <v/>
      </c>
      <c r="F126" s="187" t="str">
        <f>IF('Marks Entry'!G126="","",'Marks Entry'!G126)</f>
        <v/>
      </c>
      <c r="G126" s="187" t="str">
        <f>IF('Marks Entry'!H126="","",'Marks Entry'!H126)</f>
        <v/>
      </c>
      <c r="H126" s="188" t="str">
        <f>IF('Marks Entry'!I126="","",'Marks Entry'!I126)</f>
        <v/>
      </c>
      <c r="I126" s="189" t="str">
        <f>IF('Marks Entry'!J126="","",'Marks Entry'!J126)</f>
        <v/>
      </c>
      <c r="J126" s="545" t="str">
        <f>IF('Marks Entry'!K126="","",'Marks Entry'!K126)</f>
        <v/>
      </c>
      <c r="K126" s="545" t="str">
        <f>IF('Marks Entry'!L126="","",'Marks Entry'!L126)</f>
        <v/>
      </c>
      <c r="L126" s="545" t="str">
        <f>IF('Marks Entry'!M126="","",'Marks Entry'!M126)</f>
        <v/>
      </c>
      <c r="M126" s="546" t="str">
        <f t="shared" si="230"/>
        <v/>
      </c>
      <c r="N126" s="545" t="str">
        <f>IF('Marks Entry'!N126="","",'Marks Entry'!N126)</f>
        <v/>
      </c>
      <c r="O126" s="546" t="str">
        <f t="shared" si="231"/>
        <v/>
      </c>
      <c r="P126" s="545" t="str">
        <f>IF('Marks Entry'!O126="","",'Marks Entry'!O126)</f>
        <v/>
      </c>
      <c r="Q126" s="547" t="str">
        <f t="shared" si="232"/>
        <v/>
      </c>
      <c r="R126" s="152">
        <f t="shared" si="233"/>
        <v>0</v>
      </c>
      <c r="S126" s="152">
        <f t="shared" si="234"/>
        <v>0</v>
      </c>
      <c r="T126" s="153" t="str">
        <f t="shared" si="235"/>
        <v/>
      </c>
      <c r="U126" s="152" t="str">
        <f t="shared" si="236"/>
        <v/>
      </c>
      <c r="V126" s="152" t="str">
        <f t="shared" si="237"/>
        <v/>
      </c>
      <c r="W126" s="152" t="str">
        <f t="shared" si="238"/>
        <v/>
      </c>
      <c r="X126" s="545" t="str">
        <f>IF('Marks Entry'!P126="","",'Marks Entry'!P126)</f>
        <v/>
      </c>
      <c r="Y126" s="545" t="str">
        <f>IF('Marks Entry'!Q126="","",'Marks Entry'!Q126)</f>
        <v/>
      </c>
      <c r="Z126" s="545" t="str">
        <f>IF('Marks Entry'!R126="","",'Marks Entry'!R126)</f>
        <v/>
      </c>
      <c r="AA126" s="546" t="str">
        <f t="shared" si="239"/>
        <v/>
      </c>
      <c r="AB126" s="545" t="str">
        <f>IF('Marks Entry'!S126="","",'Marks Entry'!S126)</f>
        <v/>
      </c>
      <c r="AC126" s="546" t="str">
        <f t="shared" si="240"/>
        <v/>
      </c>
      <c r="AD126" s="545" t="str">
        <f>IF('Marks Entry'!T126="","",'Marks Entry'!T126)</f>
        <v/>
      </c>
      <c r="AE126" s="547" t="str">
        <f t="shared" si="241"/>
        <v/>
      </c>
      <c r="AF126" s="152">
        <f t="shared" si="242"/>
        <v>0</v>
      </c>
      <c r="AG126" s="152">
        <f t="shared" si="243"/>
        <v>0</v>
      </c>
      <c r="AH126" s="153" t="str">
        <f t="shared" si="244"/>
        <v/>
      </c>
      <c r="AI126" s="152" t="str">
        <f t="shared" si="245"/>
        <v/>
      </c>
      <c r="AJ126" s="152" t="str">
        <f t="shared" si="246"/>
        <v/>
      </c>
      <c r="AK126" s="152" t="str">
        <f t="shared" si="247"/>
        <v/>
      </c>
      <c r="AL126" s="573" t="str">
        <f>IF('Marks Entry'!U126="","",'Marks Entry'!U126)</f>
        <v/>
      </c>
      <c r="AM126" s="573" t="str">
        <f>IF('Marks Entry'!V126="","",'Marks Entry'!V126)</f>
        <v/>
      </c>
      <c r="AN126" s="573" t="str">
        <f>IF('Marks Entry'!W126="","",'Marks Entry'!W126)</f>
        <v/>
      </c>
      <c r="AO126" s="573" t="str">
        <f>IF('Marks Entry'!X126="","",'Marks Entry'!X126)</f>
        <v/>
      </c>
      <c r="AP126" s="572" t="str">
        <f t="shared" si="248"/>
        <v/>
      </c>
      <c r="AQ126" s="573" t="str">
        <f>IF('Marks Entry'!Y126="","",'Marks Entry'!Y126)</f>
        <v/>
      </c>
      <c r="AR126" s="573" t="str">
        <f>IF('Marks Entry'!Z126="","",'Marks Entry'!Z126)</f>
        <v/>
      </c>
      <c r="AS126" s="572" t="str">
        <f t="shared" si="249"/>
        <v/>
      </c>
      <c r="AT126" s="572" t="str">
        <f t="shared" si="250"/>
        <v/>
      </c>
      <c r="AU126" s="573" t="str">
        <f>IF('Marks Entry'!AA126="","",'Marks Entry'!AA126)</f>
        <v/>
      </c>
      <c r="AV126" s="573" t="str">
        <f>IF('Marks Entry'!AB126="","",'Marks Entry'!AB126)</f>
        <v/>
      </c>
      <c r="AW126" s="572" t="str">
        <f t="shared" si="251"/>
        <v/>
      </c>
      <c r="AX126" s="156" t="str">
        <f t="shared" si="252"/>
        <v/>
      </c>
      <c r="AY126" s="156" t="str">
        <f t="shared" si="253"/>
        <v/>
      </c>
      <c r="AZ126" s="191" t="str">
        <f t="shared" si="254"/>
        <v/>
      </c>
      <c r="BA126" s="152">
        <f t="shared" si="255"/>
        <v>0</v>
      </c>
      <c r="BB126" s="153">
        <f t="shared" si="256"/>
        <v>0</v>
      </c>
      <c r="BC126" s="153" t="str">
        <f t="shared" si="257"/>
        <v/>
      </c>
      <c r="BD126" s="153" t="str">
        <f t="shared" si="258"/>
        <v/>
      </c>
      <c r="BE126" s="153" t="str">
        <f t="shared" si="259"/>
        <v/>
      </c>
      <c r="BF126" s="152" t="str">
        <f t="shared" si="260"/>
        <v/>
      </c>
      <c r="BG126" s="153" t="str">
        <f t="shared" si="261"/>
        <v/>
      </c>
      <c r="BH126" s="152" t="str">
        <f t="shared" si="262"/>
        <v/>
      </c>
      <c r="BI126" s="580" t="str">
        <f>IF('Marks Entry'!AC126="","",'Marks Entry'!AC126)</f>
        <v/>
      </c>
      <c r="BJ126" s="580" t="str">
        <f>IF('Marks Entry'!AD126="","",'Marks Entry'!AD126)</f>
        <v/>
      </c>
      <c r="BK126" s="580" t="str">
        <f>IF('Marks Entry'!AE126="","",'Marks Entry'!AE126)</f>
        <v/>
      </c>
      <c r="BL126" s="580" t="str">
        <f>IF('Marks Entry'!AF126="","",'Marks Entry'!AF126)</f>
        <v/>
      </c>
      <c r="BM126" s="581" t="str">
        <f t="shared" si="263"/>
        <v/>
      </c>
      <c r="BN126" s="580" t="str">
        <f>IF('Marks Entry'!AG126="","",'Marks Entry'!AG126)</f>
        <v/>
      </c>
      <c r="BO126" s="580" t="str">
        <f>IF('Marks Entry'!AH126="","",'Marks Entry'!AH126)</f>
        <v/>
      </c>
      <c r="BP126" s="581" t="str">
        <f t="shared" si="264"/>
        <v/>
      </c>
      <c r="BQ126" s="581" t="str">
        <f t="shared" si="265"/>
        <v/>
      </c>
      <c r="BR126" s="580" t="str">
        <f>IF('Marks Entry'!AI126="","",'Marks Entry'!AI126)</f>
        <v/>
      </c>
      <c r="BS126" s="580" t="str">
        <f>IF('Marks Entry'!AJ126="","",'Marks Entry'!AJ126)</f>
        <v/>
      </c>
      <c r="BT126" s="581" t="str">
        <f t="shared" si="266"/>
        <v/>
      </c>
      <c r="BU126" s="156" t="str">
        <f t="shared" si="267"/>
        <v/>
      </c>
      <c r="BV126" s="156" t="str">
        <f t="shared" si="268"/>
        <v/>
      </c>
      <c r="BW126" s="191" t="str">
        <f t="shared" si="269"/>
        <v/>
      </c>
      <c r="BX126" s="152">
        <f t="shared" si="270"/>
        <v>0</v>
      </c>
      <c r="BY126" s="153">
        <f t="shared" si="271"/>
        <v>0</v>
      </c>
      <c r="BZ126" s="153" t="str">
        <f t="shared" si="272"/>
        <v/>
      </c>
      <c r="CA126" s="153" t="str">
        <f t="shared" si="273"/>
        <v/>
      </c>
      <c r="CB126" s="153" t="str">
        <f t="shared" si="274"/>
        <v/>
      </c>
      <c r="CC126" s="152" t="str">
        <f t="shared" si="275"/>
        <v/>
      </c>
      <c r="CD126" s="153" t="str">
        <f t="shared" si="276"/>
        <v/>
      </c>
      <c r="CE126" s="152" t="str">
        <f t="shared" si="277"/>
        <v/>
      </c>
      <c r="CF126" s="580" t="str">
        <f>IF('Marks Entry'!AK126="","",'Marks Entry'!AK126)</f>
        <v/>
      </c>
      <c r="CG126" s="580" t="str">
        <f>IF('Marks Entry'!AL126="","",'Marks Entry'!AL126)</f>
        <v/>
      </c>
      <c r="CH126" s="580" t="str">
        <f>IF('Marks Entry'!AM126="","",'Marks Entry'!AM126)</f>
        <v/>
      </c>
      <c r="CI126" s="580" t="str">
        <f>IF('Marks Entry'!AN126="","",'Marks Entry'!AN126)</f>
        <v/>
      </c>
      <c r="CJ126" s="581" t="str">
        <f t="shared" si="278"/>
        <v/>
      </c>
      <c r="CK126" s="580" t="str">
        <f>IF('Marks Entry'!AO126="","",'Marks Entry'!AO126)</f>
        <v/>
      </c>
      <c r="CL126" s="580" t="str">
        <f>IF('Marks Entry'!AP126="","",'Marks Entry'!AP126)</f>
        <v/>
      </c>
      <c r="CM126" s="581" t="str">
        <f t="shared" si="279"/>
        <v/>
      </c>
      <c r="CN126" s="581" t="str">
        <f t="shared" si="280"/>
        <v/>
      </c>
      <c r="CO126" s="580" t="str">
        <f>IF('Marks Entry'!AQ126="","",'Marks Entry'!AQ126)</f>
        <v/>
      </c>
      <c r="CP126" s="580" t="str">
        <f>IF('Marks Entry'!AR126="","",'Marks Entry'!AR126)</f>
        <v/>
      </c>
      <c r="CQ126" s="581" t="str">
        <f t="shared" si="281"/>
        <v/>
      </c>
      <c r="CR126" s="156" t="str">
        <f t="shared" si="282"/>
        <v/>
      </c>
      <c r="CS126" s="156" t="str">
        <f t="shared" si="283"/>
        <v/>
      </c>
      <c r="CT126" s="191" t="str">
        <f t="shared" si="284"/>
        <v/>
      </c>
      <c r="CU126" s="152">
        <f t="shared" si="285"/>
        <v>0</v>
      </c>
      <c r="CV126" s="153">
        <f t="shared" si="286"/>
        <v>0</v>
      </c>
      <c r="CW126" s="153" t="str">
        <f t="shared" si="287"/>
        <v/>
      </c>
      <c r="CX126" s="153" t="str">
        <f t="shared" si="288"/>
        <v/>
      </c>
      <c r="CY126" s="153" t="str">
        <f t="shared" si="289"/>
        <v/>
      </c>
      <c r="CZ126" s="152" t="str">
        <f t="shared" si="290"/>
        <v/>
      </c>
      <c r="DA126" s="153" t="str">
        <f t="shared" si="291"/>
        <v/>
      </c>
      <c r="DB126" s="152" t="str">
        <f t="shared" si="292"/>
        <v/>
      </c>
      <c r="DC126" s="153">
        <f t="shared" si="293"/>
        <v>0</v>
      </c>
      <c r="DD126" s="851" t="str">
        <f>IF('Marks Entry'!AS126="","",IF(OR('Master Sheet'!$D$19="YES",'Marks Entry'!$BA$1=1),'Marks Entry'!AS126,""))</f>
        <v/>
      </c>
      <c r="DE126" s="851" t="str">
        <f>IF('Marks Entry'!AT126="","",IF(OR('Master Sheet'!$D$19="YES",'Marks Entry'!$BA$1=1),'Marks Entry'!AT126,""))</f>
        <v/>
      </c>
      <c r="DF126" s="851" t="str">
        <f>IF('Marks Entry'!AU126="","",IF(OR('Master Sheet'!$D$19="YES",'Marks Entry'!$BA$1=1),'Marks Entry'!AU126,""))</f>
        <v/>
      </c>
      <c r="DG126" s="851" t="str">
        <f>IF('Marks Entry'!AV126="","",IF(OR('Master Sheet'!$D$19="YES",'Marks Entry'!$BA$1=1),'Marks Entry'!AV126,""))</f>
        <v/>
      </c>
      <c r="DH126" s="852" t="str">
        <f t="shared" si="294"/>
        <v/>
      </c>
      <c r="DI126" s="851" t="str">
        <f>IF('Marks Entry'!AW126="","",IF(OR('Master Sheet'!$D$19="YES",'Marks Entry'!$BA$1=1),'Marks Entry'!AW126,""))</f>
        <v/>
      </c>
      <c r="DJ126" s="851" t="str">
        <f>IF('Marks Entry'!AX126="","",IF(OR('Master Sheet'!$D$19="YES",'Marks Entry'!$BA$1=1),'Marks Entry'!AX126,""))</f>
        <v/>
      </c>
      <c r="DK126" s="852" t="str">
        <f t="shared" si="295"/>
        <v/>
      </c>
      <c r="DL126" s="852" t="str">
        <f t="shared" si="296"/>
        <v/>
      </c>
      <c r="DM126" s="851" t="str">
        <f>IF('Marks Entry'!AY126="","",IF(OR('Master Sheet'!$D$19="YES",'Marks Entry'!$BA$1=1),'Marks Entry'!AY126,""))</f>
        <v/>
      </c>
      <c r="DN126" s="851" t="str">
        <f>IF('Marks Entry'!AZ126="","",IF(OR('Master Sheet'!$D$19="YES",'Marks Entry'!$BA$1=1),'Marks Entry'!AZ126,""))</f>
        <v/>
      </c>
      <c r="DO126" s="851" t="str">
        <f>IF('Marks Entry'!BA126="","",IF(OR('Master Sheet'!$D$19="YES",'Marks Entry'!$BA$1=1),'Marks Entry'!BA126,""))</f>
        <v/>
      </c>
      <c r="DP126" s="852" t="str">
        <f t="shared" si="297"/>
        <v/>
      </c>
      <c r="DQ126" s="156" t="str">
        <f t="shared" si="298"/>
        <v/>
      </c>
      <c r="DR126" s="156" t="str">
        <f t="shared" si="299"/>
        <v/>
      </c>
      <c r="DS126" s="156" t="str">
        <f t="shared" si="300"/>
        <v/>
      </c>
      <c r="DT126" s="191" t="str">
        <f t="shared" si="301"/>
        <v/>
      </c>
      <c r="DU126" s="152">
        <f t="shared" si="302"/>
        <v>0</v>
      </c>
      <c r="DV126" s="153">
        <f t="shared" si="303"/>
        <v>0</v>
      </c>
      <c r="DW126" s="153" t="str">
        <f t="shared" si="304"/>
        <v/>
      </c>
      <c r="DX126" s="153" t="str">
        <f>IF(OR($B126="NSO",$B126=0,DS126=""),"",IF(AND(DJ126="",DO126=""),"",IF('Master Sheet'!$D$19="YES",$DO$6-COUNTIF(DO126,"ML")*DO$6,DS$6-(COUNTIF(DJ126,"ML")*DJ$6)-(COUNTIF(DO126,"ML")*DO$6))))</f>
        <v/>
      </c>
      <c r="DY126" s="153" t="str">
        <f>IF(OR($B126="NSO",$B126=0),"",IF(AND(DH126="",DI126="",DM126=""),"",IF(AND('Master Sheet'!$D$19="YES",'Marks Entry'!$BA$1=1),100,IF(AND(DJ126="",DO126=""),SUM(($DQ$7+$DR$7)-(DU126+DV126)),SUM(($DQ$6+$DR$6)-(DU126+DV126))))))</f>
        <v/>
      </c>
      <c r="DZ126" s="152" t="str">
        <f t="shared" si="305"/>
        <v/>
      </c>
      <c r="EA126" s="153" t="str">
        <f t="shared" si="306"/>
        <v/>
      </c>
      <c r="EB126" s="152" t="str">
        <f t="shared" si="307"/>
        <v/>
      </c>
      <c r="EC126" s="584" t="str">
        <f>IF('Marks Entry'!BB126="","",'Marks Entry'!BB126)</f>
        <v/>
      </c>
      <c r="ED126" s="584" t="str">
        <f>IF('Marks Entry'!BC126="","",'Marks Entry'!BC126)</f>
        <v/>
      </c>
      <c r="EE126" s="584" t="str">
        <f>IF('Marks Entry'!BD126="","",'Marks Entry'!BD126)</f>
        <v/>
      </c>
      <c r="EF126" s="590" t="str">
        <f t="shared" si="308"/>
        <v/>
      </c>
      <c r="EG126" s="595">
        <f t="shared" si="309"/>
        <v>0</v>
      </c>
      <c r="EH126" s="595">
        <f t="shared" si="310"/>
        <v>0</v>
      </c>
      <c r="EI126" s="192" t="str">
        <f t="shared" si="311"/>
        <v/>
      </c>
      <c r="EJ126" s="595" t="str">
        <f t="shared" si="312"/>
        <v/>
      </c>
      <c r="EK126" s="595" t="str">
        <f t="shared" si="313"/>
        <v/>
      </c>
      <c r="EL126" s="193" t="str">
        <f t="shared" si="314"/>
        <v/>
      </c>
      <c r="EM126" s="193" t="str">
        <f t="shared" si="315"/>
        <v/>
      </c>
      <c r="EN126" s="193" t="str">
        <f t="shared" si="316"/>
        <v/>
      </c>
      <c r="EO126" s="193" t="str">
        <f t="shared" si="317"/>
        <v/>
      </c>
      <c r="EP126" s="193" t="str">
        <f t="shared" si="318"/>
        <v/>
      </c>
      <c r="EQ126" s="193" t="str">
        <f t="shared" si="319"/>
        <v/>
      </c>
      <c r="ER126" s="194">
        <f t="shared" si="320"/>
        <v>0</v>
      </c>
      <c r="ES126" s="194">
        <f t="shared" si="321"/>
        <v>0</v>
      </c>
      <c r="ET126" s="194">
        <f t="shared" si="322"/>
        <v>0</v>
      </c>
      <c r="EU126" s="194">
        <f t="shared" si="323"/>
        <v>0</v>
      </c>
      <c r="EV126" s="194">
        <f t="shared" si="324"/>
        <v>0</v>
      </c>
      <c r="EW126" s="194" t="str">
        <f t="shared" si="325"/>
        <v/>
      </c>
      <c r="EX126" s="195" t="str">
        <f t="shared" si="326"/>
        <v/>
      </c>
      <c r="EY126" s="196" t="str">
        <f>IF('Marks Entry'!BE126="","",'Marks Entry'!BE126)</f>
        <v/>
      </c>
      <c r="EZ126" s="196" t="str">
        <f>IF('Marks Entry'!BF126="","",'Marks Entry'!BF126)</f>
        <v/>
      </c>
      <c r="FA126" s="196" t="str">
        <f>IF('Marks Entry'!BG126="","",'Marks Entry'!BG126)</f>
        <v/>
      </c>
      <c r="FB126" s="596" t="str">
        <f t="shared" si="327"/>
        <v/>
      </c>
      <c r="FC126" s="196" t="str">
        <f>IF('Marks Entry'!BH126="","",'Marks Entry'!BH126)</f>
        <v/>
      </c>
      <c r="FD126" s="196" t="str">
        <f>IF('Marks Entry'!BI126="","",'Marks Entry'!BI126)</f>
        <v/>
      </c>
      <c r="FE126" s="197" t="str">
        <f t="shared" si="328"/>
        <v/>
      </c>
      <c r="FF126" s="198" t="str">
        <f t="shared" si="329"/>
        <v/>
      </c>
      <c r="FG126" s="199" t="str">
        <f>IF(AND(E126=""),"",IF('Student DATA Entry'!L122="","",'Student DATA Entry'!L122))</f>
        <v/>
      </c>
      <c r="FH126" s="200" t="str">
        <f>IF(AND(E126=""),"",IF('Student DATA Entry'!M122="","",'Student DATA Entry'!M122))</f>
        <v/>
      </c>
      <c r="FI126" s="201" t="str">
        <f t="shared" si="330"/>
        <v/>
      </c>
      <c r="FJ126" s="188" t="str">
        <f t="shared" si="331"/>
        <v/>
      </c>
      <c r="FK126" s="188" t="str">
        <f t="shared" si="332"/>
        <v/>
      </c>
      <c r="FL126" s="202" t="str">
        <f t="shared" si="360"/>
        <v/>
      </c>
      <c r="FM126" s="188" t="str">
        <f t="shared" si="333"/>
        <v/>
      </c>
      <c r="FN126" s="203" t="str">
        <f t="shared" si="334"/>
        <v/>
      </c>
      <c r="FO126" s="202" t="str">
        <f t="shared" si="361"/>
        <v/>
      </c>
      <c r="FP126" s="204" t="str">
        <f t="shared" si="335"/>
        <v/>
      </c>
      <c r="FQ126" s="188" t="str">
        <f t="shared" si="362"/>
        <v/>
      </c>
      <c r="FR126" s="188" t="str">
        <f t="shared" si="363"/>
        <v/>
      </c>
      <c r="FS126" s="188" t="str">
        <f t="shared" si="364"/>
        <v/>
      </c>
      <c r="FT126" s="188" t="str">
        <f t="shared" si="365"/>
        <v/>
      </c>
      <c r="FU126" s="188" t="str">
        <f t="shared" si="336"/>
        <v/>
      </c>
      <c r="FV126" s="205" t="str">
        <f t="shared" si="366"/>
        <v/>
      </c>
      <c r="FW126" s="204" t="str">
        <f t="shared" si="337"/>
        <v/>
      </c>
      <c r="FX126" s="188" t="str">
        <f t="shared" si="367"/>
        <v/>
      </c>
      <c r="FY126" s="188" t="str">
        <f t="shared" si="368"/>
        <v/>
      </c>
      <c r="FZ126" s="188" t="str">
        <f t="shared" si="369"/>
        <v/>
      </c>
      <c r="GA126" s="188" t="str">
        <f t="shared" si="370"/>
        <v/>
      </c>
      <c r="GB126" s="188" t="str">
        <f t="shared" si="338"/>
        <v/>
      </c>
      <c r="GC126" s="205" t="str">
        <f t="shared" si="371"/>
        <v/>
      </c>
      <c r="GD126" s="204" t="str">
        <f t="shared" si="339"/>
        <v/>
      </c>
      <c r="GE126" s="188" t="str">
        <f t="shared" si="372"/>
        <v/>
      </c>
      <c r="GF126" s="188" t="str">
        <f t="shared" si="373"/>
        <v/>
      </c>
      <c r="GG126" s="188" t="str">
        <f t="shared" si="374"/>
        <v/>
      </c>
      <c r="GH126" s="188" t="str">
        <f t="shared" si="375"/>
        <v/>
      </c>
      <c r="GI126" s="188" t="str">
        <f t="shared" si="340"/>
        <v/>
      </c>
      <c r="GJ126" s="205" t="str">
        <f t="shared" si="376"/>
        <v/>
      </c>
      <c r="GK126" s="204" t="str">
        <f t="shared" si="341"/>
        <v/>
      </c>
      <c r="GL126" s="188" t="str">
        <f t="shared" si="377"/>
        <v/>
      </c>
      <c r="GM126" s="188" t="str">
        <f t="shared" si="378"/>
        <v/>
      </c>
      <c r="GN126" s="188" t="str">
        <f t="shared" si="379"/>
        <v/>
      </c>
      <c r="GO126" s="188" t="str">
        <f t="shared" si="380"/>
        <v/>
      </c>
      <c r="GP126" s="188" t="str">
        <f t="shared" si="342"/>
        <v/>
      </c>
      <c r="GQ126" s="205" t="str">
        <f t="shared" si="381"/>
        <v/>
      </c>
      <c r="GR126" s="188" t="str">
        <f t="shared" si="343"/>
        <v/>
      </c>
      <c r="GS126" s="188" t="str">
        <f t="shared" si="344"/>
        <v/>
      </c>
      <c r="GT126" s="206" t="str">
        <f t="shared" si="345"/>
        <v xml:space="preserve">    </v>
      </c>
      <c r="GU126" s="206" t="str">
        <f t="shared" si="346"/>
        <v xml:space="preserve">    </v>
      </c>
      <c r="GV126" s="206" t="str">
        <f t="shared" si="347"/>
        <v xml:space="preserve">    </v>
      </c>
      <c r="GW126" s="206" t="str">
        <f t="shared" si="348"/>
        <v xml:space="preserve">       </v>
      </c>
      <c r="GX126" s="598" t="str">
        <f t="shared" si="349"/>
        <v xml:space="preserve">     </v>
      </c>
      <c r="GY126" s="207" t="str">
        <f t="shared" si="382"/>
        <v/>
      </c>
      <c r="GZ126" s="606" t="str">
        <f>IF(AND(Q126="",AE126="",AZ126="",BW126="",CT126=""),"",IF(AND('Master Sheet'!$D$19="YES",'Marks Entry'!$BA$1=1),SUM(Q126,AE126,AZ126,BW126,DT126),SUM(Q126,AE126,AZ126,BW126,CT126)))</f>
        <v/>
      </c>
      <c r="HA126" s="208" t="str">
        <f>IF(GZ126="","",IF(AND('Master Sheet'!$D$19="YES",'Marks Entry'!$BA$1=1),GZ126/((900)-DC126)*100,GZ126/((1000)-DC126)*100))</f>
        <v/>
      </c>
      <c r="HB126" s="611" t="str">
        <f t="shared" si="350"/>
        <v/>
      </c>
      <c r="HC126" s="609" t="str">
        <f t="shared" si="351"/>
        <v/>
      </c>
      <c r="HD126" s="610" t="str">
        <f t="shared" si="352"/>
        <v/>
      </c>
      <c r="HE126" s="209" t="str">
        <f>IFERROR(IF(OR(GY126="SUPPLEMENTARY",GY126="RE-EXAM"),'Supp. Result Entry'!AS125,""),"")</f>
        <v/>
      </c>
      <c r="HF126" s="613" t="str">
        <f t="shared" si="353"/>
        <v/>
      </c>
      <c r="HG126" s="598" t="str">
        <f t="shared" si="354"/>
        <v/>
      </c>
      <c r="HH126" s="598" t="str">
        <f>IF(AND(HE126="",HF126="",HG126=""),"",IF(OR(GY126="SUPPLEMENTARY",GY126="RE-EXAM"),'Supp. Result Entry'!AS125,GY126))</f>
        <v/>
      </c>
      <c r="HI126" s="179"/>
      <c r="HY126" s="211" t="str">
        <f>IF('Supp. Result Entry'!U125="","",'Supp. Result Entry'!$U$6)</f>
        <v/>
      </c>
      <c r="HZ126" s="212" t="str">
        <f>IF('Supp. Result Entry'!X125="","",'Supp. Result Entry'!$X$6)</f>
        <v/>
      </c>
      <c r="IA126" s="212" t="str">
        <f>IF('Supp. Result Entry'!AA125="","",'Supp. Result Entry'!$AA$6)</f>
        <v/>
      </c>
      <c r="IB126" s="212" t="str">
        <f>IF('Supp. Result Entry'!AD125="","",'Supp. Result Entry'!$AD$6)</f>
        <v/>
      </c>
      <c r="IC126" s="212" t="str">
        <f>IF('Supp. Result Entry'!AG125="","",'Supp. Result Entry'!$AG$6)</f>
        <v/>
      </c>
      <c r="ID126" s="212" t="str">
        <f>IF('Supp. Result Entry'!AJ125="","",'Supp. Result Entry'!$AJ$6)</f>
        <v/>
      </c>
      <c r="IE126" s="212" t="str">
        <f>IF('Supp. Result Entry'!V125="","",'Supp. Result Entry'!V125)</f>
        <v/>
      </c>
      <c r="IF126" s="212" t="str">
        <f>IF('Supp. Result Entry'!Y125="","",'Supp. Result Entry'!Y125)</f>
        <v/>
      </c>
      <c r="IG126" s="212" t="str">
        <f>IF('Supp. Result Entry'!AB125="","",'Supp. Result Entry'!AB125)</f>
        <v/>
      </c>
      <c r="IH126" s="212" t="str">
        <f>IF('Supp. Result Entry'!AE125="","",'Supp. Result Entry'!AE125)</f>
        <v/>
      </c>
      <c r="II126" s="212" t="str">
        <f>IF('Supp. Result Entry'!AH125="","",'Supp. Result Entry'!AH125)</f>
        <v/>
      </c>
      <c r="IJ126" s="212" t="str">
        <f>IF('Supp. Result Entry'!AK125="","",'Supp. Result Entry'!AK125)</f>
        <v/>
      </c>
      <c r="IK126" s="212" t="str">
        <f>IF('Supp. Result Entry'!W125="","",'Supp. Result Entry'!W125)</f>
        <v/>
      </c>
      <c r="IL126" s="212" t="str">
        <f>IF('Supp. Result Entry'!Z125="","",'Supp. Result Entry'!Z125)</f>
        <v/>
      </c>
      <c r="IM126" s="212" t="str">
        <f>IF('Supp. Result Entry'!AC125="","",'Supp. Result Entry'!AC125)</f>
        <v/>
      </c>
      <c r="IN126" s="212" t="str">
        <f>IF('Supp. Result Entry'!AF125="","",'Supp. Result Entry'!AF125)</f>
        <v/>
      </c>
      <c r="IO126" s="212" t="str">
        <f>IF('Supp. Result Entry'!AI125="","",'Supp. Result Entry'!AI125)</f>
        <v/>
      </c>
      <c r="IP126" s="212" t="str">
        <f>IF('Supp. Result Entry'!AL125="","",'Supp. Result Entry'!AL125)</f>
        <v/>
      </c>
      <c r="IQ126" s="212">
        <f>COUNTIF('Supp. Result Entry'!K125:Q125,"S")</f>
        <v>0</v>
      </c>
      <c r="IR126" s="212">
        <f t="shared" si="355"/>
        <v>0</v>
      </c>
      <c r="IS126" s="212">
        <f t="shared" si="356"/>
        <v>0</v>
      </c>
      <c r="IT126" s="212" t="str">
        <f t="shared" si="224"/>
        <v/>
      </c>
      <c r="IU126" s="212" t="str">
        <f t="shared" si="225"/>
        <v/>
      </c>
      <c r="IV126" s="212" t="str">
        <f t="shared" si="226"/>
        <v/>
      </c>
      <c r="IW126" s="212" t="str">
        <f t="shared" si="227"/>
        <v/>
      </c>
      <c r="IX126" s="212" t="str">
        <f t="shared" si="228"/>
        <v/>
      </c>
      <c r="IY126" s="212" t="str">
        <f t="shared" si="357"/>
        <v/>
      </c>
      <c r="IZ126" s="212" t="str">
        <f t="shared" si="358"/>
        <v/>
      </c>
      <c r="JA126" s="212" t="str">
        <f t="shared" si="229"/>
        <v/>
      </c>
      <c r="JB126" s="210" t="str">
        <f t="shared" si="359"/>
        <v/>
      </c>
    </row>
    <row r="127" spans="1:262" s="210" customFormat="1" ht="21" customHeight="1">
      <c r="A127" s="183">
        <v>120</v>
      </c>
      <c r="B127" s="184" t="str">
        <f>IF('Marks Entry'!B127="","",'Marks Entry'!B127)</f>
        <v/>
      </c>
      <c r="C127" s="185" t="str">
        <f>IF('Marks Entry'!D127="","",'Marks Entry'!D127)</f>
        <v/>
      </c>
      <c r="D127" s="186" t="str">
        <f>IF('Marks Entry'!E127="","",'Marks Entry'!E127)</f>
        <v/>
      </c>
      <c r="E127" s="187" t="str">
        <f>IF('Marks Entry'!F127="","",'Marks Entry'!F127)</f>
        <v/>
      </c>
      <c r="F127" s="187" t="str">
        <f>IF('Marks Entry'!G127="","",'Marks Entry'!G127)</f>
        <v/>
      </c>
      <c r="G127" s="187" t="str">
        <f>IF('Marks Entry'!H127="","",'Marks Entry'!H127)</f>
        <v/>
      </c>
      <c r="H127" s="188" t="str">
        <f>IF('Marks Entry'!I127="","",'Marks Entry'!I127)</f>
        <v/>
      </c>
      <c r="I127" s="189" t="str">
        <f>IF('Marks Entry'!J127="","",'Marks Entry'!J127)</f>
        <v/>
      </c>
      <c r="J127" s="545" t="str">
        <f>IF('Marks Entry'!K127="","",'Marks Entry'!K127)</f>
        <v/>
      </c>
      <c r="K127" s="545" t="str">
        <f>IF('Marks Entry'!L127="","",'Marks Entry'!L127)</f>
        <v/>
      </c>
      <c r="L127" s="545" t="str">
        <f>IF('Marks Entry'!M127="","",'Marks Entry'!M127)</f>
        <v/>
      </c>
      <c r="M127" s="546" t="str">
        <f t="shared" si="230"/>
        <v/>
      </c>
      <c r="N127" s="545" t="str">
        <f>IF('Marks Entry'!N127="","",'Marks Entry'!N127)</f>
        <v/>
      </c>
      <c r="O127" s="546" t="str">
        <f t="shared" si="231"/>
        <v/>
      </c>
      <c r="P127" s="545" t="str">
        <f>IF('Marks Entry'!O127="","",'Marks Entry'!O127)</f>
        <v/>
      </c>
      <c r="Q127" s="547" t="str">
        <f t="shared" si="232"/>
        <v/>
      </c>
      <c r="R127" s="152">
        <f t="shared" si="233"/>
        <v>0</v>
      </c>
      <c r="S127" s="152">
        <f t="shared" si="234"/>
        <v>0</v>
      </c>
      <c r="T127" s="153" t="str">
        <f t="shared" si="235"/>
        <v/>
      </c>
      <c r="U127" s="152" t="str">
        <f t="shared" si="236"/>
        <v/>
      </c>
      <c r="V127" s="152" t="str">
        <f t="shared" si="237"/>
        <v/>
      </c>
      <c r="W127" s="152" t="str">
        <f t="shared" si="238"/>
        <v/>
      </c>
      <c r="X127" s="545" t="str">
        <f>IF('Marks Entry'!P127="","",'Marks Entry'!P127)</f>
        <v/>
      </c>
      <c r="Y127" s="545" t="str">
        <f>IF('Marks Entry'!Q127="","",'Marks Entry'!Q127)</f>
        <v/>
      </c>
      <c r="Z127" s="545" t="str">
        <f>IF('Marks Entry'!R127="","",'Marks Entry'!R127)</f>
        <v/>
      </c>
      <c r="AA127" s="546" t="str">
        <f t="shared" si="239"/>
        <v/>
      </c>
      <c r="AB127" s="545" t="str">
        <f>IF('Marks Entry'!S127="","",'Marks Entry'!S127)</f>
        <v/>
      </c>
      <c r="AC127" s="546" t="str">
        <f t="shared" si="240"/>
        <v/>
      </c>
      <c r="AD127" s="545" t="str">
        <f>IF('Marks Entry'!T127="","",'Marks Entry'!T127)</f>
        <v/>
      </c>
      <c r="AE127" s="547" t="str">
        <f t="shared" si="241"/>
        <v/>
      </c>
      <c r="AF127" s="152">
        <f t="shared" si="242"/>
        <v>0</v>
      </c>
      <c r="AG127" s="152">
        <f t="shared" si="243"/>
        <v>0</v>
      </c>
      <c r="AH127" s="153" t="str">
        <f t="shared" si="244"/>
        <v/>
      </c>
      <c r="AI127" s="152" t="str">
        <f t="shared" si="245"/>
        <v/>
      </c>
      <c r="AJ127" s="152" t="str">
        <f t="shared" si="246"/>
        <v/>
      </c>
      <c r="AK127" s="152" t="str">
        <f t="shared" si="247"/>
        <v/>
      </c>
      <c r="AL127" s="573" t="str">
        <f>IF('Marks Entry'!U127="","",'Marks Entry'!U127)</f>
        <v/>
      </c>
      <c r="AM127" s="573" t="str">
        <f>IF('Marks Entry'!V127="","",'Marks Entry'!V127)</f>
        <v/>
      </c>
      <c r="AN127" s="573" t="str">
        <f>IF('Marks Entry'!W127="","",'Marks Entry'!W127)</f>
        <v/>
      </c>
      <c r="AO127" s="573" t="str">
        <f>IF('Marks Entry'!X127="","",'Marks Entry'!X127)</f>
        <v/>
      </c>
      <c r="AP127" s="572" t="str">
        <f t="shared" si="248"/>
        <v/>
      </c>
      <c r="AQ127" s="573" t="str">
        <f>IF('Marks Entry'!Y127="","",'Marks Entry'!Y127)</f>
        <v/>
      </c>
      <c r="AR127" s="573" t="str">
        <f>IF('Marks Entry'!Z127="","",'Marks Entry'!Z127)</f>
        <v/>
      </c>
      <c r="AS127" s="572" t="str">
        <f t="shared" si="249"/>
        <v/>
      </c>
      <c r="AT127" s="572" t="str">
        <f t="shared" si="250"/>
        <v/>
      </c>
      <c r="AU127" s="573" t="str">
        <f>IF('Marks Entry'!AA127="","",'Marks Entry'!AA127)</f>
        <v/>
      </c>
      <c r="AV127" s="573" t="str">
        <f>IF('Marks Entry'!AB127="","",'Marks Entry'!AB127)</f>
        <v/>
      </c>
      <c r="AW127" s="572" t="str">
        <f t="shared" si="251"/>
        <v/>
      </c>
      <c r="AX127" s="156" t="str">
        <f t="shared" si="252"/>
        <v/>
      </c>
      <c r="AY127" s="156" t="str">
        <f t="shared" si="253"/>
        <v/>
      </c>
      <c r="AZ127" s="191" t="str">
        <f t="shared" si="254"/>
        <v/>
      </c>
      <c r="BA127" s="152">
        <f t="shared" si="255"/>
        <v>0</v>
      </c>
      <c r="BB127" s="153">
        <f t="shared" si="256"/>
        <v>0</v>
      </c>
      <c r="BC127" s="153" t="str">
        <f t="shared" si="257"/>
        <v/>
      </c>
      <c r="BD127" s="153" t="str">
        <f t="shared" si="258"/>
        <v/>
      </c>
      <c r="BE127" s="153" t="str">
        <f t="shared" si="259"/>
        <v/>
      </c>
      <c r="BF127" s="152" t="str">
        <f t="shared" si="260"/>
        <v/>
      </c>
      <c r="BG127" s="153" t="str">
        <f t="shared" si="261"/>
        <v/>
      </c>
      <c r="BH127" s="152" t="str">
        <f t="shared" si="262"/>
        <v/>
      </c>
      <c r="BI127" s="580" t="str">
        <f>IF('Marks Entry'!AC127="","",'Marks Entry'!AC127)</f>
        <v/>
      </c>
      <c r="BJ127" s="580" t="str">
        <f>IF('Marks Entry'!AD127="","",'Marks Entry'!AD127)</f>
        <v/>
      </c>
      <c r="BK127" s="580" t="str">
        <f>IF('Marks Entry'!AE127="","",'Marks Entry'!AE127)</f>
        <v/>
      </c>
      <c r="BL127" s="580" t="str">
        <f>IF('Marks Entry'!AF127="","",'Marks Entry'!AF127)</f>
        <v/>
      </c>
      <c r="BM127" s="581" t="str">
        <f t="shared" si="263"/>
        <v/>
      </c>
      <c r="BN127" s="580" t="str">
        <f>IF('Marks Entry'!AG127="","",'Marks Entry'!AG127)</f>
        <v/>
      </c>
      <c r="BO127" s="580" t="str">
        <f>IF('Marks Entry'!AH127="","",'Marks Entry'!AH127)</f>
        <v/>
      </c>
      <c r="BP127" s="581" t="str">
        <f t="shared" si="264"/>
        <v/>
      </c>
      <c r="BQ127" s="581" t="str">
        <f t="shared" si="265"/>
        <v/>
      </c>
      <c r="BR127" s="580" t="str">
        <f>IF('Marks Entry'!AI127="","",'Marks Entry'!AI127)</f>
        <v/>
      </c>
      <c r="BS127" s="580" t="str">
        <f>IF('Marks Entry'!AJ127="","",'Marks Entry'!AJ127)</f>
        <v/>
      </c>
      <c r="BT127" s="581" t="str">
        <f t="shared" si="266"/>
        <v/>
      </c>
      <c r="BU127" s="156" t="str">
        <f t="shared" si="267"/>
        <v/>
      </c>
      <c r="BV127" s="156" t="str">
        <f t="shared" si="268"/>
        <v/>
      </c>
      <c r="BW127" s="191" t="str">
        <f t="shared" si="269"/>
        <v/>
      </c>
      <c r="BX127" s="152">
        <f t="shared" si="270"/>
        <v>0</v>
      </c>
      <c r="BY127" s="153">
        <f t="shared" si="271"/>
        <v>0</v>
      </c>
      <c r="BZ127" s="153" t="str">
        <f t="shared" si="272"/>
        <v/>
      </c>
      <c r="CA127" s="153" t="str">
        <f t="shared" si="273"/>
        <v/>
      </c>
      <c r="CB127" s="153" t="str">
        <f t="shared" si="274"/>
        <v/>
      </c>
      <c r="CC127" s="152" t="str">
        <f t="shared" si="275"/>
        <v/>
      </c>
      <c r="CD127" s="153" t="str">
        <f t="shared" si="276"/>
        <v/>
      </c>
      <c r="CE127" s="152" t="str">
        <f t="shared" si="277"/>
        <v/>
      </c>
      <c r="CF127" s="580" t="str">
        <f>IF('Marks Entry'!AK127="","",'Marks Entry'!AK127)</f>
        <v/>
      </c>
      <c r="CG127" s="580" t="str">
        <f>IF('Marks Entry'!AL127="","",'Marks Entry'!AL127)</f>
        <v/>
      </c>
      <c r="CH127" s="580" t="str">
        <f>IF('Marks Entry'!AM127="","",'Marks Entry'!AM127)</f>
        <v/>
      </c>
      <c r="CI127" s="580" t="str">
        <f>IF('Marks Entry'!AN127="","",'Marks Entry'!AN127)</f>
        <v/>
      </c>
      <c r="CJ127" s="581" t="str">
        <f t="shared" si="278"/>
        <v/>
      </c>
      <c r="CK127" s="580" t="str">
        <f>IF('Marks Entry'!AO127="","",'Marks Entry'!AO127)</f>
        <v/>
      </c>
      <c r="CL127" s="580" t="str">
        <f>IF('Marks Entry'!AP127="","",'Marks Entry'!AP127)</f>
        <v/>
      </c>
      <c r="CM127" s="581" t="str">
        <f t="shared" si="279"/>
        <v/>
      </c>
      <c r="CN127" s="581" t="str">
        <f t="shared" si="280"/>
        <v/>
      </c>
      <c r="CO127" s="580" t="str">
        <f>IF('Marks Entry'!AQ127="","",'Marks Entry'!AQ127)</f>
        <v/>
      </c>
      <c r="CP127" s="580" t="str">
        <f>IF('Marks Entry'!AR127="","",'Marks Entry'!AR127)</f>
        <v/>
      </c>
      <c r="CQ127" s="581" t="str">
        <f t="shared" si="281"/>
        <v/>
      </c>
      <c r="CR127" s="156" t="str">
        <f t="shared" si="282"/>
        <v/>
      </c>
      <c r="CS127" s="156" t="str">
        <f t="shared" si="283"/>
        <v/>
      </c>
      <c r="CT127" s="191" t="str">
        <f t="shared" si="284"/>
        <v/>
      </c>
      <c r="CU127" s="152">
        <f t="shared" si="285"/>
        <v>0</v>
      </c>
      <c r="CV127" s="153">
        <f t="shared" si="286"/>
        <v>0</v>
      </c>
      <c r="CW127" s="153" t="str">
        <f t="shared" si="287"/>
        <v/>
      </c>
      <c r="CX127" s="153" t="str">
        <f t="shared" si="288"/>
        <v/>
      </c>
      <c r="CY127" s="153" t="str">
        <f t="shared" si="289"/>
        <v/>
      </c>
      <c r="CZ127" s="152" t="str">
        <f t="shared" si="290"/>
        <v/>
      </c>
      <c r="DA127" s="153" t="str">
        <f t="shared" si="291"/>
        <v/>
      </c>
      <c r="DB127" s="152" t="str">
        <f t="shared" si="292"/>
        <v/>
      </c>
      <c r="DC127" s="153">
        <f t="shared" si="293"/>
        <v>0</v>
      </c>
      <c r="DD127" s="851" t="str">
        <f>IF('Marks Entry'!AS127="","",IF(OR('Master Sheet'!$D$19="YES",'Marks Entry'!$BA$1=1),'Marks Entry'!AS127,""))</f>
        <v/>
      </c>
      <c r="DE127" s="851" t="str">
        <f>IF('Marks Entry'!AT127="","",IF(OR('Master Sheet'!$D$19="YES",'Marks Entry'!$BA$1=1),'Marks Entry'!AT127,""))</f>
        <v/>
      </c>
      <c r="DF127" s="851" t="str">
        <f>IF('Marks Entry'!AU127="","",IF(OR('Master Sheet'!$D$19="YES",'Marks Entry'!$BA$1=1),'Marks Entry'!AU127,""))</f>
        <v/>
      </c>
      <c r="DG127" s="851" t="str">
        <f>IF('Marks Entry'!AV127="","",IF(OR('Master Sheet'!$D$19="YES",'Marks Entry'!$BA$1=1),'Marks Entry'!AV127,""))</f>
        <v/>
      </c>
      <c r="DH127" s="852" t="str">
        <f t="shared" si="294"/>
        <v/>
      </c>
      <c r="DI127" s="851" t="str">
        <f>IF('Marks Entry'!AW127="","",IF(OR('Master Sheet'!$D$19="YES",'Marks Entry'!$BA$1=1),'Marks Entry'!AW127,""))</f>
        <v/>
      </c>
      <c r="DJ127" s="851" t="str">
        <f>IF('Marks Entry'!AX127="","",IF(OR('Master Sheet'!$D$19="YES",'Marks Entry'!$BA$1=1),'Marks Entry'!AX127,""))</f>
        <v/>
      </c>
      <c r="DK127" s="852" t="str">
        <f t="shared" si="295"/>
        <v/>
      </c>
      <c r="DL127" s="852" t="str">
        <f t="shared" si="296"/>
        <v/>
      </c>
      <c r="DM127" s="851" t="str">
        <f>IF('Marks Entry'!AY127="","",IF(OR('Master Sheet'!$D$19="YES",'Marks Entry'!$BA$1=1),'Marks Entry'!AY127,""))</f>
        <v/>
      </c>
      <c r="DN127" s="851" t="str">
        <f>IF('Marks Entry'!AZ127="","",IF(OR('Master Sheet'!$D$19="YES",'Marks Entry'!$BA$1=1),'Marks Entry'!AZ127,""))</f>
        <v/>
      </c>
      <c r="DO127" s="851" t="str">
        <f>IF('Marks Entry'!BA127="","",IF(OR('Master Sheet'!$D$19="YES",'Marks Entry'!$BA$1=1),'Marks Entry'!BA127,""))</f>
        <v/>
      </c>
      <c r="DP127" s="852" t="str">
        <f t="shared" si="297"/>
        <v/>
      </c>
      <c r="DQ127" s="156" t="str">
        <f t="shared" si="298"/>
        <v/>
      </c>
      <c r="DR127" s="156" t="str">
        <f t="shared" si="299"/>
        <v/>
      </c>
      <c r="DS127" s="156" t="str">
        <f t="shared" si="300"/>
        <v/>
      </c>
      <c r="DT127" s="191" t="str">
        <f t="shared" si="301"/>
        <v/>
      </c>
      <c r="DU127" s="152">
        <f t="shared" si="302"/>
        <v>0</v>
      </c>
      <c r="DV127" s="153">
        <f t="shared" si="303"/>
        <v>0</v>
      </c>
      <c r="DW127" s="153" t="str">
        <f t="shared" si="304"/>
        <v/>
      </c>
      <c r="DX127" s="153" t="str">
        <f>IF(OR($B127="NSO",$B127=0,DS127=""),"",IF(AND(DJ127="",DO127=""),"",IF('Master Sheet'!$D$19="YES",$DO$6-COUNTIF(DO127,"ML")*DO$6,DS$6-(COUNTIF(DJ127,"ML")*DJ$6)-(COUNTIF(DO127,"ML")*DO$6))))</f>
        <v/>
      </c>
      <c r="DY127" s="153" t="str">
        <f>IF(OR($B127="NSO",$B127=0),"",IF(AND(DH127="",DI127="",DM127=""),"",IF(AND('Master Sheet'!$D$19="YES",'Marks Entry'!$BA$1=1),100,IF(AND(DJ127="",DO127=""),SUM(($DQ$7+$DR$7)-(DU127+DV127)),SUM(($DQ$6+$DR$6)-(DU127+DV127))))))</f>
        <v/>
      </c>
      <c r="DZ127" s="152" t="str">
        <f t="shared" si="305"/>
        <v/>
      </c>
      <c r="EA127" s="153" t="str">
        <f t="shared" si="306"/>
        <v/>
      </c>
      <c r="EB127" s="152" t="str">
        <f t="shared" si="307"/>
        <v/>
      </c>
      <c r="EC127" s="584" t="str">
        <f>IF('Marks Entry'!BB127="","",'Marks Entry'!BB127)</f>
        <v/>
      </c>
      <c r="ED127" s="584" t="str">
        <f>IF('Marks Entry'!BC127="","",'Marks Entry'!BC127)</f>
        <v/>
      </c>
      <c r="EE127" s="584" t="str">
        <f>IF('Marks Entry'!BD127="","",'Marks Entry'!BD127)</f>
        <v/>
      </c>
      <c r="EF127" s="590" t="str">
        <f t="shared" si="308"/>
        <v/>
      </c>
      <c r="EG127" s="595">
        <f t="shared" si="309"/>
        <v>0</v>
      </c>
      <c r="EH127" s="595">
        <f t="shared" si="310"/>
        <v>0</v>
      </c>
      <c r="EI127" s="192" t="str">
        <f t="shared" si="311"/>
        <v/>
      </c>
      <c r="EJ127" s="595" t="str">
        <f t="shared" si="312"/>
        <v/>
      </c>
      <c r="EK127" s="595" t="str">
        <f t="shared" si="313"/>
        <v/>
      </c>
      <c r="EL127" s="193" t="str">
        <f t="shared" si="314"/>
        <v/>
      </c>
      <c r="EM127" s="193" t="str">
        <f t="shared" si="315"/>
        <v/>
      </c>
      <c r="EN127" s="193" t="str">
        <f t="shared" si="316"/>
        <v/>
      </c>
      <c r="EO127" s="193" t="str">
        <f t="shared" si="317"/>
        <v/>
      </c>
      <c r="EP127" s="193" t="str">
        <f t="shared" si="318"/>
        <v/>
      </c>
      <c r="EQ127" s="193" t="str">
        <f t="shared" si="319"/>
        <v/>
      </c>
      <c r="ER127" s="194">
        <f t="shared" si="320"/>
        <v>0</v>
      </c>
      <c r="ES127" s="194">
        <f t="shared" si="321"/>
        <v>0</v>
      </c>
      <c r="ET127" s="194">
        <f t="shared" si="322"/>
        <v>0</v>
      </c>
      <c r="EU127" s="194">
        <f t="shared" si="323"/>
        <v>0</v>
      </c>
      <c r="EV127" s="194">
        <f t="shared" si="324"/>
        <v>0</v>
      </c>
      <c r="EW127" s="194" t="str">
        <f t="shared" si="325"/>
        <v/>
      </c>
      <c r="EX127" s="195" t="str">
        <f t="shared" si="326"/>
        <v/>
      </c>
      <c r="EY127" s="196" t="str">
        <f>IF('Marks Entry'!BE127="","",'Marks Entry'!BE127)</f>
        <v/>
      </c>
      <c r="EZ127" s="196" t="str">
        <f>IF('Marks Entry'!BF127="","",'Marks Entry'!BF127)</f>
        <v/>
      </c>
      <c r="FA127" s="196" t="str">
        <f>IF('Marks Entry'!BG127="","",'Marks Entry'!BG127)</f>
        <v/>
      </c>
      <c r="FB127" s="596" t="str">
        <f t="shared" si="327"/>
        <v/>
      </c>
      <c r="FC127" s="196" t="str">
        <f>IF('Marks Entry'!BH127="","",'Marks Entry'!BH127)</f>
        <v/>
      </c>
      <c r="FD127" s="196" t="str">
        <f>IF('Marks Entry'!BI127="","",'Marks Entry'!BI127)</f>
        <v/>
      </c>
      <c r="FE127" s="197" t="str">
        <f t="shared" si="328"/>
        <v/>
      </c>
      <c r="FF127" s="198" t="str">
        <f t="shared" si="329"/>
        <v/>
      </c>
      <c r="FG127" s="199" t="str">
        <f>IF(AND(E127=""),"",IF('Student DATA Entry'!L123="","",'Student DATA Entry'!L123))</f>
        <v/>
      </c>
      <c r="FH127" s="200" t="str">
        <f>IF(AND(E127=""),"",IF('Student DATA Entry'!M123="","",'Student DATA Entry'!M123))</f>
        <v/>
      </c>
      <c r="FI127" s="201" t="str">
        <f t="shared" si="330"/>
        <v/>
      </c>
      <c r="FJ127" s="188" t="str">
        <f t="shared" si="331"/>
        <v/>
      </c>
      <c r="FK127" s="188" t="str">
        <f t="shared" si="332"/>
        <v/>
      </c>
      <c r="FL127" s="202" t="str">
        <f t="shared" si="360"/>
        <v/>
      </c>
      <c r="FM127" s="188" t="str">
        <f t="shared" si="333"/>
        <v/>
      </c>
      <c r="FN127" s="203" t="str">
        <f t="shared" si="334"/>
        <v/>
      </c>
      <c r="FO127" s="202" t="str">
        <f t="shared" si="361"/>
        <v/>
      </c>
      <c r="FP127" s="204" t="str">
        <f t="shared" si="335"/>
        <v/>
      </c>
      <c r="FQ127" s="188" t="str">
        <f t="shared" si="362"/>
        <v/>
      </c>
      <c r="FR127" s="188" t="str">
        <f t="shared" si="363"/>
        <v/>
      </c>
      <c r="FS127" s="188" t="str">
        <f t="shared" si="364"/>
        <v/>
      </c>
      <c r="FT127" s="188" t="str">
        <f t="shared" si="365"/>
        <v/>
      </c>
      <c r="FU127" s="188" t="str">
        <f t="shared" si="336"/>
        <v/>
      </c>
      <c r="FV127" s="205" t="str">
        <f t="shared" si="366"/>
        <v/>
      </c>
      <c r="FW127" s="204" t="str">
        <f t="shared" si="337"/>
        <v/>
      </c>
      <c r="FX127" s="188" t="str">
        <f t="shared" si="367"/>
        <v/>
      </c>
      <c r="FY127" s="188" t="str">
        <f t="shared" si="368"/>
        <v/>
      </c>
      <c r="FZ127" s="188" t="str">
        <f t="shared" si="369"/>
        <v/>
      </c>
      <c r="GA127" s="188" t="str">
        <f t="shared" si="370"/>
        <v/>
      </c>
      <c r="GB127" s="188" t="str">
        <f t="shared" si="338"/>
        <v/>
      </c>
      <c r="GC127" s="205" t="str">
        <f t="shared" si="371"/>
        <v/>
      </c>
      <c r="GD127" s="204" t="str">
        <f t="shared" si="339"/>
        <v/>
      </c>
      <c r="GE127" s="188" t="str">
        <f t="shared" si="372"/>
        <v/>
      </c>
      <c r="GF127" s="188" t="str">
        <f t="shared" si="373"/>
        <v/>
      </c>
      <c r="GG127" s="188" t="str">
        <f t="shared" si="374"/>
        <v/>
      </c>
      <c r="GH127" s="188" t="str">
        <f t="shared" si="375"/>
        <v/>
      </c>
      <c r="GI127" s="188" t="str">
        <f t="shared" si="340"/>
        <v/>
      </c>
      <c r="GJ127" s="205" t="str">
        <f t="shared" si="376"/>
        <v/>
      </c>
      <c r="GK127" s="204" t="str">
        <f t="shared" si="341"/>
        <v/>
      </c>
      <c r="GL127" s="188" t="str">
        <f t="shared" si="377"/>
        <v/>
      </c>
      <c r="GM127" s="188" t="str">
        <f t="shared" si="378"/>
        <v/>
      </c>
      <c r="GN127" s="188" t="str">
        <f t="shared" si="379"/>
        <v/>
      </c>
      <c r="GO127" s="188" t="str">
        <f t="shared" si="380"/>
        <v/>
      </c>
      <c r="GP127" s="188" t="str">
        <f t="shared" si="342"/>
        <v/>
      </c>
      <c r="GQ127" s="205" t="str">
        <f t="shared" si="381"/>
        <v/>
      </c>
      <c r="GR127" s="188" t="str">
        <f t="shared" si="343"/>
        <v/>
      </c>
      <c r="GS127" s="188" t="str">
        <f t="shared" si="344"/>
        <v/>
      </c>
      <c r="GT127" s="206" t="str">
        <f t="shared" si="345"/>
        <v xml:space="preserve">    </v>
      </c>
      <c r="GU127" s="206" t="str">
        <f t="shared" si="346"/>
        <v xml:space="preserve">    </v>
      </c>
      <c r="GV127" s="206" t="str">
        <f t="shared" si="347"/>
        <v xml:space="preserve">    </v>
      </c>
      <c r="GW127" s="206" t="str">
        <f t="shared" si="348"/>
        <v xml:space="preserve">       </v>
      </c>
      <c r="GX127" s="598" t="str">
        <f t="shared" si="349"/>
        <v xml:space="preserve">     </v>
      </c>
      <c r="GY127" s="207" t="str">
        <f t="shared" si="382"/>
        <v/>
      </c>
      <c r="GZ127" s="606" t="str">
        <f>IF(AND(Q127="",AE127="",AZ127="",BW127="",CT127=""),"",IF(AND('Master Sheet'!$D$19="YES",'Marks Entry'!$BA$1=1),SUM(Q127,AE127,AZ127,BW127,DT127),SUM(Q127,AE127,AZ127,BW127,CT127)))</f>
        <v/>
      </c>
      <c r="HA127" s="208" t="str">
        <f>IF(GZ127="","",IF(AND('Master Sheet'!$D$19="YES",'Marks Entry'!$BA$1=1),GZ127/((900)-DC127)*100,GZ127/((1000)-DC127)*100))</f>
        <v/>
      </c>
      <c r="HB127" s="611" t="str">
        <f t="shared" si="350"/>
        <v/>
      </c>
      <c r="HC127" s="609" t="str">
        <f t="shared" si="351"/>
        <v/>
      </c>
      <c r="HD127" s="610" t="str">
        <f t="shared" si="352"/>
        <v/>
      </c>
      <c r="HE127" s="209" t="str">
        <f>IFERROR(IF(OR(GY127="SUPPLEMENTARY",GY127="RE-EXAM"),'Supp. Result Entry'!AS126,""),"")</f>
        <v/>
      </c>
      <c r="HF127" s="613" t="str">
        <f t="shared" si="353"/>
        <v/>
      </c>
      <c r="HG127" s="598" t="str">
        <f t="shared" si="354"/>
        <v/>
      </c>
      <c r="HH127" s="598" t="str">
        <f>IF(AND(HE127="",HF127="",HG127=""),"",IF(OR(GY127="SUPPLEMENTARY",GY127="RE-EXAM"),'Supp. Result Entry'!AS126,GY127))</f>
        <v/>
      </c>
      <c r="HI127" s="179"/>
      <c r="HY127" s="211" t="str">
        <f>IF('Supp. Result Entry'!U126="","",'Supp. Result Entry'!$U$6)</f>
        <v/>
      </c>
      <c r="HZ127" s="212" t="str">
        <f>IF('Supp. Result Entry'!X126="","",'Supp. Result Entry'!$X$6)</f>
        <v/>
      </c>
      <c r="IA127" s="212" t="str">
        <f>IF('Supp. Result Entry'!AA126="","",'Supp. Result Entry'!$AA$6)</f>
        <v/>
      </c>
      <c r="IB127" s="212" t="str">
        <f>IF('Supp. Result Entry'!AD126="","",'Supp. Result Entry'!$AD$6)</f>
        <v/>
      </c>
      <c r="IC127" s="212" t="str">
        <f>IF('Supp. Result Entry'!AG126="","",'Supp. Result Entry'!$AG$6)</f>
        <v/>
      </c>
      <c r="ID127" s="212" t="str">
        <f>IF('Supp. Result Entry'!AJ126="","",'Supp. Result Entry'!$AJ$6)</f>
        <v/>
      </c>
      <c r="IE127" s="212" t="str">
        <f>IF('Supp. Result Entry'!V126="","",'Supp. Result Entry'!V126)</f>
        <v/>
      </c>
      <c r="IF127" s="212" t="str">
        <f>IF('Supp. Result Entry'!Y126="","",'Supp. Result Entry'!Y126)</f>
        <v/>
      </c>
      <c r="IG127" s="212" t="str">
        <f>IF('Supp. Result Entry'!AB126="","",'Supp. Result Entry'!AB126)</f>
        <v/>
      </c>
      <c r="IH127" s="212" t="str">
        <f>IF('Supp. Result Entry'!AE126="","",'Supp. Result Entry'!AE126)</f>
        <v/>
      </c>
      <c r="II127" s="212" t="str">
        <f>IF('Supp. Result Entry'!AH126="","",'Supp. Result Entry'!AH126)</f>
        <v/>
      </c>
      <c r="IJ127" s="212" t="str">
        <f>IF('Supp. Result Entry'!AK126="","",'Supp. Result Entry'!AK126)</f>
        <v/>
      </c>
      <c r="IK127" s="212" t="str">
        <f>IF('Supp. Result Entry'!W126="","",'Supp. Result Entry'!W126)</f>
        <v/>
      </c>
      <c r="IL127" s="212" t="str">
        <f>IF('Supp. Result Entry'!Z126="","",'Supp. Result Entry'!Z126)</f>
        <v/>
      </c>
      <c r="IM127" s="212" t="str">
        <f>IF('Supp. Result Entry'!AC126="","",'Supp. Result Entry'!AC126)</f>
        <v/>
      </c>
      <c r="IN127" s="212" t="str">
        <f>IF('Supp. Result Entry'!AF126="","",'Supp. Result Entry'!AF126)</f>
        <v/>
      </c>
      <c r="IO127" s="212" t="str">
        <f>IF('Supp. Result Entry'!AI126="","",'Supp. Result Entry'!AI126)</f>
        <v/>
      </c>
      <c r="IP127" s="212" t="str">
        <f>IF('Supp. Result Entry'!AL126="","",'Supp. Result Entry'!AL126)</f>
        <v/>
      </c>
      <c r="IQ127" s="212">
        <f>COUNTIF('Supp. Result Entry'!K126:Q126,"S")</f>
        <v>0</v>
      </c>
      <c r="IR127" s="212">
        <f t="shared" si="355"/>
        <v>0</v>
      </c>
      <c r="IS127" s="212">
        <f t="shared" si="356"/>
        <v>0</v>
      </c>
      <c r="IT127" s="212" t="str">
        <f t="shared" si="224"/>
        <v/>
      </c>
      <c r="IU127" s="212" t="str">
        <f t="shared" si="225"/>
        <v/>
      </c>
      <c r="IV127" s="212" t="str">
        <f t="shared" si="226"/>
        <v/>
      </c>
      <c r="IW127" s="212" t="str">
        <f t="shared" si="227"/>
        <v/>
      </c>
      <c r="IX127" s="212" t="str">
        <f t="shared" si="228"/>
        <v/>
      </c>
      <c r="IY127" s="212" t="str">
        <f t="shared" si="357"/>
        <v/>
      </c>
      <c r="IZ127" s="212" t="str">
        <f t="shared" si="358"/>
        <v/>
      </c>
      <c r="JA127" s="212" t="str">
        <f t="shared" si="229"/>
        <v/>
      </c>
      <c r="JB127" s="210" t="str">
        <f t="shared" si="359"/>
        <v/>
      </c>
    </row>
    <row r="128" spans="1:262" s="210" customFormat="1" ht="21" customHeight="1">
      <c r="A128" s="183">
        <v>121</v>
      </c>
      <c r="B128" s="184" t="str">
        <f>IF('Marks Entry'!B128="","",'Marks Entry'!B128)</f>
        <v/>
      </c>
      <c r="C128" s="185" t="str">
        <f>IF('Marks Entry'!D128="","",'Marks Entry'!D128)</f>
        <v/>
      </c>
      <c r="D128" s="186" t="str">
        <f>IF('Marks Entry'!E128="","",'Marks Entry'!E128)</f>
        <v/>
      </c>
      <c r="E128" s="187" t="str">
        <f>IF('Marks Entry'!F128="","",'Marks Entry'!F128)</f>
        <v/>
      </c>
      <c r="F128" s="187" t="str">
        <f>IF('Marks Entry'!G128="","",'Marks Entry'!G128)</f>
        <v/>
      </c>
      <c r="G128" s="187" t="str">
        <f>IF('Marks Entry'!H128="","",'Marks Entry'!H128)</f>
        <v/>
      </c>
      <c r="H128" s="188" t="str">
        <f>IF('Marks Entry'!I128="","",'Marks Entry'!I128)</f>
        <v/>
      </c>
      <c r="I128" s="189" t="str">
        <f>IF('Marks Entry'!J128="","",'Marks Entry'!J128)</f>
        <v/>
      </c>
      <c r="J128" s="545" t="str">
        <f>IF('Marks Entry'!K128="","",'Marks Entry'!K128)</f>
        <v/>
      </c>
      <c r="K128" s="545" t="str">
        <f>IF('Marks Entry'!L128="","",'Marks Entry'!L128)</f>
        <v/>
      </c>
      <c r="L128" s="545" t="str">
        <f>IF('Marks Entry'!M128="","",'Marks Entry'!M128)</f>
        <v/>
      </c>
      <c r="M128" s="546" t="str">
        <f t="shared" si="230"/>
        <v/>
      </c>
      <c r="N128" s="545" t="str">
        <f>IF('Marks Entry'!N128="","",'Marks Entry'!N128)</f>
        <v/>
      </c>
      <c r="O128" s="546" t="str">
        <f t="shared" si="231"/>
        <v/>
      </c>
      <c r="P128" s="545" t="str">
        <f>IF('Marks Entry'!O128="","",'Marks Entry'!O128)</f>
        <v/>
      </c>
      <c r="Q128" s="547" t="str">
        <f t="shared" si="232"/>
        <v/>
      </c>
      <c r="R128" s="152">
        <f t="shared" si="233"/>
        <v>0</v>
      </c>
      <c r="S128" s="152">
        <f t="shared" si="234"/>
        <v>0</v>
      </c>
      <c r="T128" s="153" t="str">
        <f t="shared" si="235"/>
        <v/>
      </c>
      <c r="U128" s="152" t="str">
        <f t="shared" si="236"/>
        <v/>
      </c>
      <c r="V128" s="152" t="str">
        <f t="shared" si="237"/>
        <v/>
      </c>
      <c r="W128" s="152" t="str">
        <f t="shared" si="238"/>
        <v/>
      </c>
      <c r="X128" s="545" t="str">
        <f>IF('Marks Entry'!P128="","",'Marks Entry'!P128)</f>
        <v/>
      </c>
      <c r="Y128" s="545" t="str">
        <f>IF('Marks Entry'!Q128="","",'Marks Entry'!Q128)</f>
        <v/>
      </c>
      <c r="Z128" s="545" t="str">
        <f>IF('Marks Entry'!R128="","",'Marks Entry'!R128)</f>
        <v/>
      </c>
      <c r="AA128" s="546" t="str">
        <f t="shared" si="239"/>
        <v/>
      </c>
      <c r="AB128" s="545" t="str">
        <f>IF('Marks Entry'!S128="","",'Marks Entry'!S128)</f>
        <v/>
      </c>
      <c r="AC128" s="546" t="str">
        <f t="shared" si="240"/>
        <v/>
      </c>
      <c r="AD128" s="545" t="str">
        <f>IF('Marks Entry'!T128="","",'Marks Entry'!T128)</f>
        <v/>
      </c>
      <c r="AE128" s="547" t="str">
        <f t="shared" si="241"/>
        <v/>
      </c>
      <c r="AF128" s="152">
        <f t="shared" si="242"/>
        <v>0</v>
      </c>
      <c r="AG128" s="152">
        <f t="shared" si="243"/>
        <v>0</v>
      </c>
      <c r="AH128" s="153" t="str">
        <f t="shared" si="244"/>
        <v/>
      </c>
      <c r="AI128" s="152" t="str">
        <f t="shared" si="245"/>
        <v/>
      </c>
      <c r="AJ128" s="152" t="str">
        <f t="shared" si="246"/>
        <v/>
      </c>
      <c r="AK128" s="152" t="str">
        <f t="shared" si="247"/>
        <v/>
      </c>
      <c r="AL128" s="573" t="str">
        <f>IF('Marks Entry'!U128="","",'Marks Entry'!U128)</f>
        <v/>
      </c>
      <c r="AM128" s="573" t="str">
        <f>IF('Marks Entry'!V128="","",'Marks Entry'!V128)</f>
        <v/>
      </c>
      <c r="AN128" s="573" t="str">
        <f>IF('Marks Entry'!W128="","",'Marks Entry'!W128)</f>
        <v/>
      </c>
      <c r="AO128" s="573" t="str">
        <f>IF('Marks Entry'!X128="","",'Marks Entry'!X128)</f>
        <v/>
      </c>
      <c r="AP128" s="572" t="str">
        <f t="shared" si="248"/>
        <v/>
      </c>
      <c r="AQ128" s="573" t="str">
        <f>IF('Marks Entry'!Y128="","",'Marks Entry'!Y128)</f>
        <v/>
      </c>
      <c r="AR128" s="573" t="str">
        <f>IF('Marks Entry'!Z128="","",'Marks Entry'!Z128)</f>
        <v/>
      </c>
      <c r="AS128" s="572" t="str">
        <f t="shared" si="249"/>
        <v/>
      </c>
      <c r="AT128" s="572" t="str">
        <f t="shared" si="250"/>
        <v/>
      </c>
      <c r="AU128" s="573" t="str">
        <f>IF('Marks Entry'!AA128="","",'Marks Entry'!AA128)</f>
        <v/>
      </c>
      <c r="AV128" s="573" t="str">
        <f>IF('Marks Entry'!AB128="","",'Marks Entry'!AB128)</f>
        <v/>
      </c>
      <c r="AW128" s="572" t="str">
        <f t="shared" si="251"/>
        <v/>
      </c>
      <c r="AX128" s="156" t="str">
        <f t="shared" si="252"/>
        <v/>
      </c>
      <c r="AY128" s="156" t="str">
        <f t="shared" si="253"/>
        <v/>
      </c>
      <c r="AZ128" s="191" t="str">
        <f t="shared" si="254"/>
        <v/>
      </c>
      <c r="BA128" s="152">
        <f t="shared" si="255"/>
        <v>0</v>
      </c>
      <c r="BB128" s="153">
        <f t="shared" si="256"/>
        <v>0</v>
      </c>
      <c r="BC128" s="153" t="str">
        <f t="shared" si="257"/>
        <v/>
      </c>
      <c r="BD128" s="153" t="str">
        <f t="shared" si="258"/>
        <v/>
      </c>
      <c r="BE128" s="153" t="str">
        <f t="shared" si="259"/>
        <v/>
      </c>
      <c r="BF128" s="152" t="str">
        <f t="shared" si="260"/>
        <v/>
      </c>
      <c r="BG128" s="153" t="str">
        <f t="shared" si="261"/>
        <v/>
      </c>
      <c r="BH128" s="152" t="str">
        <f t="shared" si="262"/>
        <v/>
      </c>
      <c r="BI128" s="580" t="str">
        <f>IF('Marks Entry'!AC128="","",'Marks Entry'!AC128)</f>
        <v/>
      </c>
      <c r="BJ128" s="580" t="str">
        <f>IF('Marks Entry'!AD128="","",'Marks Entry'!AD128)</f>
        <v/>
      </c>
      <c r="BK128" s="580" t="str">
        <f>IF('Marks Entry'!AE128="","",'Marks Entry'!AE128)</f>
        <v/>
      </c>
      <c r="BL128" s="580" t="str">
        <f>IF('Marks Entry'!AF128="","",'Marks Entry'!AF128)</f>
        <v/>
      </c>
      <c r="BM128" s="581" t="str">
        <f t="shared" si="263"/>
        <v/>
      </c>
      <c r="BN128" s="580" t="str">
        <f>IF('Marks Entry'!AG128="","",'Marks Entry'!AG128)</f>
        <v/>
      </c>
      <c r="BO128" s="580" t="str">
        <f>IF('Marks Entry'!AH128="","",'Marks Entry'!AH128)</f>
        <v/>
      </c>
      <c r="BP128" s="581" t="str">
        <f t="shared" si="264"/>
        <v/>
      </c>
      <c r="BQ128" s="581" t="str">
        <f t="shared" si="265"/>
        <v/>
      </c>
      <c r="BR128" s="580" t="str">
        <f>IF('Marks Entry'!AI128="","",'Marks Entry'!AI128)</f>
        <v/>
      </c>
      <c r="BS128" s="580" t="str">
        <f>IF('Marks Entry'!AJ128="","",'Marks Entry'!AJ128)</f>
        <v/>
      </c>
      <c r="BT128" s="581" t="str">
        <f t="shared" si="266"/>
        <v/>
      </c>
      <c r="BU128" s="156" t="str">
        <f t="shared" si="267"/>
        <v/>
      </c>
      <c r="BV128" s="156" t="str">
        <f t="shared" si="268"/>
        <v/>
      </c>
      <c r="BW128" s="191" t="str">
        <f t="shared" si="269"/>
        <v/>
      </c>
      <c r="BX128" s="152">
        <f t="shared" si="270"/>
        <v>0</v>
      </c>
      <c r="BY128" s="153">
        <f t="shared" si="271"/>
        <v>0</v>
      </c>
      <c r="BZ128" s="153" t="str">
        <f t="shared" si="272"/>
        <v/>
      </c>
      <c r="CA128" s="153" t="str">
        <f t="shared" si="273"/>
        <v/>
      </c>
      <c r="CB128" s="153" t="str">
        <f t="shared" si="274"/>
        <v/>
      </c>
      <c r="CC128" s="152" t="str">
        <f t="shared" si="275"/>
        <v/>
      </c>
      <c r="CD128" s="153" t="str">
        <f t="shared" si="276"/>
        <v/>
      </c>
      <c r="CE128" s="152" t="str">
        <f t="shared" si="277"/>
        <v/>
      </c>
      <c r="CF128" s="580" t="str">
        <f>IF('Marks Entry'!AK128="","",'Marks Entry'!AK128)</f>
        <v/>
      </c>
      <c r="CG128" s="580" t="str">
        <f>IF('Marks Entry'!AL128="","",'Marks Entry'!AL128)</f>
        <v/>
      </c>
      <c r="CH128" s="580" t="str">
        <f>IF('Marks Entry'!AM128="","",'Marks Entry'!AM128)</f>
        <v/>
      </c>
      <c r="CI128" s="580" t="str">
        <f>IF('Marks Entry'!AN128="","",'Marks Entry'!AN128)</f>
        <v/>
      </c>
      <c r="CJ128" s="581" t="str">
        <f t="shared" si="278"/>
        <v/>
      </c>
      <c r="CK128" s="580" t="str">
        <f>IF('Marks Entry'!AO128="","",'Marks Entry'!AO128)</f>
        <v/>
      </c>
      <c r="CL128" s="580" t="str">
        <f>IF('Marks Entry'!AP128="","",'Marks Entry'!AP128)</f>
        <v/>
      </c>
      <c r="CM128" s="581" t="str">
        <f t="shared" si="279"/>
        <v/>
      </c>
      <c r="CN128" s="581" t="str">
        <f t="shared" si="280"/>
        <v/>
      </c>
      <c r="CO128" s="580" t="str">
        <f>IF('Marks Entry'!AQ128="","",'Marks Entry'!AQ128)</f>
        <v/>
      </c>
      <c r="CP128" s="580" t="str">
        <f>IF('Marks Entry'!AR128="","",'Marks Entry'!AR128)</f>
        <v/>
      </c>
      <c r="CQ128" s="581" t="str">
        <f t="shared" si="281"/>
        <v/>
      </c>
      <c r="CR128" s="156" t="str">
        <f t="shared" si="282"/>
        <v/>
      </c>
      <c r="CS128" s="156" t="str">
        <f t="shared" si="283"/>
        <v/>
      </c>
      <c r="CT128" s="191" t="str">
        <f t="shared" si="284"/>
        <v/>
      </c>
      <c r="CU128" s="152">
        <f t="shared" si="285"/>
        <v>0</v>
      </c>
      <c r="CV128" s="153">
        <f t="shared" si="286"/>
        <v>0</v>
      </c>
      <c r="CW128" s="153" t="str">
        <f t="shared" si="287"/>
        <v/>
      </c>
      <c r="CX128" s="153" t="str">
        <f t="shared" si="288"/>
        <v/>
      </c>
      <c r="CY128" s="153" t="str">
        <f t="shared" si="289"/>
        <v/>
      </c>
      <c r="CZ128" s="152" t="str">
        <f t="shared" si="290"/>
        <v/>
      </c>
      <c r="DA128" s="153" t="str">
        <f t="shared" si="291"/>
        <v/>
      </c>
      <c r="DB128" s="152" t="str">
        <f t="shared" si="292"/>
        <v/>
      </c>
      <c r="DC128" s="153">
        <f t="shared" si="293"/>
        <v>0</v>
      </c>
      <c r="DD128" s="851" t="str">
        <f>IF('Marks Entry'!AS128="","",IF(OR('Master Sheet'!$D$19="YES",'Marks Entry'!$BA$1=1),'Marks Entry'!AS128,""))</f>
        <v/>
      </c>
      <c r="DE128" s="851" t="str">
        <f>IF('Marks Entry'!AT128="","",IF(OR('Master Sheet'!$D$19="YES",'Marks Entry'!$BA$1=1),'Marks Entry'!AT128,""))</f>
        <v/>
      </c>
      <c r="DF128" s="851" t="str">
        <f>IF('Marks Entry'!AU128="","",IF(OR('Master Sheet'!$D$19="YES",'Marks Entry'!$BA$1=1),'Marks Entry'!AU128,""))</f>
        <v/>
      </c>
      <c r="DG128" s="851" t="str">
        <f>IF('Marks Entry'!AV128="","",IF(OR('Master Sheet'!$D$19="YES",'Marks Entry'!$BA$1=1),'Marks Entry'!AV128,""))</f>
        <v/>
      </c>
      <c r="DH128" s="852" t="str">
        <f t="shared" si="294"/>
        <v/>
      </c>
      <c r="DI128" s="851" t="str">
        <f>IF('Marks Entry'!AW128="","",IF(OR('Master Sheet'!$D$19="YES",'Marks Entry'!$BA$1=1),'Marks Entry'!AW128,""))</f>
        <v/>
      </c>
      <c r="DJ128" s="851" t="str">
        <f>IF('Marks Entry'!AX128="","",IF(OR('Master Sheet'!$D$19="YES",'Marks Entry'!$BA$1=1),'Marks Entry'!AX128,""))</f>
        <v/>
      </c>
      <c r="DK128" s="852" t="str">
        <f t="shared" si="295"/>
        <v/>
      </c>
      <c r="DL128" s="852" t="str">
        <f t="shared" si="296"/>
        <v/>
      </c>
      <c r="DM128" s="851" t="str">
        <f>IF('Marks Entry'!AY128="","",IF(OR('Master Sheet'!$D$19="YES",'Marks Entry'!$BA$1=1),'Marks Entry'!AY128,""))</f>
        <v/>
      </c>
      <c r="DN128" s="851" t="str">
        <f>IF('Marks Entry'!AZ128="","",IF(OR('Master Sheet'!$D$19="YES",'Marks Entry'!$BA$1=1),'Marks Entry'!AZ128,""))</f>
        <v/>
      </c>
      <c r="DO128" s="851" t="str">
        <f>IF('Marks Entry'!BA128="","",IF(OR('Master Sheet'!$D$19="YES",'Marks Entry'!$BA$1=1),'Marks Entry'!BA128,""))</f>
        <v/>
      </c>
      <c r="DP128" s="852" t="str">
        <f t="shared" si="297"/>
        <v/>
      </c>
      <c r="DQ128" s="156" t="str">
        <f t="shared" si="298"/>
        <v/>
      </c>
      <c r="DR128" s="156" t="str">
        <f t="shared" si="299"/>
        <v/>
      </c>
      <c r="DS128" s="156" t="str">
        <f t="shared" si="300"/>
        <v/>
      </c>
      <c r="DT128" s="191" t="str">
        <f t="shared" si="301"/>
        <v/>
      </c>
      <c r="DU128" s="152">
        <f t="shared" si="302"/>
        <v>0</v>
      </c>
      <c r="DV128" s="153">
        <f t="shared" si="303"/>
        <v>0</v>
      </c>
      <c r="DW128" s="153" t="str">
        <f t="shared" si="304"/>
        <v/>
      </c>
      <c r="DX128" s="153" t="str">
        <f>IF(OR($B128="NSO",$B128=0,DS128=""),"",IF(AND(DJ128="",DO128=""),"",IF('Master Sheet'!$D$19="YES",$DO$6-COUNTIF(DO128,"ML")*DO$6,DS$6-(COUNTIF(DJ128,"ML")*DJ$6)-(COUNTIF(DO128,"ML")*DO$6))))</f>
        <v/>
      </c>
      <c r="DY128" s="153" t="str">
        <f>IF(OR($B128="NSO",$B128=0),"",IF(AND(DH128="",DI128="",DM128=""),"",IF(AND('Master Sheet'!$D$19="YES",'Marks Entry'!$BA$1=1),100,IF(AND(DJ128="",DO128=""),SUM(($DQ$7+$DR$7)-(DU128+DV128)),SUM(($DQ$6+$DR$6)-(DU128+DV128))))))</f>
        <v/>
      </c>
      <c r="DZ128" s="152" t="str">
        <f t="shared" si="305"/>
        <v/>
      </c>
      <c r="EA128" s="153" t="str">
        <f t="shared" si="306"/>
        <v/>
      </c>
      <c r="EB128" s="152" t="str">
        <f t="shared" si="307"/>
        <v/>
      </c>
      <c r="EC128" s="584" t="str">
        <f>IF('Marks Entry'!BB128="","",'Marks Entry'!BB128)</f>
        <v/>
      </c>
      <c r="ED128" s="584" t="str">
        <f>IF('Marks Entry'!BC128="","",'Marks Entry'!BC128)</f>
        <v/>
      </c>
      <c r="EE128" s="584" t="str">
        <f>IF('Marks Entry'!BD128="","",'Marks Entry'!BD128)</f>
        <v/>
      </c>
      <c r="EF128" s="590" t="str">
        <f t="shared" si="308"/>
        <v/>
      </c>
      <c r="EG128" s="595">
        <f t="shared" si="309"/>
        <v>0</v>
      </c>
      <c r="EH128" s="595">
        <f t="shared" si="310"/>
        <v>0</v>
      </c>
      <c r="EI128" s="192" t="str">
        <f t="shared" si="311"/>
        <v/>
      </c>
      <c r="EJ128" s="595" t="str">
        <f t="shared" si="312"/>
        <v/>
      </c>
      <c r="EK128" s="595" t="str">
        <f t="shared" si="313"/>
        <v/>
      </c>
      <c r="EL128" s="193" t="str">
        <f t="shared" si="314"/>
        <v/>
      </c>
      <c r="EM128" s="193" t="str">
        <f t="shared" si="315"/>
        <v/>
      </c>
      <c r="EN128" s="193" t="str">
        <f t="shared" si="316"/>
        <v/>
      </c>
      <c r="EO128" s="193" t="str">
        <f t="shared" si="317"/>
        <v/>
      </c>
      <c r="EP128" s="193" t="str">
        <f t="shared" si="318"/>
        <v/>
      </c>
      <c r="EQ128" s="193" t="str">
        <f t="shared" si="319"/>
        <v/>
      </c>
      <c r="ER128" s="194">
        <f t="shared" si="320"/>
        <v>0</v>
      </c>
      <c r="ES128" s="194">
        <f t="shared" si="321"/>
        <v>0</v>
      </c>
      <c r="ET128" s="194">
        <f t="shared" si="322"/>
        <v>0</v>
      </c>
      <c r="EU128" s="194">
        <f t="shared" si="323"/>
        <v>0</v>
      </c>
      <c r="EV128" s="194">
        <f t="shared" si="324"/>
        <v>0</v>
      </c>
      <c r="EW128" s="194" t="str">
        <f t="shared" si="325"/>
        <v/>
      </c>
      <c r="EX128" s="195" t="str">
        <f t="shared" si="326"/>
        <v/>
      </c>
      <c r="EY128" s="196" t="str">
        <f>IF('Marks Entry'!BE128="","",'Marks Entry'!BE128)</f>
        <v/>
      </c>
      <c r="EZ128" s="196" t="str">
        <f>IF('Marks Entry'!BF128="","",'Marks Entry'!BF128)</f>
        <v/>
      </c>
      <c r="FA128" s="196" t="str">
        <f>IF('Marks Entry'!BG128="","",'Marks Entry'!BG128)</f>
        <v/>
      </c>
      <c r="FB128" s="596" t="str">
        <f t="shared" si="327"/>
        <v/>
      </c>
      <c r="FC128" s="196" t="str">
        <f>IF('Marks Entry'!BH128="","",'Marks Entry'!BH128)</f>
        <v/>
      </c>
      <c r="FD128" s="196" t="str">
        <f>IF('Marks Entry'!BI128="","",'Marks Entry'!BI128)</f>
        <v/>
      </c>
      <c r="FE128" s="197" t="str">
        <f t="shared" si="328"/>
        <v/>
      </c>
      <c r="FF128" s="198" t="str">
        <f t="shared" si="329"/>
        <v/>
      </c>
      <c r="FG128" s="199" t="str">
        <f>IF(AND(E128=""),"",IF('Student DATA Entry'!L124="","",'Student DATA Entry'!L124))</f>
        <v/>
      </c>
      <c r="FH128" s="200" t="str">
        <f>IF(AND(E128=""),"",IF('Student DATA Entry'!M124="","",'Student DATA Entry'!M124))</f>
        <v/>
      </c>
      <c r="FI128" s="201" t="str">
        <f t="shared" si="330"/>
        <v/>
      </c>
      <c r="FJ128" s="188" t="str">
        <f t="shared" si="331"/>
        <v/>
      </c>
      <c r="FK128" s="188" t="str">
        <f t="shared" si="332"/>
        <v/>
      </c>
      <c r="FL128" s="202" t="str">
        <f t="shared" si="360"/>
        <v/>
      </c>
      <c r="FM128" s="188" t="str">
        <f t="shared" si="333"/>
        <v/>
      </c>
      <c r="FN128" s="203" t="str">
        <f t="shared" si="334"/>
        <v/>
      </c>
      <c r="FO128" s="202" t="str">
        <f t="shared" si="361"/>
        <v/>
      </c>
      <c r="FP128" s="204" t="str">
        <f t="shared" si="335"/>
        <v/>
      </c>
      <c r="FQ128" s="188" t="str">
        <f t="shared" si="362"/>
        <v/>
      </c>
      <c r="FR128" s="188" t="str">
        <f t="shared" si="363"/>
        <v/>
      </c>
      <c r="FS128" s="188" t="str">
        <f t="shared" si="364"/>
        <v/>
      </c>
      <c r="FT128" s="188" t="str">
        <f t="shared" si="365"/>
        <v/>
      </c>
      <c r="FU128" s="188" t="str">
        <f t="shared" si="336"/>
        <v/>
      </c>
      <c r="FV128" s="205" t="str">
        <f t="shared" si="366"/>
        <v/>
      </c>
      <c r="FW128" s="204" t="str">
        <f t="shared" si="337"/>
        <v/>
      </c>
      <c r="FX128" s="188" t="str">
        <f t="shared" si="367"/>
        <v/>
      </c>
      <c r="FY128" s="188" t="str">
        <f t="shared" si="368"/>
        <v/>
      </c>
      <c r="FZ128" s="188" t="str">
        <f t="shared" si="369"/>
        <v/>
      </c>
      <c r="GA128" s="188" t="str">
        <f t="shared" si="370"/>
        <v/>
      </c>
      <c r="GB128" s="188" t="str">
        <f t="shared" si="338"/>
        <v/>
      </c>
      <c r="GC128" s="205" t="str">
        <f t="shared" si="371"/>
        <v/>
      </c>
      <c r="GD128" s="204" t="str">
        <f t="shared" si="339"/>
        <v/>
      </c>
      <c r="GE128" s="188" t="str">
        <f t="shared" si="372"/>
        <v/>
      </c>
      <c r="GF128" s="188" t="str">
        <f t="shared" si="373"/>
        <v/>
      </c>
      <c r="GG128" s="188" t="str">
        <f t="shared" si="374"/>
        <v/>
      </c>
      <c r="GH128" s="188" t="str">
        <f t="shared" si="375"/>
        <v/>
      </c>
      <c r="GI128" s="188" t="str">
        <f t="shared" si="340"/>
        <v/>
      </c>
      <c r="GJ128" s="205" t="str">
        <f t="shared" si="376"/>
        <v/>
      </c>
      <c r="GK128" s="204" t="str">
        <f t="shared" si="341"/>
        <v/>
      </c>
      <c r="GL128" s="188" t="str">
        <f t="shared" si="377"/>
        <v/>
      </c>
      <c r="GM128" s="188" t="str">
        <f t="shared" si="378"/>
        <v/>
      </c>
      <c r="GN128" s="188" t="str">
        <f t="shared" si="379"/>
        <v/>
      </c>
      <c r="GO128" s="188" t="str">
        <f t="shared" si="380"/>
        <v/>
      </c>
      <c r="GP128" s="188" t="str">
        <f t="shared" si="342"/>
        <v/>
      </c>
      <c r="GQ128" s="205" t="str">
        <f t="shared" si="381"/>
        <v/>
      </c>
      <c r="GR128" s="188" t="str">
        <f t="shared" si="343"/>
        <v/>
      </c>
      <c r="GS128" s="188" t="str">
        <f t="shared" si="344"/>
        <v/>
      </c>
      <c r="GT128" s="206" t="str">
        <f t="shared" si="345"/>
        <v xml:space="preserve">    </v>
      </c>
      <c r="GU128" s="206" t="str">
        <f t="shared" si="346"/>
        <v xml:space="preserve">    </v>
      </c>
      <c r="GV128" s="206" t="str">
        <f t="shared" si="347"/>
        <v xml:space="preserve">    </v>
      </c>
      <c r="GW128" s="206" t="str">
        <f t="shared" si="348"/>
        <v xml:space="preserve">       </v>
      </c>
      <c r="GX128" s="598" t="str">
        <f t="shared" si="349"/>
        <v xml:space="preserve">     </v>
      </c>
      <c r="GY128" s="207" t="str">
        <f t="shared" si="382"/>
        <v/>
      </c>
      <c r="GZ128" s="606" t="str">
        <f>IF(AND(Q128="",AE128="",AZ128="",BW128="",CT128=""),"",IF(AND('Master Sheet'!$D$19="YES",'Marks Entry'!$BA$1=1),SUM(Q128,AE128,AZ128,BW128,DT128),SUM(Q128,AE128,AZ128,BW128,CT128)))</f>
        <v/>
      </c>
      <c r="HA128" s="208" t="str">
        <f>IF(GZ128="","",IF(AND('Master Sheet'!$D$19="YES",'Marks Entry'!$BA$1=1),GZ128/((900)-DC128)*100,GZ128/((1000)-DC128)*100))</f>
        <v/>
      </c>
      <c r="HB128" s="611" t="str">
        <f t="shared" si="350"/>
        <v/>
      </c>
      <c r="HC128" s="609" t="str">
        <f t="shared" si="351"/>
        <v/>
      </c>
      <c r="HD128" s="610" t="str">
        <f t="shared" si="352"/>
        <v/>
      </c>
      <c r="HE128" s="209" t="str">
        <f>IFERROR(IF(OR(GY128="SUPPLEMENTARY",GY128="RE-EXAM"),'Supp. Result Entry'!AS127,""),"")</f>
        <v/>
      </c>
      <c r="HF128" s="613" t="str">
        <f t="shared" si="353"/>
        <v/>
      </c>
      <c r="HG128" s="598" t="str">
        <f t="shared" si="354"/>
        <v/>
      </c>
      <c r="HH128" s="598" t="str">
        <f>IF(AND(HE128="",HF128="",HG128=""),"",IF(OR(GY128="SUPPLEMENTARY",GY128="RE-EXAM"),'Supp. Result Entry'!AS127,GY128))</f>
        <v/>
      </c>
      <c r="HI128" s="179"/>
      <c r="HY128" s="211" t="str">
        <f>IF('Supp. Result Entry'!U127="","",'Supp. Result Entry'!$U$6)</f>
        <v/>
      </c>
      <c r="HZ128" s="212" t="str">
        <f>IF('Supp. Result Entry'!X127="","",'Supp. Result Entry'!$X$6)</f>
        <v/>
      </c>
      <c r="IA128" s="212" t="str">
        <f>IF('Supp. Result Entry'!AA127="","",'Supp. Result Entry'!$AA$6)</f>
        <v/>
      </c>
      <c r="IB128" s="212" t="str">
        <f>IF('Supp. Result Entry'!AD127="","",'Supp. Result Entry'!$AD$6)</f>
        <v/>
      </c>
      <c r="IC128" s="212" t="str">
        <f>IF('Supp. Result Entry'!AG127="","",'Supp. Result Entry'!$AG$6)</f>
        <v/>
      </c>
      <c r="ID128" s="212" t="str">
        <f>IF('Supp. Result Entry'!AJ127="","",'Supp. Result Entry'!$AJ$6)</f>
        <v/>
      </c>
      <c r="IE128" s="212" t="str">
        <f>IF('Supp. Result Entry'!V127="","",'Supp. Result Entry'!V127)</f>
        <v/>
      </c>
      <c r="IF128" s="212" t="str">
        <f>IF('Supp. Result Entry'!Y127="","",'Supp. Result Entry'!Y127)</f>
        <v/>
      </c>
      <c r="IG128" s="212" t="str">
        <f>IF('Supp. Result Entry'!AB127="","",'Supp. Result Entry'!AB127)</f>
        <v/>
      </c>
      <c r="IH128" s="212" t="str">
        <f>IF('Supp. Result Entry'!AE127="","",'Supp. Result Entry'!AE127)</f>
        <v/>
      </c>
      <c r="II128" s="212" t="str">
        <f>IF('Supp. Result Entry'!AH127="","",'Supp. Result Entry'!AH127)</f>
        <v/>
      </c>
      <c r="IJ128" s="212" t="str">
        <f>IF('Supp. Result Entry'!AK127="","",'Supp. Result Entry'!AK127)</f>
        <v/>
      </c>
      <c r="IK128" s="212" t="str">
        <f>IF('Supp. Result Entry'!W127="","",'Supp. Result Entry'!W127)</f>
        <v/>
      </c>
      <c r="IL128" s="212" t="str">
        <f>IF('Supp. Result Entry'!Z127="","",'Supp. Result Entry'!Z127)</f>
        <v/>
      </c>
      <c r="IM128" s="212" t="str">
        <f>IF('Supp. Result Entry'!AC127="","",'Supp. Result Entry'!AC127)</f>
        <v/>
      </c>
      <c r="IN128" s="212" t="str">
        <f>IF('Supp. Result Entry'!AF127="","",'Supp. Result Entry'!AF127)</f>
        <v/>
      </c>
      <c r="IO128" s="212" t="str">
        <f>IF('Supp. Result Entry'!AI127="","",'Supp. Result Entry'!AI127)</f>
        <v/>
      </c>
      <c r="IP128" s="212" t="str">
        <f>IF('Supp. Result Entry'!AL127="","",'Supp. Result Entry'!AL127)</f>
        <v/>
      </c>
      <c r="IQ128" s="212">
        <f>COUNTIF('Supp. Result Entry'!K127:Q127,"S")</f>
        <v>0</v>
      </c>
      <c r="IR128" s="212">
        <f t="shared" si="355"/>
        <v>0</v>
      </c>
      <c r="IS128" s="212">
        <f t="shared" si="356"/>
        <v>0</v>
      </c>
      <c r="IT128" s="212" t="str">
        <f t="shared" si="224"/>
        <v/>
      </c>
      <c r="IU128" s="212" t="str">
        <f t="shared" si="225"/>
        <v/>
      </c>
      <c r="IV128" s="212" t="str">
        <f t="shared" si="226"/>
        <v/>
      </c>
      <c r="IW128" s="212" t="str">
        <f t="shared" si="227"/>
        <v/>
      </c>
      <c r="IX128" s="212" t="str">
        <f t="shared" si="228"/>
        <v/>
      </c>
      <c r="IY128" s="212" t="str">
        <f t="shared" si="357"/>
        <v/>
      </c>
      <c r="IZ128" s="212" t="str">
        <f t="shared" si="358"/>
        <v/>
      </c>
      <c r="JA128" s="212" t="str">
        <f t="shared" si="229"/>
        <v/>
      </c>
      <c r="JB128" s="210" t="str">
        <f t="shared" si="359"/>
        <v/>
      </c>
    </row>
    <row r="129" spans="1:262" s="210" customFormat="1" ht="21" customHeight="1">
      <c r="A129" s="183">
        <v>122</v>
      </c>
      <c r="B129" s="184" t="str">
        <f>IF('Marks Entry'!B129="","",'Marks Entry'!B129)</f>
        <v/>
      </c>
      <c r="C129" s="185" t="str">
        <f>IF('Marks Entry'!D129="","",'Marks Entry'!D129)</f>
        <v/>
      </c>
      <c r="D129" s="186" t="str">
        <f>IF('Marks Entry'!E129="","",'Marks Entry'!E129)</f>
        <v/>
      </c>
      <c r="E129" s="187" t="str">
        <f>IF('Marks Entry'!F129="","",'Marks Entry'!F129)</f>
        <v/>
      </c>
      <c r="F129" s="187" t="str">
        <f>IF('Marks Entry'!G129="","",'Marks Entry'!G129)</f>
        <v/>
      </c>
      <c r="G129" s="187" t="str">
        <f>IF('Marks Entry'!H129="","",'Marks Entry'!H129)</f>
        <v/>
      </c>
      <c r="H129" s="188" t="str">
        <f>IF('Marks Entry'!I129="","",'Marks Entry'!I129)</f>
        <v/>
      </c>
      <c r="I129" s="189" t="str">
        <f>IF('Marks Entry'!J129="","",'Marks Entry'!J129)</f>
        <v/>
      </c>
      <c r="J129" s="545" t="str">
        <f>IF('Marks Entry'!K129="","",'Marks Entry'!K129)</f>
        <v/>
      </c>
      <c r="K129" s="545" t="str">
        <f>IF('Marks Entry'!L129="","",'Marks Entry'!L129)</f>
        <v/>
      </c>
      <c r="L129" s="545" t="str">
        <f>IF('Marks Entry'!M129="","",'Marks Entry'!M129)</f>
        <v/>
      </c>
      <c r="M129" s="546" t="str">
        <f t="shared" si="230"/>
        <v/>
      </c>
      <c r="N129" s="545" t="str">
        <f>IF('Marks Entry'!N129="","",'Marks Entry'!N129)</f>
        <v/>
      </c>
      <c r="O129" s="546" t="str">
        <f t="shared" si="231"/>
        <v/>
      </c>
      <c r="P129" s="545" t="str">
        <f>IF('Marks Entry'!O129="","",'Marks Entry'!O129)</f>
        <v/>
      </c>
      <c r="Q129" s="547" t="str">
        <f t="shared" si="232"/>
        <v/>
      </c>
      <c r="R129" s="152">
        <f t="shared" si="233"/>
        <v>0</v>
      </c>
      <c r="S129" s="152">
        <f t="shared" si="234"/>
        <v>0</v>
      </c>
      <c r="T129" s="153" t="str">
        <f t="shared" si="235"/>
        <v/>
      </c>
      <c r="U129" s="152" t="str">
        <f t="shared" si="236"/>
        <v/>
      </c>
      <c r="V129" s="152" t="str">
        <f t="shared" si="237"/>
        <v/>
      </c>
      <c r="W129" s="152" t="str">
        <f t="shared" si="238"/>
        <v/>
      </c>
      <c r="X129" s="545" t="str">
        <f>IF('Marks Entry'!P129="","",'Marks Entry'!P129)</f>
        <v/>
      </c>
      <c r="Y129" s="545" t="str">
        <f>IF('Marks Entry'!Q129="","",'Marks Entry'!Q129)</f>
        <v/>
      </c>
      <c r="Z129" s="545" t="str">
        <f>IF('Marks Entry'!R129="","",'Marks Entry'!R129)</f>
        <v/>
      </c>
      <c r="AA129" s="546" t="str">
        <f t="shared" si="239"/>
        <v/>
      </c>
      <c r="AB129" s="545" t="str">
        <f>IF('Marks Entry'!S129="","",'Marks Entry'!S129)</f>
        <v/>
      </c>
      <c r="AC129" s="546" t="str">
        <f t="shared" si="240"/>
        <v/>
      </c>
      <c r="AD129" s="545" t="str">
        <f>IF('Marks Entry'!T129="","",'Marks Entry'!T129)</f>
        <v/>
      </c>
      <c r="AE129" s="547" t="str">
        <f t="shared" si="241"/>
        <v/>
      </c>
      <c r="AF129" s="152">
        <f t="shared" si="242"/>
        <v>0</v>
      </c>
      <c r="AG129" s="152">
        <f t="shared" si="243"/>
        <v>0</v>
      </c>
      <c r="AH129" s="153" t="str">
        <f t="shared" si="244"/>
        <v/>
      </c>
      <c r="AI129" s="152" t="str">
        <f t="shared" si="245"/>
        <v/>
      </c>
      <c r="AJ129" s="152" t="str">
        <f t="shared" si="246"/>
        <v/>
      </c>
      <c r="AK129" s="152" t="str">
        <f t="shared" si="247"/>
        <v/>
      </c>
      <c r="AL129" s="573" t="str">
        <f>IF('Marks Entry'!U129="","",'Marks Entry'!U129)</f>
        <v/>
      </c>
      <c r="AM129" s="573" t="str">
        <f>IF('Marks Entry'!V129="","",'Marks Entry'!V129)</f>
        <v/>
      </c>
      <c r="AN129" s="573" t="str">
        <f>IF('Marks Entry'!W129="","",'Marks Entry'!W129)</f>
        <v/>
      </c>
      <c r="AO129" s="573" t="str">
        <f>IF('Marks Entry'!X129="","",'Marks Entry'!X129)</f>
        <v/>
      </c>
      <c r="AP129" s="572" t="str">
        <f t="shared" si="248"/>
        <v/>
      </c>
      <c r="AQ129" s="573" t="str">
        <f>IF('Marks Entry'!Y129="","",'Marks Entry'!Y129)</f>
        <v/>
      </c>
      <c r="AR129" s="573" t="str">
        <f>IF('Marks Entry'!Z129="","",'Marks Entry'!Z129)</f>
        <v/>
      </c>
      <c r="AS129" s="572" t="str">
        <f t="shared" si="249"/>
        <v/>
      </c>
      <c r="AT129" s="572" t="str">
        <f t="shared" si="250"/>
        <v/>
      </c>
      <c r="AU129" s="573" t="str">
        <f>IF('Marks Entry'!AA129="","",'Marks Entry'!AA129)</f>
        <v/>
      </c>
      <c r="AV129" s="573" t="str">
        <f>IF('Marks Entry'!AB129="","",'Marks Entry'!AB129)</f>
        <v/>
      </c>
      <c r="AW129" s="572" t="str">
        <f t="shared" si="251"/>
        <v/>
      </c>
      <c r="AX129" s="156" t="str">
        <f t="shared" si="252"/>
        <v/>
      </c>
      <c r="AY129" s="156" t="str">
        <f t="shared" si="253"/>
        <v/>
      </c>
      <c r="AZ129" s="191" t="str">
        <f t="shared" si="254"/>
        <v/>
      </c>
      <c r="BA129" s="152">
        <f t="shared" si="255"/>
        <v>0</v>
      </c>
      <c r="BB129" s="153">
        <f t="shared" si="256"/>
        <v>0</v>
      </c>
      <c r="BC129" s="153" t="str">
        <f t="shared" si="257"/>
        <v/>
      </c>
      <c r="BD129" s="153" t="str">
        <f t="shared" si="258"/>
        <v/>
      </c>
      <c r="BE129" s="153" t="str">
        <f t="shared" si="259"/>
        <v/>
      </c>
      <c r="BF129" s="152" t="str">
        <f t="shared" si="260"/>
        <v/>
      </c>
      <c r="BG129" s="153" t="str">
        <f t="shared" si="261"/>
        <v/>
      </c>
      <c r="BH129" s="152" t="str">
        <f t="shared" si="262"/>
        <v/>
      </c>
      <c r="BI129" s="580" t="str">
        <f>IF('Marks Entry'!AC129="","",'Marks Entry'!AC129)</f>
        <v/>
      </c>
      <c r="BJ129" s="580" t="str">
        <f>IF('Marks Entry'!AD129="","",'Marks Entry'!AD129)</f>
        <v/>
      </c>
      <c r="BK129" s="580" t="str">
        <f>IF('Marks Entry'!AE129="","",'Marks Entry'!AE129)</f>
        <v/>
      </c>
      <c r="BL129" s="580" t="str">
        <f>IF('Marks Entry'!AF129="","",'Marks Entry'!AF129)</f>
        <v/>
      </c>
      <c r="BM129" s="581" t="str">
        <f t="shared" si="263"/>
        <v/>
      </c>
      <c r="BN129" s="580" t="str">
        <f>IF('Marks Entry'!AG129="","",'Marks Entry'!AG129)</f>
        <v/>
      </c>
      <c r="BO129" s="580" t="str">
        <f>IF('Marks Entry'!AH129="","",'Marks Entry'!AH129)</f>
        <v/>
      </c>
      <c r="BP129" s="581" t="str">
        <f t="shared" si="264"/>
        <v/>
      </c>
      <c r="BQ129" s="581" t="str">
        <f t="shared" si="265"/>
        <v/>
      </c>
      <c r="BR129" s="580" t="str">
        <f>IF('Marks Entry'!AI129="","",'Marks Entry'!AI129)</f>
        <v/>
      </c>
      <c r="BS129" s="580" t="str">
        <f>IF('Marks Entry'!AJ129="","",'Marks Entry'!AJ129)</f>
        <v/>
      </c>
      <c r="BT129" s="581" t="str">
        <f t="shared" si="266"/>
        <v/>
      </c>
      <c r="BU129" s="156" t="str">
        <f t="shared" si="267"/>
        <v/>
      </c>
      <c r="BV129" s="156" t="str">
        <f t="shared" si="268"/>
        <v/>
      </c>
      <c r="BW129" s="191" t="str">
        <f t="shared" si="269"/>
        <v/>
      </c>
      <c r="BX129" s="152">
        <f t="shared" si="270"/>
        <v>0</v>
      </c>
      <c r="BY129" s="153">
        <f t="shared" si="271"/>
        <v>0</v>
      </c>
      <c r="BZ129" s="153" t="str">
        <f t="shared" si="272"/>
        <v/>
      </c>
      <c r="CA129" s="153" t="str">
        <f t="shared" si="273"/>
        <v/>
      </c>
      <c r="CB129" s="153" t="str">
        <f t="shared" si="274"/>
        <v/>
      </c>
      <c r="CC129" s="152" t="str">
        <f t="shared" si="275"/>
        <v/>
      </c>
      <c r="CD129" s="153" t="str">
        <f t="shared" si="276"/>
        <v/>
      </c>
      <c r="CE129" s="152" t="str">
        <f t="shared" si="277"/>
        <v/>
      </c>
      <c r="CF129" s="580" t="str">
        <f>IF('Marks Entry'!AK129="","",'Marks Entry'!AK129)</f>
        <v/>
      </c>
      <c r="CG129" s="580" t="str">
        <f>IF('Marks Entry'!AL129="","",'Marks Entry'!AL129)</f>
        <v/>
      </c>
      <c r="CH129" s="580" t="str">
        <f>IF('Marks Entry'!AM129="","",'Marks Entry'!AM129)</f>
        <v/>
      </c>
      <c r="CI129" s="580" t="str">
        <f>IF('Marks Entry'!AN129="","",'Marks Entry'!AN129)</f>
        <v/>
      </c>
      <c r="CJ129" s="581" t="str">
        <f t="shared" si="278"/>
        <v/>
      </c>
      <c r="CK129" s="580" t="str">
        <f>IF('Marks Entry'!AO129="","",'Marks Entry'!AO129)</f>
        <v/>
      </c>
      <c r="CL129" s="580" t="str">
        <f>IF('Marks Entry'!AP129="","",'Marks Entry'!AP129)</f>
        <v/>
      </c>
      <c r="CM129" s="581" t="str">
        <f t="shared" si="279"/>
        <v/>
      </c>
      <c r="CN129" s="581" t="str">
        <f t="shared" si="280"/>
        <v/>
      </c>
      <c r="CO129" s="580" t="str">
        <f>IF('Marks Entry'!AQ129="","",'Marks Entry'!AQ129)</f>
        <v/>
      </c>
      <c r="CP129" s="580" t="str">
        <f>IF('Marks Entry'!AR129="","",'Marks Entry'!AR129)</f>
        <v/>
      </c>
      <c r="CQ129" s="581" t="str">
        <f t="shared" si="281"/>
        <v/>
      </c>
      <c r="CR129" s="156" t="str">
        <f t="shared" si="282"/>
        <v/>
      </c>
      <c r="CS129" s="156" t="str">
        <f t="shared" si="283"/>
        <v/>
      </c>
      <c r="CT129" s="191" t="str">
        <f t="shared" si="284"/>
        <v/>
      </c>
      <c r="CU129" s="152">
        <f t="shared" si="285"/>
        <v>0</v>
      </c>
      <c r="CV129" s="153">
        <f t="shared" si="286"/>
        <v>0</v>
      </c>
      <c r="CW129" s="153" t="str">
        <f t="shared" si="287"/>
        <v/>
      </c>
      <c r="CX129" s="153" t="str">
        <f t="shared" si="288"/>
        <v/>
      </c>
      <c r="CY129" s="153" t="str">
        <f t="shared" si="289"/>
        <v/>
      </c>
      <c r="CZ129" s="152" t="str">
        <f t="shared" si="290"/>
        <v/>
      </c>
      <c r="DA129" s="153" t="str">
        <f t="shared" si="291"/>
        <v/>
      </c>
      <c r="DB129" s="152" t="str">
        <f t="shared" si="292"/>
        <v/>
      </c>
      <c r="DC129" s="153">
        <f t="shared" si="293"/>
        <v>0</v>
      </c>
      <c r="DD129" s="851" t="str">
        <f>IF('Marks Entry'!AS129="","",IF(OR('Master Sheet'!$D$19="YES",'Marks Entry'!$BA$1=1),'Marks Entry'!AS129,""))</f>
        <v/>
      </c>
      <c r="DE129" s="851" t="str">
        <f>IF('Marks Entry'!AT129="","",IF(OR('Master Sheet'!$D$19="YES",'Marks Entry'!$BA$1=1),'Marks Entry'!AT129,""))</f>
        <v/>
      </c>
      <c r="DF129" s="851" t="str">
        <f>IF('Marks Entry'!AU129="","",IF(OR('Master Sheet'!$D$19="YES",'Marks Entry'!$BA$1=1),'Marks Entry'!AU129,""))</f>
        <v/>
      </c>
      <c r="DG129" s="851" t="str">
        <f>IF('Marks Entry'!AV129="","",IF(OR('Master Sheet'!$D$19="YES",'Marks Entry'!$BA$1=1),'Marks Entry'!AV129,""))</f>
        <v/>
      </c>
      <c r="DH129" s="852" t="str">
        <f t="shared" si="294"/>
        <v/>
      </c>
      <c r="DI129" s="851" t="str">
        <f>IF('Marks Entry'!AW129="","",IF(OR('Master Sheet'!$D$19="YES",'Marks Entry'!$BA$1=1),'Marks Entry'!AW129,""))</f>
        <v/>
      </c>
      <c r="DJ129" s="851" t="str">
        <f>IF('Marks Entry'!AX129="","",IF(OR('Master Sheet'!$D$19="YES",'Marks Entry'!$BA$1=1),'Marks Entry'!AX129,""))</f>
        <v/>
      </c>
      <c r="DK129" s="852" t="str">
        <f t="shared" si="295"/>
        <v/>
      </c>
      <c r="DL129" s="852" t="str">
        <f t="shared" si="296"/>
        <v/>
      </c>
      <c r="DM129" s="851" t="str">
        <f>IF('Marks Entry'!AY129="","",IF(OR('Master Sheet'!$D$19="YES",'Marks Entry'!$BA$1=1),'Marks Entry'!AY129,""))</f>
        <v/>
      </c>
      <c r="DN129" s="851" t="str">
        <f>IF('Marks Entry'!AZ129="","",IF(OR('Master Sheet'!$D$19="YES",'Marks Entry'!$BA$1=1),'Marks Entry'!AZ129,""))</f>
        <v/>
      </c>
      <c r="DO129" s="851" t="str">
        <f>IF('Marks Entry'!BA129="","",IF(OR('Master Sheet'!$D$19="YES",'Marks Entry'!$BA$1=1),'Marks Entry'!BA129,""))</f>
        <v/>
      </c>
      <c r="DP129" s="852" t="str">
        <f t="shared" si="297"/>
        <v/>
      </c>
      <c r="DQ129" s="156" t="str">
        <f t="shared" si="298"/>
        <v/>
      </c>
      <c r="DR129" s="156" t="str">
        <f t="shared" si="299"/>
        <v/>
      </c>
      <c r="DS129" s="156" t="str">
        <f t="shared" si="300"/>
        <v/>
      </c>
      <c r="DT129" s="191" t="str">
        <f t="shared" si="301"/>
        <v/>
      </c>
      <c r="DU129" s="152">
        <f t="shared" si="302"/>
        <v>0</v>
      </c>
      <c r="DV129" s="153">
        <f t="shared" si="303"/>
        <v>0</v>
      </c>
      <c r="DW129" s="153" t="str">
        <f t="shared" si="304"/>
        <v/>
      </c>
      <c r="DX129" s="153" t="str">
        <f>IF(OR($B129="NSO",$B129=0,DS129=""),"",IF(AND(DJ129="",DO129=""),"",IF('Master Sheet'!$D$19="YES",$DO$6-COUNTIF(DO129,"ML")*DO$6,DS$6-(COUNTIF(DJ129,"ML")*DJ$6)-(COUNTIF(DO129,"ML")*DO$6))))</f>
        <v/>
      </c>
      <c r="DY129" s="153" t="str">
        <f>IF(OR($B129="NSO",$B129=0),"",IF(AND(DH129="",DI129="",DM129=""),"",IF(AND('Master Sheet'!$D$19="YES",'Marks Entry'!$BA$1=1),100,IF(AND(DJ129="",DO129=""),SUM(($DQ$7+$DR$7)-(DU129+DV129)),SUM(($DQ$6+$DR$6)-(DU129+DV129))))))</f>
        <v/>
      </c>
      <c r="DZ129" s="152" t="str">
        <f t="shared" si="305"/>
        <v/>
      </c>
      <c r="EA129" s="153" t="str">
        <f t="shared" si="306"/>
        <v/>
      </c>
      <c r="EB129" s="152" t="str">
        <f t="shared" si="307"/>
        <v/>
      </c>
      <c r="EC129" s="584" t="str">
        <f>IF('Marks Entry'!BB129="","",'Marks Entry'!BB129)</f>
        <v/>
      </c>
      <c r="ED129" s="584" t="str">
        <f>IF('Marks Entry'!BC129="","",'Marks Entry'!BC129)</f>
        <v/>
      </c>
      <c r="EE129" s="584" t="str">
        <f>IF('Marks Entry'!BD129="","",'Marks Entry'!BD129)</f>
        <v/>
      </c>
      <c r="EF129" s="590" t="str">
        <f t="shared" si="308"/>
        <v/>
      </c>
      <c r="EG129" s="595">
        <f t="shared" si="309"/>
        <v>0</v>
      </c>
      <c r="EH129" s="595">
        <f t="shared" si="310"/>
        <v>0</v>
      </c>
      <c r="EI129" s="192" t="str">
        <f t="shared" si="311"/>
        <v/>
      </c>
      <c r="EJ129" s="595" t="str">
        <f t="shared" si="312"/>
        <v/>
      </c>
      <c r="EK129" s="595" t="str">
        <f t="shared" si="313"/>
        <v/>
      </c>
      <c r="EL129" s="193" t="str">
        <f t="shared" si="314"/>
        <v/>
      </c>
      <c r="EM129" s="193" t="str">
        <f t="shared" si="315"/>
        <v/>
      </c>
      <c r="EN129" s="193" t="str">
        <f t="shared" si="316"/>
        <v/>
      </c>
      <c r="EO129" s="193" t="str">
        <f t="shared" si="317"/>
        <v/>
      </c>
      <c r="EP129" s="193" t="str">
        <f t="shared" si="318"/>
        <v/>
      </c>
      <c r="EQ129" s="193" t="str">
        <f t="shared" si="319"/>
        <v/>
      </c>
      <c r="ER129" s="194">
        <f t="shared" si="320"/>
        <v>0</v>
      </c>
      <c r="ES129" s="194">
        <f t="shared" si="321"/>
        <v>0</v>
      </c>
      <c r="ET129" s="194">
        <f t="shared" si="322"/>
        <v>0</v>
      </c>
      <c r="EU129" s="194">
        <f t="shared" si="323"/>
        <v>0</v>
      </c>
      <c r="EV129" s="194">
        <f t="shared" si="324"/>
        <v>0</v>
      </c>
      <c r="EW129" s="194" t="str">
        <f t="shared" si="325"/>
        <v/>
      </c>
      <c r="EX129" s="195" t="str">
        <f t="shared" si="326"/>
        <v/>
      </c>
      <c r="EY129" s="196" t="str">
        <f>IF('Marks Entry'!BE129="","",'Marks Entry'!BE129)</f>
        <v/>
      </c>
      <c r="EZ129" s="196" t="str">
        <f>IF('Marks Entry'!BF129="","",'Marks Entry'!BF129)</f>
        <v/>
      </c>
      <c r="FA129" s="196" t="str">
        <f>IF('Marks Entry'!BG129="","",'Marks Entry'!BG129)</f>
        <v/>
      </c>
      <c r="FB129" s="596" t="str">
        <f t="shared" si="327"/>
        <v/>
      </c>
      <c r="FC129" s="196" t="str">
        <f>IF('Marks Entry'!BH129="","",'Marks Entry'!BH129)</f>
        <v/>
      </c>
      <c r="FD129" s="196" t="str">
        <f>IF('Marks Entry'!BI129="","",'Marks Entry'!BI129)</f>
        <v/>
      </c>
      <c r="FE129" s="197" t="str">
        <f t="shared" si="328"/>
        <v/>
      </c>
      <c r="FF129" s="198" t="str">
        <f t="shared" si="329"/>
        <v/>
      </c>
      <c r="FG129" s="199" t="str">
        <f>IF(AND(E129=""),"",IF('Student DATA Entry'!L125="","",'Student DATA Entry'!L125))</f>
        <v/>
      </c>
      <c r="FH129" s="200" t="str">
        <f>IF(AND(E129=""),"",IF('Student DATA Entry'!M125="","",'Student DATA Entry'!M125))</f>
        <v/>
      </c>
      <c r="FI129" s="201" t="str">
        <f t="shared" si="330"/>
        <v/>
      </c>
      <c r="FJ129" s="188" t="str">
        <f t="shared" si="331"/>
        <v/>
      </c>
      <c r="FK129" s="188" t="str">
        <f t="shared" si="332"/>
        <v/>
      </c>
      <c r="FL129" s="202" t="str">
        <f t="shared" si="360"/>
        <v/>
      </c>
      <c r="FM129" s="188" t="str">
        <f t="shared" si="333"/>
        <v/>
      </c>
      <c r="FN129" s="203" t="str">
        <f t="shared" si="334"/>
        <v/>
      </c>
      <c r="FO129" s="202" t="str">
        <f t="shared" si="361"/>
        <v/>
      </c>
      <c r="FP129" s="204" t="str">
        <f t="shared" si="335"/>
        <v/>
      </c>
      <c r="FQ129" s="188" t="str">
        <f t="shared" si="362"/>
        <v/>
      </c>
      <c r="FR129" s="188" t="str">
        <f t="shared" si="363"/>
        <v/>
      </c>
      <c r="FS129" s="188" t="str">
        <f t="shared" si="364"/>
        <v/>
      </c>
      <c r="FT129" s="188" t="str">
        <f t="shared" si="365"/>
        <v/>
      </c>
      <c r="FU129" s="188" t="str">
        <f t="shared" si="336"/>
        <v/>
      </c>
      <c r="FV129" s="205" t="str">
        <f t="shared" si="366"/>
        <v/>
      </c>
      <c r="FW129" s="204" t="str">
        <f t="shared" si="337"/>
        <v/>
      </c>
      <c r="FX129" s="188" t="str">
        <f t="shared" si="367"/>
        <v/>
      </c>
      <c r="FY129" s="188" t="str">
        <f t="shared" si="368"/>
        <v/>
      </c>
      <c r="FZ129" s="188" t="str">
        <f t="shared" si="369"/>
        <v/>
      </c>
      <c r="GA129" s="188" t="str">
        <f t="shared" si="370"/>
        <v/>
      </c>
      <c r="GB129" s="188" t="str">
        <f t="shared" si="338"/>
        <v/>
      </c>
      <c r="GC129" s="205" t="str">
        <f t="shared" si="371"/>
        <v/>
      </c>
      <c r="GD129" s="204" t="str">
        <f t="shared" si="339"/>
        <v/>
      </c>
      <c r="GE129" s="188" t="str">
        <f t="shared" si="372"/>
        <v/>
      </c>
      <c r="GF129" s="188" t="str">
        <f t="shared" si="373"/>
        <v/>
      </c>
      <c r="GG129" s="188" t="str">
        <f t="shared" si="374"/>
        <v/>
      </c>
      <c r="GH129" s="188" t="str">
        <f t="shared" si="375"/>
        <v/>
      </c>
      <c r="GI129" s="188" t="str">
        <f t="shared" si="340"/>
        <v/>
      </c>
      <c r="GJ129" s="205" t="str">
        <f t="shared" si="376"/>
        <v/>
      </c>
      <c r="GK129" s="204" t="str">
        <f t="shared" si="341"/>
        <v/>
      </c>
      <c r="GL129" s="188" t="str">
        <f t="shared" si="377"/>
        <v/>
      </c>
      <c r="GM129" s="188" t="str">
        <f t="shared" si="378"/>
        <v/>
      </c>
      <c r="GN129" s="188" t="str">
        <f t="shared" si="379"/>
        <v/>
      </c>
      <c r="GO129" s="188" t="str">
        <f t="shared" si="380"/>
        <v/>
      </c>
      <c r="GP129" s="188" t="str">
        <f t="shared" si="342"/>
        <v/>
      </c>
      <c r="GQ129" s="205" t="str">
        <f t="shared" si="381"/>
        <v/>
      </c>
      <c r="GR129" s="188" t="str">
        <f t="shared" si="343"/>
        <v/>
      </c>
      <c r="GS129" s="188" t="str">
        <f t="shared" si="344"/>
        <v/>
      </c>
      <c r="GT129" s="206" t="str">
        <f t="shared" si="345"/>
        <v xml:space="preserve">    </v>
      </c>
      <c r="GU129" s="206" t="str">
        <f t="shared" si="346"/>
        <v xml:space="preserve">    </v>
      </c>
      <c r="GV129" s="206" t="str">
        <f t="shared" si="347"/>
        <v xml:space="preserve">    </v>
      </c>
      <c r="GW129" s="206" t="str">
        <f t="shared" si="348"/>
        <v xml:space="preserve">       </v>
      </c>
      <c r="GX129" s="598" t="str">
        <f t="shared" si="349"/>
        <v xml:space="preserve">     </v>
      </c>
      <c r="GY129" s="207" t="str">
        <f t="shared" si="382"/>
        <v/>
      </c>
      <c r="GZ129" s="606" t="str">
        <f>IF(AND(Q129="",AE129="",AZ129="",BW129="",CT129=""),"",IF(AND('Master Sheet'!$D$19="YES",'Marks Entry'!$BA$1=1),SUM(Q129,AE129,AZ129,BW129,DT129),SUM(Q129,AE129,AZ129,BW129,CT129)))</f>
        <v/>
      </c>
      <c r="HA129" s="208" t="str">
        <f>IF(GZ129="","",IF(AND('Master Sheet'!$D$19="YES",'Marks Entry'!$BA$1=1),GZ129/((900)-DC129)*100,GZ129/((1000)-DC129)*100))</f>
        <v/>
      </c>
      <c r="HB129" s="611" t="str">
        <f t="shared" si="350"/>
        <v/>
      </c>
      <c r="HC129" s="609" t="str">
        <f t="shared" si="351"/>
        <v/>
      </c>
      <c r="HD129" s="610" t="str">
        <f t="shared" si="352"/>
        <v/>
      </c>
      <c r="HE129" s="209" t="str">
        <f>IFERROR(IF(OR(GY129="SUPPLEMENTARY",GY129="RE-EXAM"),'Supp. Result Entry'!AS128,""),"")</f>
        <v/>
      </c>
      <c r="HF129" s="613" t="str">
        <f t="shared" si="353"/>
        <v/>
      </c>
      <c r="HG129" s="598" t="str">
        <f t="shared" si="354"/>
        <v/>
      </c>
      <c r="HH129" s="598" t="str">
        <f>IF(AND(HE129="",HF129="",HG129=""),"",IF(OR(GY129="SUPPLEMENTARY",GY129="RE-EXAM"),'Supp. Result Entry'!AS128,GY129))</f>
        <v/>
      </c>
      <c r="HI129" s="179"/>
      <c r="HY129" s="211" t="str">
        <f>IF('Supp. Result Entry'!U128="","",'Supp. Result Entry'!$U$6)</f>
        <v/>
      </c>
      <c r="HZ129" s="212" t="str">
        <f>IF('Supp. Result Entry'!X128="","",'Supp. Result Entry'!$X$6)</f>
        <v/>
      </c>
      <c r="IA129" s="212" t="str">
        <f>IF('Supp. Result Entry'!AA128="","",'Supp. Result Entry'!$AA$6)</f>
        <v/>
      </c>
      <c r="IB129" s="212" t="str">
        <f>IF('Supp. Result Entry'!AD128="","",'Supp. Result Entry'!$AD$6)</f>
        <v/>
      </c>
      <c r="IC129" s="212" t="str">
        <f>IF('Supp. Result Entry'!AG128="","",'Supp. Result Entry'!$AG$6)</f>
        <v/>
      </c>
      <c r="ID129" s="212" t="str">
        <f>IF('Supp. Result Entry'!AJ128="","",'Supp. Result Entry'!$AJ$6)</f>
        <v/>
      </c>
      <c r="IE129" s="212" t="str">
        <f>IF('Supp. Result Entry'!V128="","",'Supp. Result Entry'!V128)</f>
        <v/>
      </c>
      <c r="IF129" s="212" t="str">
        <f>IF('Supp. Result Entry'!Y128="","",'Supp. Result Entry'!Y128)</f>
        <v/>
      </c>
      <c r="IG129" s="212" t="str">
        <f>IF('Supp. Result Entry'!AB128="","",'Supp. Result Entry'!AB128)</f>
        <v/>
      </c>
      <c r="IH129" s="212" t="str">
        <f>IF('Supp. Result Entry'!AE128="","",'Supp. Result Entry'!AE128)</f>
        <v/>
      </c>
      <c r="II129" s="212" t="str">
        <f>IF('Supp. Result Entry'!AH128="","",'Supp. Result Entry'!AH128)</f>
        <v/>
      </c>
      <c r="IJ129" s="212" t="str">
        <f>IF('Supp. Result Entry'!AK128="","",'Supp. Result Entry'!AK128)</f>
        <v/>
      </c>
      <c r="IK129" s="212" t="str">
        <f>IF('Supp. Result Entry'!W128="","",'Supp. Result Entry'!W128)</f>
        <v/>
      </c>
      <c r="IL129" s="212" t="str">
        <f>IF('Supp. Result Entry'!Z128="","",'Supp. Result Entry'!Z128)</f>
        <v/>
      </c>
      <c r="IM129" s="212" t="str">
        <f>IF('Supp. Result Entry'!AC128="","",'Supp. Result Entry'!AC128)</f>
        <v/>
      </c>
      <c r="IN129" s="212" t="str">
        <f>IF('Supp. Result Entry'!AF128="","",'Supp. Result Entry'!AF128)</f>
        <v/>
      </c>
      <c r="IO129" s="212" t="str">
        <f>IF('Supp. Result Entry'!AI128="","",'Supp. Result Entry'!AI128)</f>
        <v/>
      </c>
      <c r="IP129" s="212" t="str">
        <f>IF('Supp. Result Entry'!AL128="","",'Supp. Result Entry'!AL128)</f>
        <v/>
      </c>
      <c r="IQ129" s="212">
        <f>COUNTIF('Supp. Result Entry'!K128:Q128,"S")</f>
        <v>0</v>
      </c>
      <c r="IR129" s="212">
        <f t="shared" si="355"/>
        <v>0</v>
      </c>
      <c r="IS129" s="212">
        <f t="shared" si="356"/>
        <v>0</v>
      </c>
      <c r="IT129" s="212" t="str">
        <f t="shared" si="224"/>
        <v/>
      </c>
      <c r="IU129" s="212" t="str">
        <f t="shared" si="225"/>
        <v/>
      </c>
      <c r="IV129" s="212" t="str">
        <f t="shared" si="226"/>
        <v/>
      </c>
      <c r="IW129" s="212" t="str">
        <f t="shared" si="227"/>
        <v/>
      </c>
      <c r="IX129" s="212" t="str">
        <f t="shared" si="228"/>
        <v/>
      </c>
      <c r="IY129" s="212" t="str">
        <f t="shared" si="357"/>
        <v/>
      </c>
      <c r="IZ129" s="212" t="str">
        <f t="shared" si="358"/>
        <v/>
      </c>
      <c r="JA129" s="212" t="str">
        <f t="shared" si="229"/>
        <v/>
      </c>
      <c r="JB129" s="210" t="str">
        <f t="shared" si="359"/>
        <v/>
      </c>
    </row>
    <row r="130" spans="1:262" s="210" customFormat="1" ht="21" customHeight="1">
      <c r="A130" s="183">
        <v>123</v>
      </c>
      <c r="B130" s="184" t="str">
        <f>IF('Marks Entry'!B130="","",'Marks Entry'!B130)</f>
        <v/>
      </c>
      <c r="C130" s="185" t="str">
        <f>IF('Marks Entry'!D130="","",'Marks Entry'!D130)</f>
        <v/>
      </c>
      <c r="D130" s="186" t="str">
        <f>IF('Marks Entry'!E130="","",'Marks Entry'!E130)</f>
        <v/>
      </c>
      <c r="E130" s="187" t="str">
        <f>IF('Marks Entry'!F130="","",'Marks Entry'!F130)</f>
        <v/>
      </c>
      <c r="F130" s="187" t="str">
        <f>IF('Marks Entry'!G130="","",'Marks Entry'!G130)</f>
        <v/>
      </c>
      <c r="G130" s="187" t="str">
        <f>IF('Marks Entry'!H130="","",'Marks Entry'!H130)</f>
        <v/>
      </c>
      <c r="H130" s="188" t="str">
        <f>IF('Marks Entry'!I130="","",'Marks Entry'!I130)</f>
        <v/>
      </c>
      <c r="I130" s="189" t="str">
        <f>IF('Marks Entry'!J130="","",'Marks Entry'!J130)</f>
        <v/>
      </c>
      <c r="J130" s="545" t="str">
        <f>IF('Marks Entry'!K130="","",'Marks Entry'!K130)</f>
        <v/>
      </c>
      <c r="K130" s="545" t="str">
        <f>IF('Marks Entry'!L130="","",'Marks Entry'!L130)</f>
        <v/>
      </c>
      <c r="L130" s="545" t="str">
        <f>IF('Marks Entry'!M130="","",'Marks Entry'!M130)</f>
        <v/>
      </c>
      <c r="M130" s="546" t="str">
        <f t="shared" si="230"/>
        <v/>
      </c>
      <c r="N130" s="545" t="str">
        <f>IF('Marks Entry'!N130="","",'Marks Entry'!N130)</f>
        <v/>
      </c>
      <c r="O130" s="546" t="str">
        <f t="shared" si="231"/>
        <v/>
      </c>
      <c r="P130" s="545" t="str">
        <f>IF('Marks Entry'!O130="","",'Marks Entry'!O130)</f>
        <v/>
      </c>
      <c r="Q130" s="547" t="str">
        <f t="shared" si="232"/>
        <v/>
      </c>
      <c r="R130" s="152">
        <f t="shared" si="233"/>
        <v>0</v>
      </c>
      <c r="S130" s="152">
        <f t="shared" si="234"/>
        <v>0</v>
      </c>
      <c r="T130" s="153" t="str">
        <f t="shared" si="235"/>
        <v/>
      </c>
      <c r="U130" s="152" t="str">
        <f t="shared" si="236"/>
        <v/>
      </c>
      <c r="V130" s="152" t="str">
        <f t="shared" si="237"/>
        <v/>
      </c>
      <c r="W130" s="152" t="str">
        <f t="shared" si="238"/>
        <v/>
      </c>
      <c r="X130" s="545" t="str">
        <f>IF('Marks Entry'!P130="","",'Marks Entry'!P130)</f>
        <v/>
      </c>
      <c r="Y130" s="545" t="str">
        <f>IF('Marks Entry'!Q130="","",'Marks Entry'!Q130)</f>
        <v/>
      </c>
      <c r="Z130" s="545" t="str">
        <f>IF('Marks Entry'!R130="","",'Marks Entry'!R130)</f>
        <v/>
      </c>
      <c r="AA130" s="546" t="str">
        <f t="shared" si="239"/>
        <v/>
      </c>
      <c r="AB130" s="545" t="str">
        <f>IF('Marks Entry'!S130="","",'Marks Entry'!S130)</f>
        <v/>
      </c>
      <c r="AC130" s="546" t="str">
        <f t="shared" si="240"/>
        <v/>
      </c>
      <c r="AD130" s="545" t="str">
        <f>IF('Marks Entry'!T130="","",'Marks Entry'!T130)</f>
        <v/>
      </c>
      <c r="AE130" s="547" t="str">
        <f t="shared" si="241"/>
        <v/>
      </c>
      <c r="AF130" s="152">
        <f t="shared" si="242"/>
        <v>0</v>
      </c>
      <c r="AG130" s="152">
        <f t="shared" si="243"/>
        <v>0</v>
      </c>
      <c r="AH130" s="153" t="str">
        <f t="shared" si="244"/>
        <v/>
      </c>
      <c r="AI130" s="152" t="str">
        <f t="shared" si="245"/>
        <v/>
      </c>
      <c r="AJ130" s="152" t="str">
        <f t="shared" si="246"/>
        <v/>
      </c>
      <c r="AK130" s="152" t="str">
        <f t="shared" si="247"/>
        <v/>
      </c>
      <c r="AL130" s="573" t="str">
        <f>IF('Marks Entry'!U130="","",'Marks Entry'!U130)</f>
        <v/>
      </c>
      <c r="AM130" s="573" t="str">
        <f>IF('Marks Entry'!V130="","",'Marks Entry'!V130)</f>
        <v/>
      </c>
      <c r="AN130" s="573" t="str">
        <f>IF('Marks Entry'!W130="","",'Marks Entry'!W130)</f>
        <v/>
      </c>
      <c r="AO130" s="573" t="str">
        <f>IF('Marks Entry'!X130="","",'Marks Entry'!X130)</f>
        <v/>
      </c>
      <c r="AP130" s="572" t="str">
        <f t="shared" si="248"/>
        <v/>
      </c>
      <c r="AQ130" s="573" t="str">
        <f>IF('Marks Entry'!Y130="","",'Marks Entry'!Y130)</f>
        <v/>
      </c>
      <c r="AR130" s="573" t="str">
        <f>IF('Marks Entry'!Z130="","",'Marks Entry'!Z130)</f>
        <v/>
      </c>
      <c r="AS130" s="572" t="str">
        <f t="shared" si="249"/>
        <v/>
      </c>
      <c r="AT130" s="572" t="str">
        <f t="shared" si="250"/>
        <v/>
      </c>
      <c r="AU130" s="573" t="str">
        <f>IF('Marks Entry'!AA130="","",'Marks Entry'!AA130)</f>
        <v/>
      </c>
      <c r="AV130" s="573" t="str">
        <f>IF('Marks Entry'!AB130="","",'Marks Entry'!AB130)</f>
        <v/>
      </c>
      <c r="AW130" s="572" t="str">
        <f t="shared" si="251"/>
        <v/>
      </c>
      <c r="AX130" s="156" t="str">
        <f t="shared" si="252"/>
        <v/>
      </c>
      <c r="AY130" s="156" t="str">
        <f t="shared" si="253"/>
        <v/>
      </c>
      <c r="AZ130" s="191" t="str">
        <f t="shared" si="254"/>
        <v/>
      </c>
      <c r="BA130" s="152">
        <f t="shared" si="255"/>
        <v>0</v>
      </c>
      <c r="BB130" s="153">
        <f t="shared" si="256"/>
        <v>0</v>
      </c>
      <c r="BC130" s="153" t="str">
        <f t="shared" si="257"/>
        <v/>
      </c>
      <c r="BD130" s="153" t="str">
        <f t="shared" si="258"/>
        <v/>
      </c>
      <c r="BE130" s="153" t="str">
        <f t="shared" si="259"/>
        <v/>
      </c>
      <c r="BF130" s="152" t="str">
        <f t="shared" si="260"/>
        <v/>
      </c>
      <c r="BG130" s="153" t="str">
        <f t="shared" si="261"/>
        <v/>
      </c>
      <c r="BH130" s="152" t="str">
        <f t="shared" si="262"/>
        <v/>
      </c>
      <c r="BI130" s="580" t="str">
        <f>IF('Marks Entry'!AC130="","",'Marks Entry'!AC130)</f>
        <v/>
      </c>
      <c r="BJ130" s="580" t="str">
        <f>IF('Marks Entry'!AD130="","",'Marks Entry'!AD130)</f>
        <v/>
      </c>
      <c r="BK130" s="580" t="str">
        <f>IF('Marks Entry'!AE130="","",'Marks Entry'!AE130)</f>
        <v/>
      </c>
      <c r="BL130" s="580" t="str">
        <f>IF('Marks Entry'!AF130="","",'Marks Entry'!AF130)</f>
        <v/>
      </c>
      <c r="BM130" s="581" t="str">
        <f t="shared" si="263"/>
        <v/>
      </c>
      <c r="BN130" s="580" t="str">
        <f>IF('Marks Entry'!AG130="","",'Marks Entry'!AG130)</f>
        <v/>
      </c>
      <c r="BO130" s="580" t="str">
        <f>IF('Marks Entry'!AH130="","",'Marks Entry'!AH130)</f>
        <v/>
      </c>
      <c r="BP130" s="581" t="str">
        <f t="shared" si="264"/>
        <v/>
      </c>
      <c r="BQ130" s="581" t="str">
        <f t="shared" si="265"/>
        <v/>
      </c>
      <c r="BR130" s="580" t="str">
        <f>IF('Marks Entry'!AI130="","",'Marks Entry'!AI130)</f>
        <v/>
      </c>
      <c r="BS130" s="580" t="str">
        <f>IF('Marks Entry'!AJ130="","",'Marks Entry'!AJ130)</f>
        <v/>
      </c>
      <c r="BT130" s="581" t="str">
        <f t="shared" si="266"/>
        <v/>
      </c>
      <c r="BU130" s="156" t="str">
        <f t="shared" si="267"/>
        <v/>
      </c>
      <c r="BV130" s="156" t="str">
        <f t="shared" si="268"/>
        <v/>
      </c>
      <c r="BW130" s="191" t="str">
        <f t="shared" si="269"/>
        <v/>
      </c>
      <c r="BX130" s="152">
        <f t="shared" si="270"/>
        <v>0</v>
      </c>
      <c r="BY130" s="153">
        <f t="shared" si="271"/>
        <v>0</v>
      </c>
      <c r="BZ130" s="153" t="str">
        <f t="shared" si="272"/>
        <v/>
      </c>
      <c r="CA130" s="153" t="str">
        <f t="shared" si="273"/>
        <v/>
      </c>
      <c r="CB130" s="153" t="str">
        <f t="shared" si="274"/>
        <v/>
      </c>
      <c r="CC130" s="152" t="str">
        <f t="shared" si="275"/>
        <v/>
      </c>
      <c r="CD130" s="153" t="str">
        <f t="shared" si="276"/>
        <v/>
      </c>
      <c r="CE130" s="152" t="str">
        <f t="shared" si="277"/>
        <v/>
      </c>
      <c r="CF130" s="580" t="str">
        <f>IF('Marks Entry'!AK130="","",'Marks Entry'!AK130)</f>
        <v/>
      </c>
      <c r="CG130" s="580" t="str">
        <f>IF('Marks Entry'!AL130="","",'Marks Entry'!AL130)</f>
        <v/>
      </c>
      <c r="CH130" s="580" t="str">
        <f>IF('Marks Entry'!AM130="","",'Marks Entry'!AM130)</f>
        <v/>
      </c>
      <c r="CI130" s="580" t="str">
        <f>IF('Marks Entry'!AN130="","",'Marks Entry'!AN130)</f>
        <v/>
      </c>
      <c r="CJ130" s="581" t="str">
        <f t="shared" si="278"/>
        <v/>
      </c>
      <c r="CK130" s="580" t="str">
        <f>IF('Marks Entry'!AO130="","",'Marks Entry'!AO130)</f>
        <v/>
      </c>
      <c r="CL130" s="580" t="str">
        <f>IF('Marks Entry'!AP130="","",'Marks Entry'!AP130)</f>
        <v/>
      </c>
      <c r="CM130" s="581" t="str">
        <f t="shared" si="279"/>
        <v/>
      </c>
      <c r="CN130" s="581" t="str">
        <f t="shared" si="280"/>
        <v/>
      </c>
      <c r="CO130" s="580" t="str">
        <f>IF('Marks Entry'!AQ130="","",'Marks Entry'!AQ130)</f>
        <v/>
      </c>
      <c r="CP130" s="580" t="str">
        <f>IF('Marks Entry'!AR130="","",'Marks Entry'!AR130)</f>
        <v/>
      </c>
      <c r="CQ130" s="581" t="str">
        <f t="shared" si="281"/>
        <v/>
      </c>
      <c r="CR130" s="156" t="str">
        <f t="shared" si="282"/>
        <v/>
      </c>
      <c r="CS130" s="156" t="str">
        <f t="shared" si="283"/>
        <v/>
      </c>
      <c r="CT130" s="191" t="str">
        <f t="shared" si="284"/>
        <v/>
      </c>
      <c r="CU130" s="152">
        <f t="shared" si="285"/>
        <v>0</v>
      </c>
      <c r="CV130" s="153">
        <f t="shared" si="286"/>
        <v>0</v>
      </c>
      <c r="CW130" s="153" t="str">
        <f t="shared" si="287"/>
        <v/>
      </c>
      <c r="CX130" s="153" t="str">
        <f t="shared" si="288"/>
        <v/>
      </c>
      <c r="CY130" s="153" t="str">
        <f t="shared" si="289"/>
        <v/>
      </c>
      <c r="CZ130" s="152" t="str">
        <f t="shared" si="290"/>
        <v/>
      </c>
      <c r="DA130" s="153" t="str">
        <f t="shared" si="291"/>
        <v/>
      </c>
      <c r="DB130" s="152" t="str">
        <f t="shared" si="292"/>
        <v/>
      </c>
      <c r="DC130" s="153">
        <f t="shared" si="293"/>
        <v>0</v>
      </c>
      <c r="DD130" s="851" t="str">
        <f>IF('Marks Entry'!AS130="","",IF(OR('Master Sheet'!$D$19="YES",'Marks Entry'!$BA$1=1),'Marks Entry'!AS130,""))</f>
        <v/>
      </c>
      <c r="DE130" s="851" t="str">
        <f>IF('Marks Entry'!AT130="","",IF(OR('Master Sheet'!$D$19="YES",'Marks Entry'!$BA$1=1),'Marks Entry'!AT130,""))</f>
        <v/>
      </c>
      <c r="DF130" s="851" t="str">
        <f>IF('Marks Entry'!AU130="","",IF(OR('Master Sheet'!$D$19="YES",'Marks Entry'!$BA$1=1),'Marks Entry'!AU130,""))</f>
        <v/>
      </c>
      <c r="DG130" s="851" t="str">
        <f>IF('Marks Entry'!AV130="","",IF(OR('Master Sheet'!$D$19="YES",'Marks Entry'!$BA$1=1),'Marks Entry'!AV130,""))</f>
        <v/>
      </c>
      <c r="DH130" s="852" t="str">
        <f t="shared" si="294"/>
        <v/>
      </c>
      <c r="DI130" s="851" t="str">
        <f>IF('Marks Entry'!AW130="","",IF(OR('Master Sheet'!$D$19="YES",'Marks Entry'!$BA$1=1),'Marks Entry'!AW130,""))</f>
        <v/>
      </c>
      <c r="DJ130" s="851" t="str">
        <f>IF('Marks Entry'!AX130="","",IF(OR('Master Sheet'!$D$19="YES",'Marks Entry'!$BA$1=1),'Marks Entry'!AX130,""))</f>
        <v/>
      </c>
      <c r="DK130" s="852" t="str">
        <f t="shared" si="295"/>
        <v/>
      </c>
      <c r="DL130" s="852" t="str">
        <f t="shared" si="296"/>
        <v/>
      </c>
      <c r="DM130" s="851" t="str">
        <f>IF('Marks Entry'!AY130="","",IF(OR('Master Sheet'!$D$19="YES",'Marks Entry'!$BA$1=1),'Marks Entry'!AY130,""))</f>
        <v/>
      </c>
      <c r="DN130" s="851" t="str">
        <f>IF('Marks Entry'!AZ130="","",IF(OR('Master Sheet'!$D$19="YES",'Marks Entry'!$BA$1=1),'Marks Entry'!AZ130,""))</f>
        <v/>
      </c>
      <c r="DO130" s="851" t="str">
        <f>IF('Marks Entry'!BA130="","",IF(OR('Master Sheet'!$D$19="YES",'Marks Entry'!$BA$1=1),'Marks Entry'!BA130,""))</f>
        <v/>
      </c>
      <c r="DP130" s="852" t="str">
        <f t="shared" si="297"/>
        <v/>
      </c>
      <c r="DQ130" s="156" t="str">
        <f t="shared" si="298"/>
        <v/>
      </c>
      <c r="DR130" s="156" t="str">
        <f t="shared" si="299"/>
        <v/>
      </c>
      <c r="DS130" s="156" t="str">
        <f t="shared" si="300"/>
        <v/>
      </c>
      <c r="DT130" s="191" t="str">
        <f t="shared" si="301"/>
        <v/>
      </c>
      <c r="DU130" s="152">
        <f t="shared" si="302"/>
        <v>0</v>
      </c>
      <c r="DV130" s="153">
        <f t="shared" si="303"/>
        <v>0</v>
      </c>
      <c r="DW130" s="153" t="str">
        <f t="shared" si="304"/>
        <v/>
      </c>
      <c r="DX130" s="153" t="str">
        <f>IF(OR($B130="NSO",$B130=0,DS130=""),"",IF(AND(DJ130="",DO130=""),"",IF('Master Sheet'!$D$19="YES",$DO$6-COUNTIF(DO130,"ML")*DO$6,DS$6-(COUNTIF(DJ130,"ML")*DJ$6)-(COUNTIF(DO130,"ML")*DO$6))))</f>
        <v/>
      </c>
      <c r="DY130" s="153" t="str">
        <f>IF(OR($B130="NSO",$B130=0),"",IF(AND(DH130="",DI130="",DM130=""),"",IF(AND('Master Sheet'!$D$19="YES",'Marks Entry'!$BA$1=1),100,IF(AND(DJ130="",DO130=""),SUM(($DQ$7+$DR$7)-(DU130+DV130)),SUM(($DQ$6+$DR$6)-(DU130+DV130))))))</f>
        <v/>
      </c>
      <c r="DZ130" s="152" t="str">
        <f t="shared" si="305"/>
        <v/>
      </c>
      <c r="EA130" s="153" t="str">
        <f t="shared" si="306"/>
        <v/>
      </c>
      <c r="EB130" s="152" t="str">
        <f t="shared" si="307"/>
        <v/>
      </c>
      <c r="EC130" s="584" t="str">
        <f>IF('Marks Entry'!BB130="","",'Marks Entry'!BB130)</f>
        <v/>
      </c>
      <c r="ED130" s="584" t="str">
        <f>IF('Marks Entry'!BC130="","",'Marks Entry'!BC130)</f>
        <v/>
      </c>
      <c r="EE130" s="584" t="str">
        <f>IF('Marks Entry'!BD130="","",'Marks Entry'!BD130)</f>
        <v/>
      </c>
      <c r="EF130" s="590" t="str">
        <f t="shared" si="308"/>
        <v/>
      </c>
      <c r="EG130" s="595">
        <f t="shared" si="309"/>
        <v>0</v>
      </c>
      <c r="EH130" s="595">
        <f t="shared" si="310"/>
        <v>0</v>
      </c>
      <c r="EI130" s="192" t="str">
        <f t="shared" si="311"/>
        <v/>
      </c>
      <c r="EJ130" s="595" t="str">
        <f t="shared" si="312"/>
        <v/>
      </c>
      <c r="EK130" s="595" t="str">
        <f t="shared" si="313"/>
        <v/>
      </c>
      <c r="EL130" s="193" t="str">
        <f t="shared" si="314"/>
        <v/>
      </c>
      <c r="EM130" s="193" t="str">
        <f t="shared" si="315"/>
        <v/>
      </c>
      <c r="EN130" s="193" t="str">
        <f t="shared" si="316"/>
        <v/>
      </c>
      <c r="EO130" s="193" t="str">
        <f t="shared" si="317"/>
        <v/>
      </c>
      <c r="EP130" s="193" t="str">
        <f t="shared" si="318"/>
        <v/>
      </c>
      <c r="EQ130" s="193" t="str">
        <f t="shared" si="319"/>
        <v/>
      </c>
      <c r="ER130" s="194">
        <f t="shared" si="320"/>
        <v>0</v>
      </c>
      <c r="ES130" s="194">
        <f t="shared" si="321"/>
        <v>0</v>
      </c>
      <c r="ET130" s="194">
        <f t="shared" si="322"/>
        <v>0</v>
      </c>
      <c r="EU130" s="194">
        <f t="shared" si="323"/>
        <v>0</v>
      </c>
      <c r="EV130" s="194">
        <f t="shared" si="324"/>
        <v>0</v>
      </c>
      <c r="EW130" s="194" t="str">
        <f t="shared" si="325"/>
        <v/>
      </c>
      <c r="EX130" s="195" t="str">
        <f t="shared" si="326"/>
        <v/>
      </c>
      <c r="EY130" s="196" t="str">
        <f>IF('Marks Entry'!BE130="","",'Marks Entry'!BE130)</f>
        <v/>
      </c>
      <c r="EZ130" s="196" t="str">
        <f>IF('Marks Entry'!BF130="","",'Marks Entry'!BF130)</f>
        <v/>
      </c>
      <c r="FA130" s="196" t="str">
        <f>IF('Marks Entry'!BG130="","",'Marks Entry'!BG130)</f>
        <v/>
      </c>
      <c r="FB130" s="596" t="str">
        <f t="shared" si="327"/>
        <v/>
      </c>
      <c r="FC130" s="196" t="str">
        <f>IF('Marks Entry'!BH130="","",'Marks Entry'!BH130)</f>
        <v/>
      </c>
      <c r="FD130" s="196" t="str">
        <f>IF('Marks Entry'!BI130="","",'Marks Entry'!BI130)</f>
        <v/>
      </c>
      <c r="FE130" s="197" t="str">
        <f t="shared" si="328"/>
        <v/>
      </c>
      <c r="FF130" s="198" t="str">
        <f t="shared" si="329"/>
        <v/>
      </c>
      <c r="FG130" s="199" t="str">
        <f>IF(AND(E130=""),"",IF('Student DATA Entry'!L126="","",'Student DATA Entry'!L126))</f>
        <v/>
      </c>
      <c r="FH130" s="200" t="str">
        <f>IF(AND(E130=""),"",IF('Student DATA Entry'!M126="","",'Student DATA Entry'!M126))</f>
        <v/>
      </c>
      <c r="FI130" s="201" t="str">
        <f t="shared" si="330"/>
        <v/>
      </c>
      <c r="FJ130" s="188" t="str">
        <f t="shared" si="331"/>
        <v/>
      </c>
      <c r="FK130" s="188" t="str">
        <f t="shared" si="332"/>
        <v/>
      </c>
      <c r="FL130" s="202" t="str">
        <f t="shared" si="360"/>
        <v/>
      </c>
      <c r="FM130" s="188" t="str">
        <f t="shared" si="333"/>
        <v/>
      </c>
      <c r="FN130" s="203" t="str">
        <f t="shared" si="334"/>
        <v/>
      </c>
      <c r="FO130" s="202" t="str">
        <f t="shared" si="361"/>
        <v/>
      </c>
      <c r="FP130" s="204" t="str">
        <f t="shared" si="335"/>
        <v/>
      </c>
      <c r="FQ130" s="188" t="str">
        <f t="shared" si="362"/>
        <v/>
      </c>
      <c r="FR130" s="188" t="str">
        <f t="shared" si="363"/>
        <v/>
      </c>
      <c r="FS130" s="188" t="str">
        <f t="shared" si="364"/>
        <v/>
      </c>
      <c r="FT130" s="188" t="str">
        <f t="shared" si="365"/>
        <v/>
      </c>
      <c r="FU130" s="188" t="str">
        <f t="shared" si="336"/>
        <v/>
      </c>
      <c r="FV130" s="205" t="str">
        <f t="shared" si="366"/>
        <v/>
      </c>
      <c r="FW130" s="204" t="str">
        <f t="shared" si="337"/>
        <v/>
      </c>
      <c r="FX130" s="188" t="str">
        <f t="shared" si="367"/>
        <v/>
      </c>
      <c r="FY130" s="188" t="str">
        <f t="shared" si="368"/>
        <v/>
      </c>
      <c r="FZ130" s="188" t="str">
        <f t="shared" si="369"/>
        <v/>
      </c>
      <c r="GA130" s="188" t="str">
        <f t="shared" si="370"/>
        <v/>
      </c>
      <c r="GB130" s="188" t="str">
        <f t="shared" si="338"/>
        <v/>
      </c>
      <c r="GC130" s="205" t="str">
        <f t="shared" si="371"/>
        <v/>
      </c>
      <c r="GD130" s="204" t="str">
        <f t="shared" si="339"/>
        <v/>
      </c>
      <c r="GE130" s="188" t="str">
        <f t="shared" si="372"/>
        <v/>
      </c>
      <c r="GF130" s="188" t="str">
        <f t="shared" si="373"/>
        <v/>
      </c>
      <c r="GG130" s="188" t="str">
        <f t="shared" si="374"/>
        <v/>
      </c>
      <c r="GH130" s="188" t="str">
        <f t="shared" si="375"/>
        <v/>
      </c>
      <c r="GI130" s="188" t="str">
        <f t="shared" si="340"/>
        <v/>
      </c>
      <c r="GJ130" s="205" t="str">
        <f t="shared" si="376"/>
        <v/>
      </c>
      <c r="GK130" s="204" t="str">
        <f t="shared" si="341"/>
        <v/>
      </c>
      <c r="GL130" s="188" t="str">
        <f t="shared" si="377"/>
        <v/>
      </c>
      <c r="GM130" s="188" t="str">
        <f t="shared" si="378"/>
        <v/>
      </c>
      <c r="GN130" s="188" t="str">
        <f t="shared" si="379"/>
        <v/>
      </c>
      <c r="GO130" s="188" t="str">
        <f t="shared" si="380"/>
        <v/>
      </c>
      <c r="GP130" s="188" t="str">
        <f t="shared" si="342"/>
        <v/>
      </c>
      <c r="GQ130" s="205" t="str">
        <f t="shared" si="381"/>
        <v/>
      </c>
      <c r="GR130" s="188" t="str">
        <f t="shared" si="343"/>
        <v/>
      </c>
      <c r="GS130" s="188" t="str">
        <f t="shared" si="344"/>
        <v/>
      </c>
      <c r="GT130" s="206" t="str">
        <f t="shared" si="345"/>
        <v xml:space="preserve">    </v>
      </c>
      <c r="GU130" s="206" t="str">
        <f t="shared" si="346"/>
        <v xml:space="preserve">    </v>
      </c>
      <c r="GV130" s="206" t="str">
        <f t="shared" si="347"/>
        <v xml:space="preserve">    </v>
      </c>
      <c r="GW130" s="206" t="str">
        <f t="shared" si="348"/>
        <v xml:space="preserve">       </v>
      </c>
      <c r="GX130" s="598" t="str">
        <f t="shared" si="349"/>
        <v xml:space="preserve">     </v>
      </c>
      <c r="GY130" s="207" t="str">
        <f t="shared" si="382"/>
        <v/>
      </c>
      <c r="GZ130" s="606" t="str">
        <f>IF(AND(Q130="",AE130="",AZ130="",BW130="",CT130=""),"",IF(AND('Master Sheet'!$D$19="YES",'Marks Entry'!$BA$1=1),SUM(Q130,AE130,AZ130,BW130,DT130),SUM(Q130,AE130,AZ130,BW130,CT130)))</f>
        <v/>
      </c>
      <c r="HA130" s="208" t="str">
        <f>IF(GZ130="","",IF(AND('Master Sheet'!$D$19="YES",'Marks Entry'!$BA$1=1),GZ130/((900)-DC130)*100,GZ130/((1000)-DC130)*100))</f>
        <v/>
      </c>
      <c r="HB130" s="611" t="str">
        <f t="shared" si="350"/>
        <v/>
      </c>
      <c r="HC130" s="609" t="str">
        <f t="shared" si="351"/>
        <v/>
      </c>
      <c r="HD130" s="610" t="str">
        <f t="shared" si="352"/>
        <v/>
      </c>
      <c r="HE130" s="209" t="str">
        <f>IFERROR(IF(OR(GY130="SUPPLEMENTARY",GY130="RE-EXAM"),'Supp. Result Entry'!AS129,""),"")</f>
        <v/>
      </c>
      <c r="HF130" s="613" t="str">
        <f t="shared" si="353"/>
        <v/>
      </c>
      <c r="HG130" s="598" t="str">
        <f t="shared" si="354"/>
        <v/>
      </c>
      <c r="HH130" s="598" t="str">
        <f>IF(AND(HE130="",HF130="",HG130=""),"",IF(OR(GY130="SUPPLEMENTARY",GY130="RE-EXAM"),'Supp. Result Entry'!AS129,GY130))</f>
        <v/>
      </c>
      <c r="HI130" s="179"/>
      <c r="HY130" s="211" t="str">
        <f>IF('Supp. Result Entry'!U129="","",'Supp. Result Entry'!$U$6)</f>
        <v/>
      </c>
      <c r="HZ130" s="212" t="str">
        <f>IF('Supp. Result Entry'!X129="","",'Supp. Result Entry'!$X$6)</f>
        <v/>
      </c>
      <c r="IA130" s="212" t="str">
        <f>IF('Supp. Result Entry'!AA129="","",'Supp. Result Entry'!$AA$6)</f>
        <v/>
      </c>
      <c r="IB130" s="212" t="str">
        <f>IF('Supp. Result Entry'!AD129="","",'Supp. Result Entry'!$AD$6)</f>
        <v/>
      </c>
      <c r="IC130" s="212" t="str">
        <f>IF('Supp. Result Entry'!AG129="","",'Supp. Result Entry'!$AG$6)</f>
        <v/>
      </c>
      <c r="ID130" s="212" t="str">
        <f>IF('Supp. Result Entry'!AJ129="","",'Supp. Result Entry'!$AJ$6)</f>
        <v/>
      </c>
      <c r="IE130" s="212" t="str">
        <f>IF('Supp. Result Entry'!V129="","",'Supp. Result Entry'!V129)</f>
        <v/>
      </c>
      <c r="IF130" s="212" t="str">
        <f>IF('Supp. Result Entry'!Y129="","",'Supp. Result Entry'!Y129)</f>
        <v/>
      </c>
      <c r="IG130" s="212" t="str">
        <f>IF('Supp. Result Entry'!AB129="","",'Supp. Result Entry'!AB129)</f>
        <v/>
      </c>
      <c r="IH130" s="212" t="str">
        <f>IF('Supp. Result Entry'!AE129="","",'Supp. Result Entry'!AE129)</f>
        <v/>
      </c>
      <c r="II130" s="212" t="str">
        <f>IF('Supp. Result Entry'!AH129="","",'Supp. Result Entry'!AH129)</f>
        <v/>
      </c>
      <c r="IJ130" s="212" t="str">
        <f>IF('Supp. Result Entry'!AK129="","",'Supp. Result Entry'!AK129)</f>
        <v/>
      </c>
      <c r="IK130" s="212" t="str">
        <f>IF('Supp. Result Entry'!W129="","",'Supp. Result Entry'!W129)</f>
        <v/>
      </c>
      <c r="IL130" s="212" t="str">
        <f>IF('Supp. Result Entry'!Z129="","",'Supp. Result Entry'!Z129)</f>
        <v/>
      </c>
      <c r="IM130" s="212" t="str">
        <f>IF('Supp. Result Entry'!AC129="","",'Supp. Result Entry'!AC129)</f>
        <v/>
      </c>
      <c r="IN130" s="212" t="str">
        <f>IF('Supp. Result Entry'!AF129="","",'Supp. Result Entry'!AF129)</f>
        <v/>
      </c>
      <c r="IO130" s="212" t="str">
        <f>IF('Supp. Result Entry'!AI129="","",'Supp. Result Entry'!AI129)</f>
        <v/>
      </c>
      <c r="IP130" s="212" t="str">
        <f>IF('Supp. Result Entry'!AL129="","",'Supp. Result Entry'!AL129)</f>
        <v/>
      </c>
      <c r="IQ130" s="212">
        <f>COUNTIF('Supp. Result Entry'!K129:Q129,"S")</f>
        <v>0</v>
      </c>
      <c r="IR130" s="212">
        <f t="shared" si="355"/>
        <v>0</v>
      </c>
      <c r="IS130" s="212">
        <f t="shared" si="356"/>
        <v>0</v>
      </c>
      <c r="IT130" s="212" t="str">
        <f t="shared" si="224"/>
        <v/>
      </c>
      <c r="IU130" s="212" t="str">
        <f t="shared" si="225"/>
        <v/>
      </c>
      <c r="IV130" s="212" t="str">
        <f t="shared" si="226"/>
        <v/>
      </c>
      <c r="IW130" s="212" t="str">
        <f t="shared" si="227"/>
        <v/>
      </c>
      <c r="IX130" s="212" t="str">
        <f t="shared" si="228"/>
        <v/>
      </c>
      <c r="IY130" s="212" t="str">
        <f t="shared" si="357"/>
        <v/>
      </c>
      <c r="IZ130" s="212" t="str">
        <f t="shared" si="358"/>
        <v/>
      </c>
      <c r="JA130" s="212" t="str">
        <f t="shared" si="229"/>
        <v/>
      </c>
      <c r="JB130" s="210" t="str">
        <f t="shared" si="359"/>
        <v/>
      </c>
    </row>
    <row r="131" spans="1:262" s="210" customFormat="1" ht="21" customHeight="1">
      <c r="A131" s="183">
        <v>124</v>
      </c>
      <c r="B131" s="184" t="str">
        <f>IF('Marks Entry'!B131="","",'Marks Entry'!B131)</f>
        <v/>
      </c>
      <c r="C131" s="185" t="str">
        <f>IF('Marks Entry'!D131="","",'Marks Entry'!D131)</f>
        <v/>
      </c>
      <c r="D131" s="186" t="str">
        <f>IF('Marks Entry'!E131="","",'Marks Entry'!E131)</f>
        <v/>
      </c>
      <c r="E131" s="187" t="str">
        <f>IF('Marks Entry'!F131="","",'Marks Entry'!F131)</f>
        <v/>
      </c>
      <c r="F131" s="187" t="str">
        <f>IF('Marks Entry'!G131="","",'Marks Entry'!G131)</f>
        <v/>
      </c>
      <c r="G131" s="187" t="str">
        <f>IF('Marks Entry'!H131="","",'Marks Entry'!H131)</f>
        <v/>
      </c>
      <c r="H131" s="188" t="str">
        <f>IF('Marks Entry'!I131="","",'Marks Entry'!I131)</f>
        <v/>
      </c>
      <c r="I131" s="189" t="str">
        <f>IF('Marks Entry'!J131="","",'Marks Entry'!J131)</f>
        <v/>
      </c>
      <c r="J131" s="545" t="str">
        <f>IF('Marks Entry'!K131="","",'Marks Entry'!K131)</f>
        <v/>
      </c>
      <c r="K131" s="545" t="str">
        <f>IF('Marks Entry'!L131="","",'Marks Entry'!L131)</f>
        <v/>
      </c>
      <c r="L131" s="545" t="str">
        <f>IF('Marks Entry'!M131="","",'Marks Entry'!M131)</f>
        <v/>
      </c>
      <c r="M131" s="546" t="str">
        <f t="shared" si="230"/>
        <v/>
      </c>
      <c r="N131" s="545" t="str">
        <f>IF('Marks Entry'!N131="","",'Marks Entry'!N131)</f>
        <v/>
      </c>
      <c r="O131" s="546" t="str">
        <f t="shared" si="231"/>
        <v/>
      </c>
      <c r="P131" s="545" t="str">
        <f>IF('Marks Entry'!O131="","",'Marks Entry'!O131)</f>
        <v/>
      </c>
      <c r="Q131" s="547" t="str">
        <f t="shared" si="232"/>
        <v/>
      </c>
      <c r="R131" s="152">
        <f t="shared" si="233"/>
        <v>0</v>
      </c>
      <c r="S131" s="152">
        <f t="shared" si="234"/>
        <v>0</v>
      </c>
      <c r="T131" s="153" t="str">
        <f t="shared" si="235"/>
        <v/>
      </c>
      <c r="U131" s="152" t="str">
        <f t="shared" si="236"/>
        <v/>
      </c>
      <c r="V131" s="152" t="str">
        <f t="shared" si="237"/>
        <v/>
      </c>
      <c r="W131" s="152" t="str">
        <f t="shared" si="238"/>
        <v/>
      </c>
      <c r="X131" s="545" t="str">
        <f>IF('Marks Entry'!P131="","",'Marks Entry'!P131)</f>
        <v/>
      </c>
      <c r="Y131" s="545" t="str">
        <f>IF('Marks Entry'!Q131="","",'Marks Entry'!Q131)</f>
        <v/>
      </c>
      <c r="Z131" s="545" t="str">
        <f>IF('Marks Entry'!R131="","",'Marks Entry'!R131)</f>
        <v/>
      </c>
      <c r="AA131" s="546" t="str">
        <f t="shared" si="239"/>
        <v/>
      </c>
      <c r="AB131" s="545" t="str">
        <f>IF('Marks Entry'!S131="","",'Marks Entry'!S131)</f>
        <v/>
      </c>
      <c r="AC131" s="546" t="str">
        <f t="shared" si="240"/>
        <v/>
      </c>
      <c r="AD131" s="545" t="str">
        <f>IF('Marks Entry'!T131="","",'Marks Entry'!T131)</f>
        <v/>
      </c>
      <c r="AE131" s="547" t="str">
        <f t="shared" si="241"/>
        <v/>
      </c>
      <c r="AF131" s="152">
        <f t="shared" si="242"/>
        <v>0</v>
      </c>
      <c r="AG131" s="152">
        <f t="shared" si="243"/>
        <v>0</v>
      </c>
      <c r="AH131" s="153" t="str">
        <f t="shared" si="244"/>
        <v/>
      </c>
      <c r="AI131" s="152" t="str">
        <f t="shared" si="245"/>
        <v/>
      </c>
      <c r="AJ131" s="152" t="str">
        <f t="shared" si="246"/>
        <v/>
      </c>
      <c r="AK131" s="152" t="str">
        <f t="shared" si="247"/>
        <v/>
      </c>
      <c r="AL131" s="573" t="str">
        <f>IF('Marks Entry'!U131="","",'Marks Entry'!U131)</f>
        <v/>
      </c>
      <c r="AM131" s="573" t="str">
        <f>IF('Marks Entry'!V131="","",'Marks Entry'!V131)</f>
        <v/>
      </c>
      <c r="AN131" s="573" t="str">
        <f>IF('Marks Entry'!W131="","",'Marks Entry'!W131)</f>
        <v/>
      </c>
      <c r="AO131" s="573" t="str">
        <f>IF('Marks Entry'!X131="","",'Marks Entry'!X131)</f>
        <v/>
      </c>
      <c r="AP131" s="572" t="str">
        <f t="shared" si="248"/>
        <v/>
      </c>
      <c r="AQ131" s="573" t="str">
        <f>IF('Marks Entry'!Y131="","",'Marks Entry'!Y131)</f>
        <v/>
      </c>
      <c r="AR131" s="573" t="str">
        <f>IF('Marks Entry'!Z131="","",'Marks Entry'!Z131)</f>
        <v/>
      </c>
      <c r="AS131" s="572" t="str">
        <f t="shared" si="249"/>
        <v/>
      </c>
      <c r="AT131" s="572" t="str">
        <f t="shared" si="250"/>
        <v/>
      </c>
      <c r="AU131" s="573" t="str">
        <f>IF('Marks Entry'!AA131="","",'Marks Entry'!AA131)</f>
        <v/>
      </c>
      <c r="AV131" s="573" t="str">
        <f>IF('Marks Entry'!AB131="","",'Marks Entry'!AB131)</f>
        <v/>
      </c>
      <c r="AW131" s="572" t="str">
        <f t="shared" si="251"/>
        <v/>
      </c>
      <c r="AX131" s="156" t="str">
        <f t="shared" si="252"/>
        <v/>
      </c>
      <c r="AY131" s="156" t="str">
        <f t="shared" si="253"/>
        <v/>
      </c>
      <c r="AZ131" s="191" t="str">
        <f t="shared" si="254"/>
        <v/>
      </c>
      <c r="BA131" s="152">
        <f t="shared" si="255"/>
        <v>0</v>
      </c>
      <c r="BB131" s="153">
        <f t="shared" si="256"/>
        <v>0</v>
      </c>
      <c r="BC131" s="153" t="str">
        <f t="shared" si="257"/>
        <v/>
      </c>
      <c r="BD131" s="153" t="str">
        <f t="shared" si="258"/>
        <v/>
      </c>
      <c r="BE131" s="153" t="str">
        <f t="shared" si="259"/>
        <v/>
      </c>
      <c r="BF131" s="152" t="str">
        <f t="shared" si="260"/>
        <v/>
      </c>
      <c r="BG131" s="153" t="str">
        <f t="shared" si="261"/>
        <v/>
      </c>
      <c r="BH131" s="152" t="str">
        <f t="shared" si="262"/>
        <v/>
      </c>
      <c r="BI131" s="580" t="str">
        <f>IF('Marks Entry'!AC131="","",'Marks Entry'!AC131)</f>
        <v/>
      </c>
      <c r="BJ131" s="580" t="str">
        <f>IF('Marks Entry'!AD131="","",'Marks Entry'!AD131)</f>
        <v/>
      </c>
      <c r="BK131" s="580" t="str">
        <f>IF('Marks Entry'!AE131="","",'Marks Entry'!AE131)</f>
        <v/>
      </c>
      <c r="BL131" s="580" t="str">
        <f>IF('Marks Entry'!AF131="","",'Marks Entry'!AF131)</f>
        <v/>
      </c>
      <c r="BM131" s="581" t="str">
        <f t="shared" si="263"/>
        <v/>
      </c>
      <c r="BN131" s="580" t="str">
        <f>IF('Marks Entry'!AG131="","",'Marks Entry'!AG131)</f>
        <v/>
      </c>
      <c r="BO131" s="580" t="str">
        <f>IF('Marks Entry'!AH131="","",'Marks Entry'!AH131)</f>
        <v/>
      </c>
      <c r="BP131" s="581" t="str">
        <f t="shared" si="264"/>
        <v/>
      </c>
      <c r="BQ131" s="581" t="str">
        <f t="shared" si="265"/>
        <v/>
      </c>
      <c r="BR131" s="580" t="str">
        <f>IF('Marks Entry'!AI131="","",'Marks Entry'!AI131)</f>
        <v/>
      </c>
      <c r="BS131" s="580" t="str">
        <f>IF('Marks Entry'!AJ131="","",'Marks Entry'!AJ131)</f>
        <v/>
      </c>
      <c r="BT131" s="581" t="str">
        <f t="shared" si="266"/>
        <v/>
      </c>
      <c r="BU131" s="156" t="str">
        <f t="shared" si="267"/>
        <v/>
      </c>
      <c r="BV131" s="156" t="str">
        <f t="shared" si="268"/>
        <v/>
      </c>
      <c r="BW131" s="191" t="str">
        <f t="shared" si="269"/>
        <v/>
      </c>
      <c r="BX131" s="152">
        <f t="shared" si="270"/>
        <v>0</v>
      </c>
      <c r="BY131" s="153">
        <f t="shared" si="271"/>
        <v>0</v>
      </c>
      <c r="BZ131" s="153" t="str">
        <f t="shared" si="272"/>
        <v/>
      </c>
      <c r="CA131" s="153" t="str">
        <f t="shared" si="273"/>
        <v/>
      </c>
      <c r="CB131" s="153" t="str">
        <f t="shared" si="274"/>
        <v/>
      </c>
      <c r="CC131" s="152" t="str">
        <f t="shared" si="275"/>
        <v/>
      </c>
      <c r="CD131" s="153" t="str">
        <f t="shared" si="276"/>
        <v/>
      </c>
      <c r="CE131" s="152" t="str">
        <f t="shared" si="277"/>
        <v/>
      </c>
      <c r="CF131" s="580" t="str">
        <f>IF('Marks Entry'!AK131="","",'Marks Entry'!AK131)</f>
        <v/>
      </c>
      <c r="CG131" s="580" t="str">
        <f>IF('Marks Entry'!AL131="","",'Marks Entry'!AL131)</f>
        <v/>
      </c>
      <c r="CH131" s="580" t="str">
        <f>IF('Marks Entry'!AM131="","",'Marks Entry'!AM131)</f>
        <v/>
      </c>
      <c r="CI131" s="580" t="str">
        <f>IF('Marks Entry'!AN131="","",'Marks Entry'!AN131)</f>
        <v/>
      </c>
      <c r="CJ131" s="581" t="str">
        <f t="shared" si="278"/>
        <v/>
      </c>
      <c r="CK131" s="580" t="str">
        <f>IF('Marks Entry'!AO131="","",'Marks Entry'!AO131)</f>
        <v/>
      </c>
      <c r="CL131" s="580" t="str">
        <f>IF('Marks Entry'!AP131="","",'Marks Entry'!AP131)</f>
        <v/>
      </c>
      <c r="CM131" s="581" t="str">
        <f t="shared" si="279"/>
        <v/>
      </c>
      <c r="CN131" s="581" t="str">
        <f t="shared" si="280"/>
        <v/>
      </c>
      <c r="CO131" s="580" t="str">
        <f>IF('Marks Entry'!AQ131="","",'Marks Entry'!AQ131)</f>
        <v/>
      </c>
      <c r="CP131" s="580" t="str">
        <f>IF('Marks Entry'!AR131="","",'Marks Entry'!AR131)</f>
        <v/>
      </c>
      <c r="CQ131" s="581" t="str">
        <f t="shared" si="281"/>
        <v/>
      </c>
      <c r="CR131" s="156" t="str">
        <f t="shared" si="282"/>
        <v/>
      </c>
      <c r="CS131" s="156" t="str">
        <f t="shared" si="283"/>
        <v/>
      </c>
      <c r="CT131" s="191" t="str">
        <f t="shared" si="284"/>
        <v/>
      </c>
      <c r="CU131" s="152">
        <f t="shared" si="285"/>
        <v>0</v>
      </c>
      <c r="CV131" s="153">
        <f t="shared" si="286"/>
        <v>0</v>
      </c>
      <c r="CW131" s="153" t="str">
        <f t="shared" si="287"/>
        <v/>
      </c>
      <c r="CX131" s="153" t="str">
        <f t="shared" si="288"/>
        <v/>
      </c>
      <c r="CY131" s="153" t="str">
        <f t="shared" si="289"/>
        <v/>
      </c>
      <c r="CZ131" s="152" t="str">
        <f t="shared" si="290"/>
        <v/>
      </c>
      <c r="DA131" s="153" t="str">
        <f t="shared" si="291"/>
        <v/>
      </c>
      <c r="DB131" s="152" t="str">
        <f t="shared" si="292"/>
        <v/>
      </c>
      <c r="DC131" s="153">
        <f t="shared" si="293"/>
        <v>0</v>
      </c>
      <c r="DD131" s="851" t="str">
        <f>IF('Marks Entry'!AS131="","",IF(OR('Master Sheet'!$D$19="YES",'Marks Entry'!$BA$1=1),'Marks Entry'!AS131,""))</f>
        <v/>
      </c>
      <c r="DE131" s="851" t="str">
        <f>IF('Marks Entry'!AT131="","",IF(OR('Master Sheet'!$D$19="YES",'Marks Entry'!$BA$1=1),'Marks Entry'!AT131,""))</f>
        <v/>
      </c>
      <c r="DF131" s="851" t="str">
        <f>IF('Marks Entry'!AU131="","",IF(OR('Master Sheet'!$D$19="YES",'Marks Entry'!$BA$1=1),'Marks Entry'!AU131,""))</f>
        <v/>
      </c>
      <c r="DG131" s="851" t="str">
        <f>IF('Marks Entry'!AV131="","",IF(OR('Master Sheet'!$D$19="YES",'Marks Entry'!$BA$1=1),'Marks Entry'!AV131,""))</f>
        <v/>
      </c>
      <c r="DH131" s="852" t="str">
        <f t="shared" si="294"/>
        <v/>
      </c>
      <c r="DI131" s="851" t="str">
        <f>IF('Marks Entry'!AW131="","",IF(OR('Master Sheet'!$D$19="YES",'Marks Entry'!$BA$1=1),'Marks Entry'!AW131,""))</f>
        <v/>
      </c>
      <c r="DJ131" s="851" t="str">
        <f>IF('Marks Entry'!AX131="","",IF(OR('Master Sheet'!$D$19="YES",'Marks Entry'!$BA$1=1),'Marks Entry'!AX131,""))</f>
        <v/>
      </c>
      <c r="DK131" s="852" t="str">
        <f t="shared" si="295"/>
        <v/>
      </c>
      <c r="DL131" s="852" t="str">
        <f t="shared" si="296"/>
        <v/>
      </c>
      <c r="DM131" s="851" t="str">
        <f>IF('Marks Entry'!AY131="","",IF(OR('Master Sheet'!$D$19="YES",'Marks Entry'!$BA$1=1),'Marks Entry'!AY131,""))</f>
        <v/>
      </c>
      <c r="DN131" s="851" t="str">
        <f>IF('Marks Entry'!AZ131="","",IF(OR('Master Sheet'!$D$19="YES",'Marks Entry'!$BA$1=1),'Marks Entry'!AZ131,""))</f>
        <v/>
      </c>
      <c r="DO131" s="851" t="str">
        <f>IF('Marks Entry'!BA131="","",IF(OR('Master Sheet'!$D$19="YES",'Marks Entry'!$BA$1=1),'Marks Entry'!BA131,""))</f>
        <v/>
      </c>
      <c r="DP131" s="852" t="str">
        <f t="shared" si="297"/>
        <v/>
      </c>
      <c r="DQ131" s="156" t="str">
        <f t="shared" si="298"/>
        <v/>
      </c>
      <c r="DR131" s="156" t="str">
        <f t="shared" si="299"/>
        <v/>
      </c>
      <c r="DS131" s="156" t="str">
        <f t="shared" si="300"/>
        <v/>
      </c>
      <c r="DT131" s="191" t="str">
        <f t="shared" si="301"/>
        <v/>
      </c>
      <c r="DU131" s="152">
        <f t="shared" si="302"/>
        <v>0</v>
      </c>
      <c r="DV131" s="153">
        <f t="shared" si="303"/>
        <v>0</v>
      </c>
      <c r="DW131" s="153" t="str">
        <f t="shared" si="304"/>
        <v/>
      </c>
      <c r="DX131" s="153" t="str">
        <f>IF(OR($B131="NSO",$B131=0,DS131=""),"",IF(AND(DJ131="",DO131=""),"",IF('Master Sheet'!$D$19="YES",$DO$6-COUNTIF(DO131,"ML")*DO$6,DS$6-(COUNTIF(DJ131,"ML")*DJ$6)-(COUNTIF(DO131,"ML")*DO$6))))</f>
        <v/>
      </c>
      <c r="DY131" s="153" t="str">
        <f>IF(OR($B131="NSO",$B131=0),"",IF(AND(DH131="",DI131="",DM131=""),"",IF(AND('Master Sheet'!$D$19="YES",'Marks Entry'!$BA$1=1),100,IF(AND(DJ131="",DO131=""),SUM(($DQ$7+$DR$7)-(DU131+DV131)),SUM(($DQ$6+$DR$6)-(DU131+DV131))))))</f>
        <v/>
      </c>
      <c r="DZ131" s="152" t="str">
        <f t="shared" si="305"/>
        <v/>
      </c>
      <c r="EA131" s="153" t="str">
        <f t="shared" si="306"/>
        <v/>
      </c>
      <c r="EB131" s="152" t="str">
        <f t="shared" si="307"/>
        <v/>
      </c>
      <c r="EC131" s="584" t="str">
        <f>IF('Marks Entry'!BB131="","",'Marks Entry'!BB131)</f>
        <v/>
      </c>
      <c r="ED131" s="584" t="str">
        <f>IF('Marks Entry'!BC131="","",'Marks Entry'!BC131)</f>
        <v/>
      </c>
      <c r="EE131" s="584" t="str">
        <f>IF('Marks Entry'!BD131="","",'Marks Entry'!BD131)</f>
        <v/>
      </c>
      <c r="EF131" s="590" t="str">
        <f t="shared" si="308"/>
        <v/>
      </c>
      <c r="EG131" s="595">
        <f t="shared" si="309"/>
        <v>0</v>
      </c>
      <c r="EH131" s="595">
        <f t="shared" si="310"/>
        <v>0</v>
      </c>
      <c r="EI131" s="192" t="str">
        <f t="shared" si="311"/>
        <v/>
      </c>
      <c r="EJ131" s="595" t="str">
        <f t="shared" si="312"/>
        <v/>
      </c>
      <c r="EK131" s="595" t="str">
        <f t="shared" si="313"/>
        <v/>
      </c>
      <c r="EL131" s="193" t="str">
        <f t="shared" si="314"/>
        <v/>
      </c>
      <c r="EM131" s="193" t="str">
        <f t="shared" si="315"/>
        <v/>
      </c>
      <c r="EN131" s="193" t="str">
        <f t="shared" si="316"/>
        <v/>
      </c>
      <c r="EO131" s="193" t="str">
        <f t="shared" si="317"/>
        <v/>
      </c>
      <c r="EP131" s="193" t="str">
        <f t="shared" si="318"/>
        <v/>
      </c>
      <c r="EQ131" s="193" t="str">
        <f t="shared" si="319"/>
        <v/>
      </c>
      <c r="ER131" s="194">
        <f t="shared" si="320"/>
        <v>0</v>
      </c>
      <c r="ES131" s="194">
        <f t="shared" si="321"/>
        <v>0</v>
      </c>
      <c r="ET131" s="194">
        <f t="shared" si="322"/>
        <v>0</v>
      </c>
      <c r="EU131" s="194">
        <f t="shared" si="323"/>
        <v>0</v>
      </c>
      <c r="EV131" s="194">
        <f t="shared" si="324"/>
        <v>0</v>
      </c>
      <c r="EW131" s="194" t="str">
        <f t="shared" si="325"/>
        <v/>
      </c>
      <c r="EX131" s="195" t="str">
        <f t="shared" si="326"/>
        <v/>
      </c>
      <c r="EY131" s="196" t="str">
        <f>IF('Marks Entry'!BE131="","",'Marks Entry'!BE131)</f>
        <v/>
      </c>
      <c r="EZ131" s="196" t="str">
        <f>IF('Marks Entry'!BF131="","",'Marks Entry'!BF131)</f>
        <v/>
      </c>
      <c r="FA131" s="196" t="str">
        <f>IF('Marks Entry'!BG131="","",'Marks Entry'!BG131)</f>
        <v/>
      </c>
      <c r="FB131" s="596" t="str">
        <f t="shared" si="327"/>
        <v/>
      </c>
      <c r="FC131" s="196" t="str">
        <f>IF('Marks Entry'!BH131="","",'Marks Entry'!BH131)</f>
        <v/>
      </c>
      <c r="FD131" s="196" t="str">
        <f>IF('Marks Entry'!BI131="","",'Marks Entry'!BI131)</f>
        <v/>
      </c>
      <c r="FE131" s="197" t="str">
        <f t="shared" si="328"/>
        <v/>
      </c>
      <c r="FF131" s="198" t="str">
        <f t="shared" si="329"/>
        <v/>
      </c>
      <c r="FG131" s="199" t="str">
        <f>IF(AND(E131=""),"",IF('Student DATA Entry'!L127="","",'Student DATA Entry'!L127))</f>
        <v/>
      </c>
      <c r="FH131" s="200" t="str">
        <f>IF(AND(E131=""),"",IF('Student DATA Entry'!M127="","",'Student DATA Entry'!M127))</f>
        <v/>
      </c>
      <c r="FI131" s="201" t="str">
        <f t="shared" si="330"/>
        <v/>
      </c>
      <c r="FJ131" s="188" t="str">
        <f t="shared" si="331"/>
        <v/>
      </c>
      <c r="FK131" s="188" t="str">
        <f t="shared" si="332"/>
        <v/>
      </c>
      <c r="FL131" s="202" t="str">
        <f t="shared" si="360"/>
        <v/>
      </c>
      <c r="FM131" s="188" t="str">
        <f t="shared" si="333"/>
        <v/>
      </c>
      <c r="FN131" s="203" t="str">
        <f t="shared" si="334"/>
        <v/>
      </c>
      <c r="FO131" s="202" t="str">
        <f t="shared" si="361"/>
        <v/>
      </c>
      <c r="FP131" s="204" t="str">
        <f t="shared" si="335"/>
        <v/>
      </c>
      <c r="FQ131" s="188" t="str">
        <f t="shared" si="362"/>
        <v/>
      </c>
      <c r="FR131" s="188" t="str">
        <f t="shared" si="363"/>
        <v/>
      </c>
      <c r="FS131" s="188" t="str">
        <f t="shared" si="364"/>
        <v/>
      </c>
      <c r="FT131" s="188" t="str">
        <f t="shared" si="365"/>
        <v/>
      </c>
      <c r="FU131" s="188" t="str">
        <f t="shared" si="336"/>
        <v/>
      </c>
      <c r="FV131" s="205" t="str">
        <f t="shared" si="366"/>
        <v/>
      </c>
      <c r="FW131" s="204" t="str">
        <f t="shared" si="337"/>
        <v/>
      </c>
      <c r="FX131" s="188" t="str">
        <f t="shared" si="367"/>
        <v/>
      </c>
      <c r="FY131" s="188" t="str">
        <f t="shared" si="368"/>
        <v/>
      </c>
      <c r="FZ131" s="188" t="str">
        <f t="shared" si="369"/>
        <v/>
      </c>
      <c r="GA131" s="188" t="str">
        <f t="shared" si="370"/>
        <v/>
      </c>
      <c r="GB131" s="188" t="str">
        <f t="shared" si="338"/>
        <v/>
      </c>
      <c r="GC131" s="205" t="str">
        <f t="shared" si="371"/>
        <v/>
      </c>
      <c r="GD131" s="204" t="str">
        <f t="shared" si="339"/>
        <v/>
      </c>
      <c r="GE131" s="188" t="str">
        <f t="shared" si="372"/>
        <v/>
      </c>
      <c r="GF131" s="188" t="str">
        <f t="shared" si="373"/>
        <v/>
      </c>
      <c r="GG131" s="188" t="str">
        <f t="shared" si="374"/>
        <v/>
      </c>
      <c r="GH131" s="188" t="str">
        <f t="shared" si="375"/>
        <v/>
      </c>
      <c r="GI131" s="188" t="str">
        <f t="shared" si="340"/>
        <v/>
      </c>
      <c r="GJ131" s="205" t="str">
        <f t="shared" si="376"/>
        <v/>
      </c>
      <c r="GK131" s="204" t="str">
        <f t="shared" si="341"/>
        <v/>
      </c>
      <c r="GL131" s="188" t="str">
        <f t="shared" si="377"/>
        <v/>
      </c>
      <c r="GM131" s="188" t="str">
        <f t="shared" si="378"/>
        <v/>
      </c>
      <c r="GN131" s="188" t="str">
        <f t="shared" si="379"/>
        <v/>
      </c>
      <c r="GO131" s="188" t="str">
        <f t="shared" si="380"/>
        <v/>
      </c>
      <c r="GP131" s="188" t="str">
        <f t="shared" si="342"/>
        <v/>
      </c>
      <c r="GQ131" s="205" t="str">
        <f t="shared" si="381"/>
        <v/>
      </c>
      <c r="GR131" s="188" t="str">
        <f t="shared" si="343"/>
        <v/>
      </c>
      <c r="GS131" s="188" t="str">
        <f t="shared" si="344"/>
        <v/>
      </c>
      <c r="GT131" s="206" t="str">
        <f t="shared" si="345"/>
        <v xml:space="preserve">    </v>
      </c>
      <c r="GU131" s="206" t="str">
        <f t="shared" si="346"/>
        <v xml:space="preserve">    </v>
      </c>
      <c r="GV131" s="206" t="str">
        <f t="shared" si="347"/>
        <v xml:space="preserve">    </v>
      </c>
      <c r="GW131" s="206" t="str">
        <f t="shared" si="348"/>
        <v xml:space="preserve">       </v>
      </c>
      <c r="GX131" s="598" t="str">
        <f t="shared" si="349"/>
        <v xml:space="preserve">     </v>
      </c>
      <c r="GY131" s="207" t="str">
        <f t="shared" si="382"/>
        <v/>
      </c>
      <c r="GZ131" s="606" t="str">
        <f>IF(AND(Q131="",AE131="",AZ131="",BW131="",CT131=""),"",IF(AND('Master Sheet'!$D$19="YES",'Marks Entry'!$BA$1=1),SUM(Q131,AE131,AZ131,BW131,DT131),SUM(Q131,AE131,AZ131,BW131,CT131)))</f>
        <v/>
      </c>
      <c r="HA131" s="208" t="str">
        <f>IF(GZ131="","",IF(AND('Master Sheet'!$D$19="YES",'Marks Entry'!$BA$1=1),GZ131/((900)-DC131)*100,GZ131/((1000)-DC131)*100))</f>
        <v/>
      </c>
      <c r="HB131" s="611" t="str">
        <f t="shared" si="350"/>
        <v/>
      </c>
      <c r="HC131" s="609" t="str">
        <f t="shared" si="351"/>
        <v/>
      </c>
      <c r="HD131" s="610" t="str">
        <f t="shared" si="352"/>
        <v/>
      </c>
      <c r="HE131" s="209" t="str">
        <f>IFERROR(IF(OR(GY131="SUPPLEMENTARY",GY131="RE-EXAM"),'Supp. Result Entry'!AS130,""),"")</f>
        <v/>
      </c>
      <c r="HF131" s="613" t="str">
        <f t="shared" si="353"/>
        <v/>
      </c>
      <c r="HG131" s="598" t="str">
        <f t="shared" si="354"/>
        <v/>
      </c>
      <c r="HH131" s="598" t="str">
        <f>IF(AND(HE131="",HF131="",HG131=""),"",IF(OR(GY131="SUPPLEMENTARY",GY131="RE-EXAM"),'Supp. Result Entry'!AS130,GY131))</f>
        <v/>
      </c>
      <c r="HI131" s="179"/>
      <c r="HY131" s="211" t="str">
        <f>IF('Supp. Result Entry'!U130="","",'Supp. Result Entry'!$U$6)</f>
        <v/>
      </c>
      <c r="HZ131" s="212" t="str">
        <f>IF('Supp. Result Entry'!X130="","",'Supp. Result Entry'!$X$6)</f>
        <v/>
      </c>
      <c r="IA131" s="212" t="str">
        <f>IF('Supp. Result Entry'!AA130="","",'Supp. Result Entry'!$AA$6)</f>
        <v/>
      </c>
      <c r="IB131" s="212" t="str">
        <f>IF('Supp. Result Entry'!AD130="","",'Supp. Result Entry'!$AD$6)</f>
        <v/>
      </c>
      <c r="IC131" s="212" t="str">
        <f>IF('Supp. Result Entry'!AG130="","",'Supp. Result Entry'!$AG$6)</f>
        <v/>
      </c>
      <c r="ID131" s="212" t="str">
        <f>IF('Supp. Result Entry'!AJ130="","",'Supp. Result Entry'!$AJ$6)</f>
        <v/>
      </c>
      <c r="IE131" s="212" t="str">
        <f>IF('Supp. Result Entry'!V130="","",'Supp. Result Entry'!V130)</f>
        <v/>
      </c>
      <c r="IF131" s="212" t="str">
        <f>IF('Supp. Result Entry'!Y130="","",'Supp. Result Entry'!Y130)</f>
        <v/>
      </c>
      <c r="IG131" s="212" t="str">
        <f>IF('Supp. Result Entry'!AB130="","",'Supp. Result Entry'!AB130)</f>
        <v/>
      </c>
      <c r="IH131" s="212" t="str">
        <f>IF('Supp. Result Entry'!AE130="","",'Supp. Result Entry'!AE130)</f>
        <v/>
      </c>
      <c r="II131" s="212" t="str">
        <f>IF('Supp. Result Entry'!AH130="","",'Supp. Result Entry'!AH130)</f>
        <v/>
      </c>
      <c r="IJ131" s="212" t="str">
        <f>IF('Supp. Result Entry'!AK130="","",'Supp. Result Entry'!AK130)</f>
        <v/>
      </c>
      <c r="IK131" s="212" t="str">
        <f>IF('Supp. Result Entry'!W130="","",'Supp. Result Entry'!W130)</f>
        <v/>
      </c>
      <c r="IL131" s="212" t="str">
        <f>IF('Supp. Result Entry'!Z130="","",'Supp. Result Entry'!Z130)</f>
        <v/>
      </c>
      <c r="IM131" s="212" t="str">
        <f>IF('Supp. Result Entry'!AC130="","",'Supp. Result Entry'!AC130)</f>
        <v/>
      </c>
      <c r="IN131" s="212" t="str">
        <f>IF('Supp. Result Entry'!AF130="","",'Supp. Result Entry'!AF130)</f>
        <v/>
      </c>
      <c r="IO131" s="212" t="str">
        <f>IF('Supp. Result Entry'!AI130="","",'Supp. Result Entry'!AI130)</f>
        <v/>
      </c>
      <c r="IP131" s="212" t="str">
        <f>IF('Supp. Result Entry'!AL130="","",'Supp. Result Entry'!AL130)</f>
        <v/>
      </c>
      <c r="IQ131" s="212">
        <f>COUNTIF('Supp. Result Entry'!K130:Q130,"S")</f>
        <v>0</v>
      </c>
      <c r="IR131" s="212">
        <f t="shared" si="355"/>
        <v>0</v>
      </c>
      <c r="IS131" s="212">
        <f t="shared" si="356"/>
        <v>0</v>
      </c>
      <c r="IT131" s="212" t="str">
        <f t="shared" si="224"/>
        <v/>
      </c>
      <c r="IU131" s="212" t="str">
        <f t="shared" si="225"/>
        <v/>
      </c>
      <c r="IV131" s="212" t="str">
        <f t="shared" si="226"/>
        <v/>
      </c>
      <c r="IW131" s="212" t="str">
        <f t="shared" si="227"/>
        <v/>
      </c>
      <c r="IX131" s="212" t="str">
        <f t="shared" si="228"/>
        <v/>
      </c>
      <c r="IY131" s="212" t="str">
        <f t="shared" si="357"/>
        <v/>
      </c>
      <c r="IZ131" s="212" t="str">
        <f t="shared" si="358"/>
        <v/>
      </c>
      <c r="JA131" s="212" t="str">
        <f t="shared" si="229"/>
        <v/>
      </c>
      <c r="JB131" s="210" t="str">
        <f t="shared" si="359"/>
        <v/>
      </c>
    </row>
    <row r="132" spans="1:262" s="210" customFormat="1" ht="21" customHeight="1">
      <c r="A132" s="183">
        <v>125</v>
      </c>
      <c r="B132" s="184" t="str">
        <f>IF('Marks Entry'!B132="","",'Marks Entry'!B132)</f>
        <v/>
      </c>
      <c r="C132" s="185" t="str">
        <f>IF('Marks Entry'!D132="","",'Marks Entry'!D132)</f>
        <v/>
      </c>
      <c r="D132" s="186" t="str">
        <f>IF('Marks Entry'!E132="","",'Marks Entry'!E132)</f>
        <v/>
      </c>
      <c r="E132" s="187" t="str">
        <f>IF('Marks Entry'!F132="","",'Marks Entry'!F132)</f>
        <v/>
      </c>
      <c r="F132" s="187" t="str">
        <f>IF('Marks Entry'!G132="","",'Marks Entry'!G132)</f>
        <v/>
      </c>
      <c r="G132" s="187" t="str">
        <f>IF('Marks Entry'!H132="","",'Marks Entry'!H132)</f>
        <v/>
      </c>
      <c r="H132" s="188" t="str">
        <f>IF('Marks Entry'!I132="","",'Marks Entry'!I132)</f>
        <v/>
      </c>
      <c r="I132" s="189" t="str">
        <f>IF('Marks Entry'!J132="","",'Marks Entry'!J132)</f>
        <v/>
      </c>
      <c r="J132" s="545" t="str">
        <f>IF('Marks Entry'!K132="","",'Marks Entry'!K132)</f>
        <v/>
      </c>
      <c r="K132" s="545" t="str">
        <f>IF('Marks Entry'!L132="","",'Marks Entry'!L132)</f>
        <v/>
      </c>
      <c r="L132" s="545" t="str">
        <f>IF('Marks Entry'!M132="","",'Marks Entry'!M132)</f>
        <v/>
      </c>
      <c r="M132" s="546" t="str">
        <f t="shared" si="230"/>
        <v/>
      </c>
      <c r="N132" s="545" t="str">
        <f>IF('Marks Entry'!N132="","",'Marks Entry'!N132)</f>
        <v/>
      </c>
      <c r="O132" s="546" t="str">
        <f t="shared" si="231"/>
        <v/>
      </c>
      <c r="P132" s="545" t="str">
        <f>IF('Marks Entry'!O132="","",'Marks Entry'!O132)</f>
        <v/>
      </c>
      <c r="Q132" s="547" t="str">
        <f t="shared" si="232"/>
        <v/>
      </c>
      <c r="R132" s="152">
        <f t="shared" si="233"/>
        <v>0</v>
      </c>
      <c r="S132" s="152">
        <f t="shared" si="234"/>
        <v>0</v>
      </c>
      <c r="T132" s="153" t="str">
        <f t="shared" si="235"/>
        <v/>
      </c>
      <c r="U132" s="152" t="str">
        <f t="shared" si="236"/>
        <v/>
      </c>
      <c r="V132" s="152" t="str">
        <f t="shared" si="237"/>
        <v/>
      </c>
      <c r="W132" s="152" t="str">
        <f t="shared" si="238"/>
        <v/>
      </c>
      <c r="X132" s="545" t="str">
        <f>IF('Marks Entry'!P132="","",'Marks Entry'!P132)</f>
        <v/>
      </c>
      <c r="Y132" s="545" t="str">
        <f>IF('Marks Entry'!Q132="","",'Marks Entry'!Q132)</f>
        <v/>
      </c>
      <c r="Z132" s="545" t="str">
        <f>IF('Marks Entry'!R132="","",'Marks Entry'!R132)</f>
        <v/>
      </c>
      <c r="AA132" s="546" t="str">
        <f t="shared" si="239"/>
        <v/>
      </c>
      <c r="AB132" s="545" t="str">
        <f>IF('Marks Entry'!S132="","",'Marks Entry'!S132)</f>
        <v/>
      </c>
      <c r="AC132" s="546" t="str">
        <f t="shared" si="240"/>
        <v/>
      </c>
      <c r="AD132" s="545" t="str">
        <f>IF('Marks Entry'!T132="","",'Marks Entry'!T132)</f>
        <v/>
      </c>
      <c r="AE132" s="547" t="str">
        <f t="shared" si="241"/>
        <v/>
      </c>
      <c r="AF132" s="152">
        <f t="shared" si="242"/>
        <v>0</v>
      </c>
      <c r="AG132" s="152">
        <f t="shared" si="243"/>
        <v>0</v>
      </c>
      <c r="AH132" s="153" t="str">
        <f t="shared" si="244"/>
        <v/>
      </c>
      <c r="AI132" s="152" t="str">
        <f t="shared" si="245"/>
        <v/>
      </c>
      <c r="AJ132" s="152" t="str">
        <f t="shared" si="246"/>
        <v/>
      </c>
      <c r="AK132" s="152" t="str">
        <f t="shared" si="247"/>
        <v/>
      </c>
      <c r="AL132" s="573" t="str">
        <f>IF('Marks Entry'!U132="","",'Marks Entry'!U132)</f>
        <v/>
      </c>
      <c r="AM132" s="573" t="str">
        <f>IF('Marks Entry'!V132="","",'Marks Entry'!V132)</f>
        <v/>
      </c>
      <c r="AN132" s="573" t="str">
        <f>IF('Marks Entry'!W132="","",'Marks Entry'!W132)</f>
        <v/>
      </c>
      <c r="AO132" s="573" t="str">
        <f>IF('Marks Entry'!X132="","",'Marks Entry'!X132)</f>
        <v/>
      </c>
      <c r="AP132" s="572" t="str">
        <f t="shared" si="248"/>
        <v/>
      </c>
      <c r="AQ132" s="573" t="str">
        <f>IF('Marks Entry'!Y132="","",'Marks Entry'!Y132)</f>
        <v/>
      </c>
      <c r="AR132" s="573" t="str">
        <f>IF('Marks Entry'!Z132="","",'Marks Entry'!Z132)</f>
        <v/>
      </c>
      <c r="AS132" s="572" t="str">
        <f t="shared" si="249"/>
        <v/>
      </c>
      <c r="AT132" s="572" t="str">
        <f t="shared" si="250"/>
        <v/>
      </c>
      <c r="AU132" s="573" t="str">
        <f>IF('Marks Entry'!AA132="","",'Marks Entry'!AA132)</f>
        <v/>
      </c>
      <c r="AV132" s="573" t="str">
        <f>IF('Marks Entry'!AB132="","",'Marks Entry'!AB132)</f>
        <v/>
      </c>
      <c r="AW132" s="572" t="str">
        <f t="shared" si="251"/>
        <v/>
      </c>
      <c r="AX132" s="156" t="str">
        <f t="shared" si="252"/>
        <v/>
      </c>
      <c r="AY132" s="156" t="str">
        <f t="shared" si="253"/>
        <v/>
      </c>
      <c r="AZ132" s="191" t="str">
        <f t="shared" si="254"/>
        <v/>
      </c>
      <c r="BA132" s="152">
        <f t="shared" si="255"/>
        <v>0</v>
      </c>
      <c r="BB132" s="153">
        <f t="shared" si="256"/>
        <v>0</v>
      </c>
      <c r="BC132" s="153" t="str">
        <f t="shared" si="257"/>
        <v/>
      </c>
      <c r="BD132" s="153" t="str">
        <f t="shared" si="258"/>
        <v/>
      </c>
      <c r="BE132" s="153" t="str">
        <f t="shared" si="259"/>
        <v/>
      </c>
      <c r="BF132" s="152" t="str">
        <f t="shared" si="260"/>
        <v/>
      </c>
      <c r="BG132" s="153" t="str">
        <f t="shared" si="261"/>
        <v/>
      </c>
      <c r="BH132" s="152" t="str">
        <f t="shared" si="262"/>
        <v/>
      </c>
      <c r="BI132" s="580" t="str">
        <f>IF('Marks Entry'!AC132="","",'Marks Entry'!AC132)</f>
        <v/>
      </c>
      <c r="BJ132" s="580" t="str">
        <f>IF('Marks Entry'!AD132="","",'Marks Entry'!AD132)</f>
        <v/>
      </c>
      <c r="BK132" s="580" t="str">
        <f>IF('Marks Entry'!AE132="","",'Marks Entry'!AE132)</f>
        <v/>
      </c>
      <c r="BL132" s="580" t="str">
        <f>IF('Marks Entry'!AF132="","",'Marks Entry'!AF132)</f>
        <v/>
      </c>
      <c r="BM132" s="581" t="str">
        <f t="shared" si="263"/>
        <v/>
      </c>
      <c r="BN132" s="580" t="str">
        <f>IF('Marks Entry'!AG132="","",'Marks Entry'!AG132)</f>
        <v/>
      </c>
      <c r="BO132" s="580" t="str">
        <f>IF('Marks Entry'!AH132="","",'Marks Entry'!AH132)</f>
        <v/>
      </c>
      <c r="BP132" s="581" t="str">
        <f t="shared" si="264"/>
        <v/>
      </c>
      <c r="BQ132" s="581" t="str">
        <f t="shared" si="265"/>
        <v/>
      </c>
      <c r="BR132" s="580" t="str">
        <f>IF('Marks Entry'!AI132="","",'Marks Entry'!AI132)</f>
        <v/>
      </c>
      <c r="BS132" s="580" t="str">
        <f>IF('Marks Entry'!AJ132="","",'Marks Entry'!AJ132)</f>
        <v/>
      </c>
      <c r="BT132" s="581" t="str">
        <f t="shared" si="266"/>
        <v/>
      </c>
      <c r="BU132" s="156" t="str">
        <f t="shared" si="267"/>
        <v/>
      </c>
      <c r="BV132" s="156" t="str">
        <f t="shared" si="268"/>
        <v/>
      </c>
      <c r="BW132" s="191" t="str">
        <f t="shared" si="269"/>
        <v/>
      </c>
      <c r="BX132" s="152">
        <f t="shared" si="270"/>
        <v>0</v>
      </c>
      <c r="BY132" s="153">
        <f t="shared" si="271"/>
        <v>0</v>
      </c>
      <c r="BZ132" s="153" t="str">
        <f t="shared" si="272"/>
        <v/>
      </c>
      <c r="CA132" s="153" t="str">
        <f t="shared" si="273"/>
        <v/>
      </c>
      <c r="CB132" s="153" t="str">
        <f t="shared" si="274"/>
        <v/>
      </c>
      <c r="CC132" s="152" t="str">
        <f t="shared" si="275"/>
        <v/>
      </c>
      <c r="CD132" s="153" t="str">
        <f t="shared" si="276"/>
        <v/>
      </c>
      <c r="CE132" s="152" t="str">
        <f t="shared" si="277"/>
        <v/>
      </c>
      <c r="CF132" s="580" t="str">
        <f>IF('Marks Entry'!AK132="","",'Marks Entry'!AK132)</f>
        <v/>
      </c>
      <c r="CG132" s="580" t="str">
        <f>IF('Marks Entry'!AL132="","",'Marks Entry'!AL132)</f>
        <v/>
      </c>
      <c r="CH132" s="580" t="str">
        <f>IF('Marks Entry'!AM132="","",'Marks Entry'!AM132)</f>
        <v/>
      </c>
      <c r="CI132" s="580" t="str">
        <f>IF('Marks Entry'!AN132="","",'Marks Entry'!AN132)</f>
        <v/>
      </c>
      <c r="CJ132" s="581" t="str">
        <f t="shared" si="278"/>
        <v/>
      </c>
      <c r="CK132" s="580" t="str">
        <f>IF('Marks Entry'!AO132="","",'Marks Entry'!AO132)</f>
        <v/>
      </c>
      <c r="CL132" s="580" t="str">
        <f>IF('Marks Entry'!AP132="","",'Marks Entry'!AP132)</f>
        <v/>
      </c>
      <c r="CM132" s="581" t="str">
        <f t="shared" si="279"/>
        <v/>
      </c>
      <c r="CN132" s="581" t="str">
        <f t="shared" si="280"/>
        <v/>
      </c>
      <c r="CO132" s="580" t="str">
        <f>IF('Marks Entry'!AQ132="","",'Marks Entry'!AQ132)</f>
        <v/>
      </c>
      <c r="CP132" s="580" t="str">
        <f>IF('Marks Entry'!AR132="","",'Marks Entry'!AR132)</f>
        <v/>
      </c>
      <c r="CQ132" s="581" t="str">
        <f t="shared" si="281"/>
        <v/>
      </c>
      <c r="CR132" s="156" t="str">
        <f t="shared" si="282"/>
        <v/>
      </c>
      <c r="CS132" s="156" t="str">
        <f t="shared" si="283"/>
        <v/>
      </c>
      <c r="CT132" s="191" t="str">
        <f t="shared" si="284"/>
        <v/>
      </c>
      <c r="CU132" s="152">
        <f t="shared" si="285"/>
        <v>0</v>
      </c>
      <c r="CV132" s="153">
        <f t="shared" si="286"/>
        <v>0</v>
      </c>
      <c r="CW132" s="153" t="str">
        <f t="shared" si="287"/>
        <v/>
      </c>
      <c r="CX132" s="153" t="str">
        <f t="shared" si="288"/>
        <v/>
      </c>
      <c r="CY132" s="153" t="str">
        <f t="shared" si="289"/>
        <v/>
      </c>
      <c r="CZ132" s="152" t="str">
        <f t="shared" si="290"/>
        <v/>
      </c>
      <c r="DA132" s="153" t="str">
        <f t="shared" si="291"/>
        <v/>
      </c>
      <c r="DB132" s="152" t="str">
        <f t="shared" si="292"/>
        <v/>
      </c>
      <c r="DC132" s="153">
        <f t="shared" si="293"/>
        <v>0</v>
      </c>
      <c r="DD132" s="851" t="str">
        <f>IF('Marks Entry'!AS132="","",IF(OR('Master Sheet'!$D$19="YES",'Marks Entry'!$BA$1=1),'Marks Entry'!AS132,""))</f>
        <v/>
      </c>
      <c r="DE132" s="851" t="str">
        <f>IF('Marks Entry'!AT132="","",IF(OR('Master Sheet'!$D$19="YES",'Marks Entry'!$BA$1=1),'Marks Entry'!AT132,""))</f>
        <v/>
      </c>
      <c r="DF132" s="851" t="str">
        <f>IF('Marks Entry'!AU132="","",IF(OR('Master Sheet'!$D$19="YES",'Marks Entry'!$BA$1=1),'Marks Entry'!AU132,""))</f>
        <v/>
      </c>
      <c r="DG132" s="851" t="str">
        <f>IF('Marks Entry'!AV132="","",IF(OR('Master Sheet'!$D$19="YES",'Marks Entry'!$BA$1=1),'Marks Entry'!AV132,""))</f>
        <v/>
      </c>
      <c r="DH132" s="852" t="str">
        <f t="shared" si="294"/>
        <v/>
      </c>
      <c r="DI132" s="851" t="str">
        <f>IF('Marks Entry'!AW132="","",IF(OR('Master Sheet'!$D$19="YES",'Marks Entry'!$BA$1=1),'Marks Entry'!AW132,""))</f>
        <v/>
      </c>
      <c r="DJ132" s="851" t="str">
        <f>IF('Marks Entry'!AX132="","",IF(OR('Master Sheet'!$D$19="YES",'Marks Entry'!$BA$1=1),'Marks Entry'!AX132,""))</f>
        <v/>
      </c>
      <c r="DK132" s="852" t="str">
        <f t="shared" si="295"/>
        <v/>
      </c>
      <c r="DL132" s="852" t="str">
        <f t="shared" si="296"/>
        <v/>
      </c>
      <c r="DM132" s="851" t="str">
        <f>IF('Marks Entry'!AY132="","",IF(OR('Master Sheet'!$D$19="YES",'Marks Entry'!$BA$1=1),'Marks Entry'!AY132,""))</f>
        <v/>
      </c>
      <c r="DN132" s="851" t="str">
        <f>IF('Marks Entry'!AZ132="","",IF(OR('Master Sheet'!$D$19="YES",'Marks Entry'!$BA$1=1),'Marks Entry'!AZ132,""))</f>
        <v/>
      </c>
      <c r="DO132" s="851" t="str">
        <f>IF('Marks Entry'!BA132="","",IF(OR('Master Sheet'!$D$19="YES",'Marks Entry'!$BA$1=1),'Marks Entry'!BA132,""))</f>
        <v/>
      </c>
      <c r="DP132" s="852" t="str">
        <f t="shared" si="297"/>
        <v/>
      </c>
      <c r="DQ132" s="156" t="str">
        <f t="shared" si="298"/>
        <v/>
      </c>
      <c r="DR132" s="156" t="str">
        <f t="shared" si="299"/>
        <v/>
      </c>
      <c r="DS132" s="156" t="str">
        <f t="shared" si="300"/>
        <v/>
      </c>
      <c r="DT132" s="191" t="str">
        <f t="shared" si="301"/>
        <v/>
      </c>
      <c r="DU132" s="152">
        <f t="shared" si="302"/>
        <v>0</v>
      </c>
      <c r="DV132" s="153">
        <f t="shared" si="303"/>
        <v>0</v>
      </c>
      <c r="DW132" s="153" t="str">
        <f t="shared" si="304"/>
        <v/>
      </c>
      <c r="DX132" s="153" t="str">
        <f>IF(OR($B132="NSO",$B132=0,DS132=""),"",IF(AND(DJ132="",DO132=""),"",IF('Master Sheet'!$D$19="YES",$DO$6-COUNTIF(DO132,"ML")*DO$6,DS$6-(COUNTIF(DJ132,"ML")*DJ$6)-(COUNTIF(DO132,"ML")*DO$6))))</f>
        <v/>
      </c>
      <c r="DY132" s="153" t="str">
        <f>IF(OR($B132="NSO",$B132=0),"",IF(AND(DH132="",DI132="",DM132=""),"",IF(AND('Master Sheet'!$D$19="YES",'Marks Entry'!$BA$1=1),100,IF(AND(DJ132="",DO132=""),SUM(($DQ$7+$DR$7)-(DU132+DV132)),SUM(($DQ$6+$DR$6)-(DU132+DV132))))))</f>
        <v/>
      </c>
      <c r="DZ132" s="152" t="str">
        <f t="shared" si="305"/>
        <v/>
      </c>
      <c r="EA132" s="153" t="str">
        <f t="shared" si="306"/>
        <v/>
      </c>
      <c r="EB132" s="152" t="str">
        <f t="shared" si="307"/>
        <v/>
      </c>
      <c r="EC132" s="584" t="str">
        <f>IF('Marks Entry'!BB132="","",'Marks Entry'!BB132)</f>
        <v/>
      </c>
      <c r="ED132" s="584" t="str">
        <f>IF('Marks Entry'!BC132="","",'Marks Entry'!BC132)</f>
        <v/>
      </c>
      <c r="EE132" s="584" t="str">
        <f>IF('Marks Entry'!BD132="","",'Marks Entry'!BD132)</f>
        <v/>
      </c>
      <c r="EF132" s="590" t="str">
        <f t="shared" si="308"/>
        <v/>
      </c>
      <c r="EG132" s="595">
        <f t="shared" si="309"/>
        <v>0</v>
      </c>
      <c r="EH132" s="595">
        <f t="shared" si="310"/>
        <v>0</v>
      </c>
      <c r="EI132" s="192" t="str">
        <f t="shared" si="311"/>
        <v/>
      </c>
      <c r="EJ132" s="595" t="str">
        <f t="shared" si="312"/>
        <v/>
      </c>
      <c r="EK132" s="595" t="str">
        <f t="shared" si="313"/>
        <v/>
      </c>
      <c r="EL132" s="193" t="str">
        <f t="shared" si="314"/>
        <v/>
      </c>
      <c r="EM132" s="193" t="str">
        <f t="shared" si="315"/>
        <v/>
      </c>
      <c r="EN132" s="193" t="str">
        <f t="shared" si="316"/>
        <v/>
      </c>
      <c r="EO132" s="193" t="str">
        <f t="shared" si="317"/>
        <v/>
      </c>
      <c r="EP132" s="193" t="str">
        <f t="shared" si="318"/>
        <v/>
      </c>
      <c r="EQ132" s="193" t="str">
        <f t="shared" si="319"/>
        <v/>
      </c>
      <c r="ER132" s="194">
        <f t="shared" si="320"/>
        <v>0</v>
      </c>
      <c r="ES132" s="194">
        <f t="shared" si="321"/>
        <v>0</v>
      </c>
      <c r="ET132" s="194">
        <f t="shared" si="322"/>
        <v>0</v>
      </c>
      <c r="EU132" s="194">
        <f t="shared" si="323"/>
        <v>0</v>
      </c>
      <c r="EV132" s="194">
        <f t="shared" si="324"/>
        <v>0</v>
      </c>
      <c r="EW132" s="194" t="str">
        <f t="shared" si="325"/>
        <v/>
      </c>
      <c r="EX132" s="195" t="str">
        <f t="shared" si="326"/>
        <v/>
      </c>
      <c r="EY132" s="196" t="str">
        <f>IF('Marks Entry'!BE132="","",'Marks Entry'!BE132)</f>
        <v/>
      </c>
      <c r="EZ132" s="196" t="str">
        <f>IF('Marks Entry'!BF132="","",'Marks Entry'!BF132)</f>
        <v/>
      </c>
      <c r="FA132" s="196" t="str">
        <f>IF('Marks Entry'!BG132="","",'Marks Entry'!BG132)</f>
        <v/>
      </c>
      <c r="FB132" s="596" t="str">
        <f t="shared" si="327"/>
        <v/>
      </c>
      <c r="FC132" s="196" t="str">
        <f>IF('Marks Entry'!BH132="","",'Marks Entry'!BH132)</f>
        <v/>
      </c>
      <c r="FD132" s="196" t="str">
        <f>IF('Marks Entry'!BI132="","",'Marks Entry'!BI132)</f>
        <v/>
      </c>
      <c r="FE132" s="197" t="str">
        <f t="shared" si="328"/>
        <v/>
      </c>
      <c r="FF132" s="198" t="str">
        <f t="shared" si="329"/>
        <v/>
      </c>
      <c r="FG132" s="199" t="str">
        <f>IF(AND(E132=""),"",IF('Student DATA Entry'!L128="","",'Student DATA Entry'!L128))</f>
        <v/>
      </c>
      <c r="FH132" s="200" t="str">
        <f>IF(AND(E132=""),"",IF('Student DATA Entry'!M128="","",'Student DATA Entry'!M128))</f>
        <v/>
      </c>
      <c r="FI132" s="201" t="str">
        <f t="shared" si="330"/>
        <v/>
      </c>
      <c r="FJ132" s="188" t="str">
        <f t="shared" si="331"/>
        <v/>
      </c>
      <c r="FK132" s="188" t="str">
        <f t="shared" si="332"/>
        <v/>
      </c>
      <c r="FL132" s="202" t="str">
        <f t="shared" si="360"/>
        <v/>
      </c>
      <c r="FM132" s="188" t="str">
        <f t="shared" si="333"/>
        <v/>
      </c>
      <c r="FN132" s="203" t="str">
        <f t="shared" si="334"/>
        <v/>
      </c>
      <c r="FO132" s="202" t="str">
        <f t="shared" si="361"/>
        <v/>
      </c>
      <c r="FP132" s="204" t="str">
        <f t="shared" si="335"/>
        <v/>
      </c>
      <c r="FQ132" s="188" t="str">
        <f t="shared" si="362"/>
        <v/>
      </c>
      <c r="FR132" s="188" t="str">
        <f t="shared" si="363"/>
        <v/>
      </c>
      <c r="FS132" s="188" t="str">
        <f t="shared" si="364"/>
        <v/>
      </c>
      <c r="FT132" s="188" t="str">
        <f t="shared" si="365"/>
        <v/>
      </c>
      <c r="FU132" s="188" t="str">
        <f t="shared" si="336"/>
        <v/>
      </c>
      <c r="FV132" s="205" t="str">
        <f t="shared" si="366"/>
        <v/>
      </c>
      <c r="FW132" s="204" t="str">
        <f t="shared" si="337"/>
        <v/>
      </c>
      <c r="FX132" s="188" t="str">
        <f t="shared" si="367"/>
        <v/>
      </c>
      <c r="FY132" s="188" t="str">
        <f t="shared" si="368"/>
        <v/>
      </c>
      <c r="FZ132" s="188" t="str">
        <f t="shared" si="369"/>
        <v/>
      </c>
      <c r="GA132" s="188" t="str">
        <f t="shared" si="370"/>
        <v/>
      </c>
      <c r="GB132" s="188" t="str">
        <f t="shared" si="338"/>
        <v/>
      </c>
      <c r="GC132" s="205" t="str">
        <f t="shared" si="371"/>
        <v/>
      </c>
      <c r="GD132" s="204" t="str">
        <f t="shared" si="339"/>
        <v/>
      </c>
      <c r="GE132" s="188" t="str">
        <f t="shared" si="372"/>
        <v/>
      </c>
      <c r="GF132" s="188" t="str">
        <f t="shared" si="373"/>
        <v/>
      </c>
      <c r="GG132" s="188" t="str">
        <f t="shared" si="374"/>
        <v/>
      </c>
      <c r="GH132" s="188" t="str">
        <f t="shared" si="375"/>
        <v/>
      </c>
      <c r="GI132" s="188" t="str">
        <f t="shared" si="340"/>
        <v/>
      </c>
      <c r="GJ132" s="205" t="str">
        <f t="shared" si="376"/>
        <v/>
      </c>
      <c r="GK132" s="204" t="str">
        <f t="shared" si="341"/>
        <v/>
      </c>
      <c r="GL132" s="188" t="str">
        <f t="shared" si="377"/>
        <v/>
      </c>
      <c r="GM132" s="188" t="str">
        <f t="shared" si="378"/>
        <v/>
      </c>
      <c r="GN132" s="188" t="str">
        <f t="shared" si="379"/>
        <v/>
      </c>
      <c r="GO132" s="188" t="str">
        <f t="shared" si="380"/>
        <v/>
      </c>
      <c r="GP132" s="188" t="str">
        <f t="shared" si="342"/>
        <v/>
      </c>
      <c r="GQ132" s="205" t="str">
        <f t="shared" si="381"/>
        <v/>
      </c>
      <c r="GR132" s="188" t="str">
        <f t="shared" si="343"/>
        <v/>
      </c>
      <c r="GS132" s="188" t="str">
        <f t="shared" si="344"/>
        <v/>
      </c>
      <c r="GT132" s="206" t="str">
        <f t="shared" si="345"/>
        <v xml:space="preserve">    </v>
      </c>
      <c r="GU132" s="206" t="str">
        <f t="shared" si="346"/>
        <v xml:space="preserve">    </v>
      </c>
      <c r="GV132" s="206" t="str">
        <f t="shared" si="347"/>
        <v xml:space="preserve">    </v>
      </c>
      <c r="GW132" s="206" t="str">
        <f t="shared" si="348"/>
        <v xml:space="preserve">       </v>
      </c>
      <c r="GX132" s="598" t="str">
        <f t="shared" si="349"/>
        <v xml:space="preserve">     </v>
      </c>
      <c r="GY132" s="207" t="str">
        <f t="shared" si="382"/>
        <v/>
      </c>
      <c r="GZ132" s="606" t="str">
        <f>IF(AND(Q132="",AE132="",AZ132="",BW132="",CT132=""),"",IF(AND('Master Sheet'!$D$19="YES",'Marks Entry'!$BA$1=1),SUM(Q132,AE132,AZ132,BW132,DT132),SUM(Q132,AE132,AZ132,BW132,CT132)))</f>
        <v/>
      </c>
      <c r="HA132" s="208" t="str">
        <f>IF(GZ132="","",IF(AND('Master Sheet'!$D$19="YES",'Marks Entry'!$BA$1=1),GZ132/((900)-DC132)*100,GZ132/((1000)-DC132)*100))</f>
        <v/>
      </c>
      <c r="HB132" s="611" t="str">
        <f t="shared" si="350"/>
        <v/>
      </c>
      <c r="HC132" s="609" t="str">
        <f t="shared" si="351"/>
        <v/>
      </c>
      <c r="HD132" s="610" t="str">
        <f t="shared" si="352"/>
        <v/>
      </c>
      <c r="HE132" s="209" t="str">
        <f>IFERROR(IF(OR(GY132="SUPPLEMENTARY",GY132="RE-EXAM"),'Supp. Result Entry'!AS131,""),"")</f>
        <v/>
      </c>
      <c r="HF132" s="613" t="str">
        <f t="shared" si="353"/>
        <v/>
      </c>
      <c r="HG132" s="598" t="str">
        <f t="shared" si="354"/>
        <v/>
      </c>
      <c r="HH132" s="598" t="str">
        <f>IF(AND(HE132="",HF132="",HG132=""),"",IF(OR(GY132="SUPPLEMENTARY",GY132="RE-EXAM"),'Supp. Result Entry'!AS131,GY132))</f>
        <v/>
      </c>
      <c r="HI132" s="179"/>
      <c r="HY132" s="211" t="str">
        <f>IF('Supp. Result Entry'!U131="","",'Supp. Result Entry'!$U$6)</f>
        <v/>
      </c>
      <c r="HZ132" s="212" t="str">
        <f>IF('Supp. Result Entry'!X131="","",'Supp. Result Entry'!$X$6)</f>
        <v/>
      </c>
      <c r="IA132" s="212" t="str">
        <f>IF('Supp. Result Entry'!AA131="","",'Supp. Result Entry'!$AA$6)</f>
        <v/>
      </c>
      <c r="IB132" s="212" t="str">
        <f>IF('Supp. Result Entry'!AD131="","",'Supp. Result Entry'!$AD$6)</f>
        <v/>
      </c>
      <c r="IC132" s="212" t="str">
        <f>IF('Supp. Result Entry'!AG131="","",'Supp. Result Entry'!$AG$6)</f>
        <v/>
      </c>
      <c r="ID132" s="212" t="str">
        <f>IF('Supp. Result Entry'!AJ131="","",'Supp. Result Entry'!$AJ$6)</f>
        <v/>
      </c>
      <c r="IE132" s="212" t="str">
        <f>IF('Supp. Result Entry'!V131="","",'Supp. Result Entry'!V131)</f>
        <v/>
      </c>
      <c r="IF132" s="212" t="str">
        <f>IF('Supp. Result Entry'!Y131="","",'Supp. Result Entry'!Y131)</f>
        <v/>
      </c>
      <c r="IG132" s="212" t="str">
        <f>IF('Supp. Result Entry'!AB131="","",'Supp. Result Entry'!AB131)</f>
        <v/>
      </c>
      <c r="IH132" s="212" t="str">
        <f>IF('Supp. Result Entry'!AE131="","",'Supp. Result Entry'!AE131)</f>
        <v/>
      </c>
      <c r="II132" s="212" t="str">
        <f>IF('Supp. Result Entry'!AH131="","",'Supp. Result Entry'!AH131)</f>
        <v/>
      </c>
      <c r="IJ132" s="212" t="str">
        <f>IF('Supp. Result Entry'!AK131="","",'Supp. Result Entry'!AK131)</f>
        <v/>
      </c>
      <c r="IK132" s="212" t="str">
        <f>IF('Supp. Result Entry'!W131="","",'Supp. Result Entry'!W131)</f>
        <v/>
      </c>
      <c r="IL132" s="212" t="str">
        <f>IF('Supp. Result Entry'!Z131="","",'Supp. Result Entry'!Z131)</f>
        <v/>
      </c>
      <c r="IM132" s="212" t="str">
        <f>IF('Supp. Result Entry'!AC131="","",'Supp. Result Entry'!AC131)</f>
        <v/>
      </c>
      <c r="IN132" s="212" t="str">
        <f>IF('Supp. Result Entry'!AF131="","",'Supp. Result Entry'!AF131)</f>
        <v/>
      </c>
      <c r="IO132" s="212" t="str">
        <f>IF('Supp. Result Entry'!AI131="","",'Supp. Result Entry'!AI131)</f>
        <v/>
      </c>
      <c r="IP132" s="212" t="str">
        <f>IF('Supp. Result Entry'!AL131="","",'Supp. Result Entry'!AL131)</f>
        <v/>
      </c>
      <c r="IQ132" s="212">
        <f>COUNTIF('Supp. Result Entry'!K131:Q131,"S")</f>
        <v>0</v>
      </c>
      <c r="IR132" s="212">
        <f t="shared" si="355"/>
        <v>0</v>
      </c>
      <c r="IS132" s="212">
        <f t="shared" si="356"/>
        <v>0</v>
      </c>
      <c r="IT132" s="212" t="str">
        <f t="shared" si="224"/>
        <v/>
      </c>
      <c r="IU132" s="212" t="str">
        <f t="shared" si="225"/>
        <v/>
      </c>
      <c r="IV132" s="212" t="str">
        <f t="shared" si="226"/>
        <v/>
      </c>
      <c r="IW132" s="212" t="str">
        <f t="shared" si="227"/>
        <v/>
      </c>
      <c r="IX132" s="212" t="str">
        <f t="shared" si="228"/>
        <v/>
      </c>
      <c r="IY132" s="212" t="str">
        <f t="shared" si="357"/>
        <v/>
      </c>
      <c r="IZ132" s="212" t="str">
        <f t="shared" si="358"/>
        <v/>
      </c>
      <c r="JA132" s="212" t="str">
        <f t="shared" si="229"/>
        <v/>
      </c>
      <c r="JB132" s="210" t="str">
        <f t="shared" si="359"/>
        <v/>
      </c>
    </row>
    <row r="133" spans="1:262" s="210" customFormat="1" ht="21" customHeight="1">
      <c r="A133" s="183">
        <v>126</v>
      </c>
      <c r="B133" s="184" t="str">
        <f>IF('Marks Entry'!B133="","",'Marks Entry'!B133)</f>
        <v/>
      </c>
      <c r="C133" s="185" t="str">
        <f>IF('Marks Entry'!D133="","",'Marks Entry'!D133)</f>
        <v/>
      </c>
      <c r="D133" s="186" t="str">
        <f>IF('Marks Entry'!E133="","",'Marks Entry'!E133)</f>
        <v/>
      </c>
      <c r="E133" s="187" t="str">
        <f>IF('Marks Entry'!F133="","",'Marks Entry'!F133)</f>
        <v/>
      </c>
      <c r="F133" s="187" t="str">
        <f>IF('Marks Entry'!G133="","",'Marks Entry'!G133)</f>
        <v/>
      </c>
      <c r="G133" s="187" t="str">
        <f>IF('Marks Entry'!H133="","",'Marks Entry'!H133)</f>
        <v/>
      </c>
      <c r="H133" s="188" t="str">
        <f>IF('Marks Entry'!I133="","",'Marks Entry'!I133)</f>
        <v/>
      </c>
      <c r="I133" s="189" t="str">
        <f>IF('Marks Entry'!J133="","",'Marks Entry'!J133)</f>
        <v/>
      </c>
      <c r="J133" s="545" t="str">
        <f>IF('Marks Entry'!K133="","",'Marks Entry'!K133)</f>
        <v/>
      </c>
      <c r="K133" s="545" t="str">
        <f>IF('Marks Entry'!L133="","",'Marks Entry'!L133)</f>
        <v/>
      </c>
      <c r="L133" s="545" t="str">
        <f>IF('Marks Entry'!M133="","",'Marks Entry'!M133)</f>
        <v/>
      </c>
      <c r="M133" s="546" t="str">
        <f t="shared" si="230"/>
        <v/>
      </c>
      <c r="N133" s="545" t="str">
        <f>IF('Marks Entry'!N133="","",'Marks Entry'!N133)</f>
        <v/>
      </c>
      <c r="O133" s="546" t="str">
        <f t="shared" si="231"/>
        <v/>
      </c>
      <c r="P133" s="545" t="str">
        <f>IF('Marks Entry'!O133="","",'Marks Entry'!O133)</f>
        <v/>
      </c>
      <c r="Q133" s="547" t="str">
        <f t="shared" si="232"/>
        <v/>
      </c>
      <c r="R133" s="152">
        <f t="shared" si="233"/>
        <v>0</v>
      </c>
      <c r="S133" s="152">
        <f t="shared" si="234"/>
        <v>0</v>
      </c>
      <c r="T133" s="153" t="str">
        <f t="shared" si="235"/>
        <v/>
      </c>
      <c r="U133" s="152" t="str">
        <f t="shared" si="236"/>
        <v/>
      </c>
      <c r="V133" s="152" t="str">
        <f t="shared" si="237"/>
        <v/>
      </c>
      <c r="W133" s="152" t="str">
        <f t="shared" si="238"/>
        <v/>
      </c>
      <c r="X133" s="545" t="str">
        <f>IF('Marks Entry'!P133="","",'Marks Entry'!P133)</f>
        <v/>
      </c>
      <c r="Y133" s="545" t="str">
        <f>IF('Marks Entry'!Q133="","",'Marks Entry'!Q133)</f>
        <v/>
      </c>
      <c r="Z133" s="545" t="str">
        <f>IF('Marks Entry'!R133="","",'Marks Entry'!R133)</f>
        <v/>
      </c>
      <c r="AA133" s="546" t="str">
        <f t="shared" si="239"/>
        <v/>
      </c>
      <c r="AB133" s="545" t="str">
        <f>IF('Marks Entry'!S133="","",'Marks Entry'!S133)</f>
        <v/>
      </c>
      <c r="AC133" s="546" t="str">
        <f t="shared" si="240"/>
        <v/>
      </c>
      <c r="AD133" s="545" t="str">
        <f>IF('Marks Entry'!T133="","",'Marks Entry'!T133)</f>
        <v/>
      </c>
      <c r="AE133" s="547" t="str">
        <f t="shared" si="241"/>
        <v/>
      </c>
      <c r="AF133" s="152">
        <f t="shared" si="242"/>
        <v>0</v>
      </c>
      <c r="AG133" s="152">
        <f t="shared" si="243"/>
        <v>0</v>
      </c>
      <c r="AH133" s="153" t="str">
        <f t="shared" si="244"/>
        <v/>
      </c>
      <c r="AI133" s="152" t="str">
        <f t="shared" si="245"/>
        <v/>
      </c>
      <c r="AJ133" s="152" t="str">
        <f t="shared" si="246"/>
        <v/>
      </c>
      <c r="AK133" s="152" t="str">
        <f t="shared" si="247"/>
        <v/>
      </c>
      <c r="AL133" s="573" t="str">
        <f>IF('Marks Entry'!U133="","",'Marks Entry'!U133)</f>
        <v/>
      </c>
      <c r="AM133" s="573" t="str">
        <f>IF('Marks Entry'!V133="","",'Marks Entry'!V133)</f>
        <v/>
      </c>
      <c r="AN133" s="573" t="str">
        <f>IF('Marks Entry'!W133="","",'Marks Entry'!W133)</f>
        <v/>
      </c>
      <c r="AO133" s="573" t="str">
        <f>IF('Marks Entry'!X133="","",'Marks Entry'!X133)</f>
        <v/>
      </c>
      <c r="AP133" s="572" t="str">
        <f t="shared" si="248"/>
        <v/>
      </c>
      <c r="AQ133" s="573" t="str">
        <f>IF('Marks Entry'!Y133="","",'Marks Entry'!Y133)</f>
        <v/>
      </c>
      <c r="AR133" s="573" t="str">
        <f>IF('Marks Entry'!Z133="","",'Marks Entry'!Z133)</f>
        <v/>
      </c>
      <c r="AS133" s="572" t="str">
        <f t="shared" si="249"/>
        <v/>
      </c>
      <c r="AT133" s="572" t="str">
        <f t="shared" si="250"/>
        <v/>
      </c>
      <c r="AU133" s="573" t="str">
        <f>IF('Marks Entry'!AA133="","",'Marks Entry'!AA133)</f>
        <v/>
      </c>
      <c r="AV133" s="573" t="str">
        <f>IF('Marks Entry'!AB133="","",'Marks Entry'!AB133)</f>
        <v/>
      </c>
      <c r="AW133" s="572" t="str">
        <f t="shared" si="251"/>
        <v/>
      </c>
      <c r="AX133" s="156" t="str">
        <f t="shared" si="252"/>
        <v/>
      </c>
      <c r="AY133" s="156" t="str">
        <f t="shared" si="253"/>
        <v/>
      </c>
      <c r="AZ133" s="191" t="str">
        <f t="shared" si="254"/>
        <v/>
      </c>
      <c r="BA133" s="152">
        <f t="shared" si="255"/>
        <v>0</v>
      </c>
      <c r="BB133" s="153">
        <f t="shared" si="256"/>
        <v>0</v>
      </c>
      <c r="BC133" s="153" t="str">
        <f t="shared" si="257"/>
        <v/>
      </c>
      <c r="BD133" s="153" t="str">
        <f t="shared" si="258"/>
        <v/>
      </c>
      <c r="BE133" s="153" t="str">
        <f t="shared" si="259"/>
        <v/>
      </c>
      <c r="BF133" s="152" t="str">
        <f t="shared" si="260"/>
        <v/>
      </c>
      <c r="BG133" s="153" t="str">
        <f t="shared" si="261"/>
        <v/>
      </c>
      <c r="BH133" s="152" t="str">
        <f t="shared" si="262"/>
        <v/>
      </c>
      <c r="BI133" s="580" t="str">
        <f>IF('Marks Entry'!AC133="","",'Marks Entry'!AC133)</f>
        <v/>
      </c>
      <c r="BJ133" s="580" t="str">
        <f>IF('Marks Entry'!AD133="","",'Marks Entry'!AD133)</f>
        <v/>
      </c>
      <c r="BK133" s="580" t="str">
        <f>IF('Marks Entry'!AE133="","",'Marks Entry'!AE133)</f>
        <v/>
      </c>
      <c r="BL133" s="580" t="str">
        <f>IF('Marks Entry'!AF133="","",'Marks Entry'!AF133)</f>
        <v/>
      </c>
      <c r="BM133" s="581" t="str">
        <f t="shared" si="263"/>
        <v/>
      </c>
      <c r="BN133" s="580" t="str">
        <f>IF('Marks Entry'!AG133="","",'Marks Entry'!AG133)</f>
        <v/>
      </c>
      <c r="BO133" s="580" t="str">
        <f>IF('Marks Entry'!AH133="","",'Marks Entry'!AH133)</f>
        <v/>
      </c>
      <c r="BP133" s="581" t="str">
        <f t="shared" si="264"/>
        <v/>
      </c>
      <c r="BQ133" s="581" t="str">
        <f t="shared" si="265"/>
        <v/>
      </c>
      <c r="BR133" s="580" t="str">
        <f>IF('Marks Entry'!AI133="","",'Marks Entry'!AI133)</f>
        <v/>
      </c>
      <c r="BS133" s="580" t="str">
        <f>IF('Marks Entry'!AJ133="","",'Marks Entry'!AJ133)</f>
        <v/>
      </c>
      <c r="BT133" s="581" t="str">
        <f t="shared" si="266"/>
        <v/>
      </c>
      <c r="BU133" s="156" t="str">
        <f t="shared" si="267"/>
        <v/>
      </c>
      <c r="BV133" s="156" t="str">
        <f t="shared" si="268"/>
        <v/>
      </c>
      <c r="BW133" s="191" t="str">
        <f t="shared" si="269"/>
        <v/>
      </c>
      <c r="BX133" s="152">
        <f t="shared" si="270"/>
        <v>0</v>
      </c>
      <c r="BY133" s="153">
        <f t="shared" si="271"/>
        <v>0</v>
      </c>
      <c r="BZ133" s="153" t="str">
        <f t="shared" si="272"/>
        <v/>
      </c>
      <c r="CA133" s="153" t="str">
        <f t="shared" si="273"/>
        <v/>
      </c>
      <c r="CB133" s="153" t="str">
        <f t="shared" si="274"/>
        <v/>
      </c>
      <c r="CC133" s="152" t="str">
        <f t="shared" si="275"/>
        <v/>
      </c>
      <c r="CD133" s="153" t="str">
        <f t="shared" si="276"/>
        <v/>
      </c>
      <c r="CE133" s="152" t="str">
        <f t="shared" si="277"/>
        <v/>
      </c>
      <c r="CF133" s="580" t="str">
        <f>IF('Marks Entry'!AK133="","",'Marks Entry'!AK133)</f>
        <v/>
      </c>
      <c r="CG133" s="580" t="str">
        <f>IF('Marks Entry'!AL133="","",'Marks Entry'!AL133)</f>
        <v/>
      </c>
      <c r="CH133" s="580" t="str">
        <f>IF('Marks Entry'!AM133="","",'Marks Entry'!AM133)</f>
        <v/>
      </c>
      <c r="CI133" s="580" t="str">
        <f>IF('Marks Entry'!AN133="","",'Marks Entry'!AN133)</f>
        <v/>
      </c>
      <c r="CJ133" s="581" t="str">
        <f t="shared" si="278"/>
        <v/>
      </c>
      <c r="CK133" s="580" t="str">
        <f>IF('Marks Entry'!AO133="","",'Marks Entry'!AO133)</f>
        <v/>
      </c>
      <c r="CL133" s="580" t="str">
        <f>IF('Marks Entry'!AP133="","",'Marks Entry'!AP133)</f>
        <v/>
      </c>
      <c r="CM133" s="581" t="str">
        <f t="shared" si="279"/>
        <v/>
      </c>
      <c r="CN133" s="581" t="str">
        <f t="shared" si="280"/>
        <v/>
      </c>
      <c r="CO133" s="580" t="str">
        <f>IF('Marks Entry'!AQ133="","",'Marks Entry'!AQ133)</f>
        <v/>
      </c>
      <c r="CP133" s="580" t="str">
        <f>IF('Marks Entry'!AR133="","",'Marks Entry'!AR133)</f>
        <v/>
      </c>
      <c r="CQ133" s="581" t="str">
        <f t="shared" si="281"/>
        <v/>
      </c>
      <c r="CR133" s="156" t="str">
        <f t="shared" si="282"/>
        <v/>
      </c>
      <c r="CS133" s="156" t="str">
        <f t="shared" si="283"/>
        <v/>
      </c>
      <c r="CT133" s="191" t="str">
        <f t="shared" si="284"/>
        <v/>
      </c>
      <c r="CU133" s="152">
        <f t="shared" si="285"/>
        <v>0</v>
      </c>
      <c r="CV133" s="153">
        <f t="shared" si="286"/>
        <v>0</v>
      </c>
      <c r="CW133" s="153" t="str">
        <f t="shared" si="287"/>
        <v/>
      </c>
      <c r="CX133" s="153" t="str">
        <f t="shared" si="288"/>
        <v/>
      </c>
      <c r="CY133" s="153" t="str">
        <f t="shared" si="289"/>
        <v/>
      </c>
      <c r="CZ133" s="152" t="str">
        <f t="shared" si="290"/>
        <v/>
      </c>
      <c r="DA133" s="153" t="str">
        <f t="shared" si="291"/>
        <v/>
      </c>
      <c r="DB133" s="152" t="str">
        <f t="shared" si="292"/>
        <v/>
      </c>
      <c r="DC133" s="153">
        <f t="shared" si="293"/>
        <v>0</v>
      </c>
      <c r="DD133" s="851" t="str">
        <f>IF('Marks Entry'!AS133="","",IF(OR('Master Sheet'!$D$19="YES",'Marks Entry'!$BA$1=1),'Marks Entry'!AS133,""))</f>
        <v/>
      </c>
      <c r="DE133" s="851" t="str">
        <f>IF('Marks Entry'!AT133="","",IF(OR('Master Sheet'!$D$19="YES",'Marks Entry'!$BA$1=1),'Marks Entry'!AT133,""))</f>
        <v/>
      </c>
      <c r="DF133" s="851" t="str">
        <f>IF('Marks Entry'!AU133="","",IF(OR('Master Sheet'!$D$19="YES",'Marks Entry'!$BA$1=1),'Marks Entry'!AU133,""))</f>
        <v/>
      </c>
      <c r="DG133" s="851" t="str">
        <f>IF('Marks Entry'!AV133="","",IF(OR('Master Sheet'!$D$19="YES",'Marks Entry'!$BA$1=1),'Marks Entry'!AV133,""))</f>
        <v/>
      </c>
      <c r="DH133" s="852" t="str">
        <f t="shared" si="294"/>
        <v/>
      </c>
      <c r="DI133" s="851" t="str">
        <f>IF('Marks Entry'!AW133="","",IF(OR('Master Sheet'!$D$19="YES",'Marks Entry'!$BA$1=1),'Marks Entry'!AW133,""))</f>
        <v/>
      </c>
      <c r="DJ133" s="851" t="str">
        <f>IF('Marks Entry'!AX133="","",IF(OR('Master Sheet'!$D$19="YES",'Marks Entry'!$BA$1=1),'Marks Entry'!AX133,""))</f>
        <v/>
      </c>
      <c r="DK133" s="852" t="str">
        <f t="shared" si="295"/>
        <v/>
      </c>
      <c r="DL133" s="852" t="str">
        <f t="shared" si="296"/>
        <v/>
      </c>
      <c r="DM133" s="851" t="str">
        <f>IF('Marks Entry'!AY133="","",IF(OR('Master Sheet'!$D$19="YES",'Marks Entry'!$BA$1=1),'Marks Entry'!AY133,""))</f>
        <v/>
      </c>
      <c r="DN133" s="851" t="str">
        <f>IF('Marks Entry'!AZ133="","",IF(OR('Master Sheet'!$D$19="YES",'Marks Entry'!$BA$1=1),'Marks Entry'!AZ133,""))</f>
        <v/>
      </c>
      <c r="DO133" s="851" t="str">
        <f>IF('Marks Entry'!BA133="","",IF(OR('Master Sheet'!$D$19="YES",'Marks Entry'!$BA$1=1),'Marks Entry'!BA133,""))</f>
        <v/>
      </c>
      <c r="DP133" s="852" t="str">
        <f t="shared" si="297"/>
        <v/>
      </c>
      <c r="DQ133" s="156" t="str">
        <f t="shared" si="298"/>
        <v/>
      </c>
      <c r="DR133" s="156" t="str">
        <f t="shared" si="299"/>
        <v/>
      </c>
      <c r="DS133" s="156" t="str">
        <f t="shared" si="300"/>
        <v/>
      </c>
      <c r="DT133" s="191" t="str">
        <f t="shared" si="301"/>
        <v/>
      </c>
      <c r="DU133" s="152">
        <f t="shared" si="302"/>
        <v>0</v>
      </c>
      <c r="DV133" s="153">
        <f t="shared" si="303"/>
        <v>0</v>
      </c>
      <c r="DW133" s="153" t="str">
        <f t="shared" si="304"/>
        <v/>
      </c>
      <c r="DX133" s="153" t="str">
        <f>IF(OR($B133="NSO",$B133=0,DS133=""),"",IF(AND(DJ133="",DO133=""),"",IF('Master Sheet'!$D$19="YES",$DO$6-COUNTIF(DO133,"ML")*DO$6,DS$6-(COUNTIF(DJ133,"ML")*DJ$6)-(COUNTIF(DO133,"ML")*DO$6))))</f>
        <v/>
      </c>
      <c r="DY133" s="153" t="str">
        <f>IF(OR($B133="NSO",$B133=0),"",IF(AND(DH133="",DI133="",DM133=""),"",IF(AND('Master Sheet'!$D$19="YES",'Marks Entry'!$BA$1=1),100,IF(AND(DJ133="",DO133=""),SUM(($DQ$7+$DR$7)-(DU133+DV133)),SUM(($DQ$6+$DR$6)-(DU133+DV133))))))</f>
        <v/>
      </c>
      <c r="DZ133" s="152" t="str">
        <f t="shared" si="305"/>
        <v/>
      </c>
      <c r="EA133" s="153" t="str">
        <f t="shared" si="306"/>
        <v/>
      </c>
      <c r="EB133" s="152" t="str">
        <f t="shared" si="307"/>
        <v/>
      </c>
      <c r="EC133" s="584" t="str">
        <f>IF('Marks Entry'!BB133="","",'Marks Entry'!BB133)</f>
        <v/>
      </c>
      <c r="ED133" s="584" t="str">
        <f>IF('Marks Entry'!BC133="","",'Marks Entry'!BC133)</f>
        <v/>
      </c>
      <c r="EE133" s="584" t="str">
        <f>IF('Marks Entry'!BD133="","",'Marks Entry'!BD133)</f>
        <v/>
      </c>
      <c r="EF133" s="590" t="str">
        <f t="shared" si="308"/>
        <v/>
      </c>
      <c r="EG133" s="595">
        <f t="shared" si="309"/>
        <v>0</v>
      </c>
      <c r="EH133" s="595">
        <f t="shared" si="310"/>
        <v>0</v>
      </c>
      <c r="EI133" s="192" t="str">
        <f t="shared" si="311"/>
        <v/>
      </c>
      <c r="EJ133" s="595" t="str">
        <f t="shared" si="312"/>
        <v/>
      </c>
      <c r="EK133" s="595" t="str">
        <f t="shared" si="313"/>
        <v/>
      </c>
      <c r="EL133" s="193" t="str">
        <f t="shared" si="314"/>
        <v/>
      </c>
      <c r="EM133" s="193" t="str">
        <f t="shared" si="315"/>
        <v/>
      </c>
      <c r="EN133" s="193" t="str">
        <f t="shared" si="316"/>
        <v/>
      </c>
      <c r="EO133" s="193" t="str">
        <f t="shared" si="317"/>
        <v/>
      </c>
      <c r="EP133" s="193" t="str">
        <f t="shared" si="318"/>
        <v/>
      </c>
      <c r="EQ133" s="193" t="str">
        <f t="shared" si="319"/>
        <v/>
      </c>
      <c r="ER133" s="194">
        <f t="shared" si="320"/>
        <v>0</v>
      </c>
      <c r="ES133" s="194">
        <f t="shared" si="321"/>
        <v>0</v>
      </c>
      <c r="ET133" s="194">
        <f t="shared" si="322"/>
        <v>0</v>
      </c>
      <c r="EU133" s="194">
        <f t="shared" si="323"/>
        <v>0</v>
      </c>
      <c r="EV133" s="194">
        <f t="shared" si="324"/>
        <v>0</v>
      </c>
      <c r="EW133" s="194" t="str">
        <f t="shared" si="325"/>
        <v/>
      </c>
      <c r="EX133" s="195" t="str">
        <f t="shared" si="326"/>
        <v/>
      </c>
      <c r="EY133" s="196" t="str">
        <f>IF('Marks Entry'!BE133="","",'Marks Entry'!BE133)</f>
        <v/>
      </c>
      <c r="EZ133" s="196" t="str">
        <f>IF('Marks Entry'!BF133="","",'Marks Entry'!BF133)</f>
        <v/>
      </c>
      <c r="FA133" s="196" t="str">
        <f>IF('Marks Entry'!BG133="","",'Marks Entry'!BG133)</f>
        <v/>
      </c>
      <c r="FB133" s="596" t="str">
        <f t="shared" si="327"/>
        <v/>
      </c>
      <c r="FC133" s="196" t="str">
        <f>IF('Marks Entry'!BH133="","",'Marks Entry'!BH133)</f>
        <v/>
      </c>
      <c r="FD133" s="196" t="str">
        <f>IF('Marks Entry'!BI133="","",'Marks Entry'!BI133)</f>
        <v/>
      </c>
      <c r="FE133" s="197" t="str">
        <f t="shared" si="328"/>
        <v/>
      </c>
      <c r="FF133" s="198" t="str">
        <f t="shared" si="329"/>
        <v/>
      </c>
      <c r="FG133" s="199" t="str">
        <f>IF(AND(E133=""),"",IF('Student DATA Entry'!L129="","",'Student DATA Entry'!L129))</f>
        <v/>
      </c>
      <c r="FH133" s="200" t="str">
        <f>IF(AND(E133=""),"",IF('Student DATA Entry'!M129="","",'Student DATA Entry'!M129))</f>
        <v/>
      </c>
      <c r="FI133" s="201" t="str">
        <f t="shared" si="330"/>
        <v/>
      </c>
      <c r="FJ133" s="188" t="str">
        <f t="shared" si="331"/>
        <v/>
      </c>
      <c r="FK133" s="188" t="str">
        <f t="shared" si="332"/>
        <v/>
      </c>
      <c r="FL133" s="202" t="str">
        <f t="shared" si="360"/>
        <v/>
      </c>
      <c r="FM133" s="188" t="str">
        <f t="shared" si="333"/>
        <v/>
      </c>
      <c r="FN133" s="203" t="str">
        <f t="shared" si="334"/>
        <v/>
      </c>
      <c r="FO133" s="202" t="str">
        <f t="shared" si="361"/>
        <v/>
      </c>
      <c r="FP133" s="204" t="str">
        <f t="shared" si="335"/>
        <v/>
      </c>
      <c r="FQ133" s="188" t="str">
        <f t="shared" si="362"/>
        <v/>
      </c>
      <c r="FR133" s="188" t="str">
        <f t="shared" si="363"/>
        <v/>
      </c>
      <c r="FS133" s="188" t="str">
        <f t="shared" si="364"/>
        <v/>
      </c>
      <c r="FT133" s="188" t="str">
        <f t="shared" si="365"/>
        <v/>
      </c>
      <c r="FU133" s="188" t="str">
        <f t="shared" si="336"/>
        <v/>
      </c>
      <c r="FV133" s="205" t="str">
        <f t="shared" si="366"/>
        <v/>
      </c>
      <c r="FW133" s="204" t="str">
        <f t="shared" si="337"/>
        <v/>
      </c>
      <c r="FX133" s="188" t="str">
        <f t="shared" si="367"/>
        <v/>
      </c>
      <c r="FY133" s="188" t="str">
        <f t="shared" si="368"/>
        <v/>
      </c>
      <c r="FZ133" s="188" t="str">
        <f t="shared" si="369"/>
        <v/>
      </c>
      <c r="GA133" s="188" t="str">
        <f t="shared" si="370"/>
        <v/>
      </c>
      <c r="GB133" s="188" t="str">
        <f t="shared" si="338"/>
        <v/>
      </c>
      <c r="GC133" s="205" t="str">
        <f t="shared" si="371"/>
        <v/>
      </c>
      <c r="GD133" s="204" t="str">
        <f t="shared" si="339"/>
        <v/>
      </c>
      <c r="GE133" s="188" t="str">
        <f t="shared" si="372"/>
        <v/>
      </c>
      <c r="GF133" s="188" t="str">
        <f t="shared" si="373"/>
        <v/>
      </c>
      <c r="GG133" s="188" t="str">
        <f t="shared" si="374"/>
        <v/>
      </c>
      <c r="GH133" s="188" t="str">
        <f t="shared" si="375"/>
        <v/>
      </c>
      <c r="GI133" s="188" t="str">
        <f t="shared" si="340"/>
        <v/>
      </c>
      <c r="GJ133" s="205" t="str">
        <f t="shared" si="376"/>
        <v/>
      </c>
      <c r="GK133" s="204" t="str">
        <f t="shared" si="341"/>
        <v/>
      </c>
      <c r="GL133" s="188" t="str">
        <f t="shared" si="377"/>
        <v/>
      </c>
      <c r="GM133" s="188" t="str">
        <f t="shared" si="378"/>
        <v/>
      </c>
      <c r="GN133" s="188" t="str">
        <f t="shared" si="379"/>
        <v/>
      </c>
      <c r="GO133" s="188" t="str">
        <f t="shared" si="380"/>
        <v/>
      </c>
      <c r="GP133" s="188" t="str">
        <f t="shared" si="342"/>
        <v/>
      </c>
      <c r="GQ133" s="205" t="str">
        <f t="shared" si="381"/>
        <v/>
      </c>
      <c r="GR133" s="188" t="str">
        <f t="shared" si="343"/>
        <v/>
      </c>
      <c r="GS133" s="188" t="str">
        <f t="shared" si="344"/>
        <v/>
      </c>
      <c r="GT133" s="206" t="str">
        <f t="shared" si="345"/>
        <v xml:space="preserve">    </v>
      </c>
      <c r="GU133" s="206" t="str">
        <f t="shared" si="346"/>
        <v xml:space="preserve">    </v>
      </c>
      <c r="GV133" s="206" t="str">
        <f t="shared" si="347"/>
        <v xml:space="preserve">    </v>
      </c>
      <c r="GW133" s="206" t="str">
        <f t="shared" si="348"/>
        <v xml:space="preserve">       </v>
      </c>
      <c r="GX133" s="598" t="str">
        <f t="shared" si="349"/>
        <v xml:space="preserve">     </v>
      </c>
      <c r="GY133" s="207" t="str">
        <f t="shared" si="382"/>
        <v/>
      </c>
      <c r="GZ133" s="606" t="str">
        <f>IF(AND(Q133="",AE133="",AZ133="",BW133="",CT133=""),"",IF(AND('Master Sheet'!$D$19="YES",'Marks Entry'!$BA$1=1),SUM(Q133,AE133,AZ133,BW133,DT133),SUM(Q133,AE133,AZ133,BW133,CT133)))</f>
        <v/>
      </c>
      <c r="HA133" s="208" t="str">
        <f>IF(GZ133="","",IF(AND('Master Sheet'!$D$19="YES",'Marks Entry'!$BA$1=1),GZ133/((900)-DC133)*100,GZ133/((1000)-DC133)*100))</f>
        <v/>
      </c>
      <c r="HB133" s="611" t="str">
        <f t="shared" si="350"/>
        <v/>
      </c>
      <c r="HC133" s="609" t="str">
        <f t="shared" si="351"/>
        <v/>
      </c>
      <c r="HD133" s="610" t="str">
        <f t="shared" si="352"/>
        <v/>
      </c>
      <c r="HE133" s="209" t="str">
        <f>IFERROR(IF(OR(GY133="SUPPLEMENTARY",GY133="RE-EXAM"),'Supp. Result Entry'!AS132,""),"")</f>
        <v/>
      </c>
      <c r="HF133" s="613" t="str">
        <f t="shared" si="353"/>
        <v/>
      </c>
      <c r="HG133" s="598" t="str">
        <f t="shared" si="354"/>
        <v/>
      </c>
      <c r="HH133" s="598" t="str">
        <f>IF(AND(HE133="",HF133="",HG133=""),"",IF(OR(GY133="SUPPLEMENTARY",GY133="RE-EXAM"),'Supp. Result Entry'!AS132,GY133))</f>
        <v/>
      </c>
      <c r="HI133" s="179"/>
      <c r="HY133" s="211" t="str">
        <f>IF('Supp. Result Entry'!U132="","",'Supp. Result Entry'!$U$6)</f>
        <v/>
      </c>
      <c r="HZ133" s="212" t="str">
        <f>IF('Supp. Result Entry'!X132="","",'Supp. Result Entry'!$X$6)</f>
        <v/>
      </c>
      <c r="IA133" s="212" t="str">
        <f>IF('Supp. Result Entry'!AA132="","",'Supp. Result Entry'!$AA$6)</f>
        <v/>
      </c>
      <c r="IB133" s="212" t="str">
        <f>IF('Supp. Result Entry'!AD132="","",'Supp. Result Entry'!$AD$6)</f>
        <v/>
      </c>
      <c r="IC133" s="212" t="str">
        <f>IF('Supp. Result Entry'!AG132="","",'Supp. Result Entry'!$AG$6)</f>
        <v/>
      </c>
      <c r="ID133" s="212" t="str">
        <f>IF('Supp. Result Entry'!AJ132="","",'Supp. Result Entry'!$AJ$6)</f>
        <v/>
      </c>
      <c r="IE133" s="212" t="str">
        <f>IF('Supp. Result Entry'!V132="","",'Supp. Result Entry'!V132)</f>
        <v/>
      </c>
      <c r="IF133" s="212" t="str">
        <f>IF('Supp. Result Entry'!Y132="","",'Supp. Result Entry'!Y132)</f>
        <v/>
      </c>
      <c r="IG133" s="212" t="str">
        <f>IF('Supp. Result Entry'!AB132="","",'Supp. Result Entry'!AB132)</f>
        <v/>
      </c>
      <c r="IH133" s="212" t="str">
        <f>IF('Supp. Result Entry'!AE132="","",'Supp. Result Entry'!AE132)</f>
        <v/>
      </c>
      <c r="II133" s="212" t="str">
        <f>IF('Supp. Result Entry'!AH132="","",'Supp. Result Entry'!AH132)</f>
        <v/>
      </c>
      <c r="IJ133" s="212" t="str">
        <f>IF('Supp. Result Entry'!AK132="","",'Supp. Result Entry'!AK132)</f>
        <v/>
      </c>
      <c r="IK133" s="212" t="str">
        <f>IF('Supp. Result Entry'!W132="","",'Supp. Result Entry'!W132)</f>
        <v/>
      </c>
      <c r="IL133" s="212" t="str">
        <f>IF('Supp. Result Entry'!Z132="","",'Supp. Result Entry'!Z132)</f>
        <v/>
      </c>
      <c r="IM133" s="212" t="str">
        <f>IF('Supp. Result Entry'!AC132="","",'Supp. Result Entry'!AC132)</f>
        <v/>
      </c>
      <c r="IN133" s="212" t="str">
        <f>IF('Supp. Result Entry'!AF132="","",'Supp. Result Entry'!AF132)</f>
        <v/>
      </c>
      <c r="IO133" s="212" t="str">
        <f>IF('Supp. Result Entry'!AI132="","",'Supp. Result Entry'!AI132)</f>
        <v/>
      </c>
      <c r="IP133" s="212" t="str">
        <f>IF('Supp. Result Entry'!AL132="","",'Supp. Result Entry'!AL132)</f>
        <v/>
      </c>
      <c r="IQ133" s="212">
        <f>COUNTIF('Supp. Result Entry'!K132:Q132,"S")</f>
        <v>0</v>
      </c>
      <c r="IR133" s="212">
        <f t="shared" si="355"/>
        <v>0</v>
      </c>
      <c r="IS133" s="212">
        <f t="shared" si="356"/>
        <v>0</v>
      </c>
      <c r="IT133" s="212" t="str">
        <f t="shared" si="224"/>
        <v/>
      </c>
      <c r="IU133" s="212" t="str">
        <f t="shared" si="225"/>
        <v/>
      </c>
      <c r="IV133" s="212" t="str">
        <f t="shared" si="226"/>
        <v/>
      </c>
      <c r="IW133" s="212" t="str">
        <f t="shared" si="227"/>
        <v/>
      </c>
      <c r="IX133" s="212" t="str">
        <f t="shared" si="228"/>
        <v/>
      </c>
      <c r="IY133" s="212" t="str">
        <f t="shared" si="357"/>
        <v/>
      </c>
      <c r="IZ133" s="212" t="str">
        <f t="shared" si="358"/>
        <v/>
      </c>
      <c r="JA133" s="212" t="str">
        <f t="shared" si="229"/>
        <v/>
      </c>
      <c r="JB133" s="210" t="str">
        <f t="shared" si="359"/>
        <v/>
      </c>
    </row>
    <row r="134" spans="1:262" s="210" customFormat="1" ht="21" customHeight="1">
      <c r="A134" s="183">
        <v>127</v>
      </c>
      <c r="B134" s="184" t="str">
        <f>IF('Marks Entry'!B134="","",'Marks Entry'!B134)</f>
        <v/>
      </c>
      <c r="C134" s="185" t="str">
        <f>IF('Marks Entry'!D134="","",'Marks Entry'!D134)</f>
        <v/>
      </c>
      <c r="D134" s="186" t="str">
        <f>IF('Marks Entry'!E134="","",'Marks Entry'!E134)</f>
        <v/>
      </c>
      <c r="E134" s="187" t="str">
        <f>IF('Marks Entry'!F134="","",'Marks Entry'!F134)</f>
        <v/>
      </c>
      <c r="F134" s="187" t="str">
        <f>IF('Marks Entry'!G134="","",'Marks Entry'!G134)</f>
        <v/>
      </c>
      <c r="G134" s="187" t="str">
        <f>IF('Marks Entry'!H134="","",'Marks Entry'!H134)</f>
        <v/>
      </c>
      <c r="H134" s="188" t="str">
        <f>IF('Marks Entry'!I134="","",'Marks Entry'!I134)</f>
        <v/>
      </c>
      <c r="I134" s="189" t="str">
        <f>IF('Marks Entry'!J134="","",'Marks Entry'!J134)</f>
        <v/>
      </c>
      <c r="J134" s="545" t="str">
        <f>IF('Marks Entry'!K134="","",'Marks Entry'!K134)</f>
        <v/>
      </c>
      <c r="K134" s="545" t="str">
        <f>IF('Marks Entry'!L134="","",'Marks Entry'!L134)</f>
        <v/>
      </c>
      <c r="L134" s="545" t="str">
        <f>IF('Marks Entry'!M134="","",'Marks Entry'!M134)</f>
        <v/>
      </c>
      <c r="M134" s="546" t="str">
        <f t="shared" si="230"/>
        <v/>
      </c>
      <c r="N134" s="545" t="str">
        <f>IF('Marks Entry'!N134="","",'Marks Entry'!N134)</f>
        <v/>
      </c>
      <c r="O134" s="546" t="str">
        <f t="shared" si="231"/>
        <v/>
      </c>
      <c r="P134" s="545" t="str">
        <f>IF('Marks Entry'!O134="","",'Marks Entry'!O134)</f>
        <v/>
      </c>
      <c r="Q134" s="547" t="str">
        <f t="shared" si="232"/>
        <v/>
      </c>
      <c r="R134" s="152">
        <f t="shared" si="233"/>
        <v>0</v>
      </c>
      <c r="S134" s="152">
        <f t="shared" si="234"/>
        <v>0</v>
      </c>
      <c r="T134" s="153" t="str">
        <f t="shared" si="235"/>
        <v/>
      </c>
      <c r="U134" s="152" t="str">
        <f t="shared" si="236"/>
        <v/>
      </c>
      <c r="V134" s="152" t="str">
        <f t="shared" si="237"/>
        <v/>
      </c>
      <c r="W134" s="152" t="str">
        <f t="shared" si="238"/>
        <v/>
      </c>
      <c r="X134" s="545" t="str">
        <f>IF('Marks Entry'!P134="","",'Marks Entry'!P134)</f>
        <v/>
      </c>
      <c r="Y134" s="545" t="str">
        <f>IF('Marks Entry'!Q134="","",'Marks Entry'!Q134)</f>
        <v/>
      </c>
      <c r="Z134" s="545" t="str">
        <f>IF('Marks Entry'!R134="","",'Marks Entry'!R134)</f>
        <v/>
      </c>
      <c r="AA134" s="546" t="str">
        <f t="shared" si="239"/>
        <v/>
      </c>
      <c r="AB134" s="545" t="str">
        <f>IF('Marks Entry'!S134="","",'Marks Entry'!S134)</f>
        <v/>
      </c>
      <c r="AC134" s="546" t="str">
        <f t="shared" si="240"/>
        <v/>
      </c>
      <c r="AD134" s="545" t="str">
        <f>IF('Marks Entry'!T134="","",'Marks Entry'!T134)</f>
        <v/>
      </c>
      <c r="AE134" s="547" t="str">
        <f t="shared" si="241"/>
        <v/>
      </c>
      <c r="AF134" s="152">
        <f t="shared" si="242"/>
        <v>0</v>
      </c>
      <c r="AG134" s="152">
        <f t="shared" si="243"/>
        <v>0</v>
      </c>
      <c r="AH134" s="153" t="str">
        <f t="shared" si="244"/>
        <v/>
      </c>
      <c r="AI134" s="152" t="str">
        <f t="shared" si="245"/>
        <v/>
      </c>
      <c r="AJ134" s="152" t="str">
        <f t="shared" si="246"/>
        <v/>
      </c>
      <c r="AK134" s="152" t="str">
        <f t="shared" si="247"/>
        <v/>
      </c>
      <c r="AL134" s="573" t="str">
        <f>IF('Marks Entry'!U134="","",'Marks Entry'!U134)</f>
        <v/>
      </c>
      <c r="AM134" s="573" t="str">
        <f>IF('Marks Entry'!V134="","",'Marks Entry'!V134)</f>
        <v/>
      </c>
      <c r="AN134" s="573" t="str">
        <f>IF('Marks Entry'!W134="","",'Marks Entry'!W134)</f>
        <v/>
      </c>
      <c r="AO134" s="573" t="str">
        <f>IF('Marks Entry'!X134="","",'Marks Entry'!X134)</f>
        <v/>
      </c>
      <c r="AP134" s="572" t="str">
        <f t="shared" si="248"/>
        <v/>
      </c>
      <c r="AQ134" s="573" t="str">
        <f>IF('Marks Entry'!Y134="","",'Marks Entry'!Y134)</f>
        <v/>
      </c>
      <c r="AR134" s="573" t="str">
        <f>IF('Marks Entry'!Z134="","",'Marks Entry'!Z134)</f>
        <v/>
      </c>
      <c r="AS134" s="572" t="str">
        <f t="shared" si="249"/>
        <v/>
      </c>
      <c r="AT134" s="572" t="str">
        <f t="shared" si="250"/>
        <v/>
      </c>
      <c r="AU134" s="573" t="str">
        <f>IF('Marks Entry'!AA134="","",'Marks Entry'!AA134)</f>
        <v/>
      </c>
      <c r="AV134" s="573" t="str">
        <f>IF('Marks Entry'!AB134="","",'Marks Entry'!AB134)</f>
        <v/>
      </c>
      <c r="AW134" s="572" t="str">
        <f t="shared" si="251"/>
        <v/>
      </c>
      <c r="AX134" s="156" t="str">
        <f t="shared" si="252"/>
        <v/>
      </c>
      <c r="AY134" s="156" t="str">
        <f t="shared" si="253"/>
        <v/>
      </c>
      <c r="AZ134" s="191" t="str">
        <f t="shared" si="254"/>
        <v/>
      </c>
      <c r="BA134" s="152">
        <f t="shared" si="255"/>
        <v>0</v>
      </c>
      <c r="BB134" s="153">
        <f t="shared" si="256"/>
        <v>0</v>
      </c>
      <c r="BC134" s="153" t="str">
        <f t="shared" si="257"/>
        <v/>
      </c>
      <c r="BD134" s="153" t="str">
        <f t="shared" si="258"/>
        <v/>
      </c>
      <c r="BE134" s="153" t="str">
        <f t="shared" si="259"/>
        <v/>
      </c>
      <c r="BF134" s="152" t="str">
        <f t="shared" si="260"/>
        <v/>
      </c>
      <c r="BG134" s="153" t="str">
        <f t="shared" si="261"/>
        <v/>
      </c>
      <c r="BH134" s="152" t="str">
        <f t="shared" si="262"/>
        <v/>
      </c>
      <c r="BI134" s="580" t="str">
        <f>IF('Marks Entry'!AC134="","",'Marks Entry'!AC134)</f>
        <v/>
      </c>
      <c r="BJ134" s="580" t="str">
        <f>IF('Marks Entry'!AD134="","",'Marks Entry'!AD134)</f>
        <v/>
      </c>
      <c r="BK134" s="580" t="str">
        <f>IF('Marks Entry'!AE134="","",'Marks Entry'!AE134)</f>
        <v/>
      </c>
      <c r="BL134" s="580" t="str">
        <f>IF('Marks Entry'!AF134="","",'Marks Entry'!AF134)</f>
        <v/>
      </c>
      <c r="BM134" s="581" t="str">
        <f t="shared" si="263"/>
        <v/>
      </c>
      <c r="BN134" s="580" t="str">
        <f>IF('Marks Entry'!AG134="","",'Marks Entry'!AG134)</f>
        <v/>
      </c>
      <c r="BO134" s="580" t="str">
        <f>IF('Marks Entry'!AH134="","",'Marks Entry'!AH134)</f>
        <v/>
      </c>
      <c r="BP134" s="581" t="str">
        <f t="shared" si="264"/>
        <v/>
      </c>
      <c r="BQ134" s="581" t="str">
        <f t="shared" si="265"/>
        <v/>
      </c>
      <c r="BR134" s="580" t="str">
        <f>IF('Marks Entry'!AI134="","",'Marks Entry'!AI134)</f>
        <v/>
      </c>
      <c r="BS134" s="580" t="str">
        <f>IF('Marks Entry'!AJ134="","",'Marks Entry'!AJ134)</f>
        <v/>
      </c>
      <c r="BT134" s="581" t="str">
        <f t="shared" si="266"/>
        <v/>
      </c>
      <c r="BU134" s="156" t="str">
        <f t="shared" si="267"/>
        <v/>
      </c>
      <c r="BV134" s="156" t="str">
        <f t="shared" si="268"/>
        <v/>
      </c>
      <c r="BW134" s="191" t="str">
        <f t="shared" si="269"/>
        <v/>
      </c>
      <c r="BX134" s="152">
        <f t="shared" si="270"/>
        <v>0</v>
      </c>
      <c r="BY134" s="153">
        <f t="shared" si="271"/>
        <v>0</v>
      </c>
      <c r="BZ134" s="153" t="str">
        <f t="shared" si="272"/>
        <v/>
      </c>
      <c r="CA134" s="153" t="str">
        <f t="shared" si="273"/>
        <v/>
      </c>
      <c r="CB134" s="153" t="str">
        <f t="shared" si="274"/>
        <v/>
      </c>
      <c r="CC134" s="152" t="str">
        <f t="shared" si="275"/>
        <v/>
      </c>
      <c r="CD134" s="153" t="str">
        <f t="shared" si="276"/>
        <v/>
      </c>
      <c r="CE134" s="152" t="str">
        <f t="shared" si="277"/>
        <v/>
      </c>
      <c r="CF134" s="580" t="str">
        <f>IF('Marks Entry'!AK134="","",'Marks Entry'!AK134)</f>
        <v/>
      </c>
      <c r="CG134" s="580" t="str">
        <f>IF('Marks Entry'!AL134="","",'Marks Entry'!AL134)</f>
        <v/>
      </c>
      <c r="CH134" s="580" t="str">
        <f>IF('Marks Entry'!AM134="","",'Marks Entry'!AM134)</f>
        <v/>
      </c>
      <c r="CI134" s="580" t="str">
        <f>IF('Marks Entry'!AN134="","",'Marks Entry'!AN134)</f>
        <v/>
      </c>
      <c r="CJ134" s="581" t="str">
        <f t="shared" si="278"/>
        <v/>
      </c>
      <c r="CK134" s="580" t="str">
        <f>IF('Marks Entry'!AO134="","",'Marks Entry'!AO134)</f>
        <v/>
      </c>
      <c r="CL134" s="580" t="str">
        <f>IF('Marks Entry'!AP134="","",'Marks Entry'!AP134)</f>
        <v/>
      </c>
      <c r="CM134" s="581" t="str">
        <f t="shared" si="279"/>
        <v/>
      </c>
      <c r="CN134" s="581" t="str">
        <f t="shared" si="280"/>
        <v/>
      </c>
      <c r="CO134" s="580" t="str">
        <f>IF('Marks Entry'!AQ134="","",'Marks Entry'!AQ134)</f>
        <v/>
      </c>
      <c r="CP134" s="580" t="str">
        <f>IF('Marks Entry'!AR134="","",'Marks Entry'!AR134)</f>
        <v/>
      </c>
      <c r="CQ134" s="581" t="str">
        <f t="shared" si="281"/>
        <v/>
      </c>
      <c r="CR134" s="156" t="str">
        <f t="shared" si="282"/>
        <v/>
      </c>
      <c r="CS134" s="156" t="str">
        <f t="shared" si="283"/>
        <v/>
      </c>
      <c r="CT134" s="191" t="str">
        <f t="shared" si="284"/>
        <v/>
      </c>
      <c r="CU134" s="152">
        <f t="shared" si="285"/>
        <v>0</v>
      </c>
      <c r="CV134" s="153">
        <f t="shared" si="286"/>
        <v>0</v>
      </c>
      <c r="CW134" s="153" t="str">
        <f t="shared" si="287"/>
        <v/>
      </c>
      <c r="CX134" s="153" t="str">
        <f t="shared" si="288"/>
        <v/>
      </c>
      <c r="CY134" s="153" t="str">
        <f t="shared" si="289"/>
        <v/>
      </c>
      <c r="CZ134" s="152" t="str">
        <f t="shared" si="290"/>
        <v/>
      </c>
      <c r="DA134" s="153" t="str">
        <f t="shared" si="291"/>
        <v/>
      </c>
      <c r="DB134" s="152" t="str">
        <f t="shared" si="292"/>
        <v/>
      </c>
      <c r="DC134" s="153">
        <f t="shared" si="293"/>
        <v>0</v>
      </c>
      <c r="DD134" s="851" t="str">
        <f>IF('Marks Entry'!AS134="","",IF(OR('Master Sheet'!$D$19="YES",'Marks Entry'!$BA$1=1),'Marks Entry'!AS134,""))</f>
        <v/>
      </c>
      <c r="DE134" s="851" t="str">
        <f>IF('Marks Entry'!AT134="","",IF(OR('Master Sheet'!$D$19="YES",'Marks Entry'!$BA$1=1),'Marks Entry'!AT134,""))</f>
        <v/>
      </c>
      <c r="DF134" s="851" t="str">
        <f>IF('Marks Entry'!AU134="","",IF(OR('Master Sheet'!$D$19="YES",'Marks Entry'!$BA$1=1),'Marks Entry'!AU134,""))</f>
        <v/>
      </c>
      <c r="DG134" s="851" t="str">
        <f>IF('Marks Entry'!AV134="","",IF(OR('Master Sheet'!$D$19="YES",'Marks Entry'!$BA$1=1),'Marks Entry'!AV134,""))</f>
        <v/>
      </c>
      <c r="DH134" s="852" t="str">
        <f t="shared" si="294"/>
        <v/>
      </c>
      <c r="DI134" s="851" t="str">
        <f>IF('Marks Entry'!AW134="","",IF(OR('Master Sheet'!$D$19="YES",'Marks Entry'!$BA$1=1),'Marks Entry'!AW134,""))</f>
        <v/>
      </c>
      <c r="DJ134" s="851" t="str">
        <f>IF('Marks Entry'!AX134="","",IF(OR('Master Sheet'!$D$19="YES",'Marks Entry'!$BA$1=1),'Marks Entry'!AX134,""))</f>
        <v/>
      </c>
      <c r="DK134" s="852" t="str">
        <f t="shared" si="295"/>
        <v/>
      </c>
      <c r="DL134" s="852" t="str">
        <f t="shared" si="296"/>
        <v/>
      </c>
      <c r="DM134" s="851" t="str">
        <f>IF('Marks Entry'!AY134="","",IF(OR('Master Sheet'!$D$19="YES",'Marks Entry'!$BA$1=1),'Marks Entry'!AY134,""))</f>
        <v/>
      </c>
      <c r="DN134" s="851" t="str">
        <f>IF('Marks Entry'!AZ134="","",IF(OR('Master Sheet'!$D$19="YES",'Marks Entry'!$BA$1=1),'Marks Entry'!AZ134,""))</f>
        <v/>
      </c>
      <c r="DO134" s="851" t="str">
        <f>IF('Marks Entry'!BA134="","",IF(OR('Master Sheet'!$D$19="YES",'Marks Entry'!$BA$1=1),'Marks Entry'!BA134,""))</f>
        <v/>
      </c>
      <c r="DP134" s="852" t="str">
        <f t="shared" si="297"/>
        <v/>
      </c>
      <c r="DQ134" s="156" t="str">
        <f t="shared" si="298"/>
        <v/>
      </c>
      <c r="DR134" s="156" t="str">
        <f t="shared" si="299"/>
        <v/>
      </c>
      <c r="DS134" s="156" t="str">
        <f t="shared" si="300"/>
        <v/>
      </c>
      <c r="DT134" s="191" t="str">
        <f t="shared" si="301"/>
        <v/>
      </c>
      <c r="DU134" s="152">
        <f t="shared" si="302"/>
        <v>0</v>
      </c>
      <c r="DV134" s="153">
        <f t="shared" si="303"/>
        <v>0</v>
      </c>
      <c r="DW134" s="153" t="str">
        <f t="shared" si="304"/>
        <v/>
      </c>
      <c r="DX134" s="153" t="str">
        <f>IF(OR($B134="NSO",$B134=0,DS134=""),"",IF(AND(DJ134="",DO134=""),"",IF('Master Sheet'!$D$19="YES",$DO$6-COUNTIF(DO134,"ML")*DO$6,DS$6-(COUNTIF(DJ134,"ML")*DJ$6)-(COUNTIF(DO134,"ML")*DO$6))))</f>
        <v/>
      </c>
      <c r="DY134" s="153" t="str">
        <f>IF(OR($B134="NSO",$B134=0),"",IF(AND(DH134="",DI134="",DM134=""),"",IF(AND('Master Sheet'!$D$19="YES",'Marks Entry'!$BA$1=1),100,IF(AND(DJ134="",DO134=""),SUM(($DQ$7+$DR$7)-(DU134+DV134)),SUM(($DQ$6+$DR$6)-(DU134+DV134))))))</f>
        <v/>
      </c>
      <c r="DZ134" s="152" t="str">
        <f t="shared" si="305"/>
        <v/>
      </c>
      <c r="EA134" s="153" t="str">
        <f t="shared" si="306"/>
        <v/>
      </c>
      <c r="EB134" s="152" t="str">
        <f t="shared" si="307"/>
        <v/>
      </c>
      <c r="EC134" s="584" t="str">
        <f>IF('Marks Entry'!BB134="","",'Marks Entry'!BB134)</f>
        <v/>
      </c>
      <c r="ED134" s="584" t="str">
        <f>IF('Marks Entry'!BC134="","",'Marks Entry'!BC134)</f>
        <v/>
      </c>
      <c r="EE134" s="584" t="str">
        <f>IF('Marks Entry'!BD134="","",'Marks Entry'!BD134)</f>
        <v/>
      </c>
      <c r="EF134" s="590" t="str">
        <f t="shared" si="308"/>
        <v/>
      </c>
      <c r="EG134" s="595">
        <f t="shared" si="309"/>
        <v>0</v>
      </c>
      <c r="EH134" s="595">
        <f t="shared" si="310"/>
        <v>0</v>
      </c>
      <c r="EI134" s="192" t="str">
        <f t="shared" si="311"/>
        <v/>
      </c>
      <c r="EJ134" s="595" t="str">
        <f t="shared" si="312"/>
        <v/>
      </c>
      <c r="EK134" s="595" t="str">
        <f t="shared" si="313"/>
        <v/>
      </c>
      <c r="EL134" s="193" t="str">
        <f t="shared" si="314"/>
        <v/>
      </c>
      <c r="EM134" s="193" t="str">
        <f t="shared" si="315"/>
        <v/>
      </c>
      <c r="EN134" s="193" t="str">
        <f t="shared" si="316"/>
        <v/>
      </c>
      <c r="EO134" s="193" t="str">
        <f t="shared" si="317"/>
        <v/>
      </c>
      <c r="EP134" s="193" t="str">
        <f t="shared" si="318"/>
        <v/>
      </c>
      <c r="EQ134" s="193" t="str">
        <f t="shared" si="319"/>
        <v/>
      </c>
      <c r="ER134" s="194">
        <f t="shared" si="320"/>
        <v>0</v>
      </c>
      <c r="ES134" s="194">
        <f t="shared" si="321"/>
        <v>0</v>
      </c>
      <c r="ET134" s="194">
        <f t="shared" si="322"/>
        <v>0</v>
      </c>
      <c r="EU134" s="194">
        <f t="shared" si="323"/>
        <v>0</v>
      </c>
      <c r="EV134" s="194">
        <f t="shared" si="324"/>
        <v>0</v>
      </c>
      <c r="EW134" s="194" t="str">
        <f t="shared" si="325"/>
        <v/>
      </c>
      <c r="EX134" s="195" t="str">
        <f t="shared" si="326"/>
        <v/>
      </c>
      <c r="EY134" s="196" t="str">
        <f>IF('Marks Entry'!BE134="","",'Marks Entry'!BE134)</f>
        <v/>
      </c>
      <c r="EZ134" s="196" t="str">
        <f>IF('Marks Entry'!BF134="","",'Marks Entry'!BF134)</f>
        <v/>
      </c>
      <c r="FA134" s="196" t="str">
        <f>IF('Marks Entry'!BG134="","",'Marks Entry'!BG134)</f>
        <v/>
      </c>
      <c r="FB134" s="596" t="str">
        <f t="shared" si="327"/>
        <v/>
      </c>
      <c r="FC134" s="196" t="str">
        <f>IF('Marks Entry'!BH134="","",'Marks Entry'!BH134)</f>
        <v/>
      </c>
      <c r="FD134" s="196" t="str">
        <f>IF('Marks Entry'!BI134="","",'Marks Entry'!BI134)</f>
        <v/>
      </c>
      <c r="FE134" s="197" t="str">
        <f t="shared" si="328"/>
        <v/>
      </c>
      <c r="FF134" s="198" t="str">
        <f t="shared" si="329"/>
        <v/>
      </c>
      <c r="FG134" s="199" t="str">
        <f>IF(AND(E134=""),"",IF('Student DATA Entry'!L130="","",'Student DATA Entry'!L130))</f>
        <v/>
      </c>
      <c r="FH134" s="200" t="str">
        <f>IF(AND(E134=""),"",IF('Student DATA Entry'!M130="","",'Student DATA Entry'!M130))</f>
        <v/>
      </c>
      <c r="FI134" s="201" t="str">
        <f t="shared" si="330"/>
        <v/>
      </c>
      <c r="FJ134" s="188" t="str">
        <f t="shared" si="331"/>
        <v/>
      </c>
      <c r="FK134" s="188" t="str">
        <f t="shared" si="332"/>
        <v/>
      </c>
      <c r="FL134" s="202" t="str">
        <f t="shared" si="360"/>
        <v/>
      </c>
      <c r="FM134" s="188" t="str">
        <f t="shared" si="333"/>
        <v/>
      </c>
      <c r="FN134" s="203" t="str">
        <f t="shared" si="334"/>
        <v/>
      </c>
      <c r="FO134" s="202" t="str">
        <f t="shared" si="361"/>
        <v/>
      </c>
      <c r="FP134" s="204" t="str">
        <f t="shared" si="335"/>
        <v/>
      </c>
      <c r="FQ134" s="188" t="str">
        <f t="shared" si="362"/>
        <v/>
      </c>
      <c r="FR134" s="188" t="str">
        <f t="shared" si="363"/>
        <v/>
      </c>
      <c r="FS134" s="188" t="str">
        <f t="shared" si="364"/>
        <v/>
      </c>
      <c r="FT134" s="188" t="str">
        <f t="shared" si="365"/>
        <v/>
      </c>
      <c r="FU134" s="188" t="str">
        <f t="shared" si="336"/>
        <v/>
      </c>
      <c r="FV134" s="205" t="str">
        <f t="shared" si="366"/>
        <v/>
      </c>
      <c r="FW134" s="204" t="str">
        <f t="shared" si="337"/>
        <v/>
      </c>
      <c r="FX134" s="188" t="str">
        <f t="shared" si="367"/>
        <v/>
      </c>
      <c r="FY134" s="188" t="str">
        <f t="shared" si="368"/>
        <v/>
      </c>
      <c r="FZ134" s="188" t="str">
        <f t="shared" si="369"/>
        <v/>
      </c>
      <c r="GA134" s="188" t="str">
        <f t="shared" si="370"/>
        <v/>
      </c>
      <c r="GB134" s="188" t="str">
        <f t="shared" si="338"/>
        <v/>
      </c>
      <c r="GC134" s="205" t="str">
        <f t="shared" si="371"/>
        <v/>
      </c>
      <c r="GD134" s="204" t="str">
        <f t="shared" si="339"/>
        <v/>
      </c>
      <c r="GE134" s="188" t="str">
        <f t="shared" si="372"/>
        <v/>
      </c>
      <c r="GF134" s="188" t="str">
        <f t="shared" si="373"/>
        <v/>
      </c>
      <c r="GG134" s="188" t="str">
        <f t="shared" si="374"/>
        <v/>
      </c>
      <c r="GH134" s="188" t="str">
        <f t="shared" si="375"/>
        <v/>
      </c>
      <c r="GI134" s="188" t="str">
        <f t="shared" si="340"/>
        <v/>
      </c>
      <c r="GJ134" s="205" t="str">
        <f t="shared" si="376"/>
        <v/>
      </c>
      <c r="GK134" s="204" t="str">
        <f t="shared" si="341"/>
        <v/>
      </c>
      <c r="GL134" s="188" t="str">
        <f t="shared" si="377"/>
        <v/>
      </c>
      <c r="GM134" s="188" t="str">
        <f t="shared" si="378"/>
        <v/>
      </c>
      <c r="GN134" s="188" t="str">
        <f t="shared" si="379"/>
        <v/>
      </c>
      <c r="GO134" s="188" t="str">
        <f t="shared" si="380"/>
        <v/>
      </c>
      <c r="GP134" s="188" t="str">
        <f t="shared" si="342"/>
        <v/>
      </c>
      <c r="GQ134" s="205" t="str">
        <f t="shared" si="381"/>
        <v/>
      </c>
      <c r="GR134" s="188" t="str">
        <f t="shared" si="343"/>
        <v/>
      </c>
      <c r="GS134" s="188" t="str">
        <f t="shared" si="344"/>
        <v/>
      </c>
      <c r="GT134" s="206" t="str">
        <f t="shared" si="345"/>
        <v xml:space="preserve">    </v>
      </c>
      <c r="GU134" s="206" t="str">
        <f t="shared" si="346"/>
        <v xml:space="preserve">    </v>
      </c>
      <c r="GV134" s="206" t="str">
        <f t="shared" si="347"/>
        <v xml:space="preserve">    </v>
      </c>
      <c r="GW134" s="206" t="str">
        <f t="shared" si="348"/>
        <v xml:space="preserve">       </v>
      </c>
      <c r="GX134" s="598" t="str">
        <f t="shared" si="349"/>
        <v xml:space="preserve">     </v>
      </c>
      <c r="GY134" s="207" t="str">
        <f t="shared" si="382"/>
        <v/>
      </c>
      <c r="GZ134" s="606" t="str">
        <f>IF(AND(Q134="",AE134="",AZ134="",BW134="",CT134=""),"",IF(AND('Master Sheet'!$D$19="YES",'Marks Entry'!$BA$1=1),SUM(Q134,AE134,AZ134,BW134,DT134),SUM(Q134,AE134,AZ134,BW134,CT134)))</f>
        <v/>
      </c>
      <c r="HA134" s="208" t="str">
        <f>IF(GZ134="","",IF(AND('Master Sheet'!$D$19="YES",'Marks Entry'!$BA$1=1),GZ134/((900)-DC134)*100,GZ134/((1000)-DC134)*100))</f>
        <v/>
      </c>
      <c r="HB134" s="611" t="str">
        <f t="shared" si="350"/>
        <v/>
      </c>
      <c r="HC134" s="609" t="str">
        <f t="shared" si="351"/>
        <v/>
      </c>
      <c r="HD134" s="610" t="str">
        <f t="shared" si="352"/>
        <v/>
      </c>
      <c r="HE134" s="209" t="str">
        <f>IFERROR(IF(OR(GY134="SUPPLEMENTARY",GY134="RE-EXAM"),'Supp. Result Entry'!AS133,""),"")</f>
        <v/>
      </c>
      <c r="HF134" s="613" t="str">
        <f t="shared" si="353"/>
        <v/>
      </c>
      <c r="HG134" s="598" t="str">
        <f t="shared" si="354"/>
        <v/>
      </c>
      <c r="HH134" s="598" t="str">
        <f>IF(AND(HE134="",HF134="",HG134=""),"",IF(OR(GY134="SUPPLEMENTARY",GY134="RE-EXAM"),'Supp. Result Entry'!AS133,GY134))</f>
        <v/>
      </c>
      <c r="HI134" s="179"/>
      <c r="HY134" s="211" t="str">
        <f>IF('Supp. Result Entry'!U133="","",'Supp. Result Entry'!$U$6)</f>
        <v/>
      </c>
      <c r="HZ134" s="212" t="str">
        <f>IF('Supp. Result Entry'!X133="","",'Supp. Result Entry'!$X$6)</f>
        <v/>
      </c>
      <c r="IA134" s="212" t="str">
        <f>IF('Supp. Result Entry'!AA133="","",'Supp. Result Entry'!$AA$6)</f>
        <v/>
      </c>
      <c r="IB134" s="212" t="str">
        <f>IF('Supp. Result Entry'!AD133="","",'Supp. Result Entry'!$AD$6)</f>
        <v/>
      </c>
      <c r="IC134" s="212" t="str">
        <f>IF('Supp. Result Entry'!AG133="","",'Supp. Result Entry'!$AG$6)</f>
        <v/>
      </c>
      <c r="ID134" s="212" t="str">
        <f>IF('Supp. Result Entry'!AJ133="","",'Supp. Result Entry'!$AJ$6)</f>
        <v/>
      </c>
      <c r="IE134" s="212" t="str">
        <f>IF('Supp. Result Entry'!V133="","",'Supp. Result Entry'!V133)</f>
        <v/>
      </c>
      <c r="IF134" s="212" t="str">
        <f>IF('Supp. Result Entry'!Y133="","",'Supp. Result Entry'!Y133)</f>
        <v/>
      </c>
      <c r="IG134" s="212" t="str">
        <f>IF('Supp. Result Entry'!AB133="","",'Supp. Result Entry'!AB133)</f>
        <v/>
      </c>
      <c r="IH134" s="212" t="str">
        <f>IF('Supp. Result Entry'!AE133="","",'Supp. Result Entry'!AE133)</f>
        <v/>
      </c>
      <c r="II134" s="212" t="str">
        <f>IF('Supp. Result Entry'!AH133="","",'Supp. Result Entry'!AH133)</f>
        <v/>
      </c>
      <c r="IJ134" s="212" t="str">
        <f>IF('Supp. Result Entry'!AK133="","",'Supp. Result Entry'!AK133)</f>
        <v/>
      </c>
      <c r="IK134" s="212" t="str">
        <f>IF('Supp. Result Entry'!W133="","",'Supp. Result Entry'!W133)</f>
        <v/>
      </c>
      <c r="IL134" s="212" t="str">
        <f>IF('Supp. Result Entry'!Z133="","",'Supp. Result Entry'!Z133)</f>
        <v/>
      </c>
      <c r="IM134" s="212" t="str">
        <f>IF('Supp. Result Entry'!AC133="","",'Supp. Result Entry'!AC133)</f>
        <v/>
      </c>
      <c r="IN134" s="212" t="str">
        <f>IF('Supp. Result Entry'!AF133="","",'Supp. Result Entry'!AF133)</f>
        <v/>
      </c>
      <c r="IO134" s="212" t="str">
        <f>IF('Supp. Result Entry'!AI133="","",'Supp. Result Entry'!AI133)</f>
        <v/>
      </c>
      <c r="IP134" s="212" t="str">
        <f>IF('Supp. Result Entry'!AL133="","",'Supp. Result Entry'!AL133)</f>
        <v/>
      </c>
      <c r="IQ134" s="212">
        <f>COUNTIF('Supp. Result Entry'!K133:Q133,"S")</f>
        <v>0</v>
      </c>
      <c r="IR134" s="212">
        <f t="shared" si="355"/>
        <v>0</v>
      </c>
      <c r="IS134" s="212">
        <f t="shared" si="356"/>
        <v>0</v>
      </c>
      <c r="IT134" s="212" t="str">
        <f t="shared" si="224"/>
        <v/>
      </c>
      <c r="IU134" s="212" t="str">
        <f t="shared" si="225"/>
        <v/>
      </c>
      <c r="IV134" s="212" t="str">
        <f t="shared" si="226"/>
        <v/>
      </c>
      <c r="IW134" s="212" t="str">
        <f t="shared" si="227"/>
        <v/>
      </c>
      <c r="IX134" s="212" t="str">
        <f t="shared" si="228"/>
        <v/>
      </c>
      <c r="IY134" s="212" t="str">
        <f t="shared" si="357"/>
        <v/>
      </c>
      <c r="IZ134" s="212" t="str">
        <f t="shared" si="358"/>
        <v/>
      </c>
      <c r="JA134" s="212" t="str">
        <f t="shared" si="229"/>
        <v/>
      </c>
      <c r="JB134" s="210" t="str">
        <f t="shared" si="359"/>
        <v/>
      </c>
    </row>
    <row r="135" spans="1:262" s="210" customFormat="1" ht="21" customHeight="1">
      <c r="A135" s="183">
        <v>128</v>
      </c>
      <c r="B135" s="184" t="str">
        <f>IF('Marks Entry'!B135="","",'Marks Entry'!B135)</f>
        <v/>
      </c>
      <c r="C135" s="185" t="str">
        <f>IF('Marks Entry'!D135="","",'Marks Entry'!D135)</f>
        <v/>
      </c>
      <c r="D135" s="186" t="str">
        <f>IF('Marks Entry'!E135="","",'Marks Entry'!E135)</f>
        <v/>
      </c>
      <c r="E135" s="187" t="str">
        <f>IF('Marks Entry'!F135="","",'Marks Entry'!F135)</f>
        <v/>
      </c>
      <c r="F135" s="187" t="str">
        <f>IF('Marks Entry'!G135="","",'Marks Entry'!G135)</f>
        <v/>
      </c>
      <c r="G135" s="187" t="str">
        <f>IF('Marks Entry'!H135="","",'Marks Entry'!H135)</f>
        <v/>
      </c>
      <c r="H135" s="188" t="str">
        <f>IF('Marks Entry'!I135="","",'Marks Entry'!I135)</f>
        <v/>
      </c>
      <c r="I135" s="189" t="str">
        <f>IF('Marks Entry'!J135="","",'Marks Entry'!J135)</f>
        <v/>
      </c>
      <c r="J135" s="545" t="str">
        <f>IF('Marks Entry'!K135="","",'Marks Entry'!K135)</f>
        <v/>
      </c>
      <c r="K135" s="545" t="str">
        <f>IF('Marks Entry'!L135="","",'Marks Entry'!L135)</f>
        <v/>
      </c>
      <c r="L135" s="545" t="str">
        <f>IF('Marks Entry'!M135="","",'Marks Entry'!M135)</f>
        <v/>
      </c>
      <c r="M135" s="546" t="str">
        <f t="shared" si="230"/>
        <v/>
      </c>
      <c r="N135" s="545" t="str">
        <f>IF('Marks Entry'!N135="","",'Marks Entry'!N135)</f>
        <v/>
      </c>
      <c r="O135" s="546" t="str">
        <f t="shared" si="231"/>
        <v/>
      </c>
      <c r="P135" s="545" t="str">
        <f>IF('Marks Entry'!O135="","",'Marks Entry'!O135)</f>
        <v/>
      </c>
      <c r="Q135" s="547" t="str">
        <f t="shared" si="232"/>
        <v/>
      </c>
      <c r="R135" s="152">
        <f t="shared" si="233"/>
        <v>0</v>
      </c>
      <c r="S135" s="152">
        <f t="shared" si="234"/>
        <v>0</v>
      </c>
      <c r="T135" s="153" t="str">
        <f t="shared" si="235"/>
        <v/>
      </c>
      <c r="U135" s="152" t="str">
        <f t="shared" si="236"/>
        <v/>
      </c>
      <c r="V135" s="152" t="str">
        <f t="shared" si="237"/>
        <v/>
      </c>
      <c r="W135" s="152" t="str">
        <f t="shared" si="238"/>
        <v/>
      </c>
      <c r="X135" s="545" t="str">
        <f>IF('Marks Entry'!P135="","",'Marks Entry'!P135)</f>
        <v/>
      </c>
      <c r="Y135" s="545" t="str">
        <f>IF('Marks Entry'!Q135="","",'Marks Entry'!Q135)</f>
        <v/>
      </c>
      <c r="Z135" s="545" t="str">
        <f>IF('Marks Entry'!R135="","",'Marks Entry'!R135)</f>
        <v/>
      </c>
      <c r="AA135" s="546" t="str">
        <f t="shared" si="239"/>
        <v/>
      </c>
      <c r="AB135" s="545" t="str">
        <f>IF('Marks Entry'!S135="","",'Marks Entry'!S135)</f>
        <v/>
      </c>
      <c r="AC135" s="546" t="str">
        <f t="shared" si="240"/>
        <v/>
      </c>
      <c r="AD135" s="545" t="str">
        <f>IF('Marks Entry'!T135="","",'Marks Entry'!T135)</f>
        <v/>
      </c>
      <c r="AE135" s="547" t="str">
        <f t="shared" si="241"/>
        <v/>
      </c>
      <c r="AF135" s="152">
        <f t="shared" si="242"/>
        <v>0</v>
      </c>
      <c r="AG135" s="152">
        <f t="shared" si="243"/>
        <v>0</v>
      </c>
      <c r="AH135" s="153" t="str">
        <f t="shared" si="244"/>
        <v/>
      </c>
      <c r="AI135" s="152" t="str">
        <f t="shared" si="245"/>
        <v/>
      </c>
      <c r="AJ135" s="152" t="str">
        <f t="shared" si="246"/>
        <v/>
      </c>
      <c r="AK135" s="152" t="str">
        <f t="shared" si="247"/>
        <v/>
      </c>
      <c r="AL135" s="573" t="str">
        <f>IF('Marks Entry'!U135="","",'Marks Entry'!U135)</f>
        <v/>
      </c>
      <c r="AM135" s="573" t="str">
        <f>IF('Marks Entry'!V135="","",'Marks Entry'!V135)</f>
        <v/>
      </c>
      <c r="AN135" s="573" t="str">
        <f>IF('Marks Entry'!W135="","",'Marks Entry'!W135)</f>
        <v/>
      </c>
      <c r="AO135" s="573" t="str">
        <f>IF('Marks Entry'!X135="","",'Marks Entry'!X135)</f>
        <v/>
      </c>
      <c r="AP135" s="572" t="str">
        <f t="shared" si="248"/>
        <v/>
      </c>
      <c r="AQ135" s="573" t="str">
        <f>IF('Marks Entry'!Y135="","",'Marks Entry'!Y135)</f>
        <v/>
      </c>
      <c r="AR135" s="573" t="str">
        <f>IF('Marks Entry'!Z135="","",'Marks Entry'!Z135)</f>
        <v/>
      </c>
      <c r="AS135" s="572" t="str">
        <f t="shared" si="249"/>
        <v/>
      </c>
      <c r="AT135" s="572" t="str">
        <f t="shared" si="250"/>
        <v/>
      </c>
      <c r="AU135" s="573" t="str">
        <f>IF('Marks Entry'!AA135="","",'Marks Entry'!AA135)</f>
        <v/>
      </c>
      <c r="AV135" s="573" t="str">
        <f>IF('Marks Entry'!AB135="","",'Marks Entry'!AB135)</f>
        <v/>
      </c>
      <c r="AW135" s="572" t="str">
        <f t="shared" si="251"/>
        <v/>
      </c>
      <c r="AX135" s="156" t="str">
        <f t="shared" si="252"/>
        <v/>
      </c>
      <c r="AY135" s="156" t="str">
        <f t="shared" si="253"/>
        <v/>
      </c>
      <c r="AZ135" s="191" t="str">
        <f t="shared" si="254"/>
        <v/>
      </c>
      <c r="BA135" s="152">
        <f t="shared" si="255"/>
        <v>0</v>
      </c>
      <c r="BB135" s="153">
        <f t="shared" si="256"/>
        <v>0</v>
      </c>
      <c r="BC135" s="153" t="str">
        <f t="shared" si="257"/>
        <v/>
      </c>
      <c r="BD135" s="153" t="str">
        <f t="shared" si="258"/>
        <v/>
      </c>
      <c r="BE135" s="153" t="str">
        <f t="shared" si="259"/>
        <v/>
      </c>
      <c r="BF135" s="152" t="str">
        <f t="shared" si="260"/>
        <v/>
      </c>
      <c r="BG135" s="153" t="str">
        <f t="shared" si="261"/>
        <v/>
      </c>
      <c r="BH135" s="152" t="str">
        <f t="shared" si="262"/>
        <v/>
      </c>
      <c r="BI135" s="580" t="str">
        <f>IF('Marks Entry'!AC135="","",'Marks Entry'!AC135)</f>
        <v/>
      </c>
      <c r="BJ135" s="580" t="str">
        <f>IF('Marks Entry'!AD135="","",'Marks Entry'!AD135)</f>
        <v/>
      </c>
      <c r="BK135" s="580" t="str">
        <f>IF('Marks Entry'!AE135="","",'Marks Entry'!AE135)</f>
        <v/>
      </c>
      <c r="BL135" s="580" t="str">
        <f>IF('Marks Entry'!AF135="","",'Marks Entry'!AF135)</f>
        <v/>
      </c>
      <c r="BM135" s="581" t="str">
        <f t="shared" si="263"/>
        <v/>
      </c>
      <c r="BN135" s="580" t="str">
        <f>IF('Marks Entry'!AG135="","",'Marks Entry'!AG135)</f>
        <v/>
      </c>
      <c r="BO135" s="580" t="str">
        <f>IF('Marks Entry'!AH135="","",'Marks Entry'!AH135)</f>
        <v/>
      </c>
      <c r="BP135" s="581" t="str">
        <f t="shared" si="264"/>
        <v/>
      </c>
      <c r="BQ135" s="581" t="str">
        <f t="shared" si="265"/>
        <v/>
      </c>
      <c r="BR135" s="580" t="str">
        <f>IF('Marks Entry'!AI135="","",'Marks Entry'!AI135)</f>
        <v/>
      </c>
      <c r="BS135" s="580" t="str">
        <f>IF('Marks Entry'!AJ135="","",'Marks Entry'!AJ135)</f>
        <v/>
      </c>
      <c r="BT135" s="581" t="str">
        <f t="shared" si="266"/>
        <v/>
      </c>
      <c r="BU135" s="156" t="str">
        <f t="shared" si="267"/>
        <v/>
      </c>
      <c r="BV135" s="156" t="str">
        <f t="shared" si="268"/>
        <v/>
      </c>
      <c r="BW135" s="191" t="str">
        <f t="shared" si="269"/>
        <v/>
      </c>
      <c r="BX135" s="152">
        <f t="shared" si="270"/>
        <v>0</v>
      </c>
      <c r="BY135" s="153">
        <f t="shared" si="271"/>
        <v>0</v>
      </c>
      <c r="BZ135" s="153" t="str">
        <f t="shared" si="272"/>
        <v/>
      </c>
      <c r="CA135" s="153" t="str">
        <f t="shared" si="273"/>
        <v/>
      </c>
      <c r="CB135" s="153" t="str">
        <f t="shared" si="274"/>
        <v/>
      </c>
      <c r="CC135" s="152" t="str">
        <f t="shared" si="275"/>
        <v/>
      </c>
      <c r="CD135" s="153" t="str">
        <f t="shared" si="276"/>
        <v/>
      </c>
      <c r="CE135" s="152" t="str">
        <f t="shared" si="277"/>
        <v/>
      </c>
      <c r="CF135" s="580" t="str">
        <f>IF('Marks Entry'!AK135="","",'Marks Entry'!AK135)</f>
        <v/>
      </c>
      <c r="CG135" s="580" t="str">
        <f>IF('Marks Entry'!AL135="","",'Marks Entry'!AL135)</f>
        <v/>
      </c>
      <c r="CH135" s="580" t="str">
        <f>IF('Marks Entry'!AM135="","",'Marks Entry'!AM135)</f>
        <v/>
      </c>
      <c r="CI135" s="580" t="str">
        <f>IF('Marks Entry'!AN135="","",'Marks Entry'!AN135)</f>
        <v/>
      </c>
      <c r="CJ135" s="581" t="str">
        <f t="shared" si="278"/>
        <v/>
      </c>
      <c r="CK135" s="580" t="str">
        <f>IF('Marks Entry'!AO135="","",'Marks Entry'!AO135)</f>
        <v/>
      </c>
      <c r="CL135" s="580" t="str">
        <f>IF('Marks Entry'!AP135="","",'Marks Entry'!AP135)</f>
        <v/>
      </c>
      <c r="CM135" s="581" t="str">
        <f t="shared" si="279"/>
        <v/>
      </c>
      <c r="CN135" s="581" t="str">
        <f t="shared" si="280"/>
        <v/>
      </c>
      <c r="CO135" s="580" t="str">
        <f>IF('Marks Entry'!AQ135="","",'Marks Entry'!AQ135)</f>
        <v/>
      </c>
      <c r="CP135" s="580" t="str">
        <f>IF('Marks Entry'!AR135="","",'Marks Entry'!AR135)</f>
        <v/>
      </c>
      <c r="CQ135" s="581" t="str">
        <f t="shared" si="281"/>
        <v/>
      </c>
      <c r="CR135" s="156" t="str">
        <f t="shared" si="282"/>
        <v/>
      </c>
      <c r="CS135" s="156" t="str">
        <f t="shared" si="283"/>
        <v/>
      </c>
      <c r="CT135" s="191" t="str">
        <f t="shared" si="284"/>
        <v/>
      </c>
      <c r="CU135" s="152">
        <f t="shared" si="285"/>
        <v>0</v>
      </c>
      <c r="CV135" s="153">
        <f t="shared" si="286"/>
        <v>0</v>
      </c>
      <c r="CW135" s="153" t="str">
        <f t="shared" si="287"/>
        <v/>
      </c>
      <c r="CX135" s="153" t="str">
        <f t="shared" si="288"/>
        <v/>
      </c>
      <c r="CY135" s="153" t="str">
        <f t="shared" si="289"/>
        <v/>
      </c>
      <c r="CZ135" s="152" t="str">
        <f t="shared" si="290"/>
        <v/>
      </c>
      <c r="DA135" s="153" t="str">
        <f t="shared" si="291"/>
        <v/>
      </c>
      <c r="DB135" s="152" t="str">
        <f t="shared" si="292"/>
        <v/>
      </c>
      <c r="DC135" s="153">
        <f t="shared" si="293"/>
        <v>0</v>
      </c>
      <c r="DD135" s="851" t="str">
        <f>IF('Marks Entry'!AS135="","",IF(OR('Master Sheet'!$D$19="YES",'Marks Entry'!$BA$1=1),'Marks Entry'!AS135,""))</f>
        <v/>
      </c>
      <c r="DE135" s="851" t="str">
        <f>IF('Marks Entry'!AT135="","",IF(OR('Master Sheet'!$D$19="YES",'Marks Entry'!$BA$1=1),'Marks Entry'!AT135,""))</f>
        <v/>
      </c>
      <c r="DF135" s="851" t="str">
        <f>IF('Marks Entry'!AU135="","",IF(OR('Master Sheet'!$D$19="YES",'Marks Entry'!$BA$1=1),'Marks Entry'!AU135,""))</f>
        <v/>
      </c>
      <c r="DG135" s="851" t="str">
        <f>IF('Marks Entry'!AV135="","",IF(OR('Master Sheet'!$D$19="YES",'Marks Entry'!$BA$1=1),'Marks Entry'!AV135,""))</f>
        <v/>
      </c>
      <c r="DH135" s="852" t="str">
        <f t="shared" si="294"/>
        <v/>
      </c>
      <c r="DI135" s="851" t="str">
        <f>IF('Marks Entry'!AW135="","",IF(OR('Master Sheet'!$D$19="YES",'Marks Entry'!$BA$1=1),'Marks Entry'!AW135,""))</f>
        <v/>
      </c>
      <c r="DJ135" s="851" t="str">
        <f>IF('Marks Entry'!AX135="","",IF(OR('Master Sheet'!$D$19="YES",'Marks Entry'!$BA$1=1),'Marks Entry'!AX135,""))</f>
        <v/>
      </c>
      <c r="DK135" s="852" t="str">
        <f t="shared" si="295"/>
        <v/>
      </c>
      <c r="DL135" s="852" t="str">
        <f t="shared" si="296"/>
        <v/>
      </c>
      <c r="DM135" s="851" t="str">
        <f>IF('Marks Entry'!AY135="","",IF(OR('Master Sheet'!$D$19="YES",'Marks Entry'!$BA$1=1),'Marks Entry'!AY135,""))</f>
        <v/>
      </c>
      <c r="DN135" s="851" t="str">
        <f>IF('Marks Entry'!AZ135="","",IF(OR('Master Sheet'!$D$19="YES",'Marks Entry'!$BA$1=1),'Marks Entry'!AZ135,""))</f>
        <v/>
      </c>
      <c r="DO135" s="851" t="str">
        <f>IF('Marks Entry'!BA135="","",IF(OR('Master Sheet'!$D$19="YES",'Marks Entry'!$BA$1=1),'Marks Entry'!BA135,""))</f>
        <v/>
      </c>
      <c r="DP135" s="852" t="str">
        <f t="shared" si="297"/>
        <v/>
      </c>
      <c r="DQ135" s="156" t="str">
        <f t="shared" si="298"/>
        <v/>
      </c>
      <c r="DR135" s="156" t="str">
        <f t="shared" si="299"/>
        <v/>
      </c>
      <c r="DS135" s="156" t="str">
        <f t="shared" si="300"/>
        <v/>
      </c>
      <c r="DT135" s="191" t="str">
        <f t="shared" si="301"/>
        <v/>
      </c>
      <c r="DU135" s="152">
        <f t="shared" si="302"/>
        <v>0</v>
      </c>
      <c r="DV135" s="153">
        <f t="shared" si="303"/>
        <v>0</v>
      </c>
      <c r="DW135" s="153" t="str">
        <f t="shared" si="304"/>
        <v/>
      </c>
      <c r="DX135" s="153" t="str">
        <f>IF(OR($B135="NSO",$B135=0,DS135=""),"",IF(AND(DJ135="",DO135=""),"",IF('Master Sheet'!$D$19="YES",$DO$6-COUNTIF(DO135,"ML")*DO$6,DS$6-(COUNTIF(DJ135,"ML")*DJ$6)-(COUNTIF(DO135,"ML")*DO$6))))</f>
        <v/>
      </c>
      <c r="DY135" s="153" t="str">
        <f>IF(OR($B135="NSO",$B135=0),"",IF(AND(DH135="",DI135="",DM135=""),"",IF(AND('Master Sheet'!$D$19="YES",'Marks Entry'!$BA$1=1),100,IF(AND(DJ135="",DO135=""),SUM(($DQ$7+$DR$7)-(DU135+DV135)),SUM(($DQ$6+$DR$6)-(DU135+DV135))))))</f>
        <v/>
      </c>
      <c r="DZ135" s="152" t="str">
        <f t="shared" si="305"/>
        <v/>
      </c>
      <c r="EA135" s="153" t="str">
        <f t="shared" si="306"/>
        <v/>
      </c>
      <c r="EB135" s="152" t="str">
        <f t="shared" si="307"/>
        <v/>
      </c>
      <c r="EC135" s="584" t="str">
        <f>IF('Marks Entry'!BB135="","",'Marks Entry'!BB135)</f>
        <v/>
      </c>
      <c r="ED135" s="584" t="str">
        <f>IF('Marks Entry'!BC135="","",'Marks Entry'!BC135)</f>
        <v/>
      </c>
      <c r="EE135" s="584" t="str">
        <f>IF('Marks Entry'!BD135="","",'Marks Entry'!BD135)</f>
        <v/>
      </c>
      <c r="EF135" s="590" t="str">
        <f t="shared" si="308"/>
        <v/>
      </c>
      <c r="EG135" s="595">
        <f t="shared" si="309"/>
        <v>0</v>
      </c>
      <c r="EH135" s="595">
        <f t="shared" si="310"/>
        <v>0</v>
      </c>
      <c r="EI135" s="192" t="str">
        <f t="shared" si="311"/>
        <v/>
      </c>
      <c r="EJ135" s="595" t="str">
        <f t="shared" si="312"/>
        <v/>
      </c>
      <c r="EK135" s="595" t="str">
        <f t="shared" si="313"/>
        <v/>
      </c>
      <c r="EL135" s="193" t="str">
        <f t="shared" si="314"/>
        <v/>
      </c>
      <c r="EM135" s="193" t="str">
        <f t="shared" si="315"/>
        <v/>
      </c>
      <c r="EN135" s="193" t="str">
        <f t="shared" si="316"/>
        <v/>
      </c>
      <c r="EO135" s="193" t="str">
        <f t="shared" si="317"/>
        <v/>
      </c>
      <c r="EP135" s="193" t="str">
        <f t="shared" si="318"/>
        <v/>
      </c>
      <c r="EQ135" s="193" t="str">
        <f t="shared" si="319"/>
        <v/>
      </c>
      <c r="ER135" s="194">
        <f t="shared" si="320"/>
        <v>0</v>
      </c>
      <c r="ES135" s="194">
        <f t="shared" si="321"/>
        <v>0</v>
      </c>
      <c r="ET135" s="194">
        <f t="shared" si="322"/>
        <v>0</v>
      </c>
      <c r="EU135" s="194">
        <f t="shared" si="323"/>
        <v>0</v>
      </c>
      <c r="EV135" s="194">
        <f t="shared" si="324"/>
        <v>0</v>
      </c>
      <c r="EW135" s="194" t="str">
        <f t="shared" si="325"/>
        <v/>
      </c>
      <c r="EX135" s="195" t="str">
        <f t="shared" si="326"/>
        <v/>
      </c>
      <c r="EY135" s="196" t="str">
        <f>IF('Marks Entry'!BE135="","",'Marks Entry'!BE135)</f>
        <v/>
      </c>
      <c r="EZ135" s="196" t="str">
        <f>IF('Marks Entry'!BF135="","",'Marks Entry'!BF135)</f>
        <v/>
      </c>
      <c r="FA135" s="196" t="str">
        <f>IF('Marks Entry'!BG135="","",'Marks Entry'!BG135)</f>
        <v/>
      </c>
      <c r="FB135" s="596" t="str">
        <f t="shared" si="327"/>
        <v/>
      </c>
      <c r="FC135" s="196" t="str">
        <f>IF('Marks Entry'!BH135="","",'Marks Entry'!BH135)</f>
        <v/>
      </c>
      <c r="FD135" s="196" t="str">
        <f>IF('Marks Entry'!BI135="","",'Marks Entry'!BI135)</f>
        <v/>
      </c>
      <c r="FE135" s="197" t="str">
        <f t="shared" si="328"/>
        <v/>
      </c>
      <c r="FF135" s="198" t="str">
        <f t="shared" si="329"/>
        <v/>
      </c>
      <c r="FG135" s="199" t="str">
        <f>IF(AND(E135=""),"",IF('Student DATA Entry'!L131="","",'Student DATA Entry'!L131))</f>
        <v/>
      </c>
      <c r="FH135" s="200" t="str">
        <f>IF(AND(E135=""),"",IF('Student DATA Entry'!M131="","",'Student DATA Entry'!M131))</f>
        <v/>
      </c>
      <c r="FI135" s="201" t="str">
        <f t="shared" si="330"/>
        <v/>
      </c>
      <c r="FJ135" s="188" t="str">
        <f t="shared" si="331"/>
        <v/>
      </c>
      <c r="FK135" s="188" t="str">
        <f t="shared" si="332"/>
        <v/>
      </c>
      <c r="FL135" s="202" t="str">
        <f t="shared" si="360"/>
        <v/>
      </c>
      <c r="FM135" s="188" t="str">
        <f t="shared" si="333"/>
        <v/>
      </c>
      <c r="FN135" s="203" t="str">
        <f t="shared" si="334"/>
        <v/>
      </c>
      <c r="FO135" s="202" t="str">
        <f t="shared" si="361"/>
        <v/>
      </c>
      <c r="FP135" s="204" t="str">
        <f t="shared" si="335"/>
        <v/>
      </c>
      <c r="FQ135" s="188" t="str">
        <f t="shared" si="362"/>
        <v/>
      </c>
      <c r="FR135" s="188" t="str">
        <f t="shared" si="363"/>
        <v/>
      </c>
      <c r="FS135" s="188" t="str">
        <f t="shared" si="364"/>
        <v/>
      </c>
      <c r="FT135" s="188" t="str">
        <f t="shared" si="365"/>
        <v/>
      </c>
      <c r="FU135" s="188" t="str">
        <f t="shared" si="336"/>
        <v/>
      </c>
      <c r="FV135" s="205" t="str">
        <f t="shared" si="366"/>
        <v/>
      </c>
      <c r="FW135" s="204" t="str">
        <f t="shared" si="337"/>
        <v/>
      </c>
      <c r="FX135" s="188" t="str">
        <f t="shared" si="367"/>
        <v/>
      </c>
      <c r="FY135" s="188" t="str">
        <f t="shared" si="368"/>
        <v/>
      </c>
      <c r="FZ135" s="188" t="str">
        <f t="shared" si="369"/>
        <v/>
      </c>
      <c r="GA135" s="188" t="str">
        <f t="shared" si="370"/>
        <v/>
      </c>
      <c r="GB135" s="188" t="str">
        <f t="shared" si="338"/>
        <v/>
      </c>
      <c r="GC135" s="205" t="str">
        <f t="shared" si="371"/>
        <v/>
      </c>
      <c r="GD135" s="204" t="str">
        <f t="shared" si="339"/>
        <v/>
      </c>
      <c r="GE135" s="188" t="str">
        <f t="shared" si="372"/>
        <v/>
      </c>
      <c r="GF135" s="188" t="str">
        <f t="shared" si="373"/>
        <v/>
      </c>
      <c r="GG135" s="188" t="str">
        <f t="shared" si="374"/>
        <v/>
      </c>
      <c r="GH135" s="188" t="str">
        <f t="shared" si="375"/>
        <v/>
      </c>
      <c r="GI135" s="188" t="str">
        <f t="shared" si="340"/>
        <v/>
      </c>
      <c r="GJ135" s="205" t="str">
        <f t="shared" si="376"/>
        <v/>
      </c>
      <c r="GK135" s="204" t="str">
        <f t="shared" si="341"/>
        <v/>
      </c>
      <c r="GL135" s="188" t="str">
        <f t="shared" si="377"/>
        <v/>
      </c>
      <c r="GM135" s="188" t="str">
        <f t="shared" si="378"/>
        <v/>
      </c>
      <c r="GN135" s="188" t="str">
        <f t="shared" si="379"/>
        <v/>
      </c>
      <c r="GO135" s="188" t="str">
        <f t="shared" si="380"/>
        <v/>
      </c>
      <c r="GP135" s="188" t="str">
        <f t="shared" si="342"/>
        <v/>
      </c>
      <c r="GQ135" s="205" t="str">
        <f t="shared" si="381"/>
        <v/>
      </c>
      <c r="GR135" s="188" t="str">
        <f t="shared" si="343"/>
        <v/>
      </c>
      <c r="GS135" s="188" t="str">
        <f t="shared" si="344"/>
        <v/>
      </c>
      <c r="GT135" s="206" t="str">
        <f t="shared" si="345"/>
        <v xml:space="preserve">    </v>
      </c>
      <c r="GU135" s="206" t="str">
        <f t="shared" si="346"/>
        <v xml:space="preserve">    </v>
      </c>
      <c r="GV135" s="206" t="str">
        <f t="shared" si="347"/>
        <v xml:space="preserve">    </v>
      </c>
      <c r="GW135" s="206" t="str">
        <f t="shared" si="348"/>
        <v xml:space="preserve">       </v>
      </c>
      <c r="GX135" s="598" t="str">
        <f t="shared" si="349"/>
        <v xml:space="preserve">     </v>
      </c>
      <c r="GY135" s="207" t="str">
        <f t="shared" si="382"/>
        <v/>
      </c>
      <c r="GZ135" s="606" t="str">
        <f>IF(AND(Q135="",AE135="",AZ135="",BW135="",CT135=""),"",IF(AND('Master Sheet'!$D$19="YES",'Marks Entry'!$BA$1=1),SUM(Q135,AE135,AZ135,BW135,DT135),SUM(Q135,AE135,AZ135,BW135,CT135)))</f>
        <v/>
      </c>
      <c r="HA135" s="208" t="str">
        <f>IF(GZ135="","",IF(AND('Master Sheet'!$D$19="YES",'Marks Entry'!$BA$1=1),GZ135/((900)-DC135)*100,GZ135/((1000)-DC135)*100))</f>
        <v/>
      </c>
      <c r="HB135" s="611" t="str">
        <f t="shared" si="350"/>
        <v/>
      </c>
      <c r="HC135" s="609" t="str">
        <f t="shared" si="351"/>
        <v/>
      </c>
      <c r="HD135" s="610" t="str">
        <f t="shared" si="352"/>
        <v/>
      </c>
      <c r="HE135" s="209" t="str">
        <f>IFERROR(IF(OR(GY135="SUPPLEMENTARY",GY135="RE-EXAM"),'Supp. Result Entry'!AS134,""),"")</f>
        <v/>
      </c>
      <c r="HF135" s="613" t="str">
        <f t="shared" si="353"/>
        <v/>
      </c>
      <c r="HG135" s="598" t="str">
        <f t="shared" si="354"/>
        <v/>
      </c>
      <c r="HH135" s="598" t="str">
        <f>IF(AND(HE135="",HF135="",HG135=""),"",IF(OR(GY135="SUPPLEMENTARY",GY135="RE-EXAM"),'Supp. Result Entry'!AS134,GY135))</f>
        <v/>
      </c>
      <c r="HI135" s="179"/>
      <c r="HY135" s="211" t="str">
        <f>IF('Supp. Result Entry'!U134="","",'Supp. Result Entry'!$U$6)</f>
        <v/>
      </c>
      <c r="HZ135" s="212" t="str">
        <f>IF('Supp. Result Entry'!X134="","",'Supp. Result Entry'!$X$6)</f>
        <v/>
      </c>
      <c r="IA135" s="212" t="str">
        <f>IF('Supp. Result Entry'!AA134="","",'Supp. Result Entry'!$AA$6)</f>
        <v/>
      </c>
      <c r="IB135" s="212" t="str">
        <f>IF('Supp. Result Entry'!AD134="","",'Supp. Result Entry'!$AD$6)</f>
        <v/>
      </c>
      <c r="IC135" s="212" t="str">
        <f>IF('Supp. Result Entry'!AG134="","",'Supp. Result Entry'!$AG$6)</f>
        <v/>
      </c>
      <c r="ID135" s="212" t="str">
        <f>IF('Supp. Result Entry'!AJ134="","",'Supp. Result Entry'!$AJ$6)</f>
        <v/>
      </c>
      <c r="IE135" s="212" t="str">
        <f>IF('Supp. Result Entry'!V134="","",'Supp. Result Entry'!V134)</f>
        <v/>
      </c>
      <c r="IF135" s="212" t="str">
        <f>IF('Supp. Result Entry'!Y134="","",'Supp. Result Entry'!Y134)</f>
        <v/>
      </c>
      <c r="IG135" s="212" t="str">
        <f>IF('Supp. Result Entry'!AB134="","",'Supp. Result Entry'!AB134)</f>
        <v/>
      </c>
      <c r="IH135" s="212" t="str">
        <f>IF('Supp. Result Entry'!AE134="","",'Supp. Result Entry'!AE134)</f>
        <v/>
      </c>
      <c r="II135" s="212" t="str">
        <f>IF('Supp. Result Entry'!AH134="","",'Supp. Result Entry'!AH134)</f>
        <v/>
      </c>
      <c r="IJ135" s="212" t="str">
        <f>IF('Supp. Result Entry'!AK134="","",'Supp. Result Entry'!AK134)</f>
        <v/>
      </c>
      <c r="IK135" s="212" t="str">
        <f>IF('Supp. Result Entry'!W134="","",'Supp. Result Entry'!W134)</f>
        <v/>
      </c>
      <c r="IL135" s="212" t="str">
        <f>IF('Supp. Result Entry'!Z134="","",'Supp. Result Entry'!Z134)</f>
        <v/>
      </c>
      <c r="IM135" s="212" t="str">
        <f>IF('Supp. Result Entry'!AC134="","",'Supp. Result Entry'!AC134)</f>
        <v/>
      </c>
      <c r="IN135" s="212" t="str">
        <f>IF('Supp. Result Entry'!AF134="","",'Supp. Result Entry'!AF134)</f>
        <v/>
      </c>
      <c r="IO135" s="212" t="str">
        <f>IF('Supp. Result Entry'!AI134="","",'Supp. Result Entry'!AI134)</f>
        <v/>
      </c>
      <c r="IP135" s="212" t="str">
        <f>IF('Supp. Result Entry'!AL134="","",'Supp. Result Entry'!AL134)</f>
        <v/>
      </c>
      <c r="IQ135" s="212">
        <f>COUNTIF('Supp. Result Entry'!K134:Q134,"S")</f>
        <v>0</v>
      </c>
      <c r="IR135" s="212">
        <f t="shared" si="355"/>
        <v>0</v>
      </c>
      <c r="IS135" s="212">
        <f t="shared" si="356"/>
        <v>0</v>
      </c>
      <c r="IT135" s="212" t="str">
        <f t="shared" si="224"/>
        <v/>
      </c>
      <c r="IU135" s="212" t="str">
        <f t="shared" si="225"/>
        <v/>
      </c>
      <c r="IV135" s="212" t="str">
        <f t="shared" si="226"/>
        <v/>
      </c>
      <c r="IW135" s="212" t="str">
        <f t="shared" si="227"/>
        <v/>
      </c>
      <c r="IX135" s="212" t="str">
        <f t="shared" si="228"/>
        <v/>
      </c>
      <c r="IY135" s="212" t="str">
        <f t="shared" si="357"/>
        <v/>
      </c>
      <c r="IZ135" s="212" t="str">
        <f t="shared" si="358"/>
        <v/>
      </c>
      <c r="JA135" s="212" t="str">
        <f t="shared" si="229"/>
        <v/>
      </c>
      <c r="JB135" s="210" t="str">
        <f t="shared" si="359"/>
        <v/>
      </c>
    </row>
    <row r="136" spans="1:262" s="210" customFormat="1" ht="21" customHeight="1">
      <c r="A136" s="183">
        <v>129</v>
      </c>
      <c r="B136" s="184" t="str">
        <f>IF('Marks Entry'!B136="","",'Marks Entry'!B136)</f>
        <v/>
      </c>
      <c r="C136" s="185" t="str">
        <f>IF('Marks Entry'!D136="","",'Marks Entry'!D136)</f>
        <v/>
      </c>
      <c r="D136" s="186" t="str">
        <f>IF('Marks Entry'!E136="","",'Marks Entry'!E136)</f>
        <v/>
      </c>
      <c r="E136" s="187" t="str">
        <f>IF('Marks Entry'!F136="","",'Marks Entry'!F136)</f>
        <v/>
      </c>
      <c r="F136" s="187" t="str">
        <f>IF('Marks Entry'!G136="","",'Marks Entry'!G136)</f>
        <v/>
      </c>
      <c r="G136" s="187" t="str">
        <f>IF('Marks Entry'!H136="","",'Marks Entry'!H136)</f>
        <v/>
      </c>
      <c r="H136" s="188" t="str">
        <f>IF('Marks Entry'!I136="","",'Marks Entry'!I136)</f>
        <v/>
      </c>
      <c r="I136" s="189" t="str">
        <f>IF('Marks Entry'!J136="","",'Marks Entry'!J136)</f>
        <v/>
      </c>
      <c r="J136" s="545" t="str">
        <f>IF('Marks Entry'!K136="","",'Marks Entry'!K136)</f>
        <v/>
      </c>
      <c r="K136" s="545" t="str">
        <f>IF('Marks Entry'!L136="","",'Marks Entry'!L136)</f>
        <v/>
      </c>
      <c r="L136" s="545" t="str">
        <f>IF('Marks Entry'!M136="","",'Marks Entry'!M136)</f>
        <v/>
      </c>
      <c r="M136" s="546" t="str">
        <f t="shared" si="230"/>
        <v/>
      </c>
      <c r="N136" s="545" t="str">
        <f>IF('Marks Entry'!N136="","",'Marks Entry'!N136)</f>
        <v/>
      </c>
      <c r="O136" s="546" t="str">
        <f t="shared" si="231"/>
        <v/>
      </c>
      <c r="P136" s="545" t="str">
        <f>IF('Marks Entry'!O136="","",'Marks Entry'!O136)</f>
        <v/>
      </c>
      <c r="Q136" s="547" t="str">
        <f t="shared" si="232"/>
        <v/>
      </c>
      <c r="R136" s="152">
        <f t="shared" si="233"/>
        <v>0</v>
      </c>
      <c r="S136" s="152">
        <f t="shared" si="234"/>
        <v>0</v>
      </c>
      <c r="T136" s="153" t="str">
        <f t="shared" si="235"/>
        <v/>
      </c>
      <c r="U136" s="152" t="str">
        <f t="shared" si="236"/>
        <v/>
      </c>
      <c r="V136" s="152" t="str">
        <f t="shared" si="237"/>
        <v/>
      </c>
      <c r="W136" s="152" t="str">
        <f t="shared" si="238"/>
        <v/>
      </c>
      <c r="X136" s="545" t="str">
        <f>IF('Marks Entry'!P136="","",'Marks Entry'!P136)</f>
        <v/>
      </c>
      <c r="Y136" s="545" t="str">
        <f>IF('Marks Entry'!Q136="","",'Marks Entry'!Q136)</f>
        <v/>
      </c>
      <c r="Z136" s="545" t="str">
        <f>IF('Marks Entry'!R136="","",'Marks Entry'!R136)</f>
        <v/>
      </c>
      <c r="AA136" s="546" t="str">
        <f t="shared" si="239"/>
        <v/>
      </c>
      <c r="AB136" s="545" t="str">
        <f>IF('Marks Entry'!S136="","",'Marks Entry'!S136)</f>
        <v/>
      </c>
      <c r="AC136" s="546" t="str">
        <f t="shared" si="240"/>
        <v/>
      </c>
      <c r="AD136" s="545" t="str">
        <f>IF('Marks Entry'!T136="","",'Marks Entry'!T136)</f>
        <v/>
      </c>
      <c r="AE136" s="547" t="str">
        <f t="shared" si="241"/>
        <v/>
      </c>
      <c r="AF136" s="152">
        <f t="shared" si="242"/>
        <v>0</v>
      </c>
      <c r="AG136" s="152">
        <f t="shared" si="243"/>
        <v>0</v>
      </c>
      <c r="AH136" s="153" t="str">
        <f t="shared" si="244"/>
        <v/>
      </c>
      <c r="AI136" s="152" t="str">
        <f t="shared" si="245"/>
        <v/>
      </c>
      <c r="AJ136" s="152" t="str">
        <f t="shared" si="246"/>
        <v/>
      </c>
      <c r="AK136" s="152" t="str">
        <f t="shared" si="247"/>
        <v/>
      </c>
      <c r="AL136" s="573" t="str">
        <f>IF('Marks Entry'!U136="","",'Marks Entry'!U136)</f>
        <v/>
      </c>
      <c r="AM136" s="573" t="str">
        <f>IF('Marks Entry'!V136="","",'Marks Entry'!V136)</f>
        <v/>
      </c>
      <c r="AN136" s="573" t="str">
        <f>IF('Marks Entry'!W136="","",'Marks Entry'!W136)</f>
        <v/>
      </c>
      <c r="AO136" s="573" t="str">
        <f>IF('Marks Entry'!X136="","",'Marks Entry'!X136)</f>
        <v/>
      </c>
      <c r="AP136" s="572" t="str">
        <f t="shared" si="248"/>
        <v/>
      </c>
      <c r="AQ136" s="573" t="str">
        <f>IF('Marks Entry'!Y136="","",'Marks Entry'!Y136)</f>
        <v/>
      </c>
      <c r="AR136" s="573" t="str">
        <f>IF('Marks Entry'!Z136="","",'Marks Entry'!Z136)</f>
        <v/>
      </c>
      <c r="AS136" s="572" t="str">
        <f t="shared" si="249"/>
        <v/>
      </c>
      <c r="AT136" s="572" t="str">
        <f t="shared" si="250"/>
        <v/>
      </c>
      <c r="AU136" s="573" t="str">
        <f>IF('Marks Entry'!AA136="","",'Marks Entry'!AA136)</f>
        <v/>
      </c>
      <c r="AV136" s="573" t="str">
        <f>IF('Marks Entry'!AB136="","",'Marks Entry'!AB136)</f>
        <v/>
      </c>
      <c r="AW136" s="572" t="str">
        <f t="shared" si="251"/>
        <v/>
      </c>
      <c r="AX136" s="156" t="str">
        <f t="shared" si="252"/>
        <v/>
      </c>
      <c r="AY136" s="156" t="str">
        <f t="shared" si="253"/>
        <v/>
      </c>
      <c r="AZ136" s="191" t="str">
        <f t="shared" si="254"/>
        <v/>
      </c>
      <c r="BA136" s="152">
        <f t="shared" si="255"/>
        <v>0</v>
      </c>
      <c r="BB136" s="153">
        <f t="shared" si="256"/>
        <v>0</v>
      </c>
      <c r="BC136" s="153" t="str">
        <f t="shared" si="257"/>
        <v/>
      </c>
      <c r="BD136" s="153" t="str">
        <f t="shared" si="258"/>
        <v/>
      </c>
      <c r="BE136" s="153" t="str">
        <f t="shared" si="259"/>
        <v/>
      </c>
      <c r="BF136" s="152" t="str">
        <f t="shared" si="260"/>
        <v/>
      </c>
      <c r="BG136" s="153" t="str">
        <f t="shared" si="261"/>
        <v/>
      </c>
      <c r="BH136" s="152" t="str">
        <f t="shared" si="262"/>
        <v/>
      </c>
      <c r="BI136" s="580" t="str">
        <f>IF('Marks Entry'!AC136="","",'Marks Entry'!AC136)</f>
        <v/>
      </c>
      <c r="BJ136" s="580" t="str">
        <f>IF('Marks Entry'!AD136="","",'Marks Entry'!AD136)</f>
        <v/>
      </c>
      <c r="BK136" s="580" t="str">
        <f>IF('Marks Entry'!AE136="","",'Marks Entry'!AE136)</f>
        <v/>
      </c>
      <c r="BL136" s="580" t="str">
        <f>IF('Marks Entry'!AF136="","",'Marks Entry'!AF136)</f>
        <v/>
      </c>
      <c r="BM136" s="581" t="str">
        <f t="shared" si="263"/>
        <v/>
      </c>
      <c r="BN136" s="580" t="str">
        <f>IF('Marks Entry'!AG136="","",'Marks Entry'!AG136)</f>
        <v/>
      </c>
      <c r="BO136" s="580" t="str">
        <f>IF('Marks Entry'!AH136="","",'Marks Entry'!AH136)</f>
        <v/>
      </c>
      <c r="BP136" s="581" t="str">
        <f t="shared" si="264"/>
        <v/>
      </c>
      <c r="BQ136" s="581" t="str">
        <f t="shared" si="265"/>
        <v/>
      </c>
      <c r="BR136" s="580" t="str">
        <f>IF('Marks Entry'!AI136="","",'Marks Entry'!AI136)</f>
        <v/>
      </c>
      <c r="BS136" s="580" t="str">
        <f>IF('Marks Entry'!AJ136="","",'Marks Entry'!AJ136)</f>
        <v/>
      </c>
      <c r="BT136" s="581" t="str">
        <f t="shared" si="266"/>
        <v/>
      </c>
      <c r="BU136" s="156" t="str">
        <f t="shared" si="267"/>
        <v/>
      </c>
      <c r="BV136" s="156" t="str">
        <f t="shared" si="268"/>
        <v/>
      </c>
      <c r="BW136" s="191" t="str">
        <f t="shared" si="269"/>
        <v/>
      </c>
      <c r="BX136" s="152">
        <f t="shared" si="270"/>
        <v>0</v>
      </c>
      <c r="BY136" s="153">
        <f t="shared" si="271"/>
        <v>0</v>
      </c>
      <c r="BZ136" s="153" t="str">
        <f t="shared" si="272"/>
        <v/>
      </c>
      <c r="CA136" s="153" t="str">
        <f t="shared" si="273"/>
        <v/>
      </c>
      <c r="CB136" s="153" t="str">
        <f t="shared" si="274"/>
        <v/>
      </c>
      <c r="CC136" s="152" t="str">
        <f t="shared" si="275"/>
        <v/>
      </c>
      <c r="CD136" s="153" t="str">
        <f t="shared" si="276"/>
        <v/>
      </c>
      <c r="CE136" s="152" t="str">
        <f t="shared" si="277"/>
        <v/>
      </c>
      <c r="CF136" s="580" t="str">
        <f>IF('Marks Entry'!AK136="","",'Marks Entry'!AK136)</f>
        <v/>
      </c>
      <c r="CG136" s="580" t="str">
        <f>IF('Marks Entry'!AL136="","",'Marks Entry'!AL136)</f>
        <v/>
      </c>
      <c r="CH136" s="580" t="str">
        <f>IF('Marks Entry'!AM136="","",'Marks Entry'!AM136)</f>
        <v/>
      </c>
      <c r="CI136" s="580" t="str">
        <f>IF('Marks Entry'!AN136="","",'Marks Entry'!AN136)</f>
        <v/>
      </c>
      <c r="CJ136" s="581" t="str">
        <f t="shared" si="278"/>
        <v/>
      </c>
      <c r="CK136" s="580" t="str">
        <f>IF('Marks Entry'!AO136="","",'Marks Entry'!AO136)</f>
        <v/>
      </c>
      <c r="CL136" s="580" t="str">
        <f>IF('Marks Entry'!AP136="","",'Marks Entry'!AP136)</f>
        <v/>
      </c>
      <c r="CM136" s="581" t="str">
        <f t="shared" si="279"/>
        <v/>
      </c>
      <c r="CN136" s="581" t="str">
        <f t="shared" si="280"/>
        <v/>
      </c>
      <c r="CO136" s="580" t="str">
        <f>IF('Marks Entry'!AQ136="","",'Marks Entry'!AQ136)</f>
        <v/>
      </c>
      <c r="CP136" s="580" t="str">
        <f>IF('Marks Entry'!AR136="","",'Marks Entry'!AR136)</f>
        <v/>
      </c>
      <c r="CQ136" s="581" t="str">
        <f t="shared" si="281"/>
        <v/>
      </c>
      <c r="CR136" s="156" t="str">
        <f t="shared" si="282"/>
        <v/>
      </c>
      <c r="CS136" s="156" t="str">
        <f t="shared" si="283"/>
        <v/>
      </c>
      <c r="CT136" s="191" t="str">
        <f t="shared" si="284"/>
        <v/>
      </c>
      <c r="CU136" s="152">
        <f t="shared" si="285"/>
        <v>0</v>
      </c>
      <c r="CV136" s="153">
        <f t="shared" si="286"/>
        <v>0</v>
      </c>
      <c r="CW136" s="153" t="str">
        <f t="shared" si="287"/>
        <v/>
      </c>
      <c r="CX136" s="153" t="str">
        <f t="shared" si="288"/>
        <v/>
      </c>
      <c r="CY136" s="153" t="str">
        <f t="shared" si="289"/>
        <v/>
      </c>
      <c r="CZ136" s="152" t="str">
        <f t="shared" si="290"/>
        <v/>
      </c>
      <c r="DA136" s="153" t="str">
        <f t="shared" si="291"/>
        <v/>
      </c>
      <c r="DB136" s="152" t="str">
        <f t="shared" si="292"/>
        <v/>
      </c>
      <c r="DC136" s="153">
        <f t="shared" si="293"/>
        <v>0</v>
      </c>
      <c r="DD136" s="851" t="str">
        <f>IF('Marks Entry'!AS136="","",IF(OR('Master Sheet'!$D$19="YES",'Marks Entry'!$BA$1=1),'Marks Entry'!AS136,""))</f>
        <v/>
      </c>
      <c r="DE136" s="851" t="str">
        <f>IF('Marks Entry'!AT136="","",IF(OR('Master Sheet'!$D$19="YES",'Marks Entry'!$BA$1=1),'Marks Entry'!AT136,""))</f>
        <v/>
      </c>
      <c r="DF136" s="851" t="str">
        <f>IF('Marks Entry'!AU136="","",IF(OR('Master Sheet'!$D$19="YES",'Marks Entry'!$BA$1=1),'Marks Entry'!AU136,""))</f>
        <v/>
      </c>
      <c r="DG136" s="851" t="str">
        <f>IF('Marks Entry'!AV136="","",IF(OR('Master Sheet'!$D$19="YES",'Marks Entry'!$BA$1=1),'Marks Entry'!AV136,""))</f>
        <v/>
      </c>
      <c r="DH136" s="852" t="str">
        <f t="shared" si="294"/>
        <v/>
      </c>
      <c r="DI136" s="851" t="str">
        <f>IF('Marks Entry'!AW136="","",IF(OR('Master Sheet'!$D$19="YES",'Marks Entry'!$BA$1=1),'Marks Entry'!AW136,""))</f>
        <v/>
      </c>
      <c r="DJ136" s="851" t="str">
        <f>IF('Marks Entry'!AX136="","",IF(OR('Master Sheet'!$D$19="YES",'Marks Entry'!$BA$1=1),'Marks Entry'!AX136,""))</f>
        <v/>
      </c>
      <c r="DK136" s="852" t="str">
        <f t="shared" si="295"/>
        <v/>
      </c>
      <c r="DL136" s="852" t="str">
        <f t="shared" si="296"/>
        <v/>
      </c>
      <c r="DM136" s="851" t="str">
        <f>IF('Marks Entry'!AY136="","",IF(OR('Master Sheet'!$D$19="YES",'Marks Entry'!$BA$1=1),'Marks Entry'!AY136,""))</f>
        <v/>
      </c>
      <c r="DN136" s="851" t="str">
        <f>IF('Marks Entry'!AZ136="","",IF(OR('Master Sheet'!$D$19="YES",'Marks Entry'!$BA$1=1),'Marks Entry'!AZ136,""))</f>
        <v/>
      </c>
      <c r="DO136" s="851" t="str">
        <f>IF('Marks Entry'!BA136="","",IF(OR('Master Sheet'!$D$19="YES",'Marks Entry'!$BA$1=1),'Marks Entry'!BA136,""))</f>
        <v/>
      </c>
      <c r="DP136" s="852" t="str">
        <f t="shared" si="297"/>
        <v/>
      </c>
      <c r="DQ136" s="156" t="str">
        <f t="shared" si="298"/>
        <v/>
      </c>
      <c r="DR136" s="156" t="str">
        <f t="shared" si="299"/>
        <v/>
      </c>
      <c r="DS136" s="156" t="str">
        <f t="shared" si="300"/>
        <v/>
      </c>
      <c r="DT136" s="191" t="str">
        <f t="shared" si="301"/>
        <v/>
      </c>
      <c r="DU136" s="152">
        <f t="shared" si="302"/>
        <v>0</v>
      </c>
      <c r="DV136" s="153">
        <f t="shared" si="303"/>
        <v>0</v>
      </c>
      <c r="DW136" s="153" t="str">
        <f t="shared" si="304"/>
        <v/>
      </c>
      <c r="DX136" s="153" t="str">
        <f>IF(OR($B136="NSO",$B136=0,DS136=""),"",IF(AND(DJ136="",DO136=""),"",IF('Master Sheet'!$D$19="YES",$DO$6-COUNTIF(DO136,"ML")*DO$6,DS$6-(COUNTIF(DJ136,"ML")*DJ$6)-(COUNTIF(DO136,"ML")*DO$6))))</f>
        <v/>
      </c>
      <c r="DY136" s="153" t="str">
        <f>IF(OR($B136="NSO",$B136=0),"",IF(AND(DH136="",DI136="",DM136=""),"",IF(AND('Master Sheet'!$D$19="YES",'Marks Entry'!$BA$1=1),100,IF(AND(DJ136="",DO136=""),SUM(($DQ$7+$DR$7)-(DU136+DV136)),SUM(($DQ$6+$DR$6)-(DU136+DV136))))))</f>
        <v/>
      </c>
      <c r="DZ136" s="152" t="str">
        <f t="shared" si="305"/>
        <v/>
      </c>
      <c r="EA136" s="153" t="str">
        <f t="shared" si="306"/>
        <v/>
      </c>
      <c r="EB136" s="152" t="str">
        <f t="shared" si="307"/>
        <v/>
      </c>
      <c r="EC136" s="584" t="str">
        <f>IF('Marks Entry'!BB136="","",'Marks Entry'!BB136)</f>
        <v/>
      </c>
      <c r="ED136" s="584" t="str">
        <f>IF('Marks Entry'!BC136="","",'Marks Entry'!BC136)</f>
        <v/>
      </c>
      <c r="EE136" s="584" t="str">
        <f>IF('Marks Entry'!BD136="","",'Marks Entry'!BD136)</f>
        <v/>
      </c>
      <c r="EF136" s="590" t="str">
        <f t="shared" si="308"/>
        <v/>
      </c>
      <c r="EG136" s="595">
        <f t="shared" si="309"/>
        <v>0</v>
      </c>
      <c r="EH136" s="595">
        <f t="shared" si="310"/>
        <v>0</v>
      </c>
      <c r="EI136" s="192" t="str">
        <f t="shared" si="311"/>
        <v/>
      </c>
      <c r="EJ136" s="595" t="str">
        <f t="shared" si="312"/>
        <v/>
      </c>
      <c r="EK136" s="595" t="str">
        <f t="shared" si="313"/>
        <v/>
      </c>
      <c r="EL136" s="193" t="str">
        <f t="shared" si="314"/>
        <v/>
      </c>
      <c r="EM136" s="193" t="str">
        <f t="shared" si="315"/>
        <v/>
      </c>
      <c r="EN136" s="193" t="str">
        <f t="shared" si="316"/>
        <v/>
      </c>
      <c r="EO136" s="193" t="str">
        <f t="shared" si="317"/>
        <v/>
      </c>
      <c r="EP136" s="193" t="str">
        <f t="shared" si="318"/>
        <v/>
      </c>
      <c r="EQ136" s="193" t="str">
        <f t="shared" si="319"/>
        <v/>
      </c>
      <c r="ER136" s="194">
        <f t="shared" si="320"/>
        <v>0</v>
      </c>
      <c r="ES136" s="194">
        <f t="shared" si="321"/>
        <v>0</v>
      </c>
      <c r="ET136" s="194">
        <f t="shared" si="322"/>
        <v>0</v>
      </c>
      <c r="EU136" s="194">
        <f t="shared" si="323"/>
        <v>0</v>
      </c>
      <c r="EV136" s="194">
        <f t="shared" si="324"/>
        <v>0</v>
      </c>
      <c r="EW136" s="194" t="str">
        <f t="shared" si="325"/>
        <v/>
      </c>
      <c r="EX136" s="195" t="str">
        <f t="shared" si="326"/>
        <v/>
      </c>
      <c r="EY136" s="196" t="str">
        <f>IF('Marks Entry'!BE136="","",'Marks Entry'!BE136)</f>
        <v/>
      </c>
      <c r="EZ136" s="196" t="str">
        <f>IF('Marks Entry'!BF136="","",'Marks Entry'!BF136)</f>
        <v/>
      </c>
      <c r="FA136" s="196" t="str">
        <f>IF('Marks Entry'!BG136="","",'Marks Entry'!BG136)</f>
        <v/>
      </c>
      <c r="FB136" s="596" t="str">
        <f t="shared" si="327"/>
        <v/>
      </c>
      <c r="FC136" s="196" t="str">
        <f>IF('Marks Entry'!BH136="","",'Marks Entry'!BH136)</f>
        <v/>
      </c>
      <c r="FD136" s="196" t="str">
        <f>IF('Marks Entry'!BI136="","",'Marks Entry'!BI136)</f>
        <v/>
      </c>
      <c r="FE136" s="197" t="str">
        <f t="shared" si="328"/>
        <v/>
      </c>
      <c r="FF136" s="198" t="str">
        <f t="shared" si="329"/>
        <v/>
      </c>
      <c r="FG136" s="199" t="str">
        <f>IF(AND(E136=""),"",IF('Student DATA Entry'!L132="","",'Student DATA Entry'!L132))</f>
        <v/>
      </c>
      <c r="FH136" s="200" t="str">
        <f>IF(AND(E136=""),"",IF('Student DATA Entry'!M132="","",'Student DATA Entry'!M132))</f>
        <v/>
      </c>
      <c r="FI136" s="201" t="str">
        <f t="shared" si="330"/>
        <v/>
      </c>
      <c r="FJ136" s="188" t="str">
        <f t="shared" si="331"/>
        <v/>
      </c>
      <c r="FK136" s="188" t="str">
        <f t="shared" si="332"/>
        <v/>
      </c>
      <c r="FL136" s="202" t="str">
        <f t="shared" ref="FL136:FL167" si="383">IF(FJ136="G",ROUNDUP(36%*T136-Q136,0),"")</f>
        <v/>
      </c>
      <c r="FM136" s="188" t="str">
        <f t="shared" si="333"/>
        <v/>
      </c>
      <c r="FN136" s="203" t="str">
        <f t="shared" si="334"/>
        <v/>
      </c>
      <c r="FO136" s="202" t="str">
        <f t="shared" ref="FO136:FO167" si="384">IF(FM136="G",ROUNDUP(36%*AH136-AE136,0),"")</f>
        <v/>
      </c>
      <c r="FP136" s="204" t="str">
        <f t="shared" si="335"/>
        <v/>
      </c>
      <c r="FQ136" s="188" t="str">
        <f t="shared" ref="FQ136:FQ167" si="385">IF(AL136="A",FP136,"")</f>
        <v/>
      </c>
      <c r="FR136" s="188" t="str">
        <f t="shared" ref="FR136:FR167" si="386">IF(AL136="B",FP136,"")</f>
        <v/>
      </c>
      <c r="FS136" s="188" t="str">
        <f t="shared" ref="FS136:FS167" si="387">IF(AL136="C",FP136,"")</f>
        <v/>
      </c>
      <c r="FT136" s="188" t="str">
        <f t="shared" ref="FT136:FT167" si="388">IF(AL136="D",FP136,"")</f>
        <v/>
      </c>
      <c r="FU136" s="188" t="str">
        <f t="shared" si="336"/>
        <v/>
      </c>
      <c r="FV136" s="205" t="str">
        <f t="shared" ref="FV136:FV167" si="389">IF(FP136="G",ROUNDUP(36%*BE136-AX136,0),"")</f>
        <v/>
      </c>
      <c r="FW136" s="204" t="str">
        <f t="shared" si="337"/>
        <v/>
      </c>
      <c r="FX136" s="188" t="str">
        <f t="shared" ref="FX136:FX167" si="390">IF(BI136="A",FW136,"")</f>
        <v/>
      </c>
      <c r="FY136" s="188" t="str">
        <f t="shared" ref="FY136:FY167" si="391">IF(BI136="B",FW136,"")</f>
        <v/>
      </c>
      <c r="FZ136" s="188" t="str">
        <f t="shared" ref="FZ136:FZ167" si="392">IF(BI136="C",FW136,"")</f>
        <v/>
      </c>
      <c r="GA136" s="188" t="str">
        <f t="shared" ref="GA136:GA167" si="393">IF(BI136="D",FW136,"")</f>
        <v/>
      </c>
      <c r="GB136" s="188" t="str">
        <f t="shared" si="338"/>
        <v/>
      </c>
      <c r="GC136" s="205" t="str">
        <f t="shared" ref="GC136:GC167" si="394">IF(FW136="G",ROUNDUP(36%*CB136-BU136,0),"")</f>
        <v/>
      </c>
      <c r="GD136" s="204" t="str">
        <f t="shared" si="339"/>
        <v/>
      </c>
      <c r="GE136" s="188" t="str">
        <f t="shared" ref="GE136:GE167" si="395">IF(CF136="A",GD136,"")</f>
        <v/>
      </c>
      <c r="GF136" s="188" t="str">
        <f t="shared" ref="GF136:GF167" si="396">IF(CF136="B",GD136,"")</f>
        <v/>
      </c>
      <c r="GG136" s="188" t="str">
        <f t="shared" ref="GG136:GG167" si="397">IF(CF136="C",GD136,"")</f>
        <v/>
      </c>
      <c r="GH136" s="188" t="str">
        <f t="shared" ref="GH136:GH167" si="398">IF(CF136="D",GD136,"")</f>
        <v/>
      </c>
      <c r="GI136" s="188" t="str">
        <f t="shared" si="340"/>
        <v/>
      </c>
      <c r="GJ136" s="205" t="str">
        <f t="shared" ref="GJ136:GJ167" si="399">IF(GD136="G",ROUNDUP(36%*CY136-CR136,0),"")</f>
        <v/>
      </c>
      <c r="GK136" s="204" t="str">
        <f t="shared" si="341"/>
        <v/>
      </c>
      <c r="GL136" s="188" t="str">
        <f t="shared" ref="GL136:GL167" si="400">IF(DD136="A",GK136,"")</f>
        <v/>
      </c>
      <c r="GM136" s="188" t="str">
        <f t="shared" ref="GM136:GM167" si="401">IF(DD136="B",GK136,"")</f>
        <v/>
      </c>
      <c r="GN136" s="188" t="str">
        <f t="shared" ref="GN136:GN167" si="402">IF(DD136="C",GK136,"")</f>
        <v/>
      </c>
      <c r="GO136" s="188" t="str">
        <f t="shared" ref="GO136:GO167" si="403">IF(DD136="D",GK136,"")</f>
        <v/>
      </c>
      <c r="GP136" s="188" t="str">
        <f t="shared" si="342"/>
        <v/>
      </c>
      <c r="GQ136" s="205" t="str">
        <f t="shared" ref="GQ136:GQ167" si="404">IF(GK136="G",ROUNDUP(36%*DY136-DQ136,0),"")</f>
        <v/>
      </c>
      <c r="GR136" s="188" t="str">
        <f t="shared" si="343"/>
        <v/>
      </c>
      <c r="GS136" s="188" t="str">
        <f t="shared" si="344"/>
        <v/>
      </c>
      <c r="GT136" s="206" t="str">
        <f t="shared" si="345"/>
        <v xml:space="preserve">    </v>
      </c>
      <c r="GU136" s="206" t="str">
        <f t="shared" si="346"/>
        <v xml:space="preserve">    </v>
      </c>
      <c r="GV136" s="206" t="str">
        <f t="shared" si="347"/>
        <v xml:space="preserve">    </v>
      </c>
      <c r="GW136" s="206" t="str">
        <f t="shared" si="348"/>
        <v xml:space="preserve">       </v>
      </c>
      <c r="GX136" s="598" t="str">
        <f t="shared" si="349"/>
        <v xml:space="preserve">     </v>
      </c>
      <c r="GY136" s="207" t="str">
        <f t="shared" ref="GY136:GY167" si="405">IF(B136="NSO","NSO",IF(AND(OR(EX136="PASS",EX136="BY GRACE PASS",EX136="RE-EXAM"),EW136="F"),"FAIL",IF(AND(OR(EX136="PASS",EX136="BY GRACE PASS"),EW136="RE"),"RE-EXAM",EX136)))</f>
        <v/>
      </c>
      <c r="GZ136" s="606" t="str">
        <f>IF(AND(Q136="",AE136="",AZ136="",BW136="",CT136=""),"",IF(AND('Master Sheet'!$D$19="YES",'Marks Entry'!$BA$1=1),SUM(Q136,AE136,AZ136,BW136,DT136),SUM(Q136,AE136,AZ136,BW136,CT136)))</f>
        <v/>
      </c>
      <c r="HA136" s="208" t="str">
        <f>IF(GZ136="","",IF(AND('Master Sheet'!$D$19="YES",'Marks Entry'!$BA$1=1),GZ136/((900)-DC136)*100,GZ136/((1000)-DC136)*100))</f>
        <v/>
      </c>
      <c r="HB136" s="611" t="str">
        <f t="shared" si="350"/>
        <v/>
      </c>
      <c r="HC136" s="609" t="str">
        <f t="shared" si="351"/>
        <v/>
      </c>
      <c r="HD136" s="610" t="str">
        <f t="shared" si="352"/>
        <v/>
      </c>
      <c r="HE136" s="209" t="str">
        <f>IFERROR(IF(OR(GY136="SUPPLEMENTARY",GY136="RE-EXAM"),'Supp. Result Entry'!AS135,""),"")</f>
        <v/>
      </c>
      <c r="HF136" s="613" t="str">
        <f t="shared" si="353"/>
        <v/>
      </c>
      <c r="HG136" s="598" t="str">
        <f t="shared" si="354"/>
        <v/>
      </c>
      <c r="HH136" s="598" t="str">
        <f>IF(AND(HE136="",HF136="",HG136=""),"",IF(OR(GY136="SUPPLEMENTARY",GY136="RE-EXAM"),'Supp. Result Entry'!AS135,GY136))</f>
        <v/>
      </c>
      <c r="HI136" s="179"/>
      <c r="HY136" s="211" t="str">
        <f>IF('Supp. Result Entry'!U135="","",'Supp. Result Entry'!$U$6)</f>
        <v/>
      </c>
      <c r="HZ136" s="212" t="str">
        <f>IF('Supp. Result Entry'!X135="","",'Supp. Result Entry'!$X$6)</f>
        <v/>
      </c>
      <c r="IA136" s="212" t="str">
        <f>IF('Supp. Result Entry'!AA135="","",'Supp. Result Entry'!$AA$6)</f>
        <v/>
      </c>
      <c r="IB136" s="212" t="str">
        <f>IF('Supp. Result Entry'!AD135="","",'Supp. Result Entry'!$AD$6)</f>
        <v/>
      </c>
      <c r="IC136" s="212" t="str">
        <f>IF('Supp. Result Entry'!AG135="","",'Supp. Result Entry'!$AG$6)</f>
        <v/>
      </c>
      <c r="ID136" s="212" t="str">
        <f>IF('Supp. Result Entry'!AJ135="","",'Supp. Result Entry'!$AJ$6)</f>
        <v/>
      </c>
      <c r="IE136" s="212" t="str">
        <f>IF('Supp. Result Entry'!V135="","",'Supp. Result Entry'!V135)</f>
        <v/>
      </c>
      <c r="IF136" s="212" t="str">
        <f>IF('Supp. Result Entry'!Y135="","",'Supp. Result Entry'!Y135)</f>
        <v/>
      </c>
      <c r="IG136" s="212" t="str">
        <f>IF('Supp. Result Entry'!AB135="","",'Supp. Result Entry'!AB135)</f>
        <v/>
      </c>
      <c r="IH136" s="212" t="str">
        <f>IF('Supp. Result Entry'!AE135="","",'Supp. Result Entry'!AE135)</f>
        <v/>
      </c>
      <c r="II136" s="212" t="str">
        <f>IF('Supp. Result Entry'!AH135="","",'Supp. Result Entry'!AH135)</f>
        <v/>
      </c>
      <c r="IJ136" s="212" t="str">
        <f>IF('Supp. Result Entry'!AK135="","",'Supp. Result Entry'!AK135)</f>
        <v/>
      </c>
      <c r="IK136" s="212" t="str">
        <f>IF('Supp. Result Entry'!W135="","",'Supp. Result Entry'!W135)</f>
        <v/>
      </c>
      <c r="IL136" s="212" t="str">
        <f>IF('Supp. Result Entry'!Z135="","",'Supp. Result Entry'!Z135)</f>
        <v/>
      </c>
      <c r="IM136" s="212" t="str">
        <f>IF('Supp. Result Entry'!AC135="","",'Supp. Result Entry'!AC135)</f>
        <v/>
      </c>
      <c r="IN136" s="212" t="str">
        <f>IF('Supp. Result Entry'!AF135="","",'Supp. Result Entry'!AF135)</f>
        <v/>
      </c>
      <c r="IO136" s="212" t="str">
        <f>IF('Supp. Result Entry'!AI135="","",'Supp. Result Entry'!AI135)</f>
        <v/>
      </c>
      <c r="IP136" s="212" t="str">
        <f>IF('Supp. Result Entry'!AL135="","",'Supp. Result Entry'!AL135)</f>
        <v/>
      </c>
      <c r="IQ136" s="212">
        <f>COUNTIF('Supp. Result Entry'!K135:Q135,"S")</f>
        <v>0</v>
      </c>
      <c r="IR136" s="212">
        <f t="shared" si="355"/>
        <v>0</v>
      </c>
      <c r="IS136" s="212">
        <f t="shared" si="356"/>
        <v>0</v>
      </c>
      <c r="IT136" s="212" t="str">
        <f t="shared" ref="IT136:IT199" si="406">IF(OR(IQ136=0,IQ136&lt;IS136),"",IF(OR(FJ136="RE",FJ136="REP"),SUM(Q136,IE136),IF(FJ136="S",IE136,Q136)))</f>
        <v/>
      </c>
      <c r="IU136" s="212" t="str">
        <f t="shared" ref="IU136:IU199" si="407">IF(OR(IQ136=0,IQ136&lt;IS136),"",IF(OR(FM136="RE",FM136="REP"),SUM(AE136,IF136),IF(FM136="S",IF136,AE136)))</f>
        <v/>
      </c>
      <c r="IV136" s="212" t="str">
        <f t="shared" ref="IV136:IV199" si="408">IF(OR(IQ136=0,IQ136&lt;IS136),"",IF(OR(FP136="RE",FP136="REP"),SUM(AZ136,IG136),IF(FP136="S",IG136,AZ136)))</f>
        <v/>
      </c>
      <c r="IW136" s="212" t="str">
        <f t="shared" ref="IW136:IW199" si="409">IF(OR(IQ136=0,IQ136&lt;IS136),"",IF(OR(FW136="RE",FW136="REP"),SUM(BW136,IH136),IF(FW136="S",IH136,BW136)))</f>
        <v/>
      </c>
      <c r="IX136" s="212" t="str">
        <f t="shared" ref="IX136:IX199" si="410">IF(OR(IQ136=0,IQ136&lt;IS136),"",IF(OR(GD136="RE",GD136="REP"),SUM(CT136,II136),IF(GD136="S",II136,CT136)))</f>
        <v/>
      </c>
      <c r="IY136" s="212" t="str">
        <f t="shared" si="357"/>
        <v/>
      </c>
      <c r="IZ136" s="212" t="str">
        <f t="shared" si="358"/>
        <v/>
      </c>
      <c r="JA136" s="212" t="str">
        <f t="shared" ref="JA136:JA199" si="411">IF(OR(IQ136=0,IQ136&lt;IS136),"",SUM(($Q$6+$AE$6+$AZ$6+$BW$6+$CT$6)))</f>
        <v/>
      </c>
      <c r="JB136" s="210" t="str">
        <f t="shared" si="359"/>
        <v/>
      </c>
    </row>
    <row r="137" spans="1:262" s="210" customFormat="1" ht="21" customHeight="1">
      <c r="A137" s="183">
        <v>130</v>
      </c>
      <c r="B137" s="184" t="str">
        <f>IF('Marks Entry'!B137="","",'Marks Entry'!B137)</f>
        <v/>
      </c>
      <c r="C137" s="185" t="str">
        <f>IF('Marks Entry'!D137="","",'Marks Entry'!D137)</f>
        <v/>
      </c>
      <c r="D137" s="186" t="str">
        <f>IF('Marks Entry'!E137="","",'Marks Entry'!E137)</f>
        <v/>
      </c>
      <c r="E137" s="187" t="str">
        <f>IF('Marks Entry'!F137="","",'Marks Entry'!F137)</f>
        <v/>
      </c>
      <c r="F137" s="187" t="str">
        <f>IF('Marks Entry'!G137="","",'Marks Entry'!G137)</f>
        <v/>
      </c>
      <c r="G137" s="187" t="str">
        <f>IF('Marks Entry'!H137="","",'Marks Entry'!H137)</f>
        <v/>
      </c>
      <c r="H137" s="188" t="str">
        <f>IF('Marks Entry'!I137="","",'Marks Entry'!I137)</f>
        <v/>
      </c>
      <c r="I137" s="189" t="str">
        <f>IF('Marks Entry'!J137="","",'Marks Entry'!J137)</f>
        <v/>
      </c>
      <c r="J137" s="545" t="str">
        <f>IF('Marks Entry'!K137="","",'Marks Entry'!K137)</f>
        <v/>
      </c>
      <c r="K137" s="545" t="str">
        <f>IF('Marks Entry'!L137="","",'Marks Entry'!L137)</f>
        <v/>
      </c>
      <c r="L137" s="545" t="str">
        <f>IF('Marks Entry'!M137="","",'Marks Entry'!M137)</f>
        <v/>
      </c>
      <c r="M137" s="546" t="str">
        <f t="shared" ref="M137:M200" si="412">IF(AND(J137="",K137="",L137=""),"",IF(AND(J137="AB",K137="AB",L137="AB"),"AB",IF(AND(J137="ML",K137="ML",L137="ML"),"ML",SUM(J137:L137))))</f>
        <v/>
      </c>
      <c r="N137" s="545" t="str">
        <f>IF('Marks Entry'!N137="","",'Marks Entry'!N137)</f>
        <v/>
      </c>
      <c r="O137" s="546" t="str">
        <f t="shared" ref="O137:O200" si="413">IF(AND(N137="",M137=""),"",IF(AND(N137="AB",M137="AB"),"AB",IF(AND(N137="ML",M137="ML"),"ML",SUM(M137,N137))))</f>
        <v/>
      </c>
      <c r="P137" s="545" t="str">
        <f>IF('Marks Entry'!O137="","",'Marks Entry'!O137)</f>
        <v/>
      </c>
      <c r="Q137" s="547" t="str">
        <f t="shared" ref="Q137:Q200" si="414">IF(AND(O137="",P137=""),"",IF(AND(O137="AB",P137="AB"),"AB",IF(AND(O137="ML",P137="ML"),"ML",SUM(O137,P137))))</f>
        <v/>
      </c>
      <c r="R137" s="152">
        <f t="shared" ref="R137:R200" si="415">COUNTIF(J137:L137,"NA")*10</f>
        <v>0</v>
      </c>
      <c r="S137" s="152">
        <f t="shared" ref="S137:S200" si="416">(COUNTIF(J137:L137,"ML")*10)+(COUNTIF(N137,"ML")*70)+(COUNTIF(P137,"ML")*100)</f>
        <v>0</v>
      </c>
      <c r="T137" s="153" t="str">
        <f t="shared" ref="T137:T200" si="417">IF(OR($B137="NSO",$B137=0),"",IF(AND(J137="",K137="",L137="",N137="",P137=""),"",IF(AND(K137="",J137="",O137="",N137=""),20-R137-S137,IF(AND(K137="",L137="",N137=""),20-R137-S137,IF(AND(N137="",P137=""),40-R137-S137,IF(P137="",100-R137-S137,200-R137-S137))))))</f>
        <v/>
      </c>
      <c r="U137" s="152" t="str">
        <f t="shared" ref="U137:U200" si="418">IF(OR($B137="",$C137="",$E137=""),"",IF(AND(OR(J137="ab",J137="ml",J137=""),OR(K137="ab",K137="ml",K137=""),OR(N137="ab",N137="ml",N137="")),"AB",IF(AND(OR(N137="ab",N137="ml",N137=""),OR(P137="ab",P137="ml",P137=""),OR(L137="ab",L137="ml")),"AB",IF(AND(OR(P137="ab",P137="ml",P137=""),OR(J137="ab",J137="ml",J137=""),OR(K137="ab",K137="ml",K137="")),"AB",""))))</f>
        <v/>
      </c>
      <c r="V137" s="152" t="str">
        <f t="shared" ref="V137:V200" si="419">IF(OR($B137="NSO",$B137="",Q137=""),"",IF(OR(U137="AB",P137="ab"),"AB",IF(P137="ML","RE",IF(AND(Q137&gt;=36%*T137,P137&gt;=20%*$P$6),"P",IF(AND(Q137&gt;=34%*T137,S137=0,P137&gt;=20%*$P$6),"G2",IF(AND(Q137&gt;=31%*T137,S137=0,P137&gt;=20%*$P$6),"G1",IF(Q137&gt;=25%*T137,"S","F")))))))</f>
        <v/>
      </c>
      <c r="W137" s="152" t="str">
        <f t="shared" ref="W137:W200" si="420">IF(OR(V137="",V137=0,V137="S",V137="RE",V137="F",V137="AB"),V137,IF(Q137&gt;=75%*T137,"D",IF(Q137&gt;=60%*T137,"I",IF(Q137&gt;=48%*T137,"II",IF(Q137&gt;=36%*T137,"III",V137)))))</f>
        <v/>
      </c>
      <c r="X137" s="545" t="str">
        <f>IF('Marks Entry'!P137="","",'Marks Entry'!P137)</f>
        <v/>
      </c>
      <c r="Y137" s="545" t="str">
        <f>IF('Marks Entry'!Q137="","",'Marks Entry'!Q137)</f>
        <v/>
      </c>
      <c r="Z137" s="545" t="str">
        <f>IF('Marks Entry'!R137="","",'Marks Entry'!R137)</f>
        <v/>
      </c>
      <c r="AA137" s="546" t="str">
        <f t="shared" ref="AA137:AA200" si="421">IF(AND(X137="",Y137="",Z137=""),"",IF(AND(X137="AB",Y137="AB",Z137="AB"),"AB",IF(AND(X137="ML",Y137="ML",Z137="ML"),"ML",SUM(X137:Z137))))</f>
        <v/>
      </c>
      <c r="AB137" s="545" t="str">
        <f>IF('Marks Entry'!S137="","",'Marks Entry'!S137)</f>
        <v/>
      </c>
      <c r="AC137" s="546" t="str">
        <f t="shared" ref="AC137:AC200" si="422">IF(AND(AB137="",AA137=""),"",IF(AND(AB137="AB",AA137="AB"),"AB",IF(AND(AB137="ML",AA137="ML"),"ML",SUM(AA137,AB137))))</f>
        <v/>
      </c>
      <c r="AD137" s="545" t="str">
        <f>IF('Marks Entry'!T137="","",'Marks Entry'!T137)</f>
        <v/>
      </c>
      <c r="AE137" s="547" t="str">
        <f t="shared" ref="AE137:AE200" si="423">IF(AND(AC137="",AD137=""),"",IF(AND(AC137="AB",AD137="AB"),"AB",IF(AND(AC137="ML",AD137="ML"),"ML",SUM(AC137,AD137))))</f>
        <v/>
      </c>
      <c r="AF137" s="152">
        <f t="shared" ref="AF137:AF200" si="424">COUNTIF(X137:Z137,"NA")*10</f>
        <v>0</v>
      </c>
      <c r="AG137" s="152">
        <f t="shared" ref="AG137:AG200" si="425">(COUNTIF(X137:Z137,"ML")*10)+(COUNTIF(AB137,"ML")*70)+(COUNTIF(AD137,"ML")*100)</f>
        <v>0</v>
      </c>
      <c r="AH137" s="153" t="str">
        <f t="shared" ref="AH137:AH200" si="426">IF(OR($B137="NSO",$B137=0),"",IF(AND(X137="",Y137="",Z137="",AB137="",AD137=""),"",IF(AND(Y137="",X137="",AC137="",AB137=""),20-AF137-AG137,IF(AND(Y137="",Z137="",AB137=""),20-AF137-AG137,IF(AND(AB137="",AD137=""),40-AF137-AG137,IF(AD137="",100-AF137-AG137,200-AF137-AG137))))))</f>
        <v/>
      </c>
      <c r="AI137" s="152" t="str">
        <f t="shared" ref="AI137:AI200" si="427">IF(OR($B137="",$C137="",$E137=""),"",IF(AND(OR(X137="ab",X137="ml",X137=""),OR(Y137="ab",Y137="ml",Y137=""),OR(AB137="ab",AB137="ml",AB137="")),"AB",IF(AND(OR(AB137="ab",AB137="ml",AB137=""),OR(AD137="ab",AD137="ml",AD137=""),OR(Z137="ab",Z137="ml")),"AB",IF(AND(OR(AD137="ab",AD137="ml",AD137=""),OR(X137="ab",X137="ml",X137=""),OR(Y137="ab",Y137="ml",Y137="")),"AB",""))))</f>
        <v/>
      </c>
      <c r="AJ137" s="152" t="str">
        <f t="shared" ref="AJ137:AJ200" si="428">IF(OR($B137="NSO",$B137="",AE137=""),"",IF(OR(AI137="AB",AD137="ab"),"AB",IF(AD137="ML","RE",IF(AND(AE137&gt;=36%*AH137,AD137&gt;=20%*$P$6),"P",IF(AND(AE137&gt;=34%*AH137,AG137=0,AD137&gt;=20%*$P$6),"G2",IF(AND(AE137&gt;=31%*AH137,AG137=0,AD137&gt;=20%*$P$6),"G1",IF(AE137&gt;=25%*AH137,"S","F")))))))</f>
        <v/>
      </c>
      <c r="AK137" s="152" t="str">
        <f t="shared" ref="AK137:AK200" si="429">IF(OR(AJ137="",AJ137=0,AJ137="S",AJ137="RE",AJ137="F",AJ137="AB"),AJ137,IF(AE137&gt;=75%*AH137,"D",IF(AE137&gt;=60%*AH137,"I",IF(AE137&gt;=48%*AH137,"II",IF(AE137&gt;=36%*AH137,"III",AJ137)))))</f>
        <v/>
      </c>
      <c r="AL137" s="573" t="str">
        <f>IF('Marks Entry'!U137="","",'Marks Entry'!U137)</f>
        <v/>
      </c>
      <c r="AM137" s="573" t="str">
        <f>IF('Marks Entry'!V137="","",'Marks Entry'!V137)</f>
        <v/>
      </c>
      <c r="AN137" s="573" t="str">
        <f>IF('Marks Entry'!W137="","",'Marks Entry'!W137)</f>
        <v/>
      </c>
      <c r="AO137" s="573" t="str">
        <f>IF('Marks Entry'!X137="","",'Marks Entry'!X137)</f>
        <v/>
      </c>
      <c r="AP137" s="572" t="str">
        <f t="shared" ref="AP137:AP200" si="430">IF(AND(AM137="",AN137="",AO137=""),"",IF(AND(AM137="AB",AN137="AB",AO137="AB"),"AB",IF(AND(AM137="ML",AN137="ML",AO137="ML"),"ML",SUM(AM137:AO137))))</f>
        <v/>
      </c>
      <c r="AQ137" s="573" t="str">
        <f>IF('Marks Entry'!Y137="","",'Marks Entry'!Y137)</f>
        <v/>
      </c>
      <c r="AR137" s="573" t="str">
        <f>IF('Marks Entry'!Z137="","",'Marks Entry'!Z137)</f>
        <v/>
      </c>
      <c r="AS137" s="572" t="str">
        <f t="shared" ref="AS137:AS200" si="431">IF(AND(AQ137="",AR137=""),"",IF(AND(AQ137="AB",AR137="AB"),"AB",IF(AND(AQ137="ML",AR137="ML"),"ML",SUM(AQ137:AR137))))</f>
        <v/>
      </c>
      <c r="AT137" s="572" t="str">
        <f t="shared" ref="AT137:AT200" si="432">IF(AND(AS137="",AP137=""),"",IF(AND(AS137="AB",AP137="AB"),"AB",IF(AND(AS137="ML",AP137="ML"),"ML",SUM(AP137,AS137))))</f>
        <v/>
      </c>
      <c r="AU137" s="573" t="str">
        <f>IF('Marks Entry'!AA137="","",'Marks Entry'!AA137)</f>
        <v/>
      </c>
      <c r="AV137" s="573" t="str">
        <f>IF('Marks Entry'!AB137="","",'Marks Entry'!AB137)</f>
        <v/>
      </c>
      <c r="AW137" s="572" t="str">
        <f t="shared" ref="AW137:AW200" si="433">IF(AND(AU137="",AV137=""),"",IF(AND(AU137="AB",AV137="AB"),"AB",IF(AND(AU137="ML",AV137="ML"),"ML",SUM(AU137:AV137))))</f>
        <v/>
      </c>
      <c r="AX137" s="156" t="str">
        <f t="shared" ref="AX137:AX200" si="434">IF(AND(AP137="",AQ137="",AU137=""),"",SUM(AP137,AQ137,AU137))</f>
        <v/>
      </c>
      <c r="AY137" s="156" t="str">
        <f t="shared" ref="AY137:AY200" si="435">IF(AND(AR137="",AV137=""),"",SUM(AR137,AV137))</f>
        <v/>
      </c>
      <c r="AZ137" s="191" t="str">
        <f t="shared" ref="AZ137:AZ200" si="436">IF(AND(AT137="",AW137=""),"",SUM(AT137,AW137))</f>
        <v/>
      </c>
      <c r="BA137" s="152">
        <f t="shared" ref="BA137:BA200" si="437">COUNTIF(AM137:AO137,"NA")*10</f>
        <v>0</v>
      </c>
      <c r="BB137" s="153">
        <f t="shared" ref="BB137:BB200" si="438">IF(AND(AQ137="",AU137=""),(COUNTIF(AM137:AO137,"ML")*10+(COUNTIF(AQ137,"ML"))*AQ$6+(COUNTIF(AU137,"ML"))*AU$6),(COUNTIF(AM137:AO137,"ML")*10+(COUNTIF(AQ137,"ML"))*AQ$6+(COUNTIF(AU137,"ML"))*AU$6))</f>
        <v>0</v>
      </c>
      <c r="BC137" s="153" t="str">
        <f t="shared" ref="BC137:BC200" si="439">IF(OR($B137="NSO",$B137=0,AX137=""),"",IF(AND(AR137="",AV137=""),SUM($AU$7),SUM($AU$6)))</f>
        <v/>
      </c>
      <c r="BD137" s="153" t="str">
        <f t="shared" ref="BD137:BD200" si="440">IF(OR($B137="NSO",$B137=0,AY137=""),"",IF(AND(AR137="",AV137=""),"",AY$6-(COUNTIF(AR137,"ML")*AR$6)-(COUNTIF(AV137,"ML")*AV$6)))</f>
        <v/>
      </c>
      <c r="BE137" s="153" t="str">
        <f t="shared" ref="BE137:BE200" si="441">IF(OR($B137="NSO",$B137=0),"",IF(AND(AP137="",AQ137="",AU137=""),"",IF(AND(AR137="",AV137=""),SUM(($AX$7)-(BA137+BB137)),SUM(($AX$6)-(BA137+BB137)))))</f>
        <v/>
      </c>
      <c r="BF137" s="152" t="str">
        <f t="shared" ref="BF137:BF200" si="442">IF(AND(OR(AM137="ab",AM137="ml"),OR(AQ137="ab",AQ137="ml"),OR(AN137="ab",AN137="ml")),"AB",IF(AND(OR(AM137="ab",AM137="ml"),OR(AQ137="ab",AQ137="ml"),OR(AU137="ab",AU137="ml")),"AB",IF(AND(OR(AQ137="ab",AQ137="ml"),OR(AO137="ab",AO137="ml"),OR(AN137="ab",AN137="ml")),"AB",IF(AND(OR(AQ137="ab",AQ137="ml"),OR(AU137="ab",AU137="ml"),OR(AN137="ab",AN137="ml")),"AB",IF(AND(OR(AQ137="ab",AQ137="ml"),OR(AU137="ab",AU137="ml")),"AB","")))))</f>
        <v/>
      </c>
      <c r="BG137" s="153" t="str">
        <f t="shared" ref="BG137:BG200" si="443">IF(OR($B137="NSO",$B137=0,AU137="",AW137="",AZ137=""),"",IF(OR(AU137="AB",AV137="AB",BF137="AB"),"AB",IF(OR(AU137="ML",AW137="ML"),"RE",IF(AV137="MLP","REP",IF(AV137&lt;33%*$AV$6,"FP",IF(AR137&lt;33%*$AR$6,"FP",IF(AND(AX137&gt;=36%*BE137,SUM(AU137)&gt;=20%*BC137,AY137&gt;=SUM(BD137)*36%),"P",IF(AND(AX137&gt;=34%*BE137,BB137=0,SUM(AU137)&gt;=20%*BC137,AY137&gt;=SUM(BD137)*36%),"G2",IF(AND(AX137&gt;=31%*BE137,BB137=0,SUM(AU137)&gt;=20%*BC137,AY137&gt;=SUM(BD137)*36%),"G1",IF(AND(AX137&gt;=25%*BE137,SUM(AU137)&gt;=20%*BC137),"S","F"))))))))))</f>
        <v/>
      </c>
      <c r="BH137" s="152" t="str">
        <f t="shared" ref="BH137:BH200" si="444">IF(OR(BG137="REP",BG137="RE",BG137=0,BG137="",BG137="F",BG137="AB"),BG137,IF(AND(AZ137&gt;=75%*($AZ$6-BA137-BB137),BG137="P"),"D",IF(AND(AZ137&gt;=60%*($AZ$6-BA137-BB137),BG137="P"),"I",IF(AND(AZ137&gt;=48%*($AZ$6-BA137-BB137),BG137="P"),"II",IF(AND(AZ137&gt;=36%*($AZ$6-BA137-BB137),BG137="P"),"III",BG137)))))</f>
        <v/>
      </c>
      <c r="BI137" s="580" t="str">
        <f>IF('Marks Entry'!AC137="","",'Marks Entry'!AC137)</f>
        <v/>
      </c>
      <c r="BJ137" s="580" t="str">
        <f>IF('Marks Entry'!AD137="","",'Marks Entry'!AD137)</f>
        <v/>
      </c>
      <c r="BK137" s="580" t="str">
        <f>IF('Marks Entry'!AE137="","",'Marks Entry'!AE137)</f>
        <v/>
      </c>
      <c r="BL137" s="580" t="str">
        <f>IF('Marks Entry'!AF137="","",'Marks Entry'!AF137)</f>
        <v/>
      </c>
      <c r="BM137" s="581" t="str">
        <f t="shared" ref="BM137:BM200" si="445">IF(AND(BJ137="",BK137="",BL137=""),"",IF(AND(BJ137="AB",BK137="AB",BL137="AB"),"AB",IF(AND(BJ137="ML",BK137="ML",BL137="ML"),"ML",SUM(BJ137:BL137))))</f>
        <v/>
      </c>
      <c r="BN137" s="580" t="str">
        <f>IF('Marks Entry'!AG137="","",'Marks Entry'!AG137)</f>
        <v/>
      </c>
      <c r="BO137" s="580" t="str">
        <f>IF('Marks Entry'!AH137="","",'Marks Entry'!AH137)</f>
        <v/>
      </c>
      <c r="BP137" s="581" t="str">
        <f t="shared" ref="BP137:BP200" si="446">IF(AND(BN137="",BO137=""),"",IF(AND(BN137="AB",BO137="AB"),"AB",IF(AND(BN137="ML",BO137="ML"),"ML",SUM(BN137:BO137))))</f>
        <v/>
      </c>
      <c r="BQ137" s="581" t="str">
        <f t="shared" ref="BQ137:BQ200" si="447">IF(AND(BP137="",BM137=""),"",IF(AND(BP137="AB",BM137="AB"),"AB",IF(AND(BP137="ML",BM137="ML"),"ML",SUM(BM137,BP137))))</f>
        <v/>
      </c>
      <c r="BR137" s="580" t="str">
        <f>IF('Marks Entry'!AI137="","",'Marks Entry'!AI137)</f>
        <v/>
      </c>
      <c r="BS137" s="580" t="str">
        <f>IF('Marks Entry'!AJ137="","",'Marks Entry'!AJ137)</f>
        <v/>
      </c>
      <c r="BT137" s="581" t="str">
        <f t="shared" ref="BT137:BT200" si="448">IF(AND(BR137="",BS137=""),"",IF(AND(BR137="AB",BS137="AB"),"AB",IF(AND(BR137="ML",BS137="ML"),"ML",SUM(BR137:BS137))))</f>
        <v/>
      </c>
      <c r="BU137" s="156" t="str">
        <f t="shared" ref="BU137:BU200" si="449">IF(AND(BM137="",BN137="",BR137=""),"",SUM(BM137,BN137,BR137))</f>
        <v/>
      </c>
      <c r="BV137" s="156" t="str">
        <f t="shared" ref="BV137:BV200" si="450">IF(AND(BO137="",BS137=""),"",SUM(BO137,BS137))</f>
        <v/>
      </c>
      <c r="BW137" s="191" t="str">
        <f t="shared" ref="BW137:BW200" si="451">IF(AND(BQ137="",BT137=""),"",SUM(BQ137,BT137))</f>
        <v/>
      </c>
      <c r="BX137" s="152">
        <f t="shared" ref="BX137:BX200" si="452">COUNTIF(BJ137:BL137,"NA")*10</f>
        <v>0</v>
      </c>
      <c r="BY137" s="153">
        <f t="shared" ref="BY137:BY200" si="453">IF(AND(BN137="",BR137=""),(COUNTIF(BJ137:BL137,"ML")*10+(COUNTIF(BN137,"ML"))*BN$6+(COUNTIF(BR137,"ML"))*BR$6),(COUNTIF(BJ137:BL137,"ML")*10+(COUNTIF(BN137,"ML"))*BN$6+(COUNTIF(BR137,"ML"))*BR$6))</f>
        <v>0</v>
      </c>
      <c r="BZ137" s="153" t="str">
        <f t="shared" ref="BZ137:BZ200" si="454">IF(OR($B137="NSO",$B137=0,BU137=""),"",IF(AND(BO137="",BS137=""),SUM($BR$7),SUM($BR$6)))</f>
        <v/>
      </c>
      <c r="CA137" s="153" t="str">
        <f t="shared" ref="CA137:CA200" si="455">IF(OR($B137="NSO",$B137=0,BV137=""),"",IF(AND(BO137="",BS137=""),"",BV$6-(COUNTIF(BO137,"ML")*BO$6)-(COUNTIF(BS137,"ML")*BS$6)))</f>
        <v/>
      </c>
      <c r="CB137" s="153" t="str">
        <f t="shared" ref="CB137:CB200" si="456">IF(OR($B137="NSO",$B137=0),"",IF(AND(BM137="",BN137="",BR137=""),"",IF(AND(BO137="",BS137=""),SUM(($BU$7)-(BX137+BY137)),SUM(($BU$6)-(BX137+BY137)))))</f>
        <v/>
      </c>
      <c r="CC137" s="152" t="str">
        <f t="shared" ref="CC137:CC200" si="457">IF(AND(OR(BJ137="ab",BJ137="ml"),OR(BN137="ab",BN137="ml"),OR(BK137="ab",BK137="ml")),"AB",IF(AND(OR(BJ137="ab",BJ137="ml"),OR(BN137="ab",BN137="ml"),OR(BR137="ab",BR137="ml")),"AB",IF(AND(OR(BN137="ab",BN137="ml"),OR(BL137="ab",BL137="ml"),OR(BK137="ab",BK137="ml")),"AB",IF(AND(OR(BN137="ab",BN137="ml"),OR(BR137="ab",BR137="ml"),OR(BK137="ab",BK137="ml")),"AB",IF(AND(OR(BN137="ab",BN137="ml"),OR(BR137="ab",BR137="ml")),"AB","")))))</f>
        <v/>
      </c>
      <c r="CD137" s="153" t="str">
        <f t="shared" ref="CD137:CD200" si="458">IF(OR($B137="NSO",$B137=0,BR137="",BT137="",BW137=""),"",IF(OR(BR137="AB",BS137="AB",CC137="AB"),"AB",IF(OR(BR137="ML",BT137="ML"),"RE",IF(BS137="MLP","REP",IF(BS137&lt;33%*$AV$6,"FP",IF(BO137&lt;33%*$AR$6,"FP",IF(AND(BU137&gt;=36%*CB137,SUM(BR137)&gt;=20%*BZ137,BV137&gt;=SUM(CA137)*36%),"P",IF(AND(BU137&gt;=34%*CB137,BY137=0,SUM(BR137)&gt;=20%*BZ137,BV137&gt;=SUM(CA137)*36%),"G2",IF(AND(BU137&gt;=31%*CB137,BY137=0,SUM(BR137)&gt;=20%*BZ137,BV137&gt;=SUM(CA137)*36%),"G1",IF(AND(BU137&gt;=25%*CB137,SUM(BR137)&gt;=20%*BZ137),"S","F"))))))))))</f>
        <v/>
      </c>
      <c r="CE137" s="152" t="str">
        <f t="shared" ref="CE137:CE200" si="459">IF(OR(CD137="REP",CD137="RE",CD137=0,CD137="",CD137="F",CD137="AB"),CD137,IF(AND(BW137&gt;=75%*($BW$6-BX137-BY137),CD137="P"),"D",IF(AND(BW137&gt;=60%*($BW$6-BX137-BY137),CD137="P"),"I",IF(AND(BW137&gt;=48%*($BW$6-BX137-BY137),CD137="P"),"II",IF(AND(BW137&gt;=36%*($BW$6-BX137-BY137),CD137="P"),"III",CD137)))))</f>
        <v/>
      </c>
      <c r="CF137" s="580" t="str">
        <f>IF('Marks Entry'!AK137="","",'Marks Entry'!AK137)</f>
        <v/>
      </c>
      <c r="CG137" s="580" t="str">
        <f>IF('Marks Entry'!AL137="","",'Marks Entry'!AL137)</f>
        <v/>
      </c>
      <c r="CH137" s="580" t="str">
        <f>IF('Marks Entry'!AM137="","",'Marks Entry'!AM137)</f>
        <v/>
      </c>
      <c r="CI137" s="580" t="str">
        <f>IF('Marks Entry'!AN137="","",'Marks Entry'!AN137)</f>
        <v/>
      </c>
      <c r="CJ137" s="581" t="str">
        <f t="shared" ref="CJ137:CJ200" si="460">IF(AND(CG137="",CH137="",CI137=""),"",IF(AND(CG137="AB",CH137="AB",CI137="AB"),"AB",IF(AND(CG137="ML",CH137="ML",CI137="ML"),"ML",SUM(CG137:CI137))))</f>
        <v/>
      </c>
      <c r="CK137" s="580" t="str">
        <f>IF('Marks Entry'!AO137="","",'Marks Entry'!AO137)</f>
        <v/>
      </c>
      <c r="CL137" s="580" t="str">
        <f>IF('Marks Entry'!AP137="","",'Marks Entry'!AP137)</f>
        <v/>
      </c>
      <c r="CM137" s="581" t="str">
        <f t="shared" ref="CM137:CM200" si="461">IF(AND(CK137="",CL137=""),"",IF(AND(CK137="AB",CL137="AB"),"AB",IF(AND(CK137="ML",CL137="ML"),"ML",SUM(CK137:CL137))))</f>
        <v/>
      </c>
      <c r="CN137" s="581" t="str">
        <f t="shared" ref="CN137:CN200" si="462">IF(AND(CM137="",CJ137=""),"",IF(AND(CM137="AB",CJ137="AB"),"AB",IF(AND(CM137="ML",CJ137="ML"),"ML",SUM(CJ137,CM137))))</f>
        <v/>
      </c>
      <c r="CO137" s="580" t="str">
        <f>IF('Marks Entry'!AQ137="","",'Marks Entry'!AQ137)</f>
        <v/>
      </c>
      <c r="CP137" s="580" t="str">
        <f>IF('Marks Entry'!AR137="","",'Marks Entry'!AR137)</f>
        <v/>
      </c>
      <c r="CQ137" s="581" t="str">
        <f t="shared" ref="CQ137:CQ200" si="463">IF(AND(CO137="",CP137=""),"",IF(AND(CO137="AB",CP137="AB"),"AB",IF(AND(CO137="ML",CP137="ML"),"ML",SUM(CO137:CP137))))</f>
        <v/>
      </c>
      <c r="CR137" s="156" t="str">
        <f t="shared" ref="CR137:CR200" si="464">IF(AND(CJ137="",CK137="",CO137=""),"",SUM(CJ137,CK137,CO137))</f>
        <v/>
      </c>
      <c r="CS137" s="156" t="str">
        <f t="shared" ref="CS137:CS200" si="465">IF(AND(CL137="",CP137=""),"",SUM(CL137,CP137))</f>
        <v/>
      </c>
      <c r="CT137" s="191" t="str">
        <f t="shared" ref="CT137:CT200" si="466">IF(AND(CN137="",CQ137=""),"",SUM(CN137,CQ137))</f>
        <v/>
      </c>
      <c r="CU137" s="152">
        <f t="shared" ref="CU137:CU200" si="467">COUNTIF(CG137:CI137,"NA")*10</f>
        <v>0</v>
      </c>
      <c r="CV137" s="153">
        <f t="shared" ref="CV137:CV200" si="468">IF(AND(CK137="",CO137=""),(COUNTIF(CG137:CI137,"ML")*10+(COUNTIF(CK137,"ML"))*CK$6+(COUNTIF(CO137,"ML"))*CO$6),(COUNTIF(CG137:CI137,"ML")*10+(COUNTIF(CK137,"ML"))*CK$6+(COUNTIF(CO137,"ML"))*CO$6))</f>
        <v>0</v>
      </c>
      <c r="CW137" s="153" t="str">
        <f t="shared" ref="CW137:CW200" si="469">IF(OR($B137="NSO",$B137=0,CR137=""),"",IF(AND(CL137="",CP137=""),SUM($CO$7),SUM($CO$6)))</f>
        <v/>
      </c>
      <c r="CX137" s="153" t="str">
        <f t="shared" ref="CX137:CX200" si="470">IF(OR($B137="NSO",$B137=0,CS137=""),"",IF(AND(CL137="",CP137=""),"",CS$6-(COUNTIF(CL137,"ML")*CL$6)-(COUNTIF(CP137,"ML")*CP$6)))</f>
        <v/>
      </c>
      <c r="CY137" s="153" t="str">
        <f t="shared" ref="CY137:CY200" si="471">IF(OR($B137="NSO",$B137=0),"",IF(AND(CJ137="",CK137="",CO137=""),"",IF(AND(CL137="",CP137=""),SUM((CR$7)-(CU137+CV137)),SUM((CR$6)-(CU137+CV137)))))</f>
        <v/>
      </c>
      <c r="CZ137" s="152" t="str">
        <f t="shared" ref="CZ137:CZ200" si="472">IF(AND(OR(CG137="ab",CG137="ml"),OR(CK137="ab",CK137="ml"),OR(CH137="ab",CH137="ml")),"AB",IF(AND(OR(CG137="ab",CG137="ml"),OR(CK137="ab",CK137="ml"),OR(CO137="ab",CO137="ml")),"AB",IF(AND(OR(CK137="ab",CK137="ml"),OR(CI137="ab",CI137="ml"),OR(CH137="ab",CH137="ml")),"AB",IF(AND(OR(CK137="ab",CK137="ml"),OR(CO137="ab",CO137="ml"),OR(CH137="ab",CH137="ml")),"AB",IF(AND(OR(CK137="ab",CK137="ml"),OR(CO137="ab",CO137="ml")),"AB","")))))</f>
        <v/>
      </c>
      <c r="DA137" s="153" t="str">
        <f t="shared" ref="DA137:DA200" si="473">IF(OR($B137="NSO",$B137=0,CO137="",CQ137="",CT137=""),"",IF(OR(CO137="AB",CP137="AB",CZ137="AB"),"AB",IF(OR(CO137="ML",CQ137="ML"),"RE",IF(CP137="MLP","REP",IF(CP137&lt;33%*$AV$6,"FP",IF(CL137&lt;33%*$AR$6,"FP",IF(AND(CR137&gt;=36%*CY137,SUM(CO137)&gt;=20%*CW137,CS137&gt;=SUM(CX137)*36%),"P",IF(AND(CR137&gt;=34%*CY137,CV137=0,SUM(CO137)&gt;=20%*CW137,CS137&gt;=SUM(CX137)*36%),"G2",IF(AND(CR137&gt;=31%*CY137,CV137=0,SUM(CO137)&gt;=20%*CW137,CS137&gt;=SUM(CX137)*36%),"G1",IF(AND(CR137&gt;=25%*CY137,SUM(CO137)&gt;=20%*CW137),"S","F"))))))))))</f>
        <v/>
      </c>
      <c r="DB137" s="152" t="str">
        <f t="shared" ref="DB137:DB200" si="474">IF(OR(DA137="REP",DA137="RE",DA137=0,DA137="",DA137="F",DA137="AB"),DA137,IF(AND(CT137&gt;=75%*($CT$6-CU137-CV137),DA137="P"),"D",IF(AND(CT137&gt;=60%*($CT$6-CU137-CV137),DA137="P"),"I",IF(AND(CT137&gt;=48%*($CT$6-CU137-CV137),DA137="P"),"II",IF(AND(CT137&gt;=36%*($CT$6-CU137-CV137),DA137="P"),"III",DA137)))))</f>
        <v/>
      </c>
      <c r="DC137" s="153">
        <f t="shared" ref="DC137:DC200" si="475">SUM(R137,S137,AF137,AG137,BA137,BB137,BX137,BY137,CU137,CV137)</f>
        <v>0</v>
      </c>
      <c r="DD137" s="851" t="str">
        <f>IF('Marks Entry'!AS137="","",IF(OR('Master Sheet'!$D$19="YES",'Marks Entry'!$BA$1=1),'Marks Entry'!AS137,""))</f>
        <v/>
      </c>
      <c r="DE137" s="851" t="str">
        <f>IF('Marks Entry'!AT137="","",IF(OR('Master Sheet'!$D$19="YES",'Marks Entry'!$BA$1=1),'Marks Entry'!AT137,""))</f>
        <v/>
      </c>
      <c r="DF137" s="851" t="str">
        <f>IF('Marks Entry'!AU137="","",IF(OR('Master Sheet'!$D$19="YES",'Marks Entry'!$BA$1=1),'Marks Entry'!AU137,""))</f>
        <v/>
      </c>
      <c r="DG137" s="851" t="str">
        <f>IF('Marks Entry'!AV137="","",IF(OR('Master Sheet'!$D$19="YES",'Marks Entry'!$BA$1=1),'Marks Entry'!AV137,""))</f>
        <v/>
      </c>
      <c r="DH137" s="852" t="str">
        <f t="shared" ref="DH137:DH200" si="476">IF(AND(DE137="",DF137="",DG137=""),"",IF(AND(DE137="AB",DF137="AB",DG137="AB"),"AB",IF(AND(DE137="ML",DF137="ML",DG137="ML"),"ML",SUM(DE137:DG137))))</f>
        <v/>
      </c>
      <c r="DI137" s="851" t="str">
        <f>IF('Marks Entry'!AW137="","",IF(OR('Master Sheet'!$D$19="YES",'Marks Entry'!$BA$1=1),'Marks Entry'!AW137,""))</f>
        <v/>
      </c>
      <c r="DJ137" s="851" t="str">
        <f>IF('Marks Entry'!AX137="","",IF(OR('Master Sheet'!$D$19="YES",'Marks Entry'!$BA$1=1),'Marks Entry'!AX137,""))</f>
        <v/>
      </c>
      <c r="DK137" s="852" t="str">
        <f t="shared" ref="DK137:DK200" si="477">IF(AND(DI137="",DJ137=""),"",IF(AND(DI137="AB",DJ137="AB"),"AB",IF(AND(DI137="ML",DJ137="ML"),"ML",SUM(DI137:DJ137))))</f>
        <v/>
      </c>
      <c r="DL137" s="852" t="str">
        <f t="shared" ref="DL137:DL200" si="478">IF(AND(DK137="",DH137=""),"",IF(AND(DK137="AB",DH137="AB"),"AB",IF(AND(DK137="ML",DH137="ML"),"ML",SUM(DH137,DK137))))</f>
        <v/>
      </c>
      <c r="DM137" s="851" t="str">
        <f>IF('Marks Entry'!AY137="","",IF(OR('Master Sheet'!$D$19="YES",'Marks Entry'!$BA$1=1),'Marks Entry'!AY137,""))</f>
        <v/>
      </c>
      <c r="DN137" s="851" t="str">
        <f>IF('Marks Entry'!AZ137="","",IF(OR('Master Sheet'!$D$19="YES",'Marks Entry'!$BA$1=1),'Marks Entry'!AZ137,""))</f>
        <v/>
      </c>
      <c r="DO137" s="851" t="str">
        <f>IF('Marks Entry'!BA137="","",IF(OR('Master Sheet'!$D$19="YES",'Marks Entry'!$BA$1=1),'Marks Entry'!BA137,""))</f>
        <v/>
      </c>
      <c r="DP137" s="852" t="str">
        <f t="shared" ref="DP137:DP200" si="479">IF(AND(DM137="",DN137="",DO137=""),"",IF(AND(DM137="AB",DN137="AB",DO137="AB"),"AB",IF(AND(DM137="ML",DN137="ML",DO137="ML"),"ML",SUM(DM137:DO137))))</f>
        <v/>
      </c>
      <c r="DQ137" s="156" t="str">
        <f t="shared" ref="DQ137:DQ200" si="480">IF(AND(DH137="",DI137="",DM137="",DN137=""),"",SUM(DH137,DI137,DM137))</f>
        <v/>
      </c>
      <c r="DR137" s="156" t="str">
        <f t="shared" ref="DR137:DR200" si="481">IF(AND(DN137=""),"",SUM(DN137))</f>
        <v/>
      </c>
      <c r="DS137" s="156" t="str">
        <f t="shared" ref="DS137:DS200" si="482">IF(AND(DJ137="",DO137=""),"",SUM(DJ137,DO137))</f>
        <v/>
      </c>
      <c r="DT137" s="191" t="str">
        <f t="shared" ref="DT137:DT200" si="483">IF(AND(DL137="",DP137=""),"",SUM(DL137,DP137))</f>
        <v/>
      </c>
      <c r="DU137" s="152">
        <f t="shared" ref="DU137:DU200" si="484">COUNTIF(DE137:DG137,"NA")*10</f>
        <v>0</v>
      </c>
      <c r="DV137" s="153">
        <f t="shared" ref="DV137:DV200" si="485">IF(AND(DI137="",DM137=""),(COUNTIF(DE137:DG137,"ML")*10+(COUNTIF(DI137,"ML"))*DI$6+(COUNTIF(DM137,"ML"))*DM$6),(COUNTIF(DE137:DG137,"ML")*10+(COUNTIF(DI137,"ML"))*DI$6+(COUNTIF(DM137,"ML"))*DM$6))</f>
        <v>0</v>
      </c>
      <c r="DW137" s="153" t="str">
        <f t="shared" ref="DW137:DW200" si="486">IF(OR($B137="NSO",$B137=0,DM137=""),"",IF(AND(DO137=""),SUM($DM$7,DN$7),SUM($DM$6,DN$6)))</f>
        <v/>
      </c>
      <c r="DX137" s="153" t="str">
        <f>IF(OR($B137="NSO",$B137=0,DS137=""),"",IF(AND(DJ137="",DO137=""),"",IF('Master Sheet'!$D$19="YES",$DO$6-COUNTIF(DO137,"ML")*DO$6,DS$6-(COUNTIF(DJ137,"ML")*DJ$6)-(COUNTIF(DO137,"ML")*DO$6))))</f>
        <v/>
      </c>
      <c r="DY137" s="153" t="str">
        <f>IF(OR($B137="NSO",$B137=0),"",IF(AND(DH137="",DI137="",DM137=""),"",IF(AND('Master Sheet'!$D$19="YES",'Marks Entry'!$BA$1=1),100,IF(AND(DJ137="",DO137=""),SUM(($DQ$7+$DR$7)-(DU137+DV137)),SUM(($DQ$6+$DR$6)-(DU137+DV137))))))</f>
        <v/>
      </c>
      <c r="DZ137" s="152" t="str">
        <f t="shared" ref="DZ137:DZ200" si="487">IF(AND(OR(DE137="ab",DF137="ml"),OR(DI137="ab",DI137="ml")),"AB",IF(AND(OR(DE137="ab",DE137="ml"),OR(DF137="ab",DF137="ml"),OR(DH137="ab",DH137="ml")),"AB",IF(AND(OR(DI137="ab",DI137="ml"),OR(DF137="ab",DF137="ml"),OR(DG137="ab",DG137="ml")),"AB",IF(AND(OR(DKJ137="ab",DI137="ml"),OR(DM137="ab",DM137="ml"),OR(DN137="ab",DN137="ml")),"AB",""))))</f>
        <v/>
      </c>
      <c r="EA137" s="153" t="str">
        <f t="shared" ref="EA137:EA200" si="488">IF(OR($B137="NSO",$B137=0,DM137="",DT137="",DQ137=""),"",IF(OR(DM137="AB",DO137="AB",DZ137="AB"),"AB",IF(OR(DM137="ML",DP137="ML"),"RE",IF(DO137="MLP","REP",IF(DO137&lt;33%*$DO$6,"FP",IF(DJ137&lt;33%*$DJ$6,"FP",IF(AND(DT137&gt;=36%*DY137,SUM(DM137)&gt;=20%*DW137,DS137&gt;=SUM(DX137)*36%),"P",IF(AND(DQ137&gt;=34%*DY137,DV137=0,SUM(DM137)&gt;=20%*DW137,DS137&gt;=SUM(DX137)*36%),"G2",IF(AND(DQ137&gt;=31%*DY137,DV137=0,SUM(DM137)&gt;=20%*DW137,DS137&gt;=SUM(DX137)*36%),"G1",IF(AND(DQ137&gt;=25%*DY137,SUM(DM137)&gt;=20%*DW137),"S","F"))))))))))</f>
        <v/>
      </c>
      <c r="EB137" s="152" t="str">
        <f t="shared" ref="EB137:EB200" si="489">IF(OR(EA137="REP",EA137="RE",EA137=0,EA137="",EA137="F",EA137="AB"),EA137,IF(AND(DT137&gt;=75%*($DT$6-DU137-DV137),EA137="P"),"D",IF(AND(DT137&gt;=60%*($DT$6-DU137-DV137),EA137="P"),"I",IF(AND(DT137&gt;=48%*($DT$6-DU137-DV137),EA137="P"),"II",IF(AND(DT137&gt;=36%*($DT$6-DU137-DV137),EA137="P"),"III",EA137)))))</f>
        <v/>
      </c>
      <c r="EC137" s="584" t="str">
        <f>IF('Marks Entry'!BB137="","",'Marks Entry'!BB137)</f>
        <v/>
      </c>
      <c r="ED137" s="584" t="str">
        <f>IF('Marks Entry'!BC137="","",'Marks Entry'!BC137)</f>
        <v/>
      </c>
      <c r="EE137" s="584" t="str">
        <f>IF('Marks Entry'!BD137="","",'Marks Entry'!BD137)</f>
        <v/>
      </c>
      <c r="EF137" s="590" t="str">
        <f t="shared" ref="EF137:EF200" si="490">IF(AND(EC137="",ED137="",EE137=""),"",SUM(EC137:EE137))</f>
        <v/>
      </c>
      <c r="EG137" s="595">
        <f t="shared" ref="EG137:EG200" si="491">COUNTIF(EC137,"NA")*$EC$6</f>
        <v>0</v>
      </c>
      <c r="EH137" s="595">
        <f t="shared" ref="EH137:EH200" si="492">(COUNTIF(EC137,"ML")*$EC$6)+(COUNTIF(ED137,"ML")*$ED$6)</f>
        <v>0</v>
      </c>
      <c r="EI137" s="192" t="str">
        <f t="shared" ref="EI137:EI200" si="493">IF(OR($B137="NSO",$B137=0),"",IF(AND(EC137="",ED137="",EE137=""),"",IF(AND(EC137="",ED137=""),30-EG137-EH137,IF(AND(ED137="",EE137=""),60-EG137-EH137,100-EG137-EH137))))</f>
        <v/>
      </c>
      <c r="EJ137" s="595" t="str">
        <f t="shared" ref="EJ137:EJ200" si="494">IF(OR(EE137="ab",EE137="ml"),EE137,"")</f>
        <v/>
      </c>
      <c r="EK137" s="595" t="str">
        <f t="shared" ref="EK137:EK200" si="495">IF(OR($B137="NSO",$B137=0,EF137=""),"",IF(OR(EJ137="AB",EE137="ab"),"AB",IF(AND(EX137="FAIL",(OR(EF137="ml",EF137&lt;20%*$EF$6,EF137&lt;36%*EI137))),"F",IF(OR(EE137="ML",EE137&lt;20%*$EE$6,EF137&lt;36%*EI137),"RE",IF(EF137&gt;80%*EI137,"A",IF(EF137&gt;60%*EI137,"B",IF(EF137&gt;40%*EI137,"C","D")))))))</f>
        <v/>
      </c>
      <c r="EL137" s="193" t="str">
        <f t="shared" ref="EL137:EL200" si="496">W137</f>
        <v/>
      </c>
      <c r="EM137" s="193" t="str">
        <f t="shared" ref="EM137:EM200" si="497">AK137</f>
        <v/>
      </c>
      <c r="EN137" s="193" t="str">
        <f t="shared" ref="EN137:EN200" si="498">BH137</f>
        <v/>
      </c>
      <c r="EO137" s="193" t="str">
        <f t="shared" ref="EO137:EO200" si="499">CE137</f>
        <v/>
      </c>
      <c r="EP137" s="193" t="str">
        <f t="shared" ref="EP137:EP200" si="500">DB137</f>
        <v/>
      </c>
      <c r="EQ137" s="193" t="str">
        <f t="shared" ref="EQ137:EQ200" si="501">EB137</f>
        <v/>
      </c>
      <c r="ER137" s="194">
        <f t="shared" ref="ER137:ER200" si="502">COUNTIF(EL137:EP137,"F")+COUNTIF(EL137:EP137,"AB")+COUNTIF(EN137:EP137,"FP")</f>
        <v>0</v>
      </c>
      <c r="ES137" s="194">
        <f t="shared" ref="ES137:ES200" si="503">COUNTIF(EL137:EP137,"S")</f>
        <v>0</v>
      </c>
      <c r="ET137" s="194">
        <f t="shared" ref="ET137:ET200" si="504">COUNTIF(EL137:EP137,"G1")</f>
        <v>0</v>
      </c>
      <c r="EU137" s="194">
        <f t="shared" ref="EU137:EU200" si="505">COUNTIF(EL137:EP137,"G2")</f>
        <v>0</v>
      </c>
      <c r="EV137" s="194">
        <f t="shared" ref="EV137:EV200" si="506">COUNTIF(EL137:EP137,"RE")+COUNTIF(EL137:EP137,"REP")</f>
        <v>0</v>
      </c>
      <c r="EW137" s="194" t="str">
        <f t="shared" ref="EW137:EW200" si="507">IF(OR(EK137="AB",EK137="F"),"D",IF(OR(EK137="RE"),"D",""))</f>
        <v/>
      </c>
      <c r="EX137" s="195" t="str">
        <f t="shared" ref="EX137:EX200" si="508">IF(B137="NSO","NSO",IF(OR(B137="",B137=0,P137="",AD137="",AW137="",BT137=""),"",IF(OR(ER137&gt;0,(ES137+ET137+EU137)&gt;2),"FAIL",IF(EV137&gt;0,"RE-EXAM",IF(OR(ES137&gt;0,ET137&gt;1),"SUPPLEMENTARY",IF(AND(ET137&gt;0,EU137&gt;0),"SUPPLEMENTARY",IF((ET137+EU137)&gt;0,"BY GRACE PASS","PASS")))))))</f>
        <v/>
      </c>
      <c r="EY137" s="196" t="str">
        <f>IF('Marks Entry'!BE137="","",'Marks Entry'!BE137)</f>
        <v/>
      </c>
      <c r="EZ137" s="196" t="str">
        <f>IF('Marks Entry'!BF137="","",'Marks Entry'!BF137)</f>
        <v/>
      </c>
      <c r="FA137" s="196" t="str">
        <f>IF('Marks Entry'!BG137="","",'Marks Entry'!BG137)</f>
        <v/>
      </c>
      <c r="FB137" s="596" t="str">
        <f t="shared" ref="FB137:FB200" si="509">IF(AND(EY137="",EZ137="",FA137=""),"",IF(AND(EY137="AB",EZ137="AB",FA137="AB"),"AB",IF(AND(EY137="ML",EZ137="ML",FA137="ML"),"ML",SUM(EY137:FA137))))</f>
        <v/>
      </c>
      <c r="FC137" s="196" t="str">
        <f>IF('Marks Entry'!BH137="","",'Marks Entry'!BH137)</f>
        <v/>
      </c>
      <c r="FD137" s="196" t="str">
        <f>IF('Marks Entry'!BI137="","",'Marks Entry'!BI137)</f>
        <v/>
      </c>
      <c r="FE137" s="197" t="str">
        <f t="shared" ref="FE137:FE200" si="510">IF(AND(EY137="",EZ137="",FA137="",FC137="",FD137=""),"",SUM(EY137,EZ137,FA137,FC137,FD137))</f>
        <v/>
      </c>
      <c r="FF137" s="198" t="str">
        <f t="shared" ref="FF137:FF200" si="511">IF(OR($B137="NSO",$B137=0,FE137=""),"",IF(OR(FE137="AB",FD137="ab"),"AB",IF(AND(EX137="FAIL",(OR(FE137&lt;36%*$FE$6))),"F",IF(OR(FD137="ML",FD137&lt;20%*$FD$6,FE137&lt;36%*$FE$6),"RE",IF(FE137&gt;80%*$FE$6,"A",IF(FE137&gt;60%*$FE$6,"B",IF(FE137&gt;40%*$FE$6,"C","D")))))))</f>
        <v/>
      </c>
      <c r="FG137" s="199" t="str">
        <f>IF(AND(E137=""),"",IF('Student DATA Entry'!L133="","",'Student DATA Entry'!L133))</f>
        <v/>
      </c>
      <c r="FH137" s="200" t="str">
        <f>IF(AND(E137=""),"",IF('Student DATA Entry'!M133="","",'Student DATA Entry'!M133))</f>
        <v/>
      </c>
      <c r="FI137" s="201" t="str">
        <f t="shared" ref="FI137:FI200" si="512">IF(OR(FG137=0,FH137=0,FG137="",FH137=""),"",FH137/FG137*100)</f>
        <v/>
      </c>
      <c r="FJ137" s="188" t="str">
        <f t="shared" ref="FJ137:FJ200" si="513">IF(AND(EX137="FAIL",(OR(EL137="G1",EL137="G2",EL137="S",EL137="RE"))),"F",IF(AND(EX137="RE-EXAM",(OR(EL137="G1",EL137="G2",EL137="S"))),"S",IF(AND(EX137="SUPPLEMENTARY",(OR(EL137="G1",EL137="G2"))),"S",IF(AND(EX137="BY GRACE PASS",(OR(EL137="G1",EL137="G2"))),"G",EL137))))</f>
        <v/>
      </c>
      <c r="FK137" s="188" t="str">
        <f t="shared" ref="FK137:FK200" si="514">IF(FJ137="G",",+","")</f>
        <v/>
      </c>
      <c r="FL137" s="202" t="str">
        <f t="shared" si="383"/>
        <v/>
      </c>
      <c r="FM137" s="188" t="str">
        <f t="shared" ref="FM137:FM200" si="515">IF(AND(EX137="vuqRrh.kZ",(OR(EM137="G1",EM137="G2",EM137="S",EM137="RE"))),"F",IF(AND(EX137="iqu% ijh{kk",(OR(EM137="G1",EM137="G2",EM137="S"))),"S",IF(AND(EX137="iwjd",(OR(EM137="G1",EM137="G2"))),"S",IF(AND(EX137="lk- mRrh.kZ",(OR(EM137="G1",EM137="G2"))),"G",EM137))))</f>
        <v/>
      </c>
      <c r="FN137" s="203" t="str">
        <f t="shared" ref="FN137:FN200" si="516">IF(FM137="G",",+","")</f>
        <v/>
      </c>
      <c r="FO137" s="202" t="str">
        <f t="shared" si="384"/>
        <v/>
      </c>
      <c r="FP137" s="204" t="str">
        <f t="shared" ref="FP137:FP200" si="517">IF(AND(EX137="FAIL",(OR(EN137="G1",EN137="G2",EN137="S",EN137="RE"))),"F",IF(AND(EX137="RE-EXAM",(OR(EN137="G1",EN137="G2",EN137="S"))),"S",IF(AND(EX137="SUPPLEMENTARY",(OR(EN137="G1",EN137="G2"))),"S",IF(AND(EX137="BY GRACE PASS",(OR(EN137="G1",EN137="G2"))),"G",EN137))))</f>
        <v/>
      </c>
      <c r="FQ137" s="188" t="str">
        <f t="shared" si="385"/>
        <v/>
      </c>
      <c r="FR137" s="188" t="str">
        <f t="shared" si="386"/>
        <v/>
      </c>
      <c r="FS137" s="188" t="str">
        <f t="shared" si="387"/>
        <v/>
      </c>
      <c r="FT137" s="188" t="str">
        <f t="shared" si="388"/>
        <v/>
      </c>
      <c r="FU137" s="188" t="str">
        <f t="shared" ref="FU137:FU200" si="518">IF(FP137="G",",+","")</f>
        <v/>
      </c>
      <c r="FV137" s="205" t="str">
        <f t="shared" si="389"/>
        <v/>
      </c>
      <c r="FW137" s="204" t="str">
        <f t="shared" ref="FW137:FW200" si="519">IF(AND(EX137="FAIL",(OR(EO137="G1",EO137="G2",EO137="S",EO137="RE",))),"F",IF(AND(EX137="RE-EXAM",(OR(EO137="G1",EO137="G2",EO137="S"))),"S",IF(AND(EX137="SUPPLEMENTARY",(OR(EO137="G1",EO137="G2"))),"S",IF(AND(EX137="BY GRACE PASS",(OR(EO137="G1",EO137="G2"))),"G",EO137))))</f>
        <v/>
      </c>
      <c r="FX137" s="188" t="str">
        <f t="shared" si="390"/>
        <v/>
      </c>
      <c r="FY137" s="188" t="str">
        <f t="shared" si="391"/>
        <v/>
      </c>
      <c r="FZ137" s="188" t="str">
        <f t="shared" si="392"/>
        <v/>
      </c>
      <c r="GA137" s="188" t="str">
        <f t="shared" si="393"/>
        <v/>
      </c>
      <c r="GB137" s="188" t="str">
        <f t="shared" ref="GB137:GB200" si="520">IF(FW137="G",",+","")</f>
        <v/>
      </c>
      <c r="GC137" s="205" t="str">
        <f t="shared" si="394"/>
        <v/>
      </c>
      <c r="GD137" s="204" t="str">
        <f t="shared" ref="GD137:GD200" si="521">IF(AND(EX137="FAIL",(OR(EP137="G1",EP137="G2",EP137="S",EP137="RE"))),"F",IF(AND(EX137="RE-EXAM",(OR(EP137="G1",EP137="G2",EP137="S"))),"S",IF(AND(EX137="SUPPLEMENTARY",(OR(EP137="G1",EP137="G2"))),"S",IF(AND(EX137="BY GRACE PASS",(OR(EP137="G1",EP137="G2"))),"G",EP137))))</f>
        <v/>
      </c>
      <c r="GE137" s="188" t="str">
        <f t="shared" si="395"/>
        <v/>
      </c>
      <c r="GF137" s="188" t="str">
        <f t="shared" si="396"/>
        <v/>
      </c>
      <c r="GG137" s="188" t="str">
        <f t="shared" si="397"/>
        <v/>
      </c>
      <c r="GH137" s="188" t="str">
        <f t="shared" si="398"/>
        <v/>
      </c>
      <c r="GI137" s="188" t="str">
        <f t="shared" ref="GI137:GI200" si="522">IF(GD137="G",",+","")</f>
        <v/>
      </c>
      <c r="GJ137" s="205" t="str">
        <f t="shared" si="399"/>
        <v/>
      </c>
      <c r="GK137" s="204" t="str">
        <f t="shared" ref="GK137:GK200" si="523">IF(AND(EX137="FAIL",(OR(EQ137="G1",EQ137="G2",EQ137="S",EQ137="RE"))),"F",IF(AND(EX137="RE-EXAM",(OR(EQ137="G1",EQ137="G2",EQ137="S"))),"S",IF(AND(EX137="SUPPLEMENTARY",(OR(EQ137="G1",EQ137="G2"))),"S",IF(AND(EX137="BY GRACE PASS",(OR(EQ137="G1",EQ137="G2"))),"G",EQ137))))</f>
        <v/>
      </c>
      <c r="GL137" s="188" t="str">
        <f t="shared" si="400"/>
        <v/>
      </c>
      <c r="GM137" s="188" t="str">
        <f t="shared" si="401"/>
        <v/>
      </c>
      <c r="GN137" s="188" t="str">
        <f t="shared" si="402"/>
        <v/>
      </c>
      <c r="GO137" s="188" t="str">
        <f t="shared" si="403"/>
        <v/>
      </c>
      <c r="GP137" s="188" t="str">
        <f t="shared" ref="GP137:GP200" si="524">IF(GK137="G",",+","")</f>
        <v/>
      </c>
      <c r="GQ137" s="205" t="str">
        <f t="shared" si="404"/>
        <v/>
      </c>
      <c r="GR137" s="188" t="str">
        <f t="shared" ref="GR137:GR200" si="525">IF(AND(EX137="FAIL",EK137="RE"),"F",EK137)</f>
        <v/>
      </c>
      <c r="GS137" s="188" t="str">
        <f t="shared" ref="GS137:GS200" si="526">IF(AND(EX137="FAIL",FF137="RE"),"F",FF137)</f>
        <v/>
      </c>
      <c r="GT137" s="206" t="str">
        <f t="shared" ref="GT137:GT200" si="527">CONCATENATE(IF(FJ137="F",$FJ$5,IF(FJ137="AB",$FJ$5,""))," ",IF(FM137="F",$FM$5,IF(FM137="AB",$FM$5,""))," ",IF(FQ137="F",$FQ$5,IF(FR137="F",$FR$5,IF(FS137="F",$FS$5,IF(FQ137="AB",$FQ$5,IF(FR137="AB",$FR$5,IF(FS137="AB",$FS$5,IF(FQ137="FP",$FQ$5,IF(FR137="FP",$FR$5,IF(FS137="FP",$FS$5,"")))))))))," ",IF(FX137="F",$FX$5,IF(FY137="F",$FY$5,IF(FZ137="F",$FZ$5,IF(FX137="AB",$FX$5,IF(FY137="AB",$FY$5,IF(FZ137="AB",$FZ$5,IF(FX137="FP",$FX$5,IF(FY137="FP",$FY$5,IF(FZ137="FP",$FZ$5,"")))))))))," ",IF(GE137="F",$GE$5,IF(GF137="F",$GF$5,IF(GG137="F",$GG$5,IF(GE137="AB",$GE$5,IF(GF137="AB",$GF$5,IF(GG137="AB",$GG$5,IF(GE137="FP",$GE$5,IF(GF137="FP",$GF$5,IF(GG137="FP",$GG$5,""))))))))),"",IF(GL137="F",$GL$5,IF(GM137="F",$GM$5,IF(GN137="F",$GN$5,IF(GL137="AB",$GL$5,IF(GM137="AB",$GM$5,IF(GN137="AB",$GN$5,IF(GL137="FP",$GL$5,IF(GM137="FP",$GM$5,IF(GN137="FP",$GN$5,""))))))))))</f>
        <v xml:space="preserve">    </v>
      </c>
      <c r="GU137" s="206" t="str">
        <f t="shared" ref="GU137:GU200" si="528">CONCATENATE(IF(FJ137="S",$FJ$5,"")," ",IF(FM137="S",$FM$5,"")," ",IF(FQ137="S",$FQ$5,IF(FR137="S",$FR$5,IF(FS137="S",$FS$5,IF(FT137="S",$FT$5,""))))," ",IF(FX137="S",$FX$5,IF(FY137="S",$FY$5,IF(FZ137="S",$FZ$5,IF(GA137="S",$GA$5,""))))," ",IF(GE137="S",$GE$5,IF(GF137="S",$GF$5,IF(GG137="S",$GG$5,IF(GH137="S",$GH$5,"")))))</f>
        <v xml:space="preserve">    </v>
      </c>
      <c r="GV137" s="206" t="str">
        <f t="shared" ref="GV137:GV200" si="529">CONCATENATE(IF(FJ137="G",$FJ$5,"")," ",IF(FM137="G",$FM$5,"")," ",IF(FQ137="G",$FQ$5,IF(FR137="G",$FR$5,IF(FS137="G",$FS$5,"")))," ",IF(FX137="G",$FX$5,IF(FY137="G",$FY$5,IF(FZ137="G",$FZ$5,"")))," ",IF(GE137="G",$GE$5,IF(GF137="G",$GF$5,IF(GG137="G",$GG$5,""))))</f>
        <v xml:space="preserve">    </v>
      </c>
      <c r="GW137" s="206" t="str">
        <f t="shared" ref="GW137:GW200" si="530">CONCATENATE(IF(FJ137="RE",$FJ$5,"")," ",IF(FM137="RE",$FM$5,"")," ",IF(OR(FQ137="RE",FQ137="REP"),$FQ$5,IF(OR(FR137="RE",FR137="REP"),$FR$5,IF(OR(FS137="RE",FS137="REP"),$FS$5,IF(OR(FT137="RE",FT137="REP"),$FT$5,""))))," ",IF(OR(FX137="RE",FX137="REP"),$FX$5,IF(OR(FY137="RE",FY137="REP"),$FY$5,IF(OR(FZ137="RE",FZ137="REP"),$FZ$5,IF(OR(GA137="RE",GA137="REP"),$GA$5,""))))," ",IF(OR(GE137="RE",GE137="REP"),$GE$5,IF(OR(GF137="RE",GF137="REP"),$GF$5,IF(OR(GG137="RE",GG137="REP"),$GG$5,IF(OR(GH137="RE",GH137="REP"),$GH$5,""))))," ",IF(GR137="RE",$GR$4," "),"",IF(GS137="RE",$GS$4," "),"",)</f>
        <v xml:space="preserve">       </v>
      </c>
      <c r="GX137" s="598" t="str">
        <f t="shared" ref="GX137:GX200" si="531">CONCATENATE(IF(FJ137="D",$FJ$5,"")," ",IF($FM137="D",$FM$5,"")," ",IF(FQ137="D",$FQ$5,IF(FR137="D",$FR$5,IF(FS137="D",$FS$5,IF(FT137="D",$FT$5,""))))," ",IF(FX137="D",$FX$5,IF(FY137="D",$FY$5,IF(FZ137="D",$FZ$5,IF(GA137="D",$GA$5,""))))," ",IF(GE137="D",$GE$5,IF(GF137="D",$GF$5,IF(GG137="D",$GG$5,IF(GH137="D",$GH$5,""))))," ",IF(GL137="D",$GL$5,IF(GM137="D",$GM$5,IF(GN137="D",$GN$5,IF(GO137="D",$GO$5,"")))))</f>
        <v xml:space="preserve">     </v>
      </c>
      <c r="GY137" s="207" t="str">
        <f t="shared" si="405"/>
        <v/>
      </c>
      <c r="GZ137" s="606" t="str">
        <f>IF(AND(Q137="",AE137="",AZ137="",BW137="",CT137=""),"",IF(AND('Master Sheet'!$D$19="YES",'Marks Entry'!$BA$1=1),SUM(Q137,AE137,AZ137,BW137,DT137),SUM(Q137,AE137,AZ137,BW137,CT137)))</f>
        <v/>
      </c>
      <c r="HA137" s="208" t="str">
        <f>IF(GZ137="","",IF(AND('Master Sheet'!$D$19="YES",'Marks Entry'!$BA$1=1),GZ137/((900)-DC137)*100,GZ137/((1000)-DC137)*100))</f>
        <v/>
      </c>
      <c r="HB137" s="611" t="str">
        <f t="shared" ref="HB137:HB200" si="532">IF(HA137="","",IF(AND(HA137&gt;=60,(GY137="PASS")),"I",IF(AND(HA137&gt;=60,(GY137="BY GRACE PASS")),"I",IF(AND(HA137&gt;=48,(GY137="PASS")),"II",IF(AND(HA137&gt;=48,(GY137="BY GRACE PASS")),"II",IF(AND(HA137&gt;=36,(GY137="PASS")),"III",IF(AND(HA137&gt;=36,(GY137="BY GRACE PASS")),"III","")))))))</f>
        <v/>
      </c>
      <c r="HC137" s="609" t="str">
        <f t="shared" ref="HC137:HC200" si="533">IF(OR(GY137="PASS",GY137="BY GRACE PASS"),HA137,"")</f>
        <v/>
      </c>
      <c r="HD137" s="610" t="str">
        <f t="shared" ref="HD137:HD200" si="534">IF(HC137="","",SUMPRODUCT((HC137&lt;HC$8:HC$207)/COUNTIF(HC$8:HC$207,HC$8:HC$207)))</f>
        <v/>
      </c>
      <c r="HE137" s="209" t="str">
        <f>IFERROR(IF(OR(GY137="SUPPLEMENTARY",GY137="RE-EXAM"),'Supp. Result Entry'!AS136,""),"")</f>
        <v/>
      </c>
      <c r="HF137" s="613" t="str">
        <f t="shared" ref="HF137:HF200" si="535">IF(OR(JB137="",IS137=0),"",IF(IZ137="","",IZ137))</f>
        <v/>
      </c>
      <c r="HG137" s="598" t="str">
        <f t="shared" ref="HG137:HG200" si="536">IF(AND(JB137=""),"",IF(HE137="","",IF(AND(JB137="FAIL"),"Failed",JB137)))</f>
        <v/>
      </c>
      <c r="HH137" s="598" t="str">
        <f>IF(AND(HE137="",HF137="",HG137=""),"",IF(OR(GY137="SUPPLEMENTARY",GY137="RE-EXAM"),'Supp. Result Entry'!AS136,GY137))</f>
        <v/>
      </c>
      <c r="HI137" s="179"/>
      <c r="HY137" s="211" t="str">
        <f>IF('Supp. Result Entry'!U136="","",'Supp. Result Entry'!$U$6)</f>
        <v/>
      </c>
      <c r="HZ137" s="212" t="str">
        <f>IF('Supp. Result Entry'!X136="","",'Supp. Result Entry'!$X$6)</f>
        <v/>
      </c>
      <c r="IA137" s="212" t="str">
        <f>IF('Supp. Result Entry'!AA136="","",'Supp. Result Entry'!$AA$6)</f>
        <v/>
      </c>
      <c r="IB137" s="212" t="str">
        <f>IF('Supp. Result Entry'!AD136="","",'Supp. Result Entry'!$AD$6)</f>
        <v/>
      </c>
      <c r="IC137" s="212" t="str">
        <f>IF('Supp. Result Entry'!AG136="","",'Supp. Result Entry'!$AG$6)</f>
        <v/>
      </c>
      <c r="ID137" s="212" t="str">
        <f>IF('Supp. Result Entry'!AJ136="","",'Supp. Result Entry'!$AJ$6)</f>
        <v/>
      </c>
      <c r="IE137" s="212" t="str">
        <f>IF('Supp. Result Entry'!V136="","",'Supp. Result Entry'!V136)</f>
        <v/>
      </c>
      <c r="IF137" s="212" t="str">
        <f>IF('Supp. Result Entry'!Y136="","",'Supp. Result Entry'!Y136)</f>
        <v/>
      </c>
      <c r="IG137" s="212" t="str">
        <f>IF('Supp. Result Entry'!AB136="","",'Supp. Result Entry'!AB136)</f>
        <v/>
      </c>
      <c r="IH137" s="212" t="str">
        <f>IF('Supp. Result Entry'!AE136="","",'Supp. Result Entry'!AE136)</f>
        <v/>
      </c>
      <c r="II137" s="212" t="str">
        <f>IF('Supp. Result Entry'!AH136="","",'Supp. Result Entry'!AH136)</f>
        <v/>
      </c>
      <c r="IJ137" s="212" t="str">
        <f>IF('Supp. Result Entry'!AK136="","",'Supp. Result Entry'!AK136)</f>
        <v/>
      </c>
      <c r="IK137" s="212" t="str">
        <f>IF('Supp. Result Entry'!W136="","",'Supp. Result Entry'!W136)</f>
        <v/>
      </c>
      <c r="IL137" s="212" t="str">
        <f>IF('Supp. Result Entry'!Z136="","",'Supp. Result Entry'!Z136)</f>
        <v/>
      </c>
      <c r="IM137" s="212" t="str">
        <f>IF('Supp. Result Entry'!AC136="","",'Supp. Result Entry'!AC136)</f>
        <v/>
      </c>
      <c r="IN137" s="212" t="str">
        <f>IF('Supp. Result Entry'!AF136="","",'Supp. Result Entry'!AF136)</f>
        <v/>
      </c>
      <c r="IO137" s="212" t="str">
        <f>IF('Supp. Result Entry'!AI136="","",'Supp. Result Entry'!AI136)</f>
        <v/>
      </c>
      <c r="IP137" s="212" t="str">
        <f>IF('Supp. Result Entry'!AL136="","",'Supp. Result Entry'!AL136)</f>
        <v/>
      </c>
      <c r="IQ137" s="212">
        <f>COUNTIF('Supp. Result Entry'!K136:Q136,"S")</f>
        <v>0</v>
      </c>
      <c r="IR137" s="212">
        <f t="shared" ref="IR137:IR200" si="537">COUNTIF(FJ137:GR137,"RE")+COUNTIF(FJ137:GR137,"REP")</f>
        <v>0</v>
      </c>
      <c r="IS137" s="212">
        <f t="shared" ref="IS137:IS200" si="538">COUNTIF(IK137:IP137,"P")</f>
        <v>0</v>
      </c>
      <c r="IT137" s="212" t="str">
        <f t="shared" si="406"/>
        <v/>
      </c>
      <c r="IU137" s="212" t="str">
        <f t="shared" si="407"/>
        <v/>
      </c>
      <c r="IV137" s="212" t="str">
        <f t="shared" si="408"/>
        <v/>
      </c>
      <c r="IW137" s="212" t="str">
        <f t="shared" si="409"/>
        <v/>
      </c>
      <c r="IX137" s="212" t="str">
        <f t="shared" si="410"/>
        <v/>
      </c>
      <c r="IY137" s="212" t="str">
        <f t="shared" ref="IY137:IY200" si="539">IF(OR(IQ137=0,IQ137&lt;IS137),"",SUM(IT137:IX137))</f>
        <v/>
      </c>
      <c r="IZ137" s="212" t="str">
        <f t="shared" ref="IZ137:IZ200" si="540">IF(OR(IQ137=0,IQ137&lt;IS137),"",IY137/JA137*100)</f>
        <v/>
      </c>
      <c r="JA137" s="212" t="str">
        <f t="shared" si="411"/>
        <v/>
      </c>
      <c r="JB137" s="210" t="str">
        <f t="shared" ref="JB137:JB200" si="541">IF(IZ137="","",IF(IZ137&gt;=60,"I",IF(IZ137&gt;=48,"II",IF(IZ137&gt;=36,"III",""))))</f>
        <v/>
      </c>
    </row>
    <row r="138" spans="1:262" s="210" customFormat="1" ht="21" customHeight="1">
      <c r="A138" s="183">
        <v>131</v>
      </c>
      <c r="B138" s="184" t="str">
        <f>IF('Marks Entry'!B138="","",'Marks Entry'!B138)</f>
        <v/>
      </c>
      <c r="C138" s="185" t="str">
        <f>IF('Marks Entry'!D138="","",'Marks Entry'!D138)</f>
        <v/>
      </c>
      <c r="D138" s="186" t="str">
        <f>IF('Marks Entry'!E138="","",'Marks Entry'!E138)</f>
        <v/>
      </c>
      <c r="E138" s="187" t="str">
        <f>IF('Marks Entry'!F138="","",'Marks Entry'!F138)</f>
        <v/>
      </c>
      <c r="F138" s="187" t="str">
        <f>IF('Marks Entry'!G138="","",'Marks Entry'!G138)</f>
        <v/>
      </c>
      <c r="G138" s="187" t="str">
        <f>IF('Marks Entry'!H138="","",'Marks Entry'!H138)</f>
        <v/>
      </c>
      <c r="H138" s="188" t="str">
        <f>IF('Marks Entry'!I138="","",'Marks Entry'!I138)</f>
        <v/>
      </c>
      <c r="I138" s="189" t="str">
        <f>IF('Marks Entry'!J138="","",'Marks Entry'!J138)</f>
        <v/>
      </c>
      <c r="J138" s="545" t="str">
        <f>IF('Marks Entry'!K138="","",'Marks Entry'!K138)</f>
        <v/>
      </c>
      <c r="K138" s="545" t="str">
        <f>IF('Marks Entry'!L138="","",'Marks Entry'!L138)</f>
        <v/>
      </c>
      <c r="L138" s="545" t="str">
        <f>IF('Marks Entry'!M138="","",'Marks Entry'!M138)</f>
        <v/>
      </c>
      <c r="M138" s="546" t="str">
        <f t="shared" si="412"/>
        <v/>
      </c>
      <c r="N138" s="545" t="str">
        <f>IF('Marks Entry'!N138="","",'Marks Entry'!N138)</f>
        <v/>
      </c>
      <c r="O138" s="546" t="str">
        <f t="shared" si="413"/>
        <v/>
      </c>
      <c r="P138" s="545" t="str">
        <f>IF('Marks Entry'!O138="","",'Marks Entry'!O138)</f>
        <v/>
      </c>
      <c r="Q138" s="547" t="str">
        <f t="shared" si="414"/>
        <v/>
      </c>
      <c r="R138" s="152">
        <f t="shared" si="415"/>
        <v>0</v>
      </c>
      <c r="S138" s="152">
        <f t="shared" si="416"/>
        <v>0</v>
      </c>
      <c r="T138" s="153" t="str">
        <f t="shared" si="417"/>
        <v/>
      </c>
      <c r="U138" s="152" t="str">
        <f t="shared" si="418"/>
        <v/>
      </c>
      <c r="V138" s="152" t="str">
        <f t="shared" si="419"/>
        <v/>
      </c>
      <c r="W138" s="152" t="str">
        <f t="shared" si="420"/>
        <v/>
      </c>
      <c r="X138" s="545" t="str">
        <f>IF('Marks Entry'!P138="","",'Marks Entry'!P138)</f>
        <v/>
      </c>
      <c r="Y138" s="545" t="str">
        <f>IF('Marks Entry'!Q138="","",'Marks Entry'!Q138)</f>
        <v/>
      </c>
      <c r="Z138" s="545" t="str">
        <f>IF('Marks Entry'!R138="","",'Marks Entry'!R138)</f>
        <v/>
      </c>
      <c r="AA138" s="546" t="str">
        <f t="shared" si="421"/>
        <v/>
      </c>
      <c r="AB138" s="545" t="str">
        <f>IF('Marks Entry'!S138="","",'Marks Entry'!S138)</f>
        <v/>
      </c>
      <c r="AC138" s="546" t="str">
        <f t="shared" si="422"/>
        <v/>
      </c>
      <c r="AD138" s="545" t="str">
        <f>IF('Marks Entry'!T138="","",'Marks Entry'!T138)</f>
        <v/>
      </c>
      <c r="AE138" s="547" t="str">
        <f t="shared" si="423"/>
        <v/>
      </c>
      <c r="AF138" s="152">
        <f t="shared" si="424"/>
        <v>0</v>
      </c>
      <c r="AG138" s="152">
        <f t="shared" si="425"/>
        <v>0</v>
      </c>
      <c r="AH138" s="153" t="str">
        <f t="shared" si="426"/>
        <v/>
      </c>
      <c r="AI138" s="152" t="str">
        <f t="shared" si="427"/>
        <v/>
      </c>
      <c r="AJ138" s="152" t="str">
        <f t="shared" si="428"/>
        <v/>
      </c>
      <c r="AK138" s="152" t="str">
        <f t="shared" si="429"/>
        <v/>
      </c>
      <c r="AL138" s="573" t="str">
        <f>IF('Marks Entry'!U138="","",'Marks Entry'!U138)</f>
        <v/>
      </c>
      <c r="AM138" s="573" t="str">
        <f>IF('Marks Entry'!V138="","",'Marks Entry'!V138)</f>
        <v/>
      </c>
      <c r="AN138" s="573" t="str">
        <f>IF('Marks Entry'!W138="","",'Marks Entry'!W138)</f>
        <v/>
      </c>
      <c r="AO138" s="573" t="str">
        <f>IF('Marks Entry'!X138="","",'Marks Entry'!X138)</f>
        <v/>
      </c>
      <c r="AP138" s="572" t="str">
        <f t="shared" si="430"/>
        <v/>
      </c>
      <c r="AQ138" s="573" t="str">
        <f>IF('Marks Entry'!Y138="","",'Marks Entry'!Y138)</f>
        <v/>
      </c>
      <c r="AR138" s="573" t="str">
        <f>IF('Marks Entry'!Z138="","",'Marks Entry'!Z138)</f>
        <v/>
      </c>
      <c r="AS138" s="572" t="str">
        <f t="shared" si="431"/>
        <v/>
      </c>
      <c r="AT138" s="572" t="str">
        <f t="shared" si="432"/>
        <v/>
      </c>
      <c r="AU138" s="573" t="str">
        <f>IF('Marks Entry'!AA138="","",'Marks Entry'!AA138)</f>
        <v/>
      </c>
      <c r="AV138" s="573" t="str">
        <f>IF('Marks Entry'!AB138="","",'Marks Entry'!AB138)</f>
        <v/>
      </c>
      <c r="AW138" s="572" t="str">
        <f t="shared" si="433"/>
        <v/>
      </c>
      <c r="AX138" s="156" t="str">
        <f t="shared" si="434"/>
        <v/>
      </c>
      <c r="AY138" s="156" t="str">
        <f t="shared" si="435"/>
        <v/>
      </c>
      <c r="AZ138" s="191" t="str">
        <f t="shared" si="436"/>
        <v/>
      </c>
      <c r="BA138" s="152">
        <f t="shared" si="437"/>
        <v>0</v>
      </c>
      <c r="BB138" s="153">
        <f t="shared" si="438"/>
        <v>0</v>
      </c>
      <c r="BC138" s="153" t="str">
        <f t="shared" si="439"/>
        <v/>
      </c>
      <c r="BD138" s="153" t="str">
        <f t="shared" si="440"/>
        <v/>
      </c>
      <c r="BE138" s="153" t="str">
        <f t="shared" si="441"/>
        <v/>
      </c>
      <c r="BF138" s="152" t="str">
        <f t="shared" si="442"/>
        <v/>
      </c>
      <c r="BG138" s="153" t="str">
        <f t="shared" si="443"/>
        <v/>
      </c>
      <c r="BH138" s="152" t="str">
        <f t="shared" si="444"/>
        <v/>
      </c>
      <c r="BI138" s="580" t="str">
        <f>IF('Marks Entry'!AC138="","",'Marks Entry'!AC138)</f>
        <v/>
      </c>
      <c r="BJ138" s="580" t="str">
        <f>IF('Marks Entry'!AD138="","",'Marks Entry'!AD138)</f>
        <v/>
      </c>
      <c r="BK138" s="580" t="str">
        <f>IF('Marks Entry'!AE138="","",'Marks Entry'!AE138)</f>
        <v/>
      </c>
      <c r="BL138" s="580" t="str">
        <f>IF('Marks Entry'!AF138="","",'Marks Entry'!AF138)</f>
        <v/>
      </c>
      <c r="BM138" s="581" t="str">
        <f t="shared" si="445"/>
        <v/>
      </c>
      <c r="BN138" s="580" t="str">
        <f>IF('Marks Entry'!AG138="","",'Marks Entry'!AG138)</f>
        <v/>
      </c>
      <c r="BO138" s="580" t="str">
        <f>IF('Marks Entry'!AH138="","",'Marks Entry'!AH138)</f>
        <v/>
      </c>
      <c r="BP138" s="581" t="str">
        <f t="shared" si="446"/>
        <v/>
      </c>
      <c r="BQ138" s="581" t="str">
        <f t="shared" si="447"/>
        <v/>
      </c>
      <c r="BR138" s="580" t="str">
        <f>IF('Marks Entry'!AI138="","",'Marks Entry'!AI138)</f>
        <v/>
      </c>
      <c r="BS138" s="580" t="str">
        <f>IF('Marks Entry'!AJ138="","",'Marks Entry'!AJ138)</f>
        <v/>
      </c>
      <c r="BT138" s="581" t="str">
        <f t="shared" si="448"/>
        <v/>
      </c>
      <c r="BU138" s="156" t="str">
        <f t="shared" si="449"/>
        <v/>
      </c>
      <c r="BV138" s="156" t="str">
        <f t="shared" si="450"/>
        <v/>
      </c>
      <c r="BW138" s="191" t="str">
        <f t="shared" si="451"/>
        <v/>
      </c>
      <c r="BX138" s="152">
        <f t="shared" si="452"/>
        <v>0</v>
      </c>
      <c r="BY138" s="153">
        <f t="shared" si="453"/>
        <v>0</v>
      </c>
      <c r="BZ138" s="153" t="str">
        <f t="shared" si="454"/>
        <v/>
      </c>
      <c r="CA138" s="153" t="str">
        <f t="shared" si="455"/>
        <v/>
      </c>
      <c r="CB138" s="153" t="str">
        <f t="shared" si="456"/>
        <v/>
      </c>
      <c r="CC138" s="152" t="str">
        <f t="shared" si="457"/>
        <v/>
      </c>
      <c r="CD138" s="153" t="str">
        <f t="shared" si="458"/>
        <v/>
      </c>
      <c r="CE138" s="152" t="str">
        <f t="shared" si="459"/>
        <v/>
      </c>
      <c r="CF138" s="580" t="str">
        <f>IF('Marks Entry'!AK138="","",'Marks Entry'!AK138)</f>
        <v/>
      </c>
      <c r="CG138" s="580" t="str">
        <f>IF('Marks Entry'!AL138="","",'Marks Entry'!AL138)</f>
        <v/>
      </c>
      <c r="CH138" s="580" t="str">
        <f>IF('Marks Entry'!AM138="","",'Marks Entry'!AM138)</f>
        <v/>
      </c>
      <c r="CI138" s="580" t="str">
        <f>IF('Marks Entry'!AN138="","",'Marks Entry'!AN138)</f>
        <v/>
      </c>
      <c r="CJ138" s="581" t="str">
        <f t="shared" si="460"/>
        <v/>
      </c>
      <c r="CK138" s="580" t="str">
        <f>IF('Marks Entry'!AO138="","",'Marks Entry'!AO138)</f>
        <v/>
      </c>
      <c r="CL138" s="580" t="str">
        <f>IF('Marks Entry'!AP138="","",'Marks Entry'!AP138)</f>
        <v/>
      </c>
      <c r="CM138" s="581" t="str">
        <f t="shared" si="461"/>
        <v/>
      </c>
      <c r="CN138" s="581" t="str">
        <f t="shared" si="462"/>
        <v/>
      </c>
      <c r="CO138" s="580" t="str">
        <f>IF('Marks Entry'!AQ138="","",'Marks Entry'!AQ138)</f>
        <v/>
      </c>
      <c r="CP138" s="580" t="str">
        <f>IF('Marks Entry'!AR138="","",'Marks Entry'!AR138)</f>
        <v/>
      </c>
      <c r="CQ138" s="581" t="str">
        <f t="shared" si="463"/>
        <v/>
      </c>
      <c r="CR138" s="156" t="str">
        <f t="shared" si="464"/>
        <v/>
      </c>
      <c r="CS138" s="156" t="str">
        <f t="shared" si="465"/>
        <v/>
      </c>
      <c r="CT138" s="191" t="str">
        <f t="shared" si="466"/>
        <v/>
      </c>
      <c r="CU138" s="152">
        <f t="shared" si="467"/>
        <v>0</v>
      </c>
      <c r="CV138" s="153">
        <f t="shared" si="468"/>
        <v>0</v>
      </c>
      <c r="CW138" s="153" t="str">
        <f t="shared" si="469"/>
        <v/>
      </c>
      <c r="CX138" s="153" t="str">
        <f t="shared" si="470"/>
        <v/>
      </c>
      <c r="CY138" s="153" t="str">
        <f t="shared" si="471"/>
        <v/>
      </c>
      <c r="CZ138" s="152" t="str">
        <f t="shared" si="472"/>
        <v/>
      </c>
      <c r="DA138" s="153" t="str">
        <f t="shared" si="473"/>
        <v/>
      </c>
      <c r="DB138" s="152" t="str">
        <f t="shared" si="474"/>
        <v/>
      </c>
      <c r="DC138" s="153">
        <f t="shared" si="475"/>
        <v>0</v>
      </c>
      <c r="DD138" s="851" t="str">
        <f>IF('Marks Entry'!AS138="","",IF(OR('Master Sheet'!$D$19="YES",'Marks Entry'!$BA$1=1),'Marks Entry'!AS138,""))</f>
        <v/>
      </c>
      <c r="DE138" s="851" t="str">
        <f>IF('Marks Entry'!AT138="","",IF(OR('Master Sheet'!$D$19="YES",'Marks Entry'!$BA$1=1),'Marks Entry'!AT138,""))</f>
        <v/>
      </c>
      <c r="DF138" s="851" t="str">
        <f>IF('Marks Entry'!AU138="","",IF(OR('Master Sheet'!$D$19="YES",'Marks Entry'!$BA$1=1),'Marks Entry'!AU138,""))</f>
        <v/>
      </c>
      <c r="DG138" s="851" t="str">
        <f>IF('Marks Entry'!AV138="","",IF(OR('Master Sheet'!$D$19="YES",'Marks Entry'!$BA$1=1),'Marks Entry'!AV138,""))</f>
        <v/>
      </c>
      <c r="DH138" s="852" t="str">
        <f t="shared" si="476"/>
        <v/>
      </c>
      <c r="DI138" s="851" t="str">
        <f>IF('Marks Entry'!AW138="","",IF(OR('Master Sheet'!$D$19="YES",'Marks Entry'!$BA$1=1),'Marks Entry'!AW138,""))</f>
        <v/>
      </c>
      <c r="DJ138" s="851" t="str">
        <f>IF('Marks Entry'!AX138="","",IF(OR('Master Sheet'!$D$19="YES",'Marks Entry'!$BA$1=1),'Marks Entry'!AX138,""))</f>
        <v/>
      </c>
      <c r="DK138" s="852" t="str">
        <f t="shared" si="477"/>
        <v/>
      </c>
      <c r="DL138" s="852" t="str">
        <f t="shared" si="478"/>
        <v/>
      </c>
      <c r="DM138" s="851" t="str">
        <f>IF('Marks Entry'!AY138="","",IF(OR('Master Sheet'!$D$19="YES",'Marks Entry'!$BA$1=1),'Marks Entry'!AY138,""))</f>
        <v/>
      </c>
      <c r="DN138" s="851" t="str">
        <f>IF('Marks Entry'!AZ138="","",IF(OR('Master Sheet'!$D$19="YES",'Marks Entry'!$BA$1=1),'Marks Entry'!AZ138,""))</f>
        <v/>
      </c>
      <c r="DO138" s="851" t="str">
        <f>IF('Marks Entry'!BA138="","",IF(OR('Master Sheet'!$D$19="YES",'Marks Entry'!$BA$1=1),'Marks Entry'!BA138,""))</f>
        <v/>
      </c>
      <c r="DP138" s="852" t="str">
        <f t="shared" si="479"/>
        <v/>
      </c>
      <c r="DQ138" s="156" t="str">
        <f t="shared" si="480"/>
        <v/>
      </c>
      <c r="DR138" s="156" t="str">
        <f t="shared" si="481"/>
        <v/>
      </c>
      <c r="DS138" s="156" t="str">
        <f t="shared" si="482"/>
        <v/>
      </c>
      <c r="DT138" s="191" t="str">
        <f t="shared" si="483"/>
        <v/>
      </c>
      <c r="DU138" s="152">
        <f t="shared" si="484"/>
        <v>0</v>
      </c>
      <c r="DV138" s="153">
        <f t="shared" si="485"/>
        <v>0</v>
      </c>
      <c r="DW138" s="153" t="str">
        <f t="shared" si="486"/>
        <v/>
      </c>
      <c r="DX138" s="153" t="str">
        <f>IF(OR($B138="NSO",$B138=0,DS138=""),"",IF(AND(DJ138="",DO138=""),"",IF('Master Sheet'!$D$19="YES",$DO$6-COUNTIF(DO138,"ML")*DO$6,DS$6-(COUNTIF(DJ138,"ML")*DJ$6)-(COUNTIF(DO138,"ML")*DO$6))))</f>
        <v/>
      </c>
      <c r="DY138" s="153" t="str">
        <f>IF(OR($B138="NSO",$B138=0),"",IF(AND(DH138="",DI138="",DM138=""),"",IF(AND('Master Sheet'!$D$19="YES",'Marks Entry'!$BA$1=1),100,IF(AND(DJ138="",DO138=""),SUM(($DQ$7+$DR$7)-(DU138+DV138)),SUM(($DQ$6+$DR$6)-(DU138+DV138))))))</f>
        <v/>
      </c>
      <c r="DZ138" s="152" t="str">
        <f t="shared" si="487"/>
        <v/>
      </c>
      <c r="EA138" s="153" t="str">
        <f t="shared" si="488"/>
        <v/>
      </c>
      <c r="EB138" s="152" t="str">
        <f t="shared" si="489"/>
        <v/>
      </c>
      <c r="EC138" s="584" t="str">
        <f>IF('Marks Entry'!BB138="","",'Marks Entry'!BB138)</f>
        <v/>
      </c>
      <c r="ED138" s="584" t="str">
        <f>IF('Marks Entry'!BC138="","",'Marks Entry'!BC138)</f>
        <v/>
      </c>
      <c r="EE138" s="584" t="str">
        <f>IF('Marks Entry'!BD138="","",'Marks Entry'!BD138)</f>
        <v/>
      </c>
      <c r="EF138" s="590" t="str">
        <f t="shared" si="490"/>
        <v/>
      </c>
      <c r="EG138" s="595">
        <f t="shared" si="491"/>
        <v>0</v>
      </c>
      <c r="EH138" s="595">
        <f t="shared" si="492"/>
        <v>0</v>
      </c>
      <c r="EI138" s="192" t="str">
        <f t="shared" si="493"/>
        <v/>
      </c>
      <c r="EJ138" s="595" t="str">
        <f t="shared" si="494"/>
        <v/>
      </c>
      <c r="EK138" s="595" t="str">
        <f t="shared" si="495"/>
        <v/>
      </c>
      <c r="EL138" s="193" t="str">
        <f t="shared" si="496"/>
        <v/>
      </c>
      <c r="EM138" s="193" t="str">
        <f t="shared" si="497"/>
        <v/>
      </c>
      <c r="EN138" s="193" t="str">
        <f t="shared" si="498"/>
        <v/>
      </c>
      <c r="EO138" s="193" t="str">
        <f t="shared" si="499"/>
        <v/>
      </c>
      <c r="EP138" s="193" t="str">
        <f t="shared" si="500"/>
        <v/>
      </c>
      <c r="EQ138" s="193" t="str">
        <f t="shared" si="501"/>
        <v/>
      </c>
      <c r="ER138" s="194">
        <f t="shared" si="502"/>
        <v>0</v>
      </c>
      <c r="ES138" s="194">
        <f t="shared" si="503"/>
        <v>0</v>
      </c>
      <c r="ET138" s="194">
        <f t="shared" si="504"/>
        <v>0</v>
      </c>
      <c r="EU138" s="194">
        <f t="shared" si="505"/>
        <v>0</v>
      </c>
      <c r="EV138" s="194">
        <f t="shared" si="506"/>
        <v>0</v>
      </c>
      <c r="EW138" s="194" t="str">
        <f t="shared" si="507"/>
        <v/>
      </c>
      <c r="EX138" s="195" t="str">
        <f t="shared" si="508"/>
        <v/>
      </c>
      <c r="EY138" s="196" t="str">
        <f>IF('Marks Entry'!BE138="","",'Marks Entry'!BE138)</f>
        <v/>
      </c>
      <c r="EZ138" s="196" t="str">
        <f>IF('Marks Entry'!BF138="","",'Marks Entry'!BF138)</f>
        <v/>
      </c>
      <c r="FA138" s="196" t="str">
        <f>IF('Marks Entry'!BG138="","",'Marks Entry'!BG138)</f>
        <v/>
      </c>
      <c r="FB138" s="596" t="str">
        <f t="shared" si="509"/>
        <v/>
      </c>
      <c r="FC138" s="196" t="str">
        <f>IF('Marks Entry'!BH138="","",'Marks Entry'!BH138)</f>
        <v/>
      </c>
      <c r="FD138" s="196" t="str">
        <f>IF('Marks Entry'!BI138="","",'Marks Entry'!BI138)</f>
        <v/>
      </c>
      <c r="FE138" s="197" t="str">
        <f t="shared" si="510"/>
        <v/>
      </c>
      <c r="FF138" s="198" t="str">
        <f t="shared" si="511"/>
        <v/>
      </c>
      <c r="FG138" s="199" t="str">
        <f>IF(AND(E138=""),"",IF('Student DATA Entry'!L134="","",'Student DATA Entry'!L134))</f>
        <v/>
      </c>
      <c r="FH138" s="200" t="str">
        <f>IF(AND(E138=""),"",IF('Student DATA Entry'!M134="","",'Student DATA Entry'!M134))</f>
        <v/>
      </c>
      <c r="FI138" s="201" t="str">
        <f t="shared" si="512"/>
        <v/>
      </c>
      <c r="FJ138" s="188" t="str">
        <f t="shared" si="513"/>
        <v/>
      </c>
      <c r="FK138" s="188" t="str">
        <f t="shared" si="514"/>
        <v/>
      </c>
      <c r="FL138" s="202" t="str">
        <f t="shared" si="383"/>
        <v/>
      </c>
      <c r="FM138" s="188" t="str">
        <f t="shared" si="515"/>
        <v/>
      </c>
      <c r="FN138" s="203" t="str">
        <f t="shared" si="516"/>
        <v/>
      </c>
      <c r="FO138" s="202" t="str">
        <f t="shared" si="384"/>
        <v/>
      </c>
      <c r="FP138" s="204" t="str">
        <f t="shared" si="517"/>
        <v/>
      </c>
      <c r="FQ138" s="188" t="str">
        <f t="shared" si="385"/>
        <v/>
      </c>
      <c r="FR138" s="188" t="str">
        <f t="shared" si="386"/>
        <v/>
      </c>
      <c r="FS138" s="188" t="str">
        <f t="shared" si="387"/>
        <v/>
      </c>
      <c r="FT138" s="188" t="str">
        <f t="shared" si="388"/>
        <v/>
      </c>
      <c r="FU138" s="188" t="str">
        <f t="shared" si="518"/>
        <v/>
      </c>
      <c r="FV138" s="205" t="str">
        <f t="shared" si="389"/>
        <v/>
      </c>
      <c r="FW138" s="204" t="str">
        <f t="shared" si="519"/>
        <v/>
      </c>
      <c r="FX138" s="188" t="str">
        <f t="shared" si="390"/>
        <v/>
      </c>
      <c r="FY138" s="188" t="str">
        <f t="shared" si="391"/>
        <v/>
      </c>
      <c r="FZ138" s="188" t="str">
        <f t="shared" si="392"/>
        <v/>
      </c>
      <c r="GA138" s="188" t="str">
        <f t="shared" si="393"/>
        <v/>
      </c>
      <c r="GB138" s="188" t="str">
        <f t="shared" si="520"/>
        <v/>
      </c>
      <c r="GC138" s="205" t="str">
        <f t="shared" si="394"/>
        <v/>
      </c>
      <c r="GD138" s="204" t="str">
        <f t="shared" si="521"/>
        <v/>
      </c>
      <c r="GE138" s="188" t="str">
        <f t="shared" si="395"/>
        <v/>
      </c>
      <c r="GF138" s="188" t="str">
        <f t="shared" si="396"/>
        <v/>
      </c>
      <c r="GG138" s="188" t="str">
        <f t="shared" si="397"/>
        <v/>
      </c>
      <c r="GH138" s="188" t="str">
        <f t="shared" si="398"/>
        <v/>
      </c>
      <c r="GI138" s="188" t="str">
        <f t="shared" si="522"/>
        <v/>
      </c>
      <c r="GJ138" s="205" t="str">
        <f t="shared" si="399"/>
        <v/>
      </c>
      <c r="GK138" s="204" t="str">
        <f t="shared" si="523"/>
        <v/>
      </c>
      <c r="GL138" s="188" t="str">
        <f t="shared" si="400"/>
        <v/>
      </c>
      <c r="GM138" s="188" t="str">
        <f t="shared" si="401"/>
        <v/>
      </c>
      <c r="GN138" s="188" t="str">
        <f t="shared" si="402"/>
        <v/>
      </c>
      <c r="GO138" s="188" t="str">
        <f t="shared" si="403"/>
        <v/>
      </c>
      <c r="GP138" s="188" t="str">
        <f t="shared" si="524"/>
        <v/>
      </c>
      <c r="GQ138" s="205" t="str">
        <f t="shared" si="404"/>
        <v/>
      </c>
      <c r="GR138" s="188" t="str">
        <f t="shared" si="525"/>
        <v/>
      </c>
      <c r="GS138" s="188" t="str">
        <f t="shared" si="526"/>
        <v/>
      </c>
      <c r="GT138" s="206" t="str">
        <f t="shared" si="527"/>
        <v xml:space="preserve">    </v>
      </c>
      <c r="GU138" s="206" t="str">
        <f t="shared" si="528"/>
        <v xml:space="preserve">    </v>
      </c>
      <c r="GV138" s="206" t="str">
        <f t="shared" si="529"/>
        <v xml:space="preserve">    </v>
      </c>
      <c r="GW138" s="206" t="str">
        <f t="shared" si="530"/>
        <v xml:space="preserve">       </v>
      </c>
      <c r="GX138" s="598" t="str">
        <f t="shared" si="531"/>
        <v xml:space="preserve">     </v>
      </c>
      <c r="GY138" s="207" t="str">
        <f t="shared" si="405"/>
        <v/>
      </c>
      <c r="GZ138" s="606" t="str">
        <f>IF(AND(Q138="",AE138="",AZ138="",BW138="",CT138=""),"",IF(AND('Master Sheet'!$D$19="YES",'Marks Entry'!$BA$1=1),SUM(Q138,AE138,AZ138,BW138,DT138),SUM(Q138,AE138,AZ138,BW138,CT138)))</f>
        <v/>
      </c>
      <c r="HA138" s="208" t="str">
        <f>IF(GZ138="","",IF(AND('Master Sheet'!$D$19="YES",'Marks Entry'!$BA$1=1),GZ138/((900)-DC138)*100,GZ138/((1000)-DC138)*100))</f>
        <v/>
      </c>
      <c r="HB138" s="611" t="str">
        <f t="shared" si="532"/>
        <v/>
      </c>
      <c r="HC138" s="609" t="str">
        <f t="shared" si="533"/>
        <v/>
      </c>
      <c r="HD138" s="610" t="str">
        <f t="shared" si="534"/>
        <v/>
      </c>
      <c r="HE138" s="209" t="str">
        <f>IFERROR(IF(OR(GY138="SUPPLEMENTARY",GY138="RE-EXAM"),'Supp. Result Entry'!AS137,""),"")</f>
        <v/>
      </c>
      <c r="HF138" s="613" t="str">
        <f t="shared" si="535"/>
        <v/>
      </c>
      <c r="HG138" s="598" t="str">
        <f t="shared" si="536"/>
        <v/>
      </c>
      <c r="HH138" s="598" t="str">
        <f>IF(AND(HE138="",HF138="",HG138=""),"",IF(OR(GY138="SUPPLEMENTARY",GY138="RE-EXAM"),'Supp. Result Entry'!AS137,GY138))</f>
        <v/>
      </c>
      <c r="HI138" s="179"/>
      <c r="HY138" s="211" t="str">
        <f>IF('Supp. Result Entry'!U137="","",'Supp. Result Entry'!$U$6)</f>
        <v/>
      </c>
      <c r="HZ138" s="212" t="str">
        <f>IF('Supp. Result Entry'!X137="","",'Supp. Result Entry'!$X$6)</f>
        <v/>
      </c>
      <c r="IA138" s="212" t="str">
        <f>IF('Supp. Result Entry'!AA137="","",'Supp. Result Entry'!$AA$6)</f>
        <v/>
      </c>
      <c r="IB138" s="212" t="str">
        <f>IF('Supp. Result Entry'!AD137="","",'Supp. Result Entry'!$AD$6)</f>
        <v/>
      </c>
      <c r="IC138" s="212" t="str">
        <f>IF('Supp. Result Entry'!AG137="","",'Supp. Result Entry'!$AG$6)</f>
        <v/>
      </c>
      <c r="ID138" s="212" t="str">
        <f>IF('Supp. Result Entry'!AJ137="","",'Supp. Result Entry'!$AJ$6)</f>
        <v/>
      </c>
      <c r="IE138" s="212" t="str">
        <f>IF('Supp. Result Entry'!V137="","",'Supp. Result Entry'!V137)</f>
        <v/>
      </c>
      <c r="IF138" s="212" t="str">
        <f>IF('Supp. Result Entry'!Y137="","",'Supp. Result Entry'!Y137)</f>
        <v/>
      </c>
      <c r="IG138" s="212" t="str">
        <f>IF('Supp. Result Entry'!AB137="","",'Supp. Result Entry'!AB137)</f>
        <v/>
      </c>
      <c r="IH138" s="212" t="str">
        <f>IF('Supp. Result Entry'!AE137="","",'Supp. Result Entry'!AE137)</f>
        <v/>
      </c>
      <c r="II138" s="212" t="str">
        <f>IF('Supp. Result Entry'!AH137="","",'Supp. Result Entry'!AH137)</f>
        <v/>
      </c>
      <c r="IJ138" s="212" t="str">
        <f>IF('Supp. Result Entry'!AK137="","",'Supp. Result Entry'!AK137)</f>
        <v/>
      </c>
      <c r="IK138" s="212" t="str">
        <f>IF('Supp. Result Entry'!W137="","",'Supp. Result Entry'!W137)</f>
        <v/>
      </c>
      <c r="IL138" s="212" t="str">
        <f>IF('Supp. Result Entry'!Z137="","",'Supp. Result Entry'!Z137)</f>
        <v/>
      </c>
      <c r="IM138" s="212" t="str">
        <f>IF('Supp. Result Entry'!AC137="","",'Supp. Result Entry'!AC137)</f>
        <v/>
      </c>
      <c r="IN138" s="212" t="str">
        <f>IF('Supp. Result Entry'!AF137="","",'Supp. Result Entry'!AF137)</f>
        <v/>
      </c>
      <c r="IO138" s="212" t="str">
        <f>IF('Supp. Result Entry'!AI137="","",'Supp. Result Entry'!AI137)</f>
        <v/>
      </c>
      <c r="IP138" s="212" t="str">
        <f>IF('Supp. Result Entry'!AL137="","",'Supp. Result Entry'!AL137)</f>
        <v/>
      </c>
      <c r="IQ138" s="212">
        <f>COUNTIF('Supp. Result Entry'!K137:Q137,"S")</f>
        <v>0</v>
      </c>
      <c r="IR138" s="212">
        <f t="shared" si="537"/>
        <v>0</v>
      </c>
      <c r="IS138" s="212">
        <f t="shared" si="538"/>
        <v>0</v>
      </c>
      <c r="IT138" s="212" t="str">
        <f t="shared" si="406"/>
        <v/>
      </c>
      <c r="IU138" s="212" t="str">
        <f t="shared" si="407"/>
        <v/>
      </c>
      <c r="IV138" s="212" t="str">
        <f t="shared" si="408"/>
        <v/>
      </c>
      <c r="IW138" s="212" t="str">
        <f t="shared" si="409"/>
        <v/>
      </c>
      <c r="IX138" s="212" t="str">
        <f t="shared" si="410"/>
        <v/>
      </c>
      <c r="IY138" s="212" t="str">
        <f t="shared" si="539"/>
        <v/>
      </c>
      <c r="IZ138" s="212" t="str">
        <f t="shared" si="540"/>
        <v/>
      </c>
      <c r="JA138" s="212" t="str">
        <f t="shared" si="411"/>
        <v/>
      </c>
      <c r="JB138" s="210" t="str">
        <f t="shared" si="541"/>
        <v/>
      </c>
    </row>
    <row r="139" spans="1:262" s="210" customFormat="1" ht="21" customHeight="1">
      <c r="A139" s="183">
        <v>132</v>
      </c>
      <c r="B139" s="184" t="str">
        <f>IF('Marks Entry'!B139="","",'Marks Entry'!B139)</f>
        <v/>
      </c>
      <c r="C139" s="185" t="str">
        <f>IF('Marks Entry'!D139="","",'Marks Entry'!D139)</f>
        <v/>
      </c>
      <c r="D139" s="186" t="str">
        <f>IF('Marks Entry'!E139="","",'Marks Entry'!E139)</f>
        <v/>
      </c>
      <c r="E139" s="187" t="str">
        <f>IF('Marks Entry'!F139="","",'Marks Entry'!F139)</f>
        <v/>
      </c>
      <c r="F139" s="187" t="str">
        <f>IF('Marks Entry'!G139="","",'Marks Entry'!G139)</f>
        <v/>
      </c>
      <c r="G139" s="187" t="str">
        <f>IF('Marks Entry'!H139="","",'Marks Entry'!H139)</f>
        <v/>
      </c>
      <c r="H139" s="188" t="str">
        <f>IF('Marks Entry'!I139="","",'Marks Entry'!I139)</f>
        <v/>
      </c>
      <c r="I139" s="189" t="str">
        <f>IF('Marks Entry'!J139="","",'Marks Entry'!J139)</f>
        <v/>
      </c>
      <c r="J139" s="545" t="str">
        <f>IF('Marks Entry'!K139="","",'Marks Entry'!K139)</f>
        <v/>
      </c>
      <c r="K139" s="545" t="str">
        <f>IF('Marks Entry'!L139="","",'Marks Entry'!L139)</f>
        <v/>
      </c>
      <c r="L139" s="545" t="str">
        <f>IF('Marks Entry'!M139="","",'Marks Entry'!M139)</f>
        <v/>
      </c>
      <c r="M139" s="546" t="str">
        <f t="shared" si="412"/>
        <v/>
      </c>
      <c r="N139" s="545" t="str">
        <f>IF('Marks Entry'!N139="","",'Marks Entry'!N139)</f>
        <v/>
      </c>
      <c r="O139" s="546" t="str">
        <f t="shared" si="413"/>
        <v/>
      </c>
      <c r="P139" s="545" t="str">
        <f>IF('Marks Entry'!O139="","",'Marks Entry'!O139)</f>
        <v/>
      </c>
      <c r="Q139" s="547" t="str">
        <f t="shared" si="414"/>
        <v/>
      </c>
      <c r="R139" s="152">
        <f t="shared" si="415"/>
        <v>0</v>
      </c>
      <c r="S139" s="152">
        <f t="shared" si="416"/>
        <v>0</v>
      </c>
      <c r="T139" s="153" t="str">
        <f t="shared" si="417"/>
        <v/>
      </c>
      <c r="U139" s="152" t="str">
        <f t="shared" si="418"/>
        <v/>
      </c>
      <c r="V139" s="152" t="str">
        <f t="shared" si="419"/>
        <v/>
      </c>
      <c r="W139" s="152" t="str">
        <f t="shared" si="420"/>
        <v/>
      </c>
      <c r="X139" s="545" t="str">
        <f>IF('Marks Entry'!P139="","",'Marks Entry'!P139)</f>
        <v/>
      </c>
      <c r="Y139" s="545" t="str">
        <f>IF('Marks Entry'!Q139="","",'Marks Entry'!Q139)</f>
        <v/>
      </c>
      <c r="Z139" s="545" t="str">
        <f>IF('Marks Entry'!R139="","",'Marks Entry'!R139)</f>
        <v/>
      </c>
      <c r="AA139" s="546" t="str">
        <f t="shared" si="421"/>
        <v/>
      </c>
      <c r="AB139" s="545" t="str">
        <f>IF('Marks Entry'!S139="","",'Marks Entry'!S139)</f>
        <v/>
      </c>
      <c r="AC139" s="546" t="str">
        <f t="shared" si="422"/>
        <v/>
      </c>
      <c r="AD139" s="545" t="str">
        <f>IF('Marks Entry'!T139="","",'Marks Entry'!T139)</f>
        <v/>
      </c>
      <c r="AE139" s="547" t="str">
        <f t="shared" si="423"/>
        <v/>
      </c>
      <c r="AF139" s="152">
        <f t="shared" si="424"/>
        <v>0</v>
      </c>
      <c r="AG139" s="152">
        <f t="shared" si="425"/>
        <v>0</v>
      </c>
      <c r="AH139" s="153" t="str">
        <f t="shared" si="426"/>
        <v/>
      </c>
      <c r="AI139" s="152" t="str">
        <f t="shared" si="427"/>
        <v/>
      </c>
      <c r="AJ139" s="152" t="str">
        <f t="shared" si="428"/>
        <v/>
      </c>
      <c r="AK139" s="152" t="str">
        <f t="shared" si="429"/>
        <v/>
      </c>
      <c r="AL139" s="573" t="str">
        <f>IF('Marks Entry'!U139="","",'Marks Entry'!U139)</f>
        <v/>
      </c>
      <c r="AM139" s="573" t="str">
        <f>IF('Marks Entry'!V139="","",'Marks Entry'!V139)</f>
        <v/>
      </c>
      <c r="AN139" s="573" t="str">
        <f>IF('Marks Entry'!W139="","",'Marks Entry'!W139)</f>
        <v/>
      </c>
      <c r="AO139" s="573" t="str">
        <f>IF('Marks Entry'!X139="","",'Marks Entry'!X139)</f>
        <v/>
      </c>
      <c r="AP139" s="572" t="str">
        <f t="shared" si="430"/>
        <v/>
      </c>
      <c r="AQ139" s="573" t="str">
        <f>IF('Marks Entry'!Y139="","",'Marks Entry'!Y139)</f>
        <v/>
      </c>
      <c r="AR139" s="573" t="str">
        <f>IF('Marks Entry'!Z139="","",'Marks Entry'!Z139)</f>
        <v/>
      </c>
      <c r="AS139" s="572" t="str">
        <f t="shared" si="431"/>
        <v/>
      </c>
      <c r="AT139" s="572" t="str">
        <f t="shared" si="432"/>
        <v/>
      </c>
      <c r="AU139" s="573" t="str">
        <f>IF('Marks Entry'!AA139="","",'Marks Entry'!AA139)</f>
        <v/>
      </c>
      <c r="AV139" s="573" t="str">
        <f>IF('Marks Entry'!AB139="","",'Marks Entry'!AB139)</f>
        <v/>
      </c>
      <c r="AW139" s="572" t="str">
        <f t="shared" si="433"/>
        <v/>
      </c>
      <c r="AX139" s="156" t="str">
        <f t="shared" si="434"/>
        <v/>
      </c>
      <c r="AY139" s="156" t="str">
        <f t="shared" si="435"/>
        <v/>
      </c>
      <c r="AZ139" s="191" t="str">
        <f t="shared" si="436"/>
        <v/>
      </c>
      <c r="BA139" s="152">
        <f t="shared" si="437"/>
        <v>0</v>
      </c>
      <c r="BB139" s="153">
        <f t="shared" si="438"/>
        <v>0</v>
      </c>
      <c r="BC139" s="153" t="str">
        <f t="shared" si="439"/>
        <v/>
      </c>
      <c r="BD139" s="153" t="str">
        <f t="shared" si="440"/>
        <v/>
      </c>
      <c r="BE139" s="153" t="str">
        <f t="shared" si="441"/>
        <v/>
      </c>
      <c r="BF139" s="152" t="str">
        <f t="shared" si="442"/>
        <v/>
      </c>
      <c r="BG139" s="153" t="str">
        <f t="shared" si="443"/>
        <v/>
      </c>
      <c r="BH139" s="152" t="str">
        <f t="shared" si="444"/>
        <v/>
      </c>
      <c r="BI139" s="580" t="str">
        <f>IF('Marks Entry'!AC139="","",'Marks Entry'!AC139)</f>
        <v/>
      </c>
      <c r="BJ139" s="580" t="str">
        <f>IF('Marks Entry'!AD139="","",'Marks Entry'!AD139)</f>
        <v/>
      </c>
      <c r="BK139" s="580" t="str">
        <f>IF('Marks Entry'!AE139="","",'Marks Entry'!AE139)</f>
        <v/>
      </c>
      <c r="BL139" s="580" t="str">
        <f>IF('Marks Entry'!AF139="","",'Marks Entry'!AF139)</f>
        <v/>
      </c>
      <c r="BM139" s="581" t="str">
        <f t="shared" si="445"/>
        <v/>
      </c>
      <c r="BN139" s="580" t="str">
        <f>IF('Marks Entry'!AG139="","",'Marks Entry'!AG139)</f>
        <v/>
      </c>
      <c r="BO139" s="580" t="str">
        <f>IF('Marks Entry'!AH139="","",'Marks Entry'!AH139)</f>
        <v/>
      </c>
      <c r="BP139" s="581" t="str">
        <f t="shared" si="446"/>
        <v/>
      </c>
      <c r="BQ139" s="581" t="str">
        <f t="shared" si="447"/>
        <v/>
      </c>
      <c r="BR139" s="580" t="str">
        <f>IF('Marks Entry'!AI139="","",'Marks Entry'!AI139)</f>
        <v/>
      </c>
      <c r="BS139" s="580" t="str">
        <f>IF('Marks Entry'!AJ139="","",'Marks Entry'!AJ139)</f>
        <v/>
      </c>
      <c r="BT139" s="581" t="str">
        <f t="shared" si="448"/>
        <v/>
      </c>
      <c r="BU139" s="156" t="str">
        <f t="shared" si="449"/>
        <v/>
      </c>
      <c r="BV139" s="156" t="str">
        <f t="shared" si="450"/>
        <v/>
      </c>
      <c r="BW139" s="191" t="str">
        <f t="shared" si="451"/>
        <v/>
      </c>
      <c r="BX139" s="152">
        <f t="shared" si="452"/>
        <v>0</v>
      </c>
      <c r="BY139" s="153">
        <f t="shared" si="453"/>
        <v>0</v>
      </c>
      <c r="BZ139" s="153" t="str">
        <f t="shared" si="454"/>
        <v/>
      </c>
      <c r="CA139" s="153" t="str">
        <f t="shared" si="455"/>
        <v/>
      </c>
      <c r="CB139" s="153" t="str">
        <f t="shared" si="456"/>
        <v/>
      </c>
      <c r="CC139" s="152" t="str">
        <f t="shared" si="457"/>
        <v/>
      </c>
      <c r="CD139" s="153" t="str">
        <f t="shared" si="458"/>
        <v/>
      </c>
      <c r="CE139" s="152" t="str">
        <f t="shared" si="459"/>
        <v/>
      </c>
      <c r="CF139" s="580" t="str">
        <f>IF('Marks Entry'!AK139="","",'Marks Entry'!AK139)</f>
        <v/>
      </c>
      <c r="CG139" s="580" t="str">
        <f>IF('Marks Entry'!AL139="","",'Marks Entry'!AL139)</f>
        <v/>
      </c>
      <c r="CH139" s="580" t="str">
        <f>IF('Marks Entry'!AM139="","",'Marks Entry'!AM139)</f>
        <v/>
      </c>
      <c r="CI139" s="580" t="str">
        <f>IF('Marks Entry'!AN139="","",'Marks Entry'!AN139)</f>
        <v/>
      </c>
      <c r="CJ139" s="581" t="str">
        <f t="shared" si="460"/>
        <v/>
      </c>
      <c r="CK139" s="580" t="str">
        <f>IF('Marks Entry'!AO139="","",'Marks Entry'!AO139)</f>
        <v/>
      </c>
      <c r="CL139" s="580" t="str">
        <f>IF('Marks Entry'!AP139="","",'Marks Entry'!AP139)</f>
        <v/>
      </c>
      <c r="CM139" s="581" t="str">
        <f t="shared" si="461"/>
        <v/>
      </c>
      <c r="CN139" s="581" t="str">
        <f t="shared" si="462"/>
        <v/>
      </c>
      <c r="CO139" s="580" t="str">
        <f>IF('Marks Entry'!AQ139="","",'Marks Entry'!AQ139)</f>
        <v/>
      </c>
      <c r="CP139" s="580" t="str">
        <f>IF('Marks Entry'!AR139="","",'Marks Entry'!AR139)</f>
        <v/>
      </c>
      <c r="CQ139" s="581" t="str">
        <f t="shared" si="463"/>
        <v/>
      </c>
      <c r="CR139" s="156" t="str">
        <f t="shared" si="464"/>
        <v/>
      </c>
      <c r="CS139" s="156" t="str">
        <f t="shared" si="465"/>
        <v/>
      </c>
      <c r="CT139" s="191" t="str">
        <f t="shared" si="466"/>
        <v/>
      </c>
      <c r="CU139" s="152">
        <f t="shared" si="467"/>
        <v>0</v>
      </c>
      <c r="CV139" s="153">
        <f t="shared" si="468"/>
        <v>0</v>
      </c>
      <c r="CW139" s="153" t="str">
        <f t="shared" si="469"/>
        <v/>
      </c>
      <c r="CX139" s="153" t="str">
        <f t="shared" si="470"/>
        <v/>
      </c>
      <c r="CY139" s="153" t="str">
        <f t="shared" si="471"/>
        <v/>
      </c>
      <c r="CZ139" s="152" t="str">
        <f t="shared" si="472"/>
        <v/>
      </c>
      <c r="DA139" s="153" t="str">
        <f t="shared" si="473"/>
        <v/>
      </c>
      <c r="DB139" s="152" t="str">
        <f t="shared" si="474"/>
        <v/>
      </c>
      <c r="DC139" s="153">
        <f t="shared" si="475"/>
        <v>0</v>
      </c>
      <c r="DD139" s="851" t="str">
        <f>IF('Marks Entry'!AS139="","",IF(OR('Master Sheet'!$D$19="YES",'Marks Entry'!$BA$1=1),'Marks Entry'!AS139,""))</f>
        <v/>
      </c>
      <c r="DE139" s="851" t="str">
        <f>IF('Marks Entry'!AT139="","",IF(OR('Master Sheet'!$D$19="YES",'Marks Entry'!$BA$1=1),'Marks Entry'!AT139,""))</f>
        <v/>
      </c>
      <c r="DF139" s="851" t="str">
        <f>IF('Marks Entry'!AU139="","",IF(OR('Master Sheet'!$D$19="YES",'Marks Entry'!$BA$1=1),'Marks Entry'!AU139,""))</f>
        <v/>
      </c>
      <c r="DG139" s="851" t="str">
        <f>IF('Marks Entry'!AV139="","",IF(OR('Master Sheet'!$D$19="YES",'Marks Entry'!$BA$1=1),'Marks Entry'!AV139,""))</f>
        <v/>
      </c>
      <c r="DH139" s="852" t="str">
        <f t="shared" si="476"/>
        <v/>
      </c>
      <c r="DI139" s="851" t="str">
        <f>IF('Marks Entry'!AW139="","",IF(OR('Master Sheet'!$D$19="YES",'Marks Entry'!$BA$1=1),'Marks Entry'!AW139,""))</f>
        <v/>
      </c>
      <c r="DJ139" s="851" t="str">
        <f>IF('Marks Entry'!AX139="","",IF(OR('Master Sheet'!$D$19="YES",'Marks Entry'!$BA$1=1),'Marks Entry'!AX139,""))</f>
        <v/>
      </c>
      <c r="DK139" s="852" t="str">
        <f t="shared" si="477"/>
        <v/>
      </c>
      <c r="DL139" s="852" t="str">
        <f t="shared" si="478"/>
        <v/>
      </c>
      <c r="DM139" s="851" t="str">
        <f>IF('Marks Entry'!AY139="","",IF(OR('Master Sheet'!$D$19="YES",'Marks Entry'!$BA$1=1),'Marks Entry'!AY139,""))</f>
        <v/>
      </c>
      <c r="DN139" s="851" t="str">
        <f>IF('Marks Entry'!AZ139="","",IF(OR('Master Sheet'!$D$19="YES",'Marks Entry'!$BA$1=1),'Marks Entry'!AZ139,""))</f>
        <v/>
      </c>
      <c r="DO139" s="851" t="str">
        <f>IF('Marks Entry'!BA139="","",IF(OR('Master Sheet'!$D$19="YES",'Marks Entry'!$BA$1=1),'Marks Entry'!BA139,""))</f>
        <v/>
      </c>
      <c r="DP139" s="852" t="str">
        <f t="shared" si="479"/>
        <v/>
      </c>
      <c r="DQ139" s="156" t="str">
        <f t="shared" si="480"/>
        <v/>
      </c>
      <c r="DR139" s="156" t="str">
        <f t="shared" si="481"/>
        <v/>
      </c>
      <c r="DS139" s="156" t="str">
        <f t="shared" si="482"/>
        <v/>
      </c>
      <c r="DT139" s="191" t="str">
        <f t="shared" si="483"/>
        <v/>
      </c>
      <c r="DU139" s="152">
        <f t="shared" si="484"/>
        <v>0</v>
      </c>
      <c r="DV139" s="153">
        <f t="shared" si="485"/>
        <v>0</v>
      </c>
      <c r="DW139" s="153" t="str">
        <f t="shared" si="486"/>
        <v/>
      </c>
      <c r="DX139" s="153" t="str">
        <f>IF(OR($B139="NSO",$B139=0,DS139=""),"",IF(AND(DJ139="",DO139=""),"",IF('Master Sheet'!$D$19="YES",$DO$6-COUNTIF(DO139,"ML")*DO$6,DS$6-(COUNTIF(DJ139,"ML")*DJ$6)-(COUNTIF(DO139,"ML")*DO$6))))</f>
        <v/>
      </c>
      <c r="DY139" s="153" t="str">
        <f>IF(OR($B139="NSO",$B139=0),"",IF(AND(DH139="",DI139="",DM139=""),"",IF(AND('Master Sheet'!$D$19="YES",'Marks Entry'!$BA$1=1),100,IF(AND(DJ139="",DO139=""),SUM(($DQ$7+$DR$7)-(DU139+DV139)),SUM(($DQ$6+$DR$6)-(DU139+DV139))))))</f>
        <v/>
      </c>
      <c r="DZ139" s="152" t="str">
        <f t="shared" si="487"/>
        <v/>
      </c>
      <c r="EA139" s="153" t="str">
        <f t="shared" si="488"/>
        <v/>
      </c>
      <c r="EB139" s="152" t="str">
        <f t="shared" si="489"/>
        <v/>
      </c>
      <c r="EC139" s="584" t="str">
        <f>IF('Marks Entry'!BB139="","",'Marks Entry'!BB139)</f>
        <v/>
      </c>
      <c r="ED139" s="584" t="str">
        <f>IF('Marks Entry'!BC139="","",'Marks Entry'!BC139)</f>
        <v/>
      </c>
      <c r="EE139" s="584" t="str">
        <f>IF('Marks Entry'!BD139="","",'Marks Entry'!BD139)</f>
        <v/>
      </c>
      <c r="EF139" s="590" t="str">
        <f t="shared" si="490"/>
        <v/>
      </c>
      <c r="EG139" s="595">
        <f t="shared" si="491"/>
        <v>0</v>
      </c>
      <c r="EH139" s="595">
        <f t="shared" si="492"/>
        <v>0</v>
      </c>
      <c r="EI139" s="192" t="str">
        <f t="shared" si="493"/>
        <v/>
      </c>
      <c r="EJ139" s="595" t="str">
        <f t="shared" si="494"/>
        <v/>
      </c>
      <c r="EK139" s="595" t="str">
        <f t="shared" si="495"/>
        <v/>
      </c>
      <c r="EL139" s="193" t="str">
        <f t="shared" si="496"/>
        <v/>
      </c>
      <c r="EM139" s="193" t="str">
        <f t="shared" si="497"/>
        <v/>
      </c>
      <c r="EN139" s="193" t="str">
        <f t="shared" si="498"/>
        <v/>
      </c>
      <c r="EO139" s="193" t="str">
        <f t="shared" si="499"/>
        <v/>
      </c>
      <c r="EP139" s="193" t="str">
        <f t="shared" si="500"/>
        <v/>
      </c>
      <c r="EQ139" s="193" t="str">
        <f t="shared" si="501"/>
        <v/>
      </c>
      <c r="ER139" s="194">
        <f t="shared" si="502"/>
        <v>0</v>
      </c>
      <c r="ES139" s="194">
        <f t="shared" si="503"/>
        <v>0</v>
      </c>
      <c r="ET139" s="194">
        <f t="shared" si="504"/>
        <v>0</v>
      </c>
      <c r="EU139" s="194">
        <f t="shared" si="505"/>
        <v>0</v>
      </c>
      <c r="EV139" s="194">
        <f t="shared" si="506"/>
        <v>0</v>
      </c>
      <c r="EW139" s="194" t="str">
        <f t="shared" si="507"/>
        <v/>
      </c>
      <c r="EX139" s="195" t="str">
        <f t="shared" si="508"/>
        <v/>
      </c>
      <c r="EY139" s="196" t="str">
        <f>IF('Marks Entry'!BE139="","",'Marks Entry'!BE139)</f>
        <v/>
      </c>
      <c r="EZ139" s="196" t="str">
        <f>IF('Marks Entry'!BF139="","",'Marks Entry'!BF139)</f>
        <v/>
      </c>
      <c r="FA139" s="196" t="str">
        <f>IF('Marks Entry'!BG139="","",'Marks Entry'!BG139)</f>
        <v/>
      </c>
      <c r="FB139" s="596" t="str">
        <f t="shared" si="509"/>
        <v/>
      </c>
      <c r="FC139" s="196" t="str">
        <f>IF('Marks Entry'!BH139="","",'Marks Entry'!BH139)</f>
        <v/>
      </c>
      <c r="FD139" s="196" t="str">
        <f>IF('Marks Entry'!BI139="","",'Marks Entry'!BI139)</f>
        <v/>
      </c>
      <c r="FE139" s="197" t="str">
        <f t="shared" si="510"/>
        <v/>
      </c>
      <c r="FF139" s="198" t="str">
        <f t="shared" si="511"/>
        <v/>
      </c>
      <c r="FG139" s="199" t="str">
        <f>IF(AND(E139=""),"",IF('Student DATA Entry'!L135="","",'Student DATA Entry'!L135))</f>
        <v/>
      </c>
      <c r="FH139" s="200" t="str">
        <f>IF(AND(E139=""),"",IF('Student DATA Entry'!M135="","",'Student DATA Entry'!M135))</f>
        <v/>
      </c>
      <c r="FI139" s="201" t="str">
        <f t="shared" si="512"/>
        <v/>
      </c>
      <c r="FJ139" s="188" t="str">
        <f t="shared" si="513"/>
        <v/>
      </c>
      <c r="FK139" s="188" t="str">
        <f t="shared" si="514"/>
        <v/>
      </c>
      <c r="FL139" s="202" t="str">
        <f t="shared" si="383"/>
        <v/>
      </c>
      <c r="FM139" s="188" t="str">
        <f t="shared" si="515"/>
        <v/>
      </c>
      <c r="FN139" s="203" t="str">
        <f t="shared" si="516"/>
        <v/>
      </c>
      <c r="FO139" s="202" t="str">
        <f t="shared" si="384"/>
        <v/>
      </c>
      <c r="FP139" s="204" t="str">
        <f t="shared" si="517"/>
        <v/>
      </c>
      <c r="FQ139" s="188" t="str">
        <f t="shared" si="385"/>
        <v/>
      </c>
      <c r="FR139" s="188" t="str">
        <f t="shared" si="386"/>
        <v/>
      </c>
      <c r="FS139" s="188" t="str">
        <f t="shared" si="387"/>
        <v/>
      </c>
      <c r="FT139" s="188" t="str">
        <f t="shared" si="388"/>
        <v/>
      </c>
      <c r="FU139" s="188" t="str">
        <f t="shared" si="518"/>
        <v/>
      </c>
      <c r="FV139" s="205" t="str">
        <f t="shared" si="389"/>
        <v/>
      </c>
      <c r="FW139" s="204" t="str">
        <f t="shared" si="519"/>
        <v/>
      </c>
      <c r="FX139" s="188" t="str">
        <f t="shared" si="390"/>
        <v/>
      </c>
      <c r="FY139" s="188" t="str">
        <f t="shared" si="391"/>
        <v/>
      </c>
      <c r="FZ139" s="188" t="str">
        <f t="shared" si="392"/>
        <v/>
      </c>
      <c r="GA139" s="188" t="str">
        <f t="shared" si="393"/>
        <v/>
      </c>
      <c r="GB139" s="188" t="str">
        <f t="shared" si="520"/>
        <v/>
      </c>
      <c r="GC139" s="205" t="str">
        <f t="shared" si="394"/>
        <v/>
      </c>
      <c r="GD139" s="204" t="str">
        <f t="shared" si="521"/>
        <v/>
      </c>
      <c r="GE139" s="188" t="str">
        <f t="shared" si="395"/>
        <v/>
      </c>
      <c r="GF139" s="188" t="str">
        <f t="shared" si="396"/>
        <v/>
      </c>
      <c r="GG139" s="188" t="str">
        <f t="shared" si="397"/>
        <v/>
      </c>
      <c r="GH139" s="188" t="str">
        <f t="shared" si="398"/>
        <v/>
      </c>
      <c r="GI139" s="188" t="str">
        <f t="shared" si="522"/>
        <v/>
      </c>
      <c r="GJ139" s="205" t="str">
        <f t="shared" si="399"/>
        <v/>
      </c>
      <c r="GK139" s="204" t="str">
        <f t="shared" si="523"/>
        <v/>
      </c>
      <c r="GL139" s="188" t="str">
        <f t="shared" si="400"/>
        <v/>
      </c>
      <c r="GM139" s="188" t="str">
        <f t="shared" si="401"/>
        <v/>
      </c>
      <c r="GN139" s="188" t="str">
        <f t="shared" si="402"/>
        <v/>
      </c>
      <c r="GO139" s="188" t="str">
        <f t="shared" si="403"/>
        <v/>
      </c>
      <c r="GP139" s="188" t="str">
        <f t="shared" si="524"/>
        <v/>
      </c>
      <c r="GQ139" s="205" t="str">
        <f t="shared" si="404"/>
        <v/>
      </c>
      <c r="GR139" s="188" t="str">
        <f t="shared" si="525"/>
        <v/>
      </c>
      <c r="GS139" s="188" t="str">
        <f t="shared" si="526"/>
        <v/>
      </c>
      <c r="GT139" s="206" t="str">
        <f t="shared" si="527"/>
        <v xml:space="preserve">    </v>
      </c>
      <c r="GU139" s="206" t="str">
        <f t="shared" si="528"/>
        <v xml:space="preserve">    </v>
      </c>
      <c r="GV139" s="206" t="str">
        <f t="shared" si="529"/>
        <v xml:space="preserve">    </v>
      </c>
      <c r="GW139" s="206" t="str">
        <f t="shared" si="530"/>
        <v xml:space="preserve">       </v>
      </c>
      <c r="GX139" s="598" t="str">
        <f t="shared" si="531"/>
        <v xml:space="preserve">     </v>
      </c>
      <c r="GY139" s="207" t="str">
        <f t="shared" si="405"/>
        <v/>
      </c>
      <c r="GZ139" s="606" t="str">
        <f>IF(AND(Q139="",AE139="",AZ139="",BW139="",CT139=""),"",IF(AND('Master Sheet'!$D$19="YES",'Marks Entry'!$BA$1=1),SUM(Q139,AE139,AZ139,BW139,DT139),SUM(Q139,AE139,AZ139,BW139,CT139)))</f>
        <v/>
      </c>
      <c r="HA139" s="208" t="str">
        <f>IF(GZ139="","",IF(AND('Master Sheet'!$D$19="YES",'Marks Entry'!$BA$1=1),GZ139/((900)-DC139)*100,GZ139/((1000)-DC139)*100))</f>
        <v/>
      </c>
      <c r="HB139" s="611" t="str">
        <f t="shared" si="532"/>
        <v/>
      </c>
      <c r="HC139" s="609" t="str">
        <f t="shared" si="533"/>
        <v/>
      </c>
      <c r="HD139" s="610" t="str">
        <f t="shared" si="534"/>
        <v/>
      </c>
      <c r="HE139" s="209" t="str">
        <f>IFERROR(IF(OR(GY139="SUPPLEMENTARY",GY139="RE-EXAM"),'Supp. Result Entry'!AS138,""),"")</f>
        <v/>
      </c>
      <c r="HF139" s="613" t="str">
        <f t="shared" si="535"/>
        <v/>
      </c>
      <c r="HG139" s="598" t="str">
        <f t="shared" si="536"/>
        <v/>
      </c>
      <c r="HH139" s="598" t="str">
        <f>IF(AND(HE139="",HF139="",HG139=""),"",IF(OR(GY139="SUPPLEMENTARY",GY139="RE-EXAM"),'Supp. Result Entry'!AS138,GY139))</f>
        <v/>
      </c>
      <c r="HI139" s="179"/>
      <c r="HY139" s="211" t="str">
        <f>IF('Supp. Result Entry'!U138="","",'Supp. Result Entry'!$U$6)</f>
        <v/>
      </c>
      <c r="HZ139" s="212" t="str">
        <f>IF('Supp. Result Entry'!X138="","",'Supp. Result Entry'!$X$6)</f>
        <v/>
      </c>
      <c r="IA139" s="212" t="str">
        <f>IF('Supp. Result Entry'!AA138="","",'Supp. Result Entry'!$AA$6)</f>
        <v/>
      </c>
      <c r="IB139" s="212" t="str">
        <f>IF('Supp. Result Entry'!AD138="","",'Supp. Result Entry'!$AD$6)</f>
        <v/>
      </c>
      <c r="IC139" s="212" t="str">
        <f>IF('Supp. Result Entry'!AG138="","",'Supp. Result Entry'!$AG$6)</f>
        <v/>
      </c>
      <c r="ID139" s="212" t="str">
        <f>IF('Supp. Result Entry'!AJ138="","",'Supp. Result Entry'!$AJ$6)</f>
        <v/>
      </c>
      <c r="IE139" s="212" t="str">
        <f>IF('Supp. Result Entry'!V138="","",'Supp. Result Entry'!V138)</f>
        <v/>
      </c>
      <c r="IF139" s="212" t="str">
        <f>IF('Supp. Result Entry'!Y138="","",'Supp. Result Entry'!Y138)</f>
        <v/>
      </c>
      <c r="IG139" s="212" t="str">
        <f>IF('Supp. Result Entry'!AB138="","",'Supp. Result Entry'!AB138)</f>
        <v/>
      </c>
      <c r="IH139" s="212" t="str">
        <f>IF('Supp. Result Entry'!AE138="","",'Supp. Result Entry'!AE138)</f>
        <v/>
      </c>
      <c r="II139" s="212" t="str">
        <f>IF('Supp. Result Entry'!AH138="","",'Supp. Result Entry'!AH138)</f>
        <v/>
      </c>
      <c r="IJ139" s="212" t="str">
        <f>IF('Supp. Result Entry'!AK138="","",'Supp. Result Entry'!AK138)</f>
        <v/>
      </c>
      <c r="IK139" s="212" t="str">
        <f>IF('Supp. Result Entry'!W138="","",'Supp. Result Entry'!W138)</f>
        <v/>
      </c>
      <c r="IL139" s="212" t="str">
        <f>IF('Supp. Result Entry'!Z138="","",'Supp. Result Entry'!Z138)</f>
        <v/>
      </c>
      <c r="IM139" s="212" t="str">
        <f>IF('Supp. Result Entry'!AC138="","",'Supp. Result Entry'!AC138)</f>
        <v/>
      </c>
      <c r="IN139" s="212" t="str">
        <f>IF('Supp. Result Entry'!AF138="","",'Supp. Result Entry'!AF138)</f>
        <v/>
      </c>
      <c r="IO139" s="212" t="str">
        <f>IF('Supp. Result Entry'!AI138="","",'Supp. Result Entry'!AI138)</f>
        <v/>
      </c>
      <c r="IP139" s="212" t="str">
        <f>IF('Supp. Result Entry'!AL138="","",'Supp. Result Entry'!AL138)</f>
        <v/>
      </c>
      <c r="IQ139" s="212">
        <f>COUNTIF('Supp. Result Entry'!K138:Q138,"S")</f>
        <v>0</v>
      </c>
      <c r="IR139" s="212">
        <f t="shared" si="537"/>
        <v>0</v>
      </c>
      <c r="IS139" s="212">
        <f t="shared" si="538"/>
        <v>0</v>
      </c>
      <c r="IT139" s="212" t="str">
        <f t="shared" si="406"/>
        <v/>
      </c>
      <c r="IU139" s="212" t="str">
        <f t="shared" si="407"/>
        <v/>
      </c>
      <c r="IV139" s="212" t="str">
        <f t="shared" si="408"/>
        <v/>
      </c>
      <c r="IW139" s="212" t="str">
        <f t="shared" si="409"/>
        <v/>
      </c>
      <c r="IX139" s="212" t="str">
        <f t="shared" si="410"/>
        <v/>
      </c>
      <c r="IY139" s="212" t="str">
        <f t="shared" si="539"/>
        <v/>
      </c>
      <c r="IZ139" s="212" t="str">
        <f t="shared" si="540"/>
        <v/>
      </c>
      <c r="JA139" s="212" t="str">
        <f t="shared" si="411"/>
        <v/>
      </c>
      <c r="JB139" s="210" t="str">
        <f t="shared" si="541"/>
        <v/>
      </c>
    </row>
    <row r="140" spans="1:262" s="210" customFormat="1" ht="21" customHeight="1">
      <c r="A140" s="183">
        <v>133</v>
      </c>
      <c r="B140" s="184" t="str">
        <f>IF('Marks Entry'!B140="","",'Marks Entry'!B140)</f>
        <v/>
      </c>
      <c r="C140" s="185" t="str">
        <f>IF('Marks Entry'!D140="","",'Marks Entry'!D140)</f>
        <v/>
      </c>
      <c r="D140" s="186" t="str">
        <f>IF('Marks Entry'!E140="","",'Marks Entry'!E140)</f>
        <v/>
      </c>
      <c r="E140" s="187" t="str">
        <f>IF('Marks Entry'!F140="","",'Marks Entry'!F140)</f>
        <v/>
      </c>
      <c r="F140" s="187" t="str">
        <f>IF('Marks Entry'!G140="","",'Marks Entry'!G140)</f>
        <v/>
      </c>
      <c r="G140" s="187" t="str">
        <f>IF('Marks Entry'!H140="","",'Marks Entry'!H140)</f>
        <v/>
      </c>
      <c r="H140" s="188" t="str">
        <f>IF('Marks Entry'!I140="","",'Marks Entry'!I140)</f>
        <v/>
      </c>
      <c r="I140" s="189" t="str">
        <f>IF('Marks Entry'!J140="","",'Marks Entry'!J140)</f>
        <v/>
      </c>
      <c r="J140" s="545" t="str">
        <f>IF('Marks Entry'!K140="","",'Marks Entry'!K140)</f>
        <v/>
      </c>
      <c r="K140" s="545" t="str">
        <f>IF('Marks Entry'!L140="","",'Marks Entry'!L140)</f>
        <v/>
      </c>
      <c r="L140" s="545" t="str">
        <f>IF('Marks Entry'!M140="","",'Marks Entry'!M140)</f>
        <v/>
      </c>
      <c r="M140" s="546" t="str">
        <f t="shared" si="412"/>
        <v/>
      </c>
      <c r="N140" s="545" t="str">
        <f>IF('Marks Entry'!N140="","",'Marks Entry'!N140)</f>
        <v/>
      </c>
      <c r="O140" s="546" t="str">
        <f t="shared" si="413"/>
        <v/>
      </c>
      <c r="P140" s="545" t="str">
        <f>IF('Marks Entry'!O140="","",'Marks Entry'!O140)</f>
        <v/>
      </c>
      <c r="Q140" s="547" t="str">
        <f t="shared" si="414"/>
        <v/>
      </c>
      <c r="R140" s="152">
        <f t="shared" si="415"/>
        <v>0</v>
      </c>
      <c r="S140" s="152">
        <f t="shared" si="416"/>
        <v>0</v>
      </c>
      <c r="T140" s="153" t="str">
        <f t="shared" si="417"/>
        <v/>
      </c>
      <c r="U140" s="152" t="str">
        <f t="shared" si="418"/>
        <v/>
      </c>
      <c r="V140" s="152" t="str">
        <f t="shared" si="419"/>
        <v/>
      </c>
      <c r="W140" s="152" t="str">
        <f t="shared" si="420"/>
        <v/>
      </c>
      <c r="X140" s="545" t="str">
        <f>IF('Marks Entry'!P140="","",'Marks Entry'!P140)</f>
        <v/>
      </c>
      <c r="Y140" s="545" t="str">
        <f>IF('Marks Entry'!Q140="","",'Marks Entry'!Q140)</f>
        <v/>
      </c>
      <c r="Z140" s="545" t="str">
        <f>IF('Marks Entry'!R140="","",'Marks Entry'!R140)</f>
        <v/>
      </c>
      <c r="AA140" s="546" t="str">
        <f t="shared" si="421"/>
        <v/>
      </c>
      <c r="AB140" s="545" t="str">
        <f>IF('Marks Entry'!S140="","",'Marks Entry'!S140)</f>
        <v/>
      </c>
      <c r="AC140" s="546" t="str">
        <f t="shared" si="422"/>
        <v/>
      </c>
      <c r="AD140" s="545" t="str">
        <f>IF('Marks Entry'!T140="","",'Marks Entry'!T140)</f>
        <v/>
      </c>
      <c r="AE140" s="547" t="str">
        <f t="shared" si="423"/>
        <v/>
      </c>
      <c r="AF140" s="152">
        <f t="shared" si="424"/>
        <v>0</v>
      </c>
      <c r="AG140" s="152">
        <f t="shared" si="425"/>
        <v>0</v>
      </c>
      <c r="AH140" s="153" t="str">
        <f t="shared" si="426"/>
        <v/>
      </c>
      <c r="AI140" s="152" t="str">
        <f t="shared" si="427"/>
        <v/>
      </c>
      <c r="AJ140" s="152" t="str">
        <f t="shared" si="428"/>
        <v/>
      </c>
      <c r="AK140" s="152" t="str">
        <f t="shared" si="429"/>
        <v/>
      </c>
      <c r="AL140" s="573" t="str">
        <f>IF('Marks Entry'!U140="","",'Marks Entry'!U140)</f>
        <v/>
      </c>
      <c r="AM140" s="573" t="str">
        <f>IF('Marks Entry'!V140="","",'Marks Entry'!V140)</f>
        <v/>
      </c>
      <c r="AN140" s="573" t="str">
        <f>IF('Marks Entry'!W140="","",'Marks Entry'!W140)</f>
        <v/>
      </c>
      <c r="AO140" s="573" t="str">
        <f>IF('Marks Entry'!X140="","",'Marks Entry'!X140)</f>
        <v/>
      </c>
      <c r="AP140" s="572" t="str">
        <f t="shared" si="430"/>
        <v/>
      </c>
      <c r="AQ140" s="573" t="str">
        <f>IF('Marks Entry'!Y140="","",'Marks Entry'!Y140)</f>
        <v/>
      </c>
      <c r="AR140" s="573" t="str">
        <f>IF('Marks Entry'!Z140="","",'Marks Entry'!Z140)</f>
        <v/>
      </c>
      <c r="AS140" s="572" t="str">
        <f t="shared" si="431"/>
        <v/>
      </c>
      <c r="AT140" s="572" t="str">
        <f t="shared" si="432"/>
        <v/>
      </c>
      <c r="AU140" s="573" t="str">
        <f>IF('Marks Entry'!AA140="","",'Marks Entry'!AA140)</f>
        <v/>
      </c>
      <c r="AV140" s="573" t="str">
        <f>IF('Marks Entry'!AB140="","",'Marks Entry'!AB140)</f>
        <v/>
      </c>
      <c r="AW140" s="572" t="str">
        <f t="shared" si="433"/>
        <v/>
      </c>
      <c r="AX140" s="156" t="str">
        <f t="shared" si="434"/>
        <v/>
      </c>
      <c r="AY140" s="156" t="str">
        <f t="shared" si="435"/>
        <v/>
      </c>
      <c r="AZ140" s="191" t="str">
        <f t="shared" si="436"/>
        <v/>
      </c>
      <c r="BA140" s="152">
        <f t="shared" si="437"/>
        <v>0</v>
      </c>
      <c r="BB140" s="153">
        <f t="shared" si="438"/>
        <v>0</v>
      </c>
      <c r="BC140" s="153" t="str">
        <f t="shared" si="439"/>
        <v/>
      </c>
      <c r="BD140" s="153" t="str">
        <f t="shared" si="440"/>
        <v/>
      </c>
      <c r="BE140" s="153" t="str">
        <f t="shared" si="441"/>
        <v/>
      </c>
      <c r="BF140" s="152" t="str">
        <f t="shared" si="442"/>
        <v/>
      </c>
      <c r="BG140" s="153" t="str">
        <f t="shared" si="443"/>
        <v/>
      </c>
      <c r="BH140" s="152" t="str">
        <f t="shared" si="444"/>
        <v/>
      </c>
      <c r="BI140" s="580" t="str">
        <f>IF('Marks Entry'!AC140="","",'Marks Entry'!AC140)</f>
        <v/>
      </c>
      <c r="BJ140" s="580" t="str">
        <f>IF('Marks Entry'!AD140="","",'Marks Entry'!AD140)</f>
        <v/>
      </c>
      <c r="BK140" s="580" t="str">
        <f>IF('Marks Entry'!AE140="","",'Marks Entry'!AE140)</f>
        <v/>
      </c>
      <c r="BL140" s="580" t="str">
        <f>IF('Marks Entry'!AF140="","",'Marks Entry'!AF140)</f>
        <v/>
      </c>
      <c r="BM140" s="581" t="str">
        <f t="shared" si="445"/>
        <v/>
      </c>
      <c r="BN140" s="580" t="str">
        <f>IF('Marks Entry'!AG140="","",'Marks Entry'!AG140)</f>
        <v/>
      </c>
      <c r="BO140" s="580" t="str">
        <f>IF('Marks Entry'!AH140="","",'Marks Entry'!AH140)</f>
        <v/>
      </c>
      <c r="BP140" s="581" t="str">
        <f t="shared" si="446"/>
        <v/>
      </c>
      <c r="BQ140" s="581" t="str">
        <f t="shared" si="447"/>
        <v/>
      </c>
      <c r="BR140" s="580" t="str">
        <f>IF('Marks Entry'!AI140="","",'Marks Entry'!AI140)</f>
        <v/>
      </c>
      <c r="BS140" s="580" t="str">
        <f>IF('Marks Entry'!AJ140="","",'Marks Entry'!AJ140)</f>
        <v/>
      </c>
      <c r="BT140" s="581" t="str">
        <f t="shared" si="448"/>
        <v/>
      </c>
      <c r="BU140" s="156" t="str">
        <f t="shared" si="449"/>
        <v/>
      </c>
      <c r="BV140" s="156" t="str">
        <f t="shared" si="450"/>
        <v/>
      </c>
      <c r="BW140" s="191" t="str">
        <f t="shared" si="451"/>
        <v/>
      </c>
      <c r="BX140" s="152">
        <f t="shared" si="452"/>
        <v>0</v>
      </c>
      <c r="BY140" s="153">
        <f t="shared" si="453"/>
        <v>0</v>
      </c>
      <c r="BZ140" s="153" t="str">
        <f t="shared" si="454"/>
        <v/>
      </c>
      <c r="CA140" s="153" t="str">
        <f t="shared" si="455"/>
        <v/>
      </c>
      <c r="CB140" s="153" t="str">
        <f t="shared" si="456"/>
        <v/>
      </c>
      <c r="CC140" s="152" t="str">
        <f t="shared" si="457"/>
        <v/>
      </c>
      <c r="CD140" s="153" t="str">
        <f t="shared" si="458"/>
        <v/>
      </c>
      <c r="CE140" s="152" t="str">
        <f t="shared" si="459"/>
        <v/>
      </c>
      <c r="CF140" s="580" t="str">
        <f>IF('Marks Entry'!AK140="","",'Marks Entry'!AK140)</f>
        <v/>
      </c>
      <c r="CG140" s="580" t="str">
        <f>IF('Marks Entry'!AL140="","",'Marks Entry'!AL140)</f>
        <v/>
      </c>
      <c r="CH140" s="580" t="str">
        <f>IF('Marks Entry'!AM140="","",'Marks Entry'!AM140)</f>
        <v/>
      </c>
      <c r="CI140" s="580" t="str">
        <f>IF('Marks Entry'!AN140="","",'Marks Entry'!AN140)</f>
        <v/>
      </c>
      <c r="CJ140" s="581" t="str">
        <f t="shared" si="460"/>
        <v/>
      </c>
      <c r="CK140" s="580" t="str">
        <f>IF('Marks Entry'!AO140="","",'Marks Entry'!AO140)</f>
        <v/>
      </c>
      <c r="CL140" s="580" t="str">
        <f>IF('Marks Entry'!AP140="","",'Marks Entry'!AP140)</f>
        <v/>
      </c>
      <c r="CM140" s="581" t="str">
        <f t="shared" si="461"/>
        <v/>
      </c>
      <c r="CN140" s="581" t="str">
        <f t="shared" si="462"/>
        <v/>
      </c>
      <c r="CO140" s="580" t="str">
        <f>IF('Marks Entry'!AQ140="","",'Marks Entry'!AQ140)</f>
        <v/>
      </c>
      <c r="CP140" s="580" t="str">
        <f>IF('Marks Entry'!AR140="","",'Marks Entry'!AR140)</f>
        <v/>
      </c>
      <c r="CQ140" s="581" t="str">
        <f t="shared" si="463"/>
        <v/>
      </c>
      <c r="CR140" s="156" t="str">
        <f t="shared" si="464"/>
        <v/>
      </c>
      <c r="CS140" s="156" t="str">
        <f t="shared" si="465"/>
        <v/>
      </c>
      <c r="CT140" s="191" t="str">
        <f t="shared" si="466"/>
        <v/>
      </c>
      <c r="CU140" s="152">
        <f t="shared" si="467"/>
        <v>0</v>
      </c>
      <c r="CV140" s="153">
        <f t="shared" si="468"/>
        <v>0</v>
      </c>
      <c r="CW140" s="153" t="str">
        <f t="shared" si="469"/>
        <v/>
      </c>
      <c r="CX140" s="153" t="str">
        <f t="shared" si="470"/>
        <v/>
      </c>
      <c r="CY140" s="153" t="str">
        <f t="shared" si="471"/>
        <v/>
      </c>
      <c r="CZ140" s="152" t="str">
        <f t="shared" si="472"/>
        <v/>
      </c>
      <c r="DA140" s="153" t="str">
        <f t="shared" si="473"/>
        <v/>
      </c>
      <c r="DB140" s="152" t="str">
        <f t="shared" si="474"/>
        <v/>
      </c>
      <c r="DC140" s="153">
        <f t="shared" si="475"/>
        <v>0</v>
      </c>
      <c r="DD140" s="851" t="str">
        <f>IF('Marks Entry'!AS140="","",IF(OR('Master Sheet'!$D$19="YES",'Marks Entry'!$BA$1=1),'Marks Entry'!AS140,""))</f>
        <v/>
      </c>
      <c r="DE140" s="851" t="str">
        <f>IF('Marks Entry'!AT140="","",IF(OR('Master Sheet'!$D$19="YES",'Marks Entry'!$BA$1=1),'Marks Entry'!AT140,""))</f>
        <v/>
      </c>
      <c r="DF140" s="851" t="str">
        <f>IF('Marks Entry'!AU140="","",IF(OR('Master Sheet'!$D$19="YES",'Marks Entry'!$BA$1=1),'Marks Entry'!AU140,""))</f>
        <v/>
      </c>
      <c r="DG140" s="851" t="str">
        <f>IF('Marks Entry'!AV140="","",IF(OR('Master Sheet'!$D$19="YES",'Marks Entry'!$BA$1=1),'Marks Entry'!AV140,""))</f>
        <v/>
      </c>
      <c r="DH140" s="852" t="str">
        <f t="shared" si="476"/>
        <v/>
      </c>
      <c r="DI140" s="851" t="str">
        <f>IF('Marks Entry'!AW140="","",IF(OR('Master Sheet'!$D$19="YES",'Marks Entry'!$BA$1=1),'Marks Entry'!AW140,""))</f>
        <v/>
      </c>
      <c r="DJ140" s="851" t="str">
        <f>IF('Marks Entry'!AX140="","",IF(OR('Master Sheet'!$D$19="YES",'Marks Entry'!$BA$1=1),'Marks Entry'!AX140,""))</f>
        <v/>
      </c>
      <c r="DK140" s="852" t="str">
        <f t="shared" si="477"/>
        <v/>
      </c>
      <c r="DL140" s="852" t="str">
        <f t="shared" si="478"/>
        <v/>
      </c>
      <c r="DM140" s="851" t="str">
        <f>IF('Marks Entry'!AY140="","",IF(OR('Master Sheet'!$D$19="YES",'Marks Entry'!$BA$1=1),'Marks Entry'!AY140,""))</f>
        <v/>
      </c>
      <c r="DN140" s="851" t="str">
        <f>IF('Marks Entry'!AZ140="","",IF(OR('Master Sheet'!$D$19="YES",'Marks Entry'!$BA$1=1),'Marks Entry'!AZ140,""))</f>
        <v/>
      </c>
      <c r="DO140" s="851" t="str">
        <f>IF('Marks Entry'!BA140="","",IF(OR('Master Sheet'!$D$19="YES",'Marks Entry'!$BA$1=1),'Marks Entry'!BA140,""))</f>
        <v/>
      </c>
      <c r="DP140" s="852" t="str">
        <f t="shared" si="479"/>
        <v/>
      </c>
      <c r="DQ140" s="156" t="str">
        <f t="shared" si="480"/>
        <v/>
      </c>
      <c r="DR140" s="156" t="str">
        <f t="shared" si="481"/>
        <v/>
      </c>
      <c r="DS140" s="156" t="str">
        <f t="shared" si="482"/>
        <v/>
      </c>
      <c r="DT140" s="191" t="str">
        <f t="shared" si="483"/>
        <v/>
      </c>
      <c r="DU140" s="152">
        <f t="shared" si="484"/>
        <v>0</v>
      </c>
      <c r="DV140" s="153">
        <f t="shared" si="485"/>
        <v>0</v>
      </c>
      <c r="DW140" s="153" t="str">
        <f t="shared" si="486"/>
        <v/>
      </c>
      <c r="DX140" s="153" t="str">
        <f>IF(OR($B140="NSO",$B140=0,DS140=""),"",IF(AND(DJ140="",DO140=""),"",IF('Master Sheet'!$D$19="YES",$DO$6-COUNTIF(DO140,"ML")*DO$6,DS$6-(COUNTIF(DJ140,"ML")*DJ$6)-(COUNTIF(DO140,"ML")*DO$6))))</f>
        <v/>
      </c>
      <c r="DY140" s="153" t="str">
        <f>IF(OR($B140="NSO",$B140=0),"",IF(AND(DH140="",DI140="",DM140=""),"",IF(AND('Master Sheet'!$D$19="YES",'Marks Entry'!$BA$1=1),100,IF(AND(DJ140="",DO140=""),SUM(($DQ$7+$DR$7)-(DU140+DV140)),SUM(($DQ$6+$DR$6)-(DU140+DV140))))))</f>
        <v/>
      </c>
      <c r="DZ140" s="152" t="str">
        <f t="shared" si="487"/>
        <v/>
      </c>
      <c r="EA140" s="153" t="str">
        <f t="shared" si="488"/>
        <v/>
      </c>
      <c r="EB140" s="152" t="str">
        <f t="shared" si="489"/>
        <v/>
      </c>
      <c r="EC140" s="584" t="str">
        <f>IF('Marks Entry'!BB140="","",'Marks Entry'!BB140)</f>
        <v/>
      </c>
      <c r="ED140" s="584" t="str">
        <f>IF('Marks Entry'!BC140="","",'Marks Entry'!BC140)</f>
        <v/>
      </c>
      <c r="EE140" s="584" t="str">
        <f>IF('Marks Entry'!BD140="","",'Marks Entry'!BD140)</f>
        <v/>
      </c>
      <c r="EF140" s="590" t="str">
        <f t="shared" si="490"/>
        <v/>
      </c>
      <c r="EG140" s="595">
        <f t="shared" si="491"/>
        <v>0</v>
      </c>
      <c r="EH140" s="595">
        <f t="shared" si="492"/>
        <v>0</v>
      </c>
      <c r="EI140" s="192" t="str">
        <f t="shared" si="493"/>
        <v/>
      </c>
      <c r="EJ140" s="595" t="str">
        <f t="shared" si="494"/>
        <v/>
      </c>
      <c r="EK140" s="595" t="str">
        <f t="shared" si="495"/>
        <v/>
      </c>
      <c r="EL140" s="193" t="str">
        <f t="shared" si="496"/>
        <v/>
      </c>
      <c r="EM140" s="193" t="str">
        <f t="shared" si="497"/>
        <v/>
      </c>
      <c r="EN140" s="193" t="str">
        <f t="shared" si="498"/>
        <v/>
      </c>
      <c r="EO140" s="193" t="str">
        <f t="shared" si="499"/>
        <v/>
      </c>
      <c r="EP140" s="193" t="str">
        <f t="shared" si="500"/>
        <v/>
      </c>
      <c r="EQ140" s="193" t="str">
        <f t="shared" si="501"/>
        <v/>
      </c>
      <c r="ER140" s="194">
        <f t="shared" si="502"/>
        <v>0</v>
      </c>
      <c r="ES140" s="194">
        <f t="shared" si="503"/>
        <v>0</v>
      </c>
      <c r="ET140" s="194">
        <f t="shared" si="504"/>
        <v>0</v>
      </c>
      <c r="EU140" s="194">
        <f t="shared" si="505"/>
        <v>0</v>
      </c>
      <c r="EV140" s="194">
        <f t="shared" si="506"/>
        <v>0</v>
      </c>
      <c r="EW140" s="194" t="str">
        <f t="shared" si="507"/>
        <v/>
      </c>
      <c r="EX140" s="195" t="str">
        <f t="shared" si="508"/>
        <v/>
      </c>
      <c r="EY140" s="196" t="str">
        <f>IF('Marks Entry'!BE140="","",'Marks Entry'!BE140)</f>
        <v/>
      </c>
      <c r="EZ140" s="196" t="str">
        <f>IF('Marks Entry'!BF140="","",'Marks Entry'!BF140)</f>
        <v/>
      </c>
      <c r="FA140" s="196" t="str">
        <f>IF('Marks Entry'!BG140="","",'Marks Entry'!BG140)</f>
        <v/>
      </c>
      <c r="FB140" s="596" t="str">
        <f t="shared" si="509"/>
        <v/>
      </c>
      <c r="FC140" s="196" t="str">
        <f>IF('Marks Entry'!BH140="","",'Marks Entry'!BH140)</f>
        <v/>
      </c>
      <c r="FD140" s="196" t="str">
        <f>IF('Marks Entry'!BI140="","",'Marks Entry'!BI140)</f>
        <v/>
      </c>
      <c r="FE140" s="197" t="str">
        <f t="shared" si="510"/>
        <v/>
      </c>
      <c r="FF140" s="198" t="str">
        <f t="shared" si="511"/>
        <v/>
      </c>
      <c r="FG140" s="199" t="str">
        <f>IF(AND(E140=""),"",IF('Student DATA Entry'!L136="","",'Student DATA Entry'!L136))</f>
        <v/>
      </c>
      <c r="FH140" s="200" t="str">
        <f>IF(AND(E140=""),"",IF('Student DATA Entry'!M136="","",'Student DATA Entry'!M136))</f>
        <v/>
      </c>
      <c r="FI140" s="201" t="str">
        <f t="shared" si="512"/>
        <v/>
      </c>
      <c r="FJ140" s="188" t="str">
        <f t="shared" si="513"/>
        <v/>
      </c>
      <c r="FK140" s="188" t="str">
        <f t="shared" si="514"/>
        <v/>
      </c>
      <c r="FL140" s="202" t="str">
        <f t="shared" si="383"/>
        <v/>
      </c>
      <c r="FM140" s="188" t="str">
        <f t="shared" si="515"/>
        <v/>
      </c>
      <c r="FN140" s="203" t="str">
        <f t="shared" si="516"/>
        <v/>
      </c>
      <c r="FO140" s="202" t="str">
        <f t="shared" si="384"/>
        <v/>
      </c>
      <c r="FP140" s="204" t="str">
        <f t="shared" si="517"/>
        <v/>
      </c>
      <c r="FQ140" s="188" t="str">
        <f t="shared" si="385"/>
        <v/>
      </c>
      <c r="FR140" s="188" t="str">
        <f t="shared" si="386"/>
        <v/>
      </c>
      <c r="FS140" s="188" t="str">
        <f t="shared" si="387"/>
        <v/>
      </c>
      <c r="FT140" s="188" t="str">
        <f t="shared" si="388"/>
        <v/>
      </c>
      <c r="FU140" s="188" t="str">
        <f t="shared" si="518"/>
        <v/>
      </c>
      <c r="FV140" s="205" t="str">
        <f t="shared" si="389"/>
        <v/>
      </c>
      <c r="FW140" s="204" t="str">
        <f t="shared" si="519"/>
        <v/>
      </c>
      <c r="FX140" s="188" t="str">
        <f t="shared" si="390"/>
        <v/>
      </c>
      <c r="FY140" s="188" t="str">
        <f t="shared" si="391"/>
        <v/>
      </c>
      <c r="FZ140" s="188" t="str">
        <f t="shared" si="392"/>
        <v/>
      </c>
      <c r="GA140" s="188" t="str">
        <f t="shared" si="393"/>
        <v/>
      </c>
      <c r="GB140" s="188" t="str">
        <f t="shared" si="520"/>
        <v/>
      </c>
      <c r="GC140" s="205" t="str">
        <f t="shared" si="394"/>
        <v/>
      </c>
      <c r="GD140" s="204" t="str">
        <f t="shared" si="521"/>
        <v/>
      </c>
      <c r="GE140" s="188" t="str">
        <f t="shared" si="395"/>
        <v/>
      </c>
      <c r="GF140" s="188" t="str">
        <f t="shared" si="396"/>
        <v/>
      </c>
      <c r="GG140" s="188" t="str">
        <f t="shared" si="397"/>
        <v/>
      </c>
      <c r="GH140" s="188" t="str">
        <f t="shared" si="398"/>
        <v/>
      </c>
      <c r="GI140" s="188" t="str">
        <f t="shared" si="522"/>
        <v/>
      </c>
      <c r="GJ140" s="205" t="str">
        <f t="shared" si="399"/>
        <v/>
      </c>
      <c r="GK140" s="204" t="str">
        <f t="shared" si="523"/>
        <v/>
      </c>
      <c r="GL140" s="188" t="str">
        <f t="shared" si="400"/>
        <v/>
      </c>
      <c r="GM140" s="188" t="str">
        <f t="shared" si="401"/>
        <v/>
      </c>
      <c r="GN140" s="188" t="str">
        <f t="shared" si="402"/>
        <v/>
      </c>
      <c r="GO140" s="188" t="str">
        <f t="shared" si="403"/>
        <v/>
      </c>
      <c r="GP140" s="188" t="str">
        <f t="shared" si="524"/>
        <v/>
      </c>
      <c r="GQ140" s="205" t="str">
        <f t="shared" si="404"/>
        <v/>
      </c>
      <c r="GR140" s="188" t="str">
        <f t="shared" si="525"/>
        <v/>
      </c>
      <c r="GS140" s="188" t="str">
        <f t="shared" si="526"/>
        <v/>
      </c>
      <c r="GT140" s="206" t="str">
        <f t="shared" si="527"/>
        <v xml:space="preserve">    </v>
      </c>
      <c r="GU140" s="206" t="str">
        <f t="shared" si="528"/>
        <v xml:space="preserve">    </v>
      </c>
      <c r="GV140" s="206" t="str">
        <f t="shared" si="529"/>
        <v xml:space="preserve">    </v>
      </c>
      <c r="GW140" s="206" t="str">
        <f t="shared" si="530"/>
        <v xml:space="preserve">       </v>
      </c>
      <c r="GX140" s="598" t="str">
        <f t="shared" si="531"/>
        <v xml:space="preserve">     </v>
      </c>
      <c r="GY140" s="207" t="str">
        <f t="shared" si="405"/>
        <v/>
      </c>
      <c r="GZ140" s="606" t="str">
        <f>IF(AND(Q140="",AE140="",AZ140="",BW140="",CT140=""),"",IF(AND('Master Sheet'!$D$19="YES",'Marks Entry'!$BA$1=1),SUM(Q140,AE140,AZ140,BW140,DT140),SUM(Q140,AE140,AZ140,BW140,CT140)))</f>
        <v/>
      </c>
      <c r="HA140" s="208" t="str">
        <f>IF(GZ140="","",IF(AND('Master Sheet'!$D$19="YES",'Marks Entry'!$BA$1=1),GZ140/((900)-DC140)*100,GZ140/((1000)-DC140)*100))</f>
        <v/>
      </c>
      <c r="HB140" s="611" t="str">
        <f t="shared" si="532"/>
        <v/>
      </c>
      <c r="HC140" s="609" t="str">
        <f t="shared" si="533"/>
        <v/>
      </c>
      <c r="HD140" s="610" t="str">
        <f t="shared" si="534"/>
        <v/>
      </c>
      <c r="HE140" s="209" t="str">
        <f>IFERROR(IF(OR(GY140="SUPPLEMENTARY",GY140="RE-EXAM"),'Supp. Result Entry'!AS139,""),"")</f>
        <v/>
      </c>
      <c r="HF140" s="613" t="str">
        <f t="shared" si="535"/>
        <v/>
      </c>
      <c r="HG140" s="598" t="str">
        <f t="shared" si="536"/>
        <v/>
      </c>
      <c r="HH140" s="598" t="str">
        <f>IF(AND(HE140="",HF140="",HG140=""),"",IF(OR(GY140="SUPPLEMENTARY",GY140="RE-EXAM"),'Supp. Result Entry'!AS139,GY140))</f>
        <v/>
      </c>
      <c r="HI140" s="179"/>
      <c r="HY140" s="211" t="str">
        <f>IF('Supp. Result Entry'!U139="","",'Supp. Result Entry'!$U$6)</f>
        <v/>
      </c>
      <c r="HZ140" s="212" t="str">
        <f>IF('Supp. Result Entry'!X139="","",'Supp. Result Entry'!$X$6)</f>
        <v/>
      </c>
      <c r="IA140" s="212" t="str">
        <f>IF('Supp. Result Entry'!AA139="","",'Supp. Result Entry'!$AA$6)</f>
        <v/>
      </c>
      <c r="IB140" s="212" t="str">
        <f>IF('Supp. Result Entry'!AD139="","",'Supp. Result Entry'!$AD$6)</f>
        <v/>
      </c>
      <c r="IC140" s="212" t="str">
        <f>IF('Supp. Result Entry'!AG139="","",'Supp. Result Entry'!$AG$6)</f>
        <v/>
      </c>
      <c r="ID140" s="212" t="str">
        <f>IF('Supp. Result Entry'!AJ139="","",'Supp. Result Entry'!$AJ$6)</f>
        <v/>
      </c>
      <c r="IE140" s="212" t="str">
        <f>IF('Supp. Result Entry'!V139="","",'Supp. Result Entry'!V139)</f>
        <v/>
      </c>
      <c r="IF140" s="212" t="str">
        <f>IF('Supp. Result Entry'!Y139="","",'Supp. Result Entry'!Y139)</f>
        <v/>
      </c>
      <c r="IG140" s="212" t="str">
        <f>IF('Supp. Result Entry'!AB139="","",'Supp. Result Entry'!AB139)</f>
        <v/>
      </c>
      <c r="IH140" s="212" t="str">
        <f>IF('Supp. Result Entry'!AE139="","",'Supp. Result Entry'!AE139)</f>
        <v/>
      </c>
      <c r="II140" s="212" t="str">
        <f>IF('Supp. Result Entry'!AH139="","",'Supp. Result Entry'!AH139)</f>
        <v/>
      </c>
      <c r="IJ140" s="212" t="str">
        <f>IF('Supp. Result Entry'!AK139="","",'Supp. Result Entry'!AK139)</f>
        <v/>
      </c>
      <c r="IK140" s="212" t="str">
        <f>IF('Supp. Result Entry'!W139="","",'Supp. Result Entry'!W139)</f>
        <v/>
      </c>
      <c r="IL140" s="212" t="str">
        <f>IF('Supp. Result Entry'!Z139="","",'Supp. Result Entry'!Z139)</f>
        <v/>
      </c>
      <c r="IM140" s="212" t="str">
        <f>IF('Supp. Result Entry'!AC139="","",'Supp. Result Entry'!AC139)</f>
        <v/>
      </c>
      <c r="IN140" s="212" t="str">
        <f>IF('Supp. Result Entry'!AF139="","",'Supp. Result Entry'!AF139)</f>
        <v/>
      </c>
      <c r="IO140" s="212" t="str">
        <f>IF('Supp. Result Entry'!AI139="","",'Supp. Result Entry'!AI139)</f>
        <v/>
      </c>
      <c r="IP140" s="212" t="str">
        <f>IF('Supp. Result Entry'!AL139="","",'Supp. Result Entry'!AL139)</f>
        <v/>
      </c>
      <c r="IQ140" s="212">
        <f>COUNTIF('Supp. Result Entry'!K139:Q139,"S")</f>
        <v>0</v>
      </c>
      <c r="IR140" s="212">
        <f t="shared" si="537"/>
        <v>0</v>
      </c>
      <c r="IS140" s="212">
        <f t="shared" si="538"/>
        <v>0</v>
      </c>
      <c r="IT140" s="212" t="str">
        <f t="shared" si="406"/>
        <v/>
      </c>
      <c r="IU140" s="212" t="str">
        <f t="shared" si="407"/>
        <v/>
      </c>
      <c r="IV140" s="212" t="str">
        <f t="shared" si="408"/>
        <v/>
      </c>
      <c r="IW140" s="212" t="str">
        <f t="shared" si="409"/>
        <v/>
      </c>
      <c r="IX140" s="212" t="str">
        <f t="shared" si="410"/>
        <v/>
      </c>
      <c r="IY140" s="212" t="str">
        <f t="shared" si="539"/>
        <v/>
      </c>
      <c r="IZ140" s="212" t="str">
        <f t="shared" si="540"/>
        <v/>
      </c>
      <c r="JA140" s="212" t="str">
        <f t="shared" si="411"/>
        <v/>
      </c>
      <c r="JB140" s="210" t="str">
        <f t="shared" si="541"/>
        <v/>
      </c>
    </row>
    <row r="141" spans="1:262" s="210" customFormat="1" ht="21" customHeight="1">
      <c r="A141" s="183">
        <v>134</v>
      </c>
      <c r="B141" s="184" t="str">
        <f>IF('Marks Entry'!B141="","",'Marks Entry'!B141)</f>
        <v/>
      </c>
      <c r="C141" s="185" t="str">
        <f>IF('Marks Entry'!D141="","",'Marks Entry'!D141)</f>
        <v/>
      </c>
      <c r="D141" s="186" t="str">
        <f>IF('Marks Entry'!E141="","",'Marks Entry'!E141)</f>
        <v/>
      </c>
      <c r="E141" s="187" t="str">
        <f>IF('Marks Entry'!F141="","",'Marks Entry'!F141)</f>
        <v/>
      </c>
      <c r="F141" s="187" t="str">
        <f>IF('Marks Entry'!G141="","",'Marks Entry'!G141)</f>
        <v/>
      </c>
      <c r="G141" s="187" t="str">
        <f>IF('Marks Entry'!H141="","",'Marks Entry'!H141)</f>
        <v/>
      </c>
      <c r="H141" s="188" t="str">
        <f>IF('Marks Entry'!I141="","",'Marks Entry'!I141)</f>
        <v/>
      </c>
      <c r="I141" s="189" t="str">
        <f>IF('Marks Entry'!J141="","",'Marks Entry'!J141)</f>
        <v/>
      </c>
      <c r="J141" s="545" t="str">
        <f>IF('Marks Entry'!K141="","",'Marks Entry'!K141)</f>
        <v/>
      </c>
      <c r="K141" s="545" t="str">
        <f>IF('Marks Entry'!L141="","",'Marks Entry'!L141)</f>
        <v/>
      </c>
      <c r="L141" s="545" t="str">
        <f>IF('Marks Entry'!M141="","",'Marks Entry'!M141)</f>
        <v/>
      </c>
      <c r="M141" s="546" t="str">
        <f t="shared" si="412"/>
        <v/>
      </c>
      <c r="N141" s="545" t="str">
        <f>IF('Marks Entry'!N141="","",'Marks Entry'!N141)</f>
        <v/>
      </c>
      <c r="O141" s="546" t="str">
        <f t="shared" si="413"/>
        <v/>
      </c>
      <c r="P141" s="545" t="str">
        <f>IF('Marks Entry'!O141="","",'Marks Entry'!O141)</f>
        <v/>
      </c>
      <c r="Q141" s="547" t="str">
        <f t="shared" si="414"/>
        <v/>
      </c>
      <c r="R141" s="152">
        <f t="shared" si="415"/>
        <v>0</v>
      </c>
      <c r="S141" s="152">
        <f t="shared" si="416"/>
        <v>0</v>
      </c>
      <c r="T141" s="153" t="str">
        <f t="shared" si="417"/>
        <v/>
      </c>
      <c r="U141" s="152" t="str">
        <f t="shared" si="418"/>
        <v/>
      </c>
      <c r="V141" s="152" t="str">
        <f t="shared" si="419"/>
        <v/>
      </c>
      <c r="W141" s="152" t="str">
        <f t="shared" si="420"/>
        <v/>
      </c>
      <c r="X141" s="545" t="str">
        <f>IF('Marks Entry'!P141="","",'Marks Entry'!P141)</f>
        <v/>
      </c>
      <c r="Y141" s="545" t="str">
        <f>IF('Marks Entry'!Q141="","",'Marks Entry'!Q141)</f>
        <v/>
      </c>
      <c r="Z141" s="545" t="str">
        <f>IF('Marks Entry'!R141="","",'Marks Entry'!R141)</f>
        <v/>
      </c>
      <c r="AA141" s="546" t="str">
        <f t="shared" si="421"/>
        <v/>
      </c>
      <c r="AB141" s="545" t="str">
        <f>IF('Marks Entry'!S141="","",'Marks Entry'!S141)</f>
        <v/>
      </c>
      <c r="AC141" s="546" t="str">
        <f t="shared" si="422"/>
        <v/>
      </c>
      <c r="AD141" s="545" t="str">
        <f>IF('Marks Entry'!T141="","",'Marks Entry'!T141)</f>
        <v/>
      </c>
      <c r="AE141" s="547" t="str">
        <f t="shared" si="423"/>
        <v/>
      </c>
      <c r="AF141" s="152">
        <f t="shared" si="424"/>
        <v>0</v>
      </c>
      <c r="AG141" s="152">
        <f t="shared" si="425"/>
        <v>0</v>
      </c>
      <c r="AH141" s="153" t="str">
        <f t="shared" si="426"/>
        <v/>
      </c>
      <c r="AI141" s="152" t="str">
        <f t="shared" si="427"/>
        <v/>
      </c>
      <c r="AJ141" s="152" t="str">
        <f t="shared" si="428"/>
        <v/>
      </c>
      <c r="AK141" s="152" t="str">
        <f t="shared" si="429"/>
        <v/>
      </c>
      <c r="AL141" s="573" t="str">
        <f>IF('Marks Entry'!U141="","",'Marks Entry'!U141)</f>
        <v/>
      </c>
      <c r="AM141" s="573" t="str">
        <f>IF('Marks Entry'!V141="","",'Marks Entry'!V141)</f>
        <v/>
      </c>
      <c r="AN141" s="573" t="str">
        <f>IF('Marks Entry'!W141="","",'Marks Entry'!W141)</f>
        <v/>
      </c>
      <c r="AO141" s="573" t="str">
        <f>IF('Marks Entry'!X141="","",'Marks Entry'!X141)</f>
        <v/>
      </c>
      <c r="AP141" s="572" t="str">
        <f t="shared" si="430"/>
        <v/>
      </c>
      <c r="AQ141" s="573" t="str">
        <f>IF('Marks Entry'!Y141="","",'Marks Entry'!Y141)</f>
        <v/>
      </c>
      <c r="AR141" s="573" t="str">
        <f>IF('Marks Entry'!Z141="","",'Marks Entry'!Z141)</f>
        <v/>
      </c>
      <c r="AS141" s="572" t="str">
        <f t="shared" si="431"/>
        <v/>
      </c>
      <c r="AT141" s="572" t="str">
        <f t="shared" si="432"/>
        <v/>
      </c>
      <c r="AU141" s="573" t="str">
        <f>IF('Marks Entry'!AA141="","",'Marks Entry'!AA141)</f>
        <v/>
      </c>
      <c r="AV141" s="573" t="str">
        <f>IF('Marks Entry'!AB141="","",'Marks Entry'!AB141)</f>
        <v/>
      </c>
      <c r="AW141" s="572" t="str">
        <f t="shared" si="433"/>
        <v/>
      </c>
      <c r="AX141" s="156" t="str">
        <f t="shared" si="434"/>
        <v/>
      </c>
      <c r="AY141" s="156" t="str">
        <f t="shared" si="435"/>
        <v/>
      </c>
      <c r="AZ141" s="191" t="str">
        <f t="shared" si="436"/>
        <v/>
      </c>
      <c r="BA141" s="152">
        <f t="shared" si="437"/>
        <v>0</v>
      </c>
      <c r="BB141" s="153">
        <f t="shared" si="438"/>
        <v>0</v>
      </c>
      <c r="BC141" s="153" t="str">
        <f t="shared" si="439"/>
        <v/>
      </c>
      <c r="BD141" s="153" t="str">
        <f t="shared" si="440"/>
        <v/>
      </c>
      <c r="BE141" s="153" t="str">
        <f t="shared" si="441"/>
        <v/>
      </c>
      <c r="BF141" s="152" t="str">
        <f t="shared" si="442"/>
        <v/>
      </c>
      <c r="BG141" s="153" t="str">
        <f t="shared" si="443"/>
        <v/>
      </c>
      <c r="BH141" s="152" t="str">
        <f t="shared" si="444"/>
        <v/>
      </c>
      <c r="BI141" s="580" t="str">
        <f>IF('Marks Entry'!AC141="","",'Marks Entry'!AC141)</f>
        <v/>
      </c>
      <c r="BJ141" s="580" t="str">
        <f>IF('Marks Entry'!AD141="","",'Marks Entry'!AD141)</f>
        <v/>
      </c>
      <c r="BK141" s="580" t="str">
        <f>IF('Marks Entry'!AE141="","",'Marks Entry'!AE141)</f>
        <v/>
      </c>
      <c r="BL141" s="580" t="str">
        <f>IF('Marks Entry'!AF141="","",'Marks Entry'!AF141)</f>
        <v/>
      </c>
      <c r="BM141" s="581" t="str">
        <f t="shared" si="445"/>
        <v/>
      </c>
      <c r="BN141" s="580" t="str">
        <f>IF('Marks Entry'!AG141="","",'Marks Entry'!AG141)</f>
        <v/>
      </c>
      <c r="BO141" s="580" t="str">
        <f>IF('Marks Entry'!AH141="","",'Marks Entry'!AH141)</f>
        <v/>
      </c>
      <c r="BP141" s="581" t="str">
        <f t="shared" si="446"/>
        <v/>
      </c>
      <c r="BQ141" s="581" t="str">
        <f t="shared" si="447"/>
        <v/>
      </c>
      <c r="BR141" s="580" t="str">
        <f>IF('Marks Entry'!AI141="","",'Marks Entry'!AI141)</f>
        <v/>
      </c>
      <c r="BS141" s="580" t="str">
        <f>IF('Marks Entry'!AJ141="","",'Marks Entry'!AJ141)</f>
        <v/>
      </c>
      <c r="BT141" s="581" t="str">
        <f t="shared" si="448"/>
        <v/>
      </c>
      <c r="BU141" s="156" t="str">
        <f t="shared" si="449"/>
        <v/>
      </c>
      <c r="BV141" s="156" t="str">
        <f t="shared" si="450"/>
        <v/>
      </c>
      <c r="BW141" s="191" t="str">
        <f t="shared" si="451"/>
        <v/>
      </c>
      <c r="BX141" s="152">
        <f t="shared" si="452"/>
        <v>0</v>
      </c>
      <c r="BY141" s="153">
        <f t="shared" si="453"/>
        <v>0</v>
      </c>
      <c r="BZ141" s="153" t="str">
        <f t="shared" si="454"/>
        <v/>
      </c>
      <c r="CA141" s="153" t="str">
        <f t="shared" si="455"/>
        <v/>
      </c>
      <c r="CB141" s="153" t="str">
        <f t="shared" si="456"/>
        <v/>
      </c>
      <c r="CC141" s="152" t="str">
        <f t="shared" si="457"/>
        <v/>
      </c>
      <c r="CD141" s="153" t="str">
        <f t="shared" si="458"/>
        <v/>
      </c>
      <c r="CE141" s="152" t="str">
        <f t="shared" si="459"/>
        <v/>
      </c>
      <c r="CF141" s="580" t="str">
        <f>IF('Marks Entry'!AK141="","",'Marks Entry'!AK141)</f>
        <v/>
      </c>
      <c r="CG141" s="580" t="str">
        <f>IF('Marks Entry'!AL141="","",'Marks Entry'!AL141)</f>
        <v/>
      </c>
      <c r="CH141" s="580" t="str">
        <f>IF('Marks Entry'!AM141="","",'Marks Entry'!AM141)</f>
        <v/>
      </c>
      <c r="CI141" s="580" t="str">
        <f>IF('Marks Entry'!AN141="","",'Marks Entry'!AN141)</f>
        <v/>
      </c>
      <c r="CJ141" s="581" t="str">
        <f t="shared" si="460"/>
        <v/>
      </c>
      <c r="CK141" s="580" t="str">
        <f>IF('Marks Entry'!AO141="","",'Marks Entry'!AO141)</f>
        <v/>
      </c>
      <c r="CL141" s="580" t="str">
        <f>IF('Marks Entry'!AP141="","",'Marks Entry'!AP141)</f>
        <v/>
      </c>
      <c r="CM141" s="581" t="str">
        <f t="shared" si="461"/>
        <v/>
      </c>
      <c r="CN141" s="581" t="str">
        <f t="shared" si="462"/>
        <v/>
      </c>
      <c r="CO141" s="580" t="str">
        <f>IF('Marks Entry'!AQ141="","",'Marks Entry'!AQ141)</f>
        <v/>
      </c>
      <c r="CP141" s="580" t="str">
        <f>IF('Marks Entry'!AR141="","",'Marks Entry'!AR141)</f>
        <v/>
      </c>
      <c r="CQ141" s="581" t="str">
        <f t="shared" si="463"/>
        <v/>
      </c>
      <c r="CR141" s="156" t="str">
        <f t="shared" si="464"/>
        <v/>
      </c>
      <c r="CS141" s="156" t="str">
        <f t="shared" si="465"/>
        <v/>
      </c>
      <c r="CT141" s="191" t="str">
        <f t="shared" si="466"/>
        <v/>
      </c>
      <c r="CU141" s="152">
        <f t="shared" si="467"/>
        <v>0</v>
      </c>
      <c r="CV141" s="153">
        <f t="shared" si="468"/>
        <v>0</v>
      </c>
      <c r="CW141" s="153" t="str">
        <f t="shared" si="469"/>
        <v/>
      </c>
      <c r="CX141" s="153" t="str">
        <f t="shared" si="470"/>
        <v/>
      </c>
      <c r="CY141" s="153" t="str">
        <f t="shared" si="471"/>
        <v/>
      </c>
      <c r="CZ141" s="152" t="str">
        <f t="shared" si="472"/>
        <v/>
      </c>
      <c r="DA141" s="153" t="str">
        <f t="shared" si="473"/>
        <v/>
      </c>
      <c r="DB141" s="152" t="str">
        <f t="shared" si="474"/>
        <v/>
      </c>
      <c r="DC141" s="153">
        <f t="shared" si="475"/>
        <v>0</v>
      </c>
      <c r="DD141" s="851" t="str">
        <f>IF('Marks Entry'!AS141="","",IF(OR('Master Sheet'!$D$19="YES",'Marks Entry'!$BA$1=1),'Marks Entry'!AS141,""))</f>
        <v/>
      </c>
      <c r="DE141" s="851" t="str">
        <f>IF('Marks Entry'!AT141="","",IF(OR('Master Sheet'!$D$19="YES",'Marks Entry'!$BA$1=1),'Marks Entry'!AT141,""))</f>
        <v/>
      </c>
      <c r="DF141" s="851" t="str">
        <f>IF('Marks Entry'!AU141="","",IF(OR('Master Sheet'!$D$19="YES",'Marks Entry'!$BA$1=1),'Marks Entry'!AU141,""))</f>
        <v/>
      </c>
      <c r="DG141" s="851" t="str">
        <f>IF('Marks Entry'!AV141="","",IF(OR('Master Sheet'!$D$19="YES",'Marks Entry'!$BA$1=1),'Marks Entry'!AV141,""))</f>
        <v/>
      </c>
      <c r="DH141" s="852" t="str">
        <f t="shared" si="476"/>
        <v/>
      </c>
      <c r="DI141" s="851" t="str">
        <f>IF('Marks Entry'!AW141="","",IF(OR('Master Sheet'!$D$19="YES",'Marks Entry'!$BA$1=1),'Marks Entry'!AW141,""))</f>
        <v/>
      </c>
      <c r="DJ141" s="851" t="str">
        <f>IF('Marks Entry'!AX141="","",IF(OR('Master Sheet'!$D$19="YES",'Marks Entry'!$BA$1=1),'Marks Entry'!AX141,""))</f>
        <v/>
      </c>
      <c r="DK141" s="852" t="str">
        <f t="shared" si="477"/>
        <v/>
      </c>
      <c r="DL141" s="852" t="str">
        <f t="shared" si="478"/>
        <v/>
      </c>
      <c r="DM141" s="851" t="str">
        <f>IF('Marks Entry'!AY141="","",IF(OR('Master Sheet'!$D$19="YES",'Marks Entry'!$BA$1=1),'Marks Entry'!AY141,""))</f>
        <v/>
      </c>
      <c r="DN141" s="851" t="str">
        <f>IF('Marks Entry'!AZ141="","",IF(OR('Master Sheet'!$D$19="YES",'Marks Entry'!$BA$1=1),'Marks Entry'!AZ141,""))</f>
        <v/>
      </c>
      <c r="DO141" s="851" t="str">
        <f>IF('Marks Entry'!BA141="","",IF(OR('Master Sheet'!$D$19="YES",'Marks Entry'!$BA$1=1),'Marks Entry'!BA141,""))</f>
        <v/>
      </c>
      <c r="DP141" s="852" t="str">
        <f t="shared" si="479"/>
        <v/>
      </c>
      <c r="DQ141" s="156" t="str">
        <f t="shared" si="480"/>
        <v/>
      </c>
      <c r="DR141" s="156" t="str">
        <f t="shared" si="481"/>
        <v/>
      </c>
      <c r="DS141" s="156" t="str">
        <f t="shared" si="482"/>
        <v/>
      </c>
      <c r="DT141" s="191" t="str">
        <f t="shared" si="483"/>
        <v/>
      </c>
      <c r="DU141" s="152">
        <f t="shared" si="484"/>
        <v>0</v>
      </c>
      <c r="DV141" s="153">
        <f t="shared" si="485"/>
        <v>0</v>
      </c>
      <c r="DW141" s="153" t="str">
        <f t="shared" si="486"/>
        <v/>
      </c>
      <c r="DX141" s="153" t="str">
        <f>IF(OR($B141="NSO",$B141=0,DS141=""),"",IF(AND(DJ141="",DO141=""),"",IF('Master Sheet'!$D$19="YES",$DO$6-COUNTIF(DO141,"ML")*DO$6,DS$6-(COUNTIF(DJ141,"ML")*DJ$6)-(COUNTIF(DO141,"ML")*DO$6))))</f>
        <v/>
      </c>
      <c r="DY141" s="153" t="str">
        <f>IF(OR($B141="NSO",$B141=0),"",IF(AND(DH141="",DI141="",DM141=""),"",IF(AND('Master Sheet'!$D$19="YES",'Marks Entry'!$BA$1=1),100,IF(AND(DJ141="",DO141=""),SUM(($DQ$7+$DR$7)-(DU141+DV141)),SUM(($DQ$6+$DR$6)-(DU141+DV141))))))</f>
        <v/>
      </c>
      <c r="DZ141" s="152" t="str">
        <f t="shared" si="487"/>
        <v/>
      </c>
      <c r="EA141" s="153" t="str">
        <f t="shared" si="488"/>
        <v/>
      </c>
      <c r="EB141" s="152" t="str">
        <f t="shared" si="489"/>
        <v/>
      </c>
      <c r="EC141" s="584" t="str">
        <f>IF('Marks Entry'!BB141="","",'Marks Entry'!BB141)</f>
        <v/>
      </c>
      <c r="ED141" s="584" t="str">
        <f>IF('Marks Entry'!BC141="","",'Marks Entry'!BC141)</f>
        <v/>
      </c>
      <c r="EE141" s="584" t="str">
        <f>IF('Marks Entry'!BD141="","",'Marks Entry'!BD141)</f>
        <v/>
      </c>
      <c r="EF141" s="590" t="str">
        <f t="shared" si="490"/>
        <v/>
      </c>
      <c r="EG141" s="595">
        <f t="shared" si="491"/>
        <v>0</v>
      </c>
      <c r="EH141" s="595">
        <f t="shared" si="492"/>
        <v>0</v>
      </c>
      <c r="EI141" s="192" t="str">
        <f t="shared" si="493"/>
        <v/>
      </c>
      <c r="EJ141" s="595" t="str">
        <f t="shared" si="494"/>
        <v/>
      </c>
      <c r="EK141" s="595" t="str">
        <f t="shared" si="495"/>
        <v/>
      </c>
      <c r="EL141" s="193" t="str">
        <f t="shared" si="496"/>
        <v/>
      </c>
      <c r="EM141" s="193" t="str">
        <f t="shared" si="497"/>
        <v/>
      </c>
      <c r="EN141" s="193" t="str">
        <f t="shared" si="498"/>
        <v/>
      </c>
      <c r="EO141" s="193" t="str">
        <f t="shared" si="499"/>
        <v/>
      </c>
      <c r="EP141" s="193" t="str">
        <f t="shared" si="500"/>
        <v/>
      </c>
      <c r="EQ141" s="193" t="str">
        <f t="shared" si="501"/>
        <v/>
      </c>
      <c r="ER141" s="194">
        <f t="shared" si="502"/>
        <v>0</v>
      </c>
      <c r="ES141" s="194">
        <f t="shared" si="503"/>
        <v>0</v>
      </c>
      <c r="ET141" s="194">
        <f t="shared" si="504"/>
        <v>0</v>
      </c>
      <c r="EU141" s="194">
        <f t="shared" si="505"/>
        <v>0</v>
      </c>
      <c r="EV141" s="194">
        <f t="shared" si="506"/>
        <v>0</v>
      </c>
      <c r="EW141" s="194" t="str">
        <f t="shared" si="507"/>
        <v/>
      </c>
      <c r="EX141" s="195" t="str">
        <f t="shared" si="508"/>
        <v/>
      </c>
      <c r="EY141" s="196" t="str">
        <f>IF('Marks Entry'!BE141="","",'Marks Entry'!BE141)</f>
        <v/>
      </c>
      <c r="EZ141" s="196" t="str">
        <f>IF('Marks Entry'!BF141="","",'Marks Entry'!BF141)</f>
        <v/>
      </c>
      <c r="FA141" s="196" t="str">
        <f>IF('Marks Entry'!BG141="","",'Marks Entry'!BG141)</f>
        <v/>
      </c>
      <c r="FB141" s="596" t="str">
        <f t="shared" si="509"/>
        <v/>
      </c>
      <c r="FC141" s="196" t="str">
        <f>IF('Marks Entry'!BH141="","",'Marks Entry'!BH141)</f>
        <v/>
      </c>
      <c r="FD141" s="196" t="str">
        <f>IF('Marks Entry'!BI141="","",'Marks Entry'!BI141)</f>
        <v/>
      </c>
      <c r="FE141" s="197" t="str">
        <f t="shared" si="510"/>
        <v/>
      </c>
      <c r="FF141" s="198" t="str">
        <f t="shared" si="511"/>
        <v/>
      </c>
      <c r="FG141" s="199" t="str">
        <f>IF(AND(E141=""),"",IF('Student DATA Entry'!L137="","",'Student DATA Entry'!L137))</f>
        <v/>
      </c>
      <c r="FH141" s="200" t="str">
        <f>IF(AND(E141=""),"",IF('Student DATA Entry'!M137="","",'Student DATA Entry'!M137))</f>
        <v/>
      </c>
      <c r="FI141" s="201" t="str">
        <f t="shared" si="512"/>
        <v/>
      </c>
      <c r="FJ141" s="188" t="str">
        <f t="shared" si="513"/>
        <v/>
      </c>
      <c r="FK141" s="188" t="str">
        <f t="shared" si="514"/>
        <v/>
      </c>
      <c r="FL141" s="202" t="str">
        <f t="shared" si="383"/>
        <v/>
      </c>
      <c r="FM141" s="188" t="str">
        <f t="shared" si="515"/>
        <v/>
      </c>
      <c r="FN141" s="203" t="str">
        <f t="shared" si="516"/>
        <v/>
      </c>
      <c r="FO141" s="202" t="str">
        <f t="shared" si="384"/>
        <v/>
      </c>
      <c r="FP141" s="204" t="str">
        <f t="shared" si="517"/>
        <v/>
      </c>
      <c r="FQ141" s="188" t="str">
        <f t="shared" si="385"/>
        <v/>
      </c>
      <c r="FR141" s="188" t="str">
        <f t="shared" si="386"/>
        <v/>
      </c>
      <c r="FS141" s="188" t="str">
        <f t="shared" si="387"/>
        <v/>
      </c>
      <c r="FT141" s="188" t="str">
        <f t="shared" si="388"/>
        <v/>
      </c>
      <c r="FU141" s="188" t="str">
        <f t="shared" si="518"/>
        <v/>
      </c>
      <c r="FV141" s="205" t="str">
        <f t="shared" si="389"/>
        <v/>
      </c>
      <c r="FW141" s="204" t="str">
        <f t="shared" si="519"/>
        <v/>
      </c>
      <c r="FX141" s="188" t="str">
        <f t="shared" si="390"/>
        <v/>
      </c>
      <c r="FY141" s="188" t="str">
        <f t="shared" si="391"/>
        <v/>
      </c>
      <c r="FZ141" s="188" t="str">
        <f t="shared" si="392"/>
        <v/>
      </c>
      <c r="GA141" s="188" t="str">
        <f t="shared" si="393"/>
        <v/>
      </c>
      <c r="GB141" s="188" t="str">
        <f t="shared" si="520"/>
        <v/>
      </c>
      <c r="GC141" s="205" t="str">
        <f t="shared" si="394"/>
        <v/>
      </c>
      <c r="GD141" s="204" t="str">
        <f t="shared" si="521"/>
        <v/>
      </c>
      <c r="GE141" s="188" t="str">
        <f t="shared" si="395"/>
        <v/>
      </c>
      <c r="GF141" s="188" t="str">
        <f t="shared" si="396"/>
        <v/>
      </c>
      <c r="GG141" s="188" t="str">
        <f t="shared" si="397"/>
        <v/>
      </c>
      <c r="GH141" s="188" t="str">
        <f t="shared" si="398"/>
        <v/>
      </c>
      <c r="GI141" s="188" t="str">
        <f t="shared" si="522"/>
        <v/>
      </c>
      <c r="GJ141" s="205" t="str">
        <f t="shared" si="399"/>
        <v/>
      </c>
      <c r="GK141" s="204" t="str">
        <f t="shared" si="523"/>
        <v/>
      </c>
      <c r="GL141" s="188" t="str">
        <f t="shared" si="400"/>
        <v/>
      </c>
      <c r="GM141" s="188" t="str">
        <f t="shared" si="401"/>
        <v/>
      </c>
      <c r="GN141" s="188" t="str">
        <f t="shared" si="402"/>
        <v/>
      </c>
      <c r="GO141" s="188" t="str">
        <f t="shared" si="403"/>
        <v/>
      </c>
      <c r="GP141" s="188" t="str">
        <f t="shared" si="524"/>
        <v/>
      </c>
      <c r="GQ141" s="205" t="str">
        <f t="shared" si="404"/>
        <v/>
      </c>
      <c r="GR141" s="188" t="str">
        <f t="shared" si="525"/>
        <v/>
      </c>
      <c r="GS141" s="188" t="str">
        <f t="shared" si="526"/>
        <v/>
      </c>
      <c r="GT141" s="206" t="str">
        <f t="shared" si="527"/>
        <v xml:space="preserve">    </v>
      </c>
      <c r="GU141" s="206" t="str">
        <f t="shared" si="528"/>
        <v xml:space="preserve">    </v>
      </c>
      <c r="GV141" s="206" t="str">
        <f t="shared" si="529"/>
        <v xml:space="preserve">    </v>
      </c>
      <c r="GW141" s="206" t="str">
        <f t="shared" si="530"/>
        <v xml:space="preserve">       </v>
      </c>
      <c r="GX141" s="598" t="str">
        <f t="shared" si="531"/>
        <v xml:space="preserve">     </v>
      </c>
      <c r="GY141" s="207" t="str">
        <f t="shared" si="405"/>
        <v/>
      </c>
      <c r="GZ141" s="606" t="str">
        <f>IF(AND(Q141="",AE141="",AZ141="",BW141="",CT141=""),"",IF(AND('Master Sheet'!$D$19="YES",'Marks Entry'!$BA$1=1),SUM(Q141,AE141,AZ141,BW141,DT141),SUM(Q141,AE141,AZ141,BW141,CT141)))</f>
        <v/>
      </c>
      <c r="HA141" s="208" t="str">
        <f>IF(GZ141="","",IF(AND('Master Sheet'!$D$19="YES",'Marks Entry'!$BA$1=1),GZ141/((900)-DC141)*100,GZ141/((1000)-DC141)*100))</f>
        <v/>
      </c>
      <c r="HB141" s="611" t="str">
        <f t="shared" si="532"/>
        <v/>
      </c>
      <c r="HC141" s="609" t="str">
        <f t="shared" si="533"/>
        <v/>
      </c>
      <c r="HD141" s="610" t="str">
        <f t="shared" si="534"/>
        <v/>
      </c>
      <c r="HE141" s="209" t="str">
        <f>IFERROR(IF(OR(GY141="SUPPLEMENTARY",GY141="RE-EXAM"),'Supp. Result Entry'!AS140,""),"")</f>
        <v/>
      </c>
      <c r="HF141" s="613" t="str">
        <f t="shared" si="535"/>
        <v/>
      </c>
      <c r="HG141" s="598" t="str">
        <f t="shared" si="536"/>
        <v/>
      </c>
      <c r="HH141" s="598" t="str">
        <f>IF(AND(HE141="",HF141="",HG141=""),"",IF(OR(GY141="SUPPLEMENTARY",GY141="RE-EXAM"),'Supp. Result Entry'!AS140,GY141))</f>
        <v/>
      </c>
      <c r="HI141" s="179"/>
      <c r="HY141" s="211" t="str">
        <f>IF('Supp. Result Entry'!U140="","",'Supp. Result Entry'!$U$6)</f>
        <v/>
      </c>
      <c r="HZ141" s="212" t="str">
        <f>IF('Supp. Result Entry'!X140="","",'Supp. Result Entry'!$X$6)</f>
        <v/>
      </c>
      <c r="IA141" s="212" t="str">
        <f>IF('Supp. Result Entry'!AA140="","",'Supp. Result Entry'!$AA$6)</f>
        <v/>
      </c>
      <c r="IB141" s="212" t="str">
        <f>IF('Supp. Result Entry'!AD140="","",'Supp. Result Entry'!$AD$6)</f>
        <v/>
      </c>
      <c r="IC141" s="212" t="str">
        <f>IF('Supp. Result Entry'!AG140="","",'Supp. Result Entry'!$AG$6)</f>
        <v/>
      </c>
      <c r="ID141" s="212" t="str">
        <f>IF('Supp. Result Entry'!AJ140="","",'Supp. Result Entry'!$AJ$6)</f>
        <v/>
      </c>
      <c r="IE141" s="212" t="str">
        <f>IF('Supp. Result Entry'!V140="","",'Supp. Result Entry'!V140)</f>
        <v/>
      </c>
      <c r="IF141" s="212" t="str">
        <f>IF('Supp. Result Entry'!Y140="","",'Supp. Result Entry'!Y140)</f>
        <v/>
      </c>
      <c r="IG141" s="212" t="str">
        <f>IF('Supp. Result Entry'!AB140="","",'Supp. Result Entry'!AB140)</f>
        <v/>
      </c>
      <c r="IH141" s="212" t="str">
        <f>IF('Supp. Result Entry'!AE140="","",'Supp. Result Entry'!AE140)</f>
        <v/>
      </c>
      <c r="II141" s="212" t="str">
        <f>IF('Supp. Result Entry'!AH140="","",'Supp. Result Entry'!AH140)</f>
        <v/>
      </c>
      <c r="IJ141" s="212" t="str">
        <f>IF('Supp. Result Entry'!AK140="","",'Supp. Result Entry'!AK140)</f>
        <v/>
      </c>
      <c r="IK141" s="212" t="str">
        <f>IF('Supp. Result Entry'!W140="","",'Supp. Result Entry'!W140)</f>
        <v/>
      </c>
      <c r="IL141" s="212" t="str">
        <f>IF('Supp. Result Entry'!Z140="","",'Supp. Result Entry'!Z140)</f>
        <v/>
      </c>
      <c r="IM141" s="212" t="str">
        <f>IF('Supp. Result Entry'!AC140="","",'Supp. Result Entry'!AC140)</f>
        <v/>
      </c>
      <c r="IN141" s="212" t="str">
        <f>IF('Supp. Result Entry'!AF140="","",'Supp. Result Entry'!AF140)</f>
        <v/>
      </c>
      <c r="IO141" s="212" t="str">
        <f>IF('Supp. Result Entry'!AI140="","",'Supp. Result Entry'!AI140)</f>
        <v/>
      </c>
      <c r="IP141" s="212" t="str">
        <f>IF('Supp. Result Entry'!AL140="","",'Supp. Result Entry'!AL140)</f>
        <v/>
      </c>
      <c r="IQ141" s="212">
        <f>COUNTIF('Supp. Result Entry'!K140:Q140,"S")</f>
        <v>0</v>
      </c>
      <c r="IR141" s="212">
        <f t="shared" si="537"/>
        <v>0</v>
      </c>
      <c r="IS141" s="212">
        <f t="shared" si="538"/>
        <v>0</v>
      </c>
      <c r="IT141" s="212" t="str">
        <f t="shared" si="406"/>
        <v/>
      </c>
      <c r="IU141" s="212" t="str">
        <f t="shared" si="407"/>
        <v/>
      </c>
      <c r="IV141" s="212" t="str">
        <f t="shared" si="408"/>
        <v/>
      </c>
      <c r="IW141" s="212" t="str">
        <f t="shared" si="409"/>
        <v/>
      </c>
      <c r="IX141" s="212" t="str">
        <f t="shared" si="410"/>
        <v/>
      </c>
      <c r="IY141" s="212" t="str">
        <f t="shared" si="539"/>
        <v/>
      </c>
      <c r="IZ141" s="212" t="str">
        <f t="shared" si="540"/>
        <v/>
      </c>
      <c r="JA141" s="212" t="str">
        <f t="shared" si="411"/>
        <v/>
      </c>
      <c r="JB141" s="210" t="str">
        <f t="shared" si="541"/>
        <v/>
      </c>
    </row>
    <row r="142" spans="1:262" s="210" customFormat="1" ht="21" customHeight="1">
      <c r="A142" s="183">
        <v>135</v>
      </c>
      <c r="B142" s="184" t="str">
        <f>IF('Marks Entry'!B142="","",'Marks Entry'!B142)</f>
        <v/>
      </c>
      <c r="C142" s="185" t="str">
        <f>IF('Marks Entry'!D142="","",'Marks Entry'!D142)</f>
        <v/>
      </c>
      <c r="D142" s="186" t="str">
        <f>IF('Marks Entry'!E142="","",'Marks Entry'!E142)</f>
        <v/>
      </c>
      <c r="E142" s="187" t="str">
        <f>IF('Marks Entry'!F142="","",'Marks Entry'!F142)</f>
        <v/>
      </c>
      <c r="F142" s="187" t="str">
        <f>IF('Marks Entry'!G142="","",'Marks Entry'!G142)</f>
        <v/>
      </c>
      <c r="G142" s="187" t="str">
        <f>IF('Marks Entry'!H142="","",'Marks Entry'!H142)</f>
        <v/>
      </c>
      <c r="H142" s="188" t="str">
        <f>IF('Marks Entry'!I142="","",'Marks Entry'!I142)</f>
        <v/>
      </c>
      <c r="I142" s="189" t="str">
        <f>IF('Marks Entry'!J142="","",'Marks Entry'!J142)</f>
        <v/>
      </c>
      <c r="J142" s="545" t="str">
        <f>IF('Marks Entry'!K142="","",'Marks Entry'!K142)</f>
        <v/>
      </c>
      <c r="K142" s="545" t="str">
        <f>IF('Marks Entry'!L142="","",'Marks Entry'!L142)</f>
        <v/>
      </c>
      <c r="L142" s="545" t="str">
        <f>IF('Marks Entry'!M142="","",'Marks Entry'!M142)</f>
        <v/>
      </c>
      <c r="M142" s="546" t="str">
        <f t="shared" si="412"/>
        <v/>
      </c>
      <c r="N142" s="545" t="str">
        <f>IF('Marks Entry'!N142="","",'Marks Entry'!N142)</f>
        <v/>
      </c>
      <c r="O142" s="546" t="str">
        <f t="shared" si="413"/>
        <v/>
      </c>
      <c r="P142" s="545" t="str">
        <f>IF('Marks Entry'!O142="","",'Marks Entry'!O142)</f>
        <v/>
      </c>
      <c r="Q142" s="547" t="str">
        <f t="shared" si="414"/>
        <v/>
      </c>
      <c r="R142" s="152">
        <f t="shared" si="415"/>
        <v>0</v>
      </c>
      <c r="S142" s="152">
        <f t="shared" si="416"/>
        <v>0</v>
      </c>
      <c r="T142" s="153" t="str">
        <f t="shared" si="417"/>
        <v/>
      </c>
      <c r="U142" s="152" t="str">
        <f t="shared" si="418"/>
        <v/>
      </c>
      <c r="V142" s="152" t="str">
        <f t="shared" si="419"/>
        <v/>
      </c>
      <c r="W142" s="152" t="str">
        <f t="shared" si="420"/>
        <v/>
      </c>
      <c r="X142" s="545" t="str">
        <f>IF('Marks Entry'!P142="","",'Marks Entry'!P142)</f>
        <v/>
      </c>
      <c r="Y142" s="545" t="str">
        <f>IF('Marks Entry'!Q142="","",'Marks Entry'!Q142)</f>
        <v/>
      </c>
      <c r="Z142" s="545" t="str">
        <f>IF('Marks Entry'!R142="","",'Marks Entry'!R142)</f>
        <v/>
      </c>
      <c r="AA142" s="546" t="str">
        <f t="shared" si="421"/>
        <v/>
      </c>
      <c r="AB142" s="545" t="str">
        <f>IF('Marks Entry'!S142="","",'Marks Entry'!S142)</f>
        <v/>
      </c>
      <c r="AC142" s="546" t="str">
        <f t="shared" si="422"/>
        <v/>
      </c>
      <c r="AD142" s="545" t="str">
        <f>IF('Marks Entry'!T142="","",'Marks Entry'!T142)</f>
        <v/>
      </c>
      <c r="AE142" s="547" t="str">
        <f t="shared" si="423"/>
        <v/>
      </c>
      <c r="AF142" s="152">
        <f t="shared" si="424"/>
        <v>0</v>
      </c>
      <c r="AG142" s="152">
        <f t="shared" si="425"/>
        <v>0</v>
      </c>
      <c r="AH142" s="153" t="str">
        <f t="shared" si="426"/>
        <v/>
      </c>
      <c r="AI142" s="152" t="str">
        <f t="shared" si="427"/>
        <v/>
      </c>
      <c r="AJ142" s="152" t="str">
        <f t="shared" si="428"/>
        <v/>
      </c>
      <c r="AK142" s="152" t="str">
        <f t="shared" si="429"/>
        <v/>
      </c>
      <c r="AL142" s="573" t="str">
        <f>IF('Marks Entry'!U142="","",'Marks Entry'!U142)</f>
        <v/>
      </c>
      <c r="AM142" s="573" t="str">
        <f>IF('Marks Entry'!V142="","",'Marks Entry'!V142)</f>
        <v/>
      </c>
      <c r="AN142" s="573" t="str">
        <f>IF('Marks Entry'!W142="","",'Marks Entry'!W142)</f>
        <v/>
      </c>
      <c r="AO142" s="573" t="str">
        <f>IF('Marks Entry'!X142="","",'Marks Entry'!X142)</f>
        <v/>
      </c>
      <c r="AP142" s="572" t="str">
        <f t="shared" si="430"/>
        <v/>
      </c>
      <c r="AQ142" s="573" t="str">
        <f>IF('Marks Entry'!Y142="","",'Marks Entry'!Y142)</f>
        <v/>
      </c>
      <c r="AR142" s="573" t="str">
        <f>IF('Marks Entry'!Z142="","",'Marks Entry'!Z142)</f>
        <v/>
      </c>
      <c r="AS142" s="572" t="str">
        <f t="shared" si="431"/>
        <v/>
      </c>
      <c r="AT142" s="572" t="str">
        <f t="shared" si="432"/>
        <v/>
      </c>
      <c r="AU142" s="573" t="str">
        <f>IF('Marks Entry'!AA142="","",'Marks Entry'!AA142)</f>
        <v/>
      </c>
      <c r="AV142" s="573" t="str">
        <f>IF('Marks Entry'!AB142="","",'Marks Entry'!AB142)</f>
        <v/>
      </c>
      <c r="AW142" s="572" t="str">
        <f t="shared" si="433"/>
        <v/>
      </c>
      <c r="AX142" s="156" t="str">
        <f t="shared" si="434"/>
        <v/>
      </c>
      <c r="AY142" s="156" t="str">
        <f t="shared" si="435"/>
        <v/>
      </c>
      <c r="AZ142" s="191" t="str">
        <f t="shared" si="436"/>
        <v/>
      </c>
      <c r="BA142" s="152">
        <f t="shared" si="437"/>
        <v>0</v>
      </c>
      <c r="BB142" s="153">
        <f t="shared" si="438"/>
        <v>0</v>
      </c>
      <c r="BC142" s="153" t="str">
        <f t="shared" si="439"/>
        <v/>
      </c>
      <c r="BD142" s="153" t="str">
        <f t="shared" si="440"/>
        <v/>
      </c>
      <c r="BE142" s="153" t="str">
        <f t="shared" si="441"/>
        <v/>
      </c>
      <c r="BF142" s="152" t="str">
        <f t="shared" si="442"/>
        <v/>
      </c>
      <c r="BG142" s="153" t="str">
        <f t="shared" si="443"/>
        <v/>
      </c>
      <c r="BH142" s="152" t="str">
        <f t="shared" si="444"/>
        <v/>
      </c>
      <c r="BI142" s="580" t="str">
        <f>IF('Marks Entry'!AC142="","",'Marks Entry'!AC142)</f>
        <v/>
      </c>
      <c r="BJ142" s="580" t="str">
        <f>IF('Marks Entry'!AD142="","",'Marks Entry'!AD142)</f>
        <v/>
      </c>
      <c r="BK142" s="580" t="str">
        <f>IF('Marks Entry'!AE142="","",'Marks Entry'!AE142)</f>
        <v/>
      </c>
      <c r="BL142" s="580" t="str">
        <f>IF('Marks Entry'!AF142="","",'Marks Entry'!AF142)</f>
        <v/>
      </c>
      <c r="BM142" s="581" t="str">
        <f t="shared" si="445"/>
        <v/>
      </c>
      <c r="BN142" s="580" t="str">
        <f>IF('Marks Entry'!AG142="","",'Marks Entry'!AG142)</f>
        <v/>
      </c>
      <c r="BO142" s="580" t="str">
        <f>IF('Marks Entry'!AH142="","",'Marks Entry'!AH142)</f>
        <v/>
      </c>
      <c r="BP142" s="581" t="str">
        <f t="shared" si="446"/>
        <v/>
      </c>
      <c r="BQ142" s="581" t="str">
        <f t="shared" si="447"/>
        <v/>
      </c>
      <c r="BR142" s="580" t="str">
        <f>IF('Marks Entry'!AI142="","",'Marks Entry'!AI142)</f>
        <v/>
      </c>
      <c r="BS142" s="580" t="str">
        <f>IF('Marks Entry'!AJ142="","",'Marks Entry'!AJ142)</f>
        <v/>
      </c>
      <c r="BT142" s="581" t="str">
        <f t="shared" si="448"/>
        <v/>
      </c>
      <c r="BU142" s="156" t="str">
        <f t="shared" si="449"/>
        <v/>
      </c>
      <c r="BV142" s="156" t="str">
        <f t="shared" si="450"/>
        <v/>
      </c>
      <c r="BW142" s="191" t="str">
        <f t="shared" si="451"/>
        <v/>
      </c>
      <c r="BX142" s="152">
        <f t="shared" si="452"/>
        <v>0</v>
      </c>
      <c r="BY142" s="153">
        <f t="shared" si="453"/>
        <v>0</v>
      </c>
      <c r="BZ142" s="153" t="str">
        <f t="shared" si="454"/>
        <v/>
      </c>
      <c r="CA142" s="153" t="str">
        <f t="shared" si="455"/>
        <v/>
      </c>
      <c r="CB142" s="153" t="str">
        <f t="shared" si="456"/>
        <v/>
      </c>
      <c r="CC142" s="152" t="str">
        <f t="shared" si="457"/>
        <v/>
      </c>
      <c r="CD142" s="153" t="str">
        <f t="shared" si="458"/>
        <v/>
      </c>
      <c r="CE142" s="152" t="str">
        <f t="shared" si="459"/>
        <v/>
      </c>
      <c r="CF142" s="580" t="str">
        <f>IF('Marks Entry'!AK142="","",'Marks Entry'!AK142)</f>
        <v/>
      </c>
      <c r="CG142" s="580" t="str">
        <f>IF('Marks Entry'!AL142="","",'Marks Entry'!AL142)</f>
        <v/>
      </c>
      <c r="CH142" s="580" t="str">
        <f>IF('Marks Entry'!AM142="","",'Marks Entry'!AM142)</f>
        <v/>
      </c>
      <c r="CI142" s="580" t="str">
        <f>IF('Marks Entry'!AN142="","",'Marks Entry'!AN142)</f>
        <v/>
      </c>
      <c r="CJ142" s="581" t="str">
        <f t="shared" si="460"/>
        <v/>
      </c>
      <c r="CK142" s="580" t="str">
        <f>IF('Marks Entry'!AO142="","",'Marks Entry'!AO142)</f>
        <v/>
      </c>
      <c r="CL142" s="580" t="str">
        <f>IF('Marks Entry'!AP142="","",'Marks Entry'!AP142)</f>
        <v/>
      </c>
      <c r="CM142" s="581" t="str">
        <f t="shared" si="461"/>
        <v/>
      </c>
      <c r="CN142" s="581" t="str">
        <f t="shared" si="462"/>
        <v/>
      </c>
      <c r="CO142" s="580" t="str">
        <f>IF('Marks Entry'!AQ142="","",'Marks Entry'!AQ142)</f>
        <v/>
      </c>
      <c r="CP142" s="580" t="str">
        <f>IF('Marks Entry'!AR142="","",'Marks Entry'!AR142)</f>
        <v/>
      </c>
      <c r="CQ142" s="581" t="str">
        <f t="shared" si="463"/>
        <v/>
      </c>
      <c r="CR142" s="156" t="str">
        <f t="shared" si="464"/>
        <v/>
      </c>
      <c r="CS142" s="156" t="str">
        <f t="shared" si="465"/>
        <v/>
      </c>
      <c r="CT142" s="191" t="str">
        <f t="shared" si="466"/>
        <v/>
      </c>
      <c r="CU142" s="152">
        <f t="shared" si="467"/>
        <v>0</v>
      </c>
      <c r="CV142" s="153">
        <f t="shared" si="468"/>
        <v>0</v>
      </c>
      <c r="CW142" s="153" t="str">
        <f t="shared" si="469"/>
        <v/>
      </c>
      <c r="CX142" s="153" t="str">
        <f t="shared" si="470"/>
        <v/>
      </c>
      <c r="CY142" s="153" t="str">
        <f t="shared" si="471"/>
        <v/>
      </c>
      <c r="CZ142" s="152" t="str">
        <f t="shared" si="472"/>
        <v/>
      </c>
      <c r="DA142" s="153" t="str">
        <f t="shared" si="473"/>
        <v/>
      </c>
      <c r="DB142" s="152" t="str">
        <f t="shared" si="474"/>
        <v/>
      </c>
      <c r="DC142" s="153">
        <f t="shared" si="475"/>
        <v>0</v>
      </c>
      <c r="DD142" s="851" t="str">
        <f>IF('Marks Entry'!AS142="","",IF(OR('Master Sheet'!$D$19="YES",'Marks Entry'!$BA$1=1),'Marks Entry'!AS142,""))</f>
        <v/>
      </c>
      <c r="DE142" s="851" t="str">
        <f>IF('Marks Entry'!AT142="","",IF(OR('Master Sheet'!$D$19="YES",'Marks Entry'!$BA$1=1),'Marks Entry'!AT142,""))</f>
        <v/>
      </c>
      <c r="DF142" s="851" t="str">
        <f>IF('Marks Entry'!AU142="","",IF(OR('Master Sheet'!$D$19="YES",'Marks Entry'!$BA$1=1),'Marks Entry'!AU142,""))</f>
        <v/>
      </c>
      <c r="DG142" s="851" t="str">
        <f>IF('Marks Entry'!AV142="","",IF(OR('Master Sheet'!$D$19="YES",'Marks Entry'!$BA$1=1),'Marks Entry'!AV142,""))</f>
        <v/>
      </c>
      <c r="DH142" s="852" t="str">
        <f t="shared" si="476"/>
        <v/>
      </c>
      <c r="DI142" s="851" t="str">
        <f>IF('Marks Entry'!AW142="","",IF(OR('Master Sheet'!$D$19="YES",'Marks Entry'!$BA$1=1),'Marks Entry'!AW142,""))</f>
        <v/>
      </c>
      <c r="DJ142" s="851" t="str">
        <f>IF('Marks Entry'!AX142="","",IF(OR('Master Sheet'!$D$19="YES",'Marks Entry'!$BA$1=1),'Marks Entry'!AX142,""))</f>
        <v/>
      </c>
      <c r="DK142" s="852" t="str">
        <f t="shared" si="477"/>
        <v/>
      </c>
      <c r="DL142" s="852" t="str">
        <f t="shared" si="478"/>
        <v/>
      </c>
      <c r="DM142" s="851" t="str">
        <f>IF('Marks Entry'!AY142="","",IF(OR('Master Sheet'!$D$19="YES",'Marks Entry'!$BA$1=1),'Marks Entry'!AY142,""))</f>
        <v/>
      </c>
      <c r="DN142" s="851" t="str">
        <f>IF('Marks Entry'!AZ142="","",IF(OR('Master Sheet'!$D$19="YES",'Marks Entry'!$BA$1=1),'Marks Entry'!AZ142,""))</f>
        <v/>
      </c>
      <c r="DO142" s="851" t="str">
        <f>IF('Marks Entry'!BA142="","",IF(OR('Master Sheet'!$D$19="YES",'Marks Entry'!$BA$1=1),'Marks Entry'!BA142,""))</f>
        <v/>
      </c>
      <c r="DP142" s="852" t="str">
        <f t="shared" si="479"/>
        <v/>
      </c>
      <c r="DQ142" s="156" t="str">
        <f t="shared" si="480"/>
        <v/>
      </c>
      <c r="DR142" s="156" t="str">
        <f t="shared" si="481"/>
        <v/>
      </c>
      <c r="DS142" s="156" t="str">
        <f t="shared" si="482"/>
        <v/>
      </c>
      <c r="DT142" s="191" t="str">
        <f t="shared" si="483"/>
        <v/>
      </c>
      <c r="DU142" s="152">
        <f t="shared" si="484"/>
        <v>0</v>
      </c>
      <c r="DV142" s="153">
        <f t="shared" si="485"/>
        <v>0</v>
      </c>
      <c r="DW142" s="153" t="str">
        <f t="shared" si="486"/>
        <v/>
      </c>
      <c r="DX142" s="153" t="str">
        <f>IF(OR($B142="NSO",$B142=0,DS142=""),"",IF(AND(DJ142="",DO142=""),"",IF('Master Sheet'!$D$19="YES",$DO$6-COUNTIF(DO142,"ML")*DO$6,DS$6-(COUNTIF(DJ142,"ML")*DJ$6)-(COUNTIF(DO142,"ML")*DO$6))))</f>
        <v/>
      </c>
      <c r="DY142" s="153" t="str">
        <f>IF(OR($B142="NSO",$B142=0),"",IF(AND(DH142="",DI142="",DM142=""),"",IF(AND('Master Sheet'!$D$19="YES",'Marks Entry'!$BA$1=1),100,IF(AND(DJ142="",DO142=""),SUM(($DQ$7+$DR$7)-(DU142+DV142)),SUM(($DQ$6+$DR$6)-(DU142+DV142))))))</f>
        <v/>
      </c>
      <c r="DZ142" s="152" t="str">
        <f t="shared" si="487"/>
        <v/>
      </c>
      <c r="EA142" s="153" t="str">
        <f t="shared" si="488"/>
        <v/>
      </c>
      <c r="EB142" s="152" t="str">
        <f t="shared" si="489"/>
        <v/>
      </c>
      <c r="EC142" s="584" t="str">
        <f>IF('Marks Entry'!BB142="","",'Marks Entry'!BB142)</f>
        <v/>
      </c>
      <c r="ED142" s="584" t="str">
        <f>IF('Marks Entry'!BC142="","",'Marks Entry'!BC142)</f>
        <v/>
      </c>
      <c r="EE142" s="584" t="str">
        <f>IF('Marks Entry'!BD142="","",'Marks Entry'!BD142)</f>
        <v/>
      </c>
      <c r="EF142" s="590" t="str">
        <f t="shared" si="490"/>
        <v/>
      </c>
      <c r="EG142" s="595">
        <f t="shared" si="491"/>
        <v>0</v>
      </c>
      <c r="EH142" s="595">
        <f t="shared" si="492"/>
        <v>0</v>
      </c>
      <c r="EI142" s="192" t="str">
        <f t="shared" si="493"/>
        <v/>
      </c>
      <c r="EJ142" s="595" t="str">
        <f t="shared" si="494"/>
        <v/>
      </c>
      <c r="EK142" s="595" t="str">
        <f t="shared" si="495"/>
        <v/>
      </c>
      <c r="EL142" s="193" t="str">
        <f t="shared" si="496"/>
        <v/>
      </c>
      <c r="EM142" s="193" t="str">
        <f t="shared" si="497"/>
        <v/>
      </c>
      <c r="EN142" s="193" t="str">
        <f t="shared" si="498"/>
        <v/>
      </c>
      <c r="EO142" s="193" t="str">
        <f t="shared" si="499"/>
        <v/>
      </c>
      <c r="EP142" s="193" t="str">
        <f t="shared" si="500"/>
        <v/>
      </c>
      <c r="EQ142" s="193" t="str">
        <f t="shared" si="501"/>
        <v/>
      </c>
      <c r="ER142" s="194">
        <f t="shared" si="502"/>
        <v>0</v>
      </c>
      <c r="ES142" s="194">
        <f t="shared" si="503"/>
        <v>0</v>
      </c>
      <c r="ET142" s="194">
        <f t="shared" si="504"/>
        <v>0</v>
      </c>
      <c r="EU142" s="194">
        <f t="shared" si="505"/>
        <v>0</v>
      </c>
      <c r="EV142" s="194">
        <f t="shared" si="506"/>
        <v>0</v>
      </c>
      <c r="EW142" s="194" t="str">
        <f t="shared" si="507"/>
        <v/>
      </c>
      <c r="EX142" s="195" t="str">
        <f t="shared" si="508"/>
        <v/>
      </c>
      <c r="EY142" s="196" t="str">
        <f>IF('Marks Entry'!BE142="","",'Marks Entry'!BE142)</f>
        <v/>
      </c>
      <c r="EZ142" s="196" t="str">
        <f>IF('Marks Entry'!BF142="","",'Marks Entry'!BF142)</f>
        <v/>
      </c>
      <c r="FA142" s="196" t="str">
        <f>IF('Marks Entry'!BG142="","",'Marks Entry'!BG142)</f>
        <v/>
      </c>
      <c r="FB142" s="596" t="str">
        <f t="shared" si="509"/>
        <v/>
      </c>
      <c r="FC142" s="196" t="str">
        <f>IF('Marks Entry'!BH142="","",'Marks Entry'!BH142)</f>
        <v/>
      </c>
      <c r="FD142" s="196" t="str">
        <f>IF('Marks Entry'!BI142="","",'Marks Entry'!BI142)</f>
        <v/>
      </c>
      <c r="FE142" s="197" t="str">
        <f t="shared" si="510"/>
        <v/>
      </c>
      <c r="FF142" s="198" t="str">
        <f t="shared" si="511"/>
        <v/>
      </c>
      <c r="FG142" s="199" t="str">
        <f>IF(AND(E142=""),"",IF('Student DATA Entry'!L138="","",'Student DATA Entry'!L138))</f>
        <v/>
      </c>
      <c r="FH142" s="200" t="str">
        <f>IF(AND(E142=""),"",IF('Student DATA Entry'!M138="","",'Student DATA Entry'!M138))</f>
        <v/>
      </c>
      <c r="FI142" s="201" t="str">
        <f t="shared" si="512"/>
        <v/>
      </c>
      <c r="FJ142" s="188" t="str">
        <f t="shared" si="513"/>
        <v/>
      </c>
      <c r="FK142" s="188" t="str">
        <f t="shared" si="514"/>
        <v/>
      </c>
      <c r="FL142" s="202" t="str">
        <f t="shared" si="383"/>
        <v/>
      </c>
      <c r="FM142" s="188" t="str">
        <f t="shared" si="515"/>
        <v/>
      </c>
      <c r="FN142" s="203" t="str">
        <f t="shared" si="516"/>
        <v/>
      </c>
      <c r="FO142" s="202" t="str">
        <f t="shared" si="384"/>
        <v/>
      </c>
      <c r="FP142" s="204" t="str">
        <f t="shared" si="517"/>
        <v/>
      </c>
      <c r="FQ142" s="188" t="str">
        <f t="shared" si="385"/>
        <v/>
      </c>
      <c r="FR142" s="188" t="str">
        <f t="shared" si="386"/>
        <v/>
      </c>
      <c r="FS142" s="188" t="str">
        <f t="shared" si="387"/>
        <v/>
      </c>
      <c r="FT142" s="188" t="str">
        <f t="shared" si="388"/>
        <v/>
      </c>
      <c r="FU142" s="188" t="str">
        <f t="shared" si="518"/>
        <v/>
      </c>
      <c r="FV142" s="205" t="str">
        <f t="shared" si="389"/>
        <v/>
      </c>
      <c r="FW142" s="204" t="str">
        <f t="shared" si="519"/>
        <v/>
      </c>
      <c r="FX142" s="188" t="str">
        <f t="shared" si="390"/>
        <v/>
      </c>
      <c r="FY142" s="188" t="str">
        <f t="shared" si="391"/>
        <v/>
      </c>
      <c r="FZ142" s="188" t="str">
        <f t="shared" si="392"/>
        <v/>
      </c>
      <c r="GA142" s="188" t="str">
        <f t="shared" si="393"/>
        <v/>
      </c>
      <c r="GB142" s="188" t="str">
        <f t="shared" si="520"/>
        <v/>
      </c>
      <c r="GC142" s="205" t="str">
        <f t="shared" si="394"/>
        <v/>
      </c>
      <c r="GD142" s="204" t="str">
        <f t="shared" si="521"/>
        <v/>
      </c>
      <c r="GE142" s="188" t="str">
        <f t="shared" si="395"/>
        <v/>
      </c>
      <c r="GF142" s="188" t="str">
        <f t="shared" si="396"/>
        <v/>
      </c>
      <c r="GG142" s="188" t="str">
        <f t="shared" si="397"/>
        <v/>
      </c>
      <c r="GH142" s="188" t="str">
        <f t="shared" si="398"/>
        <v/>
      </c>
      <c r="GI142" s="188" t="str">
        <f t="shared" si="522"/>
        <v/>
      </c>
      <c r="GJ142" s="205" t="str">
        <f t="shared" si="399"/>
        <v/>
      </c>
      <c r="GK142" s="204" t="str">
        <f t="shared" si="523"/>
        <v/>
      </c>
      <c r="GL142" s="188" t="str">
        <f t="shared" si="400"/>
        <v/>
      </c>
      <c r="GM142" s="188" t="str">
        <f t="shared" si="401"/>
        <v/>
      </c>
      <c r="GN142" s="188" t="str">
        <f t="shared" si="402"/>
        <v/>
      </c>
      <c r="GO142" s="188" t="str">
        <f t="shared" si="403"/>
        <v/>
      </c>
      <c r="GP142" s="188" t="str">
        <f t="shared" si="524"/>
        <v/>
      </c>
      <c r="GQ142" s="205" t="str">
        <f t="shared" si="404"/>
        <v/>
      </c>
      <c r="GR142" s="188" t="str">
        <f t="shared" si="525"/>
        <v/>
      </c>
      <c r="GS142" s="188" t="str">
        <f t="shared" si="526"/>
        <v/>
      </c>
      <c r="GT142" s="206" t="str">
        <f t="shared" si="527"/>
        <v xml:space="preserve">    </v>
      </c>
      <c r="GU142" s="206" t="str">
        <f t="shared" si="528"/>
        <v xml:space="preserve">    </v>
      </c>
      <c r="GV142" s="206" t="str">
        <f t="shared" si="529"/>
        <v xml:space="preserve">    </v>
      </c>
      <c r="GW142" s="206" t="str">
        <f t="shared" si="530"/>
        <v xml:space="preserve">       </v>
      </c>
      <c r="GX142" s="598" t="str">
        <f t="shared" si="531"/>
        <v xml:space="preserve">     </v>
      </c>
      <c r="GY142" s="207" t="str">
        <f t="shared" si="405"/>
        <v/>
      </c>
      <c r="GZ142" s="606" t="str">
        <f>IF(AND(Q142="",AE142="",AZ142="",BW142="",CT142=""),"",IF(AND('Master Sheet'!$D$19="YES",'Marks Entry'!$BA$1=1),SUM(Q142,AE142,AZ142,BW142,DT142),SUM(Q142,AE142,AZ142,BW142,CT142)))</f>
        <v/>
      </c>
      <c r="HA142" s="208" t="str">
        <f>IF(GZ142="","",IF(AND('Master Sheet'!$D$19="YES",'Marks Entry'!$BA$1=1),GZ142/((900)-DC142)*100,GZ142/((1000)-DC142)*100))</f>
        <v/>
      </c>
      <c r="HB142" s="611" t="str">
        <f t="shared" si="532"/>
        <v/>
      </c>
      <c r="HC142" s="609" t="str">
        <f t="shared" si="533"/>
        <v/>
      </c>
      <c r="HD142" s="610" t="str">
        <f t="shared" si="534"/>
        <v/>
      </c>
      <c r="HE142" s="209" t="str">
        <f>IFERROR(IF(OR(GY142="SUPPLEMENTARY",GY142="RE-EXAM"),'Supp. Result Entry'!AS141,""),"")</f>
        <v/>
      </c>
      <c r="HF142" s="613" t="str">
        <f t="shared" si="535"/>
        <v/>
      </c>
      <c r="HG142" s="598" t="str">
        <f t="shared" si="536"/>
        <v/>
      </c>
      <c r="HH142" s="598" t="str">
        <f>IF(AND(HE142="",HF142="",HG142=""),"",IF(OR(GY142="SUPPLEMENTARY",GY142="RE-EXAM"),'Supp. Result Entry'!AS141,GY142))</f>
        <v/>
      </c>
      <c r="HI142" s="179"/>
      <c r="HY142" s="211" t="str">
        <f>IF('Supp. Result Entry'!U141="","",'Supp. Result Entry'!$U$6)</f>
        <v/>
      </c>
      <c r="HZ142" s="212" t="str">
        <f>IF('Supp. Result Entry'!X141="","",'Supp. Result Entry'!$X$6)</f>
        <v/>
      </c>
      <c r="IA142" s="212" t="str">
        <f>IF('Supp. Result Entry'!AA141="","",'Supp. Result Entry'!$AA$6)</f>
        <v/>
      </c>
      <c r="IB142" s="212" t="str">
        <f>IF('Supp. Result Entry'!AD141="","",'Supp. Result Entry'!$AD$6)</f>
        <v/>
      </c>
      <c r="IC142" s="212" t="str">
        <f>IF('Supp. Result Entry'!AG141="","",'Supp. Result Entry'!$AG$6)</f>
        <v/>
      </c>
      <c r="ID142" s="212" t="str">
        <f>IF('Supp. Result Entry'!AJ141="","",'Supp. Result Entry'!$AJ$6)</f>
        <v/>
      </c>
      <c r="IE142" s="212" t="str">
        <f>IF('Supp. Result Entry'!V141="","",'Supp. Result Entry'!V141)</f>
        <v/>
      </c>
      <c r="IF142" s="212" t="str">
        <f>IF('Supp. Result Entry'!Y141="","",'Supp. Result Entry'!Y141)</f>
        <v/>
      </c>
      <c r="IG142" s="212" t="str">
        <f>IF('Supp. Result Entry'!AB141="","",'Supp. Result Entry'!AB141)</f>
        <v/>
      </c>
      <c r="IH142" s="212" t="str">
        <f>IF('Supp. Result Entry'!AE141="","",'Supp. Result Entry'!AE141)</f>
        <v/>
      </c>
      <c r="II142" s="212" t="str">
        <f>IF('Supp. Result Entry'!AH141="","",'Supp. Result Entry'!AH141)</f>
        <v/>
      </c>
      <c r="IJ142" s="212" t="str">
        <f>IF('Supp. Result Entry'!AK141="","",'Supp. Result Entry'!AK141)</f>
        <v/>
      </c>
      <c r="IK142" s="212" t="str">
        <f>IF('Supp. Result Entry'!W141="","",'Supp. Result Entry'!W141)</f>
        <v/>
      </c>
      <c r="IL142" s="212" t="str">
        <f>IF('Supp. Result Entry'!Z141="","",'Supp. Result Entry'!Z141)</f>
        <v/>
      </c>
      <c r="IM142" s="212" t="str">
        <f>IF('Supp. Result Entry'!AC141="","",'Supp. Result Entry'!AC141)</f>
        <v/>
      </c>
      <c r="IN142" s="212" t="str">
        <f>IF('Supp. Result Entry'!AF141="","",'Supp. Result Entry'!AF141)</f>
        <v/>
      </c>
      <c r="IO142" s="212" t="str">
        <f>IF('Supp. Result Entry'!AI141="","",'Supp. Result Entry'!AI141)</f>
        <v/>
      </c>
      <c r="IP142" s="212" t="str">
        <f>IF('Supp. Result Entry'!AL141="","",'Supp. Result Entry'!AL141)</f>
        <v/>
      </c>
      <c r="IQ142" s="212">
        <f>COUNTIF('Supp. Result Entry'!K141:Q141,"S")</f>
        <v>0</v>
      </c>
      <c r="IR142" s="212">
        <f t="shared" si="537"/>
        <v>0</v>
      </c>
      <c r="IS142" s="212">
        <f t="shared" si="538"/>
        <v>0</v>
      </c>
      <c r="IT142" s="212" t="str">
        <f t="shared" si="406"/>
        <v/>
      </c>
      <c r="IU142" s="212" t="str">
        <f t="shared" si="407"/>
        <v/>
      </c>
      <c r="IV142" s="212" t="str">
        <f t="shared" si="408"/>
        <v/>
      </c>
      <c r="IW142" s="212" t="str">
        <f t="shared" si="409"/>
        <v/>
      </c>
      <c r="IX142" s="212" t="str">
        <f t="shared" si="410"/>
        <v/>
      </c>
      <c r="IY142" s="212" t="str">
        <f t="shared" si="539"/>
        <v/>
      </c>
      <c r="IZ142" s="212" t="str">
        <f t="shared" si="540"/>
        <v/>
      </c>
      <c r="JA142" s="212" t="str">
        <f t="shared" si="411"/>
        <v/>
      </c>
      <c r="JB142" s="210" t="str">
        <f t="shared" si="541"/>
        <v/>
      </c>
    </row>
    <row r="143" spans="1:262" s="210" customFormat="1" ht="21" customHeight="1">
      <c r="A143" s="183">
        <v>136</v>
      </c>
      <c r="B143" s="184" t="str">
        <f>IF('Marks Entry'!B143="","",'Marks Entry'!B143)</f>
        <v/>
      </c>
      <c r="C143" s="185" t="str">
        <f>IF('Marks Entry'!D143="","",'Marks Entry'!D143)</f>
        <v/>
      </c>
      <c r="D143" s="186" t="str">
        <f>IF('Marks Entry'!E143="","",'Marks Entry'!E143)</f>
        <v/>
      </c>
      <c r="E143" s="187" t="str">
        <f>IF('Marks Entry'!F143="","",'Marks Entry'!F143)</f>
        <v/>
      </c>
      <c r="F143" s="187" t="str">
        <f>IF('Marks Entry'!G143="","",'Marks Entry'!G143)</f>
        <v/>
      </c>
      <c r="G143" s="187" t="str">
        <f>IF('Marks Entry'!H143="","",'Marks Entry'!H143)</f>
        <v/>
      </c>
      <c r="H143" s="188" t="str">
        <f>IF('Marks Entry'!I143="","",'Marks Entry'!I143)</f>
        <v/>
      </c>
      <c r="I143" s="189" t="str">
        <f>IF('Marks Entry'!J143="","",'Marks Entry'!J143)</f>
        <v/>
      </c>
      <c r="J143" s="545" t="str">
        <f>IF('Marks Entry'!K143="","",'Marks Entry'!K143)</f>
        <v/>
      </c>
      <c r="K143" s="545" t="str">
        <f>IF('Marks Entry'!L143="","",'Marks Entry'!L143)</f>
        <v/>
      </c>
      <c r="L143" s="545" t="str">
        <f>IF('Marks Entry'!M143="","",'Marks Entry'!M143)</f>
        <v/>
      </c>
      <c r="M143" s="546" t="str">
        <f t="shared" si="412"/>
        <v/>
      </c>
      <c r="N143" s="545" t="str">
        <f>IF('Marks Entry'!N143="","",'Marks Entry'!N143)</f>
        <v/>
      </c>
      <c r="O143" s="546" t="str">
        <f t="shared" si="413"/>
        <v/>
      </c>
      <c r="P143" s="545" t="str">
        <f>IF('Marks Entry'!O143="","",'Marks Entry'!O143)</f>
        <v/>
      </c>
      <c r="Q143" s="547" t="str">
        <f t="shared" si="414"/>
        <v/>
      </c>
      <c r="R143" s="152">
        <f t="shared" si="415"/>
        <v>0</v>
      </c>
      <c r="S143" s="152">
        <f t="shared" si="416"/>
        <v>0</v>
      </c>
      <c r="T143" s="153" t="str">
        <f t="shared" si="417"/>
        <v/>
      </c>
      <c r="U143" s="152" t="str">
        <f t="shared" si="418"/>
        <v/>
      </c>
      <c r="V143" s="152" t="str">
        <f t="shared" si="419"/>
        <v/>
      </c>
      <c r="W143" s="152" t="str">
        <f t="shared" si="420"/>
        <v/>
      </c>
      <c r="X143" s="545" t="str">
        <f>IF('Marks Entry'!P143="","",'Marks Entry'!P143)</f>
        <v/>
      </c>
      <c r="Y143" s="545" t="str">
        <f>IF('Marks Entry'!Q143="","",'Marks Entry'!Q143)</f>
        <v/>
      </c>
      <c r="Z143" s="545" t="str">
        <f>IF('Marks Entry'!R143="","",'Marks Entry'!R143)</f>
        <v/>
      </c>
      <c r="AA143" s="546" t="str">
        <f t="shared" si="421"/>
        <v/>
      </c>
      <c r="AB143" s="545" t="str">
        <f>IF('Marks Entry'!S143="","",'Marks Entry'!S143)</f>
        <v/>
      </c>
      <c r="AC143" s="546" t="str">
        <f t="shared" si="422"/>
        <v/>
      </c>
      <c r="AD143" s="545" t="str">
        <f>IF('Marks Entry'!T143="","",'Marks Entry'!T143)</f>
        <v/>
      </c>
      <c r="AE143" s="547" t="str">
        <f t="shared" si="423"/>
        <v/>
      </c>
      <c r="AF143" s="152">
        <f t="shared" si="424"/>
        <v>0</v>
      </c>
      <c r="AG143" s="152">
        <f t="shared" si="425"/>
        <v>0</v>
      </c>
      <c r="AH143" s="153" t="str">
        <f t="shared" si="426"/>
        <v/>
      </c>
      <c r="AI143" s="152" t="str">
        <f t="shared" si="427"/>
        <v/>
      </c>
      <c r="AJ143" s="152" t="str">
        <f t="shared" si="428"/>
        <v/>
      </c>
      <c r="AK143" s="152" t="str">
        <f t="shared" si="429"/>
        <v/>
      </c>
      <c r="AL143" s="573" t="str">
        <f>IF('Marks Entry'!U143="","",'Marks Entry'!U143)</f>
        <v/>
      </c>
      <c r="AM143" s="573" t="str">
        <f>IF('Marks Entry'!V143="","",'Marks Entry'!V143)</f>
        <v/>
      </c>
      <c r="AN143" s="573" t="str">
        <f>IF('Marks Entry'!W143="","",'Marks Entry'!W143)</f>
        <v/>
      </c>
      <c r="AO143" s="573" t="str">
        <f>IF('Marks Entry'!X143="","",'Marks Entry'!X143)</f>
        <v/>
      </c>
      <c r="AP143" s="572" t="str">
        <f t="shared" si="430"/>
        <v/>
      </c>
      <c r="AQ143" s="573" t="str">
        <f>IF('Marks Entry'!Y143="","",'Marks Entry'!Y143)</f>
        <v/>
      </c>
      <c r="AR143" s="573" t="str">
        <f>IF('Marks Entry'!Z143="","",'Marks Entry'!Z143)</f>
        <v/>
      </c>
      <c r="AS143" s="572" t="str">
        <f t="shared" si="431"/>
        <v/>
      </c>
      <c r="AT143" s="572" t="str">
        <f t="shared" si="432"/>
        <v/>
      </c>
      <c r="AU143" s="573" t="str">
        <f>IF('Marks Entry'!AA143="","",'Marks Entry'!AA143)</f>
        <v/>
      </c>
      <c r="AV143" s="573" t="str">
        <f>IF('Marks Entry'!AB143="","",'Marks Entry'!AB143)</f>
        <v/>
      </c>
      <c r="AW143" s="572" t="str">
        <f t="shared" si="433"/>
        <v/>
      </c>
      <c r="AX143" s="156" t="str">
        <f t="shared" si="434"/>
        <v/>
      </c>
      <c r="AY143" s="156" t="str">
        <f t="shared" si="435"/>
        <v/>
      </c>
      <c r="AZ143" s="191" t="str">
        <f t="shared" si="436"/>
        <v/>
      </c>
      <c r="BA143" s="152">
        <f t="shared" si="437"/>
        <v>0</v>
      </c>
      <c r="BB143" s="153">
        <f t="shared" si="438"/>
        <v>0</v>
      </c>
      <c r="BC143" s="153" t="str">
        <f t="shared" si="439"/>
        <v/>
      </c>
      <c r="BD143" s="153" t="str">
        <f t="shared" si="440"/>
        <v/>
      </c>
      <c r="BE143" s="153" t="str">
        <f t="shared" si="441"/>
        <v/>
      </c>
      <c r="BF143" s="152" t="str">
        <f t="shared" si="442"/>
        <v/>
      </c>
      <c r="BG143" s="153" t="str">
        <f t="shared" si="443"/>
        <v/>
      </c>
      <c r="BH143" s="152" t="str">
        <f t="shared" si="444"/>
        <v/>
      </c>
      <c r="BI143" s="580" t="str">
        <f>IF('Marks Entry'!AC143="","",'Marks Entry'!AC143)</f>
        <v/>
      </c>
      <c r="BJ143" s="580" t="str">
        <f>IF('Marks Entry'!AD143="","",'Marks Entry'!AD143)</f>
        <v/>
      </c>
      <c r="BK143" s="580" t="str">
        <f>IF('Marks Entry'!AE143="","",'Marks Entry'!AE143)</f>
        <v/>
      </c>
      <c r="BL143" s="580" t="str">
        <f>IF('Marks Entry'!AF143="","",'Marks Entry'!AF143)</f>
        <v/>
      </c>
      <c r="BM143" s="581" t="str">
        <f t="shared" si="445"/>
        <v/>
      </c>
      <c r="BN143" s="580" t="str">
        <f>IF('Marks Entry'!AG143="","",'Marks Entry'!AG143)</f>
        <v/>
      </c>
      <c r="BO143" s="580" t="str">
        <f>IF('Marks Entry'!AH143="","",'Marks Entry'!AH143)</f>
        <v/>
      </c>
      <c r="BP143" s="581" t="str">
        <f t="shared" si="446"/>
        <v/>
      </c>
      <c r="BQ143" s="581" t="str">
        <f t="shared" si="447"/>
        <v/>
      </c>
      <c r="BR143" s="580" t="str">
        <f>IF('Marks Entry'!AI143="","",'Marks Entry'!AI143)</f>
        <v/>
      </c>
      <c r="BS143" s="580" t="str">
        <f>IF('Marks Entry'!AJ143="","",'Marks Entry'!AJ143)</f>
        <v/>
      </c>
      <c r="BT143" s="581" t="str">
        <f t="shared" si="448"/>
        <v/>
      </c>
      <c r="BU143" s="156" t="str">
        <f t="shared" si="449"/>
        <v/>
      </c>
      <c r="BV143" s="156" t="str">
        <f t="shared" si="450"/>
        <v/>
      </c>
      <c r="BW143" s="191" t="str">
        <f t="shared" si="451"/>
        <v/>
      </c>
      <c r="BX143" s="152">
        <f t="shared" si="452"/>
        <v>0</v>
      </c>
      <c r="BY143" s="153">
        <f t="shared" si="453"/>
        <v>0</v>
      </c>
      <c r="BZ143" s="153" t="str">
        <f t="shared" si="454"/>
        <v/>
      </c>
      <c r="CA143" s="153" t="str">
        <f t="shared" si="455"/>
        <v/>
      </c>
      <c r="CB143" s="153" t="str">
        <f t="shared" si="456"/>
        <v/>
      </c>
      <c r="CC143" s="152" t="str">
        <f t="shared" si="457"/>
        <v/>
      </c>
      <c r="CD143" s="153" t="str">
        <f t="shared" si="458"/>
        <v/>
      </c>
      <c r="CE143" s="152" t="str">
        <f t="shared" si="459"/>
        <v/>
      </c>
      <c r="CF143" s="580" t="str">
        <f>IF('Marks Entry'!AK143="","",'Marks Entry'!AK143)</f>
        <v/>
      </c>
      <c r="CG143" s="580" t="str">
        <f>IF('Marks Entry'!AL143="","",'Marks Entry'!AL143)</f>
        <v/>
      </c>
      <c r="CH143" s="580" t="str">
        <f>IF('Marks Entry'!AM143="","",'Marks Entry'!AM143)</f>
        <v/>
      </c>
      <c r="CI143" s="580" t="str">
        <f>IF('Marks Entry'!AN143="","",'Marks Entry'!AN143)</f>
        <v/>
      </c>
      <c r="CJ143" s="581" t="str">
        <f t="shared" si="460"/>
        <v/>
      </c>
      <c r="CK143" s="580" t="str">
        <f>IF('Marks Entry'!AO143="","",'Marks Entry'!AO143)</f>
        <v/>
      </c>
      <c r="CL143" s="580" t="str">
        <f>IF('Marks Entry'!AP143="","",'Marks Entry'!AP143)</f>
        <v/>
      </c>
      <c r="CM143" s="581" t="str">
        <f t="shared" si="461"/>
        <v/>
      </c>
      <c r="CN143" s="581" t="str">
        <f t="shared" si="462"/>
        <v/>
      </c>
      <c r="CO143" s="580" t="str">
        <f>IF('Marks Entry'!AQ143="","",'Marks Entry'!AQ143)</f>
        <v/>
      </c>
      <c r="CP143" s="580" t="str">
        <f>IF('Marks Entry'!AR143="","",'Marks Entry'!AR143)</f>
        <v/>
      </c>
      <c r="CQ143" s="581" t="str">
        <f t="shared" si="463"/>
        <v/>
      </c>
      <c r="CR143" s="156" t="str">
        <f t="shared" si="464"/>
        <v/>
      </c>
      <c r="CS143" s="156" t="str">
        <f t="shared" si="465"/>
        <v/>
      </c>
      <c r="CT143" s="191" t="str">
        <f t="shared" si="466"/>
        <v/>
      </c>
      <c r="CU143" s="152">
        <f t="shared" si="467"/>
        <v>0</v>
      </c>
      <c r="CV143" s="153">
        <f t="shared" si="468"/>
        <v>0</v>
      </c>
      <c r="CW143" s="153" t="str">
        <f t="shared" si="469"/>
        <v/>
      </c>
      <c r="CX143" s="153" t="str">
        <f t="shared" si="470"/>
        <v/>
      </c>
      <c r="CY143" s="153" t="str">
        <f t="shared" si="471"/>
        <v/>
      </c>
      <c r="CZ143" s="152" t="str">
        <f t="shared" si="472"/>
        <v/>
      </c>
      <c r="DA143" s="153" t="str">
        <f t="shared" si="473"/>
        <v/>
      </c>
      <c r="DB143" s="152" t="str">
        <f t="shared" si="474"/>
        <v/>
      </c>
      <c r="DC143" s="153">
        <f t="shared" si="475"/>
        <v>0</v>
      </c>
      <c r="DD143" s="851" t="str">
        <f>IF('Marks Entry'!AS143="","",IF(OR('Master Sheet'!$D$19="YES",'Marks Entry'!$BA$1=1),'Marks Entry'!AS143,""))</f>
        <v/>
      </c>
      <c r="DE143" s="851" t="str">
        <f>IF('Marks Entry'!AT143="","",IF(OR('Master Sheet'!$D$19="YES",'Marks Entry'!$BA$1=1),'Marks Entry'!AT143,""))</f>
        <v/>
      </c>
      <c r="DF143" s="851" t="str">
        <f>IF('Marks Entry'!AU143="","",IF(OR('Master Sheet'!$D$19="YES",'Marks Entry'!$BA$1=1),'Marks Entry'!AU143,""))</f>
        <v/>
      </c>
      <c r="DG143" s="851" t="str">
        <f>IF('Marks Entry'!AV143="","",IF(OR('Master Sheet'!$D$19="YES",'Marks Entry'!$BA$1=1),'Marks Entry'!AV143,""))</f>
        <v/>
      </c>
      <c r="DH143" s="852" t="str">
        <f t="shared" si="476"/>
        <v/>
      </c>
      <c r="DI143" s="851" t="str">
        <f>IF('Marks Entry'!AW143="","",IF(OR('Master Sheet'!$D$19="YES",'Marks Entry'!$BA$1=1),'Marks Entry'!AW143,""))</f>
        <v/>
      </c>
      <c r="DJ143" s="851" t="str">
        <f>IF('Marks Entry'!AX143="","",IF(OR('Master Sheet'!$D$19="YES",'Marks Entry'!$BA$1=1),'Marks Entry'!AX143,""))</f>
        <v/>
      </c>
      <c r="DK143" s="852" t="str">
        <f t="shared" si="477"/>
        <v/>
      </c>
      <c r="DL143" s="852" t="str">
        <f t="shared" si="478"/>
        <v/>
      </c>
      <c r="DM143" s="851" t="str">
        <f>IF('Marks Entry'!AY143="","",IF(OR('Master Sheet'!$D$19="YES",'Marks Entry'!$BA$1=1),'Marks Entry'!AY143,""))</f>
        <v/>
      </c>
      <c r="DN143" s="851" t="str">
        <f>IF('Marks Entry'!AZ143="","",IF(OR('Master Sheet'!$D$19="YES",'Marks Entry'!$BA$1=1),'Marks Entry'!AZ143,""))</f>
        <v/>
      </c>
      <c r="DO143" s="851" t="str">
        <f>IF('Marks Entry'!BA143="","",IF(OR('Master Sheet'!$D$19="YES",'Marks Entry'!$BA$1=1),'Marks Entry'!BA143,""))</f>
        <v/>
      </c>
      <c r="DP143" s="852" t="str">
        <f t="shared" si="479"/>
        <v/>
      </c>
      <c r="DQ143" s="156" t="str">
        <f t="shared" si="480"/>
        <v/>
      </c>
      <c r="DR143" s="156" t="str">
        <f t="shared" si="481"/>
        <v/>
      </c>
      <c r="DS143" s="156" t="str">
        <f t="shared" si="482"/>
        <v/>
      </c>
      <c r="DT143" s="191" t="str">
        <f t="shared" si="483"/>
        <v/>
      </c>
      <c r="DU143" s="152">
        <f t="shared" si="484"/>
        <v>0</v>
      </c>
      <c r="DV143" s="153">
        <f t="shared" si="485"/>
        <v>0</v>
      </c>
      <c r="DW143" s="153" t="str">
        <f t="shared" si="486"/>
        <v/>
      </c>
      <c r="DX143" s="153" t="str">
        <f>IF(OR($B143="NSO",$B143=0,DS143=""),"",IF(AND(DJ143="",DO143=""),"",IF('Master Sheet'!$D$19="YES",$DO$6-COUNTIF(DO143,"ML")*DO$6,DS$6-(COUNTIF(DJ143,"ML")*DJ$6)-(COUNTIF(DO143,"ML")*DO$6))))</f>
        <v/>
      </c>
      <c r="DY143" s="153" t="str">
        <f>IF(OR($B143="NSO",$B143=0),"",IF(AND(DH143="",DI143="",DM143=""),"",IF(AND('Master Sheet'!$D$19="YES",'Marks Entry'!$BA$1=1),100,IF(AND(DJ143="",DO143=""),SUM(($DQ$7+$DR$7)-(DU143+DV143)),SUM(($DQ$6+$DR$6)-(DU143+DV143))))))</f>
        <v/>
      </c>
      <c r="DZ143" s="152" t="str">
        <f t="shared" si="487"/>
        <v/>
      </c>
      <c r="EA143" s="153" t="str">
        <f t="shared" si="488"/>
        <v/>
      </c>
      <c r="EB143" s="152" t="str">
        <f t="shared" si="489"/>
        <v/>
      </c>
      <c r="EC143" s="584" t="str">
        <f>IF('Marks Entry'!BB143="","",'Marks Entry'!BB143)</f>
        <v/>
      </c>
      <c r="ED143" s="584" t="str">
        <f>IF('Marks Entry'!BC143="","",'Marks Entry'!BC143)</f>
        <v/>
      </c>
      <c r="EE143" s="584" t="str">
        <f>IF('Marks Entry'!BD143="","",'Marks Entry'!BD143)</f>
        <v/>
      </c>
      <c r="EF143" s="590" t="str">
        <f t="shared" si="490"/>
        <v/>
      </c>
      <c r="EG143" s="595">
        <f t="shared" si="491"/>
        <v>0</v>
      </c>
      <c r="EH143" s="595">
        <f t="shared" si="492"/>
        <v>0</v>
      </c>
      <c r="EI143" s="192" t="str">
        <f t="shared" si="493"/>
        <v/>
      </c>
      <c r="EJ143" s="595" t="str">
        <f t="shared" si="494"/>
        <v/>
      </c>
      <c r="EK143" s="595" t="str">
        <f t="shared" si="495"/>
        <v/>
      </c>
      <c r="EL143" s="193" t="str">
        <f t="shared" si="496"/>
        <v/>
      </c>
      <c r="EM143" s="193" t="str">
        <f t="shared" si="497"/>
        <v/>
      </c>
      <c r="EN143" s="193" t="str">
        <f t="shared" si="498"/>
        <v/>
      </c>
      <c r="EO143" s="193" t="str">
        <f t="shared" si="499"/>
        <v/>
      </c>
      <c r="EP143" s="193" t="str">
        <f t="shared" si="500"/>
        <v/>
      </c>
      <c r="EQ143" s="193" t="str">
        <f t="shared" si="501"/>
        <v/>
      </c>
      <c r="ER143" s="194">
        <f t="shared" si="502"/>
        <v>0</v>
      </c>
      <c r="ES143" s="194">
        <f t="shared" si="503"/>
        <v>0</v>
      </c>
      <c r="ET143" s="194">
        <f t="shared" si="504"/>
        <v>0</v>
      </c>
      <c r="EU143" s="194">
        <f t="shared" si="505"/>
        <v>0</v>
      </c>
      <c r="EV143" s="194">
        <f t="shared" si="506"/>
        <v>0</v>
      </c>
      <c r="EW143" s="194" t="str">
        <f t="shared" si="507"/>
        <v/>
      </c>
      <c r="EX143" s="195" t="str">
        <f t="shared" si="508"/>
        <v/>
      </c>
      <c r="EY143" s="196" t="str">
        <f>IF('Marks Entry'!BE143="","",'Marks Entry'!BE143)</f>
        <v/>
      </c>
      <c r="EZ143" s="196" t="str">
        <f>IF('Marks Entry'!BF143="","",'Marks Entry'!BF143)</f>
        <v/>
      </c>
      <c r="FA143" s="196" t="str">
        <f>IF('Marks Entry'!BG143="","",'Marks Entry'!BG143)</f>
        <v/>
      </c>
      <c r="FB143" s="596" t="str">
        <f t="shared" si="509"/>
        <v/>
      </c>
      <c r="FC143" s="196" t="str">
        <f>IF('Marks Entry'!BH143="","",'Marks Entry'!BH143)</f>
        <v/>
      </c>
      <c r="FD143" s="196" t="str">
        <f>IF('Marks Entry'!BI143="","",'Marks Entry'!BI143)</f>
        <v/>
      </c>
      <c r="FE143" s="197" t="str">
        <f t="shared" si="510"/>
        <v/>
      </c>
      <c r="FF143" s="198" t="str">
        <f t="shared" si="511"/>
        <v/>
      </c>
      <c r="FG143" s="199" t="str">
        <f>IF(AND(E143=""),"",IF('Student DATA Entry'!L139="","",'Student DATA Entry'!L139))</f>
        <v/>
      </c>
      <c r="FH143" s="200" t="str">
        <f>IF(AND(E143=""),"",IF('Student DATA Entry'!M139="","",'Student DATA Entry'!M139))</f>
        <v/>
      </c>
      <c r="FI143" s="201" t="str">
        <f t="shared" si="512"/>
        <v/>
      </c>
      <c r="FJ143" s="188" t="str">
        <f t="shared" si="513"/>
        <v/>
      </c>
      <c r="FK143" s="188" t="str">
        <f t="shared" si="514"/>
        <v/>
      </c>
      <c r="FL143" s="202" t="str">
        <f t="shared" si="383"/>
        <v/>
      </c>
      <c r="FM143" s="188" t="str">
        <f t="shared" si="515"/>
        <v/>
      </c>
      <c r="FN143" s="203" t="str">
        <f t="shared" si="516"/>
        <v/>
      </c>
      <c r="FO143" s="202" t="str">
        <f t="shared" si="384"/>
        <v/>
      </c>
      <c r="FP143" s="204" t="str">
        <f t="shared" si="517"/>
        <v/>
      </c>
      <c r="FQ143" s="188" t="str">
        <f t="shared" si="385"/>
        <v/>
      </c>
      <c r="FR143" s="188" t="str">
        <f t="shared" si="386"/>
        <v/>
      </c>
      <c r="FS143" s="188" t="str">
        <f t="shared" si="387"/>
        <v/>
      </c>
      <c r="FT143" s="188" t="str">
        <f t="shared" si="388"/>
        <v/>
      </c>
      <c r="FU143" s="188" t="str">
        <f t="shared" si="518"/>
        <v/>
      </c>
      <c r="FV143" s="205" t="str">
        <f t="shared" si="389"/>
        <v/>
      </c>
      <c r="FW143" s="204" t="str">
        <f t="shared" si="519"/>
        <v/>
      </c>
      <c r="FX143" s="188" t="str">
        <f t="shared" si="390"/>
        <v/>
      </c>
      <c r="FY143" s="188" t="str">
        <f t="shared" si="391"/>
        <v/>
      </c>
      <c r="FZ143" s="188" t="str">
        <f t="shared" si="392"/>
        <v/>
      </c>
      <c r="GA143" s="188" t="str">
        <f t="shared" si="393"/>
        <v/>
      </c>
      <c r="GB143" s="188" t="str">
        <f t="shared" si="520"/>
        <v/>
      </c>
      <c r="GC143" s="205" t="str">
        <f t="shared" si="394"/>
        <v/>
      </c>
      <c r="GD143" s="204" t="str">
        <f t="shared" si="521"/>
        <v/>
      </c>
      <c r="GE143" s="188" t="str">
        <f t="shared" si="395"/>
        <v/>
      </c>
      <c r="GF143" s="188" t="str">
        <f t="shared" si="396"/>
        <v/>
      </c>
      <c r="GG143" s="188" t="str">
        <f t="shared" si="397"/>
        <v/>
      </c>
      <c r="GH143" s="188" t="str">
        <f t="shared" si="398"/>
        <v/>
      </c>
      <c r="GI143" s="188" t="str">
        <f t="shared" si="522"/>
        <v/>
      </c>
      <c r="GJ143" s="205" t="str">
        <f t="shared" si="399"/>
        <v/>
      </c>
      <c r="GK143" s="204" t="str">
        <f t="shared" si="523"/>
        <v/>
      </c>
      <c r="GL143" s="188" t="str">
        <f t="shared" si="400"/>
        <v/>
      </c>
      <c r="GM143" s="188" t="str">
        <f t="shared" si="401"/>
        <v/>
      </c>
      <c r="GN143" s="188" t="str">
        <f t="shared" si="402"/>
        <v/>
      </c>
      <c r="GO143" s="188" t="str">
        <f t="shared" si="403"/>
        <v/>
      </c>
      <c r="GP143" s="188" t="str">
        <f t="shared" si="524"/>
        <v/>
      </c>
      <c r="GQ143" s="205" t="str">
        <f t="shared" si="404"/>
        <v/>
      </c>
      <c r="GR143" s="188" t="str">
        <f t="shared" si="525"/>
        <v/>
      </c>
      <c r="GS143" s="188" t="str">
        <f t="shared" si="526"/>
        <v/>
      </c>
      <c r="GT143" s="206" t="str">
        <f t="shared" si="527"/>
        <v xml:space="preserve">    </v>
      </c>
      <c r="GU143" s="206" t="str">
        <f t="shared" si="528"/>
        <v xml:space="preserve">    </v>
      </c>
      <c r="GV143" s="206" t="str">
        <f t="shared" si="529"/>
        <v xml:space="preserve">    </v>
      </c>
      <c r="GW143" s="206" t="str">
        <f t="shared" si="530"/>
        <v xml:space="preserve">       </v>
      </c>
      <c r="GX143" s="598" t="str">
        <f t="shared" si="531"/>
        <v xml:space="preserve">     </v>
      </c>
      <c r="GY143" s="207" t="str">
        <f t="shared" si="405"/>
        <v/>
      </c>
      <c r="GZ143" s="606" t="str">
        <f>IF(AND(Q143="",AE143="",AZ143="",BW143="",CT143=""),"",IF(AND('Master Sheet'!$D$19="YES",'Marks Entry'!$BA$1=1),SUM(Q143,AE143,AZ143,BW143,DT143),SUM(Q143,AE143,AZ143,BW143,CT143)))</f>
        <v/>
      </c>
      <c r="HA143" s="208" t="str">
        <f>IF(GZ143="","",IF(AND('Master Sheet'!$D$19="YES",'Marks Entry'!$BA$1=1),GZ143/((900)-DC143)*100,GZ143/((1000)-DC143)*100))</f>
        <v/>
      </c>
      <c r="HB143" s="611" t="str">
        <f t="shared" si="532"/>
        <v/>
      </c>
      <c r="HC143" s="609" t="str">
        <f t="shared" si="533"/>
        <v/>
      </c>
      <c r="HD143" s="610" t="str">
        <f t="shared" si="534"/>
        <v/>
      </c>
      <c r="HE143" s="209" t="str">
        <f>IFERROR(IF(OR(GY143="SUPPLEMENTARY",GY143="RE-EXAM"),'Supp. Result Entry'!AS142,""),"")</f>
        <v/>
      </c>
      <c r="HF143" s="613" t="str">
        <f t="shared" si="535"/>
        <v/>
      </c>
      <c r="HG143" s="598" t="str">
        <f t="shared" si="536"/>
        <v/>
      </c>
      <c r="HH143" s="598" t="str">
        <f>IF(AND(HE143="",HF143="",HG143=""),"",IF(OR(GY143="SUPPLEMENTARY",GY143="RE-EXAM"),'Supp. Result Entry'!AS142,GY143))</f>
        <v/>
      </c>
      <c r="HI143" s="179"/>
      <c r="HY143" s="211" t="str">
        <f>IF('Supp. Result Entry'!U142="","",'Supp. Result Entry'!$U$6)</f>
        <v/>
      </c>
      <c r="HZ143" s="212" t="str">
        <f>IF('Supp. Result Entry'!X142="","",'Supp. Result Entry'!$X$6)</f>
        <v/>
      </c>
      <c r="IA143" s="212" t="str">
        <f>IF('Supp. Result Entry'!AA142="","",'Supp. Result Entry'!$AA$6)</f>
        <v/>
      </c>
      <c r="IB143" s="212" t="str">
        <f>IF('Supp. Result Entry'!AD142="","",'Supp. Result Entry'!$AD$6)</f>
        <v/>
      </c>
      <c r="IC143" s="212" t="str">
        <f>IF('Supp. Result Entry'!AG142="","",'Supp. Result Entry'!$AG$6)</f>
        <v/>
      </c>
      <c r="ID143" s="212" t="str">
        <f>IF('Supp. Result Entry'!AJ142="","",'Supp. Result Entry'!$AJ$6)</f>
        <v/>
      </c>
      <c r="IE143" s="212" t="str">
        <f>IF('Supp. Result Entry'!V142="","",'Supp. Result Entry'!V142)</f>
        <v/>
      </c>
      <c r="IF143" s="212" t="str">
        <f>IF('Supp. Result Entry'!Y142="","",'Supp. Result Entry'!Y142)</f>
        <v/>
      </c>
      <c r="IG143" s="212" t="str">
        <f>IF('Supp. Result Entry'!AB142="","",'Supp. Result Entry'!AB142)</f>
        <v/>
      </c>
      <c r="IH143" s="212" t="str">
        <f>IF('Supp. Result Entry'!AE142="","",'Supp. Result Entry'!AE142)</f>
        <v/>
      </c>
      <c r="II143" s="212" t="str">
        <f>IF('Supp. Result Entry'!AH142="","",'Supp. Result Entry'!AH142)</f>
        <v/>
      </c>
      <c r="IJ143" s="212" t="str">
        <f>IF('Supp. Result Entry'!AK142="","",'Supp. Result Entry'!AK142)</f>
        <v/>
      </c>
      <c r="IK143" s="212" t="str">
        <f>IF('Supp. Result Entry'!W142="","",'Supp. Result Entry'!W142)</f>
        <v/>
      </c>
      <c r="IL143" s="212" t="str">
        <f>IF('Supp. Result Entry'!Z142="","",'Supp. Result Entry'!Z142)</f>
        <v/>
      </c>
      <c r="IM143" s="212" t="str">
        <f>IF('Supp. Result Entry'!AC142="","",'Supp. Result Entry'!AC142)</f>
        <v/>
      </c>
      <c r="IN143" s="212" t="str">
        <f>IF('Supp. Result Entry'!AF142="","",'Supp. Result Entry'!AF142)</f>
        <v/>
      </c>
      <c r="IO143" s="212" t="str">
        <f>IF('Supp. Result Entry'!AI142="","",'Supp. Result Entry'!AI142)</f>
        <v/>
      </c>
      <c r="IP143" s="212" t="str">
        <f>IF('Supp. Result Entry'!AL142="","",'Supp. Result Entry'!AL142)</f>
        <v/>
      </c>
      <c r="IQ143" s="212">
        <f>COUNTIF('Supp. Result Entry'!K142:Q142,"S")</f>
        <v>0</v>
      </c>
      <c r="IR143" s="212">
        <f t="shared" si="537"/>
        <v>0</v>
      </c>
      <c r="IS143" s="212">
        <f t="shared" si="538"/>
        <v>0</v>
      </c>
      <c r="IT143" s="212" t="str">
        <f t="shared" si="406"/>
        <v/>
      </c>
      <c r="IU143" s="212" t="str">
        <f t="shared" si="407"/>
        <v/>
      </c>
      <c r="IV143" s="212" t="str">
        <f t="shared" si="408"/>
        <v/>
      </c>
      <c r="IW143" s="212" t="str">
        <f t="shared" si="409"/>
        <v/>
      </c>
      <c r="IX143" s="212" t="str">
        <f t="shared" si="410"/>
        <v/>
      </c>
      <c r="IY143" s="212" t="str">
        <f t="shared" si="539"/>
        <v/>
      </c>
      <c r="IZ143" s="212" t="str">
        <f t="shared" si="540"/>
        <v/>
      </c>
      <c r="JA143" s="212" t="str">
        <f t="shared" si="411"/>
        <v/>
      </c>
      <c r="JB143" s="210" t="str">
        <f t="shared" si="541"/>
        <v/>
      </c>
    </row>
    <row r="144" spans="1:262" s="210" customFormat="1" ht="21" customHeight="1">
      <c r="A144" s="183">
        <v>137</v>
      </c>
      <c r="B144" s="184" t="str">
        <f>IF('Marks Entry'!B144="","",'Marks Entry'!B144)</f>
        <v/>
      </c>
      <c r="C144" s="185" t="str">
        <f>IF('Marks Entry'!D144="","",'Marks Entry'!D144)</f>
        <v/>
      </c>
      <c r="D144" s="186" t="str">
        <f>IF('Marks Entry'!E144="","",'Marks Entry'!E144)</f>
        <v/>
      </c>
      <c r="E144" s="187" t="str">
        <f>IF('Marks Entry'!F144="","",'Marks Entry'!F144)</f>
        <v/>
      </c>
      <c r="F144" s="187" t="str">
        <f>IF('Marks Entry'!G144="","",'Marks Entry'!G144)</f>
        <v/>
      </c>
      <c r="G144" s="187" t="str">
        <f>IF('Marks Entry'!H144="","",'Marks Entry'!H144)</f>
        <v/>
      </c>
      <c r="H144" s="188" t="str">
        <f>IF('Marks Entry'!I144="","",'Marks Entry'!I144)</f>
        <v/>
      </c>
      <c r="I144" s="189" t="str">
        <f>IF('Marks Entry'!J144="","",'Marks Entry'!J144)</f>
        <v/>
      </c>
      <c r="J144" s="545" t="str">
        <f>IF('Marks Entry'!K144="","",'Marks Entry'!K144)</f>
        <v/>
      </c>
      <c r="K144" s="545" t="str">
        <f>IF('Marks Entry'!L144="","",'Marks Entry'!L144)</f>
        <v/>
      </c>
      <c r="L144" s="545" t="str">
        <f>IF('Marks Entry'!M144="","",'Marks Entry'!M144)</f>
        <v/>
      </c>
      <c r="M144" s="546" t="str">
        <f t="shared" si="412"/>
        <v/>
      </c>
      <c r="N144" s="545" t="str">
        <f>IF('Marks Entry'!N144="","",'Marks Entry'!N144)</f>
        <v/>
      </c>
      <c r="O144" s="546" t="str">
        <f t="shared" si="413"/>
        <v/>
      </c>
      <c r="P144" s="545" t="str">
        <f>IF('Marks Entry'!O144="","",'Marks Entry'!O144)</f>
        <v/>
      </c>
      <c r="Q144" s="547" t="str">
        <f t="shared" si="414"/>
        <v/>
      </c>
      <c r="R144" s="152">
        <f t="shared" si="415"/>
        <v>0</v>
      </c>
      <c r="S144" s="152">
        <f t="shared" si="416"/>
        <v>0</v>
      </c>
      <c r="T144" s="153" t="str">
        <f t="shared" si="417"/>
        <v/>
      </c>
      <c r="U144" s="152" t="str">
        <f t="shared" si="418"/>
        <v/>
      </c>
      <c r="V144" s="152" t="str">
        <f t="shared" si="419"/>
        <v/>
      </c>
      <c r="W144" s="152" t="str">
        <f t="shared" si="420"/>
        <v/>
      </c>
      <c r="X144" s="545" t="str">
        <f>IF('Marks Entry'!P144="","",'Marks Entry'!P144)</f>
        <v/>
      </c>
      <c r="Y144" s="545" t="str">
        <f>IF('Marks Entry'!Q144="","",'Marks Entry'!Q144)</f>
        <v/>
      </c>
      <c r="Z144" s="545" t="str">
        <f>IF('Marks Entry'!R144="","",'Marks Entry'!R144)</f>
        <v/>
      </c>
      <c r="AA144" s="546" t="str">
        <f t="shared" si="421"/>
        <v/>
      </c>
      <c r="AB144" s="545" t="str">
        <f>IF('Marks Entry'!S144="","",'Marks Entry'!S144)</f>
        <v/>
      </c>
      <c r="AC144" s="546" t="str">
        <f t="shared" si="422"/>
        <v/>
      </c>
      <c r="AD144" s="545" t="str">
        <f>IF('Marks Entry'!T144="","",'Marks Entry'!T144)</f>
        <v/>
      </c>
      <c r="AE144" s="547" t="str">
        <f t="shared" si="423"/>
        <v/>
      </c>
      <c r="AF144" s="152">
        <f t="shared" si="424"/>
        <v>0</v>
      </c>
      <c r="AG144" s="152">
        <f t="shared" si="425"/>
        <v>0</v>
      </c>
      <c r="AH144" s="153" t="str">
        <f t="shared" si="426"/>
        <v/>
      </c>
      <c r="AI144" s="152" t="str">
        <f t="shared" si="427"/>
        <v/>
      </c>
      <c r="AJ144" s="152" t="str">
        <f t="shared" si="428"/>
        <v/>
      </c>
      <c r="AK144" s="152" t="str">
        <f t="shared" si="429"/>
        <v/>
      </c>
      <c r="AL144" s="573" t="str">
        <f>IF('Marks Entry'!U144="","",'Marks Entry'!U144)</f>
        <v/>
      </c>
      <c r="AM144" s="573" t="str">
        <f>IF('Marks Entry'!V144="","",'Marks Entry'!V144)</f>
        <v/>
      </c>
      <c r="AN144" s="573" t="str">
        <f>IF('Marks Entry'!W144="","",'Marks Entry'!W144)</f>
        <v/>
      </c>
      <c r="AO144" s="573" t="str">
        <f>IF('Marks Entry'!X144="","",'Marks Entry'!X144)</f>
        <v/>
      </c>
      <c r="AP144" s="572" t="str">
        <f t="shared" si="430"/>
        <v/>
      </c>
      <c r="AQ144" s="573" t="str">
        <f>IF('Marks Entry'!Y144="","",'Marks Entry'!Y144)</f>
        <v/>
      </c>
      <c r="AR144" s="573" t="str">
        <f>IF('Marks Entry'!Z144="","",'Marks Entry'!Z144)</f>
        <v/>
      </c>
      <c r="AS144" s="572" t="str">
        <f t="shared" si="431"/>
        <v/>
      </c>
      <c r="AT144" s="572" t="str">
        <f t="shared" si="432"/>
        <v/>
      </c>
      <c r="AU144" s="573" t="str">
        <f>IF('Marks Entry'!AA144="","",'Marks Entry'!AA144)</f>
        <v/>
      </c>
      <c r="AV144" s="573" t="str">
        <f>IF('Marks Entry'!AB144="","",'Marks Entry'!AB144)</f>
        <v/>
      </c>
      <c r="AW144" s="572" t="str">
        <f t="shared" si="433"/>
        <v/>
      </c>
      <c r="AX144" s="156" t="str">
        <f t="shared" si="434"/>
        <v/>
      </c>
      <c r="AY144" s="156" t="str">
        <f t="shared" si="435"/>
        <v/>
      </c>
      <c r="AZ144" s="191" t="str">
        <f t="shared" si="436"/>
        <v/>
      </c>
      <c r="BA144" s="152">
        <f t="shared" si="437"/>
        <v>0</v>
      </c>
      <c r="BB144" s="153">
        <f t="shared" si="438"/>
        <v>0</v>
      </c>
      <c r="BC144" s="153" t="str">
        <f t="shared" si="439"/>
        <v/>
      </c>
      <c r="BD144" s="153" t="str">
        <f t="shared" si="440"/>
        <v/>
      </c>
      <c r="BE144" s="153" t="str">
        <f t="shared" si="441"/>
        <v/>
      </c>
      <c r="BF144" s="152" t="str">
        <f t="shared" si="442"/>
        <v/>
      </c>
      <c r="BG144" s="153" t="str">
        <f t="shared" si="443"/>
        <v/>
      </c>
      <c r="BH144" s="152" t="str">
        <f t="shared" si="444"/>
        <v/>
      </c>
      <c r="BI144" s="580" t="str">
        <f>IF('Marks Entry'!AC144="","",'Marks Entry'!AC144)</f>
        <v/>
      </c>
      <c r="BJ144" s="580" t="str">
        <f>IF('Marks Entry'!AD144="","",'Marks Entry'!AD144)</f>
        <v/>
      </c>
      <c r="BK144" s="580" t="str">
        <f>IF('Marks Entry'!AE144="","",'Marks Entry'!AE144)</f>
        <v/>
      </c>
      <c r="BL144" s="580" t="str">
        <f>IF('Marks Entry'!AF144="","",'Marks Entry'!AF144)</f>
        <v/>
      </c>
      <c r="BM144" s="581" t="str">
        <f t="shared" si="445"/>
        <v/>
      </c>
      <c r="BN144" s="580" t="str">
        <f>IF('Marks Entry'!AG144="","",'Marks Entry'!AG144)</f>
        <v/>
      </c>
      <c r="BO144" s="580" t="str">
        <f>IF('Marks Entry'!AH144="","",'Marks Entry'!AH144)</f>
        <v/>
      </c>
      <c r="BP144" s="581" t="str">
        <f t="shared" si="446"/>
        <v/>
      </c>
      <c r="BQ144" s="581" t="str">
        <f t="shared" si="447"/>
        <v/>
      </c>
      <c r="BR144" s="580" t="str">
        <f>IF('Marks Entry'!AI144="","",'Marks Entry'!AI144)</f>
        <v/>
      </c>
      <c r="BS144" s="580" t="str">
        <f>IF('Marks Entry'!AJ144="","",'Marks Entry'!AJ144)</f>
        <v/>
      </c>
      <c r="BT144" s="581" t="str">
        <f t="shared" si="448"/>
        <v/>
      </c>
      <c r="BU144" s="156" t="str">
        <f t="shared" si="449"/>
        <v/>
      </c>
      <c r="BV144" s="156" t="str">
        <f t="shared" si="450"/>
        <v/>
      </c>
      <c r="BW144" s="191" t="str">
        <f t="shared" si="451"/>
        <v/>
      </c>
      <c r="BX144" s="152">
        <f t="shared" si="452"/>
        <v>0</v>
      </c>
      <c r="BY144" s="153">
        <f t="shared" si="453"/>
        <v>0</v>
      </c>
      <c r="BZ144" s="153" t="str">
        <f t="shared" si="454"/>
        <v/>
      </c>
      <c r="CA144" s="153" t="str">
        <f t="shared" si="455"/>
        <v/>
      </c>
      <c r="CB144" s="153" t="str">
        <f t="shared" si="456"/>
        <v/>
      </c>
      <c r="CC144" s="152" t="str">
        <f t="shared" si="457"/>
        <v/>
      </c>
      <c r="CD144" s="153" t="str">
        <f t="shared" si="458"/>
        <v/>
      </c>
      <c r="CE144" s="152" t="str">
        <f t="shared" si="459"/>
        <v/>
      </c>
      <c r="CF144" s="580" t="str">
        <f>IF('Marks Entry'!AK144="","",'Marks Entry'!AK144)</f>
        <v/>
      </c>
      <c r="CG144" s="580" t="str">
        <f>IF('Marks Entry'!AL144="","",'Marks Entry'!AL144)</f>
        <v/>
      </c>
      <c r="CH144" s="580" t="str">
        <f>IF('Marks Entry'!AM144="","",'Marks Entry'!AM144)</f>
        <v/>
      </c>
      <c r="CI144" s="580" t="str">
        <f>IF('Marks Entry'!AN144="","",'Marks Entry'!AN144)</f>
        <v/>
      </c>
      <c r="CJ144" s="581" t="str">
        <f t="shared" si="460"/>
        <v/>
      </c>
      <c r="CK144" s="580" t="str">
        <f>IF('Marks Entry'!AO144="","",'Marks Entry'!AO144)</f>
        <v/>
      </c>
      <c r="CL144" s="580" t="str">
        <f>IF('Marks Entry'!AP144="","",'Marks Entry'!AP144)</f>
        <v/>
      </c>
      <c r="CM144" s="581" t="str">
        <f t="shared" si="461"/>
        <v/>
      </c>
      <c r="CN144" s="581" t="str">
        <f t="shared" si="462"/>
        <v/>
      </c>
      <c r="CO144" s="580" t="str">
        <f>IF('Marks Entry'!AQ144="","",'Marks Entry'!AQ144)</f>
        <v/>
      </c>
      <c r="CP144" s="580" t="str">
        <f>IF('Marks Entry'!AR144="","",'Marks Entry'!AR144)</f>
        <v/>
      </c>
      <c r="CQ144" s="581" t="str">
        <f t="shared" si="463"/>
        <v/>
      </c>
      <c r="CR144" s="156" t="str">
        <f t="shared" si="464"/>
        <v/>
      </c>
      <c r="CS144" s="156" t="str">
        <f t="shared" si="465"/>
        <v/>
      </c>
      <c r="CT144" s="191" t="str">
        <f t="shared" si="466"/>
        <v/>
      </c>
      <c r="CU144" s="152">
        <f t="shared" si="467"/>
        <v>0</v>
      </c>
      <c r="CV144" s="153">
        <f t="shared" si="468"/>
        <v>0</v>
      </c>
      <c r="CW144" s="153" t="str">
        <f t="shared" si="469"/>
        <v/>
      </c>
      <c r="CX144" s="153" t="str">
        <f t="shared" si="470"/>
        <v/>
      </c>
      <c r="CY144" s="153" t="str">
        <f t="shared" si="471"/>
        <v/>
      </c>
      <c r="CZ144" s="152" t="str">
        <f t="shared" si="472"/>
        <v/>
      </c>
      <c r="DA144" s="153" t="str">
        <f t="shared" si="473"/>
        <v/>
      </c>
      <c r="DB144" s="152" t="str">
        <f t="shared" si="474"/>
        <v/>
      </c>
      <c r="DC144" s="153">
        <f t="shared" si="475"/>
        <v>0</v>
      </c>
      <c r="DD144" s="851" t="str">
        <f>IF('Marks Entry'!AS144="","",IF(OR('Master Sheet'!$D$19="YES",'Marks Entry'!$BA$1=1),'Marks Entry'!AS144,""))</f>
        <v/>
      </c>
      <c r="DE144" s="851" t="str">
        <f>IF('Marks Entry'!AT144="","",IF(OR('Master Sheet'!$D$19="YES",'Marks Entry'!$BA$1=1),'Marks Entry'!AT144,""))</f>
        <v/>
      </c>
      <c r="DF144" s="851" t="str">
        <f>IF('Marks Entry'!AU144="","",IF(OR('Master Sheet'!$D$19="YES",'Marks Entry'!$BA$1=1),'Marks Entry'!AU144,""))</f>
        <v/>
      </c>
      <c r="DG144" s="851" t="str">
        <f>IF('Marks Entry'!AV144="","",IF(OR('Master Sheet'!$D$19="YES",'Marks Entry'!$BA$1=1),'Marks Entry'!AV144,""))</f>
        <v/>
      </c>
      <c r="DH144" s="852" t="str">
        <f t="shared" si="476"/>
        <v/>
      </c>
      <c r="DI144" s="851" t="str">
        <f>IF('Marks Entry'!AW144="","",IF(OR('Master Sheet'!$D$19="YES",'Marks Entry'!$BA$1=1),'Marks Entry'!AW144,""))</f>
        <v/>
      </c>
      <c r="DJ144" s="851" t="str">
        <f>IF('Marks Entry'!AX144="","",IF(OR('Master Sheet'!$D$19="YES",'Marks Entry'!$BA$1=1),'Marks Entry'!AX144,""))</f>
        <v/>
      </c>
      <c r="DK144" s="852" t="str">
        <f t="shared" si="477"/>
        <v/>
      </c>
      <c r="DL144" s="852" t="str">
        <f t="shared" si="478"/>
        <v/>
      </c>
      <c r="DM144" s="851" t="str">
        <f>IF('Marks Entry'!AY144="","",IF(OR('Master Sheet'!$D$19="YES",'Marks Entry'!$BA$1=1),'Marks Entry'!AY144,""))</f>
        <v/>
      </c>
      <c r="DN144" s="851" t="str">
        <f>IF('Marks Entry'!AZ144="","",IF(OR('Master Sheet'!$D$19="YES",'Marks Entry'!$BA$1=1),'Marks Entry'!AZ144,""))</f>
        <v/>
      </c>
      <c r="DO144" s="851" t="str">
        <f>IF('Marks Entry'!BA144="","",IF(OR('Master Sheet'!$D$19="YES",'Marks Entry'!$BA$1=1),'Marks Entry'!BA144,""))</f>
        <v/>
      </c>
      <c r="DP144" s="852" t="str">
        <f t="shared" si="479"/>
        <v/>
      </c>
      <c r="DQ144" s="156" t="str">
        <f t="shared" si="480"/>
        <v/>
      </c>
      <c r="DR144" s="156" t="str">
        <f t="shared" si="481"/>
        <v/>
      </c>
      <c r="DS144" s="156" t="str">
        <f t="shared" si="482"/>
        <v/>
      </c>
      <c r="DT144" s="191" t="str">
        <f t="shared" si="483"/>
        <v/>
      </c>
      <c r="DU144" s="152">
        <f t="shared" si="484"/>
        <v>0</v>
      </c>
      <c r="DV144" s="153">
        <f t="shared" si="485"/>
        <v>0</v>
      </c>
      <c r="DW144" s="153" t="str">
        <f t="shared" si="486"/>
        <v/>
      </c>
      <c r="DX144" s="153" t="str">
        <f>IF(OR($B144="NSO",$B144=0,DS144=""),"",IF(AND(DJ144="",DO144=""),"",IF('Master Sheet'!$D$19="YES",$DO$6-COUNTIF(DO144,"ML")*DO$6,DS$6-(COUNTIF(DJ144,"ML")*DJ$6)-(COUNTIF(DO144,"ML")*DO$6))))</f>
        <v/>
      </c>
      <c r="DY144" s="153" t="str">
        <f>IF(OR($B144="NSO",$B144=0),"",IF(AND(DH144="",DI144="",DM144=""),"",IF(AND('Master Sheet'!$D$19="YES",'Marks Entry'!$BA$1=1),100,IF(AND(DJ144="",DO144=""),SUM(($DQ$7+$DR$7)-(DU144+DV144)),SUM(($DQ$6+$DR$6)-(DU144+DV144))))))</f>
        <v/>
      </c>
      <c r="DZ144" s="152" t="str">
        <f t="shared" si="487"/>
        <v/>
      </c>
      <c r="EA144" s="153" t="str">
        <f t="shared" si="488"/>
        <v/>
      </c>
      <c r="EB144" s="152" t="str">
        <f t="shared" si="489"/>
        <v/>
      </c>
      <c r="EC144" s="584" t="str">
        <f>IF('Marks Entry'!BB144="","",'Marks Entry'!BB144)</f>
        <v/>
      </c>
      <c r="ED144" s="584" t="str">
        <f>IF('Marks Entry'!BC144="","",'Marks Entry'!BC144)</f>
        <v/>
      </c>
      <c r="EE144" s="584" t="str">
        <f>IF('Marks Entry'!BD144="","",'Marks Entry'!BD144)</f>
        <v/>
      </c>
      <c r="EF144" s="590" t="str">
        <f t="shared" si="490"/>
        <v/>
      </c>
      <c r="EG144" s="595">
        <f t="shared" si="491"/>
        <v>0</v>
      </c>
      <c r="EH144" s="595">
        <f t="shared" si="492"/>
        <v>0</v>
      </c>
      <c r="EI144" s="192" t="str">
        <f t="shared" si="493"/>
        <v/>
      </c>
      <c r="EJ144" s="595" t="str">
        <f t="shared" si="494"/>
        <v/>
      </c>
      <c r="EK144" s="595" t="str">
        <f t="shared" si="495"/>
        <v/>
      </c>
      <c r="EL144" s="193" t="str">
        <f t="shared" si="496"/>
        <v/>
      </c>
      <c r="EM144" s="193" t="str">
        <f t="shared" si="497"/>
        <v/>
      </c>
      <c r="EN144" s="193" t="str">
        <f t="shared" si="498"/>
        <v/>
      </c>
      <c r="EO144" s="193" t="str">
        <f t="shared" si="499"/>
        <v/>
      </c>
      <c r="EP144" s="193" t="str">
        <f t="shared" si="500"/>
        <v/>
      </c>
      <c r="EQ144" s="193" t="str">
        <f t="shared" si="501"/>
        <v/>
      </c>
      <c r="ER144" s="194">
        <f t="shared" si="502"/>
        <v>0</v>
      </c>
      <c r="ES144" s="194">
        <f t="shared" si="503"/>
        <v>0</v>
      </c>
      <c r="ET144" s="194">
        <f t="shared" si="504"/>
        <v>0</v>
      </c>
      <c r="EU144" s="194">
        <f t="shared" si="505"/>
        <v>0</v>
      </c>
      <c r="EV144" s="194">
        <f t="shared" si="506"/>
        <v>0</v>
      </c>
      <c r="EW144" s="194" t="str">
        <f t="shared" si="507"/>
        <v/>
      </c>
      <c r="EX144" s="195" t="str">
        <f t="shared" si="508"/>
        <v/>
      </c>
      <c r="EY144" s="196" t="str">
        <f>IF('Marks Entry'!BE144="","",'Marks Entry'!BE144)</f>
        <v/>
      </c>
      <c r="EZ144" s="196" t="str">
        <f>IF('Marks Entry'!BF144="","",'Marks Entry'!BF144)</f>
        <v/>
      </c>
      <c r="FA144" s="196" t="str">
        <f>IF('Marks Entry'!BG144="","",'Marks Entry'!BG144)</f>
        <v/>
      </c>
      <c r="FB144" s="596" t="str">
        <f t="shared" si="509"/>
        <v/>
      </c>
      <c r="FC144" s="196" t="str">
        <f>IF('Marks Entry'!BH144="","",'Marks Entry'!BH144)</f>
        <v/>
      </c>
      <c r="FD144" s="196" t="str">
        <f>IF('Marks Entry'!BI144="","",'Marks Entry'!BI144)</f>
        <v/>
      </c>
      <c r="FE144" s="197" t="str">
        <f t="shared" si="510"/>
        <v/>
      </c>
      <c r="FF144" s="198" t="str">
        <f t="shared" si="511"/>
        <v/>
      </c>
      <c r="FG144" s="199" t="str">
        <f>IF(AND(E144=""),"",IF('Student DATA Entry'!L140="","",'Student DATA Entry'!L140))</f>
        <v/>
      </c>
      <c r="FH144" s="200" t="str">
        <f>IF(AND(E144=""),"",IF('Student DATA Entry'!M140="","",'Student DATA Entry'!M140))</f>
        <v/>
      </c>
      <c r="FI144" s="201" t="str">
        <f t="shared" si="512"/>
        <v/>
      </c>
      <c r="FJ144" s="188" t="str">
        <f t="shared" si="513"/>
        <v/>
      </c>
      <c r="FK144" s="188" t="str">
        <f t="shared" si="514"/>
        <v/>
      </c>
      <c r="FL144" s="202" t="str">
        <f t="shared" si="383"/>
        <v/>
      </c>
      <c r="FM144" s="188" t="str">
        <f t="shared" si="515"/>
        <v/>
      </c>
      <c r="FN144" s="203" t="str">
        <f t="shared" si="516"/>
        <v/>
      </c>
      <c r="FO144" s="202" t="str">
        <f t="shared" si="384"/>
        <v/>
      </c>
      <c r="FP144" s="204" t="str">
        <f t="shared" si="517"/>
        <v/>
      </c>
      <c r="FQ144" s="188" t="str">
        <f t="shared" si="385"/>
        <v/>
      </c>
      <c r="FR144" s="188" t="str">
        <f t="shared" si="386"/>
        <v/>
      </c>
      <c r="FS144" s="188" t="str">
        <f t="shared" si="387"/>
        <v/>
      </c>
      <c r="FT144" s="188" t="str">
        <f t="shared" si="388"/>
        <v/>
      </c>
      <c r="FU144" s="188" t="str">
        <f t="shared" si="518"/>
        <v/>
      </c>
      <c r="FV144" s="205" t="str">
        <f t="shared" si="389"/>
        <v/>
      </c>
      <c r="FW144" s="204" t="str">
        <f t="shared" si="519"/>
        <v/>
      </c>
      <c r="FX144" s="188" t="str">
        <f t="shared" si="390"/>
        <v/>
      </c>
      <c r="FY144" s="188" t="str">
        <f t="shared" si="391"/>
        <v/>
      </c>
      <c r="FZ144" s="188" t="str">
        <f t="shared" si="392"/>
        <v/>
      </c>
      <c r="GA144" s="188" t="str">
        <f t="shared" si="393"/>
        <v/>
      </c>
      <c r="GB144" s="188" t="str">
        <f t="shared" si="520"/>
        <v/>
      </c>
      <c r="GC144" s="205" t="str">
        <f t="shared" si="394"/>
        <v/>
      </c>
      <c r="GD144" s="204" t="str">
        <f t="shared" si="521"/>
        <v/>
      </c>
      <c r="GE144" s="188" t="str">
        <f t="shared" si="395"/>
        <v/>
      </c>
      <c r="GF144" s="188" t="str">
        <f t="shared" si="396"/>
        <v/>
      </c>
      <c r="GG144" s="188" t="str">
        <f t="shared" si="397"/>
        <v/>
      </c>
      <c r="GH144" s="188" t="str">
        <f t="shared" si="398"/>
        <v/>
      </c>
      <c r="GI144" s="188" t="str">
        <f t="shared" si="522"/>
        <v/>
      </c>
      <c r="GJ144" s="205" t="str">
        <f t="shared" si="399"/>
        <v/>
      </c>
      <c r="GK144" s="204" t="str">
        <f t="shared" si="523"/>
        <v/>
      </c>
      <c r="GL144" s="188" t="str">
        <f t="shared" si="400"/>
        <v/>
      </c>
      <c r="GM144" s="188" t="str">
        <f t="shared" si="401"/>
        <v/>
      </c>
      <c r="GN144" s="188" t="str">
        <f t="shared" si="402"/>
        <v/>
      </c>
      <c r="GO144" s="188" t="str">
        <f t="shared" si="403"/>
        <v/>
      </c>
      <c r="GP144" s="188" t="str">
        <f t="shared" si="524"/>
        <v/>
      </c>
      <c r="GQ144" s="205" t="str">
        <f t="shared" si="404"/>
        <v/>
      </c>
      <c r="GR144" s="188" t="str">
        <f t="shared" si="525"/>
        <v/>
      </c>
      <c r="GS144" s="188" t="str">
        <f t="shared" si="526"/>
        <v/>
      </c>
      <c r="GT144" s="206" t="str">
        <f t="shared" si="527"/>
        <v xml:space="preserve">    </v>
      </c>
      <c r="GU144" s="206" t="str">
        <f t="shared" si="528"/>
        <v xml:space="preserve">    </v>
      </c>
      <c r="GV144" s="206" t="str">
        <f t="shared" si="529"/>
        <v xml:space="preserve">    </v>
      </c>
      <c r="GW144" s="206" t="str">
        <f t="shared" si="530"/>
        <v xml:space="preserve">       </v>
      </c>
      <c r="GX144" s="598" t="str">
        <f t="shared" si="531"/>
        <v xml:space="preserve">     </v>
      </c>
      <c r="GY144" s="207" t="str">
        <f t="shared" si="405"/>
        <v/>
      </c>
      <c r="GZ144" s="606" t="str">
        <f>IF(AND(Q144="",AE144="",AZ144="",BW144="",CT144=""),"",IF(AND('Master Sheet'!$D$19="YES",'Marks Entry'!$BA$1=1),SUM(Q144,AE144,AZ144,BW144,DT144),SUM(Q144,AE144,AZ144,BW144,CT144)))</f>
        <v/>
      </c>
      <c r="HA144" s="208" t="str">
        <f>IF(GZ144="","",IF(AND('Master Sheet'!$D$19="YES",'Marks Entry'!$BA$1=1),GZ144/((900)-DC144)*100,GZ144/((1000)-DC144)*100))</f>
        <v/>
      </c>
      <c r="HB144" s="611" t="str">
        <f t="shared" si="532"/>
        <v/>
      </c>
      <c r="HC144" s="609" t="str">
        <f t="shared" si="533"/>
        <v/>
      </c>
      <c r="HD144" s="610" t="str">
        <f t="shared" si="534"/>
        <v/>
      </c>
      <c r="HE144" s="209" t="str">
        <f>IFERROR(IF(OR(GY144="SUPPLEMENTARY",GY144="RE-EXAM"),'Supp. Result Entry'!AS143,""),"")</f>
        <v/>
      </c>
      <c r="HF144" s="613" t="str">
        <f t="shared" si="535"/>
        <v/>
      </c>
      <c r="HG144" s="598" t="str">
        <f t="shared" si="536"/>
        <v/>
      </c>
      <c r="HH144" s="598" t="str">
        <f>IF(AND(HE144="",HF144="",HG144=""),"",IF(OR(GY144="SUPPLEMENTARY",GY144="RE-EXAM"),'Supp. Result Entry'!AS143,GY144))</f>
        <v/>
      </c>
      <c r="HI144" s="179"/>
      <c r="HY144" s="211" t="str">
        <f>IF('Supp. Result Entry'!U143="","",'Supp. Result Entry'!$U$6)</f>
        <v/>
      </c>
      <c r="HZ144" s="212" t="str">
        <f>IF('Supp. Result Entry'!X143="","",'Supp. Result Entry'!$X$6)</f>
        <v/>
      </c>
      <c r="IA144" s="212" t="str">
        <f>IF('Supp. Result Entry'!AA143="","",'Supp. Result Entry'!$AA$6)</f>
        <v/>
      </c>
      <c r="IB144" s="212" t="str">
        <f>IF('Supp. Result Entry'!AD143="","",'Supp. Result Entry'!$AD$6)</f>
        <v/>
      </c>
      <c r="IC144" s="212" t="str">
        <f>IF('Supp. Result Entry'!AG143="","",'Supp. Result Entry'!$AG$6)</f>
        <v/>
      </c>
      <c r="ID144" s="212" t="str">
        <f>IF('Supp. Result Entry'!AJ143="","",'Supp. Result Entry'!$AJ$6)</f>
        <v/>
      </c>
      <c r="IE144" s="212" t="str">
        <f>IF('Supp. Result Entry'!V143="","",'Supp. Result Entry'!V143)</f>
        <v/>
      </c>
      <c r="IF144" s="212" t="str">
        <f>IF('Supp. Result Entry'!Y143="","",'Supp. Result Entry'!Y143)</f>
        <v/>
      </c>
      <c r="IG144" s="212" t="str">
        <f>IF('Supp. Result Entry'!AB143="","",'Supp. Result Entry'!AB143)</f>
        <v/>
      </c>
      <c r="IH144" s="212" t="str">
        <f>IF('Supp. Result Entry'!AE143="","",'Supp. Result Entry'!AE143)</f>
        <v/>
      </c>
      <c r="II144" s="212" t="str">
        <f>IF('Supp. Result Entry'!AH143="","",'Supp. Result Entry'!AH143)</f>
        <v/>
      </c>
      <c r="IJ144" s="212" t="str">
        <f>IF('Supp. Result Entry'!AK143="","",'Supp. Result Entry'!AK143)</f>
        <v/>
      </c>
      <c r="IK144" s="212" t="str">
        <f>IF('Supp. Result Entry'!W143="","",'Supp. Result Entry'!W143)</f>
        <v/>
      </c>
      <c r="IL144" s="212" t="str">
        <f>IF('Supp. Result Entry'!Z143="","",'Supp. Result Entry'!Z143)</f>
        <v/>
      </c>
      <c r="IM144" s="212" t="str">
        <f>IF('Supp. Result Entry'!AC143="","",'Supp. Result Entry'!AC143)</f>
        <v/>
      </c>
      <c r="IN144" s="212" t="str">
        <f>IF('Supp. Result Entry'!AF143="","",'Supp. Result Entry'!AF143)</f>
        <v/>
      </c>
      <c r="IO144" s="212" t="str">
        <f>IF('Supp. Result Entry'!AI143="","",'Supp. Result Entry'!AI143)</f>
        <v/>
      </c>
      <c r="IP144" s="212" t="str">
        <f>IF('Supp. Result Entry'!AL143="","",'Supp. Result Entry'!AL143)</f>
        <v/>
      </c>
      <c r="IQ144" s="212">
        <f>COUNTIF('Supp. Result Entry'!K143:Q143,"S")</f>
        <v>0</v>
      </c>
      <c r="IR144" s="212">
        <f t="shared" si="537"/>
        <v>0</v>
      </c>
      <c r="IS144" s="212">
        <f t="shared" si="538"/>
        <v>0</v>
      </c>
      <c r="IT144" s="212" t="str">
        <f t="shared" si="406"/>
        <v/>
      </c>
      <c r="IU144" s="212" t="str">
        <f t="shared" si="407"/>
        <v/>
      </c>
      <c r="IV144" s="212" t="str">
        <f t="shared" si="408"/>
        <v/>
      </c>
      <c r="IW144" s="212" t="str">
        <f t="shared" si="409"/>
        <v/>
      </c>
      <c r="IX144" s="212" t="str">
        <f t="shared" si="410"/>
        <v/>
      </c>
      <c r="IY144" s="212" t="str">
        <f t="shared" si="539"/>
        <v/>
      </c>
      <c r="IZ144" s="212" t="str">
        <f t="shared" si="540"/>
        <v/>
      </c>
      <c r="JA144" s="212" t="str">
        <f t="shared" si="411"/>
        <v/>
      </c>
      <c r="JB144" s="210" t="str">
        <f t="shared" si="541"/>
        <v/>
      </c>
    </row>
    <row r="145" spans="1:262" s="210" customFormat="1" ht="21" customHeight="1">
      <c r="A145" s="183">
        <v>138</v>
      </c>
      <c r="B145" s="184" t="str">
        <f>IF('Marks Entry'!B145="","",'Marks Entry'!B145)</f>
        <v/>
      </c>
      <c r="C145" s="185" t="str">
        <f>IF('Marks Entry'!D145="","",'Marks Entry'!D145)</f>
        <v/>
      </c>
      <c r="D145" s="186" t="str">
        <f>IF('Marks Entry'!E145="","",'Marks Entry'!E145)</f>
        <v/>
      </c>
      <c r="E145" s="187" t="str">
        <f>IF('Marks Entry'!F145="","",'Marks Entry'!F145)</f>
        <v/>
      </c>
      <c r="F145" s="187" t="str">
        <f>IF('Marks Entry'!G145="","",'Marks Entry'!G145)</f>
        <v/>
      </c>
      <c r="G145" s="187" t="str">
        <f>IF('Marks Entry'!H145="","",'Marks Entry'!H145)</f>
        <v/>
      </c>
      <c r="H145" s="188" t="str">
        <f>IF('Marks Entry'!I145="","",'Marks Entry'!I145)</f>
        <v/>
      </c>
      <c r="I145" s="189" t="str">
        <f>IF('Marks Entry'!J145="","",'Marks Entry'!J145)</f>
        <v/>
      </c>
      <c r="J145" s="545" t="str">
        <f>IF('Marks Entry'!K145="","",'Marks Entry'!K145)</f>
        <v/>
      </c>
      <c r="K145" s="545" t="str">
        <f>IF('Marks Entry'!L145="","",'Marks Entry'!L145)</f>
        <v/>
      </c>
      <c r="L145" s="545" t="str">
        <f>IF('Marks Entry'!M145="","",'Marks Entry'!M145)</f>
        <v/>
      </c>
      <c r="M145" s="546" t="str">
        <f t="shared" si="412"/>
        <v/>
      </c>
      <c r="N145" s="545" t="str">
        <f>IF('Marks Entry'!N145="","",'Marks Entry'!N145)</f>
        <v/>
      </c>
      <c r="O145" s="546" t="str">
        <f t="shared" si="413"/>
        <v/>
      </c>
      <c r="P145" s="545" t="str">
        <f>IF('Marks Entry'!O145="","",'Marks Entry'!O145)</f>
        <v/>
      </c>
      <c r="Q145" s="547" t="str">
        <f t="shared" si="414"/>
        <v/>
      </c>
      <c r="R145" s="152">
        <f t="shared" si="415"/>
        <v>0</v>
      </c>
      <c r="S145" s="152">
        <f t="shared" si="416"/>
        <v>0</v>
      </c>
      <c r="T145" s="153" t="str">
        <f t="shared" si="417"/>
        <v/>
      </c>
      <c r="U145" s="152" t="str">
        <f t="shared" si="418"/>
        <v/>
      </c>
      <c r="V145" s="152" t="str">
        <f t="shared" si="419"/>
        <v/>
      </c>
      <c r="W145" s="152" t="str">
        <f t="shared" si="420"/>
        <v/>
      </c>
      <c r="X145" s="545" t="str">
        <f>IF('Marks Entry'!P145="","",'Marks Entry'!P145)</f>
        <v/>
      </c>
      <c r="Y145" s="545" t="str">
        <f>IF('Marks Entry'!Q145="","",'Marks Entry'!Q145)</f>
        <v/>
      </c>
      <c r="Z145" s="545" t="str">
        <f>IF('Marks Entry'!R145="","",'Marks Entry'!R145)</f>
        <v/>
      </c>
      <c r="AA145" s="546" t="str">
        <f t="shared" si="421"/>
        <v/>
      </c>
      <c r="AB145" s="545" t="str">
        <f>IF('Marks Entry'!S145="","",'Marks Entry'!S145)</f>
        <v/>
      </c>
      <c r="AC145" s="546" t="str">
        <f t="shared" si="422"/>
        <v/>
      </c>
      <c r="AD145" s="545" t="str">
        <f>IF('Marks Entry'!T145="","",'Marks Entry'!T145)</f>
        <v/>
      </c>
      <c r="AE145" s="547" t="str">
        <f t="shared" si="423"/>
        <v/>
      </c>
      <c r="AF145" s="152">
        <f t="shared" si="424"/>
        <v>0</v>
      </c>
      <c r="AG145" s="152">
        <f t="shared" si="425"/>
        <v>0</v>
      </c>
      <c r="AH145" s="153" t="str">
        <f t="shared" si="426"/>
        <v/>
      </c>
      <c r="AI145" s="152" t="str">
        <f t="shared" si="427"/>
        <v/>
      </c>
      <c r="AJ145" s="152" t="str">
        <f t="shared" si="428"/>
        <v/>
      </c>
      <c r="AK145" s="152" t="str">
        <f t="shared" si="429"/>
        <v/>
      </c>
      <c r="AL145" s="573" t="str">
        <f>IF('Marks Entry'!U145="","",'Marks Entry'!U145)</f>
        <v/>
      </c>
      <c r="AM145" s="573" t="str">
        <f>IF('Marks Entry'!V145="","",'Marks Entry'!V145)</f>
        <v/>
      </c>
      <c r="AN145" s="573" t="str">
        <f>IF('Marks Entry'!W145="","",'Marks Entry'!W145)</f>
        <v/>
      </c>
      <c r="AO145" s="573" t="str">
        <f>IF('Marks Entry'!X145="","",'Marks Entry'!X145)</f>
        <v/>
      </c>
      <c r="AP145" s="572" t="str">
        <f t="shared" si="430"/>
        <v/>
      </c>
      <c r="AQ145" s="573" t="str">
        <f>IF('Marks Entry'!Y145="","",'Marks Entry'!Y145)</f>
        <v/>
      </c>
      <c r="AR145" s="573" t="str">
        <f>IF('Marks Entry'!Z145="","",'Marks Entry'!Z145)</f>
        <v/>
      </c>
      <c r="AS145" s="572" t="str">
        <f t="shared" si="431"/>
        <v/>
      </c>
      <c r="AT145" s="572" t="str">
        <f t="shared" si="432"/>
        <v/>
      </c>
      <c r="AU145" s="573" t="str">
        <f>IF('Marks Entry'!AA145="","",'Marks Entry'!AA145)</f>
        <v/>
      </c>
      <c r="AV145" s="573" t="str">
        <f>IF('Marks Entry'!AB145="","",'Marks Entry'!AB145)</f>
        <v/>
      </c>
      <c r="AW145" s="572" t="str">
        <f t="shared" si="433"/>
        <v/>
      </c>
      <c r="AX145" s="156" t="str">
        <f t="shared" si="434"/>
        <v/>
      </c>
      <c r="AY145" s="156" t="str">
        <f t="shared" si="435"/>
        <v/>
      </c>
      <c r="AZ145" s="191" t="str">
        <f t="shared" si="436"/>
        <v/>
      </c>
      <c r="BA145" s="152">
        <f t="shared" si="437"/>
        <v>0</v>
      </c>
      <c r="BB145" s="153">
        <f t="shared" si="438"/>
        <v>0</v>
      </c>
      <c r="BC145" s="153" t="str">
        <f t="shared" si="439"/>
        <v/>
      </c>
      <c r="BD145" s="153" t="str">
        <f t="shared" si="440"/>
        <v/>
      </c>
      <c r="BE145" s="153" t="str">
        <f t="shared" si="441"/>
        <v/>
      </c>
      <c r="BF145" s="152" t="str">
        <f t="shared" si="442"/>
        <v/>
      </c>
      <c r="BG145" s="153" t="str">
        <f t="shared" si="443"/>
        <v/>
      </c>
      <c r="BH145" s="152" t="str">
        <f t="shared" si="444"/>
        <v/>
      </c>
      <c r="BI145" s="580" t="str">
        <f>IF('Marks Entry'!AC145="","",'Marks Entry'!AC145)</f>
        <v/>
      </c>
      <c r="BJ145" s="580" t="str">
        <f>IF('Marks Entry'!AD145="","",'Marks Entry'!AD145)</f>
        <v/>
      </c>
      <c r="BK145" s="580" t="str">
        <f>IF('Marks Entry'!AE145="","",'Marks Entry'!AE145)</f>
        <v/>
      </c>
      <c r="BL145" s="580" t="str">
        <f>IF('Marks Entry'!AF145="","",'Marks Entry'!AF145)</f>
        <v/>
      </c>
      <c r="BM145" s="581" t="str">
        <f t="shared" si="445"/>
        <v/>
      </c>
      <c r="BN145" s="580" t="str">
        <f>IF('Marks Entry'!AG145="","",'Marks Entry'!AG145)</f>
        <v/>
      </c>
      <c r="BO145" s="580" t="str">
        <f>IF('Marks Entry'!AH145="","",'Marks Entry'!AH145)</f>
        <v/>
      </c>
      <c r="BP145" s="581" t="str">
        <f t="shared" si="446"/>
        <v/>
      </c>
      <c r="BQ145" s="581" t="str">
        <f t="shared" si="447"/>
        <v/>
      </c>
      <c r="BR145" s="580" t="str">
        <f>IF('Marks Entry'!AI145="","",'Marks Entry'!AI145)</f>
        <v/>
      </c>
      <c r="BS145" s="580" t="str">
        <f>IF('Marks Entry'!AJ145="","",'Marks Entry'!AJ145)</f>
        <v/>
      </c>
      <c r="BT145" s="581" t="str">
        <f t="shared" si="448"/>
        <v/>
      </c>
      <c r="BU145" s="156" t="str">
        <f t="shared" si="449"/>
        <v/>
      </c>
      <c r="BV145" s="156" t="str">
        <f t="shared" si="450"/>
        <v/>
      </c>
      <c r="BW145" s="191" t="str">
        <f t="shared" si="451"/>
        <v/>
      </c>
      <c r="BX145" s="152">
        <f t="shared" si="452"/>
        <v>0</v>
      </c>
      <c r="BY145" s="153">
        <f t="shared" si="453"/>
        <v>0</v>
      </c>
      <c r="BZ145" s="153" t="str">
        <f t="shared" si="454"/>
        <v/>
      </c>
      <c r="CA145" s="153" t="str">
        <f t="shared" si="455"/>
        <v/>
      </c>
      <c r="CB145" s="153" t="str">
        <f t="shared" si="456"/>
        <v/>
      </c>
      <c r="CC145" s="152" t="str">
        <f t="shared" si="457"/>
        <v/>
      </c>
      <c r="CD145" s="153" t="str">
        <f t="shared" si="458"/>
        <v/>
      </c>
      <c r="CE145" s="152" t="str">
        <f t="shared" si="459"/>
        <v/>
      </c>
      <c r="CF145" s="580" t="str">
        <f>IF('Marks Entry'!AK145="","",'Marks Entry'!AK145)</f>
        <v/>
      </c>
      <c r="CG145" s="580" t="str">
        <f>IF('Marks Entry'!AL145="","",'Marks Entry'!AL145)</f>
        <v/>
      </c>
      <c r="CH145" s="580" t="str">
        <f>IF('Marks Entry'!AM145="","",'Marks Entry'!AM145)</f>
        <v/>
      </c>
      <c r="CI145" s="580" t="str">
        <f>IF('Marks Entry'!AN145="","",'Marks Entry'!AN145)</f>
        <v/>
      </c>
      <c r="CJ145" s="581" t="str">
        <f t="shared" si="460"/>
        <v/>
      </c>
      <c r="CK145" s="580" t="str">
        <f>IF('Marks Entry'!AO145="","",'Marks Entry'!AO145)</f>
        <v/>
      </c>
      <c r="CL145" s="580" t="str">
        <f>IF('Marks Entry'!AP145="","",'Marks Entry'!AP145)</f>
        <v/>
      </c>
      <c r="CM145" s="581" t="str">
        <f t="shared" si="461"/>
        <v/>
      </c>
      <c r="CN145" s="581" t="str">
        <f t="shared" si="462"/>
        <v/>
      </c>
      <c r="CO145" s="580" t="str">
        <f>IF('Marks Entry'!AQ145="","",'Marks Entry'!AQ145)</f>
        <v/>
      </c>
      <c r="CP145" s="580" t="str">
        <f>IF('Marks Entry'!AR145="","",'Marks Entry'!AR145)</f>
        <v/>
      </c>
      <c r="CQ145" s="581" t="str">
        <f t="shared" si="463"/>
        <v/>
      </c>
      <c r="CR145" s="156" t="str">
        <f t="shared" si="464"/>
        <v/>
      </c>
      <c r="CS145" s="156" t="str">
        <f t="shared" si="465"/>
        <v/>
      </c>
      <c r="CT145" s="191" t="str">
        <f t="shared" si="466"/>
        <v/>
      </c>
      <c r="CU145" s="152">
        <f t="shared" si="467"/>
        <v>0</v>
      </c>
      <c r="CV145" s="153">
        <f t="shared" si="468"/>
        <v>0</v>
      </c>
      <c r="CW145" s="153" t="str">
        <f t="shared" si="469"/>
        <v/>
      </c>
      <c r="CX145" s="153" t="str">
        <f t="shared" si="470"/>
        <v/>
      </c>
      <c r="CY145" s="153" t="str">
        <f t="shared" si="471"/>
        <v/>
      </c>
      <c r="CZ145" s="152" t="str">
        <f t="shared" si="472"/>
        <v/>
      </c>
      <c r="DA145" s="153" t="str">
        <f t="shared" si="473"/>
        <v/>
      </c>
      <c r="DB145" s="152" t="str">
        <f t="shared" si="474"/>
        <v/>
      </c>
      <c r="DC145" s="153">
        <f t="shared" si="475"/>
        <v>0</v>
      </c>
      <c r="DD145" s="851" t="str">
        <f>IF('Marks Entry'!AS145="","",IF(OR('Master Sheet'!$D$19="YES",'Marks Entry'!$BA$1=1),'Marks Entry'!AS145,""))</f>
        <v/>
      </c>
      <c r="DE145" s="851" t="str">
        <f>IF('Marks Entry'!AT145="","",IF(OR('Master Sheet'!$D$19="YES",'Marks Entry'!$BA$1=1),'Marks Entry'!AT145,""))</f>
        <v/>
      </c>
      <c r="DF145" s="851" t="str">
        <f>IF('Marks Entry'!AU145="","",IF(OR('Master Sheet'!$D$19="YES",'Marks Entry'!$BA$1=1),'Marks Entry'!AU145,""))</f>
        <v/>
      </c>
      <c r="DG145" s="851" t="str">
        <f>IF('Marks Entry'!AV145="","",IF(OR('Master Sheet'!$D$19="YES",'Marks Entry'!$BA$1=1),'Marks Entry'!AV145,""))</f>
        <v/>
      </c>
      <c r="DH145" s="852" t="str">
        <f t="shared" si="476"/>
        <v/>
      </c>
      <c r="DI145" s="851" t="str">
        <f>IF('Marks Entry'!AW145="","",IF(OR('Master Sheet'!$D$19="YES",'Marks Entry'!$BA$1=1),'Marks Entry'!AW145,""))</f>
        <v/>
      </c>
      <c r="DJ145" s="851" t="str">
        <f>IF('Marks Entry'!AX145="","",IF(OR('Master Sheet'!$D$19="YES",'Marks Entry'!$BA$1=1),'Marks Entry'!AX145,""))</f>
        <v/>
      </c>
      <c r="DK145" s="852" t="str">
        <f t="shared" si="477"/>
        <v/>
      </c>
      <c r="DL145" s="852" t="str">
        <f t="shared" si="478"/>
        <v/>
      </c>
      <c r="DM145" s="851" t="str">
        <f>IF('Marks Entry'!AY145="","",IF(OR('Master Sheet'!$D$19="YES",'Marks Entry'!$BA$1=1),'Marks Entry'!AY145,""))</f>
        <v/>
      </c>
      <c r="DN145" s="851" t="str">
        <f>IF('Marks Entry'!AZ145="","",IF(OR('Master Sheet'!$D$19="YES",'Marks Entry'!$BA$1=1),'Marks Entry'!AZ145,""))</f>
        <v/>
      </c>
      <c r="DO145" s="851" t="str">
        <f>IF('Marks Entry'!BA145="","",IF(OR('Master Sheet'!$D$19="YES",'Marks Entry'!$BA$1=1),'Marks Entry'!BA145,""))</f>
        <v/>
      </c>
      <c r="DP145" s="852" t="str">
        <f t="shared" si="479"/>
        <v/>
      </c>
      <c r="DQ145" s="156" t="str">
        <f t="shared" si="480"/>
        <v/>
      </c>
      <c r="DR145" s="156" t="str">
        <f t="shared" si="481"/>
        <v/>
      </c>
      <c r="DS145" s="156" t="str">
        <f t="shared" si="482"/>
        <v/>
      </c>
      <c r="DT145" s="191" t="str">
        <f t="shared" si="483"/>
        <v/>
      </c>
      <c r="DU145" s="152">
        <f t="shared" si="484"/>
        <v>0</v>
      </c>
      <c r="DV145" s="153">
        <f t="shared" si="485"/>
        <v>0</v>
      </c>
      <c r="DW145" s="153" t="str">
        <f t="shared" si="486"/>
        <v/>
      </c>
      <c r="DX145" s="153" t="str">
        <f>IF(OR($B145="NSO",$B145=0,DS145=""),"",IF(AND(DJ145="",DO145=""),"",IF('Master Sheet'!$D$19="YES",$DO$6-COUNTIF(DO145,"ML")*DO$6,DS$6-(COUNTIF(DJ145,"ML")*DJ$6)-(COUNTIF(DO145,"ML")*DO$6))))</f>
        <v/>
      </c>
      <c r="DY145" s="153" t="str">
        <f>IF(OR($B145="NSO",$B145=0),"",IF(AND(DH145="",DI145="",DM145=""),"",IF(AND('Master Sheet'!$D$19="YES",'Marks Entry'!$BA$1=1),100,IF(AND(DJ145="",DO145=""),SUM(($DQ$7+$DR$7)-(DU145+DV145)),SUM(($DQ$6+$DR$6)-(DU145+DV145))))))</f>
        <v/>
      </c>
      <c r="DZ145" s="152" t="str">
        <f t="shared" si="487"/>
        <v/>
      </c>
      <c r="EA145" s="153" t="str">
        <f t="shared" si="488"/>
        <v/>
      </c>
      <c r="EB145" s="152" t="str">
        <f t="shared" si="489"/>
        <v/>
      </c>
      <c r="EC145" s="584" t="str">
        <f>IF('Marks Entry'!BB145="","",'Marks Entry'!BB145)</f>
        <v/>
      </c>
      <c r="ED145" s="584" t="str">
        <f>IF('Marks Entry'!BC145="","",'Marks Entry'!BC145)</f>
        <v/>
      </c>
      <c r="EE145" s="584" t="str">
        <f>IF('Marks Entry'!BD145="","",'Marks Entry'!BD145)</f>
        <v/>
      </c>
      <c r="EF145" s="590" t="str">
        <f t="shared" si="490"/>
        <v/>
      </c>
      <c r="EG145" s="595">
        <f t="shared" si="491"/>
        <v>0</v>
      </c>
      <c r="EH145" s="595">
        <f t="shared" si="492"/>
        <v>0</v>
      </c>
      <c r="EI145" s="192" t="str">
        <f t="shared" si="493"/>
        <v/>
      </c>
      <c r="EJ145" s="595" t="str">
        <f t="shared" si="494"/>
        <v/>
      </c>
      <c r="EK145" s="595" t="str">
        <f t="shared" si="495"/>
        <v/>
      </c>
      <c r="EL145" s="193" t="str">
        <f t="shared" si="496"/>
        <v/>
      </c>
      <c r="EM145" s="193" t="str">
        <f t="shared" si="497"/>
        <v/>
      </c>
      <c r="EN145" s="193" t="str">
        <f t="shared" si="498"/>
        <v/>
      </c>
      <c r="EO145" s="193" t="str">
        <f t="shared" si="499"/>
        <v/>
      </c>
      <c r="EP145" s="193" t="str">
        <f t="shared" si="500"/>
        <v/>
      </c>
      <c r="EQ145" s="193" t="str">
        <f t="shared" si="501"/>
        <v/>
      </c>
      <c r="ER145" s="194">
        <f t="shared" si="502"/>
        <v>0</v>
      </c>
      <c r="ES145" s="194">
        <f t="shared" si="503"/>
        <v>0</v>
      </c>
      <c r="ET145" s="194">
        <f t="shared" si="504"/>
        <v>0</v>
      </c>
      <c r="EU145" s="194">
        <f t="shared" si="505"/>
        <v>0</v>
      </c>
      <c r="EV145" s="194">
        <f t="shared" si="506"/>
        <v>0</v>
      </c>
      <c r="EW145" s="194" t="str">
        <f t="shared" si="507"/>
        <v/>
      </c>
      <c r="EX145" s="195" t="str">
        <f t="shared" si="508"/>
        <v/>
      </c>
      <c r="EY145" s="196" t="str">
        <f>IF('Marks Entry'!BE145="","",'Marks Entry'!BE145)</f>
        <v/>
      </c>
      <c r="EZ145" s="196" t="str">
        <f>IF('Marks Entry'!BF145="","",'Marks Entry'!BF145)</f>
        <v/>
      </c>
      <c r="FA145" s="196" t="str">
        <f>IF('Marks Entry'!BG145="","",'Marks Entry'!BG145)</f>
        <v/>
      </c>
      <c r="FB145" s="596" t="str">
        <f t="shared" si="509"/>
        <v/>
      </c>
      <c r="FC145" s="196" t="str">
        <f>IF('Marks Entry'!BH145="","",'Marks Entry'!BH145)</f>
        <v/>
      </c>
      <c r="FD145" s="196" t="str">
        <f>IF('Marks Entry'!BI145="","",'Marks Entry'!BI145)</f>
        <v/>
      </c>
      <c r="FE145" s="197" t="str">
        <f t="shared" si="510"/>
        <v/>
      </c>
      <c r="FF145" s="198" t="str">
        <f t="shared" si="511"/>
        <v/>
      </c>
      <c r="FG145" s="199" t="str">
        <f>IF(AND(E145=""),"",IF('Student DATA Entry'!L141="","",'Student DATA Entry'!L141))</f>
        <v/>
      </c>
      <c r="FH145" s="200" t="str">
        <f>IF(AND(E145=""),"",IF('Student DATA Entry'!M141="","",'Student DATA Entry'!M141))</f>
        <v/>
      </c>
      <c r="FI145" s="201" t="str">
        <f t="shared" si="512"/>
        <v/>
      </c>
      <c r="FJ145" s="188" t="str">
        <f t="shared" si="513"/>
        <v/>
      </c>
      <c r="FK145" s="188" t="str">
        <f t="shared" si="514"/>
        <v/>
      </c>
      <c r="FL145" s="202" t="str">
        <f t="shared" si="383"/>
        <v/>
      </c>
      <c r="FM145" s="188" t="str">
        <f t="shared" si="515"/>
        <v/>
      </c>
      <c r="FN145" s="203" t="str">
        <f t="shared" si="516"/>
        <v/>
      </c>
      <c r="FO145" s="202" t="str">
        <f t="shared" si="384"/>
        <v/>
      </c>
      <c r="FP145" s="204" t="str">
        <f t="shared" si="517"/>
        <v/>
      </c>
      <c r="FQ145" s="188" t="str">
        <f t="shared" si="385"/>
        <v/>
      </c>
      <c r="FR145" s="188" t="str">
        <f t="shared" si="386"/>
        <v/>
      </c>
      <c r="FS145" s="188" t="str">
        <f t="shared" si="387"/>
        <v/>
      </c>
      <c r="FT145" s="188" t="str">
        <f t="shared" si="388"/>
        <v/>
      </c>
      <c r="FU145" s="188" t="str">
        <f t="shared" si="518"/>
        <v/>
      </c>
      <c r="FV145" s="205" t="str">
        <f t="shared" si="389"/>
        <v/>
      </c>
      <c r="FW145" s="204" t="str">
        <f t="shared" si="519"/>
        <v/>
      </c>
      <c r="FX145" s="188" t="str">
        <f t="shared" si="390"/>
        <v/>
      </c>
      <c r="FY145" s="188" t="str">
        <f t="shared" si="391"/>
        <v/>
      </c>
      <c r="FZ145" s="188" t="str">
        <f t="shared" si="392"/>
        <v/>
      </c>
      <c r="GA145" s="188" t="str">
        <f t="shared" si="393"/>
        <v/>
      </c>
      <c r="GB145" s="188" t="str">
        <f t="shared" si="520"/>
        <v/>
      </c>
      <c r="GC145" s="205" t="str">
        <f t="shared" si="394"/>
        <v/>
      </c>
      <c r="GD145" s="204" t="str">
        <f t="shared" si="521"/>
        <v/>
      </c>
      <c r="GE145" s="188" t="str">
        <f t="shared" si="395"/>
        <v/>
      </c>
      <c r="GF145" s="188" t="str">
        <f t="shared" si="396"/>
        <v/>
      </c>
      <c r="GG145" s="188" t="str">
        <f t="shared" si="397"/>
        <v/>
      </c>
      <c r="GH145" s="188" t="str">
        <f t="shared" si="398"/>
        <v/>
      </c>
      <c r="GI145" s="188" t="str">
        <f t="shared" si="522"/>
        <v/>
      </c>
      <c r="GJ145" s="205" t="str">
        <f t="shared" si="399"/>
        <v/>
      </c>
      <c r="GK145" s="204" t="str">
        <f t="shared" si="523"/>
        <v/>
      </c>
      <c r="GL145" s="188" t="str">
        <f t="shared" si="400"/>
        <v/>
      </c>
      <c r="GM145" s="188" t="str">
        <f t="shared" si="401"/>
        <v/>
      </c>
      <c r="GN145" s="188" t="str">
        <f t="shared" si="402"/>
        <v/>
      </c>
      <c r="GO145" s="188" t="str">
        <f t="shared" si="403"/>
        <v/>
      </c>
      <c r="GP145" s="188" t="str">
        <f t="shared" si="524"/>
        <v/>
      </c>
      <c r="GQ145" s="205" t="str">
        <f t="shared" si="404"/>
        <v/>
      </c>
      <c r="GR145" s="188" t="str">
        <f t="shared" si="525"/>
        <v/>
      </c>
      <c r="GS145" s="188" t="str">
        <f t="shared" si="526"/>
        <v/>
      </c>
      <c r="GT145" s="206" t="str">
        <f t="shared" si="527"/>
        <v xml:space="preserve">    </v>
      </c>
      <c r="GU145" s="206" t="str">
        <f t="shared" si="528"/>
        <v xml:space="preserve">    </v>
      </c>
      <c r="GV145" s="206" t="str">
        <f t="shared" si="529"/>
        <v xml:space="preserve">    </v>
      </c>
      <c r="GW145" s="206" t="str">
        <f t="shared" si="530"/>
        <v xml:space="preserve">       </v>
      </c>
      <c r="GX145" s="598" t="str">
        <f t="shared" si="531"/>
        <v xml:space="preserve">     </v>
      </c>
      <c r="GY145" s="207" t="str">
        <f t="shared" si="405"/>
        <v/>
      </c>
      <c r="GZ145" s="606" t="str">
        <f>IF(AND(Q145="",AE145="",AZ145="",BW145="",CT145=""),"",IF(AND('Master Sheet'!$D$19="YES",'Marks Entry'!$BA$1=1),SUM(Q145,AE145,AZ145,BW145,DT145),SUM(Q145,AE145,AZ145,BW145,CT145)))</f>
        <v/>
      </c>
      <c r="HA145" s="208" t="str">
        <f>IF(GZ145="","",IF(AND('Master Sheet'!$D$19="YES",'Marks Entry'!$BA$1=1),GZ145/((900)-DC145)*100,GZ145/((1000)-DC145)*100))</f>
        <v/>
      </c>
      <c r="HB145" s="611" t="str">
        <f t="shared" si="532"/>
        <v/>
      </c>
      <c r="HC145" s="609" t="str">
        <f t="shared" si="533"/>
        <v/>
      </c>
      <c r="HD145" s="610" t="str">
        <f t="shared" si="534"/>
        <v/>
      </c>
      <c r="HE145" s="209" t="str">
        <f>IFERROR(IF(OR(GY145="SUPPLEMENTARY",GY145="RE-EXAM"),'Supp. Result Entry'!AS144,""),"")</f>
        <v/>
      </c>
      <c r="HF145" s="613" t="str">
        <f t="shared" si="535"/>
        <v/>
      </c>
      <c r="HG145" s="598" t="str">
        <f t="shared" si="536"/>
        <v/>
      </c>
      <c r="HH145" s="598" t="str">
        <f>IF(AND(HE145="",HF145="",HG145=""),"",IF(OR(GY145="SUPPLEMENTARY",GY145="RE-EXAM"),'Supp. Result Entry'!AS144,GY145))</f>
        <v/>
      </c>
      <c r="HI145" s="179"/>
      <c r="HY145" s="211" t="str">
        <f>IF('Supp. Result Entry'!U144="","",'Supp. Result Entry'!$U$6)</f>
        <v/>
      </c>
      <c r="HZ145" s="212" t="str">
        <f>IF('Supp. Result Entry'!X144="","",'Supp. Result Entry'!$X$6)</f>
        <v/>
      </c>
      <c r="IA145" s="212" t="str">
        <f>IF('Supp. Result Entry'!AA144="","",'Supp. Result Entry'!$AA$6)</f>
        <v/>
      </c>
      <c r="IB145" s="212" t="str">
        <f>IF('Supp. Result Entry'!AD144="","",'Supp. Result Entry'!$AD$6)</f>
        <v/>
      </c>
      <c r="IC145" s="212" t="str">
        <f>IF('Supp. Result Entry'!AG144="","",'Supp. Result Entry'!$AG$6)</f>
        <v/>
      </c>
      <c r="ID145" s="212" t="str">
        <f>IF('Supp. Result Entry'!AJ144="","",'Supp. Result Entry'!$AJ$6)</f>
        <v/>
      </c>
      <c r="IE145" s="212" t="str">
        <f>IF('Supp. Result Entry'!V144="","",'Supp. Result Entry'!V144)</f>
        <v/>
      </c>
      <c r="IF145" s="212" t="str">
        <f>IF('Supp. Result Entry'!Y144="","",'Supp. Result Entry'!Y144)</f>
        <v/>
      </c>
      <c r="IG145" s="212" t="str">
        <f>IF('Supp. Result Entry'!AB144="","",'Supp. Result Entry'!AB144)</f>
        <v/>
      </c>
      <c r="IH145" s="212" t="str">
        <f>IF('Supp. Result Entry'!AE144="","",'Supp. Result Entry'!AE144)</f>
        <v/>
      </c>
      <c r="II145" s="212" t="str">
        <f>IF('Supp. Result Entry'!AH144="","",'Supp. Result Entry'!AH144)</f>
        <v/>
      </c>
      <c r="IJ145" s="212" t="str">
        <f>IF('Supp. Result Entry'!AK144="","",'Supp. Result Entry'!AK144)</f>
        <v/>
      </c>
      <c r="IK145" s="212" t="str">
        <f>IF('Supp. Result Entry'!W144="","",'Supp. Result Entry'!W144)</f>
        <v/>
      </c>
      <c r="IL145" s="212" t="str">
        <f>IF('Supp. Result Entry'!Z144="","",'Supp. Result Entry'!Z144)</f>
        <v/>
      </c>
      <c r="IM145" s="212" t="str">
        <f>IF('Supp. Result Entry'!AC144="","",'Supp. Result Entry'!AC144)</f>
        <v/>
      </c>
      <c r="IN145" s="212" t="str">
        <f>IF('Supp. Result Entry'!AF144="","",'Supp. Result Entry'!AF144)</f>
        <v/>
      </c>
      <c r="IO145" s="212" t="str">
        <f>IF('Supp. Result Entry'!AI144="","",'Supp. Result Entry'!AI144)</f>
        <v/>
      </c>
      <c r="IP145" s="212" t="str">
        <f>IF('Supp. Result Entry'!AL144="","",'Supp. Result Entry'!AL144)</f>
        <v/>
      </c>
      <c r="IQ145" s="212">
        <f>COUNTIF('Supp. Result Entry'!K144:Q144,"S")</f>
        <v>0</v>
      </c>
      <c r="IR145" s="212">
        <f t="shared" si="537"/>
        <v>0</v>
      </c>
      <c r="IS145" s="212">
        <f t="shared" si="538"/>
        <v>0</v>
      </c>
      <c r="IT145" s="212" t="str">
        <f t="shared" si="406"/>
        <v/>
      </c>
      <c r="IU145" s="212" t="str">
        <f t="shared" si="407"/>
        <v/>
      </c>
      <c r="IV145" s="212" t="str">
        <f t="shared" si="408"/>
        <v/>
      </c>
      <c r="IW145" s="212" t="str">
        <f t="shared" si="409"/>
        <v/>
      </c>
      <c r="IX145" s="212" t="str">
        <f t="shared" si="410"/>
        <v/>
      </c>
      <c r="IY145" s="212" t="str">
        <f t="shared" si="539"/>
        <v/>
      </c>
      <c r="IZ145" s="212" t="str">
        <f t="shared" si="540"/>
        <v/>
      </c>
      <c r="JA145" s="212" t="str">
        <f t="shared" si="411"/>
        <v/>
      </c>
      <c r="JB145" s="210" t="str">
        <f t="shared" si="541"/>
        <v/>
      </c>
    </row>
    <row r="146" spans="1:262" s="210" customFormat="1" ht="21" customHeight="1">
      <c r="A146" s="183">
        <v>139</v>
      </c>
      <c r="B146" s="184" t="str">
        <f>IF('Marks Entry'!B146="","",'Marks Entry'!B146)</f>
        <v/>
      </c>
      <c r="C146" s="185" t="str">
        <f>IF('Marks Entry'!D146="","",'Marks Entry'!D146)</f>
        <v/>
      </c>
      <c r="D146" s="186" t="str">
        <f>IF('Marks Entry'!E146="","",'Marks Entry'!E146)</f>
        <v/>
      </c>
      <c r="E146" s="187" t="str">
        <f>IF('Marks Entry'!F146="","",'Marks Entry'!F146)</f>
        <v/>
      </c>
      <c r="F146" s="187" t="str">
        <f>IF('Marks Entry'!G146="","",'Marks Entry'!G146)</f>
        <v/>
      </c>
      <c r="G146" s="187" t="str">
        <f>IF('Marks Entry'!H146="","",'Marks Entry'!H146)</f>
        <v/>
      </c>
      <c r="H146" s="188" t="str">
        <f>IF('Marks Entry'!I146="","",'Marks Entry'!I146)</f>
        <v/>
      </c>
      <c r="I146" s="189" t="str">
        <f>IF('Marks Entry'!J146="","",'Marks Entry'!J146)</f>
        <v/>
      </c>
      <c r="J146" s="545" t="str">
        <f>IF('Marks Entry'!K146="","",'Marks Entry'!K146)</f>
        <v/>
      </c>
      <c r="K146" s="545" t="str">
        <f>IF('Marks Entry'!L146="","",'Marks Entry'!L146)</f>
        <v/>
      </c>
      <c r="L146" s="545" t="str">
        <f>IF('Marks Entry'!M146="","",'Marks Entry'!M146)</f>
        <v/>
      </c>
      <c r="M146" s="546" t="str">
        <f t="shared" si="412"/>
        <v/>
      </c>
      <c r="N146" s="545" t="str">
        <f>IF('Marks Entry'!N146="","",'Marks Entry'!N146)</f>
        <v/>
      </c>
      <c r="O146" s="546" t="str">
        <f t="shared" si="413"/>
        <v/>
      </c>
      <c r="P146" s="545" t="str">
        <f>IF('Marks Entry'!O146="","",'Marks Entry'!O146)</f>
        <v/>
      </c>
      <c r="Q146" s="547" t="str">
        <f t="shared" si="414"/>
        <v/>
      </c>
      <c r="R146" s="152">
        <f t="shared" si="415"/>
        <v>0</v>
      </c>
      <c r="S146" s="152">
        <f t="shared" si="416"/>
        <v>0</v>
      </c>
      <c r="T146" s="153" t="str">
        <f t="shared" si="417"/>
        <v/>
      </c>
      <c r="U146" s="152" t="str">
        <f t="shared" si="418"/>
        <v/>
      </c>
      <c r="V146" s="152" t="str">
        <f t="shared" si="419"/>
        <v/>
      </c>
      <c r="W146" s="152" t="str">
        <f t="shared" si="420"/>
        <v/>
      </c>
      <c r="X146" s="545" t="str">
        <f>IF('Marks Entry'!P146="","",'Marks Entry'!P146)</f>
        <v/>
      </c>
      <c r="Y146" s="545" t="str">
        <f>IF('Marks Entry'!Q146="","",'Marks Entry'!Q146)</f>
        <v/>
      </c>
      <c r="Z146" s="545" t="str">
        <f>IF('Marks Entry'!R146="","",'Marks Entry'!R146)</f>
        <v/>
      </c>
      <c r="AA146" s="546" t="str">
        <f t="shared" si="421"/>
        <v/>
      </c>
      <c r="AB146" s="545" t="str">
        <f>IF('Marks Entry'!S146="","",'Marks Entry'!S146)</f>
        <v/>
      </c>
      <c r="AC146" s="546" t="str">
        <f t="shared" si="422"/>
        <v/>
      </c>
      <c r="AD146" s="545" t="str">
        <f>IF('Marks Entry'!T146="","",'Marks Entry'!T146)</f>
        <v/>
      </c>
      <c r="AE146" s="547" t="str">
        <f t="shared" si="423"/>
        <v/>
      </c>
      <c r="AF146" s="152">
        <f t="shared" si="424"/>
        <v>0</v>
      </c>
      <c r="AG146" s="152">
        <f t="shared" si="425"/>
        <v>0</v>
      </c>
      <c r="AH146" s="153" t="str">
        <f t="shared" si="426"/>
        <v/>
      </c>
      <c r="AI146" s="152" t="str">
        <f t="shared" si="427"/>
        <v/>
      </c>
      <c r="AJ146" s="152" t="str">
        <f t="shared" si="428"/>
        <v/>
      </c>
      <c r="AK146" s="152" t="str">
        <f t="shared" si="429"/>
        <v/>
      </c>
      <c r="AL146" s="573" t="str">
        <f>IF('Marks Entry'!U146="","",'Marks Entry'!U146)</f>
        <v/>
      </c>
      <c r="AM146" s="573" t="str">
        <f>IF('Marks Entry'!V146="","",'Marks Entry'!V146)</f>
        <v/>
      </c>
      <c r="AN146" s="573" t="str">
        <f>IF('Marks Entry'!W146="","",'Marks Entry'!W146)</f>
        <v/>
      </c>
      <c r="AO146" s="573" t="str">
        <f>IF('Marks Entry'!X146="","",'Marks Entry'!X146)</f>
        <v/>
      </c>
      <c r="AP146" s="572" t="str">
        <f t="shared" si="430"/>
        <v/>
      </c>
      <c r="AQ146" s="573" t="str">
        <f>IF('Marks Entry'!Y146="","",'Marks Entry'!Y146)</f>
        <v/>
      </c>
      <c r="AR146" s="573" t="str">
        <f>IF('Marks Entry'!Z146="","",'Marks Entry'!Z146)</f>
        <v/>
      </c>
      <c r="AS146" s="572" t="str">
        <f t="shared" si="431"/>
        <v/>
      </c>
      <c r="AT146" s="572" t="str">
        <f t="shared" si="432"/>
        <v/>
      </c>
      <c r="AU146" s="573" t="str">
        <f>IF('Marks Entry'!AA146="","",'Marks Entry'!AA146)</f>
        <v/>
      </c>
      <c r="AV146" s="573" t="str">
        <f>IF('Marks Entry'!AB146="","",'Marks Entry'!AB146)</f>
        <v/>
      </c>
      <c r="AW146" s="572" t="str">
        <f t="shared" si="433"/>
        <v/>
      </c>
      <c r="AX146" s="156" t="str">
        <f t="shared" si="434"/>
        <v/>
      </c>
      <c r="AY146" s="156" t="str">
        <f t="shared" si="435"/>
        <v/>
      </c>
      <c r="AZ146" s="191" t="str">
        <f t="shared" si="436"/>
        <v/>
      </c>
      <c r="BA146" s="152">
        <f t="shared" si="437"/>
        <v>0</v>
      </c>
      <c r="BB146" s="153">
        <f t="shared" si="438"/>
        <v>0</v>
      </c>
      <c r="BC146" s="153" t="str">
        <f t="shared" si="439"/>
        <v/>
      </c>
      <c r="BD146" s="153" t="str">
        <f t="shared" si="440"/>
        <v/>
      </c>
      <c r="BE146" s="153" t="str">
        <f t="shared" si="441"/>
        <v/>
      </c>
      <c r="BF146" s="152" t="str">
        <f t="shared" si="442"/>
        <v/>
      </c>
      <c r="BG146" s="153" t="str">
        <f t="shared" si="443"/>
        <v/>
      </c>
      <c r="BH146" s="152" t="str">
        <f t="shared" si="444"/>
        <v/>
      </c>
      <c r="BI146" s="580" t="str">
        <f>IF('Marks Entry'!AC146="","",'Marks Entry'!AC146)</f>
        <v/>
      </c>
      <c r="BJ146" s="580" t="str">
        <f>IF('Marks Entry'!AD146="","",'Marks Entry'!AD146)</f>
        <v/>
      </c>
      <c r="BK146" s="580" t="str">
        <f>IF('Marks Entry'!AE146="","",'Marks Entry'!AE146)</f>
        <v/>
      </c>
      <c r="BL146" s="580" t="str">
        <f>IF('Marks Entry'!AF146="","",'Marks Entry'!AF146)</f>
        <v/>
      </c>
      <c r="BM146" s="581" t="str">
        <f t="shared" si="445"/>
        <v/>
      </c>
      <c r="BN146" s="580" t="str">
        <f>IF('Marks Entry'!AG146="","",'Marks Entry'!AG146)</f>
        <v/>
      </c>
      <c r="BO146" s="580" t="str">
        <f>IF('Marks Entry'!AH146="","",'Marks Entry'!AH146)</f>
        <v/>
      </c>
      <c r="BP146" s="581" t="str">
        <f t="shared" si="446"/>
        <v/>
      </c>
      <c r="BQ146" s="581" t="str">
        <f t="shared" si="447"/>
        <v/>
      </c>
      <c r="BR146" s="580" t="str">
        <f>IF('Marks Entry'!AI146="","",'Marks Entry'!AI146)</f>
        <v/>
      </c>
      <c r="BS146" s="580" t="str">
        <f>IF('Marks Entry'!AJ146="","",'Marks Entry'!AJ146)</f>
        <v/>
      </c>
      <c r="BT146" s="581" t="str">
        <f t="shared" si="448"/>
        <v/>
      </c>
      <c r="BU146" s="156" t="str">
        <f t="shared" si="449"/>
        <v/>
      </c>
      <c r="BV146" s="156" t="str">
        <f t="shared" si="450"/>
        <v/>
      </c>
      <c r="BW146" s="191" t="str">
        <f t="shared" si="451"/>
        <v/>
      </c>
      <c r="BX146" s="152">
        <f t="shared" si="452"/>
        <v>0</v>
      </c>
      <c r="BY146" s="153">
        <f t="shared" si="453"/>
        <v>0</v>
      </c>
      <c r="BZ146" s="153" t="str">
        <f t="shared" si="454"/>
        <v/>
      </c>
      <c r="CA146" s="153" t="str">
        <f t="shared" si="455"/>
        <v/>
      </c>
      <c r="CB146" s="153" t="str">
        <f t="shared" si="456"/>
        <v/>
      </c>
      <c r="CC146" s="152" t="str">
        <f t="shared" si="457"/>
        <v/>
      </c>
      <c r="CD146" s="153" t="str">
        <f t="shared" si="458"/>
        <v/>
      </c>
      <c r="CE146" s="152" t="str">
        <f t="shared" si="459"/>
        <v/>
      </c>
      <c r="CF146" s="580" t="str">
        <f>IF('Marks Entry'!AK146="","",'Marks Entry'!AK146)</f>
        <v/>
      </c>
      <c r="CG146" s="580" t="str">
        <f>IF('Marks Entry'!AL146="","",'Marks Entry'!AL146)</f>
        <v/>
      </c>
      <c r="CH146" s="580" t="str">
        <f>IF('Marks Entry'!AM146="","",'Marks Entry'!AM146)</f>
        <v/>
      </c>
      <c r="CI146" s="580" t="str">
        <f>IF('Marks Entry'!AN146="","",'Marks Entry'!AN146)</f>
        <v/>
      </c>
      <c r="CJ146" s="581" t="str">
        <f t="shared" si="460"/>
        <v/>
      </c>
      <c r="CK146" s="580" t="str">
        <f>IF('Marks Entry'!AO146="","",'Marks Entry'!AO146)</f>
        <v/>
      </c>
      <c r="CL146" s="580" t="str">
        <f>IF('Marks Entry'!AP146="","",'Marks Entry'!AP146)</f>
        <v/>
      </c>
      <c r="CM146" s="581" t="str">
        <f t="shared" si="461"/>
        <v/>
      </c>
      <c r="CN146" s="581" t="str">
        <f t="shared" si="462"/>
        <v/>
      </c>
      <c r="CO146" s="580" t="str">
        <f>IF('Marks Entry'!AQ146="","",'Marks Entry'!AQ146)</f>
        <v/>
      </c>
      <c r="CP146" s="580" t="str">
        <f>IF('Marks Entry'!AR146="","",'Marks Entry'!AR146)</f>
        <v/>
      </c>
      <c r="CQ146" s="581" t="str">
        <f t="shared" si="463"/>
        <v/>
      </c>
      <c r="CR146" s="156" t="str">
        <f t="shared" si="464"/>
        <v/>
      </c>
      <c r="CS146" s="156" t="str">
        <f t="shared" si="465"/>
        <v/>
      </c>
      <c r="CT146" s="191" t="str">
        <f t="shared" si="466"/>
        <v/>
      </c>
      <c r="CU146" s="152">
        <f t="shared" si="467"/>
        <v>0</v>
      </c>
      <c r="CV146" s="153">
        <f t="shared" si="468"/>
        <v>0</v>
      </c>
      <c r="CW146" s="153" t="str">
        <f t="shared" si="469"/>
        <v/>
      </c>
      <c r="CX146" s="153" t="str">
        <f t="shared" si="470"/>
        <v/>
      </c>
      <c r="CY146" s="153" t="str">
        <f t="shared" si="471"/>
        <v/>
      </c>
      <c r="CZ146" s="152" t="str">
        <f t="shared" si="472"/>
        <v/>
      </c>
      <c r="DA146" s="153" t="str">
        <f t="shared" si="473"/>
        <v/>
      </c>
      <c r="DB146" s="152" t="str">
        <f t="shared" si="474"/>
        <v/>
      </c>
      <c r="DC146" s="153">
        <f t="shared" si="475"/>
        <v>0</v>
      </c>
      <c r="DD146" s="851" t="str">
        <f>IF('Marks Entry'!AS146="","",IF(OR('Master Sheet'!$D$19="YES",'Marks Entry'!$BA$1=1),'Marks Entry'!AS146,""))</f>
        <v/>
      </c>
      <c r="DE146" s="851" t="str">
        <f>IF('Marks Entry'!AT146="","",IF(OR('Master Sheet'!$D$19="YES",'Marks Entry'!$BA$1=1),'Marks Entry'!AT146,""))</f>
        <v/>
      </c>
      <c r="DF146" s="851" t="str">
        <f>IF('Marks Entry'!AU146="","",IF(OR('Master Sheet'!$D$19="YES",'Marks Entry'!$BA$1=1),'Marks Entry'!AU146,""))</f>
        <v/>
      </c>
      <c r="DG146" s="851" t="str">
        <f>IF('Marks Entry'!AV146="","",IF(OR('Master Sheet'!$D$19="YES",'Marks Entry'!$BA$1=1),'Marks Entry'!AV146,""))</f>
        <v/>
      </c>
      <c r="DH146" s="852" t="str">
        <f t="shared" si="476"/>
        <v/>
      </c>
      <c r="DI146" s="851" t="str">
        <f>IF('Marks Entry'!AW146="","",IF(OR('Master Sheet'!$D$19="YES",'Marks Entry'!$BA$1=1),'Marks Entry'!AW146,""))</f>
        <v/>
      </c>
      <c r="DJ146" s="851" t="str">
        <f>IF('Marks Entry'!AX146="","",IF(OR('Master Sheet'!$D$19="YES",'Marks Entry'!$BA$1=1),'Marks Entry'!AX146,""))</f>
        <v/>
      </c>
      <c r="DK146" s="852" t="str">
        <f t="shared" si="477"/>
        <v/>
      </c>
      <c r="DL146" s="852" t="str">
        <f t="shared" si="478"/>
        <v/>
      </c>
      <c r="DM146" s="851" t="str">
        <f>IF('Marks Entry'!AY146="","",IF(OR('Master Sheet'!$D$19="YES",'Marks Entry'!$BA$1=1),'Marks Entry'!AY146,""))</f>
        <v/>
      </c>
      <c r="DN146" s="851" t="str">
        <f>IF('Marks Entry'!AZ146="","",IF(OR('Master Sheet'!$D$19="YES",'Marks Entry'!$BA$1=1),'Marks Entry'!AZ146,""))</f>
        <v/>
      </c>
      <c r="DO146" s="851" t="str">
        <f>IF('Marks Entry'!BA146="","",IF(OR('Master Sheet'!$D$19="YES",'Marks Entry'!$BA$1=1),'Marks Entry'!BA146,""))</f>
        <v/>
      </c>
      <c r="DP146" s="852" t="str">
        <f t="shared" si="479"/>
        <v/>
      </c>
      <c r="DQ146" s="156" t="str">
        <f t="shared" si="480"/>
        <v/>
      </c>
      <c r="DR146" s="156" t="str">
        <f t="shared" si="481"/>
        <v/>
      </c>
      <c r="DS146" s="156" t="str">
        <f t="shared" si="482"/>
        <v/>
      </c>
      <c r="DT146" s="191" t="str">
        <f t="shared" si="483"/>
        <v/>
      </c>
      <c r="DU146" s="152">
        <f t="shared" si="484"/>
        <v>0</v>
      </c>
      <c r="DV146" s="153">
        <f t="shared" si="485"/>
        <v>0</v>
      </c>
      <c r="DW146" s="153" t="str">
        <f t="shared" si="486"/>
        <v/>
      </c>
      <c r="DX146" s="153" t="str">
        <f>IF(OR($B146="NSO",$B146=0,DS146=""),"",IF(AND(DJ146="",DO146=""),"",IF('Master Sheet'!$D$19="YES",$DO$6-COUNTIF(DO146,"ML")*DO$6,DS$6-(COUNTIF(DJ146,"ML")*DJ$6)-(COUNTIF(DO146,"ML")*DO$6))))</f>
        <v/>
      </c>
      <c r="DY146" s="153" t="str">
        <f>IF(OR($B146="NSO",$B146=0),"",IF(AND(DH146="",DI146="",DM146=""),"",IF(AND('Master Sheet'!$D$19="YES",'Marks Entry'!$BA$1=1),100,IF(AND(DJ146="",DO146=""),SUM(($DQ$7+$DR$7)-(DU146+DV146)),SUM(($DQ$6+$DR$6)-(DU146+DV146))))))</f>
        <v/>
      </c>
      <c r="DZ146" s="152" t="str">
        <f t="shared" si="487"/>
        <v/>
      </c>
      <c r="EA146" s="153" t="str">
        <f t="shared" si="488"/>
        <v/>
      </c>
      <c r="EB146" s="152" t="str">
        <f t="shared" si="489"/>
        <v/>
      </c>
      <c r="EC146" s="584" t="str">
        <f>IF('Marks Entry'!BB146="","",'Marks Entry'!BB146)</f>
        <v/>
      </c>
      <c r="ED146" s="584" t="str">
        <f>IF('Marks Entry'!BC146="","",'Marks Entry'!BC146)</f>
        <v/>
      </c>
      <c r="EE146" s="584" t="str">
        <f>IF('Marks Entry'!BD146="","",'Marks Entry'!BD146)</f>
        <v/>
      </c>
      <c r="EF146" s="590" t="str">
        <f t="shared" si="490"/>
        <v/>
      </c>
      <c r="EG146" s="595">
        <f t="shared" si="491"/>
        <v>0</v>
      </c>
      <c r="EH146" s="595">
        <f t="shared" si="492"/>
        <v>0</v>
      </c>
      <c r="EI146" s="192" t="str">
        <f t="shared" si="493"/>
        <v/>
      </c>
      <c r="EJ146" s="595" t="str">
        <f t="shared" si="494"/>
        <v/>
      </c>
      <c r="EK146" s="595" t="str">
        <f t="shared" si="495"/>
        <v/>
      </c>
      <c r="EL146" s="193" t="str">
        <f t="shared" si="496"/>
        <v/>
      </c>
      <c r="EM146" s="193" t="str">
        <f t="shared" si="497"/>
        <v/>
      </c>
      <c r="EN146" s="193" t="str">
        <f t="shared" si="498"/>
        <v/>
      </c>
      <c r="EO146" s="193" t="str">
        <f t="shared" si="499"/>
        <v/>
      </c>
      <c r="EP146" s="193" t="str">
        <f t="shared" si="500"/>
        <v/>
      </c>
      <c r="EQ146" s="193" t="str">
        <f t="shared" si="501"/>
        <v/>
      </c>
      <c r="ER146" s="194">
        <f t="shared" si="502"/>
        <v>0</v>
      </c>
      <c r="ES146" s="194">
        <f t="shared" si="503"/>
        <v>0</v>
      </c>
      <c r="ET146" s="194">
        <f t="shared" si="504"/>
        <v>0</v>
      </c>
      <c r="EU146" s="194">
        <f t="shared" si="505"/>
        <v>0</v>
      </c>
      <c r="EV146" s="194">
        <f t="shared" si="506"/>
        <v>0</v>
      </c>
      <c r="EW146" s="194" t="str">
        <f t="shared" si="507"/>
        <v/>
      </c>
      <c r="EX146" s="195" t="str">
        <f t="shared" si="508"/>
        <v/>
      </c>
      <c r="EY146" s="196" t="str">
        <f>IF('Marks Entry'!BE146="","",'Marks Entry'!BE146)</f>
        <v/>
      </c>
      <c r="EZ146" s="196" t="str">
        <f>IF('Marks Entry'!BF146="","",'Marks Entry'!BF146)</f>
        <v/>
      </c>
      <c r="FA146" s="196" t="str">
        <f>IF('Marks Entry'!BG146="","",'Marks Entry'!BG146)</f>
        <v/>
      </c>
      <c r="FB146" s="596" t="str">
        <f t="shared" si="509"/>
        <v/>
      </c>
      <c r="FC146" s="196" t="str">
        <f>IF('Marks Entry'!BH146="","",'Marks Entry'!BH146)</f>
        <v/>
      </c>
      <c r="FD146" s="196" t="str">
        <f>IF('Marks Entry'!BI146="","",'Marks Entry'!BI146)</f>
        <v/>
      </c>
      <c r="FE146" s="197" t="str">
        <f t="shared" si="510"/>
        <v/>
      </c>
      <c r="FF146" s="198" t="str">
        <f t="shared" si="511"/>
        <v/>
      </c>
      <c r="FG146" s="199" t="str">
        <f>IF(AND(E146=""),"",IF('Student DATA Entry'!L142="","",'Student DATA Entry'!L142))</f>
        <v/>
      </c>
      <c r="FH146" s="200" t="str">
        <f>IF(AND(E146=""),"",IF('Student DATA Entry'!M142="","",'Student DATA Entry'!M142))</f>
        <v/>
      </c>
      <c r="FI146" s="201" t="str">
        <f t="shared" si="512"/>
        <v/>
      </c>
      <c r="FJ146" s="188" t="str">
        <f t="shared" si="513"/>
        <v/>
      </c>
      <c r="FK146" s="188" t="str">
        <f t="shared" si="514"/>
        <v/>
      </c>
      <c r="FL146" s="202" t="str">
        <f t="shared" si="383"/>
        <v/>
      </c>
      <c r="FM146" s="188" t="str">
        <f t="shared" si="515"/>
        <v/>
      </c>
      <c r="FN146" s="203" t="str">
        <f t="shared" si="516"/>
        <v/>
      </c>
      <c r="FO146" s="202" t="str">
        <f t="shared" si="384"/>
        <v/>
      </c>
      <c r="FP146" s="204" t="str">
        <f t="shared" si="517"/>
        <v/>
      </c>
      <c r="FQ146" s="188" t="str">
        <f t="shared" si="385"/>
        <v/>
      </c>
      <c r="FR146" s="188" t="str">
        <f t="shared" si="386"/>
        <v/>
      </c>
      <c r="FS146" s="188" t="str">
        <f t="shared" si="387"/>
        <v/>
      </c>
      <c r="FT146" s="188" t="str">
        <f t="shared" si="388"/>
        <v/>
      </c>
      <c r="FU146" s="188" t="str">
        <f t="shared" si="518"/>
        <v/>
      </c>
      <c r="FV146" s="205" t="str">
        <f t="shared" si="389"/>
        <v/>
      </c>
      <c r="FW146" s="204" t="str">
        <f t="shared" si="519"/>
        <v/>
      </c>
      <c r="FX146" s="188" t="str">
        <f t="shared" si="390"/>
        <v/>
      </c>
      <c r="FY146" s="188" t="str">
        <f t="shared" si="391"/>
        <v/>
      </c>
      <c r="FZ146" s="188" t="str">
        <f t="shared" si="392"/>
        <v/>
      </c>
      <c r="GA146" s="188" t="str">
        <f t="shared" si="393"/>
        <v/>
      </c>
      <c r="GB146" s="188" t="str">
        <f t="shared" si="520"/>
        <v/>
      </c>
      <c r="GC146" s="205" t="str">
        <f t="shared" si="394"/>
        <v/>
      </c>
      <c r="GD146" s="204" t="str">
        <f t="shared" si="521"/>
        <v/>
      </c>
      <c r="GE146" s="188" t="str">
        <f t="shared" si="395"/>
        <v/>
      </c>
      <c r="GF146" s="188" t="str">
        <f t="shared" si="396"/>
        <v/>
      </c>
      <c r="GG146" s="188" t="str">
        <f t="shared" si="397"/>
        <v/>
      </c>
      <c r="GH146" s="188" t="str">
        <f t="shared" si="398"/>
        <v/>
      </c>
      <c r="GI146" s="188" t="str">
        <f t="shared" si="522"/>
        <v/>
      </c>
      <c r="GJ146" s="205" t="str">
        <f t="shared" si="399"/>
        <v/>
      </c>
      <c r="GK146" s="204" t="str">
        <f t="shared" si="523"/>
        <v/>
      </c>
      <c r="GL146" s="188" t="str">
        <f t="shared" si="400"/>
        <v/>
      </c>
      <c r="GM146" s="188" t="str">
        <f t="shared" si="401"/>
        <v/>
      </c>
      <c r="GN146" s="188" t="str">
        <f t="shared" si="402"/>
        <v/>
      </c>
      <c r="GO146" s="188" t="str">
        <f t="shared" si="403"/>
        <v/>
      </c>
      <c r="GP146" s="188" t="str">
        <f t="shared" si="524"/>
        <v/>
      </c>
      <c r="GQ146" s="205" t="str">
        <f t="shared" si="404"/>
        <v/>
      </c>
      <c r="GR146" s="188" t="str">
        <f t="shared" si="525"/>
        <v/>
      </c>
      <c r="GS146" s="188" t="str">
        <f t="shared" si="526"/>
        <v/>
      </c>
      <c r="GT146" s="206" t="str">
        <f t="shared" si="527"/>
        <v xml:space="preserve">    </v>
      </c>
      <c r="GU146" s="206" t="str">
        <f t="shared" si="528"/>
        <v xml:space="preserve">    </v>
      </c>
      <c r="GV146" s="206" t="str">
        <f t="shared" si="529"/>
        <v xml:space="preserve">    </v>
      </c>
      <c r="GW146" s="206" t="str">
        <f t="shared" si="530"/>
        <v xml:space="preserve">       </v>
      </c>
      <c r="GX146" s="598" t="str">
        <f t="shared" si="531"/>
        <v xml:space="preserve">     </v>
      </c>
      <c r="GY146" s="207" t="str">
        <f t="shared" si="405"/>
        <v/>
      </c>
      <c r="GZ146" s="606" t="str">
        <f>IF(AND(Q146="",AE146="",AZ146="",BW146="",CT146=""),"",IF(AND('Master Sheet'!$D$19="YES",'Marks Entry'!$BA$1=1),SUM(Q146,AE146,AZ146,BW146,DT146),SUM(Q146,AE146,AZ146,BW146,CT146)))</f>
        <v/>
      </c>
      <c r="HA146" s="208" t="str">
        <f>IF(GZ146="","",IF(AND('Master Sheet'!$D$19="YES",'Marks Entry'!$BA$1=1),GZ146/((900)-DC146)*100,GZ146/((1000)-DC146)*100))</f>
        <v/>
      </c>
      <c r="HB146" s="611" t="str">
        <f t="shared" si="532"/>
        <v/>
      </c>
      <c r="HC146" s="609" t="str">
        <f t="shared" si="533"/>
        <v/>
      </c>
      <c r="HD146" s="610" t="str">
        <f t="shared" si="534"/>
        <v/>
      </c>
      <c r="HE146" s="209" t="str">
        <f>IFERROR(IF(OR(GY146="SUPPLEMENTARY",GY146="RE-EXAM"),'Supp. Result Entry'!AS145,""),"")</f>
        <v/>
      </c>
      <c r="HF146" s="613" t="str">
        <f t="shared" si="535"/>
        <v/>
      </c>
      <c r="HG146" s="598" t="str">
        <f t="shared" si="536"/>
        <v/>
      </c>
      <c r="HH146" s="598" t="str">
        <f>IF(AND(HE146="",HF146="",HG146=""),"",IF(OR(GY146="SUPPLEMENTARY",GY146="RE-EXAM"),'Supp. Result Entry'!AS145,GY146))</f>
        <v/>
      </c>
      <c r="HI146" s="179"/>
      <c r="HY146" s="211" t="str">
        <f>IF('Supp. Result Entry'!U145="","",'Supp. Result Entry'!$U$6)</f>
        <v/>
      </c>
      <c r="HZ146" s="212" t="str">
        <f>IF('Supp. Result Entry'!X145="","",'Supp. Result Entry'!$X$6)</f>
        <v/>
      </c>
      <c r="IA146" s="212" t="str">
        <f>IF('Supp. Result Entry'!AA145="","",'Supp. Result Entry'!$AA$6)</f>
        <v/>
      </c>
      <c r="IB146" s="212" t="str">
        <f>IF('Supp. Result Entry'!AD145="","",'Supp. Result Entry'!$AD$6)</f>
        <v/>
      </c>
      <c r="IC146" s="212" t="str">
        <f>IF('Supp. Result Entry'!AG145="","",'Supp. Result Entry'!$AG$6)</f>
        <v/>
      </c>
      <c r="ID146" s="212" t="str">
        <f>IF('Supp. Result Entry'!AJ145="","",'Supp. Result Entry'!$AJ$6)</f>
        <v/>
      </c>
      <c r="IE146" s="212" t="str">
        <f>IF('Supp. Result Entry'!V145="","",'Supp. Result Entry'!V145)</f>
        <v/>
      </c>
      <c r="IF146" s="212" t="str">
        <f>IF('Supp. Result Entry'!Y145="","",'Supp. Result Entry'!Y145)</f>
        <v/>
      </c>
      <c r="IG146" s="212" t="str">
        <f>IF('Supp. Result Entry'!AB145="","",'Supp. Result Entry'!AB145)</f>
        <v/>
      </c>
      <c r="IH146" s="212" t="str">
        <f>IF('Supp. Result Entry'!AE145="","",'Supp. Result Entry'!AE145)</f>
        <v/>
      </c>
      <c r="II146" s="212" t="str">
        <f>IF('Supp. Result Entry'!AH145="","",'Supp. Result Entry'!AH145)</f>
        <v/>
      </c>
      <c r="IJ146" s="212" t="str">
        <f>IF('Supp. Result Entry'!AK145="","",'Supp. Result Entry'!AK145)</f>
        <v/>
      </c>
      <c r="IK146" s="212" t="str">
        <f>IF('Supp. Result Entry'!W145="","",'Supp. Result Entry'!W145)</f>
        <v/>
      </c>
      <c r="IL146" s="212" t="str">
        <f>IF('Supp. Result Entry'!Z145="","",'Supp. Result Entry'!Z145)</f>
        <v/>
      </c>
      <c r="IM146" s="212" t="str">
        <f>IF('Supp. Result Entry'!AC145="","",'Supp. Result Entry'!AC145)</f>
        <v/>
      </c>
      <c r="IN146" s="212" t="str">
        <f>IF('Supp. Result Entry'!AF145="","",'Supp. Result Entry'!AF145)</f>
        <v/>
      </c>
      <c r="IO146" s="212" t="str">
        <f>IF('Supp. Result Entry'!AI145="","",'Supp. Result Entry'!AI145)</f>
        <v/>
      </c>
      <c r="IP146" s="212" t="str">
        <f>IF('Supp. Result Entry'!AL145="","",'Supp. Result Entry'!AL145)</f>
        <v/>
      </c>
      <c r="IQ146" s="212">
        <f>COUNTIF('Supp. Result Entry'!K145:Q145,"S")</f>
        <v>0</v>
      </c>
      <c r="IR146" s="212">
        <f t="shared" si="537"/>
        <v>0</v>
      </c>
      <c r="IS146" s="212">
        <f t="shared" si="538"/>
        <v>0</v>
      </c>
      <c r="IT146" s="212" t="str">
        <f t="shared" si="406"/>
        <v/>
      </c>
      <c r="IU146" s="212" t="str">
        <f t="shared" si="407"/>
        <v/>
      </c>
      <c r="IV146" s="212" t="str">
        <f t="shared" si="408"/>
        <v/>
      </c>
      <c r="IW146" s="212" t="str">
        <f t="shared" si="409"/>
        <v/>
      </c>
      <c r="IX146" s="212" t="str">
        <f t="shared" si="410"/>
        <v/>
      </c>
      <c r="IY146" s="212" t="str">
        <f t="shared" si="539"/>
        <v/>
      </c>
      <c r="IZ146" s="212" t="str">
        <f t="shared" si="540"/>
        <v/>
      </c>
      <c r="JA146" s="212" t="str">
        <f t="shared" si="411"/>
        <v/>
      </c>
      <c r="JB146" s="210" t="str">
        <f t="shared" si="541"/>
        <v/>
      </c>
    </row>
    <row r="147" spans="1:262" s="210" customFormat="1" ht="21" customHeight="1">
      <c r="A147" s="183">
        <v>140</v>
      </c>
      <c r="B147" s="184" t="str">
        <f>IF('Marks Entry'!B147="","",'Marks Entry'!B147)</f>
        <v/>
      </c>
      <c r="C147" s="185" t="str">
        <f>IF('Marks Entry'!D147="","",'Marks Entry'!D147)</f>
        <v/>
      </c>
      <c r="D147" s="186" t="str">
        <f>IF('Marks Entry'!E147="","",'Marks Entry'!E147)</f>
        <v/>
      </c>
      <c r="E147" s="187" t="str">
        <f>IF('Marks Entry'!F147="","",'Marks Entry'!F147)</f>
        <v/>
      </c>
      <c r="F147" s="187" t="str">
        <f>IF('Marks Entry'!G147="","",'Marks Entry'!G147)</f>
        <v/>
      </c>
      <c r="G147" s="187" t="str">
        <f>IF('Marks Entry'!H147="","",'Marks Entry'!H147)</f>
        <v/>
      </c>
      <c r="H147" s="188" t="str">
        <f>IF('Marks Entry'!I147="","",'Marks Entry'!I147)</f>
        <v/>
      </c>
      <c r="I147" s="189" t="str">
        <f>IF('Marks Entry'!J147="","",'Marks Entry'!J147)</f>
        <v/>
      </c>
      <c r="J147" s="545" t="str">
        <f>IF('Marks Entry'!K147="","",'Marks Entry'!K147)</f>
        <v/>
      </c>
      <c r="K147" s="545" t="str">
        <f>IF('Marks Entry'!L147="","",'Marks Entry'!L147)</f>
        <v/>
      </c>
      <c r="L147" s="545" t="str">
        <f>IF('Marks Entry'!M147="","",'Marks Entry'!M147)</f>
        <v/>
      </c>
      <c r="M147" s="546" t="str">
        <f t="shared" si="412"/>
        <v/>
      </c>
      <c r="N147" s="545" t="str">
        <f>IF('Marks Entry'!N147="","",'Marks Entry'!N147)</f>
        <v/>
      </c>
      <c r="O147" s="546" t="str">
        <f t="shared" si="413"/>
        <v/>
      </c>
      <c r="P147" s="545" t="str">
        <f>IF('Marks Entry'!O147="","",'Marks Entry'!O147)</f>
        <v/>
      </c>
      <c r="Q147" s="547" t="str">
        <f t="shared" si="414"/>
        <v/>
      </c>
      <c r="R147" s="152">
        <f t="shared" si="415"/>
        <v>0</v>
      </c>
      <c r="S147" s="152">
        <f t="shared" si="416"/>
        <v>0</v>
      </c>
      <c r="T147" s="153" t="str">
        <f t="shared" si="417"/>
        <v/>
      </c>
      <c r="U147" s="152" t="str">
        <f t="shared" si="418"/>
        <v/>
      </c>
      <c r="V147" s="152" t="str">
        <f t="shared" si="419"/>
        <v/>
      </c>
      <c r="W147" s="152" t="str">
        <f t="shared" si="420"/>
        <v/>
      </c>
      <c r="X147" s="545" t="str">
        <f>IF('Marks Entry'!P147="","",'Marks Entry'!P147)</f>
        <v/>
      </c>
      <c r="Y147" s="545" t="str">
        <f>IF('Marks Entry'!Q147="","",'Marks Entry'!Q147)</f>
        <v/>
      </c>
      <c r="Z147" s="545" t="str">
        <f>IF('Marks Entry'!R147="","",'Marks Entry'!R147)</f>
        <v/>
      </c>
      <c r="AA147" s="546" t="str">
        <f t="shared" si="421"/>
        <v/>
      </c>
      <c r="AB147" s="545" t="str">
        <f>IF('Marks Entry'!S147="","",'Marks Entry'!S147)</f>
        <v/>
      </c>
      <c r="AC147" s="546" t="str">
        <f t="shared" si="422"/>
        <v/>
      </c>
      <c r="AD147" s="545" t="str">
        <f>IF('Marks Entry'!T147="","",'Marks Entry'!T147)</f>
        <v/>
      </c>
      <c r="AE147" s="547" t="str">
        <f t="shared" si="423"/>
        <v/>
      </c>
      <c r="AF147" s="152">
        <f t="shared" si="424"/>
        <v>0</v>
      </c>
      <c r="AG147" s="152">
        <f t="shared" si="425"/>
        <v>0</v>
      </c>
      <c r="AH147" s="153" t="str">
        <f t="shared" si="426"/>
        <v/>
      </c>
      <c r="AI147" s="152" t="str">
        <f t="shared" si="427"/>
        <v/>
      </c>
      <c r="AJ147" s="152" t="str">
        <f t="shared" si="428"/>
        <v/>
      </c>
      <c r="AK147" s="152" t="str">
        <f t="shared" si="429"/>
        <v/>
      </c>
      <c r="AL147" s="573" t="str">
        <f>IF('Marks Entry'!U147="","",'Marks Entry'!U147)</f>
        <v/>
      </c>
      <c r="AM147" s="573" t="str">
        <f>IF('Marks Entry'!V147="","",'Marks Entry'!V147)</f>
        <v/>
      </c>
      <c r="AN147" s="573" t="str">
        <f>IF('Marks Entry'!W147="","",'Marks Entry'!W147)</f>
        <v/>
      </c>
      <c r="AO147" s="573" t="str">
        <f>IF('Marks Entry'!X147="","",'Marks Entry'!X147)</f>
        <v/>
      </c>
      <c r="AP147" s="572" t="str">
        <f t="shared" si="430"/>
        <v/>
      </c>
      <c r="AQ147" s="573" t="str">
        <f>IF('Marks Entry'!Y147="","",'Marks Entry'!Y147)</f>
        <v/>
      </c>
      <c r="AR147" s="573" t="str">
        <f>IF('Marks Entry'!Z147="","",'Marks Entry'!Z147)</f>
        <v/>
      </c>
      <c r="AS147" s="572" t="str">
        <f t="shared" si="431"/>
        <v/>
      </c>
      <c r="AT147" s="572" t="str">
        <f t="shared" si="432"/>
        <v/>
      </c>
      <c r="AU147" s="573" t="str">
        <f>IF('Marks Entry'!AA147="","",'Marks Entry'!AA147)</f>
        <v/>
      </c>
      <c r="AV147" s="573" t="str">
        <f>IF('Marks Entry'!AB147="","",'Marks Entry'!AB147)</f>
        <v/>
      </c>
      <c r="AW147" s="572" t="str">
        <f t="shared" si="433"/>
        <v/>
      </c>
      <c r="AX147" s="156" t="str">
        <f t="shared" si="434"/>
        <v/>
      </c>
      <c r="AY147" s="156" t="str">
        <f t="shared" si="435"/>
        <v/>
      </c>
      <c r="AZ147" s="191" t="str">
        <f t="shared" si="436"/>
        <v/>
      </c>
      <c r="BA147" s="152">
        <f t="shared" si="437"/>
        <v>0</v>
      </c>
      <c r="BB147" s="153">
        <f t="shared" si="438"/>
        <v>0</v>
      </c>
      <c r="BC147" s="153" t="str">
        <f t="shared" si="439"/>
        <v/>
      </c>
      <c r="BD147" s="153" t="str">
        <f t="shared" si="440"/>
        <v/>
      </c>
      <c r="BE147" s="153" t="str">
        <f t="shared" si="441"/>
        <v/>
      </c>
      <c r="BF147" s="152" t="str">
        <f t="shared" si="442"/>
        <v/>
      </c>
      <c r="BG147" s="153" t="str">
        <f t="shared" si="443"/>
        <v/>
      </c>
      <c r="BH147" s="152" t="str">
        <f t="shared" si="444"/>
        <v/>
      </c>
      <c r="BI147" s="580" t="str">
        <f>IF('Marks Entry'!AC147="","",'Marks Entry'!AC147)</f>
        <v/>
      </c>
      <c r="BJ147" s="580" t="str">
        <f>IF('Marks Entry'!AD147="","",'Marks Entry'!AD147)</f>
        <v/>
      </c>
      <c r="BK147" s="580" t="str">
        <f>IF('Marks Entry'!AE147="","",'Marks Entry'!AE147)</f>
        <v/>
      </c>
      <c r="BL147" s="580" t="str">
        <f>IF('Marks Entry'!AF147="","",'Marks Entry'!AF147)</f>
        <v/>
      </c>
      <c r="BM147" s="581" t="str">
        <f t="shared" si="445"/>
        <v/>
      </c>
      <c r="BN147" s="580" t="str">
        <f>IF('Marks Entry'!AG147="","",'Marks Entry'!AG147)</f>
        <v/>
      </c>
      <c r="BO147" s="580" t="str">
        <f>IF('Marks Entry'!AH147="","",'Marks Entry'!AH147)</f>
        <v/>
      </c>
      <c r="BP147" s="581" t="str">
        <f t="shared" si="446"/>
        <v/>
      </c>
      <c r="BQ147" s="581" t="str">
        <f t="shared" si="447"/>
        <v/>
      </c>
      <c r="BR147" s="580" t="str">
        <f>IF('Marks Entry'!AI147="","",'Marks Entry'!AI147)</f>
        <v/>
      </c>
      <c r="BS147" s="580" t="str">
        <f>IF('Marks Entry'!AJ147="","",'Marks Entry'!AJ147)</f>
        <v/>
      </c>
      <c r="BT147" s="581" t="str">
        <f t="shared" si="448"/>
        <v/>
      </c>
      <c r="BU147" s="156" t="str">
        <f t="shared" si="449"/>
        <v/>
      </c>
      <c r="BV147" s="156" t="str">
        <f t="shared" si="450"/>
        <v/>
      </c>
      <c r="BW147" s="191" t="str">
        <f t="shared" si="451"/>
        <v/>
      </c>
      <c r="BX147" s="152">
        <f t="shared" si="452"/>
        <v>0</v>
      </c>
      <c r="BY147" s="153">
        <f t="shared" si="453"/>
        <v>0</v>
      </c>
      <c r="BZ147" s="153" t="str">
        <f t="shared" si="454"/>
        <v/>
      </c>
      <c r="CA147" s="153" t="str">
        <f t="shared" si="455"/>
        <v/>
      </c>
      <c r="CB147" s="153" t="str">
        <f t="shared" si="456"/>
        <v/>
      </c>
      <c r="CC147" s="152" t="str">
        <f t="shared" si="457"/>
        <v/>
      </c>
      <c r="CD147" s="153" t="str">
        <f t="shared" si="458"/>
        <v/>
      </c>
      <c r="CE147" s="152" t="str">
        <f t="shared" si="459"/>
        <v/>
      </c>
      <c r="CF147" s="580" t="str">
        <f>IF('Marks Entry'!AK147="","",'Marks Entry'!AK147)</f>
        <v/>
      </c>
      <c r="CG147" s="580" t="str">
        <f>IF('Marks Entry'!AL147="","",'Marks Entry'!AL147)</f>
        <v/>
      </c>
      <c r="CH147" s="580" t="str">
        <f>IF('Marks Entry'!AM147="","",'Marks Entry'!AM147)</f>
        <v/>
      </c>
      <c r="CI147" s="580" t="str">
        <f>IF('Marks Entry'!AN147="","",'Marks Entry'!AN147)</f>
        <v/>
      </c>
      <c r="CJ147" s="581" t="str">
        <f t="shared" si="460"/>
        <v/>
      </c>
      <c r="CK147" s="580" t="str">
        <f>IF('Marks Entry'!AO147="","",'Marks Entry'!AO147)</f>
        <v/>
      </c>
      <c r="CL147" s="580" t="str">
        <f>IF('Marks Entry'!AP147="","",'Marks Entry'!AP147)</f>
        <v/>
      </c>
      <c r="CM147" s="581" t="str">
        <f t="shared" si="461"/>
        <v/>
      </c>
      <c r="CN147" s="581" t="str">
        <f t="shared" si="462"/>
        <v/>
      </c>
      <c r="CO147" s="580" t="str">
        <f>IF('Marks Entry'!AQ147="","",'Marks Entry'!AQ147)</f>
        <v/>
      </c>
      <c r="CP147" s="580" t="str">
        <f>IF('Marks Entry'!AR147="","",'Marks Entry'!AR147)</f>
        <v/>
      </c>
      <c r="CQ147" s="581" t="str">
        <f t="shared" si="463"/>
        <v/>
      </c>
      <c r="CR147" s="156" t="str">
        <f t="shared" si="464"/>
        <v/>
      </c>
      <c r="CS147" s="156" t="str">
        <f t="shared" si="465"/>
        <v/>
      </c>
      <c r="CT147" s="191" t="str">
        <f t="shared" si="466"/>
        <v/>
      </c>
      <c r="CU147" s="152">
        <f t="shared" si="467"/>
        <v>0</v>
      </c>
      <c r="CV147" s="153">
        <f t="shared" si="468"/>
        <v>0</v>
      </c>
      <c r="CW147" s="153" t="str">
        <f t="shared" si="469"/>
        <v/>
      </c>
      <c r="CX147" s="153" t="str">
        <f t="shared" si="470"/>
        <v/>
      </c>
      <c r="CY147" s="153" t="str">
        <f t="shared" si="471"/>
        <v/>
      </c>
      <c r="CZ147" s="152" t="str">
        <f t="shared" si="472"/>
        <v/>
      </c>
      <c r="DA147" s="153" t="str">
        <f t="shared" si="473"/>
        <v/>
      </c>
      <c r="DB147" s="152" t="str">
        <f t="shared" si="474"/>
        <v/>
      </c>
      <c r="DC147" s="153">
        <f t="shared" si="475"/>
        <v>0</v>
      </c>
      <c r="DD147" s="851" t="str">
        <f>IF('Marks Entry'!AS147="","",IF(OR('Master Sheet'!$D$19="YES",'Marks Entry'!$BA$1=1),'Marks Entry'!AS147,""))</f>
        <v/>
      </c>
      <c r="DE147" s="851" t="str">
        <f>IF('Marks Entry'!AT147="","",IF(OR('Master Sheet'!$D$19="YES",'Marks Entry'!$BA$1=1),'Marks Entry'!AT147,""))</f>
        <v/>
      </c>
      <c r="DF147" s="851" t="str">
        <f>IF('Marks Entry'!AU147="","",IF(OR('Master Sheet'!$D$19="YES",'Marks Entry'!$BA$1=1),'Marks Entry'!AU147,""))</f>
        <v/>
      </c>
      <c r="DG147" s="851" t="str">
        <f>IF('Marks Entry'!AV147="","",IF(OR('Master Sheet'!$D$19="YES",'Marks Entry'!$BA$1=1),'Marks Entry'!AV147,""))</f>
        <v/>
      </c>
      <c r="DH147" s="852" t="str">
        <f t="shared" si="476"/>
        <v/>
      </c>
      <c r="DI147" s="851" t="str">
        <f>IF('Marks Entry'!AW147="","",IF(OR('Master Sheet'!$D$19="YES",'Marks Entry'!$BA$1=1),'Marks Entry'!AW147,""))</f>
        <v/>
      </c>
      <c r="DJ147" s="851" t="str">
        <f>IF('Marks Entry'!AX147="","",IF(OR('Master Sheet'!$D$19="YES",'Marks Entry'!$BA$1=1),'Marks Entry'!AX147,""))</f>
        <v/>
      </c>
      <c r="DK147" s="852" t="str">
        <f t="shared" si="477"/>
        <v/>
      </c>
      <c r="DL147" s="852" t="str">
        <f t="shared" si="478"/>
        <v/>
      </c>
      <c r="DM147" s="851" t="str">
        <f>IF('Marks Entry'!AY147="","",IF(OR('Master Sheet'!$D$19="YES",'Marks Entry'!$BA$1=1),'Marks Entry'!AY147,""))</f>
        <v/>
      </c>
      <c r="DN147" s="851" t="str">
        <f>IF('Marks Entry'!AZ147="","",IF(OR('Master Sheet'!$D$19="YES",'Marks Entry'!$BA$1=1),'Marks Entry'!AZ147,""))</f>
        <v/>
      </c>
      <c r="DO147" s="851" t="str">
        <f>IF('Marks Entry'!BA147="","",IF(OR('Master Sheet'!$D$19="YES",'Marks Entry'!$BA$1=1),'Marks Entry'!BA147,""))</f>
        <v/>
      </c>
      <c r="DP147" s="852" t="str">
        <f t="shared" si="479"/>
        <v/>
      </c>
      <c r="DQ147" s="156" t="str">
        <f t="shared" si="480"/>
        <v/>
      </c>
      <c r="DR147" s="156" t="str">
        <f t="shared" si="481"/>
        <v/>
      </c>
      <c r="DS147" s="156" t="str">
        <f t="shared" si="482"/>
        <v/>
      </c>
      <c r="DT147" s="191" t="str">
        <f t="shared" si="483"/>
        <v/>
      </c>
      <c r="DU147" s="152">
        <f t="shared" si="484"/>
        <v>0</v>
      </c>
      <c r="DV147" s="153">
        <f t="shared" si="485"/>
        <v>0</v>
      </c>
      <c r="DW147" s="153" t="str">
        <f t="shared" si="486"/>
        <v/>
      </c>
      <c r="DX147" s="153" t="str">
        <f>IF(OR($B147="NSO",$B147=0,DS147=""),"",IF(AND(DJ147="",DO147=""),"",IF('Master Sheet'!$D$19="YES",$DO$6-COUNTIF(DO147,"ML")*DO$6,DS$6-(COUNTIF(DJ147,"ML")*DJ$6)-(COUNTIF(DO147,"ML")*DO$6))))</f>
        <v/>
      </c>
      <c r="DY147" s="153" t="str">
        <f>IF(OR($B147="NSO",$B147=0),"",IF(AND(DH147="",DI147="",DM147=""),"",IF(AND('Master Sheet'!$D$19="YES",'Marks Entry'!$BA$1=1),100,IF(AND(DJ147="",DO147=""),SUM(($DQ$7+$DR$7)-(DU147+DV147)),SUM(($DQ$6+$DR$6)-(DU147+DV147))))))</f>
        <v/>
      </c>
      <c r="DZ147" s="152" t="str">
        <f t="shared" si="487"/>
        <v/>
      </c>
      <c r="EA147" s="153" t="str">
        <f t="shared" si="488"/>
        <v/>
      </c>
      <c r="EB147" s="152" t="str">
        <f t="shared" si="489"/>
        <v/>
      </c>
      <c r="EC147" s="584" t="str">
        <f>IF('Marks Entry'!BB147="","",'Marks Entry'!BB147)</f>
        <v/>
      </c>
      <c r="ED147" s="584" t="str">
        <f>IF('Marks Entry'!BC147="","",'Marks Entry'!BC147)</f>
        <v/>
      </c>
      <c r="EE147" s="584" t="str">
        <f>IF('Marks Entry'!BD147="","",'Marks Entry'!BD147)</f>
        <v/>
      </c>
      <c r="EF147" s="590" t="str">
        <f t="shared" si="490"/>
        <v/>
      </c>
      <c r="EG147" s="595">
        <f t="shared" si="491"/>
        <v>0</v>
      </c>
      <c r="EH147" s="595">
        <f t="shared" si="492"/>
        <v>0</v>
      </c>
      <c r="EI147" s="192" t="str">
        <f t="shared" si="493"/>
        <v/>
      </c>
      <c r="EJ147" s="595" t="str">
        <f t="shared" si="494"/>
        <v/>
      </c>
      <c r="EK147" s="595" t="str">
        <f t="shared" si="495"/>
        <v/>
      </c>
      <c r="EL147" s="193" t="str">
        <f t="shared" si="496"/>
        <v/>
      </c>
      <c r="EM147" s="193" t="str">
        <f t="shared" si="497"/>
        <v/>
      </c>
      <c r="EN147" s="193" t="str">
        <f t="shared" si="498"/>
        <v/>
      </c>
      <c r="EO147" s="193" t="str">
        <f t="shared" si="499"/>
        <v/>
      </c>
      <c r="EP147" s="193" t="str">
        <f t="shared" si="500"/>
        <v/>
      </c>
      <c r="EQ147" s="193" t="str">
        <f t="shared" si="501"/>
        <v/>
      </c>
      <c r="ER147" s="194">
        <f t="shared" si="502"/>
        <v>0</v>
      </c>
      <c r="ES147" s="194">
        <f t="shared" si="503"/>
        <v>0</v>
      </c>
      <c r="ET147" s="194">
        <f t="shared" si="504"/>
        <v>0</v>
      </c>
      <c r="EU147" s="194">
        <f t="shared" si="505"/>
        <v>0</v>
      </c>
      <c r="EV147" s="194">
        <f t="shared" si="506"/>
        <v>0</v>
      </c>
      <c r="EW147" s="194" t="str">
        <f t="shared" si="507"/>
        <v/>
      </c>
      <c r="EX147" s="195" t="str">
        <f t="shared" si="508"/>
        <v/>
      </c>
      <c r="EY147" s="196" t="str">
        <f>IF('Marks Entry'!BE147="","",'Marks Entry'!BE147)</f>
        <v/>
      </c>
      <c r="EZ147" s="196" t="str">
        <f>IF('Marks Entry'!BF147="","",'Marks Entry'!BF147)</f>
        <v/>
      </c>
      <c r="FA147" s="196" t="str">
        <f>IF('Marks Entry'!BG147="","",'Marks Entry'!BG147)</f>
        <v/>
      </c>
      <c r="FB147" s="596" t="str">
        <f t="shared" si="509"/>
        <v/>
      </c>
      <c r="FC147" s="196" t="str">
        <f>IF('Marks Entry'!BH147="","",'Marks Entry'!BH147)</f>
        <v/>
      </c>
      <c r="FD147" s="196" t="str">
        <f>IF('Marks Entry'!BI147="","",'Marks Entry'!BI147)</f>
        <v/>
      </c>
      <c r="FE147" s="197" t="str">
        <f t="shared" si="510"/>
        <v/>
      </c>
      <c r="FF147" s="198" t="str">
        <f t="shared" si="511"/>
        <v/>
      </c>
      <c r="FG147" s="199" t="str">
        <f>IF(AND(E147=""),"",IF('Student DATA Entry'!L143="","",'Student DATA Entry'!L143))</f>
        <v/>
      </c>
      <c r="FH147" s="200" t="str">
        <f>IF(AND(E147=""),"",IF('Student DATA Entry'!M143="","",'Student DATA Entry'!M143))</f>
        <v/>
      </c>
      <c r="FI147" s="201" t="str">
        <f t="shared" si="512"/>
        <v/>
      </c>
      <c r="FJ147" s="188" t="str">
        <f t="shared" si="513"/>
        <v/>
      </c>
      <c r="FK147" s="188" t="str">
        <f t="shared" si="514"/>
        <v/>
      </c>
      <c r="FL147" s="202" t="str">
        <f t="shared" si="383"/>
        <v/>
      </c>
      <c r="FM147" s="188" t="str">
        <f t="shared" si="515"/>
        <v/>
      </c>
      <c r="FN147" s="203" t="str">
        <f t="shared" si="516"/>
        <v/>
      </c>
      <c r="FO147" s="202" t="str">
        <f t="shared" si="384"/>
        <v/>
      </c>
      <c r="FP147" s="204" t="str">
        <f t="shared" si="517"/>
        <v/>
      </c>
      <c r="FQ147" s="188" t="str">
        <f t="shared" si="385"/>
        <v/>
      </c>
      <c r="FR147" s="188" t="str">
        <f t="shared" si="386"/>
        <v/>
      </c>
      <c r="FS147" s="188" t="str">
        <f t="shared" si="387"/>
        <v/>
      </c>
      <c r="FT147" s="188" t="str">
        <f t="shared" si="388"/>
        <v/>
      </c>
      <c r="FU147" s="188" t="str">
        <f t="shared" si="518"/>
        <v/>
      </c>
      <c r="FV147" s="205" t="str">
        <f t="shared" si="389"/>
        <v/>
      </c>
      <c r="FW147" s="204" t="str">
        <f t="shared" si="519"/>
        <v/>
      </c>
      <c r="FX147" s="188" t="str">
        <f t="shared" si="390"/>
        <v/>
      </c>
      <c r="FY147" s="188" t="str">
        <f t="shared" si="391"/>
        <v/>
      </c>
      <c r="FZ147" s="188" t="str">
        <f t="shared" si="392"/>
        <v/>
      </c>
      <c r="GA147" s="188" t="str">
        <f t="shared" si="393"/>
        <v/>
      </c>
      <c r="GB147" s="188" t="str">
        <f t="shared" si="520"/>
        <v/>
      </c>
      <c r="GC147" s="205" t="str">
        <f t="shared" si="394"/>
        <v/>
      </c>
      <c r="GD147" s="204" t="str">
        <f t="shared" si="521"/>
        <v/>
      </c>
      <c r="GE147" s="188" t="str">
        <f t="shared" si="395"/>
        <v/>
      </c>
      <c r="GF147" s="188" t="str">
        <f t="shared" si="396"/>
        <v/>
      </c>
      <c r="GG147" s="188" t="str">
        <f t="shared" si="397"/>
        <v/>
      </c>
      <c r="GH147" s="188" t="str">
        <f t="shared" si="398"/>
        <v/>
      </c>
      <c r="GI147" s="188" t="str">
        <f t="shared" si="522"/>
        <v/>
      </c>
      <c r="GJ147" s="205" t="str">
        <f t="shared" si="399"/>
        <v/>
      </c>
      <c r="GK147" s="204" t="str">
        <f t="shared" si="523"/>
        <v/>
      </c>
      <c r="GL147" s="188" t="str">
        <f t="shared" si="400"/>
        <v/>
      </c>
      <c r="GM147" s="188" t="str">
        <f t="shared" si="401"/>
        <v/>
      </c>
      <c r="GN147" s="188" t="str">
        <f t="shared" si="402"/>
        <v/>
      </c>
      <c r="GO147" s="188" t="str">
        <f t="shared" si="403"/>
        <v/>
      </c>
      <c r="GP147" s="188" t="str">
        <f t="shared" si="524"/>
        <v/>
      </c>
      <c r="GQ147" s="205" t="str">
        <f t="shared" si="404"/>
        <v/>
      </c>
      <c r="GR147" s="188" t="str">
        <f t="shared" si="525"/>
        <v/>
      </c>
      <c r="GS147" s="188" t="str">
        <f t="shared" si="526"/>
        <v/>
      </c>
      <c r="GT147" s="206" t="str">
        <f t="shared" si="527"/>
        <v xml:space="preserve">    </v>
      </c>
      <c r="GU147" s="206" t="str">
        <f t="shared" si="528"/>
        <v xml:space="preserve">    </v>
      </c>
      <c r="GV147" s="206" t="str">
        <f t="shared" si="529"/>
        <v xml:space="preserve">    </v>
      </c>
      <c r="GW147" s="206" t="str">
        <f t="shared" si="530"/>
        <v xml:space="preserve">       </v>
      </c>
      <c r="GX147" s="598" t="str">
        <f t="shared" si="531"/>
        <v xml:space="preserve">     </v>
      </c>
      <c r="GY147" s="207" t="str">
        <f t="shared" si="405"/>
        <v/>
      </c>
      <c r="GZ147" s="606" t="str">
        <f>IF(AND(Q147="",AE147="",AZ147="",BW147="",CT147=""),"",IF(AND('Master Sheet'!$D$19="YES",'Marks Entry'!$BA$1=1),SUM(Q147,AE147,AZ147,BW147,DT147),SUM(Q147,AE147,AZ147,BW147,CT147)))</f>
        <v/>
      </c>
      <c r="HA147" s="208" t="str">
        <f>IF(GZ147="","",IF(AND('Master Sheet'!$D$19="YES",'Marks Entry'!$BA$1=1),GZ147/((900)-DC147)*100,GZ147/((1000)-DC147)*100))</f>
        <v/>
      </c>
      <c r="HB147" s="611" t="str">
        <f t="shared" si="532"/>
        <v/>
      </c>
      <c r="HC147" s="609" t="str">
        <f t="shared" si="533"/>
        <v/>
      </c>
      <c r="HD147" s="610" t="str">
        <f t="shared" si="534"/>
        <v/>
      </c>
      <c r="HE147" s="209" t="str">
        <f>IFERROR(IF(OR(GY147="SUPPLEMENTARY",GY147="RE-EXAM"),'Supp. Result Entry'!AS146,""),"")</f>
        <v/>
      </c>
      <c r="HF147" s="613" t="str">
        <f t="shared" si="535"/>
        <v/>
      </c>
      <c r="HG147" s="598" t="str">
        <f t="shared" si="536"/>
        <v/>
      </c>
      <c r="HH147" s="598" t="str">
        <f>IF(AND(HE147="",HF147="",HG147=""),"",IF(OR(GY147="SUPPLEMENTARY",GY147="RE-EXAM"),'Supp. Result Entry'!AS146,GY147))</f>
        <v/>
      </c>
      <c r="HI147" s="179"/>
      <c r="HY147" s="211" t="str">
        <f>IF('Supp. Result Entry'!U146="","",'Supp. Result Entry'!$U$6)</f>
        <v/>
      </c>
      <c r="HZ147" s="212" t="str">
        <f>IF('Supp. Result Entry'!X146="","",'Supp. Result Entry'!$X$6)</f>
        <v/>
      </c>
      <c r="IA147" s="212" t="str">
        <f>IF('Supp. Result Entry'!AA146="","",'Supp. Result Entry'!$AA$6)</f>
        <v/>
      </c>
      <c r="IB147" s="212" t="str">
        <f>IF('Supp. Result Entry'!AD146="","",'Supp. Result Entry'!$AD$6)</f>
        <v/>
      </c>
      <c r="IC147" s="212" t="str">
        <f>IF('Supp. Result Entry'!AG146="","",'Supp. Result Entry'!$AG$6)</f>
        <v/>
      </c>
      <c r="ID147" s="212" t="str">
        <f>IF('Supp. Result Entry'!AJ146="","",'Supp. Result Entry'!$AJ$6)</f>
        <v/>
      </c>
      <c r="IE147" s="212" t="str">
        <f>IF('Supp. Result Entry'!V146="","",'Supp. Result Entry'!V146)</f>
        <v/>
      </c>
      <c r="IF147" s="212" t="str">
        <f>IF('Supp. Result Entry'!Y146="","",'Supp. Result Entry'!Y146)</f>
        <v/>
      </c>
      <c r="IG147" s="212" t="str">
        <f>IF('Supp. Result Entry'!AB146="","",'Supp. Result Entry'!AB146)</f>
        <v/>
      </c>
      <c r="IH147" s="212" t="str">
        <f>IF('Supp. Result Entry'!AE146="","",'Supp. Result Entry'!AE146)</f>
        <v/>
      </c>
      <c r="II147" s="212" t="str">
        <f>IF('Supp. Result Entry'!AH146="","",'Supp. Result Entry'!AH146)</f>
        <v/>
      </c>
      <c r="IJ147" s="212" t="str">
        <f>IF('Supp. Result Entry'!AK146="","",'Supp. Result Entry'!AK146)</f>
        <v/>
      </c>
      <c r="IK147" s="212" t="str">
        <f>IF('Supp. Result Entry'!W146="","",'Supp. Result Entry'!W146)</f>
        <v/>
      </c>
      <c r="IL147" s="212" t="str">
        <f>IF('Supp. Result Entry'!Z146="","",'Supp. Result Entry'!Z146)</f>
        <v/>
      </c>
      <c r="IM147" s="212" t="str">
        <f>IF('Supp. Result Entry'!AC146="","",'Supp. Result Entry'!AC146)</f>
        <v/>
      </c>
      <c r="IN147" s="212" t="str">
        <f>IF('Supp. Result Entry'!AF146="","",'Supp. Result Entry'!AF146)</f>
        <v/>
      </c>
      <c r="IO147" s="212" t="str">
        <f>IF('Supp. Result Entry'!AI146="","",'Supp. Result Entry'!AI146)</f>
        <v/>
      </c>
      <c r="IP147" s="212" t="str">
        <f>IF('Supp. Result Entry'!AL146="","",'Supp. Result Entry'!AL146)</f>
        <v/>
      </c>
      <c r="IQ147" s="212">
        <f>COUNTIF('Supp. Result Entry'!K146:Q146,"S")</f>
        <v>0</v>
      </c>
      <c r="IR147" s="212">
        <f t="shared" si="537"/>
        <v>0</v>
      </c>
      <c r="IS147" s="212">
        <f t="shared" si="538"/>
        <v>0</v>
      </c>
      <c r="IT147" s="212" t="str">
        <f t="shared" si="406"/>
        <v/>
      </c>
      <c r="IU147" s="212" t="str">
        <f t="shared" si="407"/>
        <v/>
      </c>
      <c r="IV147" s="212" t="str">
        <f t="shared" si="408"/>
        <v/>
      </c>
      <c r="IW147" s="212" t="str">
        <f t="shared" si="409"/>
        <v/>
      </c>
      <c r="IX147" s="212" t="str">
        <f t="shared" si="410"/>
        <v/>
      </c>
      <c r="IY147" s="212" t="str">
        <f t="shared" si="539"/>
        <v/>
      </c>
      <c r="IZ147" s="212" t="str">
        <f t="shared" si="540"/>
        <v/>
      </c>
      <c r="JA147" s="212" t="str">
        <f t="shared" si="411"/>
        <v/>
      </c>
      <c r="JB147" s="210" t="str">
        <f t="shared" si="541"/>
        <v/>
      </c>
    </row>
    <row r="148" spans="1:262" s="210" customFormat="1" ht="21" customHeight="1">
      <c r="A148" s="183">
        <v>141</v>
      </c>
      <c r="B148" s="184" t="str">
        <f>IF('Marks Entry'!B148="","",'Marks Entry'!B148)</f>
        <v/>
      </c>
      <c r="C148" s="185" t="str">
        <f>IF('Marks Entry'!D148="","",'Marks Entry'!D148)</f>
        <v/>
      </c>
      <c r="D148" s="186" t="str">
        <f>IF('Marks Entry'!E148="","",'Marks Entry'!E148)</f>
        <v/>
      </c>
      <c r="E148" s="187" t="str">
        <f>IF('Marks Entry'!F148="","",'Marks Entry'!F148)</f>
        <v/>
      </c>
      <c r="F148" s="187" t="str">
        <f>IF('Marks Entry'!G148="","",'Marks Entry'!G148)</f>
        <v/>
      </c>
      <c r="G148" s="187" t="str">
        <f>IF('Marks Entry'!H148="","",'Marks Entry'!H148)</f>
        <v/>
      </c>
      <c r="H148" s="188" t="str">
        <f>IF('Marks Entry'!I148="","",'Marks Entry'!I148)</f>
        <v/>
      </c>
      <c r="I148" s="189" t="str">
        <f>IF('Marks Entry'!J148="","",'Marks Entry'!J148)</f>
        <v/>
      </c>
      <c r="J148" s="545" t="str">
        <f>IF('Marks Entry'!K148="","",'Marks Entry'!K148)</f>
        <v/>
      </c>
      <c r="K148" s="545" t="str">
        <f>IF('Marks Entry'!L148="","",'Marks Entry'!L148)</f>
        <v/>
      </c>
      <c r="L148" s="545" t="str">
        <f>IF('Marks Entry'!M148="","",'Marks Entry'!M148)</f>
        <v/>
      </c>
      <c r="M148" s="546" t="str">
        <f t="shared" si="412"/>
        <v/>
      </c>
      <c r="N148" s="545" t="str">
        <f>IF('Marks Entry'!N148="","",'Marks Entry'!N148)</f>
        <v/>
      </c>
      <c r="O148" s="546" t="str">
        <f t="shared" si="413"/>
        <v/>
      </c>
      <c r="P148" s="545" t="str">
        <f>IF('Marks Entry'!O148="","",'Marks Entry'!O148)</f>
        <v/>
      </c>
      <c r="Q148" s="547" t="str">
        <f t="shared" si="414"/>
        <v/>
      </c>
      <c r="R148" s="152">
        <f t="shared" si="415"/>
        <v>0</v>
      </c>
      <c r="S148" s="152">
        <f t="shared" si="416"/>
        <v>0</v>
      </c>
      <c r="T148" s="153" t="str">
        <f t="shared" si="417"/>
        <v/>
      </c>
      <c r="U148" s="152" t="str">
        <f t="shared" si="418"/>
        <v/>
      </c>
      <c r="V148" s="152" t="str">
        <f t="shared" si="419"/>
        <v/>
      </c>
      <c r="W148" s="152" t="str">
        <f t="shared" si="420"/>
        <v/>
      </c>
      <c r="X148" s="545" t="str">
        <f>IF('Marks Entry'!P148="","",'Marks Entry'!P148)</f>
        <v/>
      </c>
      <c r="Y148" s="545" t="str">
        <f>IF('Marks Entry'!Q148="","",'Marks Entry'!Q148)</f>
        <v/>
      </c>
      <c r="Z148" s="545" t="str">
        <f>IF('Marks Entry'!R148="","",'Marks Entry'!R148)</f>
        <v/>
      </c>
      <c r="AA148" s="546" t="str">
        <f t="shared" si="421"/>
        <v/>
      </c>
      <c r="AB148" s="545" t="str">
        <f>IF('Marks Entry'!S148="","",'Marks Entry'!S148)</f>
        <v/>
      </c>
      <c r="AC148" s="546" t="str">
        <f t="shared" si="422"/>
        <v/>
      </c>
      <c r="AD148" s="545" t="str">
        <f>IF('Marks Entry'!T148="","",'Marks Entry'!T148)</f>
        <v/>
      </c>
      <c r="AE148" s="547" t="str">
        <f t="shared" si="423"/>
        <v/>
      </c>
      <c r="AF148" s="152">
        <f t="shared" si="424"/>
        <v>0</v>
      </c>
      <c r="AG148" s="152">
        <f t="shared" si="425"/>
        <v>0</v>
      </c>
      <c r="AH148" s="153" t="str">
        <f t="shared" si="426"/>
        <v/>
      </c>
      <c r="AI148" s="152" t="str">
        <f t="shared" si="427"/>
        <v/>
      </c>
      <c r="AJ148" s="152" t="str">
        <f t="shared" si="428"/>
        <v/>
      </c>
      <c r="AK148" s="152" t="str">
        <f t="shared" si="429"/>
        <v/>
      </c>
      <c r="AL148" s="573" t="str">
        <f>IF('Marks Entry'!U148="","",'Marks Entry'!U148)</f>
        <v/>
      </c>
      <c r="AM148" s="573" t="str">
        <f>IF('Marks Entry'!V148="","",'Marks Entry'!V148)</f>
        <v/>
      </c>
      <c r="AN148" s="573" t="str">
        <f>IF('Marks Entry'!W148="","",'Marks Entry'!W148)</f>
        <v/>
      </c>
      <c r="AO148" s="573" t="str">
        <f>IF('Marks Entry'!X148="","",'Marks Entry'!X148)</f>
        <v/>
      </c>
      <c r="AP148" s="572" t="str">
        <f t="shared" si="430"/>
        <v/>
      </c>
      <c r="AQ148" s="573" t="str">
        <f>IF('Marks Entry'!Y148="","",'Marks Entry'!Y148)</f>
        <v/>
      </c>
      <c r="AR148" s="573" t="str">
        <f>IF('Marks Entry'!Z148="","",'Marks Entry'!Z148)</f>
        <v/>
      </c>
      <c r="AS148" s="572" t="str">
        <f t="shared" si="431"/>
        <v/>
      </c>
      <c r="AT148" s="572" t="str">
        <f t="shared" si="432"/>
        <v/>
      </c>
      <c r="AU148" s="573" t="str">
        <f>IF('Marks Entry'!AA148="","",'Marks Entry'!AA148)</f>
        <v/>
      </c>
      <c r="AV148" s="573" t="str">
        <f>IF('Marks Entry'!AB148="","",'Marks Entry'!AB148)</f>
        <v/>
      </c>
      <c r="AW148" s="572" t="str">
        <f t="shared" si="433"/>
        <v/>
      </c>
      <c r="AX148" s="156" t="str">
        <f t="shared" si="434"/>
        <v/>
      </c>
      <c r="AY148" s="156" t="str">
        <f t="shared" si="435"/>
        <v/>
      </c>
      <c r="AZ148" s="191" t="str">
        <f t="shared" si="436"/>
        <v/>
      </c>
      <c r="BA148" s="152">
        <f t="shared" si="437"/>
        <v>0</v>
      </c>
      <c r="BB148" s="153">
        <f t="shared" si="438"/>
        <v>0</v>
      </c>
      <c r="BC148" s="153" t="str">
        <f t="shared" si="439"/>
        <v/>
      </c>
      <c r="BD148" s="153" t="str">
        <f t="shared" si="440"/>
        <v/>
      </c>
      <c r="BE148" s="153" t="str">
        <f t="shared" si="441"/>
        <v/>
      </c>
      <c r="BF148" s="152" t="str">
        <f t="shared" si="442"/>
        <v/>
      </c>
      <c r="BG148" s="153" t="str">
        <f t="shared" si="443"/>
        <v/>
      </c>
      <c r="BH148" s="152" t="str">
        <f t="shared" si="444"/>
        <v/>
      </c>
      <c r="BI148" s="580" t="str">
        <f>IF('Marks Entry'!AC148="","",'Marks Entry'!AC148)</f>
        <v/>
      </c>
      <c r="BJ148" s="580" t="str">
        <f>IF('Marks Entry'!AD148="","",'Marks Entry'!AD148)</f>
        <v/>
      </c>
      <c r="BK148" s="580" t="str">
        <f>IF('Marks Entry'!AE148="","",'Marks Entry'!AE148)</f>
        <v/>
      </c>
      <c r="BL148" s="580" t="str">
        <f>IF('Marks Entry'!AF148="","",'Marks Entry'!AF148)</f>
        <v/>
      </c>
      <c r="BM148" s="581" t="str">
        <f t="shared" si="445"/>
        <v/>
      </c>
      <c r="BN148" s="580" t="str">
        <f>IF('Marks Entry'!AG148="","",'Marks Entry'!AG148)</f>
        <v/>
      </c>
      <c r="BO148" s="580" t="str">
        <f>IF('Marks Entry'!AH148="","",'Marks Entry'!AH148)</f>
        <v/>
      </c>
      <c r="BP148" s="581" t="str">
        <f t="shared" si="446"/>
        <v/>
      </c>
      <c r="BQ148" s="581" t="str">
        <f t="shared" si="447"/>
        <v/>
      </c>
      <c r="BR148" s="580" t="str">
        <f>IF('Marks Entry'!AI148="","",'Marks Entry'!AI148)</f>
        <v/>
      </c>
      <c r="BS148" s="580" t="str">
        <f>IF('Marks Entry'!AJ148="","",'Marks Entry'!AJ148)</f>
        <v/>
      </c>
      <c r="BT148" s="581" t="str">
        <f t="shared" si="448"/>
        <v/>
      </c>
      <c r="BU148" s="156" t="str">
        <f t="shared" si="449"/>
        <v/>
      </c>
      <c r="BV148" s="156" t="str">
        <f t="shared" si="450"/>
        <v/>
      </c>
      <c r="BW148" s="191" t="str">
        <f t="shared" si="451"/>
        <v/>
      </c>
      <c r="BX148" s="152">
        <f t="shared" si="452"/>
        <v>0</v>
      </c>
      <c r="BY148" s="153">
        <f t="shared" si="453"/>
        <v>0</v>
      </c>
      <c r="BZ148" s="153" t="str">
        <f t="shared" si="454"/>
        <v/>
      </c>
      <c r="CA148" s="153" t="str">
        <f t="shared" si="455"/>
        <v/>
      </c>
      <c r="CB148" s="153" t="str">
        <f t="shared" si="456"/>
        <v/>
      </c>
      <c r="CC148" s="152" t="str">
        <f t="shared" si="457"/>
        <v/>
      </c>
      <c r="CD148" s="153" t="str">
        <f t="shared" si="458"/>
        <v/>
      </c>
      <c r="CE148" s="152" t="str">
        <f t="shared" si="459"/>
        <v/>
      </c>
      <c r="CF148" s="580" t="str">
        <f>IF('Marks Entry'!AK148="","",'Marks Entry'!AK148)</f>
        <v/>
      </c>
      <c r="CG148" s="580" t="str">
        <f>IF('Marks Entry'!AL148="","",'Marks Entry'!AL148)</f>
        <v/>
      </c>
      <c r="CH148" s="580" t="str">
        <f>IF('Marks Entry'!AM148="","",'Marks Entry'!AM148)</f>
        <v/>
      </c>
      <c r="CI148" s="580" t="str">
        <f>IF('Marks Entry'!AN148="","",'Marks Entry'!AN148)</f>
        <v/>
      </c>
      <c r="CJ148" s="581" t="str">
        <f t="shared" si="460"/>
        <v/>
      </c>
      <c r="CK148" s="580" t="str">
        <f>IF('Marks Entry'!AO148="","",'Marks Entry'!AO148)</f>
        <v/>
      </c>
      <c r="CL148" s="580" t="str">
        <f>IF('Marks Entry'!AP148="","",'Marks Entry'!AP148)</f>
        <v/>
      </c>
      <c r="CM148" s="581" t="str">
        <f t="shared" si="461"/>
        <v/>
      </c>
      <c r="CN148" s="581" t="str">
        <f t="shared" si="462"/>
        <v/>
      </c>
      <c r="CO148" s="580" t="str">
        <f>IF('Marks Entry'!AQ148="","",'Marks Entry'!AQ148)</f>
        <v/>
      </c>
      <c r="CP148" s="580" t="str">
        <f>IF('Marks Entry'!AR148="","",'Marks Entry'!AR148)</f>
        <v/>
      </c>
      <c r="CQ148" s="581" t="str">
        <f t="shared" si="463"/>
        <v/>
      </c>
      <c r="CR148" s="156" t="str">
        <f t="shared" si="464"/>
        <v/>
      </c>
      <c r="CS148" s="156" t="str">
        <f t="shared" si="465"/>
        <v/>
      </c>
      <c r="CT148" s="191" t="str">
        <f t="shared" si="466"/>
        <v/>
      </c>
      <c r="CU148" s="152">
        <f t="shared" si="467"/>
        <v>0</v>
      </c>
      <c r="CV148" s="153">
        <f t="shared" si="468"/>
        <v>0</v>
      </c>
      <c r="CW148" s="153" t="str">
        <f t="shared" si="469"/>
        <v/>
      </c>
      <c r="CX148" s="153" t="str">
        <f t="shared" si="470"/>
        <v/>
      </c>
      <c r="CY148" s="153" t="str">
        <f t="shared" si="471"/>
        <v/>
      </c>
      <c r="CZ148" s="152" t="str">
        <f t="shared" si="472"/>
        <v/>
      </c>
      <c r="DA148" s="153" t="str">
        <f t="shared" si="473"/>
        <v/>
      </c>
      <c r="DB148" s="152" t="str">
        <f t="shared" si="474"/>
        <v/>
      </c>
      <c r="DC148" s="153">
        <f t="shared" si="475"/>
        <v>0</v>
      </c>
      <c r="DD148" s="851" t="str">
        <f>IF('Marks Entry'!AS148="","",IF(OR('Master Sheet'!$D$19="YES",'Marks Entry'!$BA$1=1),'Marks Entry'!AS148,""))</f>
        <v/>
      </c>
      <c r="DE148" s="851" t="str">
        <f>IF('Marks Entry'!AT148="","",IF(OR('Master Sheet'!$D$19="YES",'Marks Entry'!$BA$1=1),'Marks Entry'!AT148,""))</f>
        <v/>
      </c>
      <c r="DF148" s="851" t="str">
        <f>IF('Marks Entry'!AU148="","",IF(OR('Master Sheet'!$D$19="YES",'Marks Entry'!$BA$1=1),'Marks Entry'!AU148,""))</f>
        <v/>
      </c>
      <c r="DG148" s="851" t="str">
        <f>IF('Marks Entry'!AV148="","",IF(OR('Master Sheet'!$D$19="YES",'Marks Entry'!$BA$1=1),'Marks Entry'!AV148,""))</f>
        <v/>
      </c>
      <c r="DH148" s="852" t="str">
        <f t="shared" si="476"/>
        <v/>
      </c>
      <c r="DI148" s="851" t="str">
        <f>IF('Marks Entry'!AW148="","",IF(OR('Master Sheet'!$D$19="YES",'Marks Entry'!$BA$1=1),'Marks Entry'!AW148,""))</f>
        <v/>
      </c>
      <c r="DJ148" s="851" t="str">
        <f>IF('Marks Entry'!AX148="","",IF(OR('Master Sheet'!$D$19="YES",'Marks Entry'!$BA$1=1),'Marks Entry'!AX148,""))</f>
        <v/>
      </c>
      <c r="DK148" s="852" t="str">
        <f t="shared" si="477"/>
        <v/>
      </c>
      <c r="DL148" s="852" t="str">
        <f t="shared" si="478"/>
        <v/>
      </c>
      <c r="DM148" s="851" t="str">
        <f>IF('Marks Entry'!AY148="","",IF(OR('Master Sheet'!$D$19="YES",'Marks Entry'!$BA$1=1),'Marks Entry'!AY148,""))</f>
        <v/>
      </c>
      <c r="DN148" s="851" t="str">
        <f>IF('Marks Entry'!AZ148="","",IF(OR('Master Sheet'!$D$19="YES",'Marks Entry'!$BA$1=1),'Marks Entry'!AZ148,""))</f>
        <v/>
      </c>
      <c r="DO148" s="851" t="str">
        <f>IF('Marks Entry'!BA148="","",IF(OR('Master Sheet'!$D$19="YES",'Marks Entry'!$BA$1=1),'Marks Entry'!BA148,""))</f>
        <v/>
      </c>
      <c r="DP148" s="852" t="str">
        <f t="shared" si="479"/>
        <v/>
      </c>
      <c r="DQ148" s="156" t="str">
        <f t="shared" si="480"/>
        <v/>
      </c>
      <c r="DR148" s="156" t="str">
        <f t="shared" si="481"/>
        <v/>
      </c>
      <c r="DS148" s="156" t="str">
        <f t="shared" si="482"/>
        <v/>
      </c>
      <c r="DT148" s="191" t="str">
        <f t="shared" si="483"/>
        <v/>
      </c>
      <c r="DU148" s="152">
        <f t="shared" si="484"/>
        <v>0</v>
      </c>
      <c r="DV148" s="153">
        <f t="shared" si="485"/>
        <v>0</v>
      </c>
      <c r="DW148" s="153" t="str">
        <f t="shared" si="486"/>
        <v/>
      </c>
      <c r="DX148" s="153" t="str">
        <f>IF(OR($B148="NSO",$B148=0,DS148=""),"",IF(AND(DJ148="",DO148=""),"",IF('Master Sheet'!$D$19="YES",$DO$6-COUNTIF(DO148,"ML")*DO$6,DS$6-(COUNTIF(DJ148,"ML")*DJ$6)-(COUNTIF(DO148,"ML")*DO$6))))</f>
        <v/>
      </c>
      <c r="DY148" s="153" t="str">
        <f>IF(OR($B148="NSO",$B148=0),"",IF(AND(DH148="",DI148="",DM148=""),"",IF(AND('Master Sheet'!$D$19="YES",'Marks Entry'!$BA$1=1),100,IF(AND(DJ148="",DO148=""),SUM(($DQ$7+$DR$7)-(DU148+DV148)),SUM(($DQ$6+$DR$6)-(DU148+DV148))))))</f>
        <v/>
      </c>
      <c r="DZ148" s="152" t="str">
        <f t="shared" si="487"/>
        <v/>
      </c>
      <c r="EA148" s="153" t="str">
        <f t="shared" si="488"/>
        <v/>
      </c>
      <c r="EB148" s="152" t="str">
        <f t="shared" si="489"/>
        <v/>
      </c>
      <c r="EC148" s="584" t="str">
        <f>IF('Marks Entry'!BB148="","",'Marks Entry'!BB148)</f>
        <v/>
      </c>
      <c r="ED148" s="584" t="str">
        <f>IF('Marks Entry'!BC148="","",'Marks Entry'!BC148)</f>
        <v/>
      </c>
      <c r="EE148" s="584" t="str">
        <f>IF('Marks Entry'!BD148="","",'Marks Entry'!BD148)</f>
        <v/>
      </c>
      <c r="EF148" s="590" t="str">
        <f t="shared" si="490"/>
        <v/>
      </c>
      <c r="EG148" s="595">
        <f t="shared" si="491"/>
        <v>0</v>
      </c>
      <c r="EH148" s="595">
        <f t="shared" si="492"/>
        <v>0</v>
      </c>
      <c r="EI148" s="192" t="str">
        <f t="shared" si="493"/>
        <v/>
      </c>
      <c r="EJ148" s="595" t="str">
        <f t="shared" si="494"/>
        <v/>
      </c>
      <c r="EK148" s="595" t="str">
        <f t="shared" si="495"/>
        <v/>
      </c>
      <c r="EL148" s="193" t="str">
        <f t="shared" si="496"/>
        <v/>
      </c>
      <c r="EM148" s="193" t="str">
        <f t="shared" si="497"/>
        <v/>
      </c>
      <c r="EN148" s="193" t="str">
        <f t="shared" si="498"/>
        <v/>
      </c>
      <c r="EO148" s="193" t="str">
        <f t="shared" si="499"/>
        <v/>
      </c>
      <c r="EP148" s="193" t="str">
        <f t="shared" si="500"/>
        <v/>
      </c>
      <c r="EQ148" s="193" t="str">
        <f t="shared" si="501"/>
        <v/>
      </c>
      <c r="ER148" s="194">
        <f t="shared" si="502"/>
        <v>0</v>
      </c>
      <c r="ES148" s="194">
        <f t="shared" si="503"/>
        <v>0</v>
      </c>
      <c r="ET148" s="194">
        <f t="shared" si="504"/>
        <v>0</v>
      </c>
      <c r="EU148" s="194">
        <f t="shared" si="505"/>
        <v>0</v>
      </c>
      <c r="EV148" s="194">
        <f t="shared" si="506"/>
        <v>0</v>
      </c>
      <c r="EW148" s="194" t="str">
        <f t="shared" si="507"/>
        <v/>
      </c>
      <c r="EX148" s="195" t="str">
        <f t="shared" si="508"/>
        <v/>
      </c>
      <c r="EY148" s="196" t="str">
        <f>IF('Marks Entry'!BE148="","",'Marks Entry'!BE148)</f>
        <v/>
      </c>
      <c r="EZ148" s="196" t="str">
        <f>IF('Marks Entry'!BF148="","",'Marks Entry'!BF148)</f>
        <v/>
      </c>
      <c r="FA148" s="196" t="str">
        <f>IF('Marks Entry'!BG148="","",'Marks Entry'!BG148)</f>
        <v/>
      </c>
      <c r="FB148" s="596" t="str">
        <f t="shared" si="509"/>
        <v/>
      </c>
      <c r="FC148" s="196" t="str">
        <f>IF('Marks Entry'!BH148="","",'Marks Entry'!BH148)</f>
        <v/>
      </c>
      <c r="FD148" s="196" t="str">
        <f>IF('Marks Entry'!BI148="","",'Marks Entry'!BI148)</f>
        <v/>
      </c>
      <c r="FE148" s="197" t="str">
        <f t="shared" si="510"/>
        <v/>
      </c>
      <c r="FF148" s="198" t="str">
        <f t="shared" si="511"/>
        <v/>
      </c>
      <c r="FG148" s="199" t="str">
        <f>IF(AND(E148=""),"",IF('Student DATA Entry'!L144="","",'Student DATA Entry'!L144))</f>
        <v/>
      </c>
      <c r="FH148" s="200" t="str">
        <f>IF(AND(E148=""),"",IF('Student DATA Entry'!M144="","",'Student DATA Entry'!M144))</f>
        <v/>
      </c>
      <c r="FI148" s="201" t="str">
        <f t="shared" si="512"/>
        <v/>
      </c>
      <c r="FJ148" s="188" t="str">
        <f t="shared" si="513"/>
        <v/>
      </c>
      <c r="FK148" s="188" t="str">
        <f t="shared" si="514"/>
        <v/>
      </c>
      <c r="FL148" s="202" t="str">
        <f t="shared" si="383"/>
        <v/>
      </c>
      <c r="FM148" s="188" t="str">
        <f t="shared" si="515"/>
        <v/>
      </c>
      <c r="FN148" s="203" t="str">
        <f t="shared" si="516"/>
        <v/>
      </c>
      <c r="FO148" s="202" t="str">
        <f t="shared" si="384"/>
        <v/>
      </c>
      <c r="FP148" s="204" t="str">
        <f t="shared" si="517"/>
        <v/>
      </c>
      <c r="FQ148" s="188" t="str">
        <f t="shared" si="385"/>
        <v/>
      </c>
      <c r="FR148" s="188" t="str">
        <f t="shared" si="386"/>
        <v/>
      </c>
      <c r="FS148" s="188" t="str">
        <f t="shared" si="387"/>
        <v/>
      </c>
      <c r="FT148" s="188" t="str">
        <f t="shared" si="388"/>
        <v/>
      </c>
      <c r="FU148" s="188" t="str">
        <f t="shared" si="518"/>
        <v/>
      </c>
      <c r="FV148" s="205" t="str">
        <f t="shared" si="389"/>
        <v/>
      </c>
      <c r="FW148" s="204" t="str">
        <f t="shared" si="519"/>
        <v/>
      </c>
      <c r="FX148" s="188" t="str">
        <f t="shared" si="390"/>
        <v/>
      </c>
      <c r="FY148" s="188" t="str">
        <f t="shared" si="391"/>
        <v/>
      </c>
      <c r="FZ148" s="188" t="str">
        <f t="shared" si="392"/>
        <v/>
      </c>
      <c r="GA148" s="188" t="str">
        <f t="shared" si="393"/>
        <v/>
      </c>
      <c r="GB148" s="188" t="str">
        <f t="shared" si="520"/>
        <v/>
      </c>
      <c r="GC148" s="205" t="str">
        <f t="shared" si="394"/>
        <v/>
      </c>
      <c r="GD148" s="204" t="str">
        <f t="shared" si="521"/>
        <v/>
      </c>
      <c r="GE148" s="188" t="str">
        <f t="shared" si="395"/>
        <v/>
      </c>
      <c r="GF148" s="188" t="str">
        <f t="shared" si="396"/>
        <v/>
      </c>
      <c r="GG148" s="188" t="str">
        <f t="shared" si="397"/>
        <v/>
      </c>
      <c r="GH148" s="188" t="str">
        <f t="shared" si="398"/>
        <v/>
      </c>
      <c r="GI148" s="188" t="str">
        <f t="shared" si="522"/>
        <v/>
      </c>
      <c r="GJ148" s="205" t="str">
        <f t="shared" si="399"/>
        <v/>
      </c>
      <c r="GK148" s="204" t="str">
        <f t="shared" si="523"/>
        <v/>
      </c>
      <c r="GL148" s="188" t="str">
        <f t="shared" si="400"/>
        <v/>
      </c>
      <c r="GM148" s="188" t="str">
        <f t="shared" si="401"/>
        <v/>
      </c>
      <c r="GN148" s="188" t="str">
        <f t="shared" si="402"/>
        <v/>
      </c>
      <c r="GO148" s="188" t="str">
        <f t="shared" si="403"/>
        <v/>
      </c>
      <c r="GP148" s="188" t="str">
        <f t="shared" si="524"/>
        <v/>
      </c>
      <c r="GQ148" s="205" t="str">
        <f t="shared" si="404"/>
        <v/>
      </c>
      <c r="GR148" s="188" t="str">
        <f t="shared" si="525"/>
        <v/>
      </c>
      <c r="GS148" s="188" t="str">
        <f t="shared" si="526"/>
        <v/>
      </c>
      <c r="GT148" s="206" t="str">
        <f t="shared" si="527"/>
        <v xml:space="preserve">    </v>
      </c>
      <c r="GU148" s="206" t="str">
        <f t="shared" si="528"/>
        <v xml:space="preserve">    </v>
      </c>
      <c r="GV148" s="206" t="str">
        <f t="shared" si="529"/>
        <v xml:space="preserve">    </v>
      </c>
      <c r="GW148" s="206" t="str">
        <f t="shared" si="530"/>
        <v xml:space="preserve">       </v>
      </c>
      <c r="GX148" s="598" t="str">
        <f t="shared" si="531"/>
        <v xml:space="preserve">     </v>
      </c>
      <c r="GY148" s="207" t="str">
        <f t="shared" si="405"/>
        <v/>
      </c>
      <c r="GZ148" s="606" t="str">
        <f>IF(AND(Q148="",AE148="",AZ148="",BW148="",CT148=""),"",IF(AND('Master Sheet'!$D$19="YES",'Marks Entry'!$BA$1=1),SUM(Q148,AE148,AZ148,BW148,DT148),SUM(Q148,AE148,AZ148,BW148,CT148)))</f>
        <v/>
      </c>
      <c r="HA148" s="208" t="str">
        <f>IF(GZ148="","",IF(AND('Master Sheet'!$D$19="YES",'Marks Entry'!$BA$1=1),GZ148/((900)-DC148)*100,GZ148/((1000)-DC148)*100))</f>
        <v/>
      </c>
      <c r="HB148" s="611" t="str">
        <f t="shared" si="532"/>
        <v/>
      </c>
      <c r="HC148" s="609" t="str">
        <f t="shared" si="533"/>
        <v/>
      </c>
      <c r="HD148" s="610" t="str">
        <f t="shared" si="534"/>
        <v/>
      </c>
      <c r="HE148" s="209" t="str">
        <f>IFERROR(IF(OR(GY148="SUPPLEMENTARY",GY148="RE-EXAM"),'Supp. Result Entry'!AS147,""),"")</f>
        <v/>
      </c>
      <c r="HF148" s="613" t="str">
        <f t="shared" si="535"/>
        <v/>
      </c>
      <c r="HG148" s="598" t="str">
        <f t="shared" si="536"/>
        <v/>
      </c>
      <c r="HH148" s="598" t="str">
        <f>IF(AND(HE148="",HF148="",HG148=""),"",IF(OR(GY148="SUPPLEMENTARY",GY148="RE-EXAM"),'Supp. Result Entry'!AS147,GY148))</f>
        <v/>
      </c>
      <c r="HI148" s="179"/>
      <c r="HY148" s="211" t="str">
        <f>IF('Supp. Result Entry'!U147="","",'Supp. Result Entry'!$U$6)</f>
        <v/>
      </c>
      <c r="HZ148" s="212" t="str">
        <f>IF('Supp. Result Entry'!X147="","",'Supp. Result Entry'!$X$6)</f>
        <v/>
      </c>
      <c r="IA148" s="212" t="str">
        <f>IF('Supp. Result Entry'!AA147="","",'Supp. Result Entry'!$AA$6)</f>
        <v/>
      </c>
      <c r="IB148" s="212" t="str">
        <f>IF('Supp. Result Entry'!AD147="","",'Supp. Result Entry'!$AD$6)</f>
        <v/>
      </c>
      <c r="IC148" s="212" t="str">
        <f>IF('Supp. Result Entry'!AG147="","",'Supp. Result Entry'!$AG$6)</f>
        <v/>
      </c>
      <c r="ID148" s="212" t="str">
        <f>IF('Supp. Result Entry'!AJ147="","",'Supp. Result Entry'!$AJ$6)</f>
        <v/>
      </c>
      <c r="IE148" s="212" t="str">
        <f>IF('Supp. Result Entry'!V147="","",'Supp. Result Entry'!V147)</f>
        <v/>
      </c>
      <c r="IF148" s="212" t="str">
        <f>IF('Supp. Result Entry'!Y147="","",'Supp. Result Entry'!Y147)</f>
        <v/>
      </c>
      <c r="IG148" s="212" t="str">
        <f>IF('Supp. Result Entry'!AB147="","",'Supp. Result Entry'!AB147)</f>
        <v/>
      </c>
      <c r="IH148" s="212" t="str">
        <f>IF('Supp. Result Entry'!AE147="","",'Supp. Result Entry'!AE147)</f>
        <v/>
      </c>
      <c r="II148" s="212" t="str">
        <f>IF('Supp. Result Entry'!AH147="","",'Supp. Result Entry'!AH147)</f>
        <v/>
      </c>
      <c r="IJ148" s="212" t="str">
        <f>IF('Supp. Result Entry'!AK147="","",'Supp. Result Entry'!AK147)</f>
        <v/>
      </c>
      <c r="IK148" s="212" t="str">
        <f>IF('Supp. Result Entry'!W147="","",'Supp. Result Entry'!W147)</f>
        <v/>
      </c>
      <c r="IL148" s="212" t="str">
        <f>IF('Supp. Result Entry'!Z147="","",'Supp. Result Entry'!Z147)</f>
        <v/>
      </c>
      <c r="IM148" s="212" t="str">
        <f>IF('Supp. Result Entry'!AC147="","",'Supp. Result Entry'!AC147)</f>
        <v/>
      </c>
      <c r="IN148" s="212" t="str">
        <f>IF('Supp. Result Entry'!AF147="","",'Supp. Result Entry'!AF147)</f>
        <v/>
      </c>
      <c r="IO148" s="212" t="str">
        <f>IF('Supp. Result Entry'!AI147="","",'Supp. Result Entry'!AI147)</f>
        <v/>
      </c>
      <c r="IP148" s="212" t="str">
        <f>IF('Supp. Result Entry'!AL147="","",'Supp. Result Entry'!AL147)</f>
        <v/>
      </c>
      <c r="IQ148" s="212">
        <f>COUNTIF('Supp. Result Entry'!K147:Q147,"S")</f>
        <v>0</v>
      </c>
      <c r="IR148" s="212">
        <f t="shared" si="537"/>
        <v>0</v>
      </c>
      <c r="IS148" s="212">
        <f t="shared" si="538"/>
        <v>0</v>
      </c>
      <c r="IT148" s="212" t="str">
        <f t="shared" si="406"/>
        <v/>
      </c>
      <c r="IU148" s="212" t="str">
        <f t="shared" si="407"/>
        <v/>
      </c>
      <c r="IV148" s="212" t="str">
        <f t="shared" si="408"/>
        <v/>
      </c>
      <c r="IW148" s="212" t="str">
        <f t="shared" si="409"/>
        <v/>
      </c>
      <c r="IX148" s="212" t="str">
        <f t="shared" si="410"/>
        <v/>
      </c>
      <c r="IY148" s="212" t="str">
        <f t="shared" si="539"/>
        <v/>
      </c>
      <c r="IZ148" s="212" t="str">
        <f t="shared" si="540"/>
        <v/>
      </c>
      <c r="JA148" s="212" t="str">
        <f t="shared" si="411"/>
        <v/>
      </c>
      <c r="JB148" s="210" t="str">
        <f t="shared" si="541"/>
        <v/>
      </c>
    </row>
    <row r="149" spans="1:262" s="210" customFormat="1" ht="21" customHeight="1">
      <c r="A149" s="183">
        <v>142</v>
      </c>
      <c r="B149" s="184" t="str">
        <f>IF('Marks Entry'!B149="","",'Marks Entry'!B149)</f>
        <v/>
      </c>
      <c r="C149" s="185" t="str">
        <f>IF('Marks Entry'!D149="","",'Marks Entry'!D149)</f>
        <v/>
      </c>
      <c r="D149" s="186" t="str">
        <f>IF('Marks Entry'!E149="","",'Marks Entry'!E149)</f>
        <v/>
      </c>
      <c r="E149" s="187" t="str">
        <f>IF('Marks Entry'!F149="","",'Marks Entry'!F149)</f>
        <v/>
      </c>
      <c r="F149" s="187" t="str">
        <f>IF('Marks Entry'!G149="","",'Marks Entry'!G149)</f>
        <v/>
      </c>
      <c r="G149" s="187" t="str">
        <f>IF('Marks Entry'!H149="","",'Marks Entry'!H149)</f>
        <v/>
      </c>
      <c r="H149" s="188" t="str">
        <f>IF('Marks Entry'!I149="","",'Marks Entry'!I149)</f>
        <v/>
      </c>
      <c r="I149" s="189" t="str">
        <f>IF('Marks Entry'!J149="","",'Marks Entry'!J149)</f>
        <v/>
      </c>
      <c r="J149" s="545" t="str">
        <f>IF('Marks Entry'!K149="","",'Marks Entry'!K149)</f>
        <v/>
      </c>
      <c r="K149" s="545" t="str">
        <f>IF('Marks Entry'!L149="","",'Marks Entry'!L149)</f>
        <v/>
      </c>
      <c r="L149" s="545" t="str">
        <f>IF('Marks Entry'!M149="","",'Marks Entry'!M149)</f>
        <v/>
      </c>
      <c r="M149" s="546" t="str">
        <f t="shared" si="412"/>
        <v/>
      </c>
      <c r="N149" s="545" t="str">
        <f>IF('Marks Entry'!N149="","",'Marks Entry'!N149)</f>
        <v/>
      </c>
      <c r="O149" s="546" t="str">
        <f t="shared" si="413"/>
        <v/>
      </c>
      <c r="P149" s="545" t="str">
        <f>IF('Marks Entry'!O149="","",'Marks Entry'!O149)</f>
        <v/>
      </c>
      <c r="Q149" s="547" t="str">
        <f t="shared" si="414"/>
        <v/>
      </c>
      <c r="R149" s="152">
        <f t="shared" si="415"/>
        <v>0</v>
      </c>
      <c r="S149" s="152">
        <f t="shared" si="416"/>
        <v>0</v>
      </c>
      <c r="T149" s="153" t="str">
        <f t="shared" si="417"/>
        <v/>
      </c>
      <c r="U149" s="152" t="str">
        <f t="shared" si="418"/>
        <v/>
      </c>
      <c r="V149" s="152" t="str">
        <f t="shared" si="419"/>
        <v/>
      </c>
      <c r="W149" s="152" t="str">
        <f t="shared" si="420"/>
        <v/>
      </c>
      <c r="X149" s="545" t="str">
        <f>IF('Marks Entry'!P149="","",'Marks Entry'!P149)</f>
        <v/>
      </c>
      <c r="Y149" s="545" t="str">
        <f>IF('Marks Entry'!Q149="","",'Marks Entry'!Q149)</f>
        <v/>
      </c>
      <c r="Z149" s="545" t="str">
        <f>IF('Marks Entry'!R149="","",'Marks Entry'!R149)</f>
        <v/>
      </c>
      <c r="AA149" s="546" t="str">
        <f t="shared" si="421"/>
        <v/>
      </c>
      <c r="AB149" s="545" t="str">
        <f>IF('Marks Entry'!S149="","",'Marks Entry'!S149)</f>
        <v/>
      </c>
      <c r="AC149" s="546" t="str">
        <f t="shared" si="422"/>
        <v/>
      </c>
      <c r="AD149" s="545" t="str">
        <f>IF('Marks Entry'!T149="","",'Marks Entry'!T149)</f>
        <v/>
      </c>
      <c r="AE149" s="547" t="str">
        <f t="shared" si="423"/>
        <v/>
      </c>
      <c r="AF149" s="152">
        <f t="shared" si="424"/>
        <v>0</v>
      </c>
      <c r="AG149" s="152">
        <f t="shared" si="425"/>
        <v>0</v>
      </c>
      <c r="AH149" s="153" t="str">
        <f t="shared" si="426"/>
        <v/>
      </c>
      <c r="AI149" s="152" t="str">
        <f t="shared" si="427"/>
        <v/>
      </c>
      <c r="AJ149" s="152" t="str">
        <f t="shared" si="428"/>
        <v/>
      </c>
      <c r="AK149" s="152" t="str">
        <f t="shared" si="429"/>
        <v/>
      </c>
      <c r="AL149" s="573" t="str">
        <f>IF('Marks Entry'!U149="","",'Marks Entry'!U149)</f>
        <v/>
      </c>
      <c r="AM149" s="573" t="str">
        <f>IF('Marks Entry'!V149="","",'Marks Entry'!V149)</f>
        <v/>
      </c>
      <c r="AN149" s="573" t="str">
        <f>IF('Marks Entry'!W149="","",'Marks Entry'!W149)</f>
        <v/>
      </c>
      <c r="AO149" s="573" t="str">
        <f>IF('Marks Entry'!X149="","",'Marks Entry'!X149)</f>
        <v/>
      </c>
      <c r="AP149" s="572" t="str">
        <f t="shared" si="430"/>
        <v/>
      </c>
      <c r="AQ149" s="573" t="str">
        <f>IF('Marks Entry'!Y149="","",'Marks Entry'!Y149)</f>
        <v/>
      </c>
      <c r="AR149" s="573" t="str">
        <f>IF('Marks Entry'!Z149="","",'Marks Entry'!Z149)</f>
        <v/>
      </c>
      <c r="AS149" s="572" t="str">
        <f t="shared" si="431"/>
        <v/>
      </c>
      <c r="AT149" s="572" t="str">
        <f t="shared" si="432"/>
        <v/>
      </c>
      <c r="AU149" s="573" t="str">
        <f>IF('Marks Entry'!AA149="","",'Marks Entry'!AA149)</f>
        <v/>
      </c>
      <c r="AV149" s="573" t="str">
        <f>IF('Marks Entry'!AB149="","",'Marks Entry'!AB149)</f>
        <v/>
      </c>
      <c r="AW149" s="572" t="str">
        <f t="shared" si="433"/>
        <v/>
      </c>
      <c r="AX149" s="156" t="str">
        <f t="shared" si="434"/>
        <v/>
      </c>
      <c r="AY149" s="156" t="str">
        <f t="shared" si="435"/>
        <v/>
      </c>
      <c r="AZ149" s="191" t="str">
        <f t="shared" si="436"/>
        <v/>
      </c>
      <c r="BA149" s="152">
        <f t="shared" si="437"/>
        <v>0</v>
      </c>
      <c r="BB149" s="153">
        <f t="shared" si="438"/>
        <v>0</v>
      </c>
      <c r="BC149" s="153" t="str">
        <f t="shared" si="439"/>
        <v/>
      </c>
      <c r="BD149" s="153" t="str">
        <f t="shared" si="440"/>
        <v/>
      </c>
      <c r="BE149" s="153" t="str">
        <f t="shared" si="441"/>
        <v/>
      </c>
      <c r="BF149" s="152" t="str">
        <f t="shared" si="442"/>
        <v/>
      </c>
      <c r="BG149" s="153" t="str">
        <f t="shared" si="443"/>
        <v/>
      </c>
      <c r="BH149" s="152" t="str">
        <f t="shared" si="444"/>
        <v/>
      </c>
      <c r="BI149" s="580" t="str">
        <f>IF('Marks Entry'!AC149="","",'Marks Entry'!AC149)</f>
        <v/>
      </c>
      <c r="BJ149" s="580" t="str">
        <f>IF('Marks Entry'!AD149="","",'Marks Entry'!AD149)</f>
        <v/>
      </c>
      <c r="BK149" s="580" t="str">
        <f>IF('Marks Entry'!AE149="","",'Marks Entry'!AE149)</f>
        <v/>
      </c>
      <c r="BL149" s="580" t="str">
        <f>IF('Marks Entry'!AF149="","",'Marks Entry'!AF149)</f>
        <v/>
      </c>
      <c r="BM149" s="581" t="str">
        <f t="shared" si="445"/>
        <v/>
      </c>
      <c r="BN149" s="580" t="str">
        <f>IF('Marks Entry'!AG149="","",'Marks Entry'!AG149)</f>
        <v/>
      </c>
      <c r="BO149" s="580" t="str">
        <f>IF('Marks Entry'!AH149="","",'Marks Entry'!AH149)</f>
        <v/>
      </c>
      <c r="BP149" s="581" t="str">
        <f t="shared" si="446"/>
        <v/>
      </c>
      <c r="BQ149" s="581" t="str">
        <f t="shared" si="447"/>
        <v/>
      </c>
      <c r="BR149" s="580" t="str">
        <f>IF('Marks Entry'!AI149="","",'Marks Entry'!AI149)</f>
        <v/>
      </c>
      <c r="BS149" s="580" t="str">
        <f>IF('Marks Entry'!AJ149="","",'Marks Entry'!AJ149)</f>
        <v/>
      </c>
      <c r="BT149" s="581" t="str">
        <f t="shared" si="448"/>
        <v/>
      </c>
      <c r="BU149" s="156" t="str">
        <f t="shared" si="449"/>
        <v/>
      </c>
      <c r="BV149" s="156" t="str">
        <f t="shared" si="450"/>
        <v/>
      </c>
      <c r="BW149" s="191" t="str">
        <f t="shared" si="451"/>
        <v/>
      </c>
      <c r="BX149" s="152">
        <f t="shared" si="452"/>
        <v>0</v>
      </c>
      <c r="BY149" s="153">
        <f t="shared" si="453"/>
        <v>0</v>
      </c>
      <c r="BZ149" s="153" t="str">
        <f t="shared" si="454"/>
        <v/>
      </c>
      <c r="CA149" s="153" t="str">
        <f t="shared" si="455"/>
        <v/>
      </c>
      <c r="CB149" s="153" t="str">
        <f t="shared" si="456"/>
        <v/>
      </c>
      <c r="CC149" s="152" t="str">
        <f t="shared" si="457"/>
        <v/>
      </c>
      <c r="CD149" s="153" t="str">
        <f t="shared" si="458"/>
        <v/>
      </c>
      <c r="CE149" s="152" t="str">
        <f t="shared" si="459"/>
        <v/>
      </c>
      <c r="CF149" s="580" t="str">
        <f>IF('Marks Entry'!AK149="","",'Marks Entry'!AK149)</f>
        <v/>
      </c>
      <c r="CG149" s="580" t="str">
        <f>IF('Marks Entry'!AL149="","",'Marks Entry'!AL149)</f>
        <v/>
      </c>
      <c r="CH149" s="580" t="str">
        <f>IF('Marks Entry'!AM149="","",'Marks Entry'!AM149)</f>
        <v/>
      </c>
      <c r="CI149" s="580" t="str">
        <f>IF('Marks Entry'!AN149="","",'Marks Entry'!AN149)</f>
        <v/>
      </c>
      <c r="CJ149" s="581" t="str">
        <f t="shared" si="460"/>
        <v/>
      </c>
      <c r="CK149" s="580" t="str">
        <f>IF('Marks Entry'!AO149="","",'Marks Entry'!AO149)</f>
        <v/>
      </c>
      <c r="CL149" s="580" t="str">
        <f>IF('Marks Entry'!AP149="","",'Marks Entry'!AP149)</f>
        <v/>
      </c>
      <c r="CM149" s="581" t="str">
        <f t="shared" si="461"/>
        <v/>
      </c>
      <c r="CN149" s="581" t="str">
        <f t="shared" si="462"/>
        <v/>
      </c>
      <c r="CO149" s="580" t="str">
        <f>IF('Marks Entry'!AQ149="","",'Marks Entry'!AQ149)</f>
        <v/>
      </c>
      <c r="CP149" s="580" t="str">
        <f>IF('Marks Entry'!AR149="","",'Marks Entry'!AR149)</f>
        <v/>
      </c>
      <c r="CQ149" s="581" t="str">
        <f t="shared" si="463"/>
        <v/>
      </c>
      <c r="CR149" s="156" t="str">
        <f t="shared" si="464"/>
        <v/>
      </c>
      <c r="CS149" s="156" t="str">
        <f t="shared" si="465"/>
        <v/>
      </c>
      <c r="CT149" s="191" t="str">
        <f t="shared" si="466"/>
        <v/>
      </c>
      <c r="CU149" s="152">
        <f t="shared" si="467"/>
        <v>0</v>
      </c>
      <c r="CV149" s="153">
        <f t="shared" si="468"/>
        <v>0</v>
      </c>
      <c r="CW149" s="153" t="str">
        <f t="shared" si="469"/>
        <v/>
      </c>
      <c r="CX149" s="153" t="str">
        <f t="shared" si="470"/>
        <v/>
      </c>
      <c r="CY149" s="153" t="str">
        <f t="shared" si="471"/>
        <v/>
      </c>
      <c r="CZ149" s="152" t="str">
        <f t="shared" si="472"/>
        <v/>
      </c>
      <c r="DA149" s="153" t="str">
        <f t="shared" si="473"/>
        <v/>
      </c>
      <c r="DB149" s="152" t="str">
        <f t="shared" si="474"/>
        <v/>
      </c>
      <c r="DC149" s="153">
        <f t="shared" si="475"/>
        <v>0</v>
      </c>
      <c r="DD149" s="851" t="str">
        <f>IF('Marks Entry'!AS149="","",IF(OR('Master Sheet'!$D$19="YES",'Marks Entry'!$BA$1=1),'Marks Entry'!AS149,""))</f>
        <v/>
      </c>
      <c r="DE149" s="851" t="str">
        <f>IF('Marks Entry'!AT149="","",IF(OR('Master Sheet'!$D$19="YES",'Marks Entry'!$BA$1=1),'Marks Entry'!AT149,""))</f>
        <v/>
      </c>
      <c r="DF149" s="851" t="str">
        <f>IF('Marks Entry'!AU149="","",IF(OR('Master Sheet'!$D$19="YES",'Marks Entry'!$BA$1=1),'Marks Entry'!AU149,""))</f>
        <v/>
      </c>
      <c r="DG149" s="851" t="str">
        <f>IF('Marks Entry'!AV149="","",IF(OR('Master Sheet'!$D$19="YES",'Marks Entry'!$BA$1=1),'Marks Entry'!AV149,""))</f>
        <v/>
      </c>
      <c r="DH149" s="852" t="str">
        <f t="shared" si="476"/>
        <v/>
      </c>
      <c r="DI149" s="851" t="str">
        <f>IF('Marks Entry'!AW149="","",IF(OR('Master Sheet'!$D$19="YES",'Marks Entry'!$BA$1=1),'Marks Entry'!AW149,""))</f>
        <v/>
      </c>
      <c r="DJ149" s="851" t="str">
        <f>IF('Marks Entry'!AX149="","",IF(OR('Master Sheet'!$D$19="YES",'Marks Entry'!$BA$1=1),'Marks Entry'!AX149,""))</f>
        <v/>
      </c>
      <c r="DK149" s="852" t="str">
        <f t="shared" si="477"/>
        <v/>
      </c>
      <c r="DL149" s="852" t="str">
        <f t="shared" si="478"/>
        <v/>
      </c>
      <c r="DM149" s="851" t="str">
        <f>IF('Marks Entry'!AY149="","",IF(OR('Master Sheet'!$D$19="YES",'Marks Entry'!$BA$1=1),'Marks Entry'!AY149,""))</f>
        <v/>
      </c>
      <c r="DN149" s="851" t="str">
        <f>IF('Marks Entry'!AZ149="","",IF(OR('Master Sheet'!$D$19="YES",'Marks Entry'!$BA$1=1),'Marks Entry'!AZ149,""))</f>
        <v/>
      </c>
      <c r="DO149" s="851" t="str">
        <f>IF('Marks Entry'!BA149="","",IF(OR('Master Sheet'!$D$19="YES",'Marks Entry'!$BA$1=1),'Marks Entry'!BA149,""))</f>
        <v/>
      </c>
      <c r="DP149" s="852" t="str">
        <f t="shared" si="479"/>
        <v/>
      </c>
      <c r="DQ149" s="156" t="str">
        <f t="shared" si="480"/>
        <v/>
      </c>
      <c r="DR149" s="156" t="str">
        <f t="shared" si="481"/>
        <v/>
      </c>
      <c r="DS149" s="156" t="str">
        <f t="shared" si="482"/>
        <v/>
      </c>
      <c r="DT149" s="191" t="str">
        <f t="shared" si="483"/>
        <v/>
      </c>
      <c r="DU149" s="152">
        <f t="shared" si="484"/>
        <v>0</v>
      </c>
      <c r="DV149" s="153">
        <f t="shared" si="485"/>
        <v>0</v>
      </c>
      <c r="DW149" s="153" t="str">
        <f t="shared" si="486"/>
        <v/>
      </c>
      <c r="DX149" s="153" t="str">
        <f>IF(OR($B149="NSO",$B149=0,DS149=""),"",IF(AND(DJ149="",DO149=""),"",IF('Master Sheet'!$D$19="YES",$DO$6-COUNTIF(DO149,"ML")*DO$6,DS$6-(COUNTIF(DJ149,"ML")*DJ$6)-(COUNTIF(DO149,"ML")*DO$6))))</f>
        <v/>
      </c>
      <c r="DY149" s="153" t="str">
        <f>IF(OR($B149="NSO",$B149=0),"",IF(AND(DH149="",DI149="",DM149=""),"",IF(AND('Master Sheet'!$D$19="YES",'Marks Entry'!$BA$1=1),100,IF(AND(DJ149="",DO149=""),SUM(($DQ$7+$DR$7)-(DU149+DV149)),SUM(($DQ$6+$DR$6)-(DU149+DV149))))))</f>
        <v/>
      </c>
      <c r="DZ149" s="152" t="str">
        <f t="shared" si="487"/>
        <v/>
      </c>
      <c r="EA149" s="153" t="str">
        <f t="shared" si="488"/>
        <v/>
      </c>
      <c r="EB149" s="152" t="str">
        <f t="shared" si="489"/>
        <v/>
      </c>
      <c r="EC149" s="584" t="str">
        <f>IF('Marks Entry'!BB149="","",'Marks Entry'!BB149)</f>
        <v/>
      </c>
      <c r="ED149" s="584" t="str">
        <f>IF('Marks Entry'!BC149="","",'Marks Entry'!BC149)</f>
        <v/>
      </c>
      <c r="EE149" s="584" t="str">
        <f>IF('Marks Entry'!BD149="","",'Marks Entry'!BD149)</f>
        <v/>
      </c>
      <c r="EF149" s="590" t="str">
        <f t="shared" si="490"/>
        <v/>
      </c>
      <c r="EG149" s="595">
        <f t="shared" si="491"/>
        <v>0</v>
      </c>
      <c r="EH149" s="595">
        <f t="shared" si="492"/>
        <v>0</v>
      </c>
      <c r="EI149" s="192" t="str">
        <f t="shared" si="493"/>
        <v/>
      </c>
      <c r="EJ149" s="595" t="str">
        <f t="shared" si="494"/>
        <v/>
      </c>
      <c r="EK149" s="595" t="str">
        <f t="shared" si="495"/>
        <v/>
      </c>
      <c r="EL149" s="193" t="str">
        <f t="shared" si="496"/>
        <v/>
      </c>
      <c r="EM149" s="193" t="str">
        <f t="shared" si="497"/>
        <v/>
      </c>
      <c r="EN149" s="193" t="str">
        <f t="shared" si="498"/>
        <v/>
      </c>
      <c r="EO149" s="193" t="str">
        <f t="shared" si="499"/>
        <v/>
      </c>
      <c r="EP149" s="193" t="str">
        <f t="shared" si="500"/>
        <v/>
      </c>
      <c r="EQ149" s="193" t="str">
        <f t="shared" si="501"/>
        <v/>
      </c>
      <c r="ER149" s="194">
        <f t="shared" si="502"/>
        <v>0</v>
      </c>
      <c r="ES149" s="194">
        <f t="shared" si="503"/>
        <v>0</v>
      </c>
      <c r="ET149" s="194">
        <f t="shared" si="504"/>
        <v>0</v>
      </c>
      <c r="EU149" s="194">
        <f t="shared" si="505"/>
        <v>0</v>
      </c>
      <c r="EV149" s="194">
        <f t="shared" si="506"/>
        <v>0</v>
      </c>
      <c r="EW149" s="194" t="str">
        <f t="shared" si="507"/>
        <v/>
      </c>
      <c r="EX149" s="195" t="str">
        <f t="shared" si="508"/>
        <v/>
      </c>
      <c r="EY149" s="196" t="str">
        <f>IF('Marks Entry'!BE149="","",'Marks Entry'!BE149)</f>
        <v/>
      </c>
      <c r="EZ149" s="196" t="str">
        <f>IF('Marks Entry'!BF149="","",'Marks Entry'!BF149)</f>
        <v/>
      </c>
      <c r="FA149" s="196" t="str">
        <f>IF('Marks Entry'!BG149="","",'Marks Entry'!BG149)</f>
        <v/>
      </c>
      <c r="FB149" s="596" t="str">
        <f t="shared" si="509"/>
        <v/>
      </c>
      <c r="FC149" s="196" t="str">
        <f>IF('Marks Entry'!BH149="","",'Marks Entry'!BH149)</f>
        <v/>
      </c>
      <c r="FD149" s="196" t="str">
        <f>IF('Marks Entry'!BI149="","",'Marks Entry'!BI149)</f>
        <v/>
      </c>
      <c r="FE149" s="197" t="str">
        <f t="shared" si="510"/>
        <v/>
      </c>
      <c r="FF149" s="198" t="str">
        <f t="shared" si="511"/>
        <v/>
      </c>
      <c r="FG149" s="199" t="str">
        <f>IF(AND(E149=""),"",IF('Student DATA Entry'!L145="","",'Student DATA Entry'!L145))</f>
        <v/>
      </c>
      <c r="FH149" s="200" t="str">
        <f>IF(AND(E149=""),"",IF('Student DATA Entry'!M145="","",'Student DATA Entry'!M145))</f>
        <v/>
      </c>
      <c r="FI149" s="201" t="str">
        <f t="shared" si="512"/>
        <v/>
      </c>
      <c r="FJ149" s="188" t="str">
        <f t="shared" si="513"/>
        <v/>
      </c>
      <c r="FK149" s="188" t="str">
        <f t="shared" si="514"/>
        <v/>
      </c>
      <c r="FL149" s="202" t="str">
        <f t="shared" si="383"/>
        <v/>
      </c>
      <c r="FM149" s="188" t="str">
        <f t="shared" si="515"/>
        <v/>
      </c>
      <c r="FN149" s="203" t="str">
        <f t="shared" si="516"/>
        <v/>
      </c>
      <c r="FO149" s="202" t="str">
        <f t="shared" si="384"/>
        <v/>
      </c>
      <c r="FP149" s="204" t="str">
        <f t="shared" si="517"/>
        <v/>
      </c>
      <c r="FQ149" s="188" t="str">
        <f t="shared" si="385"/>
        <v/>
      </c>
      <c r="FR149" s="188" t="str">
        <f t="shared" si="386"/>
        <v/>
      </c>
      <c r="FS149" s="188" t="str">
        <f t="shared" si="387"/>
        <v/>
      </c>
      <c r="FT149" s="188" t="str">
        <f t="shared" si="388"/>
        <v/>
      </c>
      <c r="FU149" s="188" t="str">
        <f t="shared" si="518"/>
        <v/>
      </c>
      <c r="FV149" s="205" t="str">
        <f t="shared" si="389"/>
        <v/>
      </c>
      <c r="FW149" s="204" t="str">
        <f t="shared" si="519"/>
        <v/>
      </c>
      <c r="FX149" s="188" t="str">
        <f t="shared" si="390"/>
        <v/>
      </c>
      <c r="FY149" s="188" t="str">
        <f t="shared" si="391"/>
        <v/>
      </c>
      <c r="FZ149" s="188" t="str">
        <f t="shared" si="392"/>
        <v/>
      </c>
      <c r="GA149" s="188" t="str">
        <f t="shared" si="393"/>
        <v/>
      </c>
      <c r="GB149" s="188" t="str">
        <f t="shared" si="520"/>
        <v/>
      </c>
      <c r="GC149" s="205" t="str">
        <f t="shared" si="394"/>
        <v/>
      </c>
      <c r="GD149" s="204" t="str">
        <f t="shared" si="521"/>
        <v/>
      </c>
      <c r="GE149" s="188" t="str">
        <f t="shared" si="395"/>
        <v/>
      </c>
      <c r="GF149" s="188" t="str">
        <f t="shared" si="396"/>
        <v/>
      </c>
      <c r="GG149" s="188" t="str">
        <f t="shared" si="397"/>
        <v/>
      </c>
      <c r="GH149" s="188" t="str">
        <f t="shared" si="398"/>
        <v/>
      </c>
      <c r="GI149" s="188" t="str">
        <f t="shared" si="522"/>
        <v/>
      </c>
      <c r="GJ149" s="205" t="str">
        <f t="shared" si="399"/>
        <v/>
      </c>
      <c r="GK149" s="204" t="str">
        <f t="shared" si="523"/>
        <v/>
      </c>
      <c r="GL149" s="188" t="str">
        <f t="shared" si="400"/>
        <v/>
      </c>
      <c r="GM149" s="188" t="str">
        <f t="shared" si="401"/>
        <v/>
      </c>
      <c r="GN149" s="188" t="str">
        <f t="shared" si="402"/>
        <v/>
      </c>
      <c r="GO149" s="188" t="str">
        <f t="shared" si="403"/>
        <v/>
      </c>
      <c r="GP149" s="188" t="str">
        <f t="shared" si="524"/>
        <v/>
      </c>
      <c r="GQ149" s="205" t="str">
        <f t="shared" si="404"/>
        <v/>
      </c>
      <c r="GR149" s="188" t="str">
        <f t="shared" si="525"/>
        <v/>
      </c>
      <c r="GS149" s="188" t="str">
        <f t="shared" si="526"/>
        <v/>
      </c>
      <c r="GT149" s="206" t="str">
        <f t="shared" si="527"/>
        <v xml:space="preserve">    </v>
      </c>
      <c r="GU149" s="206" t="str">
        <f t="shared" si="528"/>
        <v xml:space="preserve">    </v>
      </c>
      <c r="GV149" s="206" t="str">
        <f t="shared" si="529"/>
        <v xml:space="preserve">    </v>
      </c>
      <c r="GW149" s="206" t="str">
        <f t="shared" si="530"/>
        <v xml:space="preserve">       </v>
      </c>
      <c r="GX149" s="598" t="str">
        <f t="shared" si="531"/>
        <v xml:space="preserve">     </v>
      </c>
      <c r="GY149" s="207" t="str">
        <f t="shared" si="405"/>
        <v/>
      </c>
      <c r="GZ149" s="606" t="str">
        <f>IF(AND(Q149="",AE149="",AZ149="",BW149="",CT149=""),"",IF(AND('Master Sheet'!$D$19="YES",'Marks Entry'!$BA$1=1),SUM(Q149,AE149,AZ149,BW149,DT149),SUM(Q149,AE149,AZ149,BW149,CT149)))</f>
        <v/>
      </c>
      <c r="HA149" s="208" t="str">
        <f>IF(GZ149="","",IF(AND('Master Sheet'!$D$19="YES",'Marks Entry'!$BA$1=1),GZ149/((900)-DC149)*100,GZ149/((1000)-DC149)*100))</f>
        <v/>
      </c>
      <c r="HB149" s="611" t="str">
        <f t="shared" si="532"/>
        <v/>
      </c>
      <c r="HC149" s="609" t="str">
        <f t="shared" si="533"/>
        <v/>
      </c>
      <c r="HD149" s="610" t="str">
        <f t="shared" si="534"/>
        <v/>
      </c>
      <c r="HE149" s="209" t="str">
        <f>IFERROR(IF(OR(GY149="SUPPLEMENTARY",GY149="RE-EXAM"),'Supp. Result Entry'!AS148,""),"")</f>
        <v/>
      </c>
      <c r="HF149" s="613" t="str">
        <f t="shared" si="535"/>
        <v/>
      </c>
      <c r="HG149" s="598" t="str">
        <f t="shared" si="536"/>
        <v/>
      </c>
      <c r="HH149" s="598" t="str">
        <f>IF(AND(HE149="",HF149="",HG149=""),"",IF(OR(GY149="SUPPLEMENTARY",GY149="RE-EXAM"),'Supp. Result Entry'!AS148,GY149))</f>
        <v/>
      </c>
      <c r="HI149" s="179"/>
      <c r="HY149" s="211" t="str">
        <f>IF('Supp. Result Entry'!U148="","",'Supp. Result Entry'!$U$6)</f>
        <v/>
      </c>
      <c r="HZ149" s="212" t="str">
        <f>IF('Supp. Result Entry'!X148="","",'Supp. Result Entry'!$X$6)</f>
        <v/>
      </c>
      <c r="IA149" s="212" t="str">
        <f>IF('Supp. Result Entry'!AA148="","",'Supp. Result Entry'!$AA$6)</f>
        <v/>
      </c>
      <c r="IB149" s="212" t="str">
        <f>IF('Supp. Result Entry'!AD148="","",'Supp. Result Entry'!$AD$6)</f>
        <v/>
      </c>
      <c r="IC149" s="212" t="str">
        <f>IF('Supp. Result Entry'!AG148="","",'Supp. Result Entry'!$AG$6)</f>
        <v/>
      </c>
      <c r="ID149" s="212" t="str">
        <f>IF('Supp. Result Entry'!AJ148="","",'Supp. Result Entry'!$AJ$6)</f>
        <v/>
      </c>
      <c r="IE149" s="212" t="str">
        <f>IF('Supp. Result Entry'!V148="","",'Supp. Result Entry'!V148)</f>
        <v/>
      </c>
      <c r="IF149" s="212" t="str">
        <f>IF('Supp. Result Entry'!Y148="","",'Supp. Result Entry'!Y148)</f>
        <v/>
      </c>
      <c r="IG149" s="212" t="str">
        <f>IF('Supp. Result Entry'!AB148="","",'Supp. Result Entry'!AB148)</f>
        <v/>
      </c>
      <c r="IH149" s="212" t="str">
        <f>IF('Supp. Result Entry'!AE148="","",'Supp. Result Entry'!AE148)</f>
        <v/>
      </c>
      <c r="II149" s="212" t="str">
        <f>IF('Supp. Result Entry'!AH148="","",'Supp. Result Entry'!AH148)</f>
        <v/>
      </c>
      <c r="IJ149" s="212" t="str">
        <f>IF('Supp. Result Entry'!AK148="","",'Supp. Result Entry'!AK148)</f>
        <v/>
      </c>
      <c r="IK149" s="212" t="str">
        <f>IF('Supp. Result Entry'!W148="","",'Supp. Result Entry'!W148)</f>
        <v/>
      </c>
      <c r="IL149" s="212" t="str">
        <f>IF('Supp. Result Entry'!Z148="","",'Supp. Result Entry'!Z148)</f>
        <v/>
      </c>
      <c r="IM149" s="212" t="str">
        <f>IF('Supp. Result Entry'!AC148="","",'Supp. Result Entry'!AC148)</f>
        <v/>
      </c>
      <c r="IN149" s="212" t="str">
        <f>IF('Supp. Result Entry'!AF148="","",'Supp. Result Entry'!AF148)</f>
        <v/>
      </c>
      <c r="IO149" s="212" t="str">
        <f>IF('Supp. Result Entry'!AI148="","",'Supp. Result Entry'!AI148)</f>
        <v/>
      </c>
      <c r="IP149" s="212" t="str">
        <f>IF('Supp. Result Entry'!AL148="","",'Supp. Result Entry'!AL148)</f>
        <v/>
      </c>
      <c r="IQ149" s="212">
        <f>COUNTIF('Supp. Result Entry'!K148:Q148,"S")</f>
        <v>0</v>
      </c>
      <c r="IR149" s="212">
        <f t="shared" si="537"/>
        <v>0</v>
      </c>
      <c r="IS149" s="212">
        <f t="shared" si="538"/>
        <v>0</v>
      </c>
      <c r="IT149" s="212" t="str">
        <f t="shared" si="406"/>
        <v/>
      </c>
      <c r="IU149" s="212" t="str">
        <f t="shared" si="407"/>
        <v/>
      </c>
      <c r="IV149" s="212" t="str">
        <f t="shared" si="408"/>
        <v/>
      </c>
      <c r="IW149" s="212" t="str">
        <f t="shared" si="409"/>
        <v/>
      </c>
      <c r="IX149" s="212" t="str">
        <f t="shared" si="410"/>
        <v/>
      </c>
      <c r="IY149" s="212" t="str">
        <f t="shared" si="539"/>
        <v/>
      </c>
      <c r="IZ149" s="212" t="str">
        <f t="shared" si="540"/>
        <v/>
      </c>
      <c r="JA149" s="212" t="str">
        <f t="shared" si="411"/>
        <v/>
      </c>
      <c r="JB149" s="210" t="str">
        <f t="shared" si="541"/>
        <v/>
      </c>
    </row>
    <row r="150" spans="1:262" s="210" customFormat="1" ht="21" customHeight="1">
      <c r="A150" s="183">
        <v>143</v>
      </c>
      <c r="B150" s="184" t="str">
        <f>IF('Marks Entry'!B150="","",'Marks Entry'!B150)</f>
        <v/>
      </c>
      <c r="C150" s="185" t="str">
        <f>IF('Marks Entry'!D150="","",'Marks Entry'!D150)</f>
        <v/>
      </c>
      <c r="D150" s="186" t="str">
        <f>IF('Marks Entry'!E150="","",'Marks Entry'!E150)</f>
        <v/>
      </c>
      <c r="E150" s="187" t="str">
        <f>IF('Marks Entry'!F150="","",'Marks Entry'!F150)</f>
        <v/>
      </c>
      <c r="F150" s="187" t="str">
        <f>IF('Marks Entry'!G150="","",'Marks Entry'!G150)</f>
        <v/>
      </c>
      <c r="G150" s="187" t="str">
        <f>IF('Marks Entry'!H150="","",'Marks Entry'!H150)</f>
        <v/>
      </c>
      <c r="H150" s="188" t="str">
        <f>IF('Marks Entry'!I150="","",'Marks Entry'!I150)</f>
        <v/>
      </c>
      <c r="I150" s="189" t="str">
        <f>IF('Marks Entry'!J150="","",'Marks Entry'!J150)</f>
        <v/>
      </c>
      <c r="J150" s="545" t="str">
        <f>IF('Marks Entry'!K150="","",'Marks Entry'!K150)</f>
        <v/>
      </c>
      <c r="K150" s="545" t="str">
        <f>IF('Marks Entry'!L150="","",'Marks Entry'!L150)</f>
        <v/>
      </c>
      <c r="L150" s="545" t="str">
        <f>IF('Marks Entry'!M150="","",'Marks Entry'!M150)</f>
        <v/>
      </c>
      <c r="M150" s="546" t="str">
        <f t="shared" si="412"/>
        <v/>
      </c>
      <c r="N150" s="545" t="str">
        <f>IF('Marks Entry'!N150="","",'Marks Entry'!N150)</f>
        <v/>
      </c>
      <c r="O150" s="546" t="str">
        <f t="shared" si="413"/>
        <v/>
      </c>
      <c r="P150" s="545" t="str">
        <f>IF('Marks Entry'!O150="","",'Marks Entry'!O150)</f>
        <v/>
      </c>
      <c r="Q150" s="547" t="str">
        <f t="shared" si="414"/>
        <v/>
      </c>
      <c r="R150" s="152">
        <f t="shared" si="415"/>
        <v>0</v>
      </c>
      <c r="S150" s="152">
        <f t="shared" si="416"/>
        <v>0</v>
      </c>
      <c r="T150" s="153" t="str">
        <f t="shared" si="417"/>
        <v/>
      </c>
      <c r="U150" s="152" t="str">
        <f t="shared" si="418"/>
        <v/>
      </c>
      <c r="V150" s="152" t="str">
        <f t="shared" si="419"/>
        <v/>
      </c>
      <c r="W150" s="152" t="str">
        <f t="shared" si="420"/>
        <v/>
      </c>
      <c r="X150" s="545" t="str">
        <f>IF('Marks Entry'!P150="","",'Marks Entry'!P150)</f>
        <v/>
      </c>
      <c r="Y150" s="545" t="str">
        <f>IF('Marks Entry'!Q150="","",'Marks Entry'!Q150)</f>
        <v/>
      </c>
      <c r="Z150" s="545" t="str">
        <f>IF('Marks Entry'!R150="","",'Marks Entry'!R150)</f>
        <v/>
      </c>
      <c r="AA150" s="546" t="str">
        <f t="shared" si="421"/>
        <v/>
      </c>
      <c r="AB150" s="545" t="str">
        <f>IF('Marks Entry'!S150="","",'Marks Entry'!S150)</f>
        <v/>
      </c>
      <c r="AC150" s="546" t="str">
        <f t="shared" si="422"/>
        <v/>
      </c>
      <c r="AD150" s="545" t="str">
        <f>IF('Marks Entry'!T150="","",'Marks Entry'!T150)</f>
        <v/>
      </c>
      <c r="AE150" s="547" t="str">
        <f t="shared" si="423"/>
        <v/>
      </c>
      <c r="AF150" s="152">
        <f t="shared" si="424"/>
        <v>0</v>
      </c>
      <c r="AG150" s="152">
        <f t="shared" si="425"/>
        <v>0</v>
      </c>
      <c r="AH150" s="153" t="str">
        <f t="shared" si="426"/>
        <v/>
      </c>
      <c r="AI150" s="152" t="str">
        <f t="shared" si="427"/>
        <v/>
      </c>
      <c r="AJ150" s="152" t="str">
        <f t="shared" si="428"/>
        <v/>
      </c>
      <c r="AK150" s="152" t="str">
        <f t="shared" si="429"/>
        <v/>
      </c>
      <c r="AL150" s="573" t="str">
        <f>IF('Marks Entry'!U150="","",'Marks Entry'!U150)</f>
        <v/>
      </c>
      <c r="AM150" s="573" t="str">
        <f>IF('Marks Entry'!V150="","",'Marks Entry'!V150)</f>
        <v/>
      </c>
      <c r="AN150" s="573" t="str">
        <f>IF('Marks Entry'!W150="","",'Marks Entry'!W150)</f>
        <v/>
      </c>
      <c r="AO150" s="573" t="str">
        <f>IF('Marks Entry'!X150="","",'Marks Entry'!X150)</f>
        <v/>
      </c>
      <c r="AP150" s="572" t="str">
        <f t="shared" si="430"/>
        <v/>
      </c>
      <c r="AQ150" s="573" t="str">
        <f>IF('Marks Entry'!Y150="","",'Marks Entry'!Y150)</f>
        <v/>
      </c>
      <c r="AR150" s="573" t="str">
        <f>IF('Marks Entry'!Z150="","",'Marks Entry'!Z150)</f>
        <v/>
      </c>
      <c r="AS150" s="572" t="str">
        <f t="shared" si="431"/>
        <v/>
      </c>
      <c r="AT150" s="572" t="str">
        <f t="shared" si="432"/>
        <v/>
      </c>
      <c r="AU150" s="573" t="str">
        <f>IF('Marks Entry'!AA150="","",'Marks Entry'!AA150)</f>
        <v/>
      </c>
      <c r="AV150" s="573" t="str">
        <f>IF('Marks Entry'!AB150="","",'Marks Entry'!AB150)</f>
        <v/>
      </c>
      <c r="AW150" s="572" t="str">
        <f t="shared" si="433"/>
        <v/>
      </c>
      <c r="AX150" s="156" t="str">
        <f t="shared" si="434"/>
        <v/>
      </c>
      <c r="AY150" s="156" t="str">
        <f t="shared" si="435"/>
        <v/>
      </c>
      <c r="AZ150" s="191" t="str">
        <f t="shared" si="436"/>
        <v/>
      </c>
      <c r="BA150" s="152">
        <f t="shared" si="437"/>
        <v>0</v>
      </c>
      <c r="BB150" s="153">
        <f t="shared" si="438"/>
        <v>0</v>
      </c>
      <c r="BC150" s="153" t="str">
        <f t="shared" si="439"/>
        <v/>
      </c>
      <c r="BD150" s="153" t="str">
        <f t="shared" si="440"/>
        <v/>
      </c>
      <c r="BE150" s="153" t="str">
        <f t="shared" si="441"/>
        <v/>
      </c>
      <c r="BF150" s="152" t="str">
        <f t="shared" si="442"/>
        <v/>
      </c>
      <c r="BG150" s="153" t="str">
        <f t="shared" si="443"/>
        <v/>
      </c>
      <c r="BH150" s="152" t="str">
        <f t="shared" si="444"/>
        <v/>
      </c>
      <c r="BI150" s="580" t="str">
        <f>IF('Marks Entry'!AC150="","",'Marks Entry'!AC150)</f>
        <v/>
      </c>
      <c r="BJ150" s="580" t="str">
        <f>IF('Marks Entry'!AD150="","",'Marks Entry'!AD150)</f>
        <v/>
      </c>
      <c r="BK150" s="580" t="str">
        <f>IF('Marks Entry'!AE150="","",'Marks Entry'!AE150)</f>
        <v/>
      </c>
      <c r="BL150" s="580" t="str">
        <f>IF('Marks Entry'!AF150="","",'Marks Entry'!AF150)</f>
        <v/>
      </c>
      <c r="BM150" s="581" t="str">
        <f t="shared" si="445"/>
        <v/>
      </c>
      <c r="BN150" s="580" t="str">
        <f>IF('Marks Entry'!AG150="","",'Marks Entry'!AG150)</f>
        <v/>
      </c>
      <c r="BO150" s="580" t="str">
        <f>IF('Marks Entry'!AH150="","",'Marks Entry'!AH150)</f>
        <v/>
      </c>
      <c r="BP150" s="581" t="str">
        <f t="shared" si="446"/>
        <v/>
      </c>
      <c r="BQ150" s="581" t="str">
        <f t="shared" si="447"/>
        <v/>
      </c>
      <c r="BR150" s="580" t="str">
        <f>IF('Marks Entry'!AI150="","",'Marks Entry'!AI150)</f>
        <v/>
      </c>
      <c r="BS150" s="580" t="str">
        <f>IF('Marks Entry'!AJ150="","",'Marks Entry'!AJ150)</f>
        <v/>
      </c>
      <c r="BT150" s="581" t="str">
        <f t="shared" si="448"/>
        <v/>
      </c>
      <c r="BU150" s="156" t="str">
        <f t="shared" si="449"/>
        <v/>
      </c>
      <c r="BV150" s="156" t="str">
        <f t="shared" si="450"/>
        <v/>
      </c>
      <c r="BW150" s="191" t="str">
        <f t="shared" si="451"/>
        <v/>
      </c>
      <c r="BX150" s="152">
        <f t="shared" si="452"/>
        <v>0</v>
      </c>
      <c r="BY150" s="153">
        <f t="shared" si="453"/>
        <v>0</v>
      </c>
      <c r="BZ150" s="153" t="str">
        <f t="shared" si="454"/>
        <v/>
      </c>
      <c r="CA150" s="153" t="str">
        <f t="shared" si="455"/>
        <v/>
      </c>
      <c r="CB150" s="153" t="str">
        <f t="shared" si="456"/>
        <v/>
      </c>
      <c r="CC150" s="152" t="str">
        <f t="shared" si="457"/>
        <v/>
      </c>
      <c r="CD150" s="153" t="str">
        <f t="shared" si="458"/>
        <v/>
      </c>
      <c r="CE150" s="152" t="str">
        <f t="shared" si="459"/>
        <v/>
      </c>
      <c r="CF150" s="580" t="str">
        <f>IF('Marks Entry'!AK150="","",'Marks Entry'!AK150)</f>
        <v/>
      </c>
      <c r="CG150" s="580" t="str">
        <f>IF('Marks Entry'!AL150="","",'Marks Entry'!AL150)</f>
        <v/>
      </c>
      <c r="CH150" s="580" t="str">
        <f>IF('Marks Entry'!AM150="","",'Marks Entry'!AM150)</f>
        <v/>
      </c>
      <c r="CI150" s="580" t="str">
        <f>IF('Marks Entry'!AN150="","",'Marks Entry'!AN150)</f>
        <v/>
      </c>
      <c r="CJ150" s="581" t="str">
        <f t="shared" si="460"/>
        <v/>
      </c>
      <c r="CK150" s="580" t="str">
        <f>IF('Marks Entry'!AO150="","",'Marks Entry'!AO150)</f>
        <v/>
      </c>
      <c r="CL150" s="580" t="str">
        <f>IF('Marks Entry'!AP150="","",'Marks Entry'!AP150)</f>
        <v/>
      </c>
      <c r="CM150" s="581" t="str">
        <f t="shared" si="461"/>
        <v/>
      </c>
      <c r="CN150" s="581" t="str">
        <f t="shared" si="462"/>
        <v/>
      </c>
      <c r="CO150" s="580" t="str">
        <f>IF('Marks Entry'!AQ150="","",'Marks Entry'!AQ150)</f>
        <v/>
      </c>
      <c r="CP150" s="580" t="str">
        <f>IF('Marks Entry'!AR150="","",'Marks Entry'!AR150)</f>
        <v/>
      </c>
      <c r="CQ150" s="581" t="str">
        <f t="shared" si="463"/>
        <v/>
      </c>
      <c r="CR150" s="156" t="str">
        <f t="shared" si="464"/>
        <v/>
      </c>
      <c r="CS150" s="156" t="str">
        <f t="shared" si="465"/>
        <v/>
      </c>
      <c r="CT150" s="191" t="str">
        <f t="shared" si="466"/>
        <v/>
      </c>
      <c r="CU150" s="152">
        <f t="shared" si="467"/>
        <v>0</v>
      </c>
      <c r="CV150" s="153">
        <f t="shared" si="468"/>
        <v>0</v>
      </c>
      <c r="CW150" s="153" t="str">
        <f t="shared" si="469"/>
        <v/>
      </c>
      <c r="CX150" s="153" t="str">
        <f t="shared" si="470"/>
        <v/>
      </c>
      <c r="CY150" s="153" t="str">
        <f t="shared" si="471"/>
        <v/>
      </c>
      <c r="CZ150" s="152" t="str">
        <f t="shared" si="472"/>
        <v/>
      </c>
      <c r="DA150" s="153" t="str">
        <f t="shared" si="473"/>
        <v/>
      </c>
      <c r="DB150" s="152" t="str">
        <f t="shared" si="474"/>
        <v/>
      </c>
      <c r="DC150" s="153">
        <f t="shared" si="475"/>
        <v>0</v>
      </c>
      <c r="DD150" s="851" t="str">
        <f>IF('Marks Entry'!AS150="","",IF(OR('Master Sheet'!$D$19="YES",'Marks Entry'!$BA$1=1),'Marks Entry'!AS150,""))</f>
        <v/>
      </c>
      <c r="DE150" s="851" t="str">
        <f>IF('Marks Entry'!AT150="","",IF(OR('Master Sheet'!$D$19="YES",'Marks Entry'!$BA$1=1),'Marks Entry'!AT150,""))</f>
        <v/>
      </c>
      <c r="DF150" s="851" t="str">
        <f>IF('Marks Entry'!AU150="","",IF(OR('Master Sheet'!$D$19="YES",'Marks Entry'!$BA$1=1),'Marks Entry'!AU150,""))</f>
        <v/>
      </c>
      <c r="DG150" s="851" t="str">
        <f>IF('Marks Entry'!AV150="","",IF(OR('Master Sheet'!$D$19="YES",'Marks Entry'!$BA$1=1),'Marks Entry'!AV150,""))</f>
        <v/>
      </c>
      <c r="DH150" s="852" t="str">
        <f t="shared" si="476"/>
        <v/>
      </c>
      <c r="DI150" s="851" t="str">
        <f>IF('Marks Entry'!AW150="","",IF(OR('Master Sheet'!$D$19="YES",'Marks Entry'!$BA$1=1),'Marks Entry'!AW150,""))</f>
        <v/>
      </c>
      <c r="DJ150" s="851" t="str">
        <f>IF('Marks Entry'!AX150="","",IF(OR('Master Sheet'!$D$19="YES",'Marks Entry'!$BA$1=1),'Marks Entry'!AX150,""))</f>
        <v/>
      </c>
      <c r="DK150" s="852" t="str">
        <f t="shared" si="477"/>
        <v/>
      </c>
      <c r="DL150" s="852" t="str">
        <f t="shared" si="478"/>
        <v/>
      </c>
      <c r="DM150" s="851" t="str">
        <f>IF('Marks Entry'!AY150="","",IF(OR('Master Sheet'!$D$19="YES",'Marks Entry'!$BA$1=1),'Marks Entry'!AY150,""))</f>
        <v/>
      </c>
      <c r="DN150" s="851" t="str">
        <f>IF('Marks Entry'!AZ150="","",IF(OR('Master Sheet'!$D$19="YES",'Marks Entry'!$BA$1=1),'Marks Entry'!AZ150,""))</f>
        <v/>
      </c>
      <c r="DO150" s="851" t="str">
        <f>IF('Marks Entry'!BA150="","",IF(OR('Master Sheet'!$D$19="YES",'Marks Entry'!$BA$1=1),'Marks Entry'!BA150,""))</f>
        <v/>
      </c>
      <c r="DP150" s="852" t="str">
        <f t="shared" si="479"/>
        <v/>
      </c>
      <c r="DQ150" s="156" t="str">
        <f t="shared" si="480"/>
        <v/>
      </c>
      <c r="DR150" s="156" t="str">
        <f t="shared" si="481"/>
        <v/>
      </c>
      <c r="DS150" s="156" t="str">
        <f t="shared" si="482"/>
        <v/>
      </c>
      <c r="DT150" s="191" t="str">
        <f t="shared" si="483"/>
        <v/>
      </c>
      <c r="DU150" s="152">
        <f t="shared" si="484"/>
        <v>0</v>
      </c>
      <c r="DV150" s="153">
        <f t="shared" si="485"/>
        <v>0</v>
      </c>
      <c r="DW150" s="153" t="str">
        <f t="shared" si="486"/>
        <v/>
      </c>
      <c r="DX150" s="153" t="str">
        <f>IF(OR($B150="NSO",$B150=0,DS150=""),"",IF(AND(DJ150="",DO150=""),"",IF('Master Sheet'!$D$19="YES",$DO$6-COUNTIF(DO150,"ML")*DO$6,DS$6-(COUNTIF(DJ150,"ML")*DJ$6)-(COUNTIF(DO150,"ML")*DO$6))))</f>
        <v/>
      </c>
      <c r="DY150" s="153" t="str">
        <f>IF(OR($B150="NSO",$B150=0),"",IF(AND(DH150="",DI150="",DM150=""),"",IF(AND('Master Sheet'!$D$19="YES",'Marks Entry'!$BA$1=1),100,IF(AND(DJ150="",DO150=""),SUM(($DQ$7+$DR$7)-(DU150+DV150)),SUM(($DQ$6+$DR$6)-(DU150+DV150))))))</f>
        <v/>
      </c>
      <c r="DZ150" s="152" t="str">
        <f t="shared" si="487"/>
        <v/>
      </c>
      <c r="EA150" s="153" t="str">
        <f t="shared" si="488"/>
        <v/>
      </c>
      <c r="EB150" s="152" t="str">
        <f t="shared" si="489"/>
        <v/>
      </c>
      <c r="EC150" s="584" t="str">
        <f>IF('Marks Entry'!BB150="","",'Marks Entry'!BB150)</f>
        <v/>
      </c>
      <c r="ED150" s="584" t="str">
        <f>IF('Marks Entry'!BC150="","",'Marks Entry'!BC150)</f>
        <v/>
      </c>
      <c r="EE150" s="584" t="str">
        <f>IF('Marks Entry'!BD150="","",'Marks Entry'!BD150)</f>
        <v/>
      </c>
      <c r="EF150" s="590" t="str">
        <f t="shared" si="490"/>
        <v/>
      </c>
      <c r="EG150" s="595">
        <f t="shared" si="491"/>
        <v>0</v>
      </c>
      <c r="EH150" s="595">
        <f t="shared" si="492"/>
        <v>0</v>
      </c>
      <c r="EI150" s="192" t="str">
        <f t="shared" si="493"/>
        <v/>
      </c>
      <c r="EJ150" s="595" t="str">
        <f t="shared" si="494"/>
        <v/>
      </c>
      <c r="EK150" s="595" t="str">
        <f t="shared" si="495"/>
        <v/>
      </c>
      <c r="EL150" s="193" t="str">
        <f t="shared" si="496"/>
        <v/>
      </c>
      <c r="EM150" s="193" t="str">
        <f t="shared" si="497"/>
        <v/>
      </c>
      <c r="EN150" s="193" t="str">
        <f t="shared" si="498"/>
        <v/>
      </c>
      <c r="EO150" s="193" t="str">
        <f t="shared" si="499"/>
        <v/>
      </c>
      <c r="EP150" s="193" t="str">
        <f t="shared" si="500"/>
        <v/>
      </c>
      <c r="EQ150" s="193" t="str">
        <f t="shared" si="501"/>
        <v/>
      </c>
      <c r="ER150" s="194">
        <f t="shared" si="502"/>
        <v>0</v>
      </c>
      <c r="ES150" s="194">
        <f t="shared" si="503"/>
        <v>0</v>
      </c>
      <c r="ET150" s="194">
        <f t="shared" si="504"/>
        <v>0</v>
      </c>
      <c r="EU150" s="194">
        <f t="shared" si="505"/>
        <v>0</v>
      </c>
      <c r="EV150" s="194">
        <f t="shared" si="506"/>
        <v>0</v>
      </c>
      <c r="EW150" s="194" t="str">
        <f t="shared" si="507"/>
        <v/>
      </c>
      <c r="EX150" s="195" t="str">
        <f t="shared" si="508"/>
        <v/>
      </c>
      <c r="EY150" s="196" t="str">
        <f>IF('Marks Entry'!BE150="","",'Marks Entry'!BE150)</f>
        <v/>
      </c>
      <c r="EZ150" s="196" t="str">
        <f>IF('Marks Entry'!BF150="","",'Marks Entry'!BF150)</f>
        <v/>
      </c>
      <c r="FA150" s="196" t="str">
        <f>IF('Marks Entry'!BG150="","",'Marks Entry'!BG150)</f>
        <v/>
      </c>
      <c r="FB150" s="596" t="str">
        <f t="shared" si="509"/>
        <v/>
      </c>
      <c r="FC150" s="196" t="str">
        <f>IF('Marks Entry'!BH150="","",'Marks Entry'!BH150)</f>
        <v/>
      </c>
      <c r="FD150" s="196" t="str">
        <f>IF('Marks Entry'!BI150="","",'Marks Entry'!BI150)</f>
        <v/>
      </c>
      <c r="FE150" s="197" t="str">
        <f t="shared" si="510"/>
        <v/>
      </c>
      <c r="FF150" s="198" t="str">
        <f t="shared" si="511"/>
        <v/>
      </c>
      <c r="FG150" s="199" t="str">
        <f>IF(AND(E150=""),"",IF('Student DATA Entry'!L146="","",'Student DATA Entry'!L146))</f>
        <v/>
      </c>
      <c r="FH150" s="200" t="str">
        <f>IF(AND(E150=""),"",IF('Student DATA Entry'!M146="","",'Student DATA Entry'!M146))</f>
        <v/>
      </c>
      <c r="FI150" s="201" t="str">
        <f t="shared" si="512"/>
        <v/>
      </c>
      <c r="FJ150" s="188" t="str">
        <f t="shared" si="513"/>
        <v/>
      </c>
      <c r="FK150" s="188" t="str">
        <f t="shared" si="514"/>
        <v/>
      </c>
      <c r="FL150" s="202" t="str">
        <f t="shared" si="383"/>
        <v/>
      </c>
      <c r="FM150" s="188" t="str">
        <f t="shared" si="515"/>
        <v/>
      </c>
      <c r="FN150" s="203" t="str">
        <f t="shared" si="516"/>
        <v/>
      </c>
      <c r="FO150" s="202" t="str">
        <f t="shared" si="384"/>
        <v/>
      </c>
      <c r="FP150" s="204" t="str">
        <f t="shared" si="517"/>
        <v/>
      </c>
      <c r="FQ150" s="188" t="str">
        <f t="shared" si="385"/>
        <v/>
      </c>
      <c r="FR150" s="188" t="str">
        <f t="shared" si="386"/>
        <v/>
      </c>
      <c r="FS150" s="188" t="str">
        <f t="shared" si="387"/>
        <v/>
      </c>
      <c r="FT150" s="188" t="str">
        <f t="shared" si="388"/>
        <v/>
      </c>
      <c r="FU150" s="188" t="str">
        <f t="shared" si="518"/>
        <v/>
      </c>
      <c r="FV150" s="205" t="str">
        <f t="shared" si="389"/>
        <v/>
      </c>
      <c r="FW150" s="204" t="str">
        <f t="shared" si="519"/>
        <v/>
      </c>
      <c r="FX150" s="188" t="str">
        <f t="shared" si="390"/>
        <v/>
      </c>
      <c r="FY150" s="188" t="str">
        <f t="shared" si="391"/>
        <v/>
      </c>
      <c r="FZ150" s="188" t="str">
        <f t="shared" si="392"/>
        <v/>
      </c>
      <c r="GA150" s="188" t="str">
        <f t="shared" si="393"/>
        <v/>
      </c>
      <c r="GB150" s="188" t="str">
        <f t="shared" si="520"/>
        <v/>
      </c>
      <c r="GC150" s="205" t="str">
        <f t="shared" si="394"/>
        <v/>
      </c>
      <c r="GD150" s="204" t="str">
        <f t="shared" si="521"/>
        <v/>
      </c>
      <c r="GE150" s="188" t="str">
        <f t="shared" si="395"/>
        <v/>
      </c>
      <c r="GF150" s="188" t="str">
        <f t="shared" si="396"/>
        <v/>
      </c>
      <c r="GG150" s="188" t="str">
        <f t="shared" si="397"/>
        <v/>
      </c>
      <c r="GH150" s="188" t="str">
        <f t="shared" si="398"/>
        <v/>
      </c>
      <c r="GI150" s="188" t="str">
        <f t="shared" si="522"/>
        <v/>
      </c>
      <c r="GJ150" s="205" t="str">
        <f t="shared" si="399"/>
        <v/>
      </c>
      <c r="GK150" s="204" t="str">
        <f t="shared" si="523"/>
        <v/>
      </c>
      <c r="GL150" s="188" t="str">
        <f t="shared" si="400"/>
        <v/>
      </c>
      <c r="GM150" s="188" t="str">
        <f t="shared" si="401"/>
        <v/>
      </c>
      <c r="GN150" s="188" t="str">
        <f t="shared" si="402"/>
        <v/>
      </c>
      <c r="GO150" s="188" t="str">
        <f t="shared" si="403"/>
        <v/>
      </c>
      <c r="GP150" s="188" t="str">
        <f t="shared" si="524"/>
        <v/>
      </c>
      <c r="GQ150" s="205" t="str">
        <f t="shared" si="404"/>
        <v/>
      </c>
      <c r="GR150" s="188" t="str">
        <f t="shared" si="525"/>
        <v/>
      </c>
      <c r="GS150" s="188" t="str">
        <f t="shared" si="526"/>
        <v/>
      </c>
      <c r="GT150" s="206" t="str">
        <f t="shared" si="527"/>
        <v xml:space="preserve">    </v>
      </c>
      <c r="GU150" s="206" t="str">
        <f t="shared" si="528"/>
        <v xml:space="preserve">    </v>
      </c>
      <c r="GV150" s="206" t="str">
        <f t="shared" si="529"/>
        <v xml:space="preserve">    </v>
      </c>
      <c r="GW150" s="206" t="str">
        <f t="shared" si="530"/>
        <v xml:space="preserve">       </v>
      </c>
      <c r="GX150" s="598" t="str">
        <f t="shared" si="531"/>
        <v xml:space="preserve">     </v>
      </c>
      <c r="GY150" s="207" t="str">
        <f t="shared" si="405"/>
        <v/>
      </c>
      <c r="GZ150" s="606" t="str">
        <f>IF(AND(Q150="",AE150="",AZ150="",BW150="",CT150=""),"",IF(AND('Master Sheet'!$D$19="YES",'Marks Entry'!$BA$1=1),SUM(Q150,AE150,AZ150,BW150,DT150),SUM(Q150,AE150,AZ150,BW150,CT150)))</f>
        <v/>
      </c>
      <c r="HA150" s="208" t="str">
        <f>IF(GZ150="","",IF(AND('Master Sheet'!$D$19="YES",'Marks Entry'!$BA$1=1),GZ150/((900)-DC150)*100,GZ150/((1000)-DC150)*100))</f>
        <v/>
      </c>
      <c r="HB150" s="611" t="str">
        <f t="shared" si="532"/>
        <v/>
      </c>
      <c r="HC150" s="609" t="str">
        <f t="shared" si="533"/>
        <v/>
      </c>
      <c r="HD150" s="610" t="str">
        <f t="shared" si="534"/>
        <v/>
      </c>
      <c r="HE150" s="209" t="str">
        <f>IFERROR(IF(OR(GY150="SUPPLEMENTARY",GY150="RE-EXAM"),'Supp. Result Entry'!AS149,""),"")</f>
        <v/>
      </c>
      <c r="HF150" s="613" t="str">
        <f t="shared" si="535"/>
        <v/>
      </c>
      <c r="HG150" s="598" t="str">
        <f t="shared" si="536"/>
        <v/>
      </c>
      <c r="HH150" s="598" t="str">
        <f>IF(AND(HE150="",HF150="",HG150=""),"",IF(OR(GY150="SUPPLEMENTARY",GY150="RE-EXAM"),'Supp. Result Entry'!AS149,GY150))</f>
        <v/>
      </c>
      <c r="HI150" s="179"/>
      <c r="HY150" s="211" t="str">
        <f>IF('Supp. Result Entry'!U149="","",'Supp. Result Entry'!$U$6)</f>
        <v/>
      </c>
      <c r="HZ150" s="212" t="str">
        <f>IF('Supp. Result Entry'!X149="","",'Supp. Result Entry'!$X$6)</f>
        <v/>
      </c>
      <c r="IA150" s="212" t="str">
        <f>IF('Supp. Result Entry'!AA149="","",'Supp. Result Entry'!$AA$6)</f>
        <v/>
      </c>
      <c r="IB150" s="212" t="str">
        <f>IF('Supp. Result Entry'!AD149="","",'Supp. Result Entry'!$AD$6)</f>
        <v/>
      </c>
      <c r="IC150" s="212" t="str">
        <f>IF('Supp. Result Entry'!AG149="","",'Supp. Result Entry'!$AG$6)</f>
        <v/>
      </c>
      <c r="ID150" s="212" t="str">
        <f>IF('Supp. Result Entry'!AJ149="","",'Supp. Result Entry'!$AJ$6)</f>
        <v/>
      </c>
      <c r="IE150" s="212" t="str">
        <f>IF('Supp. Result Entry'!V149="","",'Supp. Result Entry'!V149)</f>
        <v/>
      </c>
      <c r="IF150" s="212" t="str">
        <f>IF('Supp. Result Entry'!Y149="","",'Supp. Result Entry'!Y149)</f>
        <v/>
      </c>
      <c r="IG150" s="212" t="str">
        <f>IF('Supp. Result Entry'!AB149="","",'Supp. Result Entry'!AB149)</f>
        <v/>
      </c>
      <c r="IH150" s="212" t="str">
        <f>IF('Supp. Result Entry'!AE149="","",'Supp. Result Entry'!AE149)</f>
        <v/>
      </c>
      <c r="II150" s="212" t="str">
        <f>IF('Supp. Result Entry'!AH149="","",'Supp. Result Entry'!AH149)</f>
        <v/>
      </c>
      <c r="IJ150" s="212" t="str">
        <f>IF('Supp. Result Entry'!AK149="","",'Supp. Result Entry'!AK149)</f>
        <v/>
      </c>
      <c r="IK150" s="212" t="str">
        <f>IF('Supp. Result Entry'!W149="","",'Supp. Result Entry'!W149)</f>
        <v/>
      </c>
      <c r="IL150" s="212" t="str">
        <f>IF('Supp. Result Entry'!Z149="","",'Supp. Result Entry'!Z149)</f>
        <v/>
      </c>
      <c r="IM150" s="212" t="str">
        <f>IF('Supp. Result Entry'!AC149="","",'Supp. Result Entry'!AC149)</f>
        <v/>
      </c>
      <c r="IN150" s="212" t="str">
        <f>IF('Supp. Result Entry'!AF149="","",'Supp. Result Entry'!AF149)</f>
        <v/>
      </c>
      <c r="IO150" s="212" t="str">
        <f>IF('Supp. Result Entry'!AI149="","",'Supp. Result Entry'!AI149)</f>
        <v/>
      </c>
      <c r="IP150" s="212" t="str">
        <f>IF('Supp. Result Entry'!AL149="","",'Supp. Result Entry'!AL149)</f>
        <v/>
      </c>
      <c r="IQ150" s="212">
        <f>COUNTIF('Supp. Result Entry'!K149:Q149,"S")</f>
        <v>0</v>
      </c>
      <c r="IR150" s="212">
        <f t="shared" si="537"/>
        <v>0</v>
      </c>
      <c r="IS150" s="212">
        <f t="shared" si="538"/>
        <v>0</v>
      </c>
      <c r="IT150" s="212" t="str">
        <f t="shared" si="406"/>
        <v/>
      </c>
      <c r="IU150" s="212" t="str">
        <f t="shared" si="407"/>
        <v/>
      </c>
      <c r="IV150" s="212" t="str">
        <f t="shared" si="408"/>
        <v/>
      </c>
      <c r="IW150" s="212" t="str">
        <f t="shared" si="409"/>
        <v/>
      </c>
      <c r="IX150" s="212" t="str">
        <f t="shared" si="410"/>
        <v/>
      </c>
      <c r="IY150" s="212" t="str">
        <f t="shared" si="539"/>
        <v/>
      </c>
      <c r="IZ150" s="212" t="str">
        <f t="shared" si="540"/>
        <v/>
      </c>
      <c r="JA150" s="212" t="str">
        <f t="shared" si="411"/>
        <v/>
      </c>
      <c r="JB150" s="210" t="str">
        <f t="shared" si="541"/>
        <v/>
      </c>
    </row>
    <row r="151" spans="1:262" s="210" customFormat="1" ht="21" customHeight="1">
      <c r="A151" s="183">
        <v>144</v>
      </c>
      <c r="B151" s="184" t="str">
        <f>IF('Marks Entry'!B151="","",'Marks Entry'!B151)</f>
        <v/>
      </c>
      <c r="C151" s="185" t="str">
        <f>IF('Marks Entry'!D151="","",'Marks Entry'!D151)</f>
        <v/>
      </c>
      <c r="D151" s="186" t="str">
        <f>IF('Marks Entry'!E151="","",'Marks Entry'!E151)</f>
        <v/>
      </c>
      <c r="E151" s="187" t="str">
        <f>IF('Marks Entry'!F151="","",'Marks Entry'!F151)</f>
        <v/>
      </c>
      <c r="F151" s="187" t="str">
        <f>IF('Marks Entry'!G151="","",'Marks Entry'!G151)</f>
        <v/>
      </c>
      <c r="G151" s="187" t="str">
        <f>IF('Marks Entry'!H151="","",'Marks Entry'!H151)</f>
        <v/>
      </c>
      <c r="H151" s="188" t="str">
        <f>IF('Marks Entry'!I151="","",'Marks Entry'!I151)</f>
        <v/>
      </c>
      <c r="I151" s="189" t="str">
        <f>IF('Marks Entry'!J151="","",'Marks Entry'!J151)</f>
        <v/>
      </c>
      <c r="J151" s="545" t="str">
        <f>IF('Marks Entry'!K151="","",'Marks Entry'!K151)</f>
        <v/>
      </c>
      <c r="K151" s="545" t="str">
        <f>IF('Marks Entry'!L151="","",'Marks Entry'!L151)</f>
        <v/>
      </c>
      <c r="L151" s="545" t="str">
        <f>IF('Marks Entry'!M151="","",'Marks Entry'!M151)</f>
        <v/>
      </c>
      <c r="M151" s="546" t="str">
        <f t="shared" si="412"/>
        <v/>
      </c>
      <c r="N151" s="545" t="str">
        <f>IF('Marks Entry'!N151="","",'Marks Entry'!N151)</f>
        <v/>
      </c>
      <c r="O151" s="546" t="str">
        <f t="shared" si="413"/>
        <v/>
      </c>
      <c r="P151" s="545" t="str">
        <f>IF('Marks Entry'!O151="","",'Marks Entry'!O151)</f>
        <v/>
      </c>
      <c r="Q151" s="547" t="str">
        <f t="shared" si="414"/>
        <v/>
      </c>
      <c r="R151" s="152">
        <f t="shared" si="415"/>
        <v>0</v>
      </c>
      <c r="S151" s="152">
        <f t="shared" si="416"/>
        <v>0</v>
      </c>
      <c r="T151" s="153" t="str">
        <f t="shared" si="417"/>
        <v/>
      </c>
      <c r="U151" s="152" t="str">
        <f t="shared" si="418"/>
        <v/>
      </c>
      <c r="V151" s="152" t="str">
        <f t="shared" si="419"/>
        <v/>
      </c>
      <c r="W151" s="152" t="str">
        <f t="shared" si="420"/>
        <v/>
      </c>
      <c r="X151" s="545" t="str">
        <f>IF('Marks Entry'!P151="","",'Marks Entry'!P151)</f>
        <v/>
      </c>
      <c r="Y151" s="545" t="str">
        <f>IF('Marks Entry'!Q151="","",'Marks Entry'!Q151)</f>
        <v/>
      </c>
      <c r="Z151" s="545" t="str">
        <f>IF('Marks Entry'!R151="","",'Marks Entry'!R151)</f>
        <v/>
      </c>
      <c r="AA151" s="546" t="str">
        <f t="shared" si="421"/>
        <v/>
      </c>
      <c r="AB151" s="545" t="str">
        <f>IF('Marks Entry'!S151="","",'Marks Entry'!S151)</f>
        <v/>
      </c>
      <c r="AC151" s="546" t="str">
        <f t="shared" si="422"/>
        <v/>
      </c>
      <c r="AD151" s="545" t="str">
        <f>IF('Marks Entry'!T151="","",'Marks Entry'!T151)</f>
        <v/>
      </c>
      <c r="AE151" s="547" t="str">
        <f t="shared" si="423"/>
        <v/>
      </c>
      <c r="AF151" s="152">
        <f t="shared" si="424"/>
        <v>0</v>
      </c>
      <c r="AG151" s="152">
        <f t="shared" si="425"/>
        <v>0</v>
      </c>
      <c r="AH151" s="153" t="str">
        <f t="shared" si="426"/>
        <v/>
      </c>
      <c r="AI151" s="152" t="str">
        <f t="shared" si="427"/>
        <v/>
      </c>
      <c r="AJ151" s="152" t="str">
        <f t="shared" si="428"/>
        <v/>
      </c>
      <c r="AK151" s="152" t="str">
        <f t="shared" si="429"/>
        <v/>
      </c>
      <c r="AL151" s="573" t="str">
        <f>IF('Marks Entry'!U151="","",'Marks Entry'!U151)</f>
        <v/>
      </c>
      <c r="AM151" s="573" t="str">
        <f>IF('Marks Entry'!V151="","",'Marks Entry'!V151)</f>
        <v/>
      </c>
      <c r="AN151" s="573" t="str">
        <f>IF('Marks Entry'!W151="","",'Marks Entry'!W151)</f>
        <v/>
      </c>
      <c r="AO151" s="573" t="str">
        <f>IF('Marks Entry'!X151="","",'Marks Entry'!X151)</f>
        <v/>
      </c>
      <c r="AP151" s="572" t="str">
        <f t="shared" si="430"/>
        <v/>
      </c>
      <c r="AQ151" s="573" t="str">
        <f>IF('Marks Entry'!Y151="","",'Marks Entry'!Y151)</f>
        <v/>
      </c>
      <c r="AR151" s="573" t="str">
        <f>IF('Marks Entry'!Z151="","",'Marks Entry'!Z151)</f>
        <v/>
      </c>
      <c r="AS151" s="572" t="str">
        <f t="shared" si="431"/>
        <v/>
      </c>
      <c r="AT151" s="572" t="str">
        <f t="shared" si="432"/>
        <v/>
      </c>
      <c r="AU151" s="573" t="str">
        <f>IF('Marks Entry'!AA151="","",'Marks Entry'!AA151)</f>
        <v/>
      </c>
      <c r="AV151" s="573" t="str">
        <f>IF('Marks Entry'!AB151="","",'Marks Entry'!AB151)</f>
        <v/>
      </c>
      <c r="AW151" s="572" t="str">
        <f t="shared" si="433"/>
        <v/>
      </c>
      <c r="AX151" s="156" t="str">
        <f t="shared" si="434"/>
        <v/>
      </c>
      <c r="AY151" s="156" t="str">
        <f t="shared" si="435"/>
        <v/>
      </c>
      <c r="AZ151" s="191" t="str">
        <f t="shared" si="436"/>
        <v/>
      </c>
      <c r="BA151" s="152">
        <f t="shared" si="437"/>
        <v>0</v>
      </c>
      <c r="BB151" s="153">
        <f t="shared" si="438"/>
        <v>0</v>
      </c>
      <c r="BC151" s="153" t="str">
        <f t="shared" si="439"/>
        <v/>
      </c>
      <c r="BD151" s="153" t="str">
        <f t="shared" si="440"/>
        <v/>
      </c>
      <c r="BE151" s="153" t="str">
        <f t="shared" si="441"/>
        <v/>
      </c>
      <c r="BF151" s="152" t="str">
        <f t="shared" si="442"/>
        <v/>
      </c>
      <c r="BG151" s="153" t="str">
        <f t="shared" si="443"/>
        <v/>
      </c>
      <c r="BH151" s="152" t="str">
        <f t="shared" si="444"/>
        <v/>
      </c>
      <c r="BI151" s="580" t="str">
        <f>IF('Marks Entry'!AC151="","",'Marks Entry'!AC151)</f>
        <v/>
      </c>
      <c r="BJ151" s="580" t="str">
        <f>IF('Marks Entry'!AD151="","",'Marks Entry'!AD151)</f>
        <v/>
      </c>
      <c r="BK151" s="580" t="str">
        <f>IF('Marks Entry'!AE151="","",'Marks Entry'!AE151)</f>
        <v/>
      </c>
      <c r="BL151" s="580" t="str">
        <f>IF('Marks Entry'!AF151="","",'Marks Entry'!AF151)</f>
        <v/>
      </c>
      <c r="BM151" s="581" t="str">
        <f t="shared" si="445"/>
        <v/>
      </c>
      <c r="BN151" s="580" t="str">
        <f>IF('Marks Entry'!AG151="","",'Marks Entry'!AG151)</f>
        <v/>
      </c>
      <c r="BO151" s="580" t="str">
        <f>IF('Marks Entry'!AH151="","",'Marks Entry'!AH151)</f>
        <v/>
      </c>
      <c r="BP151" s="581" t="str">
        <f t="shared" si="446"/>
        <v/>
      </c>
      <c r="BQ151" s="581" t="str">
        <f t="shared" si="447"/>
        <v/>
      </c>
      <c r="BR151" s="580" t="str">
        <f>IF('Marks Entry'!AI151="","",'Marks Entry'!AI151)</f>
        <v/>
      </c>
      <c r="BS151" s="580" t="str">
        <f>IF('Marks Entry'!AJ151="","",'Marks Entry'!AJ151)</f>
        <v/>
      </c>
      <c r="BT151" s="581" t="str">
        <f t="shared" si="448"/>
        <v/>
      </c>
      <c r="BU151" s="156" t="str">
        <f t="shared" si="449"/>
        <v/>
      </c>
      <c r="BV151" s="156" t="str">
        <f t="shared" si="450"/>
        <v/>
      </c>
      <c r="BW151" s="191" t="str">
        <f t="shared" si="451"/>
        <v/>
      </c>
      <c r="BX151" s="152">
        <f t="shared" si="452"/>
        <v>0</v>
      </c>
      <c r="BY151" s="153">
        <f t="shared" si="453"/>
        <v>0</v>
      </c>
      <c r="BZ151" s="153" t="str">
        <f t="shared" si="454"/>
        <v/>
      </c>
      <c r="CA151" s="153" t="str">
        <f t="shared" si="455"/>
        <v/>
      </c>
      <c r="CB151" s="153" t="str">
        <f t="shared" si="456"/>
        <v/>
      </c>
      <c r="CC151" s="152" t="str">
        <f t="shared" si="457"/>
        <v/>
      </c>
      <c r="CD151" s="153" t="str">
        <f t="shared" si="458"/>
        <v/>
      </c>
      <c r="CE151" s="152" t="str">
        <f t="shared" si="459"/>
        <v/>
      </c>
      <c r="CF151" s="580" t="str">
        <f>IF('Marks Entry'!AK151="","",'Marks Entry'!AK151)</f>
        <v/>
      </c>
      <c r="CG151" s="580" t="str">
        <f>IF('Marks Entry'!AL151="","",'Marks Entry'!AL151)</f>
        <v/>
      </c>
      <c r="CH151" s="580" t="str">
        <f>IF('Marks Entry'!AM151="","",'Marks Entry'!AM151)</f>
        <v/>
      </c>
      <c r="CI151" s="580" t="str">
        <f>IF('Marks Entry'!AN151="","",'Marks Entry'!AN151)</f>
        <v/>
      </c>
      <c r="CJ151" s="581" t="str">
        <f t="shared" si="460"/>
        <v/>
      </c>
      <c r="CK151" s="580" t="str">
        <f>IF('Marks Entry'!AO151="","",'Marks Entry'!AO151)</f>
        <v/>
      </c>
      <c r="CL151" s="580" t="str">
        <f>IF('Marks Entry'!AP151="","",'Marks Entry'!AP151)</f>
        <v/>
      </c>
      <c r="CM151" s="581" t="str">
        <f t="shared" si="461"/>
        <v/>
      </c>
      <c r="CN151" s="581" t="str">
        <f t="shared" si="462"/>
        <v/>
      </c>
      <c r="CO151" s="580" t="str">
        <f>IF('Marks Entry'!AQ151="","",'Marks Entry'!AQ151)</f>
        <v/>
      </c>
      <c r="CP151" s="580" t="str">
        <f>IF('Marks Entry'!AR151="","",'Marks Entry'!AR151)</f>
        <v/>
      </c>
      <c r="CQ151" s="581" t="str">
        <f t="shared" si="463"/>
        <v/>
      </c>
      <c r="CR151" s="156" t="str">
        <f t="shared" si="464"/>
        <v/>
      </c>
      <c r="CS151" s="156" t="str">
        <f t="shared" si="465"/>
        <v/>
      </c>
      <c r="CT151" s="191" t="str">
        <f t="shared" si="466"/>
        <v/>
      </c>
      <c r="CU151" s="152">
        <f t="shared" si="467"/>
        <v>0</v>
      </c>
      <c r="CV151" s="153">
        <f t="shared" si="468"/>
        <v>0</v>
      </c>
      <c r="CW151" s="153" t="str">
        <f t="shared" si="469"/>
        <v/>
      </c>
      <c r="CX151" s="153" t="str">
        <f t="shared" si="470"/>
        <v/>
      </c>
      <c r="CY151" s="153" t="str">
        <f t="shared" si="471"/>
        <v/>
      </c>
      <c r="CZ151" s="152" t="str">
        <f t="shared" si="472"/>
        <v/>
      </c>
      <c r="DA151" s="153" t="str">
        <f t="shared" si="473"/>
        <v/>
      </c>
      <c r="DB151" s="152" t="str">
        <f t="shared" si="474"/>
        <v/>
      </c>
      <c r="DC151" s="153">
        <f t="shared" si="475"/>
        <v>0</v>
      </c>
      <c r="DD151" s="851" t="str">
        <f>IF('Marks Entry'!AS151="","",IF(OR('Master Sheet'!$D$19="YES",'Marks Entry'!$BA$1=1),'Marks Entry'!AS151,""))</f>
        <v/>
      </c>
      <c r="DE151" s="851" t="str">
        <f>IF('Marks Entry'!AT151="","",IF(OR('Master Sheet'!$D$19="YES",'Marks Entry'!$BA$1=1),'Marks Entry'!AT151,""))</f>
        <v/>
      </c>
      <c r="DF151" s="851" t="str">
        <f>IF('Marks Entry'!AU151="","",IF(OR('Master Sheet'!$D$19="YES",'Marks Entry'!$BA$1=1),'Marks Entry'!AU151,""))</f>
        <v/>
      </c>
      <c r="DG151" s="851" t="str">
        <f>IF('Marks Entry'!AV151="","",IF(OR('Master Sheet'!$D$19="YES",'Marks Entry'!$BA$1=1),'Marks Entry'!AV151,""))</f>
        <v/>
      </c>
      <c r="DH151" s="852" t="str">
        <f t="shared" si="476"/>
        <v/>
      </c>
      <c r="DI151" s="851" t="str">
        <f>IF('Marks Entry'!AW151="","",IF(OR('Master Sheet'!$D$19="YES",'Marks Entry'!$BA$1=1),'Marks Entry'!AW151,""))</f>
        <v/>
      </c>
      <c r="DJ151" s="851" t="str">
        <f>IF('Marks Entry'!AX151="","",IF(OR('Master Sheet'!$D$19="YES",'Marks Entry'!$BA$1=1),'Marks Entry'!AX151,""))</f>
        <v/>
      </c>
      <c r="DK151" s="852" t="str">
        <f t="shared" si="477"/>
        <v/>
      </c>
      <c r="DL151" s="852" t="str">
        <f t="shared" si="478"/>
        <v/>
      </c>
      <c r="DM151" s="851" t="str">
        <f>IF('Marks Entry'!AY151="","",IF(OR('Master Sheet'!$D$19="YES",'Marks Entry'!$BA$1=1),'Marks Entry'!AY151,""))</f>
        <v/>
      </c>
      <c r="DN151" s="851" t="str">
        <f>IF('Marks Entry'!AZ151="","",IF(OR('Master Sheet'!$D$19="YES",'Marks Entry'!$BA$1=1),'Marks Entry'!AZ151,""))</f>
        <v/>
      </c>
      <c r="DO151" s="851" t="str">
        <f>IF('Marks Entry'!BA151="","",IF(OR('Master Sheet'!$D$19="YES",'Marks Entry'!$BA$1=1),'Marks Entry'!BA151,""))</f>
        <v/>
      </c>
      <c r="DP151" s="852" t="str">
        <f t="shared" si="479"/>
        <v/>
      </c>
      <c r="DQ151" s="156" t="str">
        <f t="shared" si="480"/>
        <v/>
      </c>
      <c r="DR151" s="156" t="str">
        <f t="shared" si="481"/>
        <v/>
      </c>
      <c r="DS151" s="156" t="str">
        <f t="shared" si="482"/>
        <v/>
      </c>
      <c r="DT151" s="191" t="str">
        <f t="shared" si="483"/>
        <v/>
      </c>
      <c r="DU151" s="152">
        <f t="shared" si="484"/>
        <v>0</v>
      </c>
      <c r="DV151" s="153">
        <f t="shared" si="485"/>
        <v>0</v>
      </c>
      <c r="DW151" s="153" t="str">
        <f t="shared" si="486"/>
        <v/>
      </c>
      <c r="DX151" s="153" t="str">
        <f>IF(OR($B151="NSO",$B151=0,DS151=""),"",IF(AND(DJ151="",DO151=""),"",IF('Master Sheet'!$D$19="YES",$DO$6-COUNTIF(DO151,"ML")*DO$6,DS$6-(COUNTIF(DJ151,"ML")*DJ$6)-(COUNTIF(DO151,"ML")*DO$6))))</f>
        <v/>
      </c>
      <c r="DY151" s="153" t="str">
        <f>IF(OR($B151="NSO",$B151=0),"",IF(AND(DH151="",DI151="",DM151=""),"",IF(AND('Master Sheet'!$D$19="YES",'Marks Entry'!$BA$1=1),100,IF(AND(DJ151="",DO151=""),SUM(($DQ$7+$DR$7)-(DU151+DV151)),SUM(($DQ$6+$DR$6)-(DU151+DV151))))))</f>
        <v/>
      </c>
      <c r="DZ151" s="152" t="str">
        <f t="shared" si="487"/>
        <v/>
      </c>
      <c r="EA151" s="153" t="str">
        <f t="shared" si="488"/>
        <v/>
      </c>
      <c r="EB151" s="152" t="str">
        <f t="shared" si="489"/>
        <v/>
      </c>
      <c r="EC151" s="584" t="str">
        <f>IF('Marks Entry'!BB151="","",'Marks Entry'!BB151)</f>
        <v/>
      </c>
      <c r="ED151" s="584" t="str">
        <f>IF('Marks Entry'!BC151="","",'Marks Entry'!BC151)</f>
        <v/>
      </c>
      <c r="EE151" s="584" t="str">
        <f>IF('Marks Entry'!BD151="","",'Marks Entry'!BD151)</f>
        <v/>
      </c>
      <c r="EF151" s="590" t="str">
        <f t="shared" si="490"/>
        <v/>
      </c>
      <c r="EG151" s="595">
        <f t="shared" si="491"/>
        <v>0</v>
      </c>
      <c r="EH151" s="595">
        <f t="shared" si="492"/>
        <v>0</v>
      </c>
      <c r="EI151" s="192" t="str">
        <f t="shared" si="493"/>
        <v/>
      </c>
      <c r="EJ151" s="595" t="str">
        <f t="shared" si="494"/>
        <v/>
      </c>
      <c r="EK151" s="595" t="str">
        <f t="shared" si="495"/>
        <v/>
      </c>
      <c r="EL151" s="193" t="str">
        <f t="shared" si="496"/>
        <v/>
      </c>
      <c r="EM151" s="193" t="str">
        <f t="shared" si="497"/>
        <v/>
      </c>
      <c r="EN151" s="193" t="str">
        <f t="shared" si="498"/>
        <v/>
      </c>
      <c r="EO151" s="193" t="str">
        <f t="shared" si="499"/>
        <v/>
      </c>
      <c r="EP151" s="193" t="str">
        <f t="shared" si="500"/>
        <v/>
      </c>
      <c r="EQ151" s="193" t="str">
        <f t="shared" si="501"/>
        <v/>
      </c>
      <c r="ER151" s="194">
        <f t="shared" si="502"/>
        <v>0</v>
      </c>
      <c r="ES151" s="194">
        <f t="shared" si="503"/>
        <v>0</v>
      </c>
      <c r="ET151" s="194">
        <f t="shared" si="504"/>
        <v>0</v>
      </c>
      <c r="EU151" s="194">
        <f t="shared" si="505"/>
        <v>0</v>
      </c>
      <c r="EV151" s="194">
        <f t="shared" si="506"/>
        <v>0</v>
      </c>
      <c r="EW151" s="194" t="str">
        <f t="shared" si="507"/>
        <v/>
      </c>
      <c r="EX151" s="195" t="str">
        <f t="shared" si="508"/>
        <v/>
      </c>
      <c r="EY151" s="196" t="str">
        <f>IF('Marks Entry'!BE151="","",'Marks Entry'!BE151)</f>
        <v/>
      </c>
      <c r="EZ151" s="196" t="str">
        <f>IF('Marks Entry'!BF151="","",'Marks Entry'!BF151)</f>
        <v/>
      </c>
      <c r="FA151" s="196" t="str">
        <f>IF('Marks Entry'!BG151="","",'Marks Entry'!BG151)</f>
        <v/>
      </c>
      <c r="FB151" s="596" t="str">
        <f t="shared" si="509"/>
        <v/>
      </c>
      <c r="FC151" s="196" t="str">
        <f>IF('Marks Entry'!BH151="","",'Marks Entry'!BH151)</f>
        <v/>
      </c>
      <c r="FD151" s="196" t="str">
        <f>IF('Marks Entry'!BI151="","",'Marks Entry'!BI151)</f>
        <v/>
      </c>
      <c r="FE151" s="197" t="str">
        <f t="shared" si="510"/>
        <v/>
      </c>
      <c r="FF151" s="198" t="str">
        <f t="shared" si="511"/>
        <v/>
      </c>
      <c r="FG151" s="199" t="str">
        <f>IF(AND(E151=""),"",IF('Student DATA Entry'!L147="","",'Student DATA Entry'!L147))</f>
        <v/>
      </c>
      <c r="FH151" s="200" t="str">
        <f>IF(AND(E151=""),"",IF('Student DATA Entry'!M147="","",'Student DATA Entry'!M147))</f>
        <v/>
      </c>
      <c r="FI151" s="201" t="str">
        <f t="shared" si="512"/>
        <v/>
      </c>
      <c r="FJ151" s="188" t="str">
        <f t="shared" si="513"/>
        <v/>
      </c>
      <c r="FK151" s="188" t="str">
        <f t="shared" si="514"/>
        <v/>
      </c>
      <c r="FL151" s="202" t="str">
        <f t="shared" si="383"/>
        <v/>
      </c>
      <c r="FM151" s="188" t="str">
        <f t="shared" si="515"/>
        <v/>
      </c>
      <c r="FN151" s="203" t="str">
        <f t="shared" si="516"/>
        <v/>
      </c>
      <c r="FO151" s="202" t="str">
        <f t="shared" si="384"/>
        <v/>
      </c>
      <c r="FP151" s="204" t="str">
        <f t="shared" si="517"/>
        <v/>
      </c>
      <c r="FQ151" s="188" t="str">
        <f t="shared" si="385"/>
        <v/>
      </c>
      <c r="FR151" s="188" t="str">
        <f t="shared" si="386"/>
        <v/>
      </c>
      <c r="FS151" s="188" t="str">
        <f t="shared" si="387"/>
        <v/>
      </c>
      <c r="FT151" s="188" t="str">
        <f t="shared" si="388"/>
        <v/>
      </c>
      <c r="FU151" s="188" t="str">
        <f t="shared" si="518"/>
        <v/>
      </c>
      <c r="FV151" s="205" t="str">
        <f t="shared" si="389"/>
        <v/>
      </c>
      <c r="FW151" s="204" t="str">
        <f t="shared" si="519"/>
        <v/>
      </c>
      <c r="FX151" s="188" t="str">
        <f t="shared" si="390"/>
        <v/>
      </c>
      <c r="FY151" s="188" t="str">
        <f t="shared" si="391"/>
        <v/>
      </c>
      <c r="FZ151" s="188" t="str">
        <f t="shared" si="392"/>
        <v/>
      </c>
      <c r="GA151" s="188" t="str">
        <f t="shared" si="393"/>
        <v/>
      </c>
      <c r="GB151" s="188" t="str">
        <f t="shared" si="520"/>
        <v/>
      </c>
      <c r="GC151" s="205" t="str">
        <f t="shared" si="394"/>
        <v/>
      </c>
      <c r="GD151" s="204" t="str">
        <f t="shared" si="521"/>
        <v/>
      </c>
      <c r="GE151" s="188" t="str">
        <f t="shared" si="395"/>
        <v/>
      </c>
      <c r="GF151" s="188" t="str">
        <f t="shared" si="396"/>
        <v/>
      </c>
      <c r="GG151" s="188" t="str">
        <f t="shared" si="397"/>
        <v/>
      </c>
      <c r="GH151" s="188" t="str">
        <f t="shared" si="398"/>
        <v/>
      </c>
      <c r="GI151" s="188" t="str">
        <f t="shared" si="522"/>
        <v/>
      </c>
      <c r="GJ151" s="205" t="str">
        <f t="shared" si="399"/>
        <v/>
      </c>
      <c r="GK151" s="204" t="str">
        <f t="shared" si="523"/>
        <v/>
      </c>
      <c r="GL151" s="188" t="str">
        <f t="shared" si="400"/>
        <v/>
      </c>
      <c r="GM151" s="188" t="str">
        <f t="shared" si="401"/>
        <v/>
      </c>
      <c r="GN151" s="188" t="str">
        <f t="shared" si="402"/>
        <v/>
      </c>
      <c r="GO151" s="188" t="str">
        <f t="shared" si="403"/>
        <v/>
      </c>
      <c r="GP151" s="188" t="str">
        <f t="shared" si="524"/>
        <v/>
      </c>
      <c r="GQ151" s="205" t="str">
        <f t="shared" si="404"/>
        <v/>
      </c>
      <c r="GR151" s="188" t="str">
        <f t="shared" si="525"/>
        <v/>
      </c>
      <c r="GS151" s="188" t="str">
        <f t="shared" si="526"/>
        <v/>
      </c>
      <c r="GT151" s="206" t="str">
        <f t="shared" si="527"/>
        <v xml:space="preserve">    </v>
      </c>
      <c r="GU151" s="206" t="str">
        <f t="shared" si="528"/>
        <v xml:space="preserve">    </v>
      </c>
      <c r="GV151" s="206" t="str">
        <f t="shared" si="529"/>
        <v xml:space="preserve">    </v>
      </c>
      <c r="GW151" s="206" t="str">
        <f t="shared" si="530"/>
        <v xml:space="preserve">       </v>
      </c>
      <c r="GX151" s="598" t="str">
        <f t="shared" si="531"/>
        <v xml:space="preserve">     </v>
      </c>
      <c r="GY151" s="207" t="str">
        <f t="shared" si="405"/>
        <v/>
      </c>
      <c r="GZ151" s="606" t="str">
        <f>IF(AND(Q151="",AE151="",AZ151="",BW151="",CT151=""),"",IF(AND('Master Sheet'!$D$19="YES",'Marks Entry'!$BA$1=1),SUM(Q151,AE151,AZ151,BW151,DT151),SUM(Q151,AE151,AZ151,BW151,CT151)))</f>
        <v/>
      </c>
      <c r="HA151" s="208" t="str">
        <f>IF(GZ151="","",IF(AND('Master Sheet'!$D$19="YES",'Marks Entry'!$BA$1=1),GZ151/((900)-DC151)*100,GZ151/((1000)-DC151)*100))</f>
        <v/>
      </c>
      <c r="HB151" s="611" t="str">
        <f t="shared" si="532"/>
        <v/>
      </c>
      <c r="HC151" s="609" t="str">
        <f t="shared" si="533"/>
        <v/>
      </c>
      <c r="HD151" s="610" t="str">
        <f t="shared" si="534"/>
        <v/>
      </c>
      <c r="HE151" s="209" t="str">
        <f>IFERROR(IF(OR(GY151="SUPPLEMENTARY",GY151="RE-EXAM"),'Supp. Result Entry'!AS150,""),"")</f>
        <v/>
      </c>
      <c r="HF151" s="613" t="str">
        <f t="shared" si="535"/>
        <v/>
      </c>
      <c r="HG151" s="598" t="str">
        <f t="shared" si="536"/>
        <v/>
      </c>
      <c r="HH151" s="598" t="str">
        <f>IF(AND(HE151="",HF151="",HG151=""),"",IF(OR(GY151="SUPPLEMENTARY",GY151="RE-EXAM"),'Supp. Result Entry'!AS150,GY151))</f>
        <v/>
      </c>
      <c r="HI151" s="179"/>
      <c r="HY151" s="211" t="str">
        <f>IF('Supp. Result Entry'!U150="","",'Supp. Result Entry'!$U$6)</f>
        <v/>
      </c>
      <c r="HZ151" s="212" t="str">
        <f>IF('Supp. Result Entry'!X150="","",'Supp. Result Entry'!$X$6)</f>
        <v/>
      </c>
      <c r="IA151" s="212" t="str">
        <f>IF('Supp. Result Entry'!AA150="","",'Supp. Result Entry'!$AA$6)</f>
        <v/>
      </c>
      <c r="IB151" s="212" t="str">
        <f>IF('Supp. Result Entry'!AD150="","",'Supp. Result Entry'!$AD$6)</f>
        <v/>
      </c>
      <c r="IC151" s="212" t="str">
        <f>IF('Supp. Result Entry'!AG150="","",'Supp. Result Entry'!$AG$6)</f>
        <v/>
      </c>
      <c r="ID151" s="212" t="str">
        <f>IF('Supp. Result Entry'!AJ150="","",'Supp. Result Entry'!$AJ$6)</f>
        <v/>
      </c>
      <c r="IE151" s="212" t="str">
        <f>IF('Supp. Result Entry'!V150="","",'Supp. Result Entry'!V150)</f>
        <v/>
      </c>
      <c r="IF151" s="212" t="str">
        <f>IF('Supp. Result Entry'!Y150="","",'Supp. Result Entry'!Y150)</f>
        <v/>
      </c>
      <c r="IG151" s="212" t="str">
        <f>IF('Supp. Result Entry'!AB150="","",'Supp. Result Entry'!AB150)</f>
        <v/>
      </c>
      <c r="IH151" s="212" t="str">
        <f>IF('Supp. Result Entry'!AE150="","",'Supp. Result Entry'!AE150)</f>
        <v/>
      </c>
      <c r="II151" s="212" t="str">
        <f>IF('Supp. Result Entry'!AH150="","",'Supp. Result Entry'!AH150)</f>
        <v/>
      </c>
      <c r="IJ151" s="212" t="str">
        <f>IF('Supp. Result Entry'!AK150="","",'Supp. Result Entry'!AK150)</f>
        <v/>
      </c>
      <c r="IK151" s="212" t="str">
        <f>IF('Supp. Result Entry'!W150="","",'Supp. Result Entry'!W150)</f>
        <v/>
      </c>
      <c r="IL151" s="212" t="str">
        <f>IF('Supp. Result Entry'!Z150="","",'Supp. Result Entry'!Z150)</f>
        <v/>
      </c>
      <c r="IM151" s="212" t="str">
        <f>IF('Supp. Result Entry'!AC150="","",'Supp. Result Entry'!AC150)</f>
        <v/>
      </c>
      <c r="IN151" s="212" t="str">
        <f>IF('Supp. Result Entry'!AF150="","",'Supp. Result Entry'!AF150)</f>
        <v/>
      </c>
      <c r="IO151" s="212" t="str">
        <f>IF('Supp. Result Entry'!AI150="","",'Supp. Result Entry'!AI150)</f>
        <v/>
      </c>
      <c r="IP151" s="212" t="str">
        <f>IF('Supp. Result Entry'!AL150="","",'Supp. Result Entry'!AL150)</f>
        <v/>
      </c>
      <c r="IQ151" s="212">
        <f>COUNTIF('Supp. Result Entry'!K150:Q150,"S")</f>
        <v>0</v>
      </c>
      <c r="IR151" s="212">
        <f t="shared" si="537"/>
        <v>0</v>
      </c>
      <c r="IS151" s="212">
        <f t="shared" si="538"/>
        <v>0</v>
      </c>
      <c r="IT151" s="212" t="str">
        <f t="shared" si="406"/>
        <v/>
      </c>
      <c r="IU151" s="212" t="str">
        <f t="shared" si="407"/>
        <v/>
      </c>
      <c r="IV151" s="212" t="str">
        <f t="shared" si="408"/>
        <v/>
      </c>
      <c r="IW151" s="212" t="str">
        <f t="shared" si="409"/>
        <v/>
      </c>
      <c r="IX151" s="212" t="str">
        <f t="shared" si="410"/>
        <v/>
      </c>
      <c r="IY151" s="212" t="str">
        <f t="shared" si="539"/>
        <v/>
      </c>
      <c r="IZ151" s="212" t="str">
        <f t="shared" si="540"/>
        <v/>
      </c>
      <c r="JA151" s="212" t="str">
        <f t="shared" si="411"/>
        <v/>
      </c>
      <c r="JB151" s="210" t="str">
        <f t="shared" si="541"/>
        <v/>
      </c>
    </row>
    <row r="152" spans="1:262" s="210" customFormat="1" ht="21" customHeight="1">
      <c r="A152" s="183">
        <v>145</v>
      </c>
      <c r="B152" s="184" t="str">
        <f>IF('Marks Entry'!B152="","",'Marks Entry'!B152)</f>
        <v/>
      </c>
      <c r="C152" s="185" t="str">
        <f>IF('Marks Entry'!D152="","",'Marks Entry'!D152)</f>
        <v/>
      </c>
      <c r="D152" s="186" t="str">
        <f>IF('Marks Entry'!E152="","",'Marks Entry'!E152)</f>
        <v/>
      </c>
      <c r="E152" s="187" t="str">
        <f>IF('Marks Entry'!F152="","",'Marks Entry'!F152)</f>
        <v/>
      </c>
      <c r="F152" s="187" t="str">
        <f>IF('Marks Entry'!G152="","",'Marks Entry'!G152)</f>
        <v/>
      </c>
      <c r="G152" s="187" t="str">
        <f>IF('Marks Entry'!H152="","",'Marks Entry'!H152)</f>
        <v/>
      </c>
      <c r="H152" s="188" t="str">
        <f>IF('Marks Entry'!I152="","",'Marks Entry'!I152)</f>
        <v/>
      </c>
      <c r="I152" s="189" t="str">
        <f>IF('Marks Entry'!J152="","",'Marks Entry'!J152)</f>
        <v/>
      </c>
      <c r="J152" s="545" t="str">
        <f>IF('Marks Entry'!K152="","",'Marks Entry'!K152)</f>
        <v/>
      </c>
      <c r="K152" s="545" t="str">
        <f>IF('Marks Entry'!L152="","",'Marks Entry'!L152)</f>
        <v/>
      </c>
      <c r="L152" s="545" t="str">
        <f>IF('Marks Entry'!M152="","",'Marks Entry'!M152)</f>
        <v/>
      </c>
      <c r="M152" s="546" t="str">
        <f t="shared" si="412"/>
        <v/>
      </c>
      <c r="N152" s="545" t="str">
        <f>IF('Marks Entry'!N152="","",'Marks Entry'!N152)</f>
        <v/>
      </c>
      <c r="O152" s="546" t="str">
        <f t="shared" si="413"/>
        <v/>
      </c>
      <c r="P152" s="545" t="str">
        <f>IF('Marks Entry'!O152="","",'Marks Entry'!O152)</f>
        <v/>
      </c>
      <c r="Q152" s="547" t="str">
        <f t="shared" si="414"/>
        <v/>
      </c>
      <c r="R152" s="152">
        <f t="shared" si="415"/>
        <v>0</v>
      </c>
      <c r="S152" s="152">
        <f t="shared" si="416"/>
        <v>0</v>
      </c>
      <c r="T152" s="153" t="str">
        <f t="shared" si="417"/>
        <v/>
      </c>
      <c r="U152" s="152" t="str">
        <f t="shared" si="418"/>
        <v/>
      </c>
      <c r="V152" s="152" t="str">
        <f t="shared" si="419"/>
        <v/>
      </c>
      <c r="W152" s="152" t="str">
        <f t="shared" si="420"/>
        <v/>
      </c>
      <c r="X152" s="545" t="str">
        <f>IF('Marks Entry'!P152="","",'Marks Entry'!P152)</f>
        <v/>
      </c>
      <c r="Y152" s="545" t="str">
        <f>IF('Marks Entry'!Q152="","",'Marks Entry'!Q152)</f>
        <v/>
      </c>
      <c r="Z152" s="545" t="str">
        <f>IF('Marks Entry'!R152="","",'Marks Entry'!R152)</f>
        <v/>
      </c>
      <c r="AA152" s="546" t="str">
        <f t="shared" si="421"/>
        <v/>
      </c>
      <c r="AB152" s="545" t="str">
        <f>IF('Marks Entry'!S152="","",'Marks Entry'!S152)</f>
        <v/>
      </c>
      <c r="AC152" s="546" t="str">
        <f t="shared" si="422"/>
        <v/>
      </c>
      <c r="AD152" s="545" t="str">
        <f>IF('Marks Entry'!T152="","",'Marks Entry'!T152)</f>
        <v/>
      </c>
      <c r="AE152" s="547" t="str">
        <f t="shared" si="423"/>
        <v/>
      </c>
      <c r="AF152" s="152">
        <f t="shared" si="424"/>
        <v>0</v>
      </c>
      <c r="AG152" s="152">
        <f t="shared" si="425"/>
        <v>0</v>
      </c>
      <c r="AH152" s="153" t="str">
        <f t="shared" si="426"/>
        <v/>
      </c>
      <c r="AI152" s="152" t="str">
        <f t="shared" si="427"/>
        <v/>
      </c>
      <c r="AJ152" s="152" t="str">
        <f t="shared" si="428"/>
        <v/>
      </c>
      <c r="AK152" s="152" t="str">
        <f t="shared" si="429"/>
        <v/>
      </c>
      <c r="AL152" s="573" t="str">
        <f>IF('Marks Entry'!U152="","",'Marks Entry'!U152)</f>
        <v/>
      </c>
      <c r="AM152" s="573" t="str">
        <f>IF('Marks Entry'!V152="","",'Marks Entry'!V152)</f>
        <v/>
      </c>
      <c r="AN152" s="573" t="str">
        <f>IF('Marks Entry'!W152="","",'Marks Entry'!W152)</f>
        <v/>
      </c>
      <c r="AO152" s="573" t="str">
        <f>IF('Marks Entry'!X152="","",'Marks Entry'!X152)</f>
        <v/>
      </c>
      <c r="AP152" s="572" t="str">
        <f t="shared" si="430"/>
        <v/>
      </c>
      <c r="AQ152" s="573" t="str">
        <f>IF('Marks Entry'!Y152="","",'Marks Entry'!Y152)</f>
        <v/>
      </c>
      <c r="AR152" s="573" t="str">
        <f>IF('Marks Entry'!Z152="","",'Marks Entry'!Z152)</f>
        <v/>
      </c>
      <c r="AS152" s="572" t="str">
        <f t="shared" si="431"/>
        <v/>
      </c>
      <c r="AT152" s="572" t="str">
        <f t="shared" si="432"/>
        <v/>
      </c>
      <c r="AU152" s="573" t="str">
        <f>IF('Marks Entry'!AA152="","",'Marks Entry'!AA152)</f>
        <v/>
      </c>
      <c r="AV152" s="573" t="str">
        <f>IF('Marks Entry'!AB152="","",'Marks Entry'!AB152)</f>
        <v/>
      </c>
      <c r="AW152" s="572" t="str">
        <f t="shared" si="433"/>
        <v/>
      </c>
      <c r="AX152" s="156" t="str">
        <f t="shared" si="434"/>
        <v/>
      </c>
      <c r="AY152" s="156" t="str">
        <f t="shared" si="435"/>
        <v/>
      </c>
      <c r="AZ152" s="191" t="str">
        <f t="shared" si="436"/>
        <v/>
      </c>
      <c r="BA152" s="152">
        <f t="shared" si="437"/>
        <v>0</v>
      </c>
      <c r="BB152" s="153">
        <f t="shared" si="438"/>
        <v>0</v>
      </c>
      <c r="BC152" s="153" t="str">
        <f t="shared" si="439"/>
        <v/>
      </c>
      <c r="BD152" s="153" t="str">
        <f t="shared" si="440"/>
        <v/>
      </c>
      <c r="BE152" s="153" t="str">
        <f t="shared" si="441"/>
        <v/>
      </c>
      <c r="BF152" s="152" t="str">
        <f t="shared" si="442"/>
        <v/>
      </c>
      <c r="BG152" s="153" t="str">
        <f t="shared" si="443"/>
        <v/>
      </c>
      <c r="BH152" s="152" t="str">
        <f t="shared" si="444"/>
        <v/>
      </c>
      <c r="BI152" s="580" t="str">
        <f>IF('Marks Entry'!AC152="","",'Marks Entry'!AC152)</f>
        <v/>
      </c>
      <c r="BJ152" s="580" t="str">
        <f>IF('Marks Entry'!AD152="","",'Marks Entry'!AD152)</f>
        <v/>
      </c>
      <c r="BK152" s="580" t="str">
        <f>IF('Marks Entry'!AE152="","",'Marks Entry'!AE152)</f>
        <v/>
      </c>
      <c r="BL152" s="580" t="str">
        <f>IF('Marks Entry'!AF152="","",'Marks Entry'!AF152)</f>
        <v/>
      </c>
      <c r="BM152" s="581" t="str">
        <f t="shared" si="445"/>
        <v/>
      </c>
      <c r="BN152" s="580" t="str">
        <f>IF('Marks Entry'!AG152="","",'Marks Entry'!AG152)</f>
        <v/>
      </c>
      <c r="BO152" s="580" t="str">
        <f>IF('Marks Entry'!AH152="","",'Marks Entry'!AH152)</f>
        <v/>
      </c>
      <c r="BP152" s="581" t="str">
        <f t="shared" si="446"/>
        <v/>
      </c>
      <c r="BQ152" s="581" t="str">
        <f t="shared" si="447"/>
        <v/>
      </c>
      <c r="BR152" s="580" t="str">
        <f>IF('Marks Entry'!AI152="","",'Marks Entry'!AI152)</f>
        <v/>
      </c>
      <c r="BS152" s="580" t="str">
        <f>IF('Marks Entry'!AJ152="","",'Marks Entry'!AJ152)</f>
        <v/>
      </c>
      <c r="BT152" s="581" t="str">
        <f t="shared" si="448"/>
        <v/>
      </c>
      <c r="BU152" s="156" t="str">
        <f t="shared" si="449"/>
        <v/>
      </c>
      <c r="BV152" s="156" t="str">
        <f t="shared" si="450"/>
        <v/>
      </c>
      <c r="BW152" s="191" t="str">
        <f t="shared" si="451"/>
        <v/>
      </c>
      <c r="BX152" s="152">
        <f t="shared" si="452"/>
        <v>0</v>
      </c>
      <c r="BY152" s="153">
        <f t="shared" si="453"/>
        <v>0</v>
      </c>
      <c r="BZ152" s="153" t="str">
        <f t="shared" si="454"/>
        <v/>
      </c>
      <c r="CA152" s="153" t="str">
        <f t="shared" si="455"/>
        <v/>
      </c>
      <c r="CB152" s="153" t="str">
        <f t="shared" si="456"/>
        <v/>
      </c>
      <c r="CC152" s="152" t="str">
        <f t="shared" si="457"/>
        <v/>
      </c>
      <c r="CD152" s="153" t="str">
        <f t="shared" si="458"/>
        <v/>
      </c>
      <c r="CE152" s="152" t="str">
        <f t="shared" si="459"/>
        <v/>
      </c>
      <c r="CF152" s="580" t="str">
        <f>IF('Marks Entry'!AK152="","",'Marks Entry'!AK152)</f>
        <v/>
      </c>
      <c r="CG152" s="580" t="str">
        <f>IF('Marks Entry'!AL152="","",'Marks Entry'!AL152)</f>
        <v/>
      </c>
      <c r="CH152" s="580" t="str">
        <f>IF('Marks Entry'!AM152="","",'Marks Entry'!AM152)</f>
        <v/>
      </c>
      <c r="CI152" s="580" t="str">
        <f>IF('Marks Entry'!AN152="","",'Marks Entry'!AN152)</f>
        <v/>
      </c>
      <c r="CJ152" s="581" t="str">
        <f t="shared" si="460"/>
        <v/>
      </c>
      <c r="CK152" s="580" t="str">
        <f>IF('Marks Entry'!AO152="","",'Marks Entry'!AO152)</f>
        <v/>
      </c>
      <c r="CL152" s="580" t="str">
        <f>IF('Marks Entry'!AP152="","",'Marks Entry'!AP152)</f>
        <v/>
      </c>
      <c r="CM152" s="581" t="str">
        <f t="shared" si="461"/>
        <v/>
      </c>
      <c r="CN152" s="581" t="str">
        <f t="shared" si="462"/>
        <v/>
      </c>
      <c r="CO152" s="580" t="str">
        <f>IF('Marks Entry'!AQ152="","",'Marks Entry'!AQ152)</f>
        <v/>
      </c>
      <c r="CP152" s="580" t="str">
        <f>IF('Marks Entry'!AR152="","",'Marks Entry'!AR152)</f>
        <v/>
      </c>
      <c r="CQ152" s="581" t="str">
        <f t="shared" si="463"/>
        <v/>
      </c>
      <c r="CR152" s="156" t="str">
        <f t="shared" si="464"/>
        <v/>
      </c>
      <c r="CS152" s="156" t="str">
        <f t="shared" si="465"/>
        <v/>
      </c>
      <c r="CT152" s="191" t="str">
        <f t="shared" si="466"/>
        <v/>
      </c>
      <c r="CU152" s="152">
        <f t="shared" si="467"/>
        <v>0</v>
      </c>
      <c r="CV152" s="153">
        <f t="shared" si="468"/>
        <v>0</v>
      </c>
      <c r="CW152" s="153" t="str">
        <f t="shared" si="469"/>
        <v/>
      </c>
      <c r="CX152" s="153" t="str">
        <f t="shared" si="470"/>
        <v/>
      </c>
      <c r="CY152" s="153" t="str">
        <f t="shared" si="471"/>
        <v/>
      </c>
      <c r="CZ152" s="152" t="str">
        <f t="shared" si="472"/>
        <v/>
      </c>
      <c r="DA152" s="153" t="str">
        <f t="shared" si="473"/>
        <v/>
      </c>
      <c r="DB152" s="152" t="str">
        <f t="shared" si="474"/>
        <v/>
      </c>
      <c r="DC152" s="153">
        <f t="shared" si="475"/>
        <v>0</v>
      </c>
      <c r="DD152" s="851" t="str">
        <f>IF('Marks Entry'!AS152="","",IF(OR('Master Sheet'!$D$19="YES",'Marks Entry'!$BA$1=1),'Marks Entry'!AS152,""))</f>
        <v/>
      </c>
      <c r="DE152" s="851" t="str">
        <f>IF('Marks Entry'!AT152="","",IF(OR('Master Sheet'!$D$19="YES",'Marks Entry'!$BA$1=1),'Marks Entry'!AT152,""))</f>
        <v/>
      </c>
      <c r="DF152" s="851" t="str">
        <f>IF('Marks Entry'!AU152="","",IF(OR('Master Sheet'!$D$19="YES",'Marks Entry'!$BA$1=1),'Marks Entry'!AU152,""))</f>
        <v/>
      </c>
      <c r="DG152" s="851" t="str">
        <f>IF('Marks Entry'!AV152="","",IF(OR('Master Sheet'!$D$19="YES",'Marks Entry'!$BA$1=1),'Marks Entry'!AV152,""))</f>
        <v/>
      </c>
      <c r="DH152" s="852" t="str">
        <f t="shared" si="476"/>
        <v/>
      </c>
      <c r="DI152" s="851" t="str">
        <f>IF('Marks Entry'!AW152="","",IF(OR('Master Sheet'!$D$19="YES",'Marks Entry'!$BA$1=1),'Marks Entry'!AW152,""))</f>
        <v/>
      </c>
      <c r="DJ152" s="851" t="str">
        <f>IF('Marks Entry'!AX152="","",IF(OR('Master Sheet'!$D$19="YES",'Marks Entry'!$BA$1=1),'Marks Entry'!AX152,""))</f>
        <v/>
      </c>
      <c r="DK152" s="852" t="str">
        <f t="shared" si="477"/>
        <v/>
      </c>
      <c r="DL152" s="852" t="str">
        <f t="shared" si="478"/>
        <v/>
      </c>
      <c r="DM152" s="851" t="str">
        <f>IF('Marks Entry'!AY152="","",IF(OR('Master Sheet'!$D$19="YES",'Marks Entry'!$BA$1=1),'Marks Entry'!AY152,""))</f>
        <v/>
      </c>
      <c r="DN152" s="851" t="str">
        <f>IF('Marks Entry'!AZ152="","",IF(OR('Master Sheet'!$D$19="YES",'Marks Entry'!$BA$1=1),'Marks Entry'!AZ152,""))</f>
        <v/>
      </c>
      <c r="DO152" s="851" t="str">
        <f>IF('Marks Entry'!BA152="","",IF(OR('Master Sheet'!$D$19="YES",'Marks Entry'!$BA$1=1),'Marks Entry'!BA152,""))</f>
        <v/>
      </c>
      <c r="DP152" s="852" t="str">
        <f t="shared" si="479"/>
        <v/>
      </c>
      <c r="DQ152" s="156" t="str">
        <f t="shared" si="480"/>
        <v/>
      </c>
      <c r="DR152" s="156" t="str">
        <f t="shared" si="481"/>
        <v/>
      </c>
      <c r="DS152" s="156" t="str">
        <f t="shared" si="482"/>
        <v/>
      </c>
      <c r="DT152" s="191" t="str">
        <f t="shared" si="483"/>
        <v/>
      </c>
      <c r="DU152" s="152">
        <f t="shared" si="484"/>
        <v>0</v>
      </c>
      <c r="DV152" s="153">
        <f t="shared" si="485"/>
        <v>0</v>
      </c>
      <c r="DW152" s="153" t="str">
        <f t="shared" si="486"/>
        <v/>
      </c>
      <c r="DX152" s="153" t="str">
        <f>IF(OR($B152="NSO",$B152=0,DS152=""),"",IF(AND(DJ152="",DO152=""),"",IF('Master Sheet'!$D$19="YES",$DO$6-COUNTIF(DO152,"ML")*DO$6,DS$6-(COUNTIF(DJ152,"ML")*DJ$6)-(COUNTIF(DO152,"ML")*DO$6))))</f>
        <v/>
      </c>
      <c r="DY152" s="153" t="str">
        <f>IF(OR($B152="NSO",$B152=0),"",IF(AND(DH152="",DI152="",DM152=""),"",IF(AND('Master Sheet'!$D$19="YES",'Marks Entry'!$BA$1=1),100,IF(AND(DJ152="",DO152=""),SUM(($DQ$7+$DR$7)-(DU152+DV152)),SUM(($DQ$6+$DR$6)-(DU152+DV152))))))</f>
        <v/>
      </c>
      <c r="DZ152" s="152" t="str">
        <f t="shared" si="487"/>
        <v/>
      </c>
      <c r="EA152" s="153" t="str">
        <f t="shared" si="488"/>
        <v/>
      </c>
      <c r="EB152" s="152" t="str">
        <f t="shared" si="489"/>
        <v/>
      </c>
      <c r="EC152" s="584" t="str">
        <f>IF('Marks Entry'!BB152="","",'Marks Entry'!BB152)</f>
        <v/>
      </c>
      <c r="ED152" s="584" t="str">
        <f>IF('Marks Entry'!BC152="","",'Marks Entry'!BC152)</f>
        <v/>
      </c>
      <c r="EE152" s="584" t="str">
        <f>IF('Marks Entry'!BD152="","",'Marks Entry'!BD152)</f>
        <v/>
      </c>
      <c r="EF152" s="590" t="str">
        <f t="shared" si="490"/>
        <v/>
      </c>
      <c r="EG152" s="595">
        <f t="shared" si="491"/>
        <v>0</v>
      </c>
      <c r="EH152" s="595">
        <f t="shared" si="492"/>
        <v>0</v>
      </c>
      <c r="EI152" s="192" t="str">
        <f t="shared" si="493"/>
        <v/>
      </c>
      <c r="EJ152" s="595" t="str">
        <f t="shared" si="494"/>
        <v/>
      </c>
      <c r="EK152" s="595" t="str">
        <f t="shared" si="495"/>
        <v/>
      </c>
      <c r="EL152" s="193" t="str">
        <f t="shared" si="496"/>
        <v/>
      </c>
      <c r="EM152" s="193" t="str">
        <f t="shared" si="497"/>
        <v/>
      </c>
      <c r="EN152" s="193" t="str">
        <f t="shared" si="498"/>
        <v/>
      </c>
      <c r="EO152" s="193" t="str">
        <f t="shared" si="499"/>
        <v/>
      </c>
      <c r="EP152" s="193" t="str">
        <f t="shared" si="500"/>
        <v/>
      </c>
      <c r="EQ152" s="193" t="str">
        <f t="shared" si="501"/>
        <v/>
      </c>
      <c r="ER152" s="194">
        <f t="shared" si="502"/>
        <v>0</v>
      </c>
      <c r="ES152" s="194">
        <f t="shared" si="503"/>
        <v>0</v>
      </c>
      <c r="ET152" s="194">
        <f t="shared" si="504"/>
        <v>0</v>
      </c>
      <c r="EU152" s="194">
        <f t="shared" si="505"/>
        <v>0</v>
      </c>
      <c r="EV152" s="194">
        <f t="shared" si="506"/>
        <v>0</v>
      </c>
      <c r="EW152" s="194" t="str">
        <f t="shared" si="507"/>
        <v/>
      </c>
      <c r="EX152" s="195" t="str">
        <f t="shared" si="508"/>
        <v/>
      </c>
      <c r="EY152" s="196" t="str">
        <f>IF('Marks Entry'!BE152="","",'Marks Entry'!BE152)</f>
        <v/>
      </c>
      <c r="EZ152" s="196" t="str">
        <f>IF('Marks Entry'!BF152="","",'Marks Entry'!BF152)</f>
        <v/>
      </c>
      <c r="FA152" s="196" t="str">
        <f>IF('Marks Entry'!BG152="","",'Marks Entry'!BG152)</f>
        <v/>
      </c>
      <c r="FB152" s="596" t="str">
        <f t="shared" si="509"/>
        <v/>
      </c>
      <c r="FC152" s="196" t="str">
        <f>IF('Marks Entry'!BH152="","",'Marks Entry'!BH152)</f>
        <v/>
      </c>
      <c r="FD152" s="196" t="str">
        <f>IF('Marks Entry'!BI152="","",'Marks Entry'!BI152)</f>
        <v/>
      </c>
      <c r="FE152" s="197" t="str">
        <f t="shared" si="510"/>
        <v/>
      </c>
      <c r="FF152" s="198" t="str">
        <f t="shared" si="511"/>
        <v/>
      </c>
      <c r="FG152" s="199" t="str">
        <f>IF(AND(E152=""),"",IF('Student DATA Entry'!L148="","",'Student DATA Entry'!L148))</f>
        <v/>
      </c>
      <c r="FH152" s="200" t="str">
        <f>IF(AND(E152=""),"",IF('Student DATA Entry'!M148="","",'Student DATA Entry'!M148))</f>
        <v/>
      </c>
      <c r="FI152" s="201" t="str">
        <f t="shared" si="512"/>
        <v/>
      </c>
      <c r="FJ152" s="188" t="str">
        <f t="shared" si="513"/>
        <v/>
      </c>
      <c r="FK152" s="188" t="str">
        <f t="shared" si="514"/>
        <v/>
      </c>
      <c r="FL152" s="202" t="str">
        <f t="shared" si="383"/>
        <v/>
      </c>
      <c r="FM152" s="188" t="str">
        <f t="shared" si="515"/>
        <v/>
      </c>
      <c r="FN152" s="203" t="str">
        <f t="shared" si="516"/>
        <v/>
      </c>
      <c r="FO152" s="202" t="str">
        <f t="shared" si="384"/>
        <v/>
      </c>
      <c r="FP152" s="204" t="str">
        <f t="shared" si="517"/>
        <v/>
      </c>
      <c r="FQ152" s="188" t="str">
        <f t="shared" si="385"/>
        <v/>
      </c>
      <c r="FR152" s="188" t="str">
        <f t="shared" si="386"/>
        <v/>
      </c>
      <c r="FS152" s="188" t="str">
        <f t="shared" si="387"/>
        <v/>
      </c>
      <c r="FT152" s="188" t="str">
        <f t="shared" si="388"/>
        <v/>
      </c>
      <c r="FU152" s="188" t="str">
        <f t="shared" si="518"/>
        <v/>
      </c>
      <c r="FV152" s="205" t="str">
        <f t="shared" si="389"/>
        <v/>
      </c>
      <c r="FW152" s="204" t="str">
        <f t="shared" si="519"/>
        <v/>
      </c>
      <c r="FX152" s="188" t="str">
        <f t="shared" si="390"/>
        <v/>
      </c>
      <c r="FY152" s="188" t="str">
        <f t="shared" si="391"/>
        <v/>
      </c>
      <c r="FZ152" s="188" t="str">
        <f t="shared" si="392"/>
        <v/>
      </c>
      <c r="GA152" s="188" t="str">
        <f t="shared" si="393"/>
        <v/>
      </c>
      <c r="GB152" s="188" t="str">
        <f t="shared" si="520"/>
        <v/>
      </c>
      <c r="GC152" s="205" t="str">
        <f t="shared" si="394"/>
        <v/>
      </c>
      <c r="GD152" s="204" t="str">
        <f t="shared" si="521"/>
        <v/>
      </c>
      <c r="GE152" s="188" t="str">
        <f t="shared" si="395"/>
        <v/>
      </c>
      <c r="GF152" s="188" t="str">
        <f t="shared" si="396"/>
        <v/>
      </c>
      <c r="GG152" s="188" t="str">
        <f t="shared" si="397"/>
        <v/>
      </c>
      <c r="GH152" s="188" t="str">
        <f t="shared" si="398"/>
        <v/>
      </c>
      <c r="GI152" s="188" t="str">
        <f t="shared" si="522"/>
        <v/>
      </c>
      <c r="GJ152" s="205" t="str">
        <f t="shared" si="399"/>
        <v/>
      </c>
      <c r="GK152" s="204" t="str">
        <f t="shared" si="523"/>
        <v/>
      </c>
      <c r="GL152" s="188" t="str">
        <f t="shared" si="400"/>
        <v/>
      </c>
      <c r="GM152" s="188" t="str">
        <f t="shared" si="401"/>
        <v/>
      </c>
      <c r="GN152" s="188" t="str">
        <f t="shared" si="402"/>
        <v/>
      </c>
      <c r="GO152" s="188" t="str">
        <f t="shared" si="403"/>
        <v/>
      </c>
      <c r="GP152" s="188" t="str">
        <f t="shared" si="524"/>
        <v/>
      </c>
      <c r="GQ152" s="205" t="str">
        <f t="shared" si="404"/>
        <v/>
      </c>
      <c r="GR152" s="188" t="str">
        <f t="shared" si="525"/>
        <v/>
      </c>
      <c r="GS152" s="188" t="str">
        <f t="shared" si="526"/>
        <v/>
      </c>
      <c r="GT152" s="206" t="str">
        <f t="shared" si="527"/>
        <v xml:space="preserve">    </v>
      </c>
      <c r="GU152" s="206" t="str">
        <f t="shared" si="528"/>
        <v xml:space="preserve">    </v>
      </c>
      <c r="GV152" s="206" t="str">
        <f t="shared" si="529"/>
        <v xml:space="preserve">    </v>
      </c>
      <c r="GW152" s="206" t="str">
        <f t="shared" si="530"/>
        <v xml:space="preserve">       </v>
      </c>
      <c r="GX152" s="598" t="str">
        <f t="shared" si="531"/>
        <v xml:space="preserve">     </v>
      </c>
      <c r="GY152" s="207" t="str">
        <f t="shared" si="405"/>
        <v/>
      </c>
      <c r="GZ152" s="606" t="str">
        <f>IF(AND(Q152="",AE152="",AZ152="",BW152="",CT152=""),"",IF(AND('Master Sheet'!$D$19="YES",'Marks Entry'!$BA$1=1),SUM(Q152,AE152,AZ152,BW152,DT152),SUM(Q152,AE152,AZ152,BW152,CT152)))</f>
        <v/>
      </c>
      <c r="HA152" s="208" t="str">
        <f>IF(GZ152="","",IF(AND('Master Sheet'!$D$19="YES",'Marks Entry'!$BA$1=1),GZ152/((900)-DC152)*100,GZ152/((1000)-DC152)*100))</f>
        <v/>
      </c>
      <c r="HB152" s="611" t="str">
        <f t="shared" si="532"/>
        <v/>
      </c>
      <c r="HC152" s="609" t="str">
        <f t="shared" si="533"/>
        <v/>
      </c>
      <c r="HD152" s="610" t="str">
        <f t="shared" si="534"/>
        <v/>
      </c>
      <c r="HE152" s="209" t="str">
        <f>IFERROR(IF(OR(GY152="SUPPLEMENTARY",GY152="RE-EXAM"),'Supp. Result Entry'!AS151,""),"")</f>
        <v/>
      </c>
      <c r="HF152" s="613" t="str">
        <f t="shared" si="535"/>
        <v/>
      </c>
      <c r="HG152" s="598" t="str">
        <f t="shared" si="536"/>
        <v/>
      </c>
      <c r="HH152" s="598" t="str">
        <f>IF(AND(HE152="",HF152="",HG152=""),"",IF(OR(GY152="SUPPLEMENTARY",GY152="RE-EXAM"),'Supp. Result Entry'!AS151,GY152))</f>
        <v/>
      </c>
      <c r="HI152" s="179"/>
      <c r="HY152" s="211" t="str">
        <f>IF('Supp. Result Entry'!U151="","",'Supp. Result Entry'!$U$6)</f>
        <v/>
      </c>
      <c r="HZ152" s="212" t="str">
        <f>IF('Supp. Result Entry'!X151="","",'Supp. Result Entry'!$X$6)</f>
        <v/>
      </c>
      <c r="IA152" s="212" t="str">
        <f>IF('Supp. Result Entry'!AA151="","",'Supp. Result Entry'!$AA$6)</f>
        <v/>
      </c>
      <c r="IB152" s="212" t="str">
        <f>IF('Supp. Result Entry'!AD151="","",'Supp. Result Entry'!$AD$6)</f>
        <v/>
      </c>
      <c r="IC152" s="212" t="str">
        <f>IF('Supp. Result Entry'!AG151="","",'Supp. Result Entry'!$AG$6)</f>
        <v/>
      </c>
      <c r="ID152" s="212" t="str">
        <f>IF('Supp. Result Entry'!AJ151="","",'Supp. Result Entry'!$AJ$6)</f>
        <v/>
      </c>
      <c r="IE152" s="212" t="str">
        <f>IF('Supp. Result Entry'!V151="","",'Supp. Result Entry'!V151)</f>
        <v/>
      </c>
      <c r="IF152" s="212" t="str">
        <f>IF('Supp. Result Entry'!Y151="","",'Supp. Result Entry'!Y151)</f>
        <v/>
      </c>
      <c r="IG152" s="212" t="str">
        <f>IF('Supp. Result Entry'!AB151="","",'Supp. Result Entry'!AB151)</f>
        <v/>
      </c>
      <c r="IH152" s="212" t="str">
        <f>IF('Supp. Result Entry'!AE151="","",'Supp. Result Entry'!AE151)</f>
        <v/>
      </c>
      <c r="II152" s="212" t="str">
        <f>IF('Supp. Result Entry'!AH151="","",'Supp. Result Entry'!AH151)</f>
        <v/>
      </c>
      <c r="IJ152" s="212" t="str">
        <f>IF('Supp. Result Entry'!AK151="","",'Supp. Result Entry'!AK151)</f>
        <v/>
      </c>
      <c r="IK152" s="212" t="str">
        <f>IF('Supp. Result Entry'!W151="","",'Supp. Result Entry'!W151)</f>
        <v/>
      </c>
      <c r="IL152" s="212" t="str">
        <f>IF('Supp. Result Entry'!Z151="","",'Supp. Result Entry'!Z151)</f>
        <v/>
      </c>
      <c r="IM152" s="212" t="str">
        <f>IF('Supp. Result Entry'!AC151="","",'Supp. Result Entry'!AC151)</f>
        <v/>
      </c>
      <c r="IN152" s="212" t="str">
        <f>IF('Supp. Result Entry'!AF151="","",'Supp. Result Entry'!AF151)</f>
        <v/>
      </c>
      <c r="IO152" s="212" t="str">
        <f>IF('Supp. Result Entry'!AI151="","",'Supp. Result Entry'!AI151)</f>
        <v/>
      </c>
      <c r="IP152" s="212" t="str">
        <f>IF('Supp. Result Entry'!AL151="","",'Supp. Result Entry'!AL151)</f>
        <v/>
      </c>
      <c r="IQ152" s="212">
        <f>COUNTIF('Supp. Result Entry'!K151:Q151,"S")</f>
        <v>0</v>
      </c>
      <c r="IR152" s="212">
        <f t="shared" si="537"/>
        <v>0</v>
      </c>
      <c r="IS152" s="212">
        <f t="shared" si="538"/>
        <v>0</v>
      </c>
      <c r="IT152" s="212" t="str">
        <f t="shared" si="406"/>
        <v/>
      </c>
      <c r="IU152" s="212" t="str">
        <f t="shared" si="407"/>
        <v/>
      </c>
      <c r="IV152" s="212" t="str">
        <f t="shared" si="408"/>
        <v/>
      </c>
      <c r="IW152" s="212" t="str">
        <f t="shared" si="409"/>
        <v/>
      </c>
      <c r="IX152" s="212" t="str">
        <f t="shared" si="410"/>
        <v/>
      </c>
      <c r="IY152" s="212" t="str">
        <f t="shared" si="539"/>
        <v/>
      </c>
      <c r="IZ152" s="212" t="str">
        <f t="shared" si="540"/>
        <v/>
      </c>
      <c r="JA152" s="212" t="str">
        <f t="shared" si="411"/>
        <v/>
      </c>
      <c r="JB152" s="210" t="str">
        <f t="shared" si="541"/>
        <v/>
      </c>
    </row>
    <row r="153" spans="1:262" s="210" customFormat="1" ht="21" customHeight="1">
      <c r="A153" s="183">
        <v>146</v>
      </c>
      <c r="B153" s="184" t="str">
        <f>IF('Marks Entry'!B153="","",'Marks Entry'!B153)</f>
        <v/>
      </c>
      <c r="C153" s="185" t="str">
        <f>IF('Marks Entry'!D153="","",'Marks Entry'!D153)</f>
        <v/>
      </c>
      <c r="D153" s="186" t="str">
        <f>IF('Marks Entry'!E153="","",'Marks Entry'!E153)</f>
        <v/>
      </c>
      <c r="E153" s="187" t="str">
        <f>IF('Marks Entry'!F153="","",'Marks Entry'!F153)</f>
        <v/>
      </c>
      <c r="F153" s="187" t="str">
        <f>IF('Marks Entry'!G153="","",'Marks Entry'!G153)</f>
        <v/>
      </c>
      <c r="G153" s="187" t="str">
        <f>IF('Marks Entry'!H153="","",'Marks Entry'!H153)</f>
        <v/>
      </c>
      <c r="H153" s="188" t="str">
        <f>IF('Marks Entry'!I153="","",'Marks Entry'!I153)</f>
        <v/>
      </c>
      <c r="I153" s="189" t="str">
        <f>IF('Marks Entry'!J153="","",'Marks Entry'!J153)</f>
        <v/>
      </c>
      <c r="J153" s="545" t="str">
        <f>IF('Marks Entry'!K153="","",'Marks Entry'!K153)</f>
        <v/>
      </c>
      <c r="K153" s="545" t="str">
        <f>IF('Marks Entry'!L153="","",'Marks Entry'!L153)</f>
        <v/>
      </c>
      <c r="L153" s="545" t="str">
        <f>IF('Marks Entry'!M153="","",'Marks Entry'!M153)</f>
        <v/>
      </c>
      <c r="M153" s="546" t="str">
        <f t="shared" si="412"/>
        <v/>
      </c>
      <c r="N153" s="545" t="str">
        <f>IF('Marks Entry'!N153="","",'Marks Entry'!N153)</f>
        <v/>
      </c>
      <c r="O153" s="546" t="str">
        <f t="shared" si="413"/>
        <v/>
      </c>
      <c r="P153" s="545" t="str">
        <f>IF('Marks Entry'!O153="","",'Marks Entry'!O153)</f>
        <v/>
      </c>
      <c r="Q153" s="547" t="str">
        <f t="shared" si="414"/>
        <v/>
      </c>
      <c r="R153" s="152">
        <f t="shared" si="415"/>
        <v>0</v>
      </c>
      <c r="S153" s="152">
        <f t="shared" si="416"/>
        <v>0</v>
      </c>
      <c r="T153" s="153" t="str">
        <f t="shared" si="417"/>
        <v/>
      </c>
      <c r="U153" s="152" t="str">
        <f t="shared" si="418"/>
        <v/>
      </c>
      <c r="V153" s="152" t="str">
        <f t="shared" si="419"/>
        <v/>
      </c>
      <c r="W153" s="152" t="str">
        <f t="shared" si="420"/>
        <v/>
      </c>
      <c r="X153" s="545" t="str">
        <f>IF('Marks Entry'!P153="","",'Marks Entry'!P153)</f>
        <v/>
      </c>
      <c r="Y153" s="545" t="str">
        <f>IF('Marks Entry'!Q153="","",'Marks Entry'!Q153)</f>
        <v/>
      </c>
      <c r="Z153" s="545" t="str">
        <f>IF('Marks Entry'!R153="","",'Marks Entry'!R153)</f>
        <v/>
      </c>
      <c r="AA153" s="546" t="str">
        <f t="shared" si="421"/>
        <v/>
      </c>
      <c r="AB153" s="545" t="str">
        <f>IF('Marks Entry'!S153="","",'Marks Entry'!S153)</f>
        <v/>
      </c>
      <c r="AC153" s="546" t="str">
        <f t="shared" si="422"/>
        <v/>
      </c>
      <c r="AD153" s="545" t="str">
        <f>IF('Marks Entry'!T153="","",'Marks Entry'!T153)</f>
        <v/>
      </c>
      <c r="AE153" s="547" t="str">
        <f t="shared" si="423"/>
        <v/>
      </c>
      <c r="AF153" s="152">
        <f t="shared" si="424"/>
        <v>0</v>
      </c>
      <c r="AG153" s="152">
        <f t="shared" si="425"/>
        <v>0</v>
      </c>
      <c r="AH153" s="153" t="str">
        <f t="shared" si="426"/>
        <v/>
      </c>
      <c r="AI153" s="152" t="str">
        <f t="shared" si="427"/>
        <v/>
      </c>
      <c r="AJ153" s="152" t="str">
        <f t="shared" si="428"/>
        <v/>
      </c>
      <c r="AK153" s="152" t="str">
        <f t="shared" si="429"/>
        <v/>
      </c>
      <c r="AL153" s="573" t="str">
        <f>IF('Marks Entry'!U153="","",'Marks Entry'!U153)</f>
        <v/>
      </c>
      <c r="AM153" s="573" t="str">
        <f>IF('Marks Entry'!V153="","",'Marks Entry'!V153)</f>
        <v/>
      </c>
      <c r="AN153" s="573" t="str">
        <f>IF('Marks Entry'!W153="","",'Marks Entry'!W153)</f>
        <v/>
      </c>
      <c r="AO153" s="573" t="str">
        <f>IF('Marks Entry'!X153="","",'Marks Entry'!X153)</f>
        <v/>
      </c>
      <c r="AP153" s="572" t="str">
        <f t="shared" si="430"/>
        <v/>
      </c>
      <c r="AQ153" s="573" t="str">
        <f>IF('Marks Entry'!Y153="","",'Marks Entry'!Y153)</f>
        <v/>
      </c>
      <c r="AR153" s="573" t="str">
        <f>IF('Marks Entry'!Z153="","",'Marks Entry'!Z153)</f>
        <v/>
      </c>
      <c r="AS153" s="572" t="str">
        <f t="shared" si="431"/>
        <v/>
      </c>
      <c r="AT153" s="572" t="str">
        <f t="shared" si="432"/>
        <v/>
      </c>
      <c r="AU153" s="573" t="str">
        <f>IF('Marks Entry'!AA153="","",'Marks Entry'!AA153)</f>
        <v/>
      </c>
      <c r="AV153" s="573" t="str">
        <f>IF('Marks Entry'!AB153="","",'Marks Entry'!AB153)</f>
        <v/>
      </c>
      <c r="AW153" s="572" t="str">
        <f t="shared" si="433"/>
        <v/>
      </c>
      <c r="AX153" s="156" t="str">
        <f t="shared" si="434"/>
        <v/>
      </c>
      <c r="AY153" s="156" t="str">
        <f t="shared" si="435"/>
        <v/>
      </c>
      <c r="AZ153" s="191" t="str">
        <f t="shared" si="436"/>
        <v/>
      </c>
      <c r="BA153" s="152">
        <f t="shared" si="437"/>
        <v>0</v>
      </c>
      <c r="BB153" s="153">
        <f t="shared" si="438"/>
        <v>0</v>
      </c>
      <c r="BC153" s="153" t="str">
        <f t="shared" si="439"/>
        <v/>
      </c>
      <c r="BD153" s="153" t="str">
        <f t="shared" si="440"/>
        <v/>
      </c>
      <c r="BE153" s="153" t="str">
        <f t="shared" si="441"/>
        <v/>
      </c>
      <c r="BF153" s="152" t="str">
        <f t="shared" si="442"/>
        <v/>
      </c>
      <c r="BG153" s="153" t="str">
        <f t="shared" si="443"/>
        <v/>
      </c>
      <c r="BH153" s="152" t="str">
        <f t="shared" si="444"/>
        <v/>
      </c>
      <c r="BI153" s="580" t="str">
        <f>IF('Marks Entry'!AC153="","",'Marks Entry'!AC153)</f>
        <v/>
      </c>
      <c r="BJ153" s="580" t="str">
        <f>IF('Marks Entry'!AD153="","",'Marks Entry'!AD153)</f>
        <v/>
      </c>
      <c r="BK153" s="580" t="str">
        <f>IF('Marks Entry'!AE153="","",'Marks Entry'!AE153)</f>
        <v/>
      </c>
      <c r="BL153" s="580" t="str">
        <f>IF('Marks Entry'!AF153="","",'Marks Entry'!AF153)</f>
        <v/>
      </c>
      <c r="BM153" s="581" t="str">
        <f t="shared" si="445"/>
        <v/>
      </c>
      <c r="BN153" s="580" t="str">
        <f>IF('Marks Entry'!AG153="","",'Marks Entry'!AG153)</f>
        <v/>
      </c>
      <c r="BO153" s="580" t="str">
        <f>IF('Marks Entry'!AH153="","",'Marks Entry'!AH153)</f>
        <v/>
      </c>
      <c r="BP153" s="581" t="str">
        <f t="shared" si="446"/>
        <v/>
      </c>
      <c r="BQ153" s="581" t="str">
        <f t="shared" si="447"/>
        <v/>
      </c>
      <c r="BR153" s="580" t="str">
        <f>IF('Marks Entry'!AI153="","",'Marks Entry'!AI153)</f>
        <v/>
      </c>
      <c r="BS153" s="580" t="str">
        <f>IF('Marks Entry'!AJ153="","",'Marks Entry'!AJ153)</f>
        <v/>
      </c>
      <c r="BT153" s="581" t="str">
        <f t="shared" si="448"/>
        <v/>
      </c>
      <c r="BU153" s="156" t="str">
        <f t="shared" si="449"/>
        <v/>
      </c>
      <c r="BV153" s="156" t="str">
        <f t="shared" si="450"/>
        <v/>
      </c>
      <c r="BW153" s="191" t="str">
        <f t="shared" si="451"/>
        <v/>
      </c>
      <c r="BX153" s="152">
        <f t="shared" si="452"/>
        <v>0</v>
      </c>
      <c r="BY153" s="153">
        <f t="shared" si="453"/>
        <v>0</v>
      </c>
      <c r="BZ153" s="153" t="str">
        <f t="shared" si="454"/>
        <v/>
      </c>
      <c r="CA153" s="153" t="str">
        <f t="shared" si="455"/>
        <v/>
      </c>
      <c r="CB153" s="153" t="str">
        <f t="shared" si="456"/>
        <v/>
      </c>
      <c r="CC153" s="152" t="str">
        <f t="shared" si="457"/>
        <v/>
      </c>
      <c r="CD153" s="153" t="str">
        <f t="shared" si="458"/>
        <v/>
      </c>
      <c r="CE153" s="152" t="str">
        <f t="shared" si="459"/>
        <v/>
      </c>
      <c r="CF153" s="580" t="str">
        <f>IF('Marks Entry'!AK153="","",'Marks Entry'!AK153)</f>
        <v/>
      </c>
      <c r="CG153" s="580" t="str">
        <f>IF('Marks Entry'!AL153="","",'Marks Entry'!AL153)</f>
        <v/>
      </c>
      <c r="CH153" s="580" t="str">
        <f>IF('Marks Entry'!AM153="","",'Marks Entry'!AM153)</f>
        <v/>
      </c>
      <c r="CI153" s="580" t="str">
        <f>IF('Marks Entry'!AN153="","",'Marks Entry'!AN153)</f>
        <v/>
      </c>
      <c r="CJ153" s="581" t="str">
        <f t="shared" si="460"/>
        <v/>
      </c>
      <c r="CK153" s="580" t="str">
        <f>IF('Marks Entry'!AO153="","",'Marks Entry'!AO153)</f>
        <v/>
      </c>
      <c r="CL153" s="580" t="str">
        <f>IF('Marks Entry'!AP153="","",'Marks Entry'!AP153)</f>
        <v/>
      </c>
      <c r="CM153" s="581" t="str">
        <f t="shared" si="461"/>
        <v/>
      </c>
      <c r="CN153" s="581" t="str">
        <f t="shared" si="462"/>
        <v/>
      </c>
      <c r="CO153" s="580" t="str">
        <f>IF('Marks Entry'!AQ153="","",'Marks Entry'!AQ153)</f>
        <v/>
      </c>
      <c r="CP153" s="580" t="str">
        <f>IF('Marks Entry'!AR153="","",'Marks Entry'!AR153)</f>
        <v/>
      </c>
      <c r="CQ153" s="581" t="str">
        <f t="shared" si="463"/>
        <v/>
      </c>
      <c r="CR153" s="156" t="str">
        <f t="shared" si="464"/>
        <v/>
      </c>
      <c r="CS153" s="156" t="str">
        <f t="shared" si="465"/>
        <v/>
      </c>
      <c r="CT153" s="191" t="str">
        <f t="shared" si="466"/>
        <v/>
      </c>
      <c r="CU153" s="152">
        <f t="shared" si="467"/>
        <v>0</v>
      </c>
      <c r="CV153" s="153">
        <f t="shared" si="468"/>
        <v>0</v>
      </c>
      <c r="CW153" s="153" t="str">
        <f t="shared" si="469"/>
        <v/>
      </c>
      <c r="CX153" s="153" t="str">
        <f t="shared" si="470"/>
        <v/>
      </c>
      <c r="CY153" s="153" t="str">
        <f t="shared" si="471"/>
        <v/>
      </c>
      <c r="CZ153" s="152" t="str">
        <f t="shared" si="472"/>
        <v/>
      </c>
      <c r="DA153" s="153" t="str">
        <f t="shared" si="473"/>
        <v/>
      </c>
      <c r="DB153" s="152" t="str">
        <f t="shared" si="474"/>
        <v/>
      </c>
      <c r="DC153" s="153">
        <f t="shared" si="475"/>
        <v>0</v>
      </c>
      <c r="DD153" s="851" t="str">
        <f>IF('Marks Entry'!AS153="","",IF(OR('Master Sheet'!$D$19="YES",'Marks Entry'!$BA$1=1),'Marks Entry'!AS153,""))</f>
        <v/>
      </c>
      <c r="DE153" s="851" t="str">
        <f>IF('Marks Entry'!AT153="","",IF(OR('Master Sheet'!$D$19="YES",'Marks Entry'!$BA$1=1),'Marks Entry'!AT153,""))</f>
        <v/>
      </c>
      <c r="DF153" s="851" t="str">
        <f>IF('Marks Entry'!AU153="","",IF(OR('Master Sheet'!$D$19="YES",'Marks Entry'!$BA$1=1),'Marks Entry'!AU153,""))</f>
        <v/>
      </c>
      <c r="DG153" s="851" t="str">
        <f>IF('Marks Entry'!AV153="","",IF(OR('Master Sheet'!$D$19="YES",'Marks Entry'!$BA$1=1),'Marks Entry'!AV153,""))</f>
        <v/>
      </c>
      <c r="DH153" s="852" t="str">
        <f t="shared" si="476"/>
        <v/>
      </c>
      <c r="DI153" s="851" t="str">
        <f>IF('Marks Entry'!AW153="","",IF(OR('Master Sheet'!$D$19="YES",'Marks Entry'!$BA$1=1),'Marks Entry'!AW153,""))</f>
        <v/>
      </c>
      <c r="DJ153" s="851" t="str">
        <f>IF('Marks Entry'!AX153="","",IF(OR('Master Sheet'!$D$19="YES",'Marks Entry'!$BA$1=1),'Marks Entry'!AX153,""))</f>
        <v/>
      </c>
      <c r="DK153" s="852" t="str">
        <f t="shared" si="477"/>
        <v/>
      </c>
      <c r="DL153" s="852" t="str">
        <f t="shared" si="478"/>
        <v/>
      </c>
      <c r="DM153" s="851" t="str">
        <f>IF('Marks Entry'!AY153="","",IF(OR('Master Sheet'!$D$19="YES",'Marks Entry'!$BA$1=1),'Marks Entry'!AY153,""))</f>
        <v/>
      </c>
      <c r="DN153" s="851" t="str">
        <f>IF('Marks Entry'!AZ153="","",IF(OR('Master Sheet'!$D$19="YES",'Marks Entry'!$BA$1=1),'Marks Entry'!AZ153,""))</f>
        <v/>
      </c>
      <c r="DO153" s="851" t="str">
        <f>IF('Marks Entry'!BA153="","",IF(OR('Master Sheet'!$D$19="YES",'Marks Entry'!$BA$1=1),'Marks Entry'!BA153,""))</f>
        <v/>
      </c>
      <c r="DP153" s="852" t="str">
        <f t="shared" si="479"/>
        <v/>
      </c>
      <c r="DQ153" s="156" t="str">
        <f t="shared" si="480"/>
        <v/>
      </c>
      <c r="DR153" s="156" t="str">
        <f t="shared" si="481"/>
        <v/>
      </c>
      <c r="DS153" s="156" t="str">
        <f t="shared" si="482"/>
        <v/>
      </c>
      <c r="DT153" s="191" t="str">
        <f t="shared" si="483"/>
        <v/>
      </c>
      <c r="DU153" s="152">
        <f t="shared" si="484"/>
        <v>0</v>
      </c>
      <c r="DV153" s="153">
        <f t="shared" si="485"/>
        <v>0</v>
      </c>
      <c r="DW153" s="153" t="str">
        <f t="shared" si="486"/>
        <v/>
      </c>
      <c r="DX153" s="153" t="str">
        <f>IF(OR($B153="NSO",$B153=0,DS153=""),"",IF(AND(DJ153="",DO153=""),"",IF('Master Sheet'!$D$19="YES",$DO$6-COUNTIF(DO153,"ML")*DO$6,DS$6-(COUNTIF(DJ153,"ML")*DJ$6)-(COUNTIF(DO153,"ML")*DO$6))))</f>
        <v/>
      </c>
      <c r="DY153" s="153" t="str">
        <f>IF(OR($B153="NSO",$B153=0),"",IF(AND(DH153="",DI153="",DM153=""),"",IF(AND('Master Sheet'!$D$19="YES",'Marks Entry'!$BA$1=1),100,IF(AND(DJ153="",DO153=""),SUM(($DQ$7+$DR$7)-(DU153+DV153)),SUM(($DQ$6+$DR$6)-(DU153+DV153))))))</f>
        <v/>
      </c>
      <c r="DZ153" s="152" t="str">
        <f t="shared" si="487"/>
        <v/>
      </c>
      <c r="EA153" s="153" t="str">
        <f t="shared" si="488"/>
        <v/>
      </c>
      <c r="EB153" s="152" t="str">
        <f t="shared" si="489"/>
        <v/>
      </c>
      <c r="EC153" s="584" t="str">
        <f>IF('Marks Entry'!BB153="","",'Marks Entry'!BB153)</f>
        <v/>
      </c>
      <c r="ED153" s="584" t="str">
        <f>IF('Marks Entry'!BC153="","",'Marks Entry'!BC153)</f>
        <v/>
      </c>
      <c r="EE153" s="584" t="str">
        <f>IF('Marks Entry'!BD153="","",'Marks Entry'!BD153)</f>
        <v/>
      </c>
      <c r="EF153" s="590" t="str">
        <f t="shared" si="490"/>
        <v/>
      </c>
      <c r="EG153" s="595">
        <f t="shared" si="491"/>
        <v>0</v>
      </c>
      <c r="EH153" s="595">
        <f t="shared" si="492"/>
        <v>0</v>
      </c>
      <c r="EI153" s="192" t="str">
        <f t="shared" si="493"/>
        <v/>
      </c>
      <c r="EJ153" s="595" t="str">
        <f t="shared" si="494"/>
        <v/>
      </c>
      <c r="EK153" s="595" t="str">
        <f t="shared" si="495"/>
        <v/>
      </c>
      <c r="EL153" s="193" t="str">
        <f t="shared" si="496"/>
        <v/>
      </c>
      <c r="EM153" s="193" t="str">
        <f t="shared" si="497"/>
        <v/>
      </c>
      <c r="EN153" s="193" t="str">
        <f t="shared" si="498"/>
        <v/>
      </c>
      <c r="EO153" s="193" t="str">
        <f t="shared" si="499"/>
        <v/>
      </c>
      <c r="EP153" s="193" t="str">
        <f t="shared" si="500"/>
        <v/>
      </c>
      <c r="EQ153" s="193" t="str">
        <f t="shared" si="501"/>
        <v/>
      </c>
      <c r="ER153" s="194">
        <f t="shared" si="502"/>
        <v>0</v>
      </c>
      <c r="ES153" s="194">
        <f t="shared" si="503"/>
        <v>0</v>
      </c>
      <c r="ET153" s="194">
        <f t="shared" si="504"/>
        <v>0</v>
      </c>
      <c r="EU153" s="194">
        <f t="shared" si="505"/>
        <v>0</v>
      </c>
      <c r="EV153" s="194">
        <f t="shared" si="506"/>
        <v>0</v>
      </c>
      <c r="EW153" s="194" t="str">
        <f t="shared" si="507"/>
        <v/>
      </c>
      <c r="EX153" s="195" t="str">
        <f t="shared" si="508"/>
        <v/>
      </c>
      <c r="EY153" s="196" t="str">
        <f>IF('Marks Entry'!BE153="","",'Marks Entry'!BE153)</f>
        <v/>
      </c>
      <c r="EZ153" s="196" t="str">
        <f>IF('Marks Entry'!BF153="","",'Marks Entry'!BF153)</f>
        <v/>
      </c>
      <c r="FA153" s="196" t="str">
        <f>IF('Marks Entry'!BG153="","",'Marks Entry'!BG153)</f>
        <v/>
      </c>
      <c r="FB153" s="596" t="str">
        <f t="shared" si="509"/>
        <v/>
      </c>
      <c r="FC153" s="196" t="str">
        <f>IF('Marks Entry'!BH153="","",'Marks Entry'!BH153)</f>
        <v/>
      </c>
      <c r="FD153" s="196" t="str">
        <f>IF('Marks Entry'!BI153="","",'Marks Entry'!BI153)</f>
        <v/>
      </c>
      <c r="FE153" s="197" t="str">
        <f t="shared" si="510"/>
        <v/>
      </c>
      <c r="FF153" s="198" t="str">
        <f t="shared" si="511"/>
        <v/>
      </c>
      <c r="FG153" s="199" t="str">
        <f>IF(AND(E153=""),"",IF('Student DATA Entry'!L149="","",'Student DATA Entry'!L149))</f>
        <v/>
      </c>
      <c r="FH153" s="200" t="str">
        <f>IF(AND(E153=""),"",IF('Student DATA Entry'!M149="","",'Student DATA Entry'!M149))</f>
        <v/>
      </c>
      <c r="FI153" s="201" t="str">
        <f t="shared" si="512"/>
        <v/>
      </c>
      <c r="FJ153" s="188" t="str">
        <f t="shared" si="513"/>
        <v/>
      </c>
      <c r="FK153" s="188" t="str">
        <f t="shared" si="514"/>
        <v/>
      </c>
      <c r="FL153" s="202" t="str">
        <f t="shared" si="383"/>
        <v/>
      </c>
      <c r="FM153" s="188" t="str">
        <f t="shared" si="515"/>
        <v/>
      </c>
      <c r="FN153" s="203" t="str">
        <f t="shared" si="516"/>
        <v/>
      </c>
      <c r="FO153" s="202" t="str">
        <f t="shared" si="384"/>
        <v/>
      </c>
      <c r="FP153" s="204" t="str">
        <f t="shared" si="517"/>
        <v/>
      </c>
      <c r="FQ153" s="188" t="str">
        <f t="shared" si="385"/>
        <v/>
      </c>
      <c r="FR153" s="188" t="str">
        <f t="shared" si="386"/>
        <v/>
      </c>
      <c r="FS153" s="188" t="str">
        <f t="shared" si="387"/>
        <v/>
      </c>
      <c r="FT153" s="188" t="str">
        <f t="shared" si="388"/>
        <v/>
      </c>
      <c r="FU153" s="188" t="str">
        <f t="shared" si="518"/>
        <v/>
      </c>
      <c r="FV153" s="205" t="str">
        <f t="shared" si="389"/>
        <v/>
      </c>
      <c r="FW153" s="204" t="str">
        <f t="shared" si="519"/>
        <v/>
      </c>
      <c r="FX153" s="188" t="str">
        <f t="shared" si="390"/>
        <v/>
      </c>
      <c r="FY153" s="188" t="str">
        <f t="shared" si="391"/>
        <v/>
      </c>
      <c r="FZ153" s="188" t="str">
        <f t="shared" si="392"/>
        <v/>
      </c>
      <c r="GA153" s="188" t="str">
        <f t="shared" si="393"/>
        <v/>
      </c>
      <c r="GB153" s="188" t="str">
        <f t="shared" si="520"/>
        <v/>
      </c>
      <c r="GC153" s="205" t="str">
        <f t="shared" si="394"/>
        <v/>
      </c>
      <c r="GD153" s="204" t="str">
        <f t="shared" si="521"/>
        <v/>
      </c>
      <c r="GE153" s="188" t="str">
        <f t="shared" si="395"/>
        <v/>
      </c>
      <c r="GF153" s="188" t="str">
        <f t="shared" si="396"/>
        <v/>
      </c>
      <c r="GG153" s="188" t="str">
        <f t="shared" si="397"/>
        <v/>
      </c>
      <c r="GH153" s="188" t="str">
        <f t="shared" si="398"/>
        <v/>
      </c>
      <c r="GI153" s="188" t="str">
        <f t="shared" si="522"/>
        <v/>
      </c>
      <c r="GJ153" s="205" t="str">
        <f t="shared" si="399"/>
        <v/>
      </c>
      <c r="GK153" s="204" t="str">
        <f t="shared" si="523"/>
        <v/>
      </c>
      <c r="GL153" s="188" t="str">
        <f t="shared" si="400"/>
        <v/>
      </c>
      <c r="GM153" s="188" t="str">
        <f t="shared" si="401"/>
        <v/>
      </c>
      <c r="GN153" s="188" t="str">
        <f t="shared" si="402"/>
        <v/>
      </c>
      <c r="GO153" s="188" t="str">
        <f t="shared" si="403"/>
        <v/>
      </c>
      <c r="GP153" s="188" t="str">
        <f t="shared" si="524"/>
        <v/>
      </c>
      <c r="GQ153" s="205" t="str">
        <f t="shared" si="404"/>
        <v/>
      </c>
      <c r="GR153" s="188" t="str">
        <f t="shared" si="525"/>
        <v/>
      </c>
      <c r="GS153" s="188" t="str">
        <f t="shared" si="526"/>
        <v/>
      </c>
      <c r="GT153" s="206" t="str">
        <f t="shared" si="527"/>
        <v xml:space="preserve">    </v>
      </c>
      <c r="GU153" s="206" t="str">
        <f t="shared" si="528"/>
        <v xml:space="preserve">    </v>
      </c>
      <c r="GV153" s="206" t="str">
        <f t="shared" si="529"/>
        <v xml:space="preserve">    </v>
      </c>
      <c r="GW153" s="206" t="str">
        <f t="shared" si="530"/>
        <v xml:space="preserve">       </v>
      </c>
      <c r="GX153" s="598" t="str">
        <f t="shared" si="531"/>
        <v xml:space="preserve">     </v>
      </c>
      <c r="GY153" s="207" t="str">
        <f t="shared" si="405"/>
        <v/>
      </c>
      <c r="GZ153" s="606" t="str">
        <f>IF(AND(Q153="",AE153="",AZ153="",BW153="",CT153=""),"",IF(AND('Master Sheet'!$D$19="YES",'Marks Entry'!$BA$1=1),SUM(Q153,AE153,AZ153,BW153,DT153),SUM(Q153,AE153,AZ153,BW153,CT153)))</f>
        <v/>
      </c>
      <c r="HA153" s="208" t="str">
        <f>IF(GZ153="","",IF(AND('Master Sheet'!$D$19="YES",'Marks Entry'!$BA$1=1),GZ153/((900)-DC153)*100,GZ153/((1000)-DC153)*100))</f>
        <v/>
      </c>
      <c r="HB153" s="611" t="str">
        <f t="shared" si="532"/>
        <v/>
      </c>
      <c r="HC153" s="609" t="str">
        <f t="shared" si="533"/>
        <v/>
      </c>
      <c r="HD153" s="610" t="str">
        <f t="shared" si="534"/>
        <v/>
      </c>
      <c r="HE153" s="209" t="str">
        <f>IFERROR(IF(OR(GY153="SUPPLEMENTARY",GY153="RE-EXAM"),'Supp. Result Entry'!AS152,""),"")</f>
        <v/>
      </c>
      <c r="HF153" s="613" t="str">
        <f t="shared" si="535"/>
        <v/>
      </c>
      <c r="HG153" s="598" t="str">
        <f t="shared" si="536"/>
        <v/>
      </c>
      <c r="HH153" s="598" t="str">
        <f>IF(AND(HE153="",HF153="",HG153=""),"",IF(OR(GY153="SUPPLEMENTARY",GY153="RE-EXAM"),'Supp. Result Entry'!AS152,GY153))</f>
        <v/>
      </c>
      <c r="HI153" s="179"/>
      <c r="HY153" s="211" t="str">
        <f>IF('Supp. Result Entry'!U152="","",'Supp. Result Entry'!$U$6)</f>
        <v/>
      </c>
      <c r="HZ153" s="212" t="str">
        <f>IF('Supp. Result Entry'!X152="","",'Supp. Result Entry'!$X$6)</f>
        <v/>
      </c>
      <c r="IA153" s="212" t="str">
        <f>IF('Supp. Result Entry'!AA152="","",'Supp. Result Entry'!$AA$6)</f>
        <v/>
      </c>
      <c r="IB153" s="212" t="str">
        <f>IF('Supp. Result Entry'!AD152="","",'Supp. Result Entry'!$AD$6)</f>
        <v/>
      </c>
      <c r="IC153" s="212" t="str">
        <f>IF('Supp. Result Entry'!AG152="","",'Supp. Result Entry'!$AG$6)</f>
        <v/>
      </c>
      <c r="ID153" s="212" t="str">
        <f>IF('Supp. Result Entry'!AJ152="","",'Supp. Result Entry'!$AJ$6)</f>
        <v/>
      </c>
      <c r="IE153" s="212" t="str">
        <f>IF('Supp. Result Entry'!V152="","",'Supp. Result Entry'!V152)</f>
        <v/>
      </c>
      <c r="IF153" s="212" t="str">
        <f>IF('Supp. Result Entry'!Y152="","",'Supp. Result Entry'!Y152)</f>
        <v/>
      </c>
      <c r="IG153" s="212" t="str">
        <f>IF('Supp. Result Entry'!AB152="","",'Supp. Result Entry'!AB152)</f>
        <v/>
      </c>
      <c r="IH153" s="212" t="str">
        <f>IF('Supp. Result Entry'!AE152="","",'Supp. Result Entry'!AE152)</f>
        <v/>
      </c>
      <c r="II153" s="212" t="str">
        <f>IF('Supp. Result Entry'!AH152="","",'Supp. Result Entry'!AH152)</f>
        <v/>
      </c>
      <c r="IJ153" s="212" t="str">
        <f>IF('Supp. Result Entry'!AK152="","",'Supp. Result Entry'!AK152)</f>
        <v/>
      </c>
      <c r="IK153" s="212" t="str">
        <f>IF('Supp. Result Entry'!W152="","",'Supp. Result Entry'!W152)</f>
        <v/>
      </c>
      <c r="IL153" s="212" t="str">
        <f>IF('Supp. Result Entry'!Z152="","",'Supp. Result Entry'!Z152)</f>
        <v/>
      </c>
      <c r="IM153" s="212" t="str">
        <f>IF('Supp. Result Entry'!AC152="","",'Supp. Result Entry'!AC152)</f>
        <v/>
      </c>
      <c r="IN153" s="212" t="str">
        <f>IF('Supp. Result Entry'!AF152="","",'Supp. Result Entry'!AF152)</f>
        <v/>
      </c>
      <c r="IO153" s="212" t="str">
        <f>IF('Supp. Result Entry'!AI152="","",'Supp. Result Entry'!AI152)</f>
        <v/>
      </c>
      <c r="IP153" s="212" t="str">
        <f>IF('Supp. Result Entry'!AL152="","",'Supp. Result Entry'!AL152)</f>
        <v/>
      </c>
      <c r="IQ153" s="212">
        <f>COUNTIF('Supp. Result Entry'!K152:Q152,"S")</f>
        <v>0</v>
      </c>
      <c r="IR153" s="212">
        <f t="shared" si="537"/>
        <v>0</v>
      </c>
      <c r="IS153" s="212">
        <f t="shared" si="538"/>
        <v>0</v>
      </c>
      <c r="IT153" s="212" t="str">
        <f t="shared" si="406"/>
        <v/>
      </c>
      <c r="IU153" s="212" t="str">
        <f t="shared" si="407"/>
        <v/>
      </c>
      <c r="IV153" s="212" t="str">
        <f t="shared" si="408"/>
        <v/>
      </c>
      <c r="IW153" s="212" t="str">
        <f t="shared" si="409"/>
        <v/>
      </c>
      <c r="IX153" s="212" t="str">
        <f t="shared" si="410"/>
        <v/>
      </c>
      <c r="IY153" s="212" t="str">
        <f t="shared" si="539"/>
        <v/>
      </c>
      <c r="IZ153" s="212" t="str">
        <f t="shared" si="540"/>
        <v/>
      </c>
      <c r="JA153" s="212" t="str">
        <f t="shared" si="411"/>
        <v/>
      </c>
      <c r="JB153" s="210" t="str">
        <f t="shared" si="541"/>
        <v/>
      </c>
    </row>
    <row r="154" spans="1:262" s="210" customFormat="1" ht="21" customHeight="1">
      <c r="A154" s="183">
        <v>147</v>
      </c>
      <c r="B154" s="184" t="str">
        <f>IF('Marks Entry'!B154="","",'Marks Entry'!B154)</f>
        <v/>
      </c>
      <c r="C154" s="185" t="str">
        <f>IF('Marks Entry'!D154="","",'Marks Entry'!D154)</f>
        <v/>
      </c>
      <c r="D154" s="186" t="str">
        <f>IF('Marks Entry'!E154="","",'Marks Entry'!E154)</f>
        <v/>
      </c>
      <c r="E154" s="187" t="str">
        <f>IF('Marks Entry'!F154="","",'Marks Entry'!F154)</f>
        <v/>
      </c>
      <c r="F154" s="187" t="str">
        <f>IF('Marks Entry'!G154="","",'Marks Entry'!G154)</f>
        <v/>
      </c>
      <c r="G154" s="187" t="str">
        <f>IF('Marks Entry'!H154="","",'Marks Entry'!H154)</f>
        <v/>
      </c>
      <c r="H154" s="188" t="str">
        <f>IF('Marks Entry'!I154="","",'Marks Entry'!I154)</f>
        <v/>
      </c>
      <c r="I154" s="189" t="str">
        <f>IF('Marks Entry'!J154="","",'Marks Entry'!J154)</f>
        <v/>
      </c>
      <c r="J154" s="545" t="str">
        <f>IF('Marks Entry'!K154="","",'Marks Entry'!K154)</f>
        <v/>
      </c>
      <c r="K154" s="545" t="str">
        <f>IF('Marks Entry'!L154="","",'Marks Entry'!L154)</f>
        <v/>
      </c>
      <c r="L154" s="545" t="str">
        <f>IF('Marks Entry'!M154="","",'Marks Entry'!M154)</f>
        <v/>
      </c>
      <c r="M154" s="546" t="str">
        <f t="shared" si="412"/>
        <v/>
      </c>
      <c r="N154" s="545" t="str">
        <f>IF('Marks Entry'!N154="","",'Marks Entry'!N154)</f>
        <v/>
      </c>
      <c r="O154" s="546" t="str">
        <f t="shared" si="413"/>
        <v/>
      </c>
      <c r="P154" s="545" t="str">
        <f>IF('Marks Entry'!O154="","",'Marks Entry'!O154)</f>
        <v/>
      </c>
      <c r="Q154" s="547" t="str">
        <f t="shared" si="414"/>
        <v/>
      </c>
      <c r="R154" s="152">
        <f t="shared" si="415"/>
        <v>0</v>
      </c>
      <c r="S154" s="152">
        <f t="shared" si="416"/>
        <v>0</v>
      </c>
      <c r="T154" s="153" t="str">
        <f t="shared" si="417"/>
        <v/>
      </c>
      <c r="U154" s="152" t="str">
        <f t="shared" si="418"/>
        <v/>
      </c>
      <c r="V154" s="152" t="str">
        <f t="shared" si="419"/>
        <v/>
      </c>
      <c r="W154" s="152" t="str">
        <f t="shared" si="420"/>
        <v/>
      </c>
      <c r="X154" s="545" t="str">
        <f>IF('Marks Entry'!P154="","",'Marks Entry'!P154)</f>
        <v/>
      </c>
      <c r="Y154" s="545" t="str">
        <f>IF('Marks Entry'!Q154="","",'Marks Entry'!Q154)</f>
        <v/>
      </c>
      <c r="Z154" s="545" t="str">
        <f>IF('Marks Entry'!R154="","",'Marks Entry'!R154)</f>
        <v/>
      </c>
      <c r="AA154" s="546" t="str">
        <f t="shared" si="421"/>
        <v/>
      </c>
      <c r="AB154" s="545" t="str">
        <f>IF('Marks Entry'!S154="","",'Marks Entry'!S154)</f>
        <v/>
      </c>
      <c r="AC154" s="546" t="str">
        <f t="shared" si="422"/>
        <v/>
      </c>
      <c r="AD154" s="545" t="str">
        <f>IF('Marks Entry'!T154="","",'Marks Entry'!T154)</f>
        <v/>
      </c>
      <c r="AE154" s="547" t="str">
        <f t="shared" si="423"/>
        <v/>
      </c>
      <c r="AF154" s="152">
        <f t="shared" si="424"/>
        <v>0</v>
      </c>
      <c r="AG154" s="152">
        <f t="shared" si="425"/>
        <v>0</v>
      </c>
      <c r="AH154" s="153" t="str">
        <f t="shared" si="426"/>
        <v/>
      </c>
      <c r="AI154" s="152" t="str">
        <f t="shared" si="427"/>
        <v/>
      </c>
      <c r="AJ154" s="152" t="str">
        <f t="shared" si="428"/>
        <v/>
      </c>
      <c r="AK154" s="152" t="str">
        <f t="shared" si="429"/>
        <v/>
      </c>
      <c r="AL154" s="573" t="str">
        <f>IF('Marks Entry'!U154="","",'Marks Entry'!U154)</f>
        <v/>
      </c>
      <c r="AM154" s="573" t="str">
        <f>IF('Marks Entry'!V154="","",'Marks Entry'!V154)</f>
        <v/>
      </c>
      <c r="AN154" s="573" t="str">
        <f>IF('Marks Entry'!W154="","",'Marks Entry'!W154)</f>
        <v/>
      </c>
      <c r="AO154" s="573" t="str">
        <f>IF('Marks Entry'!X154="","",'Marks Entry'!X154)</f>
        <v/>
      </c>
      <c r="AP154" s="572" t="str">
        <f t="shared" si="430"/>
        <v/>
      </c>
      <c r="AQ154" s="573" t="str">
        <f>IF('Marks Entry'!Y154="","",'Marks Entry'!Y154)</f>
        <v/>
      </c>
      <c r="AR154" s="573" t="str">
        <f>IF('Marks Entry'!Z154="","",'Marks Entry'!Z154)</f>
        <v/>
      </c>
      <c r="AS154" s="572" t="str">
        <f t="shared" si="431"/>
        <v/>
      </c>
      <c r="AT154" s="572" t="str">
        <f t="shared" si="432"/>
        <v/>
      </c>
      <c r="AU154" s="573" t="str">
        <f>IF('Marks Entry'!AA154="","",'Marks Entry'!AA154)</f>
        <v/>
      </c>
      <c r="AV154" s="573" t="str">
        <f>IF('Marks Entry'!AB154="","",'Marks Entry'!AB154)</f>
        <v/>
      </c>
      <c r="AW154" s="572" t="str">
        <f t="shared" si="433"/>
        <v/>
      </c>
      <c r="AX154" s="156" t="str">
        <f t="shared" si="434"/>
        <v/>
      </c>
      <c r="AY154" s="156" t="str">
        <f t="shared" si="435"/>
        <v/>
      </c>
      <c r="AZ154" s="191" t="str">
        <f t="shared" si="436"/>
        <v/>
      </c>
      <c r="BA154" s="152">
        <f t="shared" si="437"/>
        <v>0</v>
      </c>
      <c r="BB154" s="153">
        <f t="shared" si="438"/>
        <v>0</v>
      </c>
      <c r="BC154" s="153" t="str">
        <f t="shared" si="439"/>
        <v/>
      </c>
      <c r="BD154" s="153" t="str">
        <f t="shared" si="440"/>
        <v/>
      </c>
      <c r="BE154" s="153" t="str">
        <f t="shared" si="441"/>
        <v/>
      </c>
      <c r="BF154" s="152" t="str">
        <f t="shared" si="442"/>
        <v/>
      </c>
      <c r="BG154" s="153" t="str">
        <f t="shared" si="443"/>
        <v/>
      </c>
      <c r="BH154" s="152" t="str">
        <f t="shared" si="444"/>
        <v/>
      </c>
      <c r="BI154" s="580" t="str">
        <f>IF('Marks Entry'!AC154="","",'Marks Entry'!AC154)</f>
        <v/>
      </c>
      <c r="BJ154" s="580" t="str">
        <f>IF('Marks Entry'!AD154="","",'Marks Entry'!AD154)</f>
        <v/>
      </c>
      <c r="BK154" s="580" t="str">
        <f>IF('Marks Entry'!AE154="","",'Marks Entry'!AE154)</f>
        <v/>
      </c>
      <c r="BL154" s="580" t="str">
        <f>IF('Marks Entry'!AF154="","",'Marks Entry'!AF154)</f>
        <v/>
      </c>
      <c r="BM154" s="581" t="str">
        <f t="shared" si="445"/>
        <v/>
      </c>
      <c r="BN154" s="580" t="str">
        <f>IF('Marks Entry'!AG154="","",'Marks Entry'!AG154)</f>
        <v/>
      </c>
      <c r="BO154" s="580" t="str">
        <f>IF('Marks Entry'!AH154="","",'Marks Entry'!AH154)</f>
        <v/>
      </c>
      <c r="BP154" s="581" t="str">
        <f t="shared" si="446"/>
        <v/>
      </c>
      <c r="BQ154" s="581" t="str">
        <f t="shared" si="447"/>
        <v/>
      </c>
      <c r="BR154" s="580" t="str">
        <f>IF('Marks Entry'!AI154="","",'Marks Entry'!AI154)</f>
        <v/>
      </c>
      <c r="BS154" s="580" t="str">
        <f>IF('Marks Entry'!AJ154="","",'Marks Entry'!AJ154)</f>
        <v/>
      </c>
      <c r="BT154" s="581" t="str">
        <f t="shared" si="448"/>
        <v/>
      </c>
      <c r="BU154" s="156" t="str">
        <f t="shared" si="449"/>
        <v/>
      </c>
      <c r="BV154" s="156" t="str">
        <f t="shared" si="450"/>
        <v/>
      </c>
      <c r="BW154" s="191" t="str">
        <f t="shared" si="451"/>
        <v/>
      </c>
      <c r="BX154" s="152">
        <f t="shared" si="452"/>
        <v>0</v>
      </c>
      <c r="BY154" s="153">
        <f t="shared" si="453"/>
        <v>0</v>
      </c>
      <c r="BZ154" s="153" t="str">
        <f t="shared" si="454"/>
        <v/>
      </c>
      <c r="CA154" s="153" t="str">
        <f t="shared" si="455"/>
        <v/>
      </c>
      <c r="CB154" s="153" t="str">
        <f t="shared" si="456"/>
        <v/>
      </c>
      <c r="CC154" s="152" t="str">
        <f t="shared" si="457"/>
        <v/>
      </c>
      <c r="CD154" s="153" t="str">
        <f t="shared" si="458"/>
        <v/>
      </c>
      <c r="CE154" s="152" t="str">
        <f t="shared" si="459"/>
        <v/>
      </c>
      <c r="CF154" s="580" t="str">
        <f>IF('Marks Entry'!AK154="","",'Marks Entry'!AK154)</f>
        <v/>
      </c>
      <c r="CG154" s="580" t="str">
        <f>IF('Marks Entry'!AL154="","",'Marks Entry'!AL154)</f>
        <v/>
      </c>
      <c r="CH154" s="580" t="str">
        <f>IF('Marks Entry'!AM154="","",'Marks Entry'!AM154)</f>
        <v/>
      </c>
      <c r="CI154" s="580" t="str">
        <f>IF('Marks Entry'!AN154="","",'Marks Entry'!AN154)</f>
        <v/>
      </c>
      <c r="CJ154" s="581" t="str">
        <f t="shared" si="460"/>
        <v/>
      </c>
      <c r="CK154" s="580" t="str">
        <f>IF('Marks Entry'!AO154="","",'Marks Entry'!AO154)</f>
        <v/>
      </c>
      <c r="CL154" s="580" t="str">
        <f>IF('Marks Entry'!AP154="","",'Marks Entry'!AP154)</f>
        <v/>
      </c>
      <c r="CM154" s="581" t="str">
        <f t="shared" si="461"/>
        <v/>
      </c>
      <c r="CN154" s="581" t="str">
        <f t="shared" si="462"/>
        <v/>
      </c>
      <c r="CO154" s="580" t="str">
        <f>IF('Marks Entry'!AQ154="","",'Marks Entry'!AQ154)</f>
        <v/>
      </c>
      <c r="CP154" s="580" t="str">
        <f>IF('Marks Entry'!AR154="","",'Marks Entry'!AR154)</f>
        <v/>
      </c>
      <c r="CQ154" s="581" t="str">
        <f t="shared" si="463"/>
        <v/>
      </c>
      <c r="CR154" s="156" t="str">
        <f t="shared" si="464"/>
        <v/>
      </c>
      <c r="CS154" s="156" t="str">
        <f t="shared" si="465"/>
        <v/>
      </c>
      <c r="CT154" s="191" t="str">
        <f t="shared" si="466"/>
        <v/>
      </c>
      <c r="CU154" s="152">
        <f t="shared" si="467"/>
        <v>0</v>
      </c>
      <c r="CV154" s="153">
        <f t="shared" si="468"/>
        <v>0</v>
      </c>
      <c r="CW154" s="153" t="str">
        <f t="shared" si="469"/>
        <v/>
      </c>
      <c r="CX154" s="153" t="str">
        <f t="shared" si="470"/>
        <v/>
      </c>
      <c r="CY154" s="153" t="str">
        <f t="shared" si="471"/>
        <v/>
      </c>
      <c r="CZ154" s="152" t="str">
        <f t="shared" si="472"/>
        <v/>
      </c>
      <c r="DA154" s="153" t="str">
        <f t="shared" si="473"/>
        <v/>
      </c>
      <c r="DB154" s="152" t="str">
        <f t="shared" si="474"/>
        <v/>
      </c>
      <c r="DC154" s="153">
        <f t="shared" si="475"/>
        <v>0</v>
      </c>
      <c r="DD154" s="851" t="str">
        <f>IF('Marks Entry'!AS154="","",IF(OR('Master Sheet'!$D$19="YES",'Marks Entry'!$BA$1=1),'Marks Entry'!AS154,""))</f>
        <v/>
      </c>
      <c r="DE154" s="851" t="str">
        <f>IF('Marks Entry'!AT154="","",IF(OR('Master Sheet'!$D$19="YES",'Marks Entry'!$BA$1=1),'Marks Entry'!AT154,""))</f>
        <v/>
      </c>
      <c r="DF154" s="851" t="str">
        <f>IF('Marks Entry'!AU154="","",IF(OR('Master Sheet'!$D$19="YES",'Marks Entry'!$BA$1=1),'Marks Entry'!AU154,""))</f>
        <v/>
      </c>
      <c r="DG154" s="851" t="str">
        <f>IF('Marks Entry'!AV154="","",IF(OR('Master Sheet'!$D$19="YES",'Marks Entry'!$BA$1=1),'Marks Entry'!AV154,""))</f>
        <v/>
      </c>
      <c r="DH154" s="852" t="str">
        <f t="shared" si="476"/>
        <v/>
      </c>
      <c r="DI154" s="851" t="str">
        <f>IF('Marks Entry'!AW154="","",IF(OR('Master Sheet'!$D$19="YES",'Marks Entry'!$BA$1=1),'Marks Entry'!AW154,""))</f>
        <v/>
      </c>
      <c r="DJ154" s="851" t="str">
        <f>IF('Marks Entry'!AX154="","",IF(OR('Master Sheet'!$D$19="YES",'Marks Entry'!$BA$1=1),'Marks Entry'!AX154,""))</f>
        <v/>
      </c>
      <c r="DK154" s="852" t="str">
        <f t="shared" si="477"/>
        <v/>
      </c>
      <c r="DL154" s="852" t="str">
        <f t="shared" si="478"/>
        <v/>
      </c>
      <c r="DM154" s="851" t="str">
        <f>IF('Marks Entry'!AY154="","",IF(OR('Master Sheet'!$D$19="YES",'Marks Entry'!$BA$1=1),'Marks Entry'!AY154,""))</f>
        <v/>
      </c>
      <c r="DN154" s="851" t="str">
        <f>IF('Marks Entry'!AZ154="","",IF(OR('Master Sheet'!$D$19="YES",'Marks Entry'!$BA$1=1),'Marks Entry'!AZ154,""))</f>
        <v/>
      </c>
      <c r="DO154" s="851" t="str">
        <f>IF('Marks Entry'!BA154="","",IF(OR('Master Sheet'!$D$19="YES",'Marks Entry'!$BA$1=1),'Marks Entry'!BA154,""))</f>
        <v/>
      </c>
      <c r="DP154" s="852" t="str">
        <f t="shared" si="479"/>
        <v/>
      </c>
      <c r="DQ154" s="156" t="str">
        <f t="shared" si="480"/>
        <v/>
      </c>
      <c r="DR154" s="156" t="str">
        <f t="shared" si="481"/>
        <v/>
      </c>
      <c r="DS154" s="156" t="str">
        <f t="shared" si="482"/>
        <v/>
      </c>
      <c r="DT154" s="191" t="str">
        <f t="shared" si="483"/>
        <v/>
      </c>
      <c r="DU154" s="152">
        <f t="shared" si="484"/>
        <v>0</v>
      </c>
      <c r="DV154" s="153">
        <f t="shared" si="485"/>
        <v>0</v>
      </c>
      <c r="DW154" s="153" t="str">
        <f t="shared" si="486"/>
        <v/>
      </c>
      <c r="DX154" s="153" t="str">
        <f>IF(OR($B154="NSO",$B154=0,DS154=""),"",IF(AND(DJ154="",DO154=""),"",IF('Master Sheet'!$D$19="YES",$DO$6-COUNTIF(DO154,"ML")*DO$6,DS$6-(COUNTIF(DJ154,"ML")*DJ$6)-(COUNTIF(DO154,"ML")*DO$6))))</f>
        <v/>
      </c>
      <c r="DY154" s="153" t="str">
        <f>IF(OR($B154="NSO",$B154=0),"",IF(AND(DH154="",DI154="",DM154=""),"",IF(AND('Master Sheet'!$D$19="YES",'Marks Entry'!$BA$1=1),100,IF(AND(DJ154="",DO154=""),SUM(($DQ$7+$DR$7)-(DU154+DV154)),SUM(($DQ$6+$DR$6)-(DU154+DV154))))))</f>
        <v/>
      </c>
      <c r="DZ154" s="152" t="str">
        <f t="shared" si="487"/>
        <v/>
      </c>
      <c r="EA154" s="153" t="str">
        <f t="shared" si="488"/>
        <v/>
      </c>
      <c r="EB154" s="152" t="str">
        <f t="shared" si="489"/>
        <v/>
      </c>
      <c r="EC154" s="584" t="str">
        <f>IF('Marks Entry'!BB154="","",'Marks Entry'!BB154)</f>
        <v/>
      </c>
      <c r="ED154" s="584" t="str">
        <f>IF('Marks Entry'!BC154="","",'Marks Entry'!BC154)</f>
        <v/>
      </c>
      <c r="EE154" s="584" t="str">
        <f>IF('Marks Entry'!BD154="","",'Marks Entry'!BD154)</f>
        <v/>
      </c>
      <c r="EF154" s="590" t="str">
        <f t="shared" si="490"/>
        <v/>
      </c>
      <c r="EG154" s="595">
        <f t="shared" si="491"/>
        <v>0</v>
      </c>
      <c r="EH154" s="595">
        <f t="shared" si="492"/>
        <v>0</v>
      </c>
      <c r="EI154" s="192" t="str">
        <f t="shared" si="493"/>
        <v/>
      </c>
      <c r="EJ154" s="595" t="str">
        <f t="shared" si="494"/>
        <v/>
      </c>
      <c r="EK154" s="595" t="str">
        <f t="shared" si="495"/>
        <v/>
      </c>
      <c r="EL154" s="193" t="str">
        <f t="shared" si="496"/>
        <v/>
      </c>
      <c r="EM154" s="193" t="str">
        <f t="shared" si="497"/>
        <v/>
      </c>
      <c r="EN154" s="193" t="str">
        <f t="shared" si="498"/>
        <v/>
      </c>
      <c r="EO154" s="193" t="str">
        <f t="shared" si="499"/>
        <v/>
      </c>
      <c r="EP154" s="193" t="str">
        <f t="shared" si="500"/>
        <v/>
      </c>
      <c r="EQ154" s="193" t="str">
        <f t="shared" si="501"/>
        <v/>
      </c>
      <c r="ER154" s="194">
        <f t="shared" si="502"/>
        <v>0</v>
      </c>
      <c r="ES154" s="194">
        <f t="shared" si="503"/>
        <v>0</v>
      </c>
      <c r="ET154" s="194">
        <f t="shared" si="504"/>
        <v>0</v>
      </c>
      <c r="EU154" s="194">
        <f t="shared" si="505"/>
        <v>0</v>
      </c>
      <c r="EV154" s="194">
        <f t="shared" si="506"/>
        <v>0</v>
      </c>
      <c r="EW154" s="194" t="str">
        <f t="shared" si="507"/>
        <v/>
      </c>
      <c r="EX154" s="195" t="str">
        <f t="shared" si="508"/>
        <v/>
      </c>
      <c r="EY154" s="196" t="str">
        <f>IF('Marks Entry'!BE154="","",'Marks Entry'!BE154)</f>
        <v/>
      </c>
      <c r="EZ154" s="196" t="str">
        <f>IF('Marks Entry'!BF154="","",'Marks Entry'!BF154)</f>
        <v/>
      </c>
      <c r="FA154" s="196" t="str">
        <f>IF('Marks Entry'!BG154="","",'Marks Entry'!BG154)</f>
        <v/>
      </c>
      <c r="FB154" s="596" t="str">
        <f t="shared" si="509"/>
        <v/>
      </c>
      <c r="FC154" s="196" t="str">
        <f>IF('Marks Entry'!BH154="","",'Marks Entry'!BH154)</f>
        <v/>
      </c>
      <c r="FD154" s="196" t="str">
        <f>IF('Marks Entry'!BI154="","",'Marks Entry'!BI154)</f>
        <v/>
      </c>
      <c r="FE154" s="197" t="str">
        <f t="shared" si="510"/>
        <v/>
      </c>
      <c r="FF154" s="198" t="str">
        <f t="shared" si="511"/>
        <v/>
      </c>
      <c r="FG154" s="199" t="str">
        <f>IF(AND(E154=""),"",IF('Student DATA Entry'!L150="","",'Student DATA Entry'!L150))</f>
        <v/>
      </c>
      <c r="FH154" s="200" t="str">
        <f>IF(AND(E154=""),"",IF('Student DATA Entry'!M150="","",'Student DATA Entry'!M150))</f>
        <v/>
      </c>
      <c r="FI154" s="201" t="str">
        <f t="shared" si="512"/>
        <v/>
      </c>
      <c r="FJ154" s="188" t="str">
        <f t="shared" si="513"/>
        <v/>
      </c>
      <c r="FK154" s="188" t="str">
        <f t="shared" si="514"/>
        <v/>
      </c>
      <c r="FL154" s="202" t="str">
        <f t="shared" si="383"/>
        <v/>
      </c>
      <c r="FM154" s="188" t="str">
        <f t="shared" si="515"/>
        <v/>
      </c>
      <c r="FN154" s="203" t="str">
        <f t="shared" si="516"/>
        <v/>
      </c>
      <c r="FO154" s="202" t="str">
        <f t="shared" si="384"/>
        <v/>
      </c>
      <c r="FP154" s="204" t="str">
        <f t="shared" si="517"/>
        <v/>
      </c>
      <c r="FQ154" s="188" t="str">
        <f t="shared" si="385"/>
        <v/>
      </c>
      <c r="FR154" s="188" t="str">
        <f t="shared" si="386"/>
        <v/>
      </c>
      <c r="FS154" s="188" t="str">
        <f t="shared" si="387"/>
        <v/>
      </c>
      <c r="FT154" s="188" t="str">
        <f t="shared" si="388"/>
        <v/>
      </c>
      <c r="FU154" s="188" t="str">
        <f t="shared" si="518"/>
        <v/>
      </c>
      <c r="FV154" s="205" t="str">
        <f t="shared" si="389"/>
        <v/>
      </c>
      <c r="FW154" s="204" t="str">
        <f t="shared" si="519"/>
        <v/>
      </c>
      <c r="FX154" s="188" t="str">
        <f t="shared" si="390"/>
        <v/>
      </c>
      <c r="FY154" s="188" t="str">
        <f t="shared" si="391"/>
        <v/>
      </c>
      <c r="FZ154" s="188" t="str">
        <f t="shared" si="392"/>
        <v/>
      </c>
      <c r="GA154" s="188" t="str">
        <f t="shared" si="393"/>
        <v/>
      </c>
      <c r="GB154" s="188" t="str">
        <f t="shared" si="520"/>
        <v/>
      </c>
      <c r="GC154" s="205" t="str">
        <f t="shared" si="394"/>
        <v/>
      </c>
      <c r="GD154" s="204" t="str">
        <f t="shared" si="521"/>
        <v/>
      </c>
      <c r="GE154" s="188" t="str">
        <f t="shared" si="395"/>
        <v/>
      </c>
      <c r="GF154" s="188" t="str">
        <f t="shared" si="396"/>
        <v/>
      </c>
      <c r="GG154" s="188" t="str">
        <f t="shared" si="397"/>
        <v/>
      </c>
      <c r="GH154" s="188" t="str">
        <f t="shared" si="398"/>
        <v/>
      </c>
      <c r="GI154" s="188" t="str">
        <f t="shared" si="522"/>
        <v/>
      </c>
      <c r="GJ154" s="205" t="str">
        <f t="shared" si="399"/>
        <v/>
      </c>
      <c r="GK154" s="204" t="str">
        <f t="shared" si="523"/>
        <v/>
      </c>
      <c r="GL154" s="188" t="str">
        <f t="shared" si="400"/>
        <v/>
      </c>
      <c r="GM154" s="188" t="str">
        <f t="shared" si="401"/>
        <v/>
      </c>
      <c r="GN154" s="188" t="str">
        <f t="shared" si="402"/>
        <v/>
      </c>
      <c r="GO154" s="188" t="str">
        <f t="shared" si="403"/>
        <v/>
      </c>
      <c r="GP154" s="188" t="str">
        <f t="shared" si="524"/>
        <v/>
      </c>
      <c r="GQ154" s="205" t="str">
        <f t="shared" si="404"/>
        <v/>
      </c>
      <c r="GR154" s="188" t="str">
        <f t="shared" si="525"/>
        <v/>
      </c>
      <c r="GS154" s="188" t="str">
        <f t="shared" si="526"/>
        <v/>
      </c>
      <c r="GT154" s="206" t="str">
        <f t="shared" si="527"/>
        <v xml:space="preserve">    </v>
      </c>
      <c r="GU154" s="206" t="str">
        <f t="shared" si="528"/>
        <v xml:space="preserve">    </v>
      </c>
      <c r="GV154" s="206" t="str">
        <f t="shared" si="529"/>
        <v xml:space="preserve">    </v>
      </c>
      <c r="GW154" s="206" t="str">
        <f t="shared" si="530"/>
        <v xml:space="preserve">       </v>
      </c>
      <c r="GX154" s="598" t="str">
        <f t="shared" si="531"/>
        <v xml:space="preserve">     </v>
      </c>
      <c r="GY154" s="207" t="str">
        <f t="shared" si="405"/>
        <v/>
      </c>
      <c r="GZ154" s="606" t="str">
        <f>IF(AND(Q154="",AE154="",AZ154="",BW154="",CT154=""),"",IF(AND('Master Sheet'!$D$19="YES",'Marks Entry'!$BA$1=1),SUM(Q154,AE154,AZ154,BW154,DT154),SUM(Q154,AE154,AZ154,BW154,CT154)))</f>
        <v/>
      </c>
      <c r="HA154" s="208" t="str">
        <f>IF(GZ154="","",IF(AND('Master Sheet'!$D$19="YES",'Marks Entry'!$BA$1=1),GZ154/((900)-DC154)*100,GZ154/((1000)-DC154)*100))</f>
        <v/>
      </c>
      <c r="HB154" s="611" t="str">
        <f t="shared" si="532"/>
        <v/>
      </c>
      <c r="HC154" s="609" t="str">
        <f t="shared" si="533"/>
        <v/>
      </c>
      <c r="HD154" s="610" t="str">
        <f t="shared" si="534"/>
        <v/>
      </c>
      <c r="HE154" s="209" t="str">
        <f>IFERROR(IF(OR(GY154="SUPPLEMENTARY",GY154="RE-EXAM"),'Supp. Result Entry'!AS153,""),"")</f>
        <v/>
      </c>
      <c r="HF154" s="613" t="str">
        <f t="shared" si="535"/>
        <v/>
      </c>
      <c r="HG154" s="598" t="str">
        <f t="shared" si="536"/>
        <v/>
      </c>
      <c r="HH154" s="598" t="str">
        <f>IF(AND(HE154="",HF154="",HG154=""),"",IF(OR(GY154="SUPPLEMENTARY",GY154="RE-EXAM"),'Supp. Result Entry'!AS153,GY154))</f>
        <v/>
      </c>
      <c r="HI154" s="179"/>
      <c r="HY154" s="211" t="str">
        <f>IF('Supp. Result Entry'!U153="","",'Supp. Result Entry'!$U$6)</f>
        <v/>
      </c>
      <c r="HZ154" s="212" t="str">
        <f>IF('Supp. Result Entry'!X153="","",'Supp. Result Entry'!$X$6)</f>
        <v/>
      </c>
      <c r="IA154" s="212" t="str">
        <f>IF('Supp. Result Entry'!AA153="","",'Supp. Result Entry'!$AA$6)</f>
        <v/>
      </c>
      <c r="IB154" s="212" t="str">
        <f>IF('Supp. Result Entry'!AD153="","",'Supp. Result Entry'!$AD$6)</f>
        <v/>
      </c>
      <c r="IC154" s="212" t="str">
        <f>IF('Supp. Result Entry'!AG153="","",'Supp. Result Entry'!$AG$6)</f>
        <v/>
      </c>
      <c r="ID154" s="212" t="str">
        <f>IF('Supp. Result Entry'!AJ153="","",'Supp. Result Entry'!$AJ$6)</f>
        <v/>
      </c>
      <c r="IE154" s="212" t="str">
        <f>IF('Supp. Result Entry'!V153="","",'Supp. Result Entry'!V153)</f>
        <v/>
      </c>
      <c r="IF154" s="212" t="str">
        <f>IF('Supp. Result Entry'!Y153="","",'Supp. Result Entry'!Y153)</f>
        <v/>
      </c>
      <c r="IG154" s="212" t="str">
        <f>IF('Supp. Result Entry'!AB153="","",'Supp. Result Entry'!AB153)</f>
        <v/>
      </c>
      <c r="IH154" s="212" t="str">
        <f>IF('Supp. Result Entry'!AE153="","",'Supp. Result Entry'!AE153)</f>
        <v/>
      </c>
      <c r="II154" s="212" t="str">
        <f>IF('Supp. Result Entry'!AH153="","",'Supp. Result Entry'!AH153)</f>
        <v/>
      </c>
      <c r="IJ154" s="212" t="str">
        <f>IF('Supp. Result Entry'!AK153="","",'Supp. Result Entry'!AK153)</f>
        <v/>
      </c>
      <c r="IK154" s="212" t="str">
        <f>IF('Supp. Result Entry'!W153="","",'Supp. Result Entry'!W153)</f>
        <v/>
      </c>
      <c r="IL154" s="212" t="str">
        <f>IF('Supp. Result Entry'!Z153="","",'Supp. Result Entry'!Z153)</f>
        <v/>
      </c>
      <c r="IM154" s="212" t="str">
        <f>IF('Supp. Result Entry'!AC153="","",'Supp. Result Entry'!AC153)</f>
        <v/>
      </c>
      <c r="IN154" s="212" t="str">
        <f>IF('Supp. Result Entry'!AF153="","",'Supp. Result Entry'!AF153)</f>
        <v/>
      </c>
      <c r="IO154" s="212" t="str">
        <f>IF('Supp. Result Entry'!AI153="","",'Supp. Result Entry'!AI153)</f>
        <v/>
      </c>
      <c r="IP154" s="212" t="str">
        <f>IF('Supp. Result Entry'!AL153="","",'Supp. Result Entry'!AL153)</f>
        <v/>
      </c>
      <c r="IQ154" s="212">
        <f>COUNTIF('Supp. Result Entry'!K153:Q153,"S")</f>
        <v>0</v>
      </c>
      <c r="IR154" s="212">
        <f t="shared" si="537"/>
        <v>0</v>
      </c>
      <c r="IS154" s="212">
        <f t="shared" si="538"/>
        <v>0</v>
      </c>
      <c r="IT154" s="212" t="str">
        <f t="shared" si="406"/>
        <v/>
      </c>
      <c r="IU154" s="212" t="str">
        <f t="shared" si="407"/>
        <v/>
      </c>
      <c r="IV154" s="212" t="str">
        <f t="shared" si="408"/>
        <v/>
      </c>
      <c r="IW154" s="212" t="str">
        <f t="shared" si="409"/>
        <v/>
      </c>
      <c r="IX154" s="212" t="str">
        <f t="shared" si="410"/>
        <v/>
      </c>
      <c r="IY154" s="212" t="str">
        <f t="shared" si="539"/>
        <v/>
      </c>
      <c r="IZ154" s="212" t="str">
        <f t="shared" si="540"/>
        <v/>
      </c>
      <c r="JA154" s="212" t="str">
        <f t="shared" si="411"/>
        <v/>
      </c>
      <c r="JB154" s="210" t="str">
        <f t="shared" si="541"/>
        <v/>
      </c>
    </row>
    <row r="155" spans="1:262" s="210" customFormat="1" ht="21" customHeight="1">
      <c r="A155" s="183">
        <v>148</v>
      </c>
      <c r="B155" s="184" t="str">
        <f>IF('Marks Entry'!B155="","",'Marks Entry'!B155)</f>
        <v/>
      </c>
      <c r="C155" s="185" t="str">
        <f>IF('Marks Entry'!D155="","",'Marks Entry'!D155)</f>
        <v/>
      </c>
      <c r="D155" s="186" t="str">
        <f>IF('Marks Entry'!E155="","",'Marks Entry'!E155)</f>
        <v/>
      </c>
      <c r="E155" s="187" t="str">
        <f>IF('Marks Entry'!F155="","",'Marks Entry'!F155)</f>
        <v/>
      </c>
      <c r="F155" s="187" t="str">
        <f>IF('Marks Entry'!G155="","",'Marks Entry'!G155)</f>
        <v/>
      </c>
      <c r="G155" s="187" t="str">
        <f>IF('Marks Entry'!H155="","",'Marks Entry'!H155)</f>
        <v/>
      </c>
      <c r="H155" s="188" t="str">
        <f>IF('Marks Entry'!I155="","",'Marks Entry'!I155)</f>
        <v/>
      </c>
      <c r="I155" s="189" t="str">
        <f>IF('Marks Entry'!J155="","",'Marks Entry'!J155)</f>
        <v/>
      </c>
      <c r="J155" s="545" t="str">
        <f>IF('Marks Entry'!K155="","",'Marks Entry'!K155)</f>
        <v/>
      </c>
      <c r="K155" s="545" t="str">
        <f>IF('Marks Entry'!L155="","",'Marks Entry'!L155)</f>
        <v/>
      </c>
      <c r="L155" s="545" t="str">
        <f>IF('Marks Entry'!M155="","",'Marks Entry'!M155)</f>
        <v/>
      </c>
      <c r="M155" s="546" t="str">
        <f t="shared" si="412"/>
        <v/>
      </c>
      <c r="N155" s="545" t="str">
        <f>IF('Marks Entry'!N155="","",'Marks Entry'!N155)</f>
        <v/>
      </c>
      <c r="O155" s="546" t="str">
        <f t="shared" si="413"/>
        <v/>
      </c>
      <c r="P155" s="545" t="str">
        <f>IF('Marks Entry'!O155="","",'Marks Entry'!O155)</f>
        <v/>
      </c>
      <c r="Q155" s="547" t="str">
        <f t="shared" si="414"/>
        <v/>
      </c>
      <c r="R155" s="152">
        <f t="shared" si="415"/>
        <v>0</v>
      </c>
      <c r="S155" s="152">
        <f t="shared" si="416"/>
        <v>0</v>
      </c>
      <c r="T155" s="153" t="str">
        <f t="shared" si="417"/>
        <v/>
      </c>
      <c r="U155" s="152" t="str">
        <f t="shared" si="418"/>
        <v/>
      </c>
      <c r="V155" s="152" t="str">
        <f t="shared" si="419"/>
        <v/>
      </c>
      <c r="W155" s="152" t="str">
        <f t="shared" si="420"/>
        <v/>
      </c>
      <c r="X155" s="545" t="str">
        <f>IF('Marks Entry'!P155="","",'Marks Entry'!P155)</f>
        <v/>
      </c>
      <c r="Y155" s="545" t="str">
        <f>IF('Marks Entry'!Q155="","",'Marks Entry'!Q155)</f>
        <v/>
      </c>
      <c r="Z155" s="545" t="str">
        <f>IF('Marks Entry'!R155="","",'Marks Entry'!R155)</f>
        <v/>
      </c>
      <c r="AA155" s="546" t="str">
        <f t="shared" si="421"/>
        <v/>
      </c>
      <c r="AB155" s="545" t="str">
        <f>IF('Marks Entry'!S155="","",'Marks Entry'!S155)</f>
        <v/>
      </c>
      <c r="AC155" s="546" t="str">
        <f t="shared" si="422"/>
        <v/>
      </c>
      <c r="AD155" s="545" t="str">
        <f>IF('Marks Entry'!T155="","",'Marks Entry'!T155)</f>
        <v/>
      </c>
      <c r="AE155" s="547" t="str">
        <f t="shared" si="423"/>
        <v/>
      </c>
      <c r="AF155" s="152">
        <f t="shared" si="424"/>
        <v>0</v>
      </c>
      <c r="AG155" s="152">
        <f t="shared" si="425"/>
        <v>0</v>
      </c>
      <c r="AH155" s="153" t="str">
        <f t="shared" si="426"/>
        <v/>
      </c>
      <c r="AI155" s="152" t="str">
        <f t="shared" si="427"/>
        <v/>
      </c>
      <c r="AJ155" s="152" t="str">
        <f t="shared" si="428"/>
        <v/>
      </c>
      <c r="AK155" s="152" t="str">
        <f t="shared" si="429"/>
        <v/>
      </c>
      <c r="AL155" s="573" t="str">
        <f>IF('Marks Entry'!U155="","",'Marks Entry'!U155)</f>
        <v/>
      </c>
      <c r="AM155" s="573" t="str">
        <f>IF('Marks Entry'!V155="","",'Marks Entry'!V155)</f>
        <v/>
      </c>
      <c r="AN155" s="573" t="str">
        <f>IF('Marks Entry'!W155="","",'Marks Entry'!W155)</f>
        <v/>
      </c>
      <c r="AO155" s="573" t="str">
        <f>IF('Marks Entry'!X155="","",'Marks Entry'!X155)</f>
        <v/>
      </c>
      <c r="AP155" s="572" t="str">
        <f t="shared" si="430"/>
        <v/>
      </c>
      <c r="AQ155" s="573" t="str">
        <f>IF('Marks Entry'!Y155="","",'Marks Entry'!Y155)</f>
        <v/>
      </c>
      <c r="AR155" s="573" t="str">
        <f>IF('Marks Entry'!Z155="","",'Marks Entry'!Z155)</f>
        <v/>
      </c>
      <c r="AS155" s="572" t="str">
        <f t="shared" si="431"/>
        <v/>
      </c>
      <c r="AT155" s="572" t="str">
        <f t="shared" si="432"/>
        <v/>
      </c>
      <c r="AU155" s="573" t="str">
        <f>IF('Marks Entry'!AA155="","",'Marks Entry'!AA155)</f>
        <v/>
      </c>
      <c r="AV155" s="573" t="str">
        <f>IF('Marks Entry'!AB155="","",'Marks Entry'!AB155)</f>
        <v/>
      </c>
      <c r="AW155" s="572" t="str">
        <f t="shared" si="433"/>
        <v/>
      </c>
      <c r="AX155" s="156" t="str">
        <f t="shared" si="434"/>
        <v/>
      </c>
      <c r="AY155" s="156" t="str">
        <f t="shared" si="435"/>
        <v/>
      </c>
      <c r="AZ155" s="191" t="str">
        <f t="shared" si="436"/>
        <v/>
      </c>
      <c r="BA155" s="152">
        <f t="shared" si="437"/>
        <v>0</v>
      </c>
      <c r="BB155" s="153">
        <f t="shared" si="438"/>
        <v>0</v>
      </c>
      <c r="BC155" s="153" t="str">
        <f t="shared" si="439"/>
        <v/>
      </c>
      <c r="BD155" s="153" t="str">
        <f t="shared" si="440"/>
        <v/>
      </c>
      <c r="BE155" s="153" t="str">
        <f t="shared" si="441"/>
        <v/>
      </c>
      <c r="BF155" s="152" t="str">
        <f t="shared" si="442"/>
        <v/>
      </c>
      <c r="BG155" s="153" t="str">
        <f t="shared" si="443"/>
        <v/>
      </c>
      <c r="BH155" s="152" t="str">
        <f t="shared" si="444"/>
        <v/>
      </c>
      <c r="BI155" s="580" t="str">
        <f>IF('Marks Entry'!AC155="","",'Marks Entry'!AC155)</f>
        <v/>
      </c>
      <c r="BJ155" s="580" t="str">
        <f>IF('Marks Entry'!AD155="","",'Marks Entry'!AD155)</f>
        <v/>
      </c>
      <c r="BK155" s="580" t="str">
        <f>IF('Marks Entry'!AE155="","",'Marks Entry'!AE155)</f>
        <v/>
      </c>
      <c r="BL155" s="580" t="str">
        <f>IF('Marks Entry'!AF155="","",'Marks Entry'!AF155)</f>
        <v/>
      </c>
      <c r="BM155" s="581" t="str">
        <f t="shared" si="445"/>
        <v/>
      </c>
      <c r="BN155" s="580" t="str">
        <f>IF('Marks Entry'!AG155="","",'Marks Entry'!AG155)</f>
        <v/>
      </c>
      <c r="BO155" s="580" t="str">
        <f>IF('Marks Entry'!AH155="","",'Marks Entry'!AH155)</f>
        <v/>
      </c>
      <c r="BP155" s="581" t="str">
        <f t="shared" si="446"/>
        <v/>
      </c>
      <c r="BQ155" s="581" t="str">
        <f t="shared" si="447"/>
        <v/>
      </c>
      <c r="BR155" s="580" t="str">
        <f>IF('Marks Entry'!AI155="","",'Marks Entry'!AI155)</f>
        <v/>
      </c>
      <c r="BS155" s="580" t="str">
        <f>IF('Marks Entry'!AJ155="","",'Marks Entry'!AJ155)</f>
        <v/>
      </c>
      <c r="BT155" s="581" t="str">
        <f t="shared" si="448"/>
        <v/>
      </c>
      <c r="BU155" s="156" t="str">
        <f t="shared" si="449"/>
        <v/>
      </c>
      <c r="BV155" s="156" t="str">
        <f t="shared" si="450"/>
        <v/>
      </c>
      <c r="BW155" s="191" t="str">
        <f t="shared" si="451"/>
        <v/>
      </c>
      <c r="BX155" s="152">
        <f t="shared" si="452"/>
        <v>0</v>
      </c>
      <c r="BY155" s="153">
        <f t="shared" si="453"/>
        <v>0</v>
      </c>
      <c r="BZ155" s="153" t="str">
        <f t="shared" si="454"/>
        <v/>
      </c>
      <c r="CA155" s="153" t="str">
        <f t="shared" si="455"/>
        <v/>
      </c>
      <c r="CB155" s="153" t="str">
        <f t="shared" si="456"/>
        <v/>
      </c>
      <c r="CC155" s="152" t="str">
        <f t="shared" si="457"/>
        <v/>
      </c>
      <c r="CD155" s="153" t="str">
        <f t="shared" si="458"/>
        <v/>
      </c>
      <c r="CE155" s="152" t="str">
        <f t="shared" si="459"/>
        <v/>
      </c>
      <c r="CF155" s="580" t="str">
        <f>IF('Marks Entry'!AK155="","",'Marks Entry'!AK155)</f>
        <v/>
      </c>
      <c r="CG155" s="580" t="str">
        <f>IF('Marks Entry'!AL155="","",'Marks Entry'!AL155)</f>
        <v/>
      </c>
      <c r="CH155" s="580" t="str">
        <f>IF('Marks Entry'!AM155="","",'Marks Entry'!AM155)</f>
        <v/>
      </c>
      <c r="CI155" s="580" t="str">
        <f>IF('Marks Entry'!AN155="","",'Marks Entry'!AN155)</f>
        <v/>
      </c>
      <c r="CJ155" s="581" t="str">
        <f t="shared" si="460"/>
        <v/>
      </c>
      <c r="CK155" s="580" t="str">
        <f>IF('Marks Entry'!AO155="","",'Marks Entry'!AO155)</f>
        <v/>
      </c>
      <c r="CL155" s="580" t="str">
        <f>IF('Marks Entry'!AP155="","",'Marks Entry'!AP155)</f>
        <v/>
      </c>
      <c r="CM155" s="581" t="str">
        <f t="shared" si="461"/>
        <v/>
      </c>
      <c r="CN155" s="581" t="str">
        <f t="shared" si="462"/>
        <v/>
      </c>
      <c r="CO155" s="580" t="str">
        <f>IF('Marks Entry'!AQ155="","",'Marks Entry'!AQ155)</f>
        <v/>
      </c>
      <c r="CP155" s="580" t="str">
        <f>IF('Marks Entry'!AR155="","",'Marks Entry'!AR155)</f>
        <v/>
      </c>
      <c r="CQ155" s="581" t="str">
        <f t="shared" si="463"/>
        <v/>
      </c>
      <c r="CR155" s="156" t="str">
        <f t="shared" si="464"/>
        <v/>
      </c>
      <c r="CS155" s="156" t="str">
        <f t="shared" si="465"/>
        <v/>
      </c>
      <c r="CT155" s="191" t="str">
        <f t="shared" si="466"/>
        <v/>
      </c>
      <c r="CU155" s="152">
        <f t="shared" si="467"/>
        <v>0</v>
      </c>
      <c r="CV155" s="153">
        <f t="shared" si="468"/>
        <v>0</v>
      </c>
      <c r="CW155" s="153" t="str">
        <f t="shared" si="469"/>
        <v/>
      </c>
      <c r="CX155" s="153" t="str">
        <f t="shared" si="470"/>
        <v/>
      </c>
      <c r="CY155" s="153" t="str">
        <f t="shared" si="471"/>
        <v/>
      </c>
      <c r="CZ155" s="152" t="str">
        <f t="shared" si="472"/>
        <v/>
      </c>
      <c r="DA155" s="153" t="str">
        <f t="shared" si="473"/>
        <v/>
      </c>
      <c r="DB155" s="152" t="str">
        <f t="shared" si="474"/>
        <v/>
      </c>
      <c r="DC155" s="153">
        <f t="shared" si="475"/>
        <v>0</v>
      </c>
      <c r="DD155" s="851" t="str">
        <f>IF('Marks Entry'!AS155="","",IF(OR('Master Sheet'!$D$19="YES",'Marks Entry'!$BA$1=1),'Marks Entry'!AS155,""))</f>
        <v/>
      </c>
      <c r="DE155" s="851" t="str">
        <f>IF('Marks Entry'!AT155="","",IF(OR('Master Sheet'!$D$19="YES",'Marks Entry'!$BA$1=1),'Marks Entry'!AT155,""))</f>
        <v/>
      </c>
      <c r="DF155" s="851" t="str">
        <f>IF('Marks Entry'!AU155="","",IF(OR('Master Sheet'!$D$19="YES",'Marks Entry'!$BA$1=1),'Marks Entry'!AU155,""))</f>
        <v/>
      </c>
      <c r="DG155" s="851" t="str">
        <f>IF('Marks Entry'!AV155="","",IF(OR('Master Sheet'!$D$19="YES",'Marks Entry'!$BA$1=1),'Marks Entry'!AV155,""))</f>
        <v/>
      </c>
      <c r="DH155" s="852" t="str">
        <f t="shared" si="476"/>
        <v/>
      </c>
      <c r="DI155" s="851" t="str">
        <f>IF('Marks Entry'!AW155="","",IF(OR('Master Sheet'!$D$19="YES",'Marks Entry'!$BA$1=1),'Marks Entry'!AW155,""))</f>
        <v/>
      </c>
      <c r="DJ155" s="851" t="str">
        <f>IF('Marks Entry'!AX155="","",IF(OR('Master Sheet'!$D$19="YES",'Marks Entry'!$BA$1=1),'Marks Entry'!AX155,""))</f>
        <v/>
      </c>
      <c r="DK155" s="852" t="str">
        <f t="shared" si="477"/>
        <v/>
      </c>
      <c r="DL155" s="852" t="str">
        <f t="shared" si="478"/>
        <v/>
      </c>
      <c r="DM155" s="851" t="str">
        <f>IF('Marks Entry'!AY155="","",IF(OR('Master Sheet'!$D$19="YES",'Marks Entry'!$BA$1=1),'Marks Entry'!AY155,""))</f>
        <v/>
      </c>
      <c r="DN155" s="851" t="str">
        <f>IF('Marks Entry'!AZ155="","",IF(OR('Master Sheet'!$D$19="YES",'Marks Entry'!$BA$1=1),'Marks Entry'!AZ155,""))</f>
        <v/>
      </c>
      <c r="DO155" s="851" t="str">
        <f>IF('Marks Entry'!BA155="","",IF(OR('Master Sheet'!$D$19="YES",'Marks Entry'!$BA$1=1),'Marks Entry'!BA155,""))</f>
        <v/>
      </c>
      <c r="DP155" s="852" t="str">
        <f t="shared" si="479"/>
        <v/>
      </c>
      <c r="DQ155" s="156" t="str">
        <f t="shared" si="480"/>
        <v/>
      </c>
      <c r="DR155" s="156" t="str">
        <f t="shared" si="481"/>
        <v/>
      </c>
      <c r="DS155" s="156" t="str">
        <f t="shared" si="482"/>
        <v/>
      </c>
      <c r="DT155" s="191" t="str">
        <f t="shared" si="483"/>
        <v/>
      </c>
      <c r="DU155" s="152">
        <f t="shared" si="484"/>
        <v>0</v>
      </c>
      <c r="DV155" s="153">
        <f t="shared" si="485"/>
        <v>0</v>
      </c>
      <c r="DW155" s="153" t="str">
        <f t="shared" si="486"/>
        <v/>
      </c>
      <c r="DX155" s="153" t="str">
        <f>IF(OR($B155="NSO",$B155=0,DS155=""),"",IF(AND(DJ155="",DO155=""),"",IF('Master Sheet'!$D$19="YES",$DO$6-COUNTIF(DO155,"ML")*DO$6,DS$6-(COUNTIF(DJ155,"ML")*DJ$6)-(COUNTIF(DO155,"ML")*DO$6))))</f>
        <v/>
      </c>
      <c r="DY155" s="153" t="str">
        <f>IF(OR($B155="NSO",$B155=0),"",IF(AND(DH155="",DI155="",DM155=""),"",IF(AND('Master Sheet'!$D$19="YES",'Marks Entry'!$BA$1=1),100,IF(AND(DJ155="",DO155=""),SUM(($DQ$7+$DR$7)-(DU155+DV155)),SUM(($DQ$6+$DR$6)-(DU155+DV155))))))</f>
        <v/>
      </c>
      <c r="DZ155" s="152" t="str">
        <f t="shared" si="487"/>
        <v/>
      </c>
      <c r="EA155" s="153" t="str">
        <f t="shared" si="488"/>
        <v/>
      </c>
      <c r="EB155" s="152" t="str">
        <f t="shared" si="489"/>
        <v/>
      </c>
      <c r="EC155" s="584" t="str">
        <f>IF('Marks Entry'!BB155="","",'Marks Entry'!BB155)</f>
        <v/>
      </c>
      <c r="ED155" s="584" t="str">
        <f>IF('Marks Entry'!BC155="","",'Marks Entry'!BC155)</f>
        <v/>
      </c>
      <c r="EE155" s="584" t="str">
        <f>IF('Marks Entry'!BD155="","",'Marks Entry'!BD155)</f>
        <v/>
      </c>
      <c r="EF155" s="590" t="str">
        <f t="shared" si="490"/>
        <v/>
      </c>
      <c r="EG155" s="595">
        <f t="shared" si="491"/>
        <v>0</v>
      </c>
      <c r="EH155" s="595">
        <f t="shared" si="492"/>
        <v>0</v>
      </c>
      <c r="EI155" s="192" t="str">
        <f t="shared" si="493"/>
        <v/>
      </c>
      <c r="EJ155" s="595" t="str">
        <f t="shared" si="494"/>
        <v/>
      </c>
      <c r="EK155" s="595" t="str">
        <f t="shared" si="495"/>
        <v/>
      </c>
      <c r="EL155" s="193" t="str">
        <f t="shared" si="496"/>
        <v/>
      </c>
      <c r="EM155" s="193" t="str">
        <f t="shared" si="497"/>
        <v/>
      </c>
      <c r="EN155" s="193" t="str">
        <f t="shared" si="498"/>
        <v/>
      </c>
      <c r="EO155" s="193" t="str">
        <f t="shared" si="499"/>
        <v/>
      </c>
      <c r="EP155" s="193" t="str">
        <f t="shared" si="500"/>
        <v/>
      </c>
      <c r="EQ155" s="193" t="str">
        <f t="shared" si="501"/>
        <v/>
      </c>
      <c r="ER155" s="194">
        <f t="shared" si="502"/>
        <v>0</v>
      </c>
      <c r="ES155" s="194">
        <f t="shared" si="503"/>
        <v>0</v>
      </c>
      <c r="ET155" s="194">
        <f t="shared" si="504"/>
        <v>0</v>
      </c>
      <c r="EU155" s="194">
        <f t="shared" si="505"/>
        <v>0</v>
      </c>
      <c r="EV155" s="194">
        <f t="shared" si="506"/>
        <v>0</v>
      </c>
      <c r="EW155" s="194" t="str">
        <f t="shared" si="507"/>
        <v/>
      </c>
      <c r="EX155" s="195" t="str">
        <f t="shared" si="508"/>
        <v/>
      </c>
      <c r="EY155" s="196" t="str">
        <f>IF('Marks Entry'!BE155="","",'Marks Entry'!BE155)</f>
        <v/>
      </c>
      <c r="EZ155" s="196" t="str">
        <f>IF('Marks Entry'!BF155="","",'Marks Entry'!BF155)</f>
        <v/>
      </c>
      <c r="FA155" s="196" t="str">
        <f>IF('Marks Entry'!BG155="","",'Marks Entry'!BG155)</f>
        <v/>
      </c>
      <c r="FB155" s="596" t="str">
        <f t="shared" si="509"/>
        <v/>
      </c>
      <c r="FC155" s="196" t="str">
        <f>IF('Marks Entry'!BH155="","",'Marks Entry'!BH155)</f>
        <v/>
      </c>
      <c r="FD155" s="196" t="str">
        <f>IF('Marks Entry'!BI155="","",'Marks Entry'!BI155)</f>
        <v/>
      </c>
      <c r="FE155" s="197" t="str">
        <f t="shared" si="510"/>
        <v/>
      </c>
      <c r="FF155" s="198" t="str">
        <f t="shared" si="511"/>
        <v/>
      </c>
      <c r="FG155" s="199" t="str">
        <f>IF(AND(E155=""),"",IF('Student DATA Entry'!L151="","",'Student DATA Entry'!L151))</f>
        <v/>
      </c>
      <c r="FH155" s="200" t="str">
        <f>IF(AND(E155=""),"",IF('Student DATA Entry'!M151="","",'Student DATA Entry'!M151))</f>
        <v/>
      </c>
      <c r="FI155" s="201" t="str">
        <f t="shared" si="512"/>
        <v/>
      </c>
      <c r="FJ155" s="188" t="str">
        <f t="shared" si="513"/>
        <v/>
      </c>
      <c r="FK155" s="188" t="str">
        <f t="shared" si="514"/>
        <v/>
      </c>
      <c r="FL155" s="202" t="str">
        <f t="shared" si="383"/>
        <v/>
      </c>
      <c r="FM155" s="188" t="str">
        <f t="shared" si="515"/>
        <v/>
      </c>
      <c r="FN155" s="203" t="str">
        <f t="shared" si="516"/>
        <v/>
      </c>
      <c r="FO155" s="202" t="str">
        <f t="shared" si="384"/>
        <v/>
      </c>
      <c r="FP155" s="204" t="str">
        <f t="shared" si="517"/>
        <v/>
      </c>
      <c r="FQ155" s="188" t="str">
        <f t="shared" si="385"/>
        <v/>
      </c>
      <c r="FR155" s="188" t="str">
        <f t="shared" si="386"/>
        <v/>
      </c>
      <c r="FS155" s="188" t="str">
        <f t="shared" si="387"/>
        <v/>
      </c>
      <c r="FT155" s="188" t="str">
        <f t="shared" si="388"/>
        <v/>
      </c>
      <c r="FU155" s="188" t="str">
        <f t="shared" si="518"/>
        <v/>
      </c>
      <c r="FV155" s="205" t="str">
        <f t="shared" si="389"/>
        <v/>
      </c>
      <c r="FW155" s="204" t="str">
        <f t="shared" si="519"/>
        <v/>
      </c>
      <c r="FX155" s="188" t="str">
        <f t="shared" si="390"/>
        <v/>
      </c>
      <c r="FY155" s="188" t="str">
        <f t="shared" si="391"/>
        <v/>
      </c>
      <c r="FZ155" s="188" t="str">
        <f t="shared" si="392"/>
        <v/>
      </c>
      <c r="GA155" s="188" t="str">
        <f t="shared" si="393"/>
        <v/>
      </c>
      <c r="GB155" s="188" t="str">
        <f t="shared" si="520"/>
        <v/>
      </c>
      <c r="GC155" s="205" t="str">
        <f t="shared" si="394"/>
        <v/>
      </c>
      <c r="GD155" s="204" t="str">
        <f t="shared" si="521"/>
        <v/>
      </c>
      <c r="GE155" s="188" t="str">
        <f t="shared" si="395"/>
        <v/>
      </c>
      <c r="GF155" s="188" t="str">
        <f t="shared" si="396"/>
        <v/>
      </c>
      <c r="GG155" s="188" t="str">
        <f t="shared" si="397"/>
        <v/>
      </c>
      <c r="GH155" s="188" t="str">
        <f t="shared" si="398"/>
        <v/>
      </c>
      <c r="GI155" s="188" t="str">
        <f t="shared" si="522"/>
        <v/>
      </c>
      <c r="GJ155" s="205" t="str">
        <f t="shared" si="399"/>
        <v/>
      </c>
      <c r="GK155" s="204" t="str">
        <f t="shared" si="523"/>
        <v/>
      </c>
      <c r="GL155" s="188" t="str">
        <f t="shared" si="400"/>
        <v/>
      </c>
      <c r="GM155" s="188" t="str">
        <f t="shared" si="401"/>
        <v/>
      </c>
      <c r="GN155" s="188" t="str">
        <f t="shared" si="402"/>
        <v/>
      </c>
      <c r="GO155" s="188" t="str">
        <f t="shared" si="403"/>
        <v/>
      </c>
      <c r="GP155" s="188" t="str">
        <f t="shared" si="524"/>
        <v/>
      </c>
      <c r="GQ155" s="205" t="str">
        <f t="shared" si="404"/>
        <v/>
      </c>
      <c r="GR155" s="188" t="str">
        <f t="shared" si="525"/>
        <v/>
      </c>
      <c r="GS155" s="188" t="str">
        <f t="shared" si="526"/>
        <v/>
      </c>
      <c r="GT155" s="206" t="str">
        <f t="shared" si="527"/>
        <v xml:space="preserve">    </v>
      </c>
      <c r="GU155" s="206" t="str">
        <f t="shared" si="528"/>
        <v xml:space="preserve">    </v>
      </c>
      <c r="GV155" s="206" t="str">
        <f t="shared" si="529"/>
        <v xml:space="preserve">    </v>
      </c>
      <c r="GW155" s="206" t="str">
        <f t="shared" si="530"/>
        <v xml:space="preserve">       </v>
      </c>
      <c r="GX155" s="598" t="str">
        <f t="shared" si="531"/>
        <v xml:space="preserve">     </v>
      </c>
      <c r="GY155" s="207" t="str">
        <f t="shared" si="405"/>
        <v/>
      </c>
      <c r="GZ155" s="606" t="str">
        <f>IF(AND(Q155="",AE155="",AZ155="",BW155="",CT155=""),"",IF(AND('Master Sheet'!$D$19="YES",'Marks Entry'!$BA$1=1),SUM(Q155,AE155,AZ155,BW155,DT155),SUM(Q155,AE155,AZ155,BW155,CT155)))</f>
        <v/>
      </c>
      <c r="HA155" s="208" t="str">
        <f>IF(GZ155="","",IF(AND('Master Sheet'!$D$19="YES",'Marks Entry'!$BA$1=1),GZ155/((900)-DC155)*100,GZ155/((1000)-DC155)*100))</f>
        <v/>
      </c>
      <c r="HB155" s="611" t="str">
        <f t="shared" si="532"/>
        <v/>
      </c>
      <c r="HC155" s="609" t="str">
        <f t="shared" si="533"/>
        <v/>
      </c>
      <c r="HD155" s="610" t="str">
        <f t="shared" si="534"/>
        <v/>
      </c>
      <c r="HE155" s="209" t="str">
        <f>IFERROR(IF(OR(GY155="SUPPLEMENTARY",GY155="RE-EXAM"),'Supp. Result Entry'!AS154,""),"")</f>
        <v/>
      </c>
      <c r="HF155" s="613" t="str">
        <f t="shared" si="535"/>
        <v/>
      </c>
      <c r="HG155" s="598" t="str">
        <f t="shared" si="536"/>
        <v/>
      </c>
      <c r="HH155" s="598" t="str">
        <f>IF(AND(HE155="",HF155="",HG155=""),"",IF(OR(GY155="SUPPLEMENTARY",GY155="RE-EXAM"),'Supp. Result Entry'!AS154,GY155))</f>
        <v/>
      </c>
      <c r="HI155" s="179"/>
      <c r="HY155" s="211" t="str">
        <f>IF('Supp. Result Entry'!U154="","",'Supp. Result Entry'!$U$6)</f>
        <v/>
      </c>
      <c r="HZ155" s="212" t="str">
        <f>IF('Supp. Result Entry'!X154="","",'Supp. Result Entry'!$X$6)</f>
        <v/>
      </c>
      <c r="IA155" s="212" t="str">
        <f>IF('Supp. Result Entry'!AA154="","",'Supp. Result Entry'!$AA$6)</f>
        <v/>
      </c>
      <c r="IB155" s="212" t="str">
        <f>IF('Supp. Result Entry'!AD154="","",'Supp. Result Entry'!$AD$6)</f>
        <v/>
      </c>
      <c r="IC155" s="212" t="str">
        <f>IF('Supp. Result Entry'!AG154="","",'Supp. Result Entry'!$AG$6)</f>
        <v/>
      </c>
      <c r="ID155" s="212" t="str">
        <f>IF('Supp. Result Entry'!AJ154="","",'Supp. Result Entry'!$AJ$6)</f>
        <v/>
      </c>
      <c r="IE155" s="212" t="str">
        <f>IF('Supp. Result Entry'!V154="","",'Supp. Result Entry'!V154)</f>
        <v/>
      </c>
      <c r="IF155" s="212" t="str">
        <f>IF('Supp. Result Entry'!Y154="","",'Supp. Result Entry'!Y154)</f>
        <v/>
      </c>
      <c r="IG155" s="212" t="str">
        <f>IF('Supp. Result Entry'!AB154="","",'Supp. Result Entry'!AB154)</f>
        <v/>
      </c>
      <c r="IH155" s="212" t="str">
        <f>IF('Supp. Result Entry'!AE154="","",'Supp. Result Entry'!AE154)</f>
        <v/>
      </c>
      <c r="II155" s="212" t="str">
        <f>IF('Supp. Result Entry'!AH154="","",'Supp. Result Entry'!AH154)</f>
        <v/>
      </c>
      <c r="IJ155" s="212" t="str">
        <f>IF('Supp. Result Entry'!AK154="","",'Supp. Result Entry'!AK154)</f>
        <v/>
      </c>
      <c r="IK155" s="212" t="str">
        <f>IF('Supp. Result Entry'!W154="","",'Supp. Result Entry'!W154)</f>
        <v/>
      </c>
      <c r="IL155" s="212" t="str">
        <f>IF('Supp. Result Entry'!Z154="","",'Supp. Result Entry'!Z154)</f>
        <v/>
      </c>
      <c r="IM155" s="212" t="str">
        <f>IF('Supp. Result Entry'!AC154="","",'Supp. Result Entry'!AC154)</f>
        <v/>
      </c>
      <c r="IN155" s="212" t="str">
        <f>IF('Supp. Result Entry'!AF154="","",'Supp. Result Entry'!AF154)</f>
        <v/>
      </c>
      <c r="IO155" s="212" t="str">
        <f>IF('Supp. Result Entry'!AI154="","",'Supp. Result Entry'!AI154)</f>
        <v/>
      </c>
      <c r="IP155" s="212" t="str">
        <f>IF('Supp. Result Entry'!AL154="","",'Supp. Result Entry'!AL154)</f>
        <v/>
      </c>
      <c r="IQ155" s="212">
        <f>COUNTIF('Supp. Result Entry'!K154:Q154,"S")</f>
        <v>0</v>
      </c>
      <c r="IR155" s="212">
        <f t="shared" si="537"/>
        <v>0</v>
      </c>
      <c r="IS155" s="212">
        <f t="shared" si="538"/>
        <v>0</v>
      </c>
      <c r="IT155" s="212" t="str">
        <f t="shared" si="406"/>
        <v/>
      </c>
      <c r="IU155" s="212" t="str">
        <f t="shared" si="407"/>
        <v/>
      </c>
      <c r="IV155" s="212" t="str">
        <f t="shared" si="408"/>
        <v/>
      </c>
      <c r="IW155" s="212" t="str">
        <f t="shared" si="409"/>
        <v/>
      </c>
      <c r="IX155" s="212" t="str">
        <f t="shared" si="410"/>
        <v/>
      </c>
      <c r="IY155" s="212" t="str">
        <f t="shared" si="539"/>
        <v/>
      </c>
      <c r="IZ155" s="212" t="str">
        <f t="shared" si="540"/>
        <v/>
      </c>
      <c r="JA155" s="212" t="str">
        <f t="shared" si="411"/>
        <v/>
      </c>
      <c r="JB155" s="210" t="str">
        <f t="shared" si="541"/>
        <v/>
      </c>
    </row>
    <row r="156" spans="1:262" s="210" customFormat="1" ht="21" customHeight="1">
      <c r="A156" s="183">
        <v>149</v>
      </c>
      <c r="B156" s="184" t="str">
        <f>IF('Marks Entry'!B156="","",'Marks Entry'!B156)</f>
        <v/>
      </c>
      <c r="C156" s="185" t="str">
        <f>IF('Marks Entry'!D156="","",'Marks Entry'!D156)</f>
        <v/>
      </c>
      <c r="D156" s="186" t="str">
        <f>IF('Marks Entry'!E156="","",'Marks Entry'!E156)</f>
        <v/>
      </c>
      <c r="E156" s="187" t="str">
        <f>IF('Marks Entry'!F156="","",'Marks Entry'!F156)</f>
        <v/>
      </c>
      <c r="F156" s="187" t="str">
        <f>IF('Marks Entry'!G156="","",'Marks Entry'!G156)</f>
        <v/>
      </c>
      <c r="G156" s="187" t="str">
        <f>IF('Marks Entry'!H156="","",'Marks Entry'!H156)</f>
        <v/>
      </c>
      <c r="H156" s="188" t="str">
        <f>IF('Marks Entry'!I156="","",'Marks Entry'!I156)</f>
        <v/>
      </c>
      <c r="I156" s="189" t="str">
        <f>IF('Marks Entry'!J156="","",'Marks Entry'!J156)</f>
        <v/>
      </c>
      <c r="J156" s="545" t="str">
        <f>IF('Marks Entry'!K156="","",'Marks Entry'!K156)</f>
        <v/>
      </c>
      <c r="K156" s="545" t="str">
        <f>IF('Marks Entry'!L156="","",'Marks Entry'!L156)</f>
        <v/>
      </c>
      <c r="L156" s="545" t="str">
        <f>IF('Marks Entry'!M156="","",'Marks Entry'!M156)</f>
        <v/>
      </c>
      <c r="M156" s="546" t="str">
        <f t="shared" si="412"/>
        <v/>
      </c>
      <c r="N156" s="545" t="str">
        <f>IF('Marks Entry'!N156="","",'Marks Entry'!N156)</f>
        <v/>
      </c>
      <c r="O156" s="546" t="str">
        <f t="shared" si="413"/>
        <v/>
      </c>
      <c r="P156" s="545" t="str">
        <f>IF('Marks Entry'!O156="","",'Marks Entry'!O156)</f>
        <v/>
      </c>
      <c r="Q156" s="547" t="str">
        <f t="shared" si="414"/>
        <v/>
      </c>
      <c r="R156" s="152">
        <f t="shared" si="415"/>
        <v>0</v>
      </c>
      <c r="S156" s="152">
        <f t="shared" si="416"/>
        <v>0</v>
      </c>
      <c r="T156" s="153" t="str">
        <f t="shared" si="417"/>
        <v/>
      </c>
      <c r="U156" s="152" t="str">
        <f t="shared" si="418"/>
        <v/>
      </c>
      <c r="V156" s="152" t="str">
        <f t="shared" si="419"/>
        <v/>
      </c>
      <c r="W156" s="152" t="str">
        <f t="shared" si="420"/>
        <v/>
      </c>
      <c r="X156" s="545" t="str">
        <f>IF('Marks Entry'!P156="","",'Marks Entry'!P156)</f>
        <v/>
      </c>
      <c r="Y156" s="545" t="str">
        <f>IF('Marks Entry'!Q156="","",'Marks Entry'!Q156)</f>
        <v/>
      </c>
      <c r="Z156" s="545" t="str">
        <f>IF('Marks Entry'!R156="","",'Marks Entry'!R156)</f>
        <v/>
      </c>
      <c r="AA156" s="546" t="str">
        <f t="shared" si="421"/>
        <v/>
      </c>
      <c r="AB156" s="545" t="str">
        <f>IF('Marks Entry'!S156="","",'Marks Entry'!S156)</f>
        <v/>
      </c>
      <c r="AC156" s="546" t="str">
        <f t="shared" si="422"/>
        <v/>
      </c>
      <c r="AD156" s="545" t="str">
        <f>IF('Marks Entry'!T156="","",'Marks Entry'!T156)</f>
        <v/>
      </c>
      <c r="AE156" s="547" t="str">
        <f t="shared" si="423"/>
        <v/>
      </c>
      <c r="AF156" s="152">
        <f t="shared" si="424"/>
        <v>0</v>
      </c>
      <c r="AG156" s="152">
        <f t="shared" si="425"/>
        <v>0</v>
      </c>
      <c r="AH156" s="153" t="str">
        <f t="shared" si="426"/>
        <v/>
      </c>
      <c r="AI156" s="152" t="str">
        <f t="shared" si="427"/>
        <v/>
      </c>
      <c r="AJ156" s="152" t="str">
        <f t="shared" si="428"/>
        <v/>
      </c>
      <c r="AK156" s="152" t="str">
        <f t="shared" si="429"/>
        <v/>
      </c>
      <c r="AL156" s="573" t="str">
        <f>IF('Marks Entry'!U156="","",'Marks Entry'!U156)</f>
        <v/>
      </c>
      <c r="AM156" s="573" t="str">
        <f>IF('Marks Entry'!V156="","",'Marks Entry'!V156)</f>
        <v/>
      </c>
      <c r="AN156" s="573" t="str">
        <f>IF('Marks Entry'!W156="","",'Marks Entry'!W156)</f>
        <v/>
      </c>
      <c r="AO156" s="573" t="str">
        <f>IF('Marks Entry'!X156="","",'Marks Entry'!X156)</f>
        <v/>
      </c>
      <c r="AP156" s="572" t="str">
        <f t="shared" si="430"/>
        <v/>
      </c>
      <c r="AQ156" s="573" t="str">
        <f>IF('Marks Entry'!Y156="","",'Marks Entry'!Y156)</f>
        <v/>
      </c>
      <c r="AR156" s="573" t="str">
        <f>IF('Marks Entry'!Z156="","",'Marks Entry'!Z156)</f>
        <v/>
      </c>
      <c r="AS156" s="572" t="str">
        <f t="shared" si="431"/>
        <v/>
      </c>
      <c r="AT156" s="572" t="str">
        <f t="shared" si="432"/>
        <v/>
      </c>
      <c r="AU156" s="573" t="str">
        <f>IF('Marks Entry'!AA156="","",'Marks Entry'!AA156)</f>
        <v/>
      </c>
      <c r="AV156" s="573" t="str">
        <f>IF('Marks Entry'!AB156="","",'Marks Entry'!AB156)</f>
        <v/>
      </c>
      <c r="AW156" s="572" t="str">
        <f t="shared" si="433"/>
        <v/>
      </c>
      <c r="AX156" s="156" t="str">
        <f t="shared" si="434"/>
        <v/>
      </c>
      <c r="AY156" s="156" t="str">
        <f t="shared" si="435"/>
        <v/>
      </c>
      <c r="AZ156" s="191" t="str">
        <f t="shared" si="436"/>
        <v/>
      </c>
      <c r="BA156" s="152">
        <f t="shared" si="437"/>
        <v>0</v>
      </c>
      <c r="BB156" s="153">
        <f t="shared" si="438"/>
        <v>0</v>
      </c>
      <c r="BC156" s="153" t="str">
        <f t="shared" si="439"/>
        <v/>
      </c>
      <c r="BD156" s="153" t="str">
        <f t="shared" si="440"/>
        <v/>
      </c>
      <c r="BE156" s="153" t="str">
        <f t="shared" si="441"/>
        <v/>
      </c>
      <c r="BF156" s="152" t="str">
        <f t="shared" si="442"/>
        <v/>
      </c>
      <c r="BG156" s="153" t="str">
        <f t="shared" si="443"/>
        <v/>
      </c>
      <c r="BH156" s="152" t="str">
        <f t="shared" si="444"/>
        <v/>
      </c>
      <c r="BI156" s="580" t="str">
        <f>IF('Marks Entry'!AC156="","",'Marks Entry'!AC156)</f>
        <v/>
      </c>
      <c r="BJ156" s="580" t="str">
        <f>IF('Marks Entry'!AD156="","",'Marks Entry'!AD156)</f>
        <v/>
      </c>
      <c r="BK156" s="580" t="str">
        <f>IF('Marks Entry'!AE156="","",'Marks Entry'!AE156)</f>
        <v/>
      </c>
      <c r="BL156" s="580" t="str">
        <f>IF('Marks Entry'!AF156="","",'Marks Entry'!AF156)</f>
        <v/>
      </c>
      <c r="BM156" s="581" t="str">
        <f t="shared" si="445"/>
        <v/>
      </c>
      <c r="BN156" s="580" t="str">
        <f>IF('Marks Entry'!AG156="","",'Marks Entry'!AG156)</f>
        <v/>
      </c>
      <c r="BO156" s="580" t="str">
        <f>IF('Marks Entry'!AH156="","",'Marks Entry'!AH156)</f>
        <v/>
      </c>
      <c r="BP156" s="581" t="str">
        <f t="shared" si="446"/>
        <v/>
      </c>
      <c r="BQ156" s="581" t="str">
        <f t="shared" si="447"/>
        <v/>
      </c>
      <c r="BR156" s="580" t="str">
        <f>IF('Marks Entry'!AI156="","",'Marks Entry'!AI156)</f>
        <v/>
      </c>
      <c r="BS156" s="580" t="str">
        <f>IF('Marks Entry'!AJ156="","",'Marks Entry'!AJ156)</f>
        <v/>
      </c>
      <c r="BT156" s="581" t="str">
        <f t="shared" si="448"/>
        <v/>
      </c>
      <c r="BU156" s="156" t="str">
        <f t="shared" si="449"/>
        <v/>
      </c>
      <c r="BV156" s="156" t="str">
        <f t="shared" si="450"/>
        <v/>
      </c>
      <c r="BW156" s="191" t="str">
        <f t="shared" si="451"/>
        <v/>
      </c>
      <c r="BX156" s="152">
        <f t="shared" si="452"/>
        <v>0</v>
      </c>
      <c r="BY156" s="153">
        <f t="shared" si="453"/>
        <v>0</v>
      </c>
      <c r="BZ156" s="153" t="str">
        <f t="shared" si="454"/>
        <v/>
      </c>
      <c r="CA156" s="153" t="str">
        <f t="shared" si="455"/>
        <v/>
      </c>
      <c r="CB156" s="153" t="str">
        <f t="shared" si="456"/>
        <v/>
      </c>
      <c r="CC156" s="152" t="str">
        <f t="shared" si="457"/>
        <v/>
      </c>
      <c r="CD156" s="153" t="str">
        <f t="shared" si="458"/>
        <v/>
      </c>
      <c r="CE156" s="152" t="str">
        <f t="shared" si="459"/>
        <v/>
      </c>
      <c r="CF156" s="580" t="str">
        <f>IF('Marks Entry'!AK156="","",'Marks Entry'!AK156)</f>
        <v/>
      </c>
      <c r="CG156" s="580" t="str">
        <f>IF('Marks Entry'!AL156="","",'Marks Entry'!AL156)</f>
        <v/>
      </c>
      <c r="CH156" s="580" t="str">
        <f>IF('Marks Entry'!AM156="","",'Marks Entry'!AM156)</f>
        <v/>
      </c>
      <c r="CI156" s="580" t="str">
        <f>IF('Marks Entry'!AN156="","",'Marks Entry'!AN156)</f>
        <v/>
      </c>
      <c r="CJ156" s="581" t="str">
        <f t="shared" si="460"/>
        <v/>
      </c>
      <c r="CK156" s="580" t="str">
        <f>IF('Marks Entry'!AO156="","",'Marks Entry'!AO156)</f>
        <v/>
      </c>
      <c r="CL156" s="580" t="str">
        <f>IF('Marks Entry'!AP156="","",'Marks Entry'!AP156)</f>
        <v/>
      </c>
      <c r="CM156" s="581" t="str">
        <f t="shared" si="461"/>
        <v/>
      </c>
      <c r="CN156" s="581" t="str">
        <f t="shared" si="462"/>
        <v/>
      </c>
      <c r="CO156" s="580" t="str">
        <f>IF('Marks Entry'!AQ156="","",'Marks Entry'!AQ156)</f>
        <v/>
      </c>
      <c r="CP156" s="580" t="str">
        <f>IF('Marks Entry'!AR156="","",'Marks Entry'!AR156)</f>
        <v/>
      </c>
      <c r="CQ156" s="581" t="str">
        <f t="shared" si="463"/>
        <v/>
      </c>
      <c r="CR156" s="156" t="str">
        <f t="shared" si="464"/>
        <v/>
      </c>
      <c r="CS156" s="156" t="str">
        <f t="shared" si="465"/>
        <v/>
      </c>
      <c r="CT156" s="191" t="str">
        <f t="shared" si="466"/>
        <v/>
      </c>
      <c r="CU156" s="152">
        <f t="shared" si="467"/>
        <v>0</v>
      </c>
      <c r="CV156" s="153">
        <f t="shared" si="468"/>
        <v>0</v>
      </c>
      <c r="CW156" s="153" t="str">
        <f t="shared" si="469"/>
        <v/>
      </c>
      <c r="CX156" s="153" t="str">
        <f t="shared" si="470"/>
        <v/>
      </c>
      <c r="CY156" s="153" t="str">
        <f t="shared" si="471"/>
        <v/>
      </c>
      <c r="CZ156" s="152" t="str">
        <f t="shared" si="472"/>
        <v/>
      </c>
      <c r="DA156" s="153" t="str">
        <f t="shared" si="473"/>
        <v/>
      </c>
      <c r="DB156" s="152" t="str">
        <f t="shared" si="474"/>
        <v/>
      </c>
      <c r="DC156" s="153">
        <f t="shared" si="475"/>
        <v>0</v>
      </c>
      <c r="DD156" s="851" t="str">
        <f>IF('Marks Entry'!AS156="","",IF(OR('Master Sheet'!$D$19="YES",'Marks Entry'!$BA$1=1),'Marks Entry'!AS156,""))</f>
        <v/>
      </c>
      <c r="DE156" s="851" t="str">
        <f>IF('Marks Entry'!AT156="","",IF(OR('Master Sheet'!$D$19="YES",'Marks Entry'!$BA$1=1),'Marks Entry'!AT156,""))</f>
        <v/>
      </c>
      <c r="DF156" s="851" t="str">
        <f>IF('Marks Entry'!AU156="","",IF(OR('Master Sheet'!$D$19="YES",'Marks Entry'!$BA$1=1),'Marks Entry'!AU156,""))</f>
        <v/>
      </c>
      <c r="DG156" s="851" t="str">
        <f>IF('Marks Entry'!AV156="","",IF(OR('Master Sheet'!$D$19="YES",'Marks Entry'!$BA$1=1),'Marks Entry'!AV156,""))</f>
        <v/>
      </c>
      <c r="DH156" s="852" t="str">
        <f t="shared" si="476"/>
        <v/>
      </c>
      <c r="DI156" s="851" t="str">
        <f>IF('Marks Entry'!AW156="","",IF(OR('Master Sheet'!$D$19="YES",'Marks Entry'!$BA$1=1),'Marks Entry'!AW156,""))</f>
        <v/>
      </c>
      <c r="DJ156" s="851" t="str">
        <f>IF('Marks Entry'!AX156="","",IF(OR('Master Sheet'!$D$19="YES",'Marks Entry'!$BA$1=1),'Marks Entry'!AX156,""))</f>
        <v/>
      </c>
      <c r="DK156" s="852" t="str">
        <f t="shared" si="477"/>
        <v/>
      </c>
      <c r="DL156" s="852" t="str">
        <f t="shared" si="478"/>
        <v/>
      </c>
      <c r="DM156" s="851" t="str">
        <f>IF('Marks Entry'!AY156="","",IF(OR('Master Sheet'!$D$19="YES",'Marks Entry'!$BA$1=1),'Marks Entry'!AY156,""))</f>
        <v/>
      </c>
      <c r="DN156" s="851" t="str">
        <f>IF('Marks Entry'!AZ156="","",IF(OR('Master Sheet'!$D$19="YES",'Marks Entry'!$BA$1=1),'Marks Entry'!AZ156,""))</f>
        <v/>
      </c>
      <c r="DO156" s="851" t="str">
        <f>IF('Marks Entry'!BA156="","",IF(OR('Master Sheet'!$D$19="YES",'Marks Entry'!$BA$1=1),'Marks Entry'!BA156,""))</f>
        <v/>
      </c>
      <c r="DP156" s="852" t="str">
        <f t="shared" si="479"/>
        <v/>
      </c>
      <c r="DQ156" s="156" t="str">
        <f t="shared" si="480"/>
        <v/>
      </c>
      <c r="DR156" s="156" t="str">
        <f t="shared" si="481"/>
        <v/>
      </c>
      <c r="DS156" s="156" t="str">
        <f t="shared" si="482"/>
        <v/>
      </c>
      <c r="DT156" s="191" t="str">
        <f t="shared" si="483"/>
        <v/>
      </c>
      <c r="DU156" s="152">
        <f t="shared" si="484"/>
        <v>0</v>
      </c>
      <c r="DV156" s="153">
        <f t="shared" si="485"/>
        <v>0</v>
      </c>
      <c r="DW156" s="153" t="str">
        <f t="shared" si="486"/>
        <v/>
      </c>
      <c r="DX156" s="153" t="str">
        <f>IF(OR($B156="NSO",$B156=0,DS156=""),"",IF(AND(DJ156="",DO156=""),"",IF('Master Sheet'!$D$19="YES",$DO$6-COUNTIF(DO156,"ML")*DO$6,DS$6-(COUNTIF(DJ156,"ML")*DJ$6)-(COUNTIF(DO156,"ML")*DO$6))))</f>
        <v/>
      </c>
      <c r="DY156" s="153" t="str">
        <f>IF(OR($B156="NSO",$B156=0),"",IF(AND(DH156="",DI156="",DM156=""),"",IF(AND('Master Sheet'!$D$19="YES",'Marks Entry'!$BA$1=1),100,IF(AND(DJ156="",DO156=""),SUM(($DQ$7+$DR$7)-(DU156+DV156)),SUM(($DQ$6+$DR$6)-(DU156+DV156))))))</f>
        <v/>
      </c>
      <c r="DZ156" s="152" t="str">
        <f t="shared" si="487"/>
        <v/>
      </c>
      <c r="EA156" s="153" t="str">
        <f t="shared" si="488"/>
        <v/>
      </c>
      <c r="EB156" s="152" t="str">
        <f t="shared" si="489"/>
        <v/>
      </c>
      <c r="EC156" s="584" t="str">
        <f>IF('Marks Entry'!BB156="","",'Marks Entry'!BB156)</f>
        <v/>
      </c>
      <c r="ED156" s="584" t="str">
        <f>IF('Marks Entry'!BC156="","",'Marks Entry'!BC156)</f>
        <v/>
      </c>
      <c r="EE156" s="584" t="str">
        <f>IF('Marks Entry'!BD156="","",'Marks Entry'!BD156)</f>
        <v/>
      </c>
      <c r="EF156" s="590" t="str">
        <f t="shared" si="490"/>
        <v/>
      </c>
      <c r="EG156" s="595">
        <f t="shared" si="491"/>
        <v>0</v>
      </c>
      <c r="EH156" s="595">
        <f t="shared" si="492"/>
        <v>0</v>
      </c>
      <c r="EI156" s="192" t="str">
        <f t="shared" si="493"/>
        <v/>
      </c>
      <c r="EJ156" s="595" t="str">
        <f t="shared" si="494"/>
        <v/>
      </c>
      <c r="EK156" s="595" t="str">
        <f t="shared" si="495"/>
        <v/>
      </c>
      <c r="EL156" s="193" t="str">
        <f t="shared" si="496"/>
        <v/>
      </c>
      <c r="EM156" s="193" t="str">
        <f t="shared" si="497"/>
        <v/>
      </c>
      <c r="EN156" s="193" t="str">
        <f t="shared" si="498"/>
        <v/>
      </c>
      <c r="EO156" s="193" t="str">
        <f t="shared" si="499"/>
        <v/>
      </c>
      <c r="EP156" s="193" t="str">
        <f t="shared" si="500"/>
        <v/>
      </c>
      <c r="EQ156" s="193" t="str">
        <f t="shared" si="501"/>
        <v/>
      </c>
      <c r="ER156" s="194">
        <f t="shared" si="502"/>
        <v>0</v>
      </c>
      <c r="ES156" s="194">
        <f t="shared" si="503"/>
        <v>0</v>
      </c>
      <c r="ET156" s="194">
        <f t="shared" si="504"/>
        <v>0</v>
      </c>
      <c r="EU156" s="194">
        <f t="shared" si="505"/>
        <v>0</v>
      </c>
      <c r="EV156" s="194">
        <f t="shared" si="506"/>
        <v>0</v>
      </c>
      <c r="EW156" s="194" t="str">
        <f t="shared" si="507"/>
        <v/>
      </c>
      <c r="EX156" s="195" t="str">
        <f t="shared" si="508"/>
        <v/>
      </c>
      <c r="EY156" s="196" t="str">
        <f>IF('Marks Entry'!BE156="","",'Marks Entry'!BE156)</f>
        <v/>
      </c>
      <c r="EZ156" s="196" t="str">
        <f>IF('Marks Entry'!BF156="","",'Marks Entry'!BF156)</f>
        <v/>
      </c>
      <c r="FA156" s="196" t="str">
        <f>IF('Marks Entry'!BG156="","",'Marks Entry'!BG156)</f>
        <v/>
      </c>
      <c r="FB156" s="596" t="str">
        <f t="shared" si="509"/>
        <v/>
      </c>
      <c r="FC156" s="196" t="str">
        <f>IF('Marks Entry'!BH156="","",'Marks Entry'!BH156)</f>
        <v/>
      </c>
      <c r="FD156" s="196" t="str">
        <f>IF('Marks Entry'!BI156="","",'Marks Entry'!BI156)</f>
        <v/>
      </c>
      <c r="FE156" s="197" t="str">
        <f t="shared" si="510"/>
        <v/>
      </c>
      <c r="FF156" s="198" t="str">
        <f t="shared" si="511"/>
        <v/>
      </c>
      <c r="FG156" s="199" t="str">
        <f>IF(AND(E156=""),"",IF('Student DATA Entry'!L152="","",'Student DATA Entry'!L152))</f>
        <v/>
      </c>
      <c r="FH156" s="200" t="str">
        <f>IF(AND(E156=""),"",IF('Student DATA Entry'!M152="","",'Student DATA Entry'!M152))</f>
        <v/>
      </c>
      <c r="FI156" s="201" t="str">
        <f t="shared" si="512"/>
        <v/>
      </c>
      <c r="FJ156" s="188" t="str">
        <f t="shared" si="513"/>
        <v/>
      </c>
      <c r="FK156" s="188" t="str">
        <f t="shared" si="514"/>
        <v/>
      </c>
      <c r="FL156" s="202" t="str">
        <f t="shared" si="383"/>
        <v/>
      </c>
      <c r="FM156" s="188" t="str">
        <f t="shared" si="515"/>
        <v/>
      </c>
      <c r="FN156" s="203" t="str">
        <f t="shared" si="516"/>
        <v/>
      </c>
      <c r="FO156" s="202" t="str">
        <f t="shared" si="384"/>
        <v/>
      </c>
      <c r="FP156" s="204" t="str">
        <f t="shared" si="517"/>
        <v/>
      </c>
      <c r="FQ156" s="188" t="str">
        <f t="shared" si="385"/>
        <v/>
      </c>
      <c r="FR156" s="188" t="str">
        <f t="shared" si="386"/>
        <v/>
      </c>
      <c r="FS156" s="188" t="str">
        <f t="shared" si="387"/>
        <v/>
      </c>
      <c r="FT156" s="188" t="str">
        <f t="shared" si="388"/>
        <v/>
      </c>
      <c r="FU156" s="188" t="str">
        <f t="shared" si="518"/>
        <v/>
      </c>
      <c r="FV156" s="205" t="str">
        <f t="shared" si="389"/>
        <v/>
      </c>
      <c r="FW156" s="204" t="str">
        <f t="shared" si="519"/>
        <v/>
      </c>
      <c r="FX156" s="188" t="str">
        <f t="shared" si="390"/>
        <v/>
      </c>
      <c r="FY156" s="188" t="str">
        <f t="shared" si="391"/>
        <v/>
      </c>
      <c r="FZ156" s="188" t="str">
        <f t="shared" si="392"/>
        <v/>
      </c>
      <c r="GA156" s="188" t="str">
        <f t="shared" si="393"/>
        <v/>
      </c>
      <c r="GB156" s="188" t="str">
        <f t="shared" si="520"/>
        <v/>
      </c>
      <c r="GC156" s="205" t="str">
        <f t="shared" si="394"/>
        <v/>
      </c>
      <c r="GD156" s="204" t="str">
        <f t="shared" si="521"/>
        <v/>
      </c>
      <c r="GE156" s="188" t="str">
        <f t="shared" si="395"/>
        <v/>
      </c>
      <c r="GF156" s="188" t="str">
        <f t="shared" si="396"/>
        <v/>
      </c>
      <c r="GG156" s="188" t="str">
        <f t="shared" si="397"/>
        <v/>
      </c>
      <c r="GH156" s="188" t="str">
        <f t="shared" si="398"/>
        <v/>
      </c>
      <c r="GI156" s="188" t="str">
        <f t="shared" si="522"/>
        <v/>
      </c>
      <c r="GJ156" s="205" t="str">
        <f t="shared" si="399"/>
        <v/>
      </c>
      <c r="GK156" s="204" t="str">
        <f t="shared" si="523"/>
        <v/>
      </c>
      <c r="GL156" s="188" t="str">
        <f t="shared" si="400"/>
        <v/>
      </c>
      <c r="GM156" s="188" t="str">
        <f t="shared" si="401"/>
        <v/>
      </c>
      <c r="GN156" s="188" t="str">
        <f t="shared" si="402"/>
        <v/>
      </c>
      <c r="GO156" s="188" t="str">
        <f t="shared" si="403"/>
        <v/>
      </c>
      <c r="GP156" s="188" t="str">
        <f t="shared" si="524"/>
        <v/>
      </c>
      <c r="GQ156" s="205" t="str">
        <f t="shared" si="404"/>
        <v/>
      </c>
      <c r="GR156" s="188" t="str">
        <f t="shared" si="525"/>
        <v/>
      </c>
      <c r="GS156" s="188" t="str">
        <f t="shared" si="526"/>
        <v/>
      </c>
      <c r="GT156" s="206" t="str">
        <f t="shared" si="527"/>
        <v xml:space="preserve">    </v>
      </c>
      <c r="GU156" s="206" t="str">
        <f t="shared" si="528"/>
        <v xml:space="preserve">    </v>
      </c>
      <c r="GV156" s="206" t="str">
        <f t="shared" si="529"/>
        <v xml:space="preserve">    </v>
      </c>
      <c r="GW156" s="206" t="str">
        <f t="shared" si="530"/>
        <v xml:space="preserve">       </v>
      </c>
      <c r="GX156" s="598" t="str">
        <f t="shared" si="531"/>
        <v xml:space="preserve">     </v>
      </c>
      <c r="GY156" s="207" t="str">
        <f t="shared" si="405"/>
        <v/>
      </c>
      <c r="GZ156" s="606" t="str">
        <f>IF(AND(Q156="",AE156="",AZ156="",BW156="",CT156=""),"",IF(AND('Master Sheet'!$D$19="YES",'Marks Entry'!$BA$1=1),SUM(Q156,AE156,AZ156,BW156,DT156),SUM(Q156,AE156,AZ156,BW156,CT156)))</f>
        <v/>
      </c>
      <c r="HA156" s="208" t="str">
        <f>IF(GZ156="","",IF(AND('Master Sheet'!$D$19="YES",'Marks Entry'!$BA$1=1),GZ156/((900)-DC156)*100,GZ156/((1000)-DC156)*100))</f>
        <v/>
      </c>
      <c r="HB156" s="611" t="str">
        <f t="shared" si="532"/>
        <v/>
      </c>
      <c r="HC156" s="609" t="str">
        <f t="shared" si="533"/>
        <v/>
      </c>
      <c r="HD156" s="610" t="str">
        <f t="shared" si="534"/>
        <v/>
      </c>
      <c r="HE156" s="209" t="str">
        <f>IFERROR(IF(OR(GY156="SUPPLEMENTARY",GY156="RE-EXAM"),'Supp. Result Entry'!AS155,""),"")</f>
        <v/>
      </c>
      <c r="HF156" s="613" t="str">
        <f t="shared" si="535"/>
        <v/>
      </c>
      <c r="HG156" s="598" t="str">
        <f t="shared" si="536"/>
        <v/>
      </c>
      <c r="HH156" s="598" t="str">
        <f>IF(AND(HE156="",HF156="",HG156=""),"",IF(OR(GY156="SUPPLEMENTARY",GY156="RE-EXAM"),'Supp. Result Entry'!AS155,GY156))</f>
        <v/>
      </c>
      <c r="HI156" s="179"/>
      <c r="HY156" s="211" t="str">
        <f>IF('Supp. Result Entry'!U155="","",'Supp. Result Entry'!$U$6)</f>
        <v/>
      </c>
      <c r="HZ156" s="212" t="str">
        <f>IF('Supp. Result Entry'!X155="","",'Supp. Result Entry'!$X$6)</f>
        <v/>
      </c>
      <c r="IA156" s="212" t="str">
        <f>IF('Supp. Result Entry'!AA155="","",'Supp. Result Entry'!$AA$6)</f>
        <v/>
      </c>
      <c r="IB156" s="212" t="str">
        <f>IF('Supp. Result Entry'!AD155="","",'Supp. Result Entry'!$AD$6)</f>
        <v/>
      </c>
      <c r="IC156" s="212" t="str">
        <f>IF('Supp. Result Entry'!AG155="","",'Supp. Result Entry'!$AG$6)</f>
        <v/>
      </c>
      <c r="ID156" s="212" t="str">
        <f>IF('Supp. Result Entry'!AJ155="","",'Supp. Result Entry'!$AJ$6)</f>
        <v/>
      </c>
      <c r="IE156" s="212" t="str">
        <f>IF('Supp. Result Entry'!V155="","",'Supp. Result Entry'!V155)</f>
        <v/>
      </c>
      <c r="IF156" s="212" t="str">
        <f>IF('Supp. Result Entry'!Y155="","",'Supp. Result Entry'!Y155)</f>
        <v/>
      </c>
      <c r="IG156" s="212" t="str">
        <f>IF('Supp. Result Entry'!AB155="","",'Supp. Result Entry'!AB155)</f>
        <v/>
      </c>
      <c r="IH156" s="212" t="str">
        <f>IF('Supp. Result Entry'!AE155="","",'Supp. Result Entry'!AE155)</f>
        <v/>
      </c>
      <c r="II156" s="212" t="str">
        <f>IF('Supp. Result Entry'!AH155="","",'Supp. Result Entry'!AH155)</f>
        <v/>
      </c>
      <c r="IJ156" s="212" t="str">
        <f>IF('Supp. Result Entry'!AK155="","",'Supp. Result Entry'!AK155)</f>
        <v/>
      </c>
      <c r="IK156" s="212" t="str">
        <f>IF('Supp. Result Entry'!W155="","",'Supp. Result Entry'!W155)</f>
        <v/>
      </c>
      <c r="IL156" s="212" t="str">
        <f>IF('Supp. Result Entry'!Z155="","",'Supp. Result Entry'!Z155)</f>
        <v/>
      </c>
      <c r="IM156" s="212" t="str">
        <f>IF('Supp. Result Entry'!AC155="","",'Supp. Result Entry'!AC155)</f>
        <v/>
      </c>
      <c r="IN156" s="212" t="str">
        <f>IF('Supp. Result Entry'!AF155="","",'Supp. Result Entry'!AF155)</f>
        <v/>
      </c>
      <c r="IO156" s="212" t="str">
        <f>IF('Supp. Result Entry'!AI155="","",'Supp. Result Entry'!AI155)</f>
        <v/>
      </c>
      <c r="IP156" s="212" t="str">
        <f>IF('Supp. Result Entry'!AL155="","",'Supp. Result Entry'!AL155)</f>
        <v/>
      </c>
      <c r="IQ156" s="212">
        <f>COUNTIF('Supp. Result Entry'!K155:Q155,"S")</f>
        <v>0</v>
      </c>
      <c r="IR156" s="212">
        <f t="shared" si="537"/>
        <v>0</v>
      </c>
      <c r="IS156" s="212">
        <f t="shared" si="538"/>
        <v>0</v>
      </c>
      <c r="IT156" s="212" t="str">
        <f t="shared" si="406"/>
        <v/>
      </c>
      <c r="IU156" s="212" t="str">
        <f t="shared" si="407"/>
        <v/>
      </c>
      <c r="IV156" s="212" t="str">
        <f t="shared" si="408"/>
        <v/>
      </c>
      <c r="IW156" s="212" t="str">
        <f t="shared" si="409"/>
        <v/>
      </c>
      <c r="IX156" s="212" t="str">
        <f t="shared" si="410"/>
        <v/>
      </c>
      <c r="IY156" s="212" t="str">
        <f t="shared" si="539"/>
        <v/>
      </c>
      <c r="IZ156" s="212" t="str">
        <f t="shared" si="540"/>
        <v/>
      </c>
      <c r="JA156" s="212" t="str">
        <f t="shared" si="411"/>
        <v/>
      </c>
      <c r="JB156" s="210" t="str">
        <f t="shared" si="541"/>
        <v/>
      </c>
    </row>
    <row r="157" spans="1:262" s="210" customFormat="1" ht="21" customHeight="1">
      <c r="A157" s="183">
        <v>150</v>
      </c>
      <c r="B157" s="184" t="str">
        <f>IF('Marks Entry'!B157="","",'Marks Entry'!B157)</f>
        <v/>
      </c>
      <c r="C157" s="185" t="str">
        <f>IF('Marks Entry'!D157="","",'Marks Entry'!D157)</f>
        <v/>
      </c>
      <c r="D157" s="186" t="str">
        <f>IF('Marks Entry'!E157="","",'Marks Entry'!E157)</f>
        <v/>
      </c>
      <c r="E157" s="187" t="str">
        <f>IF('Marks Entry'!F157="","",'Marks Entry'!F157)</f>
        <v/>
      </c>
      <c r="F157" s="187" t="str">
        <f>IF('Marks Entry'!G157="","",'Marks Entry'!G157)</f>
        <v/>
      </c>
      <c r="G157" s="187" t="str">
        <f>IF('Marks Entry'!H157="","",'Marks Entry'!H157)</f>
        <v/>
      </c>
      <c r="H157" s="188" t="str">
        <f>IF('Marks Entry'!I157="","",'Marks Entry'!I157)</f>
        <v/>
      </c>
      <c r="I157" s="189" t="str">
        <f>IF('Marks Entry'!J157="","",'Marks Entry'!J157)</f>
        <v/>
      </c>
      <c r="J157" s="545" t="str">
        <f>IF('Marks Entry'!K157="","",'Marks Entry'!K157)</f>
        <v/>
      </c>
      <c r="K157" s="545" t="str">
        <f>IF('Marks Entry'!L157="","",'Marks Entry'!L157)</f>
        <v/>
      </c>
      <c r="L157" s="545" t="str">
        <f>IF('Marks Entry'!M157="","",'Marks Entry'!M157)</f>
        <v/>
      </c>
      <c r="M157" s="546" t="str">
        <f t="shared" si="412"/>
        <v/>
      </c>
      <c r="N157" s="545" t="str">
        <f>IF('Marks Entry'!N157="","",'Marks Entry'!N157)</f>
        <v/>
      </c>
      <c r="O157" s="546" t="str">
        <f t="shared" si="413"/>
        <v/>
      </c>
      <c r="P157" s="545" t="str">
        <f>IF('Marks Entry'!O157="","",'Marks Entry'!O157)</f>
        <v/>
      </c>
      <c r="Q157" s="547" t="str">
        <f t="shared" si="414"/>
        <v/>
      </c>
      <c r="R157" s="152">
        <f t="shared" si="415"/>
        <v>0</v>
      </c>
      <c r="S157" s="152">
        <f t="shared" si="416"/>
        <v>0</v>
      </c>
      <c r="T157" s="153" t="str">
        <f t="shared" si="417"/>
        <v/>
      </c>
      <c r="U157" s="152" t="str">
        <f t="shared" si="418"/>
        <v/>
      </c>
      <c r="V157" s="152" t="str">
        <f t="shared" si="419"/>
        <v/>
      </c>
      <c r="W157" s="152" t="str">
        <f t="shared" si="420"/>
        <v/>
      </c>
      <c r="X157" s="545" t="str">
        <f>IF('Marks Entry'!P157="","",'Marks Entry'!P157)</f>
        <v/>
      </c>
      <c r="Y157" s="545" t="str">
        <f>IF('Marks Entry'!Q157="","",'Marks Entry'!Q157)</f>
        <v/>
      </c>
      <c r="Z157" s="545" t="str">
        <f>IF('Marks Entry'!R157="","",'Marks Entry'!R157)</f>
        <v/>
      </c>
      <c r="AA157" s="546" t="str">
        <f t="shared" si="421"/>
        <v/>
      </c>
      <c r="AB157" s="545" t="str">
        <f>IF('Marks Entry'!S157="","",'Marks Entry'!S157)</f>
        <v/>
      </c>
      <c r="AC157" s="546" t="str">
        <f t="shared" si="422"/>
        <v/>
      </c>
      <c r="AD157" s="545" t="str">
        <f>IF('Marks Entry'!T157="","",'Marks Entry'!T157)</f>
        <v/>
      </c>
      <c r="AE157" s="547" t="str">
        <f t="shared" si="423"/>
        <v/>
      </c>
      <c r="AF157" s="152">
        <f t="shared" si="424"/>
        <v>0</v>
      </c>
      <c r="AG157" s="152">
        <f t="shared" si="425"/>
        <v>0</v>
      </c>
      <c r="AH157" s="153" t="str">
        <f t="shared" si="426"/>
        <v/>
      </c>
      <c r="AI157" s="152" t="str">
        <f t="shared" si="427"/>
        <v/>
      </c>
      <c r="AJ157" s="152" t="str">
        <f t="shared" si="428"/>
        <v/>
      </c>
      <c r="AK157" s="152" t="str">
        <f t="shared" si="429"/>
        <v/>
      </c>
      <c r="AL157" s="573" t="str">
        <f>IF('Marks Entry'!U157="","",'Marks Entry'!U157)</f>
        <v/>
      </c>
      <c r="AM157" s="573" t="str">
        <f>IF('Marks Entry'!V157="","",'Marks Entry'!V157)</f>
        <v/>
      </c>
      <c r="AN157" s="573" t="str">
        <f>IF('Marks Entry'!W157="","",'Marks Entry'!W157)</f>
        <v/>
      </c>
      <c r="AO157" s="573" t="str">
        <f>IF('Marks Entry'!X157="","",'Marks Entry'!X157)</f>
        <v/>
      </c>
      <c r="AP157" s="572" t="str">
        <f t="shared" si="430"/>
        <v/>
      </c>
      <c r="AQ157" s="573" t="str">
        <f>IF('Marks Entry'!Y157="","",'Marks Entry'!Y157)</f>
        <v/>
      </c>
      <c r="AR157" s="573" t="str">
        <f>IF('Marks Entry'!Z157="","",'Marks Entry'!Z157)</f>
        <v/>
      </c>
      <c r="AS157" s="572" t="str">
        <f t="shared" si="431"/>
        <v/>
      </c>
      <c r="AT157" s="572" t="str">
        <f t="shared" si="432"/>
        <v/>
      </c>
      <c r="AU157" s="573" t="str">
        <f>IF('Marks Entry'!AA157="","",'Marks Entry'!AA157)</f>
        <v/>
      </c>
      <c r="AV157" s="573" t="str">
        <f>IF('Marks Entry'!AB157="","",'Marks Entry'!AB157)</f>
        <v/>
      </c>
      <c r="AW157" s="572" t="str">
        <f t="shared" si="433"/>
        <v/>
      </c>
      <c r="AX157" s="156" t="str">
        <f t="shared" si="434"/>
        <v/>
      </c>
      <c r="AY157" s="156" t="str">
        <f t="shared" si="435"/>
        <v/>
      </c>
      <c r="AZ157" s="191" t="str">
        <f t="shared" si="436"/>
        <v/>
      </c>
      <c r="BA157" s="152">
        <f t="shared" si="437"/>
        <v>0</v>
      </c>
      <c r="BB157" s="153">
        <f t="shared" si="438"/>
        <v>0</v>
      </c>
      <c r="BC157" s="153" t="str">
        <f t="shared" si="439"/>
        <v/>
      </c>
      <c r="BD157" s="153" t="str">
        <f t="shared" si="440"/>
        <v/>
      </c>
      <c r="BE157" s="153" t="str">
        <f t="shared" si="441"/>
        <v/>
      </c>
      <c r="BF157" s="152" t="str">
        <f t="shared" si="442"/>
        <v/>
      </c>
      <c r="BG157" s="153" t="str">
        <f t="shared" si="443"/>
        <v/>
      </c>
      <c r="BH157" s="152" t="str">
        <f t="shared" si="444"/>
        <v/>
      </c>
      <c r="BI157" s="580" t="str">
        <f>IF('Marks Entry'!AC157="","",'Marks Entry'!AC157)</f>
        <v/>
      </c>
      <c r="BJ157" s="580" t="str">
        <f>IF('Marks Entry'!AD157="","",'Marks Entry'!AD157)</f>
        <v/>
      </c>
      <c r="BK157" s="580" t="str">
        <f>IF('Marks Entry'!AE157="","",'Marks Entry'!AE157)</f>
        <v/>
      </c>
      <c r="BL157" s="580" t="str">
        <f>IF('Marks Entry'!AF157="","",'Marks Entry'!AF157)</f>
        <v/>
      </c>
      <c r="BM157" s="581" t="str">
        <f t="shared" si="445"/>
        <v/>
      </c>
      <c r="BN157" s="580" t="str">
        <f>IF('Marks Entry'!AG157="","",'Marks Entry'!AG157)</f>
        <v/>
      </c>
      <c r="BO157" s="580" t="str">
        <f>IF('Marks Entry'!AH157="","",'Marks Entry'!AH157)</f>
        <v/>
      </c>
      <c r="BP157" s="581" t="str">
        <f t="shared" si="446"/>
        <v/>
      </c>
      <c r="BQ157" s="581" t="str">
        <f t="shared" si="447"/>
        <v/>
      </c>
      <c r="BR157" s="580" t="str">
        <f>IF('Marks Entry'!AI157="","",'Marks Entry'!AI157)</f>
        <v/>
      </c>
      <c r="BS157" s="580" t="str">
        <f>IF('Marks Entry'!AJ157="","",'Marks Entry'!AJ157)</f>
        <v/>
      </c>
      <c r="BT157" s="581" t="str">
        <f t="shared" si="448"/>
        <v/>
      </c>
      <c r="BU157" s="156" t="str">
        <f t="shared" si="449"/>
        <v/>
      </c>
      <c r="BV157" s="156" t="str">
        <f t="shared" si="450"/>
        <v/>
      </c>
      <c r="BW157" s="191" t="str">
        <f t="shared" si="451"/>
        <v/>
      </c>
      <c r="BX157" s="152">
        <f t="shared" si="452"/>
        <v>0</v>
      </c>
      <c r="BY157" s="153">
        <f t="shared" si="453"/>
        <v>0</v>
      </c>
      <c r="BZ157" s="153" t="str">
        <f t="shared" si="454"/>
        <v/>
      </c>
      <c r="CA157" s="153" t="str">
        <f t="shared" si="455"/>
        <v/>
      </c>
      <c r="CB157" s="153" t="str">
        <f t="shared" si="456"/>
        <v/>
      </c>
      <c r="CC157" s="152" t="str">
        <f t="shared" si="457"/>
        <v/>
      </c>
      <c r="CD157" s="153" t="str">
        <f t="shared" si="458"/>
        <v/>
      </c>
      <c r="CE157" s="152" t="str">
        <f t="shared" si="459"/>
        <v/>
      </c>
      <c r="CF157" s="580" t="str">
        <f>IF('Marks Entry'!AK157="","",'Marks Entry'!AK157)</f>
        <v/>
      </c>
      <c r="CG157" s="580" t="str">
        <f>IF('Marks Entry'!AL157="","",'Marks Entry'!AL157)</f>
        <v/>
      </c>
      <c r="CH157" s="580" t="str">
        <f>IF('Marks Entry'!AM157="","",'Marks Entry'!AM157)</f>
        <v/>
      </c>
      <c r="CI157" s="580" t="str">
        <f>IF('Marks Entry'!AN157="","",'Marks Entry'!AN157)</f>
        <v/>
      </c>
      <c r="CJ157" s="581" t="str">
        <f t="shared" si="460"/>
        <v/>
      </c>
      <c r="CK157" s="580" t="str">
        <f>IF('Marks Entry'!AO157="","",'Marks Entry'!AO157)</f>
        <v/>
      </c>
      <c r="CL157" s="580" t="str">
        <f>IF('Marks Entry'!AP157="","",'Marks Entry'!AP157)</f>
        <v/>
      </c>
      <c r="CM157" s="581" t="str">
        <f t="shared" si="461"/>
        <v/>
      </c>
      <c r="CN157" s="581" t="str">
        <f t="shared" si="462"/>
        <v/>
      </c>
      <c r="CO157" s="580" t="str">
        <f>IF('Marks Entry'!AQ157="","",'Marks Entry'!AQ157)</f>
        <v/>
      </c>
      <c r="CP157" s="580" t="str">
        <f>IF('Marks Entry'!AR157="","",'Marks Entry'!AR157)</f>
        <v/>
      </c>
      <c r="CQ157" s="581" t="str">
        <f t="shared" si="463"/>
        <v/>
      </c>
      <c r="CR157" s="156" t="str">
        <f t="shared" si="464"/>
        <v/>
      </c>
      <c r="CS157" s="156" t="str">
        <f t="shared" si="465"/>
        <v/>
      </c>
      <c r="CT157" s="191" t="str">
        <f t="shared" si="466"/>
        <v/>
      </c>
      <c r="CU157" s="152">
        <f t="shared" si="467"/>
        <v>0</v>
      </c>
      <c r="CV157" s="153">
        <f t="shared" si="468"/>
        <v>0</v>
      </c>
      <c r="CW157" s="153" t="str">
        <f t="shared" si="469"/>
        <v/>
      </c>
      <c r="CX157" s="153" t="str">
        <f t="shared" si="470"/>
        <v/>
      </c>
      <c r="CY157" s="153" t="str">
        <f t="shared" si="471"/>
        <v/>
      </c>
      <c r="CZ157" s="152" t="str">
        <f t="shared" si="472"/>
        <v/>
      </c>
      <c r="DA157" s="153" t="str">
        <f t="shared" si="473"/>
        <v/>
      </c>
      <c r="DB157" s="152" t="str">
        <f t="shared" si="474"/>
        <v/>
      </c>
      <c r="DC157" s="153">
        <f t="shared" si="475"/>
        <v>0</v>
      </c>
      <c r="DD157" s="851" t="str">
        <f>IF('Marks Entry'!AS157="","",IF(OR('Master Sheet'!$D$19="YES",'Marks Entry'!$BA$1=1),'Marks Entry'!AS157,""))</f>
        <v/>
      </c>
      <c r="DE157" s="851" t="str">
        <f>IF('Marks Entry'!AT157="","",IF(OR('Master Sheet'!$D$19="YES",'Marks Entry'!$BA$1=1),'Marks Entry'!AT157,""))</f>
        <v/>
      </c>
      <c r="DF157" s="851" t="str">
        <f>IF('Marks Entry'!AU157="","",IF(OR('Master Sheet'!$D$19="YES",'Marks Entry'!$BA$1=1),'Marks Entry'!AU157,""))</f>
        <v/>
      </c>
      <c r="DG157" s="851" t="str">
        <f>IF('Marks Entry'!AV157="","",IF(OR('Master Sheet'!$D$19="YES",'Marks Entry'!$BA$1=1),'Marks Entry'!AV157,""))</f>
        <v/>
      </c>
      <c r="DH157" s="852" t="str">
        <f t="shared" si="476"/>
        <v/>
      </c>
      <c r="DI157" s="851" t="str">
        <f>IF('Marks Entry'!AW157="","",IF(OR('Master Sheet'!$D$19="YES",'Marks Entry'!$BA$1=1),'Marks Entry'!AW157,""))</f>
        <v/>
      </c>
      <c r="DJ157" s="851" t="str">
        <f>IF('Marks Entry'!AX157="","",IF(OR('Master Sheet'!$D$19="YES",'Marks Entry'!$BA$1=1),'Marks Entry'!AX157,""))</f>
        <v/>
      </c>
      <c r="DK157" s="852" t="str">
        <f t="shared" si="477"/>
        <v/>
      </c>
      <c r="DL157" s="852" t="str">
        <f t="shared" si="478"/>
        <v/>
      </c>
      <c r="DM157" s="851" t="str">
        <f>IF('Marks Entry'!AY157="","",IF(OR('Master Sheet'!$D$19="YES",'Marks Entry'!$BA$1=1),'Marks Entry'!AY157,""))</f>
        <v/>
      </c>
      <c r="DN157" s="851" t="str">
        <f>IF('Marks Entry'!AZ157="","",IF(OR('Master Sheet'!$D$19="YES",'Marks Entry'!$BA$1=1),'Marks Entry'!AZ157,""))</f>
        <v/>
      </c>
      <c r="DO157" s="851" t="str">
        <f>IF('Marks Entry'!BA157="","",IF(OR('Master Sheet'!$D$19="YES",'Marks Entry'!$BA$1=1),'Marks Entry'!BA157,""))</f>
        <v/>
      </c>
      <c r="DP157" s="852" t="str">
        <f t="shared" si="479"/>
        <v/>
      </c>
      <c r="DQ157" s="156" t="str">
        <f t="shared" si="480"/>
        <v/>
      </c>
      <c r="DR157" s="156" t="str">
        <f t="shared" si="481"/>
        <v/>
      </c>
      <c r="DS157" s="156" t="str">
        <f t="shared" si="482"/>
        <v/>
      </c>
      <c r="DT157" s="191" t="str">
        <f t="shared" si="483"/>
        <v/>
      </c>
      <c r="DU157" s="152">
        <f t="shared" si="484"/>
        <v>0</v>
      </c>
      <c r="DV157" s="153">
        <f t="shared" si="485"/>
        <v>0</v>
      </c>
      <c r="DW157" s="153" t="str">
        <f t="shared" si="486"/>
        <v/>
      </c>
      <c r="DX157" s="153" t="str">
        <f>IF(OR($B157="NSO",$B157=0,DS157=""),"",IF(AND(DJ157="",DO157=""),"",IF('Master Sheet'!$D$19="YES",$DO$6-COUNTIF(DO157,"ML")*DO$6,DS$6-(COUNTIF(DJ157,"ML")*DJ$6)-(COUNTIF(DO157,"ML")*DO$6))))</f>
        <v/>
      </c>
      <c r="DY157" s="153" t="str">
        <f>IF(OR($B157="NSO",$B157=0),"",IF(AND(DH157="",DI157="",DM157=""),"",IF(AND('Master Sheet'!$D$19="YES",'Marks Entry'!$BA$1=1),100,IF(AND(DJ157="",DO157=""),SUM(($DQ$7+$DR$7)-(DU157+DV157)),SUM(($DQ$6+$DR$6)-(DU157+DV157))))))</f>
        <v/>
      </c>
      <c r="DZ157" s="152" t="str">
        <f t="shared" si="487"/>
        <v/>
      </c>
      <c r="EA157" s="153" t="str">
        <f t="shared" si="488"/>
        <v/>
      </c>
      <c r="EB157" s="152" t="str">
        <f t="shared" si="489"/>
        <v/>
      </c>
      <c r="EC157" s="584" t="str">
        <f>IF('Marks Entry'!BB157="","",'Marks Entry'!BB157)</f>
        <v/>
      </c>
      <c r="ED157" s="584" t="str">
        <f>IF('Marks Entry'!BC157="","",'Marks Entry'!BC157)</f>
        <v/>
      </c>
      <c r="EE157" s="584" t="str">
        <f>IF('Marks Entry'!BD157="","",'Marks Entry'!BD157)</f>
        <v/>
      </c>
      <c r="EF157" s="590" t="str">
        <f t="shared" si="490"/>
        <v/>
      </c>
      <c r="EG157" s="595">
        <f t="shared" si="491"/>
        <v>0</v>
      </c>
      <c r="EH157" s="595">
        <f t="shared" si="492"/>
        <v>0</v>
      </c>
      <c r="EI157" s="192" t="str">
        <f t="shared" si="493"/>
        <v/>
      </c>
      <c r="EJ157" s="595" t="str">
        <f t="shared" si="494"/>
        <v/>
      </c>
      <c r="EK157" s="595" t="str">
        <f t="shared" si="495"/>
        <v/>
      </c>
      <c r="EL157" s="193" t="str">
        <f t="shared" si="496"/>
        <v/>
      </c>
      <c r="EM157" s="193" t="str">
        <f t="shared" si="497"/>
        <v/>
      </c>
      <c r="EN157" s="193" t="str">
        <f t="shared" si="498"/>
        <v/>
      </c>
      <c r="EO157" s="193" t="str">
        <f t="shared" si="499"/>
        <v/>
      </c>
      <c r="EP157" s="193" t="str">
        <f t="shared" si="500"/>
        <v/>
      </c>
      <c r="EQ157" s="193" t="str">
        <f t="shared" si="501"/>
        <v/>
      </c>
      <c r="ER157" s="194">
        <f t="shared" si="502"/>
        <v>0</v>
      </c>
      <c r="ES157" s="194">
        <f t="shared" si="503"/>
        <v>0</v>
      </c>
      <c r="ET157" s="194">
        <f t="shared" si="504"/>
        <v>0</v>
      </c>
      <c r="EU157" s="194">
        <f t="shared" si="505"/>
        <v>0</v>
      </c>
      <c r="EV157" s="194">
        <f t="shared" si="506"/>
        <v>0</v>
      </c>
      <c r="EW157" s="194" t="str">
        <f t="shared" si="507"/>
        <v/>
      </c>
      <c r="EX157" s="195" t="str">
        <f t="shared" si="508"/>
        <v/>
      </c>
      <c r="EY157" s="196" t="str">
        <f>IF('Marks Entry'!BE157="","",'Marks Entry'!BE157)</f>
        <v/>
      </c>
      <c r="EZ157" s="196" t="str">
        <f>IF('Marks Entry'!BF157="","",'Marks Entry'!BF157)</f>
        <v/>
      </c>
      <c r="FA157" s="196" t="str">
        <f>IF('Marks Entry'!BG157="","",'Marks Entry'!BG157)</f>
        <v/>
      </c>
      <c r="FB157" s="596" t="str">
        <f t="shared" si="509"/>
        <v/>
      </c>
      <c r="FC157" s="196" t="str">
        <f>IF('Marks Entry'!BH157="","",'Marks Entry'!BH157)</f>
        <v/>
      </c>
      <c r="FD157" s="196" t="str">
        <f>IF('Marks Entry'!BI157="","",'Marks Entry'!BI157)</f>
        <v/>
      </c>
      <c r="FE157" s="197" t="str">
        <f t="shared" si="510"/>
        <v/>
      </c>
      <c r="FF157" s="198" t="str">
        <f t="shared" si="511"/>
        <v/>
      </c>
      <c r="FG157" s="199" t="str">
        <f>IF(AND(E157=""),"",IF('Student DATA Entry'!L153="","",'Student DATA Entry'!L153))</f>
        <v/>
      </c>
      <c r="FH157" s="200" t="str">
        <f>IF(AND(E157=""),"",IF('Student DATA Entry'!M153="","",'Student DATA Entry'!M153))</f>
        <v/>
      </c>
      <c r="FI157" s="201" t="str">
        <f t="shared" si="512"/>
        <v/>
      </c>
      <c r="FJ157" s="188" t="str">
        <f t="shared" si="513"/>
        <v/>
      </c>
      <c r="FK157" s="188" t="str">
        <f t="shared" si="514"/>
        <v/>
      </c>
      <c r="FL157" s="202" t="str">
        <f t="shared" si="383"/>
        <v/>
      </c>
      <c r="FM157" s="188" t="str">
        <f t="shared" si="515"/>
        <v/>
      </c>
      <c r="FN157" s="203" t="str">
        <f t="shared" si="516"/>
        <v/>
      </c>
      <c r="FO157" s="202" t="str">
        <f t="shared" si="384"/>
        <v/>
      </c>
      <c r="FP157" s="204" t="str">
        <f t="shared" si="517"/>
        <v/>
      </c>
      <c r="FQ157" s="188" t="str">
        <f t="shared" si="385"/>
        <v/>
      </c>
      <c r="FR157" s="188" t="str">
        <f t="shared" si="386"/>
        <v/>
      </c>
      <c r="FS157" s="188" t="str">
        <f t="shared" si="387"/>
        <v/>
      </c>
      <c r="FT157" s="188" t="str">
        <f t="shared" si="388"/>
        <v/>
      </c>
      <c r="FU157" s="188" t="str">
        <f t="shared" si="518"/>
        <v/>
      </c>
      <c r="FV157" s="205" t="str">
        <f t="shared" si="389"/>
        <v/>
      </c>
      <c r="FW157" s="204" t="str">
        <f t="shared" si="519"/>
        <v/>
      </c>
      <c r="FX157" s="188" t="str">
        <f t="shared" si="390"/>
        <v/>
      </c>
      <c r="FY157" s="188" t="str">
        <f t="shared" si="391"/>
        <v/>
      </c>
      <c r="FZ157" s="188" t="str">
        <f t="shared" si="392"/>
        <v/>
      </c>
      <c r="GA157" s="188" t="str">
        <f t="shared" si="393"/>
        <v/>
      </c>
      <c r="GB157" s="188" t="str">
        <f t="shared" si="520"/>
        <v/>
      </c>
      <c r="GC157" s="205" t="str">
        <f t="shared" si="394"/>
        <v/>
      </c>
      <c r="GD157" s="204" t="str">
        <f t="shared" si="521"/>
        <v/>
      </c>
      <c r="GE157" s="188" t="str">
        <f t="shared" si="395"/>
        <v/>
      </c>
      <c r="GF157" s="188" t="str">
        <f t="shared" si="396"/>
        <v/>
      </c>
      <c r="GG157" s="188" t="str">
        <f t="shared" si="397"/>
        <v/>
      </c>
      <c r="GH157" s="188" t="str">
        <f t="shared" si="398"/>
        <v/>
      </c>
      <c r="GI157" s="188" t="str">
        <f t="shared" si="522"/>
        <v/>
      </c>
      <c r="GJ157" s="205" t="str">
        <f t="shared" si="399"/>
        <v/>
      </c>
      <c r="GK157" s="204" t="str">
        <f t="shared" si="523"/>
        <v/>
      </c>
      <c r="GL157" s="188" t="str">
        <f t="shared" si="400"/>
        <v/>
      </c>
      <c r="GM157" s="188" t="str">
        <f t="shared" si="401"/>
        <v/>
      </c>
      <c r="GN157" s="188" t="str">
        <f t="shared" si="402"/>
        <v/>
      </c>
      <c r="GO157" s="188" t="str">
        <f t="shared" si="403"/>
        <v/>
      </c>
      <c r="GP157" s="188" t="str">
        <f t="shared" si="524"/>
        <v/>
      </c>
      <c r="GQ157" s="205" t="str">
        <f t="shared" si="404"/>
        <v/>
      </c>
      <c r="GR157" s="188" t="str">
        <f t="shared" si="525"/>
        <v/>
      </c>
      <c r="GS157" s="188" t="str">
        <f t="shared" si="526"/>
        <v/>
      </c>
      <c r="GT157" s="206" t="str">
        <f t="shared" si="527"/>
        <v xml:space="preserve">    </v>
      </c>
      <c r="GU157" s="206" t="str">
        <f t="shared" si="528"/>
        <v xml:space="preserve">    </v>
      </c>
      <c r="GV157" s="206" t="str">
        <f t="shared" si="529"/>
        <v xml:space="preserve">    </v>
      </c>
      <c r="GW157" s="206" t="str">
        <f t="shared" si="530"/>
        <v xml:space="preserve">       </v>
      </c>
      <c r="GX157" s="598" t="str">
        <f t="shared" si="531"/>
        <v xml:space="preserve">     </v>
      </c>
      <c r="GY157" s="207" t="str">
        <f t="shared" si="405"/>
        <v/>
      </c>
      <c r="GZ157" s="606" t="str">
        <f>IF(AND(Q157="",AE157="",AZ157="",BW157="",CT157=""),"",IF(AND('Master Sheet'!$D$19="YES",'Marks Entry'!$BA$1=1),SUM(Q157,AE157,AZ157,BW157,DT157),SUM(Q157,AE157,AZ157,BW157,CT157)))</f>
        <v/>
      </c>
      <c r="HA157" s="208" t="str">
        <f>IF(GZ157="","",IF(AND('Master Sheet'!$D$19="YES",'Marks Entry'!$BA$1=1),GZ157/((900)-DC157)*100,GZ157/((1000)-DC157)*100))</f>
        <v/>
      </c>
      <c r="HB157" s="611" t="str">
        <f t="shared" si="532"/>
        <v/>
      </c>
      <c r="HC157" s="609" t="str">
        <f t="shared" si="533"/>
        <v/>
      </c>
      <c r="HD157" s="610" t="str">
        <f t="shared" si="534"/>
        <v/>
      </c>
      <c r="HE157" s="209" t="str">
        <f>IFERROR(IF(OR(GY157="SUPPLEMENTARY",GY157="RE-EXAM"),'Supp. Result Entry'!AS156,""),"")</f>
        <v/>
      </c>
      <c r="HF157" s="613" t="str">
        <f t="shared" si="535"/>
        <v/>
      </c>
      <c r="HG157" s="598" t="str">
        <f t="shared" si="536"/>
        <v/>
      </c>
      <c r="HH157" s="598" t="str">
        <f>IF(AND(HE157="",HF157="",HG157=""),"",IF(OR(GY157="SUPPLEMENTARY",GY157="RE-EXAM"),'Supp. Result Entry'!AS156,GY157))</f>
        <v/>
      </c>
      <c r="HI157" s="179"/>
      <c r="HY157" s="211" t="str">
        <f>IF('Supp. Result Entry'!U156="","",'Supp. Result Entry'!$U$6)</f>
        <v/>
      </c>
      <c r="HZ157" s="212" t="str">
        <f>IF('Supp. Result Entry'!X156="","",'Supp. Result Entry'!$X$6)</f>
        <v/>
      </c>
      <c r="IA157" s="212" t="str">
        <f>IF('Supp. Result Entry'!AA156="","",'Supp. Result Entry'!$AA$6)</f>
        <v/>
      </c>
      <c r="IB157" s="212" t="str">
        <f>IF('Supp. Result Entry'!AD156="","",'Supp. Result Entry'!$AD$6)</f>
        <v/>
      </c>
      <c r="IC157" s="212" t="str">
        <f>IF('Supp. Result Entry'!AG156="","",'Supp. Result Entry'!$AG$6)</f>
        <v/>
      </c>
      <c r="ID157" s="212" t="str">
        <f>IF('Supp. Result Entry'!AJ156="","",'Supp. Result Entry'!$AJ$6)</f>
        <v/>
      </c>
      <c r="IE157" s="212" t="str">
        <f>IF('Supp. Result Entry'!V156="","",'Supp. Result Entry'!V156)</f>
        <v/>
      </c>
      <c r="IF157" s="212" t="str">
        <f>IF('Supp. Result Entry'!Y156="","",'Supp. Result Entry'!Y156)</f>
        <v/>
      </c>
      <c r="IG157" s="212" t="str">
        <f>IF('Supp. Result Entry'!AB156="","",'Supp. Result Entry'!AB156)</f>
        <v/>
      </c>
      <c r="IH157" s="212" t="str">
        <f>IF('Supp. Result Entry'!AE156="","",'Supp. Result Entry'!AE156)</f>
        <v/>
      </c>
      <c r="II157" s="212" t="str">
        <f>IF('Supp. Result Entry'!AH156="","",'Supp. Result Entry'!AH156)</f>
        <v/>
      </c>
      <c r="IJ157" s="212" t="str">
        <f>IF('Supp. Result Entry'!AK156="","",'Supp. Result Entry'!AK156)</f>
        <v/>
      </c>
      <c r="IK157" s="212" t="str">
        <f>IF('Supp. Result Entry'!W156="","",'Supp. Result Entry'!W156)</f>
        <v/>
      </c>
      <c r="IL157" s="212" t="str">
        <f>IF('Supp. Result Entry'!Z156="","",'Supp. Result Entry'!Z156)</f>
        <v/>
      </c>
      <c r="IM157" s="212" t="str">
        <f>IF('Supp. Result Entry'!AC156="","",'Supp. Result Entry'!AC156)</f>
        <v/>
      </c>
      <c r="IN157" s="212" t="str">
        <f>IF('Supp. Result Entry'!AF156="","",'Supp. Result Entry'!AF156)</f>
        <v/>
      </c>
      <c r="IO157" s="212" t="str">
        <f>IF('Supp. Result Entry'!AI156="","",'Supp. Result Entry'!AI156)</f>
        <v/>
      </c>
      <c r="IP157" s="212" t="str">
        <f>IF('Supp. Result Entry'!AL156="","",'Supp. Result Entry'!AL156)</f>
        <v/>
      </c>
      <c r="IQ157" s="212">
        <f>COUNTIF('Supp. Result Entry'!K156:Q156,"S")</f>
        <v>0</v>
      </c>
      <c r="IR157" s="212">
        <f t="shared" si="537"/>
        <v>0</v>
      </c>
      <c r="IS157" s="212">
        <f t="shared" si="538"/>
        <v>0</v>
      </c>
      <c r="IT157" s="212" t="str">
        <f t="shared" si="406"/>
        <v/>
      </c>
      <c r="IU157" s="212" t="str">
        <f t="shared" si="407"/>
        <v/>
      </c>
      <c r="IV157" s="212" t="str">
        <f t="shared" si="408"/>
        <v/>
      </c>
      <c r="IW157" s="212" t="str">
        <f t="shared" si="409"/>
        <v/>
      </c>
      <c r="IX157" s="212" t="str">
        <f t="shared" si="410"/>
        <v/>
      </c>
      <c r="IY157" s="212" t="str">
        <f t="shared" si="539"/>
        <v/>
      </c>
      <c r="IZ157" s="212" t="str">
        <f t="shared" si="540"/>
        <v/>
      </c>
      <c r="JA157" s="212" t="str">
        <f t="shared" si="411"/>
        <v/>
      </c>
      <c r="JB157" s="210" t="str">
        <f t="shared" si="541"/>
        <v/>
      </c>
    </row>
    <row r="158" spans="1:262" s="210" customFormat="1" ht="21" customHeight="1">
      <c r="A158" s="183">
        <v>151</v>
      </c>
      <c r="B158" s="184" t="str">
        <f>IF('Marks Entry'!B158="","",'Marks Entry'!B158)</f>
        <v/>
      </c>
      <c r="C158" s="185" t="str">
        <f>IF('Marks Entry'!D158="","",'Marks Entry'!D158)</f>
        <v/>
      </c>
      <c r="D158" s="186" t="str">
        <f>IF('Marks Entry'!E158="","",'Marks Entry'!E158)</f>
        <v/>
      </c>
      <c r="E158" s="187" t="str">
        <f>IF('Marks Entry'!F158="","",'Marks Entry'!F158)</f>
        <v/>
      </c>
      <c r="F158" s="187" t="str">
        <f>IF('Marks Entry'!G158="","",'Marks Entry'!G158)</f>
        <v/>
      </c>
      <c r="G158" s="187" t="str">
        <f>IF('Marks Entry'!H158="","",'Marks Entry'!H158)</f>
        <v/>
      </c>
      <c r="H158" s="188" t="str">
        <f>IF('Marks Entry'!I158="","",'Marks Entry'!I158)</f>
        <v/>
      </c>
      <c r="I158" s="189" t="str">
        <f>IF('Marks Entry'!J158="","",'Marks Entry'!J158)</f>
        <v/>
      </c>
      <c r="J158" s="545" t="str">
        <f>IF('Marks Entry'!K158="","",'Marks Entry'!K158)</f>
        <v/>
      </c>
      <c r="K158" s="545" t="str">
        <f>IF('Marks Entry'!L158="","",'Marks Entry'!L158)</f>
        <v/>
      </c>
      <c r="L158" s="545" t="str">
        <f>IF('Marks Entry'!M158="","",'Marks Entry'!M158)</f>
        <v/>
      </c>
      <c r="M158" s="546" t="str">
        <f t="shared" si="412"/>
        <v/>
      </c>
      <c r="N158" s="545" t="str">
        <f>IF('Marks Entry'!N158="","",'Marks Entry'!N158)</f>
        <v/>
      </c>
      <c r="O158" s="546" t="str">
        <f t="shared" si="413"/>
        <v/>
      </c>
      <c r="P158" s="545" t="str">
        <f>IF('Marks Entry'!O158="","",'Marks Entry'!O158)</f>
        <v/>
      </c>
      <c r="Q158" s="547" t="str">
        <f t="shared" si="414"/>
        <v/>
      </c>
      <c r="R158" s="152">
        <f t="shared" si="415"/>
        <v>0</v>
      </c>
      <c r="S158" s="152">
        <f t="shared" si="416"/>
        <v>0</v>
      </c>
      <c r="T158" s="153" t="str">
        <f t="shared" si="417"/>
        <v/>
      </c>
      <c r="U158" s="152" t="str">
        <f t="shared" si="418"/>
        <v/>
      </c>
      <c r="V158" s="152" t="str">
        <f t="shared" si="419"/>
        <v/>
      </c>
      <c r="W158" s="152" t="str">
        <f t="shared" si="420"/>
        <v/>
      </c>
      <c r="X158" s="545" t="str">
        <f>IF('Marks Entry'!P158="","",'Marks Entry'!P158)</f>
        <v/>
      </c>
      <c r="Y158" s="545" t="str">
        <f>IF('Marks Entry'!Q158="","",'Marks Entry'!Q158)</f>
        <v/>
      </c>
      <c r="Z158" s="545" t="str">
        <f>IF('Marks Entry'!R158="","",'Marks Entry'!R158)</f>
        <v/>
      </c>
      <c r="AA158" s="546" t="str">
        <f t="shared" si="421"/>
        <v/>
      </c>
      <c r="AB158" s="545" t="str">
        <f>IF('Marks Entry'!S158="","",'Marks Entry'!S158)</f>
        <v/>
      </c>
      <c r="AC158" s="546" t="str">
        <f t="shared" si="422"/>
        <v/>
      </c>
      <c r="AD158" s="545" t="str">
        <f>IF('Marks Entry'!T158="","",'Marks Entry'!T158)</f>
        <v/>
      </c>
      <c r="AE158" s="547" t="str">
        <f t="shared" si="423"/>
        <v/>
      </c>
      <c r="AF158" s="152">
        <f t="shared" si="424"/>
        <v>0</v>
      </c>
      <c r="AG158" s="152">
        <f t="shared" si="425"/>
        <v>0</v>
      </c>
      <c r="AH158" s="153" t="str">
        <f t="shared" si="426"/>
        <v/>
      </c>
      <c r="AI158" s="152" t="str">
        <f t="shared" si="427"/>
        <v/>
      </c>
      <c r="AJ158" s="152" t="str">
        <f t="shared" si="428"/>
        <v/>
      </c>
      <c r="AK158" s="152" t="str">
        <f t="shared" si="429"/>
        <v/>
      </c>
      <c r="AL158" s="573" t="str">
        <f>IF('Marks Entry'!U158="","",'Marks Entry'!U158)</f>
        <v/>
      </c>
      <c r="AM158" s="573" t="str">
        <f>IF('Marks Entry'!V158="","",'Marks Entry'!V158)</f>
        <v/>
      </c>
      <c r="AN158" s="573" t="str">
        <f>IF('Marks Entry'!W158="","",'Marks Entry'!W158)</f>
        <v/>
      </c>
      <c r="AO158" s="573" t="str">
        <f>IF('Marks Entry'!X158="","",'Marks Entry'!X158)</f>
        <v/>
      </c>
      <c r="AP158" s="572" t="str">
        <f t="shared" si="430"/>
        <v/>
      </c>
      <c r="AQ158" s="573" t="str">
        <f>IF('Marks Entry'!Y158="","",'Marks Entry'!Y158)</f>
        <v/>
      </c>
      <c r="AR158" s="573" t="str">
        <f>IF('Marks Entry'!Z158="","",'Marks Entry'!Z158)</f>
        <v/>
      </c>
      <c r="AS158" s="572" t="str">
        <f t="shared" si="431"/>
        <v/>
      </c>
      <c r="AT158" s="572" t="str">
        <f t="shared" si="432"/>
        <v/>
      </c>
      <c r="AU158" s="573" t="str">
        <f>IF('Marks Entry'!AA158="","",'Marks Entry'!AA158)</f>
        <v/>
      </c>
      <c r="AV158" s="573" t="str">
        <f>IF('Marks Entry'!AB158="","",'Marks Entry'!AB158)</f>
        <v/>
      </c>
      <c r="AW158" s="572" t="str">
        <f t="shared" si="433"/>
        <v/>
      </c>
      <c r="AX158" s="156" t="str">
        <f t="shared" si="434"/>
        <v/>
      </c>
      <c r="AY158" s="156" t="str">
        <f t="shared" si="435"/>
        <v/>
      </c>
      <c r="AZ158" s="191" t="str">
        <f t="shared" si="436"/>
        <v/>
      </c>
      <c r="BA158" s="152">
        <f t="shared" si="437"/>
        <v>0</v>
      </c>
      <c r="BB158" s="153">
        <f t="shared" si="438"/>
        <v>0</v>
      </c>
      <c r="BC158" s="153" t="str">
        <f t="shared" si="439"/>
        <v/>
      </c>
      <c r="BD158" s="153" t="str">
        <f t="shared" si="440"/>
        <v/>
      </c>
      <c r="BE158" s="153" t="str">
        <f t="shared" si="441"/>
        <v/>
      </c>
      <c r="BF158" s="152" t="str">
        <f t="shared" si="442"/>
        <v/>
      </c>
      <c r="BG158" s="153" t="str">
        <f t="shared" si="443"/>
        <v/>
      </c>
      <c r="BH158" s="152" t="str">
        <f t="shared" si="444"/>
        <v/>
      </c>
      <c r="BI158" s="580" t="str">
        <f>IF('Marks Entry'!AC158="","",'Marks Entry'!AC158)</f>
        <v/>
      </c>
      <c r="BJ158" s="580" t="str">
        <f>IF('Marks Entry'!AD158="","",'Marks Entry'!AD158)</f>
        <v/>
      </c>
      <c r="BK158" s="580" t="str">
        <f>IF('Marks Entry'!AE158="","",'Marks Entry'!AE158)</f>
        <v/>
      </c>
      <c r="BL158" s="580" t="str">
        <f>IF('Marks Entry'!AF158="","",'Marks Entry'!AF158)</f>
        <v/>
      </c>
      <c r="BM158" s="581" t="str">
        <f t="shared" si="445"/>
        <v/>
      </c>
      <c r="BN158" s="580" t="str">
        <f>IF('Marks Entry'!AG158="","",'Marks Entry'!AG158)</f>
        <v/>
      </c>
      <c r="BO158" s="580" t="str">
        <f>IF('Marks Entry'!AH158="","",'Marks Entry'!AH158)</f>
        <v/>
      </c>
      <c r="BP158" s="581" t="str">
        <f t="shared" si="446"/>
        <v/>
      </c>
      <c r="BQ158" s="581" t="str">
        <f t="shared" si="447"/>
        <v/>
      </c>
      <c r="BR158" s="580" t="str">
        <f>IF('Marks Entry'!AI158="","",'Marks Entry'!AI158)</f>
        <v/>
      </c>
      <c r="BS158" s="580" t="str">
        <f>IF('Marks Entry'!AJ158="","",'Marks Entry'!AJ158)</f>
        <v/>
      </c>
      <c r="BT158" s="581" t="str">
        <f t="shared" si="448"/>
        <v/>
      </c>
      <c r="BU158" s="156" t="str">
        <f t="shared" si="449"/>
        <v/>
      </c>
      <c r="BV158" s="156" t="str">
        <f t="shared" si="450"/>
        <v/>
      </c>
      <c r="BW158" s="191" t="str">
        <f t="shared" si="451"/>
        <v/>
      </c>
      <c r="BX158" s="152">
        <f t="shared" si="452"/>
        <v>0</v>
      </c>
      <c r="BY158" s="153">
        <f t="shared" si="453"/>
        <v>0</v>
      </c>
      <c r="BZ158" s="153" t="str">
        <f t="shared" si="454"/>
        <v/>
      </c>
      <c r="CA158" s="153" t="str">
        <f t="shared" si="455"/>
        <v/>
      </c>
      <c r="CB158" s="153" t="str">
        <f t="shared" si="456"/>
        <v/>
      </c>
      <c r="CC158" s="152" t="str">
        <f t="shared" si="457"/>
        <v/>
      </c>
      <c r="CD158" s="153" t="str">
        <f t="shared" si="458"/>
        <v/>
      </c>
      <c r="CE158" s="152" t="str">
        <f t="shared" si="459"/>
        <v/>
      </c>
      <c r="CF158" s="580" t="str">
        <f>IF('Marks Entry'!AK158="","",'Marks Entry'!AK158)</f>
        <v/>
      </c>
      <c r="CG158" s="580" t="str">
        <f>IF('Marks Entry'!AL158="","",'Marks Entry'!AL158)</f>
        <v/>
      </c>
      <c r="CH158" s="580" t="str">
        <f>IF('Marks Entry'!AM158="","",'Marks Entry'!AM158)</f>
        <v/>
      </c>
      <c r="CI158" s="580" t="str">
        <f>IF('Marks Entry'!AN158="","",'Marks Entry'!AN158)</f>
        <v/>
      </c>
      <c r="CJ158" s="581" t="str">
        <f t="shared" si="460"/>
        <v/>
      </c>
      <c r="CK158" s="580" t="str">
        <f>IF('Marks Entry'!AO158="","",'Marks Entry'!AO158)</f>
        <v/>
      </c>
      <c r="CL158" s="580" t="str">
        <f>IF('Marks Entry'!AP158="","",'Marks Entry'!AP158)</f>
        <v/>
      </c>
      <c r="CM158" s="581" t="str">
        <f t="shared" si="461"/>
        <v/>
      </c>
      <c r="CN158" s="581" t="str">
        <f t="shared" si="462"/>
        <v/>
      </c>
      <c r="CO158" s="580" t="str">
        <f>IF('Marks Entry'!AQ158="","",'Marks Entry'!AQ158)</f>
        <v/>
      </c>
      <c r="CP158" s="580" t="str">
        <f>IF('Marks Entry'!AR158="","",'Marks Entry'!AR158)</f>
        <v/>
      </c>
      <c r="CQ158" s="581" t="str">
        <f t="shared" si="463"/>
        <v/>
      </c>
      <c r="CR158" s="156" t="str">
        <f t="shared" si="464"/>
        <v/>
      </c>
      <c r="CS158" s="156" t="str">
        <f t="shared" si="465"/>
        <v/>
      </c>
      <c r="CT158" s="191" t="str">
        <f t="shared" si="466"/>
        <v/>
      </c>
      <c r="CU158" s="152">
        <f t="shared" si="467"/>
        <v>0</v>
      </c>
      <c r="CV158" s="153">
        <f t="shared" si="468"/>
        <v>0</v>
      </c>
      <c r="CW158" s="153" t="str">
        <f t="shared" si="469"/>
        <v/>
      </c>
      <c r="CX158" s="153" t="str">
        <f t="shared" si="470"/>
        <v/>
      </c>
      <c r="CY158" s="153" t="str">
        <f t="shared" si="471"/>
        <v/>
      </c>
      <c r="CZ158" s="152" t="str">
        <f t="shared" si="472"/>
        <v/>
      </c>
      <c r="DA158" s="153" t="str">
        <f t="shared" si="473"/>
        <v/>
      </c>
      <c r="DB158" s="152" t="str">
        <f t="shared" si="474"/>
        <v/>
      </c>
      <c r="DC158" s="153">
        <f t="shared" si="475"/>
        <v>0</v>
      </c>
      <c r="DD158" s="851" t="str">
        <f>IF('Marks Entry'!AS158="","",IF(OR('Master Sheet'!$D$19="YES",'Marks Entry'!$BA$1=1),'Marks Entry'!AS158,""))</f>
        <v/>
      </c>
      <c r="DE158" s="851" t="str">
        <f>IF('Marks Entry'!AT158="","",IF(OR('Master Sheet'!$D$19="YES",'Marks Entry'!$BA$1=1),'Marks Entry'!AT158,""))</f>
        <v/>
      </c>
      <c r="DF158" s="851" t="str">
        <f>IF('Marks Entry'!AU158="","",IF(OR('Master Sheet'!$D$19="YES",'Marks Entry'!$BA$1=1),'Marks Entry'!AU158,""))</f>
        <v/>
      </c>
      <c r="DG158" s="851" t="str">
        <f>IF('Marks Entry'!AV158="","",IF(OR('Master Sheet'!$D$19="YES",'Marks Entry'!$BA$1=1),'Marks Entry'!AV158,""))</f>
        <v/>
      </c>
      <c r="DH158" s="852" t="str">
        <f t="shared" si="476"/>
        <v/>
      </c>
      <c r="DI158" s="851" t="str">
        <f>IF('Marks Entry'!AW158="","",IF(OR('Master Sheet'!$D$19="YES",'Marks Entry'!$BA$1=1),'Marks Entry'!AW158,""))</f>
        <v/>
      </c>
      <c r="DJ158" s="851" t="str">
        <f>IF('Marks Entry'!AX158="","",IF(OR('Master Sheet'!$D$19="YES",'Marks Entry'!$BA$1=1),'Marks Entry'!AX158,""))</f>
        <v/>
      </c>
      <c r="DK158" s="852" t="str">
        <f t="shared" si="477"/>
        <v/>
      </c>
      <c r="DL158" s="852" t="str">
        <f t="shared" si="478"/>
        <v/>
      </c>
      <c r="DM158" s="851" t="str">
        <f>IF('Marks Entry'!AY158="","",IF(OR('Master Sheet'!$D$19="YES",'Marks Entry'!$BA$1=1),'Marks Entry'!AY158,""))</f>
        <v/>
      </c>
      <c r="DN158" s="851" t="str">
        <f>IF('Marks Entry'!AZ158="","",IF(OR('Master Sheet'!$D$19="YES",'Marks Entry'!$BA$1=1),'Marks Entry'!AZ158,""))</f>
        <v/>
      </c>
      <c r="DO158" s="851" t="str">
        <f>IF('Marks Entry'!BA158="","",IF(OR('Master Sheet'!$D$19="YES",'Marks Entry'!$BA$1=1),'Marks Entry'!BA158,""))</f>
        <v/>
      </c>
      <c r="DP158" s="852" t="str">
        <f t="shared" si="479"/>
        <v/>
      </c>
      <c r="DQ158" s="156" t="str">
        <f t="shared" si="480"/>
        <v/>
      </c>
      <c r="DR158" s="156" t="str">
        <f t="shared" si="481"/>
        <v/>
      </c>
      <c r="DS158" s="156" t="str">
        <f t="shared" si="482"/>
        <v/>
      </c>
      <c r="DT158" s="191" t="str">
        <f t="shared" si="483"/>
        <v/>
      </c>
      <c r="DU158" s="152">
        <f t="shared" si="484"/>
        <v>0</v>
      </c>
      <c r="DV158" s="153">
        <f t="shared" si="485"/>
        <v>0</v>
      </c>
      <c r="DW158" s="153" t="str">
        <f t="shared" si="486"/>
        <v/>
      </c>
      <c r="DX158" s="153" t="str">
        <f>IF(OR($B158="NSO",$B158=0,DS158=""),"",IF(AND(DJ158="",DO158=""),"",IF('Master Sheet'!$D$19="YES",$DO$6-COUNTIF(DO158,"ML")*DO$6,DS$6-(COUNTIF(DJ158,"ML")*DJ$6)-(COUNTIF(DO158,"ML")*DO$6))))</f>
        <v/>
      </c>
      <c r="DY158" s="153" t="str">
        <f>IF(OR($B158="NSO",$B158=0),"",IF(AND(DH158="",DI158="",DM158=""),"",IF(AND('Master Sheet'!$D$19="YES",'Marks Entry'!$BA$1=1),100,IF(AND(DJ158="",DO158=""),SUM(($DQ$7+$DR$7)-(DU158+DV158)),SUM(($DQ$6+$DR$6)-(DU158+DV158))))))</f>
        <v/>
      </c>
      <c r="DZ158" s="152" t="str">
        <f t="shared" si="487"/>
        <v/>
      </c>
      <c r="EA158" s="153" t="str">
        <f t="shared" si="488"/>
        <v/>
      </c>
      <c r="EB158" s="152" t="str">
        <f t="shared" si="489"/>
        <v/>
      </c>
      <c r="EC158" s="584" t="str">
        <f>IF('Marks Entry'!BB158="","",'Marks Entry'!BB158)</f>
        <v/>
      </c>
      <c r="ED158" s="584" t="str">
        <f>IF('Marks Entry'!BC158="","",'Marks Entry'!BC158)</f>
        <v/>
      </c>
      <c r="EE158" s="584" t="str">
        <f>IF('Marks Entry'!BD158="","",'Marks Entry'!BD158)</f>
        <v/>
      </c>
      <c r="EF158" s="590" t="str">
        <f t="shared" si="490"/>
        <v/>
      </c>
      <c r="EG158" s="595">
        <f t="shared" si="491"/>
        <v>0</v>
      </c>
      <c r="EH158" s="595">
        <f t="shared" si="492"/>
        <v>0</v>
      </c>
      <c r="EI158" s="192" t="str">
        <f t="shared" si="493"/>
        <v/>
      </c>
      <c r="EJ158" s="595" t="str">
        <f t="shared" si="494"/>
        <v/>
      </c>
      <c r="EK158" s="595" t="str">
        <f t="shared" si="495"/>
        <v/>
      </c>
      <c r="EL158" s="193" t="str">
        <f t="shared" si="496"/>
        <v/>
      </c>
      <c r="EM158" s="193" t="str">
        <f t="shared" si="497"/>
        <v/>
      </c>
      <c r="EN158" s="193" t="str">
        <f t="shared" si="498"/>
        <v/>
      </c>
      <c r="EO158" s="193" t="str">
        <f t="shared" si="499"/>
        <v/>
      </c>
      <c r="EP158" s="193" t="str">
        <f t="shared" si="500"/>
        <v/>
      </c>
      <c r="EQ158" s="193" t="str">
        <f t="shared" si="501"/>
        <v/>
      </c>
      <c r="ER158" s="194">
        <f t="shared" si="502"/>
        <v>0</v>
      </c>
      <c r="ES158" s="194">
        <f t="shared" si="503"/>
        <v>0</v>
      </c>
      <c r="ET158" s="194">
        <f t="shared" si="504"/>
        <v>0</v>
      </c>
      <c r="EU158" s="194">
        <f t="shared" si="505"/>
        <v>0</v>
      </c>
      <c r="EV158" s="194">
        <f t="shared" si="506"/>
        <v>0</v>
      </c>
      <c r="EW158" s="194" t="str">
        <f t="shared" si="507"/>
        <v/>
      </c>
      <c r="EX158" s="195" t="str">
        <f t="shared" si="508"/>
        <v/>
      </c>
      <c r="EY158" s="196" t="str">
        <f>IF('Marks Entry'!BE158="","",'Marks Entry'!BE158)</f>
        <v/>
      </c>
      <c r="EZ158" s="196" t="str">
        <f>IF('Marks Entry'!BF158="","",'Marks Entry'!BF158)</f>
        <v/>
      </c>
      <c r="FA158" s="196" t="str">
        <f>IF('Marks Entry'!BG158="","",'Marks Entry'!BG158)</f>
        <v/>
      </c>
      <c r="FB158" s="596" t="str">
        <f t="shared" si="509"/>
        <v/>
      </c>
      <c r="FC158" s="196" t="str">
        <f>IF('Marks Entry'!BH158="","",'Marks Entry'!BH158)</f>
        <v/>
      </c>
      <c r="FD158" s="196" t="str">
        <f>IF('Marks Entry'!BI158="","",'Marks Entry'!BI158)</f>
        <v/>
      </c>
      <c r="FE158" s="197" t="str">
        <f t="shared" si="510"/>
        <v/>
      </c>
      <c r="FF158" s="198" t="str">
        <f t="shared" si="511"/>
        <v/>
      </c>
      <c r="FG158" s="199" t="str">
        <f>IF(AND(E158=""),"",IF('Student DATA Entry'!L154="","",'Student DATA Entry'!L154))</f>
        <v/>
      </c>
      <c r="FH158" s="200" t="str">
        <f>IF(AND(E158=""),"",IF('Student DATA Entry'!M154="","",'Student DATA Entry'!M154))</f>
        <v/>
      </c>
      <c r="FI158" s="201" t="str">
        <f t="shared" si="512"/>
        <v/>
      </c>
      <c r="FJ158" s="188" t="str">
        <f t="shared" si="513"/>
        <v/>
      </c>
      <c r="FK158" s="188" t="str">
        <f t="shared" si="514"/>
        <v/>
      </c>
      <c r="FL158" s="202" t="str">
        <f t="shared" si="383"/>
        <v/>
      </c>
      <c r="FM158" s="188" t="str">
        <f t="shared" si="515"/>
        <v/>
      </c>
      <c r="FN158" s="203" t="str">
        <f t="shared" si="516"/>
        <v/>
      </c>
      <c r="FO158" s="202" t="str">
        <f t="shared" si="384"/>
        <v/>
      </c>
      <c r="FP158" s="204" t="str">
        <f t="shared" si="517"/>
        <v/>
      </c>
      <c r="FQ158" s="188" t="str">
        <f t="shared" si="385"/>
        <v/>
      </c>
      <c r="FR158" s="188" t="str">
        <f t="shared" si="386"/>
        <v/>
      </c>
      <c r="FS158" s="188" t="str">
        <f t="shared" si="387"/>
        <v/>
      </c>
      <c r="FT158" s="188" t="str">
        <f t="shared" si="388"/>
        <v/>
      </c>
      <c r="FU158" s="188" t="str">
        <f t="shared" si="518"/>
        <v/>
      </c>
      <c r="FV158" s="205" t="str">
        <f t="shared" si="389"/>
        <v/>
      </c>
      <c r="FW158" s="204" t="str">
        <f t="shared" si="519"/>
        <v/>
      </c>
      <c r="FX158" s="188" t="str">
        <f t="shared" si="390"/>
        <v/>
      </c>
      <c r="FY158" s="188" t="str">
        <f t="shared" si="391"/>
        <v/>
      </c>
      <c r="FZ158" s="188" t="str">
        <f t="shared" si="392"/>
        <v/>
      </c>
      <c r="GA158" s="188" t="str">
        <f t="shared" si="393"/>
        <v/>
      </c>
      <c r="GB158" s="188" t="str">
        <f t="shared" si="520"/>
        <v/>
      </c>
      <c r="GC158" s="205" t="str">
        <f t="shared" si="394"/>
        <v/>
      </c>
      <c r="GD158" s="204" t="str">
        <f t="shared" si="521"/>
        <v/>
      </c>
      <c r="GE158" s="188" t="str">
        <f t="shared" si="395"/>
        <v/>
      </c>
      <c r="GF158" s="188" t="str">
        <f t="shared" si="396"/>
        <v/>
      </c>
      <c r="GG158" s="188" t="str">
        <f t="shared" si="397"/>
        <v/>
      </c>
      <c r="GH158" s="188" t="str">
        <f t="shared" si="398"/>
        <v/>
      </c>
      <c r="GI158" s="188" t="str">
        <f t="shared" si="522"/>
        <v/>
      </c>
      <c r="GJ158" s="205" t="str">
        <f t="shared" si="399"/>
        <v/>
      </c>
      <c r="GK158" s="204" t="str">
        <f t="shared" si="523"/>
        <v/>
      </c>
      <c r="GL158" s="188" t="str">
        <f t="shared" si="400"/>
        <v/>
      </c>
      <c r="GM158" s="188" t="str">
        <f t="shared" si="401"/>
        <v/>
      </c>
      <c r="GN158" s="188" t="str">
        <f t="shared" si="402"/>
        <v/>
      </c>
      <c r="GO158" s="188" t="str">
        <f t="shared" si="403"/>
        <v/>
      </c>
      <c r="GP158" s="188" t="str">
        <f t="shared" si="524"/>
        <v/>
      </c>
      <c r="GQ158" s="205" t="str">
        <f t="shared" si="404"/>
        <v/>
      </c>
      <c r="GR158" s="188" t="str">
        <f t="shared" si="525"/>
        <v/>
      </c>
      <c r="GS158" s="188" t="str">
        <f t="shared" si="526"/>
        <v/>
      </c>
      <c r="GT158" s="206" t="str">
        <f t="shared" si="527"/>
        <v xml:space="preserve">    </v>
      </c>
      <c r="GU158" s="206" t="str">
        <f t="shared" si="528"/>
        <v xml:space="preserve">    </v>
      </c>
      <c r="GV158" s="206" t="str">
        <f t="shared" si="529"/>
        <v xml:space="preserve">    </v>
      </c>
      <c r="GW158" s="206" t="str">
        <f t="shared" si="530"/>
        <v xml:space="preserve">       </v>
      </c>
      <c r="GX158" s="598" t="str">
        <f t="shared" si="531"/>
        <v xml:space="preserve">     </v>
      </c>
      <c r="GY158" s="207" t="str">
        <f t="shared" si="405"/>
        <v/>
      </c>
      <c r="GZ158" s="606" t="str">
        <f>IF(AND(Q158="",AE158="",AZ158="",BW158="",CT158=""),"",IF(AND('Master Sheet'!$D$19="YES",'Marks Entry'!$BA$1=1),SUM(Q158,AE158,AZ158,BW158,DT158),SUM(Q158,AE158,AZ158,BW158,CT158)))</f>
        <v/>
      </c>
      <c r="HA158" s="208" t="str">
        <f>IF(GZ158="","",IF(AND('Master Sheet'!$D$19="YES",'Marks Entry'!$BA$1=1),GZ158/((900)-DC158)*100,GZ158/((1000)-DC158)*100))</f>
        <v/>
      </c>
      <c r="HB158" s="611" t="str">
        <f t="shared" si="532"/>
        <v/>
      </c>
      <c r="HC158" s="609" t="str">
        <f t="shared" si="533"/>
        <v/>
      </c>
      <c r="HD158" s="610" t="str">
        <f t="shared" si="534"/>
        <v/>
      </c>
      <c r="HE158" s="209" t="str">
        <f>IFERROR(IF(OR(GY158="SUPPLEMENTARY",GY158="RE-EXAM"),'Supp. Result Entry'!AS157,""),"")</f>
        <v/>
      </c>
      <c r="HF158" s="613" t="str">
        <f t="shared" si="535"/>
        <v/>
      </c>
      <c r="HG158" s="598" t="str">
        <f t="shared" si="536"/>
        <v/>
      </c>
      <c r="HH158" s="598" t="str">
        <f>IF(AND(HE158="",HF158="",HG158=""),"",IF(OR(GY158="SUPPLEMENTARY",GY158="RE-EXAM"),'Supp. Result Entry'!AS157,GY158))</f>
        <v/>
      </c>
      <c r="HI158" s="179"/>
      <c r="HY158" s="211" t="str">
        <f>IF('Supp. Result Entry'!U157="","",'Supp. Result Entry'!$U$6)</f>
        <v/>
      </c>
      <c r="HZ158" s="212" t="str">
        <f>IF('Supp. Result Entry'!X157="","",'Supp. Result Entry'!$X$6)</f>
        <v/>
      </c>
      <c r="IA158" s="212" t="str">
        <f>IF('Supp. Result Entry'!AA157="","",'Supp. Result Entry'!$AA$6)</f>
        <v/>
      </c>
      <c r="IB158" s="212" t="str">
        <f>IF('Supp. Result Entry'!AD157="","",'Supp. Result Entry'!$AD$6)</f>
        <v/>
      </c>
      <c r="IC158" s="212" t="str">
        <f>IF('Supp. Result Entry'!AG157="","",'Supp. Result Entry'!$AG$6)</f>
        <v/>
      </c>
      <c r="ID158" s="212" t="str">
        <f>IF('Supp. Result Entry'!AJ157="","",'Supp. Result Entry'!$AJ$6)</f>
        <v/>
      </c>
      <c r="IE158" s="212" t="str">
        <f>IF('Supp. Result Entry'!V157="","",'Supp. Result Entry'!V157)</f>
        <v/>
      </c>
      <c r="IF158" s="212" t="str">
        <f>IF('Supp. Result Entry'!Y157="","",'Supp. Result Entry'!Y157)</f>
        <v/>
      </c>
      <c r="IG158" s="212" t="str">
        <f>IF('Supp. Result Entry'!AB157="","",'Supp. Result Entry'!AB157)</f>
        <v/>
      </c>
      <c r="IH158" s="212" t="str">
        <f>IF('Supp. Result Entry'!AE157="","",'Supp. Result Entry'!AE157)</f>
        <v/>
      </c>
      <c r="II158" s="212" t="str">
        <f>IF('Supp. Result Entry'!AH157="","",'Supp. Result Entry'!AH157)</f>
        <v/>
      </c>
      <c r="IJ158" s="212" t="str">
        <f>IF('Supp. Result Entry'!AK157="","",'Supp. Result Entry'!AK157)</f>
        <v/>
      </c>
      <c r="IK158" s="212" t="str">
        <f>IF('Supp. Result Entry'!W157="","",'Supp. Result Entry'!W157)</f>
        <v/>
      </c>
      <c r="IL158" s="212" t="str">
        <f>IF('Supp. Result Entry'!Z157="","",'Supp. Result Entry'!Z157)</f>
        <v/>
      </c>
      <c r="IM158" s="212" t="str">
        <f>IF('Supp. Result Entry'!AC157="","",'Supp. Result Entry'!AC157)</f>
        <v/>
      </c>
      <c r="IN158" s="212" t="str">
        <f>IF('Supp. Result Entry'!AF157="","",'Supp. Result Entry'!AF157)</f>
        <v/>
      </c>
      <c r="IO158" s="212" t="str">
        <f>IF('Supp. Result Entry'!AI157="","",'Supp. Result Entry'!AI157)</f>
        <v/>
      </c>
      <c r="IP158" s="212" t="str">
        <f>IF('Supp. Result Entry'!AL157="","",'Supp. Result Entry'!AL157)</f>
        <v/>
      </c>
      <c r="IQ158" s="212">
        <f>COUNTIF('Supp. Result Entry'!K157:Q157,"S")</f>
        <v>0</v>
      </c>
      <c r="IR158" s="212">
        <f t="shared" si="537"/>
        <v>0</v>
      </c>
      <c r="IS158" s="212">
        <f t="shared" si="538"/>
        <v>0</v>
      </c>
      <c r="IT158" s="212" t="str">
        <f t="shared" si="406"/>
        <v/>
      </c>
      <c r="IU158" s="212" t="str">
        <f t="shared" si="407"/>
        <v/>
      </c>
      <c r="IV158" s="212" t="str">
        <f t="shared" si="408"/>
        <v/>
      </c>
      <c r="IW158" s="212" t="str">
        <f t="shared" si="409"/>
        <v/>
      </c>
      <c r="IX158" s="212" t="str">
        <f t="shared" si="410"/>
        <v/>
      </c>
      <c r="IY158" s="212" t="str">
        <f t="shared" si="539"/>
        <v/>
      </c>
      <c r="IZ158" s="212" t="str">
        <f t="shared" si="540"/>
        <v/>
      </c>
      <c r="JA158" s="212" t="str">
        <f t="shared" si="411"/>
        <v/>
      </c>
      <c r="JB158" s="210" t="str">
        <f t="shared" si="541"/>
        <v/>
      </c>
    </row>
    <row r="159" spans="1:262" s="210" customFormat="1" ht="21" customHeight="1">
      <c r="A159" s="183">
        <v>152</v>
      </c>
      <c r="B159" s="184" t="str">
        <f>IF('Marks Entry'!B159="","",'Marks Entry'!B159)</f>
        <v/>
      </c>
      <c r="C159" s="185" t="str">
        <f>IF('Marks Entry'!D159="","",'Marks Entry'!D159)</f>
        <v/>
      </c>
      <c r="D159" s="186" t="str">
        <f>IF('Marks Entry'!E159="","",'Marks Entry'!E159)</f>
        <v/>
      </c>
      <c r="E159" s="187" t="str">
        <f>IF('Marks Entry'!F159="","",'Marks Entry'!F159)</f>
        <v/>
      </c>
      <c r="F159" s="187" t="str">
        <f>IF('Marks Entry'!G159="","",'Marks Entry'!G159)</f>
        <v/>
      </c>
      <c r="G159" s="187" t="str">
        <f>IF('Marks Entry'!H159="","",'Marks Entry'!H159)</f>
        <v/>
      </c>
      <c r="H159" s="188" t="str">
        <f>IF('Marks Entry'!I159="","",'Marks Entry'!I159)</f>
        <v/>
      </c>
      <c r="I159" s="189" t="str">
        <f>IF('Marks Entry'!J159="","",'Marks Entry'!J159)</f>
        <v/>
      </c>
      <c r="J159" s="545" t="str">
        <f>IF('Marks Entry'!K159="","",'Marks Entry'!K159)</f>
        <v/>
      </c>
      <c r="K159" s="545" t="str">
        <f>IF('Marks Entry'!L159="","",'Marks Entry'!L159)</f>
        <v/>
      </c>
      <c r="L159" s="545" t="str">
        <f>IF('Marks Entry'!M159="","",'Marks Entry'!M159)</f>
        <v/>
      </c>
      <c r="M159" s="546" t="str">
        <f t="shared" si="412"/>
        <v/>
      </c>
      <c r="N159" s="545" t="str">
        <f>IF('Marks Entry'!N159="","",'Marks Entry'!N159)</f>
        <v/>
      </c>
      <c r="O159" s="546" t="str">
        <f t="shared" si="413"/>
        <v/>
      </c>
      <c r="P159" s="545" t="str">
        <f>IF('Marks Entry'!O159="","",'Marks Entry'!O159)</f>
        <v/>
      </c>
      <c r="Q159" s="547" t="str">
        <f t="shared" si="414"/>
        <v/>
      </c>
      <c r="R159" s="152">
        <f t="shared" si="415"/>
        <v>0</v>
      </c>
      <c r="S159" s="152">
        <f t="shared" si="416"/>
        <v>0</v>
      </c>
      <c r="T159" s="153" t="str">
        <f t="shared" si="417"/>
        <v/>
      </c>
      <c r="U159" s="152" t="str">
        <f t="shared" si="418"/>
        <v/>
      </c>
      <c r="V159" s="152" t="str">
        <f t="shared" si="419"/>
        <v/>
      </c>
      <c r="W159" s="152" t="str">
        <f t="shared" si="420"/>
        <v/>
      </c>
      <c r="X159" s="545" t="str">
        <f>IF('Marks Entry'!P159="","",'Marks Entry'!P159)</f>
        <v/>
      </c>
      <c r="Y159" s="545" t="str">
        <f>IF('Marks Entry'!Q159="","",'Marks Entry'!Q159)</f>
        <v/>
      </c>
      <c r="Z159" s="545" t="str">
        <f>IF('Marks Entry'!R159="","",'Marks Entry'!R159)</f>
        <v/>
      </c>
      <c r="AA159" s="546" t="str">
        <f t="shared" si="421"/>
        <v/>
      </c>
      <c r="AB159" s="545" t="str">
        <f>IF('Marks Entry'!S159="","",'Marks Entry'!S159)</f>
        <v/>
      </c>
      <c r="AC159" s="546" t="str">
        <f t="shared" si="422"/>
        <v/>
      </c>
      <c r="AD159" s="545" t="str">
        <f>IF('Marks Entry'!T159="","",'Marks Entry'!T159)</f>
        <v/>
      </c>
      <c r="AE159" s="547" t="str">
        <f t="shared" si="423"/>
        <v/>
      </c>
      <c r="AF159" s="152">
        <f t="shared" si="424"/>
        <v>0</v>
      </c>
      <c r="AG159" s="152">
        <f t="shared" si="425"/>
        <v>0</v>
      </c>
      <c r="AH159" s="153" t="str">
        <f t="shared" si="426"/>
        <v/>
      </c>
      <c r="AI159" s="152" t="str">
        <f t="shared" si="427"/>
        <v/>
      </c>
      <c r="AJ159" s="152" t="str">
        <f t="shared" si="428"/>
        <v/>
      </c>
      <c r="AK159" s="152" t="str">
        <f t="shared" si="429"/>
        <v/>
      </c>
      <c r="AL159" s="573" t="str">
        <f>IF('Marks Entry'!U159="","",'Marks Entry'!U159)</f>
        <v/>
      </c>
      <c r="AM159" s="573" t="str">
        <f>IF('Marks Entry'!V159="","",'Marks Entry'!V159)</f>
        <v/>
      </c>
      <c r="AN159" s="573" t="str">
        <f>IF('Marks Entry'!W159="","",'Marks Entry'!W159)</f>
        <v/>
      </c>
      <c r="AO159" s="573" t="str">
        <f>IF('Marks Entry'!X159="","",'Marks Entry'!X159)</f>
        <v/>
      </c>
      <c r="AP159" s="572" t="str">
        <f t="shared" si="430"/>
        <v/>
      </c>
      <c r="AQ159" s="573" t="str">
        <f>IF('Marks Entry'!Y159="","",'Marks Entry'!Y159)</f>
        <v/>
      </c>
      <c r="AR159" s="573" t="str">
        <f>IF('Marks Entry'!Z159="","",'Marks Entry'!Z159)</f>
        <v/>
      </c>
      <c r="AS159" s="572" t="str">
        <f t="shared" si="431"/>
        <v/>
      </c>
      <c r="AT159" s="572" t="str">
        <f t="shared" si="432"/>
        <v/>
      </c>
      <c r="AU159" s="573" t="str">
        <f>IF('Marks Entry'!AA159="","",'Marks Entry'!AA159)</f>
        <v/>
      </c>
      <c r="AV159" s="573" t="str">
        <f>IF('Marks Entry'!AB159="","",'Marks Entry'!AB159)</f>
        <v/>
      </c>
      <c r="AW159" s="572" t="str">
        <f t="shared" si="433"/>
        <v/>
      </c>
      <c r="AX159" s="156" t="str">
        <f t="shared" si="434"/>
        <v/>
      </c>
      <c r="AY159" s="156" t="str">
        <f t="shared" si="435"/>
        <v/>
      </c>
      <c r="AZ159" s="191" t="str">
        <f t="shared" si="436"/>
        <v/>
      </c>
      <c r="BA159" s="152">
        <f t="shared" si="437"/>
        <v>0</v>
      </c>
      <c r="BB159" s="153">
        <f t="shared" si="438"/>
        <v>0</v>
      </c>
      <c r="BC159" s="153" t="str">
        <f t="shared" si="439"/>
        <v/>
      </c>
      <c r="BD159" s="153" t="str">
        <f t="shared" si="440"/>
        <v/>
      </c>
      <c r="BE159" s="153" t="str">
        <f t="shared" si="441"/>
        <v/>
      </c>
      <c r="BF159" s="152" t="str">
        <f t="shared" si="442"/>
        <v/>
      </c>
      <c r="BG159" s="153" t="str">
        <f t="shared" si="443"/>
        <v/>
      </c>
      <c r="BH159" s="152" t="str">
        <f t="shared" si="444"/>
        <v/>
      </c>
      <c r="BI159" s="580" t="str">
        <f>IF('Marks Entry'!AC159="","",'Marks Entry'!AC159)</f>
        <v/>
      </c>
      <c r="BJ159" s="580" t="str">
        <f>IF('Marks Entry'!AD159="","",'Marks Entry'!AD159)</f>
        <v/>
      </c>
      <c r="BK159" s="580" t="str">
        <f>IF('Marks Entry'!AE159="","",'Marks Entry'!AE159)</f>
        <v/>
      </c>
      <c r="BL159" s="580" t="str">
        <f>IF('Marks Entry'!AF159="","",'Marks Entry'!AF159)</f>
        <v/>
      </c>
      <c r="BM159" s="581" t="str">
        <f t="shared" si="445"/>
        <v/>
      </c>
      <c r="BN159" s="580" t="str">
        <f>IF('Marks Entry'!AG159="","",'Marks Entry'!AG159)</f>
        <v/>
      </c>
      <c r="BO159" s="580" t="str">
        <f>IF('Marks Entry'!AH159="","",'Marks Entry'!AH159)</f>
        <v/>
      </c>
      <c r="BP159" s="581" t="str">
        <f t="shared" si="446"/>
        <v/>
      </c>
      <c r="BQ159" s="581" t="str">
        <f t="shared" si="447"/>
        <v/>
      </c>
      <c r="BR159" s="580" t="str">
        <f>IF('Marks Entry'!AI159="","",'Marks Entry'!AI159)</f>
        <v/>
      </c>
      <c r="BS159" s="580" t="str">
        <f>IF('Marks Entry'!AJ159="","",'Marks Entry'!AJ159)</f>
        <v/>
      </c>
      <c r="BT159" s="581" t="str">
        <f t="shared" si="448"/>
        <v/>
      </c>
      <c r="BU159" s="156" t="str">
        <f t="shared" si="449"/>
        <v/>
      </c>
      <c r="BV159" s="156" t="str">
        <f t="shared" si="450"/>
        <v/>
      </c>
      <c r="BW159" s="191" t="str">
        <f t="shared" si="451"/>
        <v/>
      </c>
      <c r="BX159" s="152">
        <f t="shared" si="452"/>
        <v>0</v>
      </c>
      <c r="BY159" s="153">
        <f t="shared" si="453"/>
        <v>0</v>
      </c>
      <c r="BZ159" s="153" t="str">
        <f t="shared" si="454"/>
        <v/>
      </c>
      <c r="CA159" s="153" t="str">
        <f t="shared" si="455"/>
        <v/>
      </c>
      <c r="CB159" s="153" t="str">
        <f t="shared" si="456"/>
        <v/>
      </c>
      <c r="CC159" s="152" t="str">
        <f t="shared" si="457"/>
        <v/>
      </c>
      <c r="CD159" s="153" t="str">
        <f t="shared" si="458"/>
        <v/>
      </c>
      <c r="CE159" s="152" t="str">
        <f t="shared" si="459"/>
        <v/>
      </c>
      <c r="CF159" s="580" t="str">
        <f>IF('Marks Entry'!AK159="","",'Marks Entry'!AK159)</f>
        <v/>
      </c>
      <c r="CG159" s="580" t="str">
        <f>IF('Marks Entry'!AL159="","",'Marks Entry'!AL159)</f>
        <v/>
      </c>
      <c r="CH159" s="580" t="str">
        <f>IF('Marks Entry'!AM159="","",'Marks Entry'!AM159)</f>
        <v/>
      </c>
      <c r="CI159" s="580" t="str">
        <f>IF('Marks Entry'!AN159="","",'Marks Entry'!AN159)</f>
        <v/>
      </c>
      <c r="CJ159" s="581" t="str">
        <f t="shared" si="460"/>
        <v/>
      </c>
      <c r="CK159" s="580" t="str">
        <f>IF('Marks Entry'!AO159="","",'Marks Entry'!AO159)</f>
        <v/>
      </c>
      <c r="CL159" s="580" t="str">
        <f>IF('Marks Entry'!AP159="","",'Marks Entry'!AP159)</f>
        <v/>
      </c>
      <c r="CM159" s="581" t="str">
        <f t="shared" si="461"/>
        <v/>
      </c>
      <c r="CN159" s="581" t="str">
        <f t="shared" si="462"/>
        <v/>
      </c>
      <c r="CO159" s="580" t="str">
        <f>IF('Marks Entry'!AQ159="","",'Marks Entry'!AQ159)</f>
        <v/>
      </c>
      <c r="CP159" s="580" t="str">
        <f>IF('Marks Entry'!AR159="","",'Marks Entry'!AR159)</f>
        <v/>
      </c>
      <c r="CQ159" s="581" t="str">
        <f t="shared" si="463"/>
        <v/>
      </c>
      <c r="CR159" s="156" t="str">
        <f t="shared" si="464"/>
        <v/>
      </c>
      <c r="CS159" s="156" t="str">
        <f t="shared" si="465"/>
        <v/>
      </c>
      <c r="CT159" s="191" t="str">
        <f t="shared" si="466"/>
        <v/>
      </c>
      <c r="CU159" s="152">
        <f t="shared" si="467"/>
        <v>0</v>
      </c>
      <c r="CV159" s="153">
        <f t="shared" si="468"/>
        <v>0</v>
      </c>
      <c r="CW159" s="153" t="str">
        <f t="shared" si="469"/>
        <v/>
      </c>
      <c r="CX159" s="153" t="str">
        <f t="shared" si="470"/>
        <v/>
      </c>
      <c r="CY159" s="153" t="str">
        <f t="shared" si="471"/>
        <v/>
      </c>
      <c r="CZ159" s="152" t="str">
        <f t="shared" si="472"/>
        <v/>
      </c>
      <c r="DA159" s="153" t="str">
        <f t="shared" si="473"/>
        <v/>
      </c>
      <c r="DB159" s="152" t="str">
        <f t="shared" si="474"/>
        <v/>
      </c>
      <c r="DC159" s="153">
        <f t="shared" si="475"/>
        <v>0</v>
      </c>
      <c r="DD159" s="851" t="str">
        <f>IF('Marks Entry'!AS159="","",IF(OR('Master Sheet'!$D$19="YES",'Marks Entry'!$BA$1=1),'Marks Entry'!AS159,""))</f>
        <v/>
      </c>
      <c r="DE159" s="851" t="str">
        <f>IF('Marks Entry'!AT159="","",IF(OR('Master Sheet'!$D$19="YES",'Marks Entry'!$BA$1=1),'Marks Entry'!AT159,""))</f>
        <v/>
      </c>
      <c r="DF159" s="851" t="str">
        <f>IF('Marks Entry'!AU159="","",IF(OR('Master Sheet'!$D$19="YES",'Marks Entry'!$BA$1=1),'Marks Entry'!AU159,""))</f>
        <v/>
      </c>
      <c r="DG159" s="851" t="str">
        <f>IF('Marks Entry'!AV159="","",IF(OR('Master Sheet'!$D$19="YES",'Marks Entry'!$BA$1=1),'Marks Entry'!AV159,""))</f>
        <v/>
      </c>
      <c r="DH159" s="852" t="str">
        <f t="shared" si="476"/>
        <v/>
      </c>
      <c r="DI159" s="851" t="str">
        <f>IF('Marks Entry'!AW159="","",IF(OR('Master Sheet'!$D$19="YES",'Marks Entry'!$BA$1=1),'Marks Entry'!AW159,""))</f>
        <v/>
      </c>
      <c r="DJ159" s="851" t="str">
        <f>IF('Marks Entry'!AX159="","",IF(OR('Master Sheet'!$D$19="YES",'Marks Entry'!$BA$1=1),'Marks Entry'!AX159,""))</f>
        <v/>
      </c>
      <c r="DK159" s="852" t="str">
        <f t="shared" si="477"/>
        <v/>
      </c>
      <c r="DL159" s="852" t="str">
        <f t="shared" si="478"/>
        <v/>
      </c>
      <c r="DM159" s="851" t="str">
        <f>IF('Marks Entry'!AY159="","",IF(OR('Master Sheet'!$D$19="YES",'Marks Entry'!$BA$1=1),'Marks Entry'!AY159,""))</f>
        <v/>
      </c>
      <c r="DN159" s="851" t="str">
        <f>IF('Marks Entry'!AZ159="","",IF(OR('Master Sheet'!$D$19="YES",'Marks Entry'!$BA$1=1),'Marks Entry'!AZ159,""))</f>
        <v/>
      </c>
      <c r="DO159" s="851" t="str">
        <f>IF('Marks Entry'!BA159="","",IF(OR('Master Sheet'!$D$19="YES",'Marks Entry'!$BA$1=1),'Marks Entry'!BA159,""))</f>
        <v/>
      </c>
      <c r="DP159" s="852" t="str">
        <f t="shared" si="479"/>
        <v/>
      </c>
      <c r="DQ159" s="156" t="str">
        <f t="shared" si="480"/>
        <v/>
      </c>
      <c r="DR159" s="156" t="str">
        <f t="shared" si="481"/>
        <v/>
      </c>
      <c r="DS159" s="156" t="str">
        <f t="shared" si="482"/>
        <v/>
      </c>
      <c r="DT159" s="191" t="str">
        <f t="shared" si="483"/>
        <v/>
      </c>
      <c r="DU159" s="152">
        <f t="shared" si="484"/>
        <v>0</v>
      </c>
      <c r="DV159" s="153">
        <f t="shared" si="485"/>
        <v>0</v>
      </c>
      <c r="DW159" s="153" t="str">
        <f t="shared" si="486"/>
        <v/>
      </c>
      <c r="DX159" s="153" t="str">
        <f>IF(OR($B159="NSO",$B159=0,DS159=""),"",IF(AND(DJ159="",DO159=""),"",IF('Master Sheet'!$D$19="YES",$DO$6-COUNTIF(DO159,"ML")*DO$6,DS$6-(COUNTIF(DJ159,"ML")*DJ$6)-(COUNTIF(DO159,"ML")*DO$6))))</f>
        <v/>
      </c>
      <c r="DY159" s="153" t="str">
        <f>IF(OR($B159="NSO",$B159=0),"",IF(AND(DH159="",DI159="",DM159=""),"",IF(AND('Master Sheet'!$D$19="YES",'Marks Entry'!$BA$1=1),100,IF(AND(DJ159="",DO159=""),SUM(($DQ$7+$DR$7)-(DU159+DV159)),SUM(($DQ$6+$DR$6)-(DU159+DV159))))))</f>
        <v/>
      </c>
      <c r="DZ159" s="152" t="str">
        <f t="shared" si="487"/>
        <v/>
      </c>
      <c r="EA159" s="153" t="str">
        <f t="shared" si="488"/>
        <v/>
      </c>
      <c r="EB159" s="152" t="str">
        <f t="shared" si="489"/>
        <v/>
      </c>
      <c r="EC159" s="584" t="str">
        <f>IF('Marks Entry'!BB159="","",'Marks Entry'!BB159)</f>
        <v/>
      </c>
      <c r="ED159" s="584" t="str">
        <f>IF('Marks Entry'!BC159="","",'Marks Entry'!BC159)</f>
        <v/>
      </c>
      <c r="EE159" s="584" t="str">
        <f>IF('Marks Entry'!BD159="","",'Marks Entry'!BD159)</f>
        <v/>
      </c>
      <c r="EF159" s="590" t="str">
        <f t="shared" si="490"/>
        <v/>
      </c>
      <c r="EG159" s="595">
        <f t="shared" si="491"/>
        <v>0</v>
      </c>
      <c r="EH159" s="595">
        <f t="shared" si="492"/>
        <v>0</v>
      </c>
      <c r="EI159" s="192" t="str">
        <f t="shared" si="493"/>
        <v/>
      </c>
      <c r="EJ159" s="595" t="str">
        <f t="shared" si="494"/>
        <v/>
      </c>
      <c r="EK159" s="595" t="str">
        <f t="shared" si="495"/>
        <v/>
      </c>
      <c r="EL159" s="193" t="str">
        <f t="shared" si="496"/>
        <v/>
      </c>
      <c r="EM159" s="193" t="str">
        <f t="shared" si="497"/>
        <v/>
      </c>
      <c r="EN159" s="193" t="str">
        <f t="shared" si="498"/>
        <v/>
      </c>
      <c r="EO159" s="193" t="str">
        <f t="shared" si="499"/>
        <v/>
      </c>
      <c r="EP159" s="193" t="str">
        <f t="shared" si="500"/>
        <v/>
      </c>
      <c r="EQ159" s="193" t="str">
        <f t="shared" si="501"/>
        <v/>
      </c>
      <c r="ER159" s="194">
        <f t="shared" si="502"/>
        <v>0</v>
      </c>
      <c r="ES159" s="194">
        <f t="shared" si="503"/>
        <v>0</v>
      </c>
      <c r="ET159" s="194">
        <f t="shared" si="504"/>
        <v>0</v>
      </c>
      <c r="EU159" s="194">
        <f t="shared" si="505"/>
        <v>0</v>
      </c>
      <c r="EV159" s="194">
        <f t="shared" si="506"/>
        <v>0</v>
      </c>
      <c r="EW159" s="194" t="str">
        <f t="shared" si="507"/>
        <v/>
      </c>
      <c r="EX159" s="195" t="str">
        <f t="shared" si="508"/>
        <v/>
      </c>
      <c r="EY159" s="196" t="str">
        <f>IF('Marks Entry'!BE159="","",'Marks Entry'!BE159)</f>
        <v/>
      </c>
      <c r="EZ159" s="196" t="str">
        <f>IF('Marks Entry'!BF159="","",'Marks Entry'!BF159)</f>
        <v/>
      </c>
      <c r="FA159" s="196" t="str">
        <f>IF('Marks Entry'!BG159="","",'Marks Entry'!BG159)</f>
        <v/>
      </c>
      <c r="FB159" s="596" t="str">
        <f t="shared" si="509"/>
        <v/>
      </c>
      <c r="FC159" s="196" t="str">
        <f>IF('Marks Entry'!BH159="","",'Marks Entry'!BH159)</f>
        <v/>
      </c>
      <c r="FD159" s="196" t="str">
        <f>IF('Marks Entry'!BI159="","",'Marks Entry'!BI159)</f>
        <v/>
      </c>
      <c r="FE159" s="197" t="str">
        <f t="shared" si="510"/>
        <v/>
      </c>
      <c r="FF159" s="198" t="str">
        <f t="shared" si="511"/>
        <v/>
      </c>
      <c r="FG159" s="199" t="str">
        <f>IF(AND(E159=""),"",IF('Student DATA Entry'!L155="","",'Student DATA Entry'!L155))</f>
        <v/>
      </c>
      <c r="FH159" s="200" t="str">
        <f>IF(AND(E159=""),"",IF('Student DATA Entry'!M155="","",'Student DATA Entry'!M155))</f>
        <v/>
      </c>
      <c r="FI159" s="201" t="str">
        <f t="shared" si="512"/>
        <v/>
      </c>
      <c r="FJ159" s="188" t="str">
        <f t="shared" si="513"/>
        <v/>
      </c>
      <c r="FK159" s="188" t="str">
        <f t="shared" si="514"/>
        <v/>
      </c>
      <c r="FL159" s="202" t="str">
        <f t="shared" si="383"/>
        <v/>
      </c>
      <c r="FM159" s="188" t="str">
        <f t="shared" si="515"/>
        <v/>
      </c>
      <c r="FN159" s="203" t="str">
        <f t="shared" si="516"/>
        <v/>
      </c>
      <c r="FO159" s="202" t="str">
        <f t="shared" si="384"/>
        <v/>
      </c>
      <c r="FP159" s="204" t="str">
        <f t="shared" si="517"/>
        <v/>
      </c>
      <c r="FQ159" s="188" t="str">
        <f t="shared" si="385"/>
        <v/>
      </c>
      <c r="FR159" s="188" t="str">
        <f t="shared" si="386"/>
        <v/>
      </c>
      <c r="FS159" s="188" t="str">
        <f t="shared" si="387"/>
        <v/>
      </c>
      <c r="FT159" s="188" t="str">
        <f t="shared" si="388"/>
        <v/>
      </c>
      <c r="FU159" s="188" t="str">
        <f t="shared" si="518"/>
        <v/>
      </c>
      <c r="FV159" s="205" t="str">
        <f t="shared" si="389"/>
        <v/>
      </c>
      <c r="FW159" s="204" t="str">
        <f t="shared" si="519"/>
        <v/>
      </c>
      <c r="FX159" s="188" t="str">
        <f t="shared" si="390"/>
        <v/>
      </c>
      <c r="FY159" s="188" t="str">
        <f t="shared" si="391"/>
        <v/>
      </c>
      <c r="FZ159" s="188" t="str">
        <f t="shared" si="392"/>
        <v/>
      </c>
      <c r="GA159" s="188" t="str">
        <f t="shared" si="393"/>
        <v/>
      </c>
      <c r="GB159" s="188" t="str">
        <f t="shared" si="520"/>
        <v/>
      </c>
      <c r="GC159" s="205" t="str">
        <f t="shared" si="394"/>
        <v/>
      </c>
      <c r="GD159" s="204" t="str">
        <f t="shared" si="521"/>
        <v/>
      </c>
      <c r="GE159" s="188" t="str">
        <f t="shared" si="395"/>
        <v/>
      </c>
      <c r="GF159" s="188" t="str">
        <f t="shared" si="396"/>
        <v/>
      </c>
      <c r="GG159" s="188" t="str">
        <f t="shared" si="397"/>
        <v/>
      </c>
      <c r="GH159" s="188" t="str">
        <f t="shared" si="398"/>
        <v/>
      </c>
      <c r="GI159" s="188" t="str">
        <f t="shared" si="522"/>
        <v/>
      </c>
      <c r="GJ159" s="205" t="str">
        <f t="shared" si="399"/>
        <v/>
      </c>
      <c r="GK159" s="204" t="str">
        <f t="shared" si="523"/>
        <v/>
      </c>
      <c r="GL159" s="188" t="str">
        <f t="shared" si="400"/>
        <v/>
      </c>
      <c r="GM159" s="188" t="str">
        <f t="shared" si="401"/>
        <v/>
      </c>
      <c r="GN159" s="188" t="str">
        <f t="shared" si="402"/>
        <v/>
      </c>
      <c r="GO159" s="188" t="str">
        <f t="shared" si="403"/>
        <v/>
      </c>
      <c r="GP159" s="188" t="str">
        <f t="shared" si="524"/>
        <v/>
      </c>
      <c r="GQ159" s="205" t="str">
        <f t="shared" si="404"/>
        <v/>
      </c>
      <c r="GR159" s="188" t="str">
        <f t="shared" si="525"/>
        <v/>
      </c>
      <c r="GS159" s="188" t="str">
        <f t="shared" si="526"/>
        <v/>
      </c>
      <c r="GT159" s="206" t="str">
        <f t="shared" si="527"/>
        <v xml:space="preserve">    </v>
      </c>
      <c r="GU159" s="206" t="str">
        <f t="shared" si="528"/>
        <v xml:space="preserve">    </v>
      </c>
      <c r="GV159" s="206" t="str">
        <f t="shared" si="529"/>
        <v xml:space="preserve">    </v>
      </c>
      <c r="GW159" s="206" t="str">
        <f t="shared" si="530"/>
        <v xml:space="preserve">       </v>
      </c>
      <c r="GX159" s="598" t="str">
        <f t="shared" si="531"/>
        <v xml:space="preserve">     </v>
      </c>
      <c r="GY159" s="207" t="str">
        <f t="shared" si="405"/>
        <v/>
      </c>
      <c r="GZ159" s="606" t="str">
        <f>IF(AND(Q159="",AE159="",AZ159="",BW159="",CT159=""),"",IF(AND('Master Sheet'!$D$19="YES",'Marks Entry'!$BA$1=1),SUM(Q159,AE159,AZ159,BW159,DT159),SUM(Q159,AE159,AZ159,BW159,CT159)))</f>
        <v/>
      </c>
      <c r="HA159" s="208" t="str">
        <f>IF(GZ159="","",IF(AND('Master Sheet'!$D$19="YES",'Marks Entry'!$BA$1=1),GZ159/((900)-DC159)*100,GZ159/((1000)-DC159)*100))</f>
        <v/>
      </c>
      <c r="HB159" s="611" t="str">
        <f t="shared" si="532"/>
        <v/>
      </c>
      <c r="HC159" s="609" t="str">
        <f t="shared" si="533"/>
        <v/>
      </c>
      <c r="HD159" s="610" t="str">
        <f t="shared" si="534"/>
        <v/>
      </c>
      <c r="HE159" s="209" t="str">
        <f>IFERROR(IF(OR(GY159="SUPPLEMENTARY",GY159="RE-EXAM"),'Supp. Result Entry'!AS158,""),"")</f>
        <v/>
      </c>
      <c r="HF159" s="613" t="str">
        <f t="shared" si="535"/>
        <v/>
      </c>
      <c r="HG159" s="598" t="str">
        <f t="shared" si="536"/>
        <v/>
      </c>
      <c r="HH159" s="598" t="str">
        <f>IF(AND(HE159="",HF159="",HG159=""),"",IF(OR(GY159="SUPPLEMENTARY",GY159="RE-EXAM"),'Supp. Result Entry'!AS158,GY159))</f>
        <v/>
      </c>
      <c r="HI159" s="179"/>
      <c r="HY159" s="211" t="str">
        <f>IF('Supp. Result Entry'!U158="","",'Supp. Result Entry'!$U$6)</f>
        <v/>
      </c>
      <c r="HZ159" s="212" t="str">
        <f>IF('Supp. Result Entry'!X158="","",'Supp. Result Entry'!$X$6)</f>
        <v/>
      </c>
      <c r="IA159" s="212" t="str">
        <f>IF('Supp. Result Entry'!AA158="","",'Supp. Result Entry'!$AA$6)</f>
        <v/>
      </c>
      <c r="IB159" s="212" t="str">
        <f>IF('Supp. Result Entry'!AD158="","",'Supp. Result Entry'!$AD$6)</f>
        <v/>
      </c>
      <c r="IC159" s="212" t="str">
        <f>IF('Supp. Result Entry'!AG158="","",'Supp. Result Entry'!$AG$6)</f>
        <v/>
      </c>
      <c r="ID159" s="212" t="str">
        <f>IF('Supp. Result Entry'!AJ158="","",'Supp. Result Entry'!$AJ$6)</f>
        <v/>
      </c>
      <c r="IE159" s="212" t="str">
        <f>IF('Supp. Result Entry'!V158="","",'Supp. Result Entry'!V158)</f>
        <v/>
      </c>
      <c r="IF159" s="212" t="str">
        <f>IF('Supp. Result Entry'!Y158="","",'Supp. Result Entry'!Y158)</f>
        <v/>
      </c>
      <c r="IG159" s="212" t="str">
        <f>IF('Supp. Result Entry'!AB158="","",'Supp. Result Entry'!AB158)</f>
        <v/>
      </c>
      <c r="IH159" s="212" t="str">
        <f>IF('Supp. Result Entry'!AE158="","",'Supp. Result Entry'!AE158)</f>
        <v/>
      </c>
      <c r="II159" s="212" t="str">
        <f>IF('Supp. Result Entry'!AH158="","",'Supp. Result Entry'!AH158)</f>
        <v/>
      </c>
      <c r="IJ159" s="212" t="str">
        <f>IF('Supp. Result Entry'!AK158="","",'Supp. Result Entry'!AK158)</f>
        <v/>
      </c>
      <c r="IK159" s="212" t="str">
        <f>IF('Supp. Result Entry'!W158="","",'Supp. Result Entry'!W158)</f>
        <v/>
      </c>
      <c r="IL159" s="212" t="str">
        <f>IF('Supp. Result Entry'!Z158="","",'Supp. Result Entry'!Z158)</f>
        <v/>
      </c>
      <c r="IM159" s="212" t="str">
        <f>IF('Supp. Result Entry'!AC158="","",'Supp. Result Entry'!AC158)</f>
        <v/>
      </c>
      <c r="IN159" s="212" t="str">
        <f>IF('Supp. Result Entry'!AF158="","",'Supp. Result Entry'!AF158)</f>
        <v/>
      </c>
      <c r="IO159" s="212" t="str">
        <f>IF('Supp. Result Entry'!AI158="","",'Supp. Result Entry'!AI158)</f>
        <v/>
      </c>
      <c r="IP159" s="212" t="str">
        <f>IF('Supp. Result Entry'!AL158="","",'Supp. Result Entry'!AL158)</f>
        <v/>
      </c>
      <c r="IQ159" s="212">
        <f>COUNTIF('Supp. Result Entry'!K158:Q158,"S")</f>
        <v>0</v>
      </c>
      <c r="IR159" s="212">
        <f t="shared" si="537"/>
        <v>0</v>
      </c>
      <c r="IS159" s="212">
        <f t="shared" si="538"/>
        <v>0</v>
      </c>
      <c r="IT159" s="212" t="str">
        <f t="shared" si="406"/>
        <v/>
      </c>
      <c r="IU159" s="212" t="str">
        <f t="shared" si="407"/>
        <v/>
      </c>
      <c r="IV159" s="212" t="str">
        <f t="shared" si="408"/>
        <v/>
      </c>
      <c r="IW159" s="212" t="str">
        <f t="shared" si="409"/>
        <v/>
      </c>
      <c r="IX159" s="212" t="str">
        <f t="shared" si="410"/>
        <v/>
      </c>
      <c r="IY159" s="212" t="str">
        <f t="shared" si="539"/>
        <v/>
      </c>
      <c r="IZ159" s="212" t="str">
        <f t="shared" si="540"/>
        <v/>
      </c>
      <c r="JA159" s="212" t="str">
        <f t="shared" si="411"/>
        <v/>
      </c>
      <c r="JB159" s="210" t="str">
        <f t="shared" si="541"/>
        <v/>
      </c>
    </row>
    <row r="160" spans="1:262" s="210" customFormat="1" ht="21" customHeight="1">
      <c r="A160" s="183">
        <v>153</v>
      </c>
      <c r="B160" s="184" t="str">
        <f>IF('Marks Entry'!B160="","",'Marks Entry'!B160)</f>
        <v/>
      </c>
      <c r="C160" s="185" t="str">
        <f>IF('Marks Entry'!D160="","",'Marks Entry'!D160)</f>
        <v/>
      </c>
      <c r="D160" s="186" t="str">
        <f>IF('Marks Entry'!E160="","",'Marks Entry'!E160)</f>
        <v/>
      </c>
      <c r="E160" s="187" t="str">
        <f>IF('Marks Entry'!F160="","",'Marks Entry'!F160)</f>
        <v/>
      </c>
      <c r="F160" s="187" t="str">
        <f>IF('Marks Entry'!G160="","",'Marks Entry'!G160)</f>
        <v/>
      </c>
      <c r="G160" s="187" t="str">
        <f>IF('Marks Entry'!H160="","",'Marks Entry'!H160)</f>
        <v/>
      </c>
      <c r="H160" s="188" t="str">
        <f>IF('Marks Entry'!I160="","",'Marks Entry'!I160)</f>
        <v/>
      </c>
      <c r="I160" s="189" t="str">
        <f>IF('Marks Entry'!J160="","",'Marks Entry'!J160)</f>
        <v/>
      </c>
      <c r="J160" s="545" t="str">
        <f>IF('Marks Entry'!K160="","",'Marks Entry'!K160)</f>
        <v/>
      </c>
      <c r="K160" s="545" t="str">
        <f>IF('Marks Entry'!L160="","",'Marks Entry'!L160)</f>
        <v/>
      </c>
      <c r="L160" s="545" t="str">
        <f>IF('Marks Entry'!M160="","",'Marks Entry'!M160)</f>
        <v/>
      </c>
      <c r="M160" s="546" t="str">
        <f t="shared" si="412"/>
        <v/>
      </c>
      <c r="N160" s="545" t="str">
        <f>IF('Marks Entry'!N160="","",'Marks Entry'!N160)</f>
        <v/>
      </c>
      <c r="O160" s="546" t="str">
        <f t="shared" si="413"/>
        <v/>
      </c>
      <c r="P160" s="545" t="str">
        <f>IF('Marks Entry'!O160="","",'Marks Entry'!O160)</f>
        <v/>
      </c>
      <c r="Q160" s="547" t="str">
        <f t="shared" si="414"/>
        <v/>
      </c>
      <c r="R160" s="152">
        <f t="shared" si="415"/>
        <v>0</v>
      </c>
      <c r="S160" s="152">
        <f t="shared" si="416"/>
        <v>0</v>
      </c>
      <c r="T160" s="153" t="str">
        <f t="shared" si="417"/>
        <v/>
      </c>
      <c r="U160" s="152" t="str">
        <f t="shared" si="418"/>
        <v/>
      </c>
      <c r="V160" s="152" t="str">
        <f t="shared" si="419"/>
        <v/>
      </c>
      <c r="W160" s="152" t="str">
        <f t="shared" si="420"/>
        <v/>
      </c>
      <c r="X160" s="545" t="str">
        <f>IF('Marks Entry'!P160="","",'Marks Entry'!P160)</f>
        <v/>
      </c>
      <c r="Y160" s="545" t="str">
        <f>IF('Marks Entry'!Q160="","",'Marks Entry'!Q160)</f>
        <v/>
      </c>
      <c r="Z160" s="545" t="str">
        <f>IF('Marks Entry'!R160="","",'Marks Entry'!R160)</f>
        <v/>
      </c>
      <c r="AA160" s="546" t="str">
        <f t="shared" si="421"/>
        <v/>
      </c>
      <c r="AB160" s="545" t="str">
        <f>IF('Marks Entry'!S160="","",'Marks Entry'!S160)</f>
        <v/>
      </c>
      <c r="AC160" s="546" t="str">
        <f t="shared" si="422"/>
        <v/>
      </c>
      <c r="AD160" s="545" t="str">
        <f>IF('Marks Entry'!T160="","",'Marks Entry'!T160)</f>
        <v/>
      </c>
      <c r="AE160" s="547" t="str">
        <f t="shared" si="423"/>
        <v/>
      </c>
      <c r="AF160" s="152">
        <f t="shared" si="424"/>
        <v>0</v>
      </c>
      <c r="AG160" s="152">
        <f t="shared" si="425"/>
        <v>0</v>
      </c>
      <c r="AH160" s="153" t="str">
        <f t="shared" si="426"/>
        <v/>
      </c>
      <c r="AI160" s="152" t="str">
        <f t="shared" si="427"/>
        <v/>
      </c>
      <c r="AJ160" s="152" t="str">
        <f t="shared" si="428"/>
        <v/>
      </c>
      <c r="AK160" s="152" t="str">
        <f t="shared" si="429"/>
        <v/>
      </c>
      <c r="AL160" s="573" t="str">
        <f>IF('Marks Entry'!U160="","",'Marks Entry'!U160)</f>
        <v/>
      </c>
      <c r="AM160" s="573" t="str">
        <f>IF('Marks Entry'!V160="","",'Marks Entry'!V160)</f>
        <v/>
      </c>
      <c r="AN160" s="573" t="str">
        <f>IF('Marks Entry'!W160="","",'Marks Entry'!W160)</f>
        <v/>
      </c>
      <c r="AO160" s="573" t="str">
        <f>IF('Marks Entry'!X160="","",'Marks Entry'!X160)</f>
        <v/>
      </c>
      <c r="AP160" s="572" t="str">
        <f t="shared" si="430"/>
        <v/>
      </c>
      <c r="AQ160" s="573" t="str">
        <f>IF('Marks Entry'!Y160="","",'Marks Entry'!Y160)</f>
        <v/>
      </c>
      <c r="AR160" s="573" t="str">
        <f>IF('Marks Entry'!Z160="","",'Marks Entry'!Z160)</f>
        <v/>
      </c>
      <c r="AS160" s="572" t="str">
        <f t="shared" si="431"/>
        <v/>
      </c>
      <c r="AT160" s="572" t="str">
        <f t="shared" si="432"/>
        <v/>
      </c>
      <c r="AU160" s="573" t="str">
        <f>IF('Marks Entry'!AA160="","",'Marks Entry'!AA160)</f>
        <v/>
      </c>
      <c r="AV160" s="573" t="str">
        <f>IF('Marks Entry'!AB160="","",'Marks Entry'!AB160)</f>
        <v/>
      </c>
      <c r="AW160" s="572" t="str">
        <f t="shared" si="433"/>
        <v/>
      </c>
      <c r="AX160" s="156" t="str">
        <f t="shared" si="434"/>
        <v/>
      </c>
      <c r="AY160" s="156" t="str">
        <f t="shared" si="435"/>
        <v/>
      </c>
      <c r="AZ160" s="191" t="str">
        <f t="shared" si="436"/>
        <v/>
      </c>
      <c r="BA160" s="152">
        <f t="shared" si="437"/>
        <v>0</v>
      </c>
      <c r="BB160" s="153">
        <f t="shared" si="438"/>
        <v>0</v>
      </c>
      <c r="BC160" s="153" t="str">
        <f t="shared" si="439"/>
        <v/>
      </c>
      <c r="BD160" s="153" t="str">
        <f t="shared" si="440"/>
        <v/>
      </c>
      <c r="BE160" s="153" t="str">
        <f t="shared" si="441"/>
        <v/>
      </c>
      <c r="BF160" s="152" t="str">
        <f t="shared" si="442"/>
        <v/>
      </c>
      <c r="BG160" s="153" t="str">
        <f t="shared" si="443"/>
        <v/>
      </c>
      <c r="BH160" s="152" t="str">
        <f t="shared" si="444"/>
        <v/>
      </c>
      <c r="BI160" s="580" t="str">
        <f>IF('Marks Entry'!AC160="","",'Marks Entry'!AC160)</f>
        <v/>
      </c>
      <c r="BJ160" s="580" t="str">
        <f>IF('Marks Entry'!AD160="","",'Marks Entry'!AD160)</f>
        <v/>
      </c>
      <c r="BK160" s="580" t="str">
        <f>IF('Marks Entry'!AE160="","",'Marks Entry'!AE160)</f>
        <v/>
      </c>
      <c r="BL160" s="580" t="str">
        <f>IF('Marks Entry'!AF160="","",'Marks Entry'!AF160)</f>
        <v/>
      </c>
      <c r="BM160" s="581" t="str">
        <f t="shared" si="445"/>
        <v/>
      </c>
      <c r="BN160" s="580" t="str">
        <f>IF('Marks Entry'!AG160="","",'Marks Entry'!AG160)</f>
        <v/>
      </c>
      <c r="BO160" s="580" t="str">
        <f>IF('Marks Entry'!AH160="","",'Marks Entry'!AH160)</f>
        <v/>
      </c>
      <c r="BP160" s="581" t="str">
        <f t="shared" si="446"/>
        <v/>
      </c>
      <c r="BQ160" s="581" t="str">
        <f t="shared" si="447"/>
        <v/>
      </c>
      <c r="BR160" s="580" t="str">
        <f>IF('Marks Entry'!AI160="","",'Marks Entry'!AI160)</f>
        <v/>
      </c>
      <c r="BS160" s="580" t="str">
        <f>IF('Marks Entry'!AJ160="","",'Marks Entry'!AJ160)</f>
        <v/>
      </c>
      <c r="BT160" s="581" t="str">
        <f t="shared" si="448"/>
        <v/>
      </c>
      <c r="BU160" s="156" t="str">
        <f t="shared" si="449"/>
        <v/>
      </c>
      <c r="BV160" s="156" t="str">
        <f t="shared" si="450"/>
        <v/>
      </c>
      <c r="BW160" s="191" t="str">
        <f t="shared" si="451"/>
        <v/>
      </c>
      <c r="BX160" s="152">
        <f t="shared" si="452"/>
        <v>0</v>
      </c>
      <c r="BY160" s="153">
        <f t="shared" si="453"/>
        <v>0</v>
      </c>
      <c r="BZ160" s="153" t="str">
        <f t="shared" si="454"/>
        <v/>
      </c>
      <c r="CA160" s="153" t="str">
        <f t="shared" si="455"/>
        <v/>
      </c>
      <c r="CB160" s="153" t="str">
        <f t="shared" si="456"/>
        <v/>
      </c>
      <c r="CC160" s="152" t="str">
        <f t="shared" si="457"/>
        <v/>
      </c>
      <c r="CD160" s="153" t="str">
        <f t="shared" si="458"/>
        <v/>
      </c>
      <c r="CE160" s="152" t="str">
        <f t="shared" si="459"/>
        <v/>
      </c>
      <c r="CF160" s="580" t="str">
        <f>IF('Marks Entry'!AK160="","",'Marks Entry'!AK160)</f>
        <v/>
      </c>
      <c r="CG160" s="580" t="str">
        <f>IF('Marks Entry'!AL160="","",'Marks Entry'!AL160)</f>
        <v/>
      </c>
      <c r="CH160" s="580" t="str">
        <f>IF('Marks Entry'!AM160="","",'Marks Entry'!AM160)</f>
        <v/>
      </c>
      <c r="CI160" s="580" t="str">
        <f>IF('Marks Entry'!AN160="","",'Marks Entry'!AN160)</f>
        <v/>
      </c>
      <c r="CJ160" s="581" t="str">
        <f t="shared" si="460"/>
        <v/>
      </c>
      <c r="CK160" s="580" t="str">
        <f>IF('Marks Entry'!AO160="","",'Marks Entry'!AO160)</f>
        <v/>
      </c>
      <c r="CL160" s="580" t="str">
        <f>IF('Marks Entry'!AP160="","",'Marks Entry'!AP160)</f>
        <v/>
      </c>
      <c r="CM160" s="581" t="str">
        <f t="shared" si="461"/>
        <v/>
      </c>
      <c r="CN160" s="581" t="str">
        <f t="shared" si="462"/>
        <v/>
      </c>
      <c r="CO160" s="580" t="str">
        <f>IF('Marks Entry'!AQ160="","",'Marks Entry'!AQ160)</f>
        <v/>
      </c>
      <c r="CP160" s="580" t="str">
        <f>IF('Marks Entry'!AR160="","",'Marks Entry'!AR160)</f>
        <v/>
      </c>
      <c r="CQ160" s="581" t="str">
        <f t="shared" si="463"/>
        <v/>
      </c>
      <c r="CR160" s="156" t="str">
        <f t="shared" si="464"/>
        <v/>
      </c>
      <c r="CS160" s="156" t="str">
        <f t="shared" si="465"/>
        <v/>
      </c>
      <c r="CT160" s="191" t="str">
        <f t="shared" si="466"/>
        <v/>
      </c>
      <c r="CU160" s="152">
        <f t="shared" si="467"/>
        <v>0</v>
      </c>
      <c r="CV160" s="153">
        <f t="shared" si="468"/>
        <v>0</v>
      </c>
      <c r="CW160" s="153" t="str">
        <f t="shared" si="469"/>
        <v/>
      </c>
      <c r="CX160" s="153" t="str">
        <f t="shared" si="470"/>
        <v/>
      </c>
      <c r="CY160" s="153" t="str">
        <f t="shared" si="471"/>
        <v/>
      </c>
      <c r="CZ160" s="152" t="str">
        <f t="shared" si="472"/>
        <v/>
      </c>
      <c r="DA160" s="153" t="str">
        <f t="shared" si="473"/>
        <v/>
      </c>
      <c r="DB160" s="152" t="str">
        <f t="shared" si="474"/>
        <v/>
      </c>
      <c r="DC160" s="153">
        <f t="shared" si="475"/>
        <v>0</v>
      </c>
      <c r="DD160" s="851" t="str">
        <f>IF('Marks Entry'!AS160="","",IF(OR('Master Sheet'!$D$19="YES",'Marks Entry'!$BA$1=1),'Marks Entry'!AS160,""))</f>
        <v/>
      </c>
      <c r="DE160" s="851" t="str">
        <f>IF('Marks Entry'!AT160="","",IF(OR('Master Sheet'!$D$19="YES",'Marks Entry'!$BA$1=1),'Marks Entry'!AT160,""))</f>
        <v/>
      </c>
      <c r="DF160" s="851" t="str">
        <f>IF('Marks Entry'!AU160="","",IF(OR('Master Sheet'!$D$19="YES",'Marks Entry'!$BA$1=1),'Marks Entry'!AU160,""))</f>
        <v/>
      </c>
      <c r="DG160" s="851" t="str">
        <f>IF('Marks Entry'!AV160="","",IF(OR('Master Sheet'!$D$19="YES",'Marks Entry'!$BA$1=1),'Marks Entry'!AV160,""))</f>
        <v/>
      </c>
      <c r="DH160" s="852" t="str">
        <f t="shared" si="476"/>
        <v/>
      </c>
      <c r="DI160" s="851" t="str">
        <f>IF('Marks Entry'!AW160="","",IF(OR('Master Sheet'!$D$19="YES",'Marks Entry'!$BA$1=1),'Marks Entry'!AW160,""))</f>
        <v/>
      </c>
      <c r="DJ160" s="851" t="str">
        <f>IF('Marks Entry'!AX160="","",IF(OR('Master Sheet'!$D$19="YES",'Marks Entry'!$BA$1=1),'Marks Entry'!AX160,""))</f>
        <v/>
      </c>
      <c r="DK160" s="852" t="str">
        <f t="shared" si="477"/>
        <v/>
      </c>
      <c r="DL160" s="852" t="str">
        <f t="shared" si="478"/>
        <v/>
      </c>
      <c r="DM160" s="851" t="str">
        <f>IF('Marks Entry'!AY160="","",IF(OR('Master Sheet'!$D$19="YES",'Marks Entry'!$BA$1=1),'Marks Entry'!AY160,""))</f>
        <v/>
      </c>
      <c r="DN160" s="851" t="str">
        <f>IF('Marks Entry'!AZ160="","",IF(OR('Master Sheet'!$D$19="YES",'Marks Entry'!$BA$1=1),'Marks Entry'!AZ160,""))</f>
        <v/>
      </c>
      <c r="DO160" s="851" t="str">
        <f>IF('Marks Entry'!BA160="","",IF(OR('Master Sheet'!$D$19="YES",'Marks Entry'!$BA$1=1),'Marks Entry'!BA160,""))</f>
        <v/>
      </c>
      <c r="DP160" s="852" t="str">
        <f t="shared" si="479"/>
        <v/>
      </c>
      <c r="DQ160" s="156" t="str">
        <f t="shared" si="480"/>
        <v/>
      </c>
      <c r="DR160" s="156" t="str">
        <f t="shared" si="481"/>
        <v/>
      </c>
      <c r="DS160" s="156" t="str">
        <f t="shared" si="482"/>
        <v/>
      </c>
      <c r="DT160" s="191" t="str">
        <f t="shared" si="483"/>
        <v/>
      </c>
      <c r="DU160" s="152">
        <f t="shared" si="484"/>
        <v>0</v>
      </c>
      <c r="DV160" s="153">
        <f t="shared" si="485"/>
        <v>0</v>
      </c>
      <c r="DW160" s="153" t="str">
        <f t="shared" si="486"/>
        <v/>
      </c>
      <c r="DX160" s="153" t="str">
        <f>IF(OR($B160="NSO",$B160=0,DS160=""),"",IF(AND(DJ160="",DO160=""),"",IF('Master Sheet'!$D$19="YES",$DO$6-COUNTIF(DO160,"ML")*DO$6,DS$6-(COUNTIF(DJ160,"ML")*DJ$6)-(COUNTIF(DO160,"ML")*DO$6))))</f>
        <v/>
      </c>
      <c r="DY160" s="153" t="str">
        <f>IF(OR($B160="NSO",$B160=0),"",IF(AND(DH160="",DI160="",DM160=""),"",IF(AND('Master Sheet'!$D$19="YES",'Marks Entry'!$BA$1=1),100,IF(AND(DJ160="",DO160=""),SUM(($DQ$7+$DR$7)-(DU160+DV160)),SUM(($DQ$6+$DR$6)-(DU160+DV160))))))</f>
        <v/>
      </c>
      <c r="DZ160" s="152" t="str">
        <f t="shared" si="487"/>
        <v/>
      </c>
      <c r="EA160" s="153" t="str">
        <f t="shared" si="488"/>
        <v/>
      </c>
      <c r="EB160" s="152" t="str">
        <f t="shared" si="489"/>
        <v/>
      </c>
      <c r="EC160" s="584" t="str">
        <f>IF('Marks Entry'!BB160="","",'Marks Entry'!BB160)</f>
        <v/>
      </c>
      <c r="ED160" s="584" t="str">
        <f>IF('Marks Entry'!BC160="","",'Marks Entry'!BC160)</f>
        <v/>
      </c>
      <c r="EE160" s="584" t="str">
        <f>IF('Marks Entry'!BD160="","",'Marks Entry'!BD160)</f>
        <v/>
      </c>
      <c r="EF160" s="590" t="str">
        <f t="shared" si="490"/>
        <v/>
      </c>
      <c r="EG160" s="595">
        <f t="shared" si="491"/>
        <v>0</v>
      </c>
      <c r="EH160" s="595">
        <f t="shared" si="492"/>
        <v>0</v>
      </c>
      <c r="EI160" s="192" t="str">
        <f t="shared" si="493"/>
        <v/>
      </c>
      <c r="EJ160" s="595" t="str">
        <f t="shared" si="494"/>
        <v/>
      </c>
      <c r="EK160" s="595" t="str">
        <f t="shared" si="495"/>
        <v/>
      </c>
      <c r="EL160" s="193" t="str">
        <f t="shared" si="496"/>
        <v/>
      </c>
      <c r="EM160" s="193" t="str">
        <f t="shared" si="497"/>
        <v/>
      </c>
      <c r="EN160" s="193" t="str">
        <f t="shared" si="498"/>
        <v/>
      </c>
      <c r="EO160" s="193" t="str">
        <f t="shared" si="499"/>
        <v/>
      </c>
      <c r="EP160" s="193" t="str">
        <f t="shared" si="500"/>
        <v/>
      </c>
      <c r="EQ160" s="193" t="str">
        <f t="shared" si="501"/>
        <v/>
      </c>
      <c r="ER160" s="194">
        <f t="shared" si="502"/>
        <v>0</v>
      </c>
      <c r="ES160" s="194">
        <f t="shared" si="503"/>
        <v>0</v>
      </c>
      <c r="ET160" s="194">
        <f t="shared" si="504"/>
        <v>0</v>
      </c>
      <c r="EU160" s="194">
        <f t="shared" si="505"/>
        <v>0</v>
      </c>
      <c r="EV160" s="194">
        <f t="shared" si="506"/>
        <v>0</v>
      </c>
      <c r="EW160" s="194" t="str">
        <f t="shared" si="507"/>
        <v/>
      </c>
      <c r="EX160" s="195" t="str">
        <f t="shared" si="508"/>
        <v/>
      </c>
      <c r="EY160" s="196" t="str">
        <f>IF('Marks Entry'!BE160="","",'Marks Entry'!BE160)</f>
        <v/>
      </c>
      <c r="EZ160" s="196" t="str">
        <f>IF('Marks Entry'!BF160="","",'Marks Entry'!BF160)</f>
        <v/>
      </c>
      <c r="FA160" s="196" t="str">
        <f>IF('Marks Entry'!BG160="","",'Marks Entry'!BG160)</f>
        <v/>
      </c>
      <c r="FB160" s="596" t="str">
        <f t="shared" si="509"/>
        <v/>
      </c>
      <c r="FC160" s="196" t="str">
        <f>IF('Marks Entry'!BH160="","",'Marks Entry'!BH160)</f>
        <v/>
      </c>
      <c r="FD160" s="196" t="str">
        <f>IF('Marks Entry'!BI160="","",'Marks Entry'!BI160)</f>
        <v/>
      </c>
      <c r="FE160" s="197" t="str">
        <f t="shared" si="510"/>
        <v/>
      </c>
      <c r="FF160" s="198" t="str">
        <f t="shared" si="511"/>
        <v/>
      </c>
      <c r="FG160" s="199" t="str">
        <f>IF(AND(E160=""),"",IF('Student DATA Entry'!L156="","",'Student DATA Entry'!L156))</f>
        <v/>
      </c>
      <c r="FH160" s="200" t="str">
        <f>IF(AND(E160=""),"",IF('Student DATA Entry'!M156="","",'Student DATA Entry'!M156))</f>
        <v/>
      </c>
      <c r="FI160" s="201" t="str">
        <f t="shared" si="512"/>
        <v/>
      </c>
      <c r="FJ160" s="188" t="str">
        <f t="shared" si="513"/>
        <v/>
      </c>
      <c r="FK160" s="188" t="str">
        <f t="shared" si="514"/>
        <v/>
      </c>
      <c r="FL160" s="202" t="str">
        <f t="shared" si="383"/>
        <v/>
      </c>
      <c r="FM160" s="188" t="str">
        <f t="shared" si="515"/>
        <v/>
      </c>
      <c r="FN160" s="203" t="str">
        <f t="shared" si="516"/>
        <v/>
      </c>
      <c r="FO160" s="202" t="str">
        <f t="shared" si="384"/>
        <v/>
      </c>
      <c r="FP160" s="204" t="str">
        <f t="shared" si="517"/>
        <v/>
      </c>
      <c r="FQ160" s="188" t="str">
        <f t="shared" si="385"/>
        <v/>
      </c>
      <c r="FR160" s="188" t="str">
        <f t="shared" si="386"/>
        <v/>
      </c>
      <c r="FS160" s="188" t="str">
        <f t="shared" si="387"/>
        <v/>
      </c>
      <c r="FT160" s="188" t="str">
        <f t="shared" si="388"/>
        <v/>
      </c>
      <c r="FU160" s="188" t="str">
        <f t="shared" si="518"/>
        <v/>
      </c>
      <c r="FV160" s="205" t="str">
        <f t="shared" si="389"/>
        <v/>
      </c>
      <c r="FW160" s="204" t="str">
        <f t="shared" si="519"/>
        <v/>
      </c>
      <c r="FX160" s="188" t="str">
        <f t="shared" si="390"/>
        <v/>
      </c>
      <c r="FY160" s="188" t="str">
        <f t="shared" si="391"/>
        <v/>
      </c>
      <c r="FZ160" s="188" t="str">
        <f t="shared" si="392"/>
        <v/>
      </c>
      <c r="GA160" s="188" t="str">
        <f t="shared" si="393"/>
        <v/>
      </c>
      <c r="GB160" s="188" t="str">
        <f t="shared" si="520"/>
        <v/>
      </c>
      <c r="GC160" s="205" t="str">
        <f t="shared" si="394"/>
        <v/>
      </c>
      <c r="GD160" s="204" t="str">
        <f t="shared" si="521"/>
        <v/>
      </c>
      <c r="GE160" s="188" t="str">
        <f t="shared" si="395"/>
        <v/>
      </c>
      <c r="GF160" s="188" t="str">
        <f t="shared" si="396"/>
        <v/>
      </c>
      <c r="GG160" s="188" t="str">
        <f t="shared" si="397"/>
        <v/>
      </c>
      <c r="GH160" s="188" t="str">
        <f t="shared" si="398"/>
        <v/>
      </c>
      <c r="GI160" s="188" t="str">
        <f t="shared" si="522"/>
        <v/>
      </c>
      <c r="GJ160" s="205" t="str">
        <f t="shared" si="399"/>
        <v/>
      </c>
      <c r="GK160" s="204" t="str">
        <f t="shared" si="523"/>
        <v/>
      </c>
      <c r="GL160" s="188" t="str">
        <f t="shared" si="400"/>
        <v/>
      </c>
      <c r="GM160" s="188" t="str">
        <f t="shared" si="401"/>
        <v/>
      </c>
      <c r="GN160" s="188" t="str">
        <f t="shared" si="402"/>
        <v/>
      </c>
      <c r="GO160" s="188" t="str">
        <f t="shared" si="403"/>
        <v/>
      </c>
      <c r="GP160" s="188" t="str">
        <f t="shared" si="524"/>
        <v/>
      </c>
      <c r="GQ160" s="205" t="str">
        <f t="shared" si="404"/>
        <v/>
      </c>
      <c r="GR160" s="188" t="str">
        <f t="shared" si="525"/>
        <v/>
      </c>
      <c r="GS160" s="188" t="str">
        <f t="shared" si="526"/>
        <v/>
      </c>
      <c r="GT160" s="206" t="str">
        <f t="shared" si="527"/>
        <v xml:space="preserve">    </v>
      </c>
      <c r="GU160" s="206" t="str">
        <f t="shared" si="528"/>
        <v xml:space="preserve">    </v>
      </c>
      <c r="GV160" s="206" t="str">
        <f t="shared" si="529"/>
        <v xml:space="preserve">    </v>
      </c>
      <c r="GW160" s="206" t="str">
        <f t="shared" si="530"/>
        <v xml:space="preserve">       </v>
      </c>
      <c r="GX160" s="598" t="str">
        <f t="shared" si="531"/>
        <v xml:space="preserve">     </v>
      </c>
      <c r="GY160" s="207" t="str">
        <f t="shared" si="405"/>
        <v/>
      </c>
      <c r="GZ160" s="606" t="str">
        <f>IF(AND(Q160="",AE160="",AZ160="",BW160="",CT160=""),"",IF(AND('Master Sheet'!$D$19="YES",'Marks Entry'!$BA$1=1),SUM(Q160,AE160,AZ160,BW160,DT160),SUM(Q160,AE160,AZ160,BW160,CT160)))</f>
        <v/>
      </c>
      <c r="HA160" s="208" t="str">
        <f>IF(GZ160="","",IF(AND('Master Sheet'!$D$19="YES",'Marks Entry'!$BA$1=1),GZ160/((900)-DC160)*100,GZ160/((1000)-DC160)*100))</f>
        <v/>
      </c>
      <c r="HB160" s="611" t="str">
        <f t="shared" si="532"/>
        <v/>
      </c>
      <c r="HC160" s="609" t="str">
        <f t="shared" si="533"/>
        <v/>
      </c>
      <c r="HD160" s="610" t="str">
        <f t="shared" si="534"/>
        <v/>
      </c>
      <c r="HE160" s="209" t="str">
        <f>IFERROR(IF(OR(GY160="SUPPLEMENTARY",GY160="RE-EXAM"),'Supp. Result Entry'!AS159,""),"")</f>
        <v/>
      </c>
      <c r="HF160" s="613" t="str">
        <f t="shared" si="535"/>
        <v/>
      </c>
      <c r="HG160" s="598" t="str">
        <f t="shared" si="536"/>
        <v/>
      </c>
      <c r="HH160" s="598" t="str">
        <f>IF(AND(HE160="",HF160="",HG160=""),"",IF(OR(GY160="SUPPLEMENTARY",GY160="RE-EXAM"),'Supp. Result Entry'!AS159,GY160))</f>
        <v/>
      </c>
      <c r="HI160" s="179"/>
      <c r="HY160" s="211" t="str">
        <f>IF('Supp. Result Entry'!U159="","",'Supp. Result Entry'!$U$6)</f>
        <v/>
      </c>
      <c r="HZ160" s="212" t="str">
        <f>IF('Supp. Result Entry'!X159="","",'Supp. Result Entry'!$X$6)</f>
        <v/>
      </c>
      <c r="IA160" s="212" t="str">
        <f>IF('Supp. Result Entry'!AA159="","",'Supp. Result Entry'!$AA$6)</f>
        <v/>
      </c>
      <c r="IB160" s="212" t="str">
        <f>IF('Supp. Result Entry'!AD159="","",'Supp. Result Entry'!$AD$6)</f>
        <v/>
      </c>
      <c r="IC160" s="212" t="str">
        <f>IF('Supp. Result Entry'!AG159="","",'Supp. Result Entry'!$AG$6)</f>
        <v/>
      </c>
      <c r="ID160" s="212" t="str">
        <f>IF('Supp. Result Entry'!AJ159="","",'Supp. Result Entry'!$AJ$6)</f>
        <v/>
      </c>
      <c r="IE160" s="212" t="str">
        <f>IF('Supp. Result Entry'!V159="","",'Supp. Result Entry'!V159)</f>
        <v/>
      </c>
      <c r="IF160" s="212" t="str">
        <f>IF('Supp. Result Entry'!Y159="","",'Supp. Result Entry'!Y159)</f>
        <v/>
      </c>
      <c r="IG160" s="212" t="str">
        <f>IF('Supp. Result Entry'!AB159="","",'Supp. Result Entry'!AB159)</f>
        <v/>
      </c>
      <c r="IH160" s="212" t="str">
        <f>IF('Supp. Result Entry'!AE159="","",'Supp. Result Entry'!AE159)</f>
        <v/>
      </c>
      <c r="II160" s="212" t="str">
        <f>IF('Supp. Result Entry'!AH159="","",'Supp. Result Entry'!AH159)</f>
        <v/>
      </c>
      <c r="IJ160" s="212" t="str">
        <f>IF('Supp. Result Entry'!AK159="","",'Supp. Result Entry'!AK159)</f>
        <v/>
      </c>
      <c r="IK160" s="212" t="str">
        <f>IF('Supp. Result Entry'!W159="","",'Supp. Result Entry'!W159)</f>
        <v/>
      </c>
      <c r="IL160" s="212" t="str">
        <f>IF('Supp. Result Entry'!Z159="","",'Supp. Result Entry'!Z159)</f>
        <v/>
      </c>
      <c r="IM160" s="212" t="str">
        <f>IF('Supp. Result Entry'!AC159="","",'Supp. Result Entry'!AC159)</f>
        <v/>
      </c>
      <c r="IN160" s="212" t="str">
        <f>IF('Supp. Result Entry'!AF159="","",'Supp. Result Entry'!AF159)</f>
        <v/>
      </c>
      <c r="IO160" s="212" t="str">
        <f>IF('Supp. Result Entry'!AI159="","",'Supp. Result Entry'!AI159)</f>
        <v/>
      </c>
      <c r="IP160" s="212" t="str">
        <f>IF('Supp. Result Entry'!AL159="","",'Supp. Result Entry'!AL159)</f>
        <v/>
      </c>
      <c r="IQ160" s="212">
        <f>COUNTIF('Supp. Result Entry'!K159:Q159,"S")</f>
        <v>0</v>
      </c>
      <c r="IR160" s="212">
        <f t="shared" si="537"/>
        <v>0</v>
      </c>
      <c r="IS160" s="212">
        <f t="shared" si="538"/>
        <v>0</v>
      </c>
      <c r="IT160" s="212" t="str">
        <f t="shared" si="406"/>
        <v/>
      </c>
      <c r="IU160" s="212" t="str">
        <f t="shared" si="407"/>
        <v/>
      </c>
      <c r="IV160" s="212" t="str">
        <f t="shared" si="408"/>
        <v/>
      </c>
      <c r="IW160" s="212" t="str">
        <f t="shared" si="409"/>
        <v/>
      </c>
      <c r="IX160" s="212" t="str">
        <f t="shared" si="410"/>
        <v/>
      </c>
      <c r="IY160" s="212" t="str">
        <f t="shared" si="539"/>
        <v/>
      </c>
      <c r="IZ160" s="212" t="str">
        <f t="shared" si="540"/>
        <v/>
      </c>
      <c r="JA160" s="212" t="str">
        <f t="shared" si="411"/>
        <v/>
      </c>
      <c r="JB160" s="210" t="str">
        <f t="shared" si="541"/>
        <v/>
      </c>
    </row>
    <row r="161" spans="1:262" s="210" customFormat="1" ht="21" customHeight="1">
      <c r="A161" s="183">
        <v>154</v>
      </c>
      <c r="B161" s="184" t="str">
        <f>IF('Marks Entry'!B161="","",'Marks Entry'!B161)</f>
        <v/>
      </c>
      <c r="C161" s="185" t="str">
        <f>IF('Marks Entry'!D161="","",'Marks Entry'!D161)</f>
        <v/>
      </c>
      <c r="D161" s="186" t="str">
        <f>IF('Marks Entry'!E161="","",'Marks Entry'!E161)</f>
        <v/>
      </c>
      <c r="E161" s="187" t="str">
        <f>IF('Marks Entry'!F161="","",'Marks Entry'!F161)</f>
        <v/>
      </c>
      <c r="F161" s="187" t="str">
        <f>IF('Marks Entry'!G161="","",'Marks Entry'!G161)</f>
        <v/>
      </c>
      <c r="G161" s="187" t="str">
        <f>IF('Marks Entry'!H161="","",'Marks Entry'!H161)</f>
        <v/>
      </c>
      <c r="H161" s="188" t="str">
        <f>IF('Marks Entry'!I161="","",'Marks Entry'!I161)</f>
        <v/>
      </c>
      <c r="I161" s="189" t="str">
        <f>IF('Marks Entry'!J161="","",'Marks Entry'!J161)</f>
        <v/>
      </c>
      <c r="J161" s="545" t="str">
        <f>IF('Marks Entry'!K161="","",'Marks Entry'!K161)</f>
        <v/>
      </c>
      <c r="K161" s="545" t="str">
        <f>IF('Marks Entry'!L161="","",'Marks Entry'!L161)</f>
        <v/>
      </c>
      <c r="L161" s="545" t="str">
        <f>IF('Marks Entry'!M161="","",'Marks Entry'!M161)</f>
        <v/>
      </c>
      <c r="M161" s="546" t="str">
        <f t="shared" si="412"/>
        <v/>
      </c>
      <c r="N161" s="545" t="str">
        <f>IF('Marks Entry'!N161="","",'Marks Entry'!N161)</f>
        <v/>
      </c>
      <c r="O161" s="546" t="str">
        <f t="shared" si="413"/>
        <v/>
      </c>
      <c r="P161" s="545" t="str">
        <f>IF('Marks Entry'!O161="","",'Marks Entry'!O161)</f>
        <v/>
      </c>
      <c r="Q161" s="547" t="str">
        <f t="shared" si="414"/>
        <v/>
      </c>
      <c r="R161" s="152">
        <f t="shared" si="415"/>
        <v>0</v>
      </c>
      <c r="S161" s="152">
        <f t="shared" si="416"/>
        <v>0</v>
      </c>
      <c r="T161" s="153" t="str">
        <f t="shared" si="417"/>
        <v/>
      </c>
      <c r="U161" s="152" t="str">
        <f t="shared" si="418"/>
        <v/>
      </c>
      <c r="V161" s="152" t="str">
        <f t="shared" si="419"/>
        <v/>
      </c>
      <c r="W161" s="152" t="str">
        <f t="shared" si="420"/>
        <v/>
      </c>
      <c r="X161" s="545" t="str">
        <f>IF('Marks Entry'!P161="","",'Marks Entry'!P161)</f>
        <v/>
      </c>
      <c r="Y161" s="545" t="str">
        <f>IF('Marks Entry'!Q161="","",'Marks Entry'!Q161)</f>
        <v/>
      </c>
      <c r="Z161" s="545" t="str">
        <f>IF('Marks Entry'!R161="","",'Marks Entry'!R161)</f>
        <v/>
      </c>
      <c r="AA161" s="546" t="str">
        <f t="shared" si="421"/>
        <v/>
      </c>
      <c r="AB161" s="545" t="str">
        <f>IF('Marks Entry'!S161="","",'Marks Entry'!S161)</f>
        <v/>
      </c>
      <c r="AC161" s="546" t="str">
        <f t="shared" si="422"/>
        <v/>
      </c>
      <c r="AD161" s="545" t="str">
        <f>IF('Marks Entry'!T161="","",'Marks Entry'!T161)</f>
        <v/>
      </c>
      <c r="AE161" s="547" t="str">
        <f t="shared" si="423"/>
        <v/>
      </c>
      <c r="AF161" s="152">
        <f t="shared" si="424"/>
        <v>0</v>
      </c>
      <c r="AG161" s="152">
        <f t="shared" si="425"/>
        <v>0</v>
      </c>
      <c r="AH161" s="153" t="str">
        <f t="shared" si="426"/>
        <v/>
      </c>
      <c r="AI161" s="152" t="str">
        <f t="shared" si="427"/>
        <v/>
      </c>
      <c r="AJ161" s="152" t="str">
        <f t="shared" si="428"/>
        <v/>
      </c>
      <c r="AK161" s="152" t="str">
        <f t="shared" si="429"/>
        <v/>
      </c>
      <c r="AL161" s="573" t="str">
        <f>IF('Marks Entry'!U161="","",'Marks Entry'!U161)</f>
        <v/>
      </c>
      <c r="AM161" s="573" t="str">
        <f>IF('Marks Entry'!V161="","",'Marks Entry'!V161)</f>
        <v/>
      </c>
      <c r="AN161" s="573" t="str">
        <f>IF('Marks Entry'!W161="","",'Marks Entry'!W161)</f>
        <v/>
      </c>
      <c r="AO161" s="573" t="str">
        <f>IF('Marks Entry'!X161="","",'Marks Entry'!X161)</f>
        <v/>
      </c>
      <c r="AP161" s="572" t="str">
        <f t="shared" si="430"/>
        <v/>
      </c>
      <c r="AQ161" s="573" t="str">
        <f>IF('Marks Entry'!Y161="","",'Marks Entry'!Y161)</f>
        <v/>
      </c>
      <c r="AR161" s="573" t="str">
        <f>IF('Marks Entry'!Z161="","",'Marks Entry'!Z161)</f>
        <v/>
      </c>
      <c r="AS161" s="572" t="str">
        <f t="shared" si="431"/>
        <v/>
      </c>
      <c r="AT161" s="572" t="str">
        <f t="shared" si="432"/>
        <v/>
      </c>
      <c r="AU161" s="573" t="str">
        <f>IF('Marks Entry'!AA161="","",'Marks Entry'!AA161)</f>
        <v/>
      </c>
      <c r="AV161" s="573" t="str">
        <f>IF('Marks Entry'!AB161="","",'Marks Entry'!AB161)</f>
        <v/>
      </c>
      <c r="AW161" s="572" t="str">
        <f t="shared" si="433"/>
        <v/>
      </c>
      <c r="AX161" s="156" t="str">
        <f t="shared" si="434"/>
        <v/>
      </c>
      <c r="AY161" s="156" t="str">
        <f t="shared" si="435"/>
        <v/>
      </c>
      <c r="AZ161" s="191" t="str">
        <f t="shared" si="436"/>
        <v/>
      </c>
      <c r="BA161" s="152">
        <f t="shared" si="437"/>
        <v>0</v>
      </c>
      <c r="BB161" s="153">
        <f t="shared" si="438"/>
        <v>0</v>
      </c>
      <c r="BC161" s="153" t="str">
        <f t="shared" si="439"/>
        <v/>
      </c>
      <c r="BD161" s="153" t="str">
        <f t="shared" si="440"/>
        <v/>
      </c>
      <c r="BE161" s="153" t="str">
        <f t="shared" si="441"/>
        <v/>
      </c>
      <c r="BF161" s="152" t="str">
        <f t="shared" si="442"/>
        <v/>
      </c>
      <c r="BG161" s="153" t="str">
        <f t="shared" si="443"/>
        <v/>
      </c>
      <c r="BH161" s="152" t="str">
        <f t="shared" si="444"/>
        <v/>
      </c>
      <c r="BI161" s="580" t="str">
        <f>IF('Marks Entry'!AC161="","",'Marks Entry'!AC161)</f>
        <v/>
      </c>
      <c r="BJ161" s="580" t="str">
        <f>IF('Marks Entry'!AD161="","",'Marks Entry'!AD161)</f>
        <v/>
      </c>
      <c r="BK161" s="580" t="str">
        <f>IF('Marks Entry'!AE161="","",'Marks Entry'!AE161)</f>
        <v/>
      </c>
      <c r="BL161" s="580" t="str">
        <f>IF('Marks Entry'!AF161="","",'Marks Entry'!AF161)</f>
        <v/>
      </c>
      <c r="BM161" s="581" t="str">
        <f t="shared" si="445"/>
        <v/>
      </c>
      <c r="BN161" s="580" t="str">
        <f>IF('Marks Entry'!AG161="","",'Marks Entry'!AG161)</f>
        <v/>
      </c>
      <c r="BO161" s="580" t="str">
        <f>IF('Marks Entry'!AH161="","",'Marks Entry'!AH161)</f>
        <v/>
      </c>
      <c r="BP161" s="581" t="str">
        <f t="shared" si="446"/>
        <v/>
      </c>
      <c r="BQ161" s="581" t="str">
        <f t="shared" si="447"/>
        <v/>
      </c>
      <c r="BR161" s="580" t="str">
        <f>IF('Marks Entry'!AI161="","",'Marks Entry'!AI161)</f>
        <v/>
      </c>
      <c r="BS161" s="580" t="str">
        <f>IF('Marks Entry'!AJ161="","",'Marks Entry'!AJ161)</f>
        <v/>
      </c>
      <c r="BT161" s="581" t="str">
        <f t="shared" si="448"/>
        <v/>
      </c>
      <c r="BU161" s="156" t="str">
        <f t="shared" si="449"/>
        <v/>
      </c>
      <c r="BV161" s="156" t="str">
        <f t="shared" si="450"/>
        <v/>
      </c>
      <c r="BW161" s="191" t="str">
        <f t="shared" si="451"/>
        <v/>
      </c>
      <c r="BX161" s="152">
        <f t="shared" si="452"/>
        <v>0</v>
      </c>
      <c r="BY161" s="153">
        <f t="shared" si="453"/>
        <v>0</v>
      </c>
      <c r="BZ161" s="153" t="str">
        <f t="shared" si="454"/>
        <v/>
      </c>
      <c r="CA161" s="153" t="str">
        <f t="shared" si="455"/>
        <v/>
      </c>
      <c r="CB161" s="153" t="str">
        <f t="shared" si="456"/>
        <v/>
      </c>
      <c r="CC161" s="152" t="str">
        <f t="shared" si="457"/>
        <v/>
      </c>
      <c r="CD161" s="153" t="str">
        <f t="shared" si="458"/>
        <v/>
      </c>
      <c r="CE161" s="152" t="str">
        <f t="shared" si="459"/>
        <v/>
      </c>
      <c r="CF161" s="580" t="str">
        <f>IF('Marks Entry'!AK161="","",'Marks Entry'!AK161)</f>
        <v/>
      </c>
      <c r="CG161" s="580" t="str">
        <f>IF('Marks Entry'!AL161="","",'Marks Entry'!AL161)</f>
        <v/>
      </c>
      <c r="CH161" s="580" t="str">
        <f>IF('Marks Entry'!AM161="","",'Marks Entry'!AM161)</f>
        <v/>
      </c>
      <c r="CI161" s="580" t="str">
        <f>IF('Marks Entry'!AN161="","",'Marks Entry'!AN161)</f>
        <v/>
      </c>
      <c r="CJ161" s="581" t="str">
        <f t="shared" si="460"/>
        <v/>
      </c>
      <c r="CK161" s="580" t="str">
        <f>IF('Marks Entry'!AO161="","",'Marks Entry'!AO161)</f>
        <v/>
      </c>
      <c r="CL161" s="580" t="str">
        <f>IF('Marks Entry'!AP161="","",'Marks Entry'!AP161)</f>
        <v/>
      </c>
      <c r="CM161" s="581" t="str">
        <f t="shared" si="461"/>
        <v/>
      </c>
      <c r="CN161" s="581" t="str">
        <f t="shared" si="462"/>
        <v/>
      </c>
      <c r="CO161" s="580" t="str">
        <f>IF('Marks Entry'!AQ161="","",'Marks Entry'!AQ161)</f>
        <v/>
      </c>
      <c r="CP161" s="580" t="str">
        <f>IF('Marks Entry'!AR161="","",'Marks Entry'!AR161)</f>
        <v/>
      </c>
      <c r="CQ161" s="581" t="str">
        <f t="shared" si="463"/>
        <v/>
      </c>
      <c r="CR161" s="156" t="str">
        <f t="shared" si="464"/>
        <v/>
      </c>
      <c r="CS161" s="156" t="str">
        <f t="shared" si="465"/>
        <v/>
      </c>
      <c r="CT161" s="191" t="str">
        <f t="shared" si="466"/>
        <v/>
      </c>
      <c r="CU161" s="152">
        <f t="shared" si="467"/>
        <v>0</v>
      </c>
      <c r="CV161" s="153">
        <f t="shared" si="468"/>
        <v>0</v>
      </c>
      <c r="CW161" s="153" t="str">
        <f t="shared" si="469"/>
        <v/>
      </c>
      <c r="CX161" s="153" t="str">
        <f t="shared" si="470"/>
        <v/>
      </c>
      <c r="CY161" s="153" t="str">
        <f t="shared" si="471"/>
        <v/>
      </c>
      <c r="CZ161" s="152" t="str">
        <f t="shared" si="472"/>
        <v/>
      </c>
      <c r="DA161" s="153" t="str">
        <f t="shared" si="473"/>
        <v/>
      </c>
      <c r="DB161" s="152" t="str">
        <f t="shared" si="474"/>
        <v/>
      </c>
      <c r="DC161" s="153">
        <f t="shared" si="475"/>
        <v>0</v>
      </c>
      <c r="DD161" s="851" t="str">
        <f>IF('Marks Entry'!AS161="","",IF(OR('Master Sheet'!$D$19="YES",'Marks Entry'!$BA$1=1),'Marks Entry'!AS161,""))</f>
        <v/>
      </c>
      <c r="DE161" s="851" t="str">
        <f>IF('Marks Entry'!AT161="","",IF(OR('Master Sheet'!$D$19="YES",'Marks Entry'!$BA$1=1),'Marks Entry'!AT161,""))</f>
        <v/>
      </c>
      <c r="DF161" s="851" t="str">
        <f>IF('Marks Entry'!AU161="","",IF(OR('Master Sheet'!$D$19="YES",'Marks Entry'!$BA$1=1),'Marks Entry'!AU161,""))</f>
        <v/>
      </c>
      <c r="DG161" s="851" t="str">
        <f>IF('Marks Entry'!AV161="","",IF(OR('Master Sheet'!$D$19="YES",'Marks Entry'!$BA$1=1),'Marks Entry'!AV161,""))</f>
        <v/>
      </c>
      <c r="DH161" s="852" t="str">
        <f t="shared" si="476"/>
        <v/>
      </c>
      <c r="DI161" s="851" t="str">
        <f>IF('Marks Entry'!AW161="","",IF(OR('Master Sheet'!$D$19="YES",'Marks Entry'!$BA$1=1),'Marks Entry'!AW161,""))</f>
        <v/>
      </c>
      <c r="DJ161" s="851" t="str">
        <f>IF('Marks Entry'!AX161="","",IF(OR('Master Sheet'!$D$19="YES",'Marks Entry'!$BA$1=1),'Marks Entry'!AX161,""))</f>
        <v/>
      </c>
      <c r="DK161" s="852" t="str">
        <f t="shared" si="477"/>
        <v/>
      </c>
      <c r="DL161" s="852" t="str">
        <f t="shared" si="478"/>
        <v/>
      </c>
      <c r="DM161" s="851" t="str">
        <f>IF('Marks Entry'!AY161="","",IF(OR('Master Sheet'!$D$19="YES",'Marks Entry'!$BA$1=1),'Marks Entry'!AY161,""))</f>
        <v/>
      </c>
      <c r="DN161" s="851" t="str">
        <f>IF('Marks Entry'!AZ161="","",IF(OR('Master Sheet'!$D$19="YES",'Marks Entry'!$BA$1=1),'Marks Entry'!AZ161,""))</f>
        <v/>
      </c>
      <c r="DO161" s="851" t="str">
        <f>IF('Marks Entry'!BA161="","",IF(OR('Master Sheet'!$D$19="YES",'Marks Entry'!$BA$1=1),'Marks Entry'!BA161,""))</f>
        <v/>
      </c>
      <c r="DP161" s="852" t="str">
        <f t="shared" si="479"/>
        <v/>
      </c>
      <c r="DQ161" s="156" t="str">
        <f t="shared" si="480"/>
        <v/>
      </c>
      <c r="DR161" s="156" t="str">
        <f t="shared" si="481"/>
        <v/>
      </c>
      <c r="DS161" s="156" t="str">
        <f t="shared" si="482"/>
        <v/>
      </c>
      <c r="DT161" s="191" t="str">
        <f t="shared" si="483"/>
        <v/>
      </c>
      <c r="DU161" s="152">
        <f t="shared" si="484"/>
        <v>0</v>
      </c>
      <c r="DV161" s="153">
        <f t="shared" si="485"/>
        <v>0</v>
      </c>
      <c r="DW161" s="153" t="str">
        <f t="shared" si="486"/>
        <v/>
      </c>
      <c r="DX161" s="153" t="str">
        <f>IF(OR($B161="NSO",$B161=0,DS161=""),"",IF(AND(DJ161="",DO161=""),"",IF('Master Sheet'!$D$19="YES",$DO$6-COUNTIF(DO161,"ML")*DO$6,DS$6-(COUNTIF(DJ161,"ML")*DJ$6)-(COUNTIF(DO161,"ML")*DO$6))))</f>
        <v/>
      </c>
      <c r="DY161" s="153" t="str">
        <f>IF(OR($B161="NSO",$B161=0),"",IF(AND(DH161="",DI161="",DM161=""),"",IF(AND('Master Sheet'!$D$19="YES",'Marks Entry'!$BA$1=1),100,IF(AND(DJ161="",DO161=""),SUM(($DQ$7+$DR$7)-(DU161+DV161)),SUM(($DQ$6+$DR$6)-(DU161+DV161))))))</f>
        <v/>
      </c>
      <c r="DZ161" s="152" t="str">
        <f t="shared" si="487"/>
        <v/>
      </c>
      <c r="EA161" s="153" t="str">
        <f t="shared" si="488"/>
        <v/>
      </c>
      <c r="EB161" s="152" t="str">
        <f t="shared" si="489"/>
        <v/>
      </c>
      <c r="EC161" s="584" t="str">
        <f>IF('Marks Entry'!BB161="","",'Marks Entry'!BB161)</f>
        <v/>
      </c>
      <c r="ED161" s="584" t="str">
        <f>IF('Marks Entry'!BC161="","",'Marks Entry'!BC161)</f>
        <v/>
      </c>
      <c r="EE161" s="584" t="str">
        <f>IF('Marks Entry'!BD161="","",'Marks Entry'!BD161)</f>
        <v/>
      </c>
      <c r="EF161" s="590" t="str">
        <f t="shared" si="490"/>
        <v/>
      </c>
      <c r="EG161" s="595">
        <f t="shared" si="491"/>
        <v>0</v>
      </c>
      <c r="EH161" s="595">
        <f t="shared" si="492"/>
        <v>0</v>
      </c>
      <c r="EI161" s="192" t="str">
        <f t="shared" si="493"/>
        <v/>
      </c>
      <c r="EJ161" s="595" t="str">
        <f t="shared" si="494"/>
        <v/>
      </c>
      <c r="EK161" s="595" t="str">
        <f t="shared" si="495"/>
        <v/>
      </c>
      <c r="EL161" s="193" t="str">
        <f t="shared" si="496"/>
        <v/>
      </c>
      <c r="EM161" s="193" t="str">
        <f t="shared" si="497"/>
        <v/>
      </c>
      <c r="EN161" s="193" t="str">
        <f t="shared" si="498"/>
        <v/>
      </c>
      <c r="EO161" s="193" t="str">
        <f t="shared" si="499"/>
        <v/>
      </c>
      <c r="EP161" s="193" t="str">
        <f t="shared" si="500"/>
        <v/>
      </c>
      <c r="EQ161" s="193" t="str">
        <f t="shared" si="501"/>
        <v/>
      </c>
      <c r="ER161" s="194">
        <f t="shared" si="502"/>
        <v>0</v>
      </c>
      <c r="ES161" s="194">
        <f t="shared" si="503"/>
        <v>0</v>
      </c>
      <c r="ET161" s="194">
        <f t="shared" si="504"/>
        <v>0</v>
      </c>
      <c r="EU161" s="194">
        <f t="shared" si="505"/>
        <v>0</v>
      </c>
      <c r="EV161" s="194">
        <f t="shared" si="506"/>
        <v>0</v>
      </c>
      <c r="EW161" s="194" t="str">
        <f t="shared" si="507"/>
        <v/>
      </c>
      <c r="EX161" s="195" t="str">
        <f t="shared" si="508"/>
        <v/>
      </c>
      <c r="EY161" s="196" t="str">
        <f>IF('Marks Entry'!BE161="","",'Marks Entry'!BE161)</f>
        <v/>
      </c>
      <c r="EZ161" s="196" t="str">
        <f>IF('Marks Entry'!BF161="","",'Marks Entry'!BF161)</f>
        <v/>
      </c>
      <c r="FA161" s="196" t="str">
        <f>IF('Marks Entry'!BG161="","",'Marks Entry'!BG161)</f>
        <v/>
      </c>
      <c r="FB161" s="596" t="str">
        <f t="shared" si="509"/>
        <v/>
      </c>
      <c r="FC161" s="196" t="str">
        <f>IF('Marks Entry'!BH161="","",'Marks Entry'!BH161)</f>
        <v/>
      </c>
      <c r="FD161" s="196" t="str">
        <f>IF('Marks Entry'!BI161="","",'Marks Entry'!BI161)</f>
        <v/>
      </c>
      <c r="FE161" s="197" t="str">
        <f t="shared" si="510"/>
        <v/>
      </c>
      <c r="FF161" s="198" t="str">
        <f t="shared" si="511"/>
        <v/>
      </c>
      <c r="FG161" s="199" t="str">
        <f>IF(AND(E161=""),"",IF('Student DATA Entry'!L157="","",'Student DATA Entry'!L157))</f>
        <v/>
      </c>
      <c r="FH161" s="200" t="str">
        <f>IF(AND(E161=""),"",IF('Student DATA Entry'!M157="","",'Student DATA Entry'!M157))</f>
        <v/>
      </c>
      <c r="FI161" s="201" t="str">
        <f t="shared" si="512"/>
        <v/>
      </c>
      <c r="FJ161" s="188" t="str">
        <f t="shared" si="513"/>
        <v/>
      </c>
      <c r="FK161" s="188" t="str">
        <f t="shared" si="514"/>
        <v/>
      </c>
      <c r="FL161" s="202" t="str">
        <f t="shared" si="383"/>
        <v/>
      </c>
      <c r="FM161" s="188" t="str">
        <f t="shared" si="515"/>
        <v/>
      </c>
      <c r="FN161" s="203" t="str">
        <f t="shared" si="516"/>
        <v/>
      </c>
      <c r="FO161" s="202" t="str">
        <f t="shared" si="384"/>
        <v/>
      </c>
      <c r="FP161" s="204" t="str">
        <f t="shared" si="517"/>
        <v/>
      </c>
      <c r="FQ161" s="188" t="str">
        <f t="shared" si="385"/>
        <v/>
      </c>
      <c r="FR161" s="188" t="str">
        <f t="shared" si="386"/>
        <v/>
      </c>
      <c r="FS161" s="188" t="str">
        <f t="shared" si="387"/>
        <v/>
      </c>
      <c r="FT161" s="188" t="str">
        <f t="shared" si="388"/>
        <v/>
      </c>
      <c r="FU161" s="188" t="str">
        <f t="shared" si="518"/>
        <v/>
      </c>
      <c r="FV161" s="205" t="str">
        <f t="shared" si="389"/>
        <v/>
      </c>
      <c r="FW161" s="204" t="str">
        <f t="shared" si="519"/>
        <v/>
      </c>
      <c r="FX161" s="188" t="str">
        <f t="shared" si="390"/>
        <v/>
      </c>
      <c r="FY161" s="188" t="str">
        <f t="shared" si="391"/>
        <v/>
      </c>
      <c r="FZ161" s="188" t="str">
        <f t="shared" si="392"/>
        <v/>
      </c>
      <c r="GA161" s="188" t="str">
        <f t="shared" si="393"/>
        <v/>
      </c>
      <c r="GB161" s="188" t="str">
        <f t="shared" si="520"/>
        <v/>
      </c>
      <c r="GC161" s="205" t="str">
        <f t="shared" si="394"/>
        <v/>
      </c>
      <c r="GD161" s="204" t="str">
        <f t="shared" si="521"/>
        <v/>
      </c>
      <c r="GE161" s="188" t="str">
        <f t="shared" si="395"/>
        <v/>
      </c>
      <c r="GF161" s="188" t="str">
        <f t="shared" si="396"/>
        <v/>
      </c>
      <c r="GG161" s="188" t="str">
        <f t="shared" si="397"/>
        <v/>
      </c>
      <c r="GH161" s="188" t="str">
        <f t="shared" si="398"/>
        <v/>
      </c>
      <c r="GI161" s="188" t="str">
        <f t="shared" si="522"/>
        <v/>
      </c>
      <c r="GJ161" s="205" t="str">
        <f t="shared" si="399"/>
        <v/>
      </c>
      <c r="GK161" s="204" t="str">
        <f t="shared" si="523"/>
        <v/>
      </c>
      <c r="GL161" s="188" t="str">
        <f t="shared" si="400"/>
        <v/>
      </c>
      <c r="GM161" s="188" t="str">
        <f t="shared" si="401"/>
        <v/>
      </c>
      <c r="GN161" s="188" t="str">
        <f t="shared" si="402"/>
        <v/>
      </c>
      <c r="GO161" s="188" t="str">
        <f t="shared" si="403"/>
        <v/>
      </c>
      <c r="GP161" s="188" t="str">
        <f t="shared" si="524"/>
        <v/>
      </c>
      <c r="GQ161" s="205" t="str">
        <f t="shared" si="404"/>
        <v/>
      </c>
      <c r="GR161" s="188" t="str">
        <f t="shared" si="525"/>
        <v/>
      </c>
      <c r="GS161" s="188" t="str">
        <f t="shared" si="526"/>
        <v/>
      </c>
      <c r="GT161" s="206" t="str">
        <f t="shared" si="527"/>
        <v xml:space="preserve">    </v>
      </c>
      <c r="GU161" s="206" t="str">
        <f t="shared" si="528"/>
        <v xml:space="preserve">    </v>
      </c>
      <c r="GV161" s="206" t="str">
        <f t="shared" si="529"/>
        <v xml:space="preserve">    </v>
      </c>
      <c r="GW161" s="206" t="str">
        <f t="shared" si="530"/>
        <v xml:space="preserve">       </v>
      </c>
      <c r="GX161" s="598" t="str">
        <f t="shared" si="531"/>
        <v xml:space="preserve">     </v>
      </c>
      <c r="GY161" s="207" t="str">
        <f t="shared" si="405"/>
        <v/>
      </c>
      <c r="GZ161" s="606" t="str">
        <f>IF(AND(Q161="",AE161="",AZ161="",BW161="",CT161=""),"",IF(AND('Master Sheet'!$D$19="YES",'Marks Entry'!$BA$1=1),SUM(Q161,AE161,AZ161,BW161,DT161),SUM(Q161,AE161,AZ161,BW161,CT161)))</f>
        <v/>
      </c>
      <c r="HA161" s="208" t="str">
        <f>IF(GZ161="","",IF(AND('Master Sheet'!$D$19="YES",'Marks Entry'!$BA$1=1),GZ161/((900)-DC161)*100,GZ161/((1000)-DC161)*100))</f>
        <v/>
      </c>
      <c r="HB161" s="611" t="str">
        <f t="shared" si="532"/>
        <v/>
      </c>
      <c r="HC161" s="609" t="str">
        <f t="shared" si="533"/>
        <v/>
      </c>
      <c r="HD161" s="610" t="str">
        <f t="shared" si="534"/>
        <v/>
      </c>
      <c r="HE161" s="209" t="str">
        <f>IFERROR(IF(OR(GY161="SUPPLEMENTARY",GY161="RE-EXAM"),'Supp. Result Entry'!AS160,""),"")</f>
        <v/>
      </c>
      <c r="HF161" s="613" t="str">
        <f t="shared" si="535"/>
        <v/>
      </c>
      <c r="HG161" s="598" t="str">
        <f t="shared" si="536"/>
        <v/>
      </c>
      <c r="HH161" s="598" t="str">
        <f>IF(AND(HE161="",HF161="",HG161=""),"",IF(OR(GY161="SUPPLEMENTARY",GY161="RE-EXAM"),'Supp. Result Entry'!AS160,GY161))</f>
        <v/>
      </c>
      <c r="HI161" s="179"/>
      <c r="HY161" s="211" t="str">
        <f>IF('Supp. Result Entry'!U160="","",'Supp. Result Entry'!$U$6)</f>
        <v/>
      </c>
      <c r="HZ161" s="212" t="str">
        <f>IF('Supp. Result Entry'!X160="","",'Supp. Result Entry'!$X$6)</f>
        <v/>
      </c>
      <c r="IA161" s="212" t="str">
        <f>IF('Supp. Result Entry'!AA160="","",'Supp. Result Entry'!$AA$6)</f>
        <v/>
      </c>
      <c r="IB161" s="212" t="str">
        <f>IF('Supp. Result Entry'!AD160="","",'Supp. Result Entry'!$AD$6)</f>
        <v/>
      </c>
      <c r="IC161" s="212" t="str">
        <f>IF('Supp. Result Entry'!AG160="","",'Supp. Result Entry'!$AG$6)</f>
        <v/>
      </c>
      <c r="ID161" s="212" t="str">
        <f>IF('Supp. Result Entry'!AJ160="","",'Supp. Result Entry'!$AJ$6)</f>
        <v/>
      </c>
      <c r="IE161" s="212" t="str">
        <f>IF('Supp. Result Entry'!V160="","",'Supp. Result Entry'!V160)</f>
        <v/>
      </c>
      <c r="IF161" s="212" t="str">
        <f>IF('Supp. Result Entry'!Y160="","",'Supp. Result Entry'!Y160)</f>
        <v/>
      </c>
      <c r="IG161" s="212" t="str">
        <f>IF('Supp. Result Entry'!AB160="","",'Supp. Result Entry'!AB160)</f>
        <v/>
      </c>
      <c r="IH161" s="212" t="str">
        <f>IF('Supp. Result Entry'!AE160="","",'Supp. Result Entry'!AE160)</f>
        <v/>
      </c>
      <c r="II161" s="212" t="str">
        <f>IF('Supp. Result Entry'!AH160="","",'Supp. Result Entry'!AH160)</f>
        <v/>
      </c>
      <c r="IJ161" s="212" t="str">
        <f>IF('Supp. Result Entry'!AK160="","",'Supp. Result Entry'!AK160)</f>
        <v/>
      </c>
      <c r="IK161" s="212" t="str">
        <f>IF('Supp. Result Entry'!W160="","",'Supp. Result Entry'!W160)</f>
        <v/>
      </c>
      <c r="IL161" s="212" t="str">
        <f>IF('Supp. Result Entry'!Z160="","",'Supp. Result Entry'!Z160)</f>
        <v/>
      </c>
      <c r="IM161" s="212" t="str">
        <f>IF('Supp. Result Entry'!AC160="","",'Supp. Result Entry'!AC160)</f>
        <v/>
      </c>
      <c r="IN161" s="212" t="str">
        <f>IF('Supp. Result Entry'!AF160="","",'Supp. Result Entry'!AF160)</f>
        <v/>
      </c>
      <c r="IO161" s="212" t="str">
        <f>IF('Supp. Result Entry'!AI160="","",'Supp. Result Entry'!AI160)</f>
        <v/>
      </c>
      <c r="IP161" s="212" t="str">
        <f>IF('Supp. Result Entry'!AL160="","",'Supp. Result Entry'!AL160)</f>
        <v/>
      </c>
      <c r="IQ161" s="212">
        <f>COUNTIF('Supp. Result Entry'!K160:Q160,"S")</f>
        <v>0</v>
      </c>
      <c r="IR161" s="212">
        <f t="shared" si="537"/>
        <v>0</v>
      </c>
      <c r="IS161" s="212">
        <f t="shared" si="538"/>
        <v>0</v>
      </c>
      <c r="IT161" s="212" t="str">
        <f t="shared" si="406"/>
        <v/>
      </c>
      <c r="IU161" s="212" t="str">
        <f t="shared" si="407"/>
        <v/>
      </c>
      <c r="IV161" s="212" t="str">
        <f t="shared" si="408"/>
        <v/>
      </c>
      <c r="IW161" s="212" t="str">
        <f t="shared" si="409"/>
        <v/>
      </c>
      <c r="IX161" s="212" t="str">
        <f t="shared" si="410"/>
        <v/>
      </c>
      <c r="IY161" s="212" t="str">
        <f t="shared" si="539"/>
        <v/>
      </c>
      <c r="IZ161" s="212" t="str">
        <f t="shared" si="540"/>
        <v/>
      </c>
      <c r="JA161" s="212" t="str">
        <f t="shared" si="411"/>
        <v/>
      </c>
      <c r="JB161" s="210" t="str">
        <f t="shared" si="541"/>
        <v/>
      </c>
    </row>
    <row r="162" spans="1:262" s="210" customFormat="1" ht="21" customHeight="1">
      <c r="A162" s="183">
        <v>155</v>
      </c>
      <c r="B162" s="184" t="str">
        <f>IF('Marks Entry'!B162="","",'Marks Entry'!B162)</f>
        <v/>
      </c>
      <c r="C162" s="185" t="str">
        <f>IF('Marks Entry'!D162="","",'Marks Entry'!D162)</f>
        <v/>
      </c>
      <c r="D162" s="186" t="str">
        <f>IF('Marks Entry'!E162="","",'Marks Entry'!E162)</f>
        <v/>
      </c>
      <c r="E162" s="187" t="str">
        <f>IF('Marks Entry'!F162="","",'Marks Entry'!F162)</f>
        <v/>
      </c>
      <c r="F162" s="187" t="str">
        <f>IF('Marks Entry'!G162="","",'Marks Entry'!G162)</f>
        <v/>
      </c>
      <c r="G162" s="187" t="str">
        <f>IF('Marks Entry'!H162="","",'Marks Entry'!H162)</f>
        <v/>
      </c>
      <c r="H162" s="188" t="str">
        <f>IF('Marks Entry'!I162="","",'Marks Entry'!I162)</f>
        <v/>
      </c>
      <c r="I162" s="189" t="str">
        <f>IF('Marks Entry'!J162="","",'Marks Entry'!J162)</f>
        <v/>
      </c>
      <c r="J162" s="545" t="str">
        <f>IF('Marks Entry'!K162="","",'Marks Entry'!K162)</f>
        <v/>
      </c>
      <c r="K162" s="545" t="str">
        <f>IF('Marks Entry'!L162="","",'Marks Entry'!L162)</f>
        <v/>
      </c>
      <c r="L162" s="545" t="str">
        <f>IF('Marks Entry'!M162="","",'Marks Entry'!M162)</f>
        <v/>
      </c>
      <c r="M162" s="546" t="str">
        <f t="shared" si="412"/>
        <v/>
      </c>
      <c r="N162" s="545" t="str">
        <f>IF('Marks Entry'!N162="","",'Marks Entry'!N162)</f>
        <v/>
      </c>
      <c r="O162" s="546" t="str">
        <f t="shared" si="413"/>
        <v/>
      </c>
      <c r="P162" s="545" t="str">
        <f>IF('Marks Entry'!O162="","",'Marks Entry'!O162)</f>
        <v/>
      </c>
      <c r="Q162" s="547" t="str">
        <f t="shared" si="414"/>
        <v/>
      </c>
      <c r="R162" s="152">
        <f t="shared" si="415"/>
        <v>0</v>
      </c>
      <c r="S162" s="152">
        <f t="shared" si="416"/>
        <v>0</v>
      </c>
      <c r="T162" s="153" t="str">
        <f t="shared" si="417"/>
        <v/>
      </c>
      <c r="U162" s="152" t="str">
        <f t="shared" si="418"/>
        <v/>
      </c>
      <c r="V162" s="152" t="str">
        <f t="shared" si="419"/>
        <v/>
      </c>
      <c r="W162" s="152" t="str">
        <f t="shared" si="420"/>
        <v/>
      </c>
      <c r="X162" s="545" t="str">
        <f>IF('Marks Entry'!P162="","",'Marks Entry'!P162)</f>
        <v/>
      </c>
      <c r="Y162" s="545" t="str">
        <f>IF('Marks Entry'!Q162="","",'Marks Entry'!Q162)</f>
        <v/>
      </c>
      <c r="Z162" s="545" t="str">
        <f>IF('Marks Entry'!R162="","",'Marks Entry'!R162)</f>
        <v/>
      </c>
      <c r="AA162" s="546" t="str">
        <f t="shared" si="421"/>
        <v/>
      </c>
      <c r="AB162" s="545" t="str">
        <f>IF('Marks Entry'!S162="","",'Marks Entry'!S162)</f>
        <v/>
      </c>
      <c r="AC162" s="546" t="str">
        <f t="shared" si="422"/>
        <v/>
      </c>
      <c r="AD162" s="545" t="str">
        <f>IF('Marks Entry'!T162="","",'Marks Entry'!T162)</f>
        <v/>
      </c>
      <c r="AE162" s="547" t="str">
        <f t="shared" si="423"/>
        <v/>
      </c>
      <c r="AF162" s="152">
        <f t="shared" si="424"/>
        <v>0</v>
      </c>
      <c r="AG162" s="152">
        <f t="shared" si="425"/>
        <v>0</v>
      </c>
      <c r="AH162" s="153" t="str">
        <f t="shared" si="426"/>
        <v/>
      </c>
      <c r="AI162" s="152" t="str">
        <f t="shared" si="427"/>
        <v/>
      </c>
      <c r="AJ162" s="152" t="str">
        <f t="shared" si="428"/>
        <v/>
      </c>
      <c r="AK162" s="152" t="str">
        <f t="shared" si="429"/>
        <v/>
      </c>
      <c r="AL162" s="573" t="str">
        <f>IF('Marks Entry'!U162="","",'Marks Entry'!U162)</f>
        <v/>
      </c>
      <c r="AM162" s="573" t="str">
        <f>IF('Marks Entry'!V162="","",'Marks Entry'!V162)</f>
        <v/>
      </c>
      <c r="AN162" s="573" t="str">
        <f>IF('Marks Entry'!W162="","",'Marks Entry'!W162)</f>
        <v/>
      </c>
      <c r="AO162" s="573" t="str">
        <f>IF('Marks Entry'!X162="","",'Marks Entry'!X162)</f>
        <v/>
      </c>
      <c r="AP162" s="572" t="str">
        <f t="shared" si="430"/>
        <v/>
      </c>
      <c r="AQ162" s="573" t="str">
        <f>IF('Marks Entry'!Y162="","",'Marks Entry'!Y162)</f>
        <v/>
      </c>
      <c r="AR162" s="573" t="str">
        <f>IF('Marks Entry'!Z162="","",'Marks Entry'!Z162)</f>
        <v/>
      </c>
      <c r="AS162" s="572" t="str">
        <f t="shared" si="431"/>
        <v/>
      </c>
      <c r="AT162" s="572" t="str">
        <f t="shared" si="432"/>
        <v/>
      </c>
      <c r="AU162" s="573" t="str">
        <f>IF('Marks Entry'!AA162="","",'Marks Entry'!AA162)</f>
        <v/>
      </c>
      <c r="AV162" s="573" t="str">
        <f>IF('Marks Entry'!AB162="","",'Marks Entry'!AB162)</f>
        <v/>
      </c>
      <c r="AW162" s="572" t="str">
        <f t="shared" si="433"/>
        <v/>
      </c>
      <c r="AX162" s="156" t="str">
        <f t="shared" si="434"/>
        <v/>
      </c>
      <c r="AY162" s="156" t="str">
        <f t="shared" si="435"/>
        <v/>
      </c>
      <c r="AZ162" s="191" t="str">
        <f t="shared" si="436"/>
        <v/>
      </c>
      <c r="BA162" s="152">
        <f t="shared" si="437"/>
        <v>0</v>
      </c>
      <c r="BB162" s="153">
        <f t="shared" si="438"/>
        <v>0</v>
      </c>
      <c r="BC162" s="153" t="str">
        <f t="shared" si="439"/>
        <v/>
      </c>
      <c r="BD162" s="153" t="str">
        <f t="shared" si="440"/>
        <v/>
      </c>
      <c r="BE162" s="153" t="str">
        <f t="shared" si="441"/>
        <v/>
      </c>
      <c r="BF162" s="152" t="str">
        <f t="shared" si="442"/>
        <v/>
      </c>
      <c r="BG162" s="153" t="str">
        <f t="shared" si="443"/>
        <v/>
      </c>
      <c r="BH162" s="152" t="str">
        <f t="shared" si="444"/>
        <v/>
      </c>
      <c r="BI162" s="580" t="str">
        <f>IF('Marks Entry'!AC162="","",'Marks Entry'!AC162)</f>
        <v/>
      </c>
      <c r="BJ162" s="580" t="str">
        <f>IF('Marks Entry'!AD162="","",'Marks Entry'!AD162)</f>
        <v/>
      </c>
      <c r="BK162" s="580" t="str">
        <f>IF('Marks Entry'!AE162="","",'Marks Entry'!AE162)</f>
        <v/>
      </c>
      <c r="BL162" s="580" t="str">
        <f>IF('Marks Entry'!AF162="","",'Marks Entry'!AF162)</f>
        <v/>
      </c>
      <c r="BM162" s="581" t="str">
        <f t="shared" si="445"/>
        <v/>
      </c>
      <c r="BN162" s="580" t="str">
        <f>IF('Marks Entry'!AG162="","",'Marks Entry'!AG162)</f>
        <v/>
      </c>
      <c r="BO162" s="580" t="str">
        <f>IF('Marks Entry'!AH162="","",'Marks Entry'!AH162)</f>
        <v/>
      </c>
      <c r="BP162" s="581" t="str">
        <f t="shared" si="446"/>
        <v/>
      </c>
      <c r="BQ162" s="581" t="str">
        <f t="shared" si="447"/>
        <v/>
      </c>
      <c r="BR162" s="580" t="str">
        <f>IF('Marks Entry'!AI162="","",'Marks Entry'!AI162)</f>
        <v/>
      </c>
      <c r="BS162" s="580" t="str">
        <f>IF('Marks Entry'!AJ162="","",'Marks Entry'!AJ162)</f>
        <v/>
      </c>
      <c r="BT162" s="581" t="str">
        <f t="shared" si="448"/>
        <v/>
      </c>
      <c r="BU162" s="156" t="str">
        <f t="shared" si="449"/>
        <v/>
      </c>
      <c r="BV162" s="156" t="str">
        <f t="shared" si="450"/>
        <v/>
      </c>
      <c r="BW162" s="191" t="str">
        <f t="shared" si="451"/>
        <v/>
      </c>
      <c r="BX162" s="152">
        <f t="shared" si="452"/>
        <v>0</v>
      </c>
      <c r="BY162" s="153">
        <f t="shared" si="453"/>
        <v>0</v>
      </c>
      <c r="BZ162" s="153" t="str">
        <f t="shared" si="454"/>
        <v/>
      </c>
      <c r="CA162" s="153" t="str">
        <f t="shared" si="455"/>
        <v/>
      </c>
      <c r="CB162" s="153" t="str">
        <f t="shared" si="456"/>
        <v/>
      </c>
      <c r="CC162" s="152" t="str">
        <f t="shared" si="457"/>
        <v/>
      </c>
      <c r="CD162" s="153" t="str">
        <f t="shared" si="458"/>
        <v/>
      </c>
      <c r="CE162" s="152" t="str">
        <f t="shared" si="459"/>
        <v/>
      </c>
      <c r="CF162" s="580" t="str">
        <f>IF('Marks Entry'!AK162="","",'Marks Entry'!AK162)</f>
        <v/>
      </c>
      <c r="CG162" s="580" t="str">
        <f>IF('Marks Entry'!AL162="","",'Marks Entry'!AL162)</f>
        <v/>
      </c>
      <c r="CH162" s="580" t="str">
        <f>IF('Marks Entry'!AM162="","",'Marks Entry'!AM162)</f>
        <v/>
      </c>
      <c r="CI162" s="580" t="str">
        <f>IF('Marks Entry'!AN162="","",'Marks Entry'!AN162)</f>
        <v/>
      </c>
      <c r="CJ162" s="581" t="str">
        <f t="shared" si="460"/>
        <v/>
      </c>
      <c r="CK162" s="580" t="str">
        <f>IF('Marks Entry'!AO162="","",'Marks Entry'!AO162)</f>
        <v/>
      </c>
      <c r="CL162" s="580" t="str">
        <f>IF('Marks Entry'!AP162="","",'Marks Entry'!AP162)</f>
        <v/>
      </c>
      <c r="CM162" s="581" t="str">
        <f t="shared" si="461"/>
        <v/>
      </c>
      <c r="CN162" s="581" t="str">
        <f t="shared" si="462"/>
        <v/>
      </c>
      <c r="CO162" s="580" t="str">
        <f>IF('Marks Entry'!AQ162="","",'Marks Entry'!AQ162)</f>
        <v/>
      </c>
      <c r="CP162" s="580" t="str">
        <f>IF('Marks Entry'!AR162="","",'Marks Entry'!AR162)</f>
        <v/>
      </c>
      <c r="CQ162" s="581" t="str">
        <f t="shared" si="463"/>
        <v/>
      </c>
      <c r="CR162" s="156" t="str">
        <f t="shared" si="464"/>
        <v/>
      </c>
      <c r="CS162" s="156" t="str">
        <f t="shared" si="465"/>
        <v/>
      </c>
      <c r="CT162" s="191" t="str">
        <f t="shared" si="466"/>
        <v/>
      </c>
      <c r="CU162" s="152">
        <f t="shared" si="467"/>
        <v>0</v>
      </c>
      <c r="CV162" s="153">
        <f t="shared" si="468"/>
        <v>0</v>
      </c>
      <c r="CW162" s="153" t="str">
        <f t="shared" si="469"/>
        <v/>
      </c>
      <c r="CX162" s="153" t="str">
        <f t="shared" si="470"/>
        <v/>
      </c>
      <c r="CY162" s="153" t="str">
        <f t="shared" si="471"/>
        <v/>
      </c>
      <c r="CZ162" s="152" t="str">
        <f t="shared" si="472"/>
        <v/>
      </c>
      <c r="DA162" s="153" t="str">
        <f t="shared" si="473"/>
        <v/>
      </c>
      <c r="DB162" s="152" t="str">
        <f t="shared" si="474"/>
        <v/>
      </c>
      <c r="DC162" s="153">
        <f t="shared" si="475"/>
        <v>0</v>
      </c>
      <c r="DD162" s="851" t="str">
        <f>IF('Marks Entry'!AS162="","",IF(OR('Master Sheet'!$D$19="YES",'Marks Entry'!$BA$1=1),'Marks Entry'!AS162,""))</f>
        <v/>
      </c>
      <c r="DE162" s="851" t="str">
        <f>IF('Marks Entry'!AT162="","",IF(OR('Master Sheet'!$D$19="YES",'Marks Entry'!$BA$1=1),'Marks Entry'!AT162,""))</f>
        <v/>
      </c>
      <c r="DF162" s="851" t="str">
        <f>IF('Marks Entry'!AU162="","",IF(OR('Master Sheet'!$D$19="YES",'Marks Entry'!$BA$1=1),'Marks Entry'!AU162,""))</f>
        <v/>
      </c>
      <c r="DG162" s="851" t="str">
        <f>IF('Marks Entry'!AV162="","",IF(OR('Master Sheet'!$D$19="YES",'Marks Entry'!$BA$1=1),'Marks Entry'!AV162,""))</f>
        <v/>
      </c>
      <c r="DH162" s="852" t="str">
        <f t="shared" si="476"/>
        <v/>
      </c>
      <c r="DI162" s="851" t="str">
        <f>IF('Marks Entry'!AW162="","",IF(OR('Master Sheet'!$D$19="YES",'Marks Entry'!$BA$1=1),'Marks Entry'!AW162,""))</f>
        <v/>
      </c>
      <c r="DJ162" s="851" t="str">
        <f>IF('Marks Entry'!AX162="","",IF(OR('Master Sheet'!$D$19="YES",'Marks Entry'!$BA$1=1),'Marks Entry'!AX162,""))</f>
        <v/>
      </c>
      <c r="DK162" s="852" t="str">
        <f t="shared" si="477"/>
        <v/>
      </c>
      <c r="DL162" s="852" t="str">
        <f t="shared" si="478"/>
        <v/>
      </c>
      <c r="DM162" s="851" t="str">
        <f>IF('Marks Entry'!AY162="","",IF(OR('Master Sheet'!$D$19="YES",'Marks Entry'!$BA$1=1),'Marks Entry'!AY162,""))</f>
        <v/>
      </c>
      <c r="DN162" s="851" t="str">
        <f>IF('Marks Entry'!AZ162="","",IF(OR('Master Sheet'!$D$19="YES",'Marks Entry'!$BA$1=1),'Marks Entry'!AZ162,""))</f>
        <v/>
      </c>
      <c r="DO162" s="851" t="str">
        <f>IF('Marks Entry'!BA162="","",IF(OR('Master Sheet'!$D$19="YES",'Marks Entry'!$BA$1=1),'Marks Entry'!BA162,""))</f>
        <v/>
      </c>
      <c r="DP162" s="852" t="str">
        <f t="shared" si="479"/>
        <v/>
      </c>
      <c r="DQ162" s="156" t="str">
        <f t="shared" si="480"/>
        <v/>
      </c>
      <c r="DR162" s="156" t="str">
        <f t="shared" si="481"/>
        <v/>
      </c>
      <c r="DS162" s="156" t="str">
        <f t="shared" si="482"/>
        <v/>
      </c>
      <c r="DT162" s="191" t="str">
        <f t="shared" si="483"/>
        <v/>
      </c>
      <c r="DU162" s="152">
        <f t="shared" si="484"/>
        <v>0</v>
      </c>
      <c r="DV162" s="153">
        <f t="shared" si="485"/>
        <v>0</v>
      </c>
      <c r="DW162" s="153" t="str">
        <f t="shared" si="486"/>
        <v/>
      </c>
      <c r="DX162" s="153" t="str">
        <f>IF(OR($B162="NSO",$B162=0,DS162=""),"",IF(AND(DJ162="",DO162=""),"",IF('Master Sheet'!$D$19="YES",$DO$6-COUNTIF(DO162,"ML")*DO$6,DS$6-(COUNTIF(DJ162,"ML")*DJ$6)-(COUNTIF(DO162,"ML")*DO$6))))</f>
        <v/>
      </c>
      <c r="DY162" s="153" t="str">
        <f>IF(OR($B162="NSO",$B162=0),"",IF(AND(DH162="",DI162="",DM162=""),"",IF(AND('Master Sheet'!$D$19="YES",'Marks Entry'!$BA$1=1),100,IF(AND(DJ162="",DO162=""),SUM(($DQ$7+$DR$7)-(DU162+DV162)),SUM(($DQ$6+$DR$6)-(DU162+DV162))))))</f>
        <v/>
      </c>
      <c r="DZ162" s="152" t="str">
        <f t="shared" si="487"/>
        <v/>
      </c>
      <c r="EA162" s="153" t="str">
        <f t="shared" si="488"/>
        <v/>
      </c>
      <c r="EB162" s="152" t="str">
        <f t="shared" si="489"/>
        <v/>
      </c>
      <c r="EC162" s="584" t="str">
        <f>IF('Marks Entry'!BB162="","",'Marks Entry'!BB162)</f>
        <v/>
      </c>
      <c r="ED162" s="584" t="str">
        <f>IF('Marks Entry'!BC162="","",'Marks Entry'!BC162)</f>
        <v/>
      </c>
      <c r="EE162" s="584" t="str">
        <f>IF('Marks Entry'!BD162="","",'Marks Entry'!BD162)</f>
        <v/>
      </c>
      <c r="EF162" s="590" t="str">
        <f t="shared" si="490"/>
        <v/>
      </c>
      <c r="EG162" s="595">
        <f t="shared" si="491"/>
        <v>0</v>
      </c>
      <c r="EH162" s="595">
        <f t="shared" si="492"/>
        <v>0</v>
      </c>
      <c r="EI162" s="192" t="str">
        <f t="shared" si="493"/>
        <v/>
      </c>
      <c r="EJ162" s="595" t="str">
        <f t="shared" si="494"/>
        <v/>
      </c>
      <c r="EK162" s="595" t="str">
        <f t="shared" si="495"/>
        <v/>
      </c>
      <c r="EL162" s="193" t="str">
        <f t="shared" si="496"/>
        <v/>
      </c>
      <c r="EM162" s="193" t="str">
        <f t="shared" si="497"/>
        <v/>
      </c>
      <c r="EN162" s="193" t="str">
        <f t="shared" si="498"/>
        <v/>
      </c>
      <c r="EO162" s="193" t="str">
        <f t="shared" si="499"/>
        <v/>
      </c>
      <c r="EP162" s="193" t="str">
        <f t="shared" si="500"/>
        <v/>
      </c>
      <c r="EQ162" s="193" t="str">
        <f t="shared" si="501"/>
        <v/>
      </c>
      <c r="ER162" s="194">
        <f t="shared" si="502"/>
        <v>0</v>
      </c>
      <c r="ES162" s="194">
        <f t="shared" si="503"/>
        <v>0</v>
      </c>
      <c r="ET162" s="194">
        <f t="shared" si="504"/>
        <v>0</v>
      </c>
      <c r="EU162" s="194">
        <f t="shared" si="505"/>
        <v>0</v>
      </c>
      <c r="EV162" s="194">
        <f t="shared" si="506"/>
        <v>0</v>
      </c>
      <c r="EW162" s="194" t="str">
        <f t="shared" si="507"/>
        <v/>
      </c>
      <c r="EX162" s="195" t="str">
        <f t="shared" si="508"/>
        <v/>
      </c>
      <c r="EY162" s="196" t="str">
        <f>IF('Marks Entry'!BE162="","",'Marks Entry'!BE162)</f>
        <v/>
      </c>
      <c r="EZ162" s="196" t="str">
        <f>IF('Marks Entry'!BF162="","",'Marks Entry'!BF162)</f>
        <v/>
      </c>
      <c r="FA162" s="196" t="str">
        <f>IF('Marks Entry'!BG162="","",'Marks Entry'!BG162)</f>
        <v/>
      </c>
      <c r="FB162" s="596" t="str">
        <f t="shared" si="509"/>
        <v/>
      </c>
      <c r="FC162" s="196" t="str">
        <f>IF('Marks Entry'!BH162="","",'Marks Entry'!BH162)</f>
        <v/>
      </c>
      <c r="FD162" s="196" t="str">
        <f>IF('Marks Entry'!BI162="","",'Marks Entry'!BI162)</f>
        <v/>
      </c>
      <c r="FE162" s="197" t="str">
        <f t="shared" si="510"/>
        <v/>
      </c>
      <c r="FF162" s="198" t="str">
        <f t="shared" si="511"/>
        <v/>
      </c>
      <c r="FG162" s="199" t="str">
        <f>IF(AND(E162=""),"",IF('Student DATA Entry'!L158="","",'Student DATA Entry'!L158))</f>
        <v/>
      </c>
      <c r="FH162" s="200" t="str">
        <f>IF(AND(E162=""),"",IF('Student DATA Entry'!M158="","",'Student DATA Entry'!M158))</f>
        <v/>
      </c>
      <c r="FI162" s="201" t="str">
        <f t="shared" si="512"/>
        <v/>
      </c>
      <c r="FJ162" s="188" t="str">
        <f t="shared" si="513"/>
        <v/>
      </c>
      <c r="FK162" s="188" t="str">
        <f t="shared" si="514"/>
        <v/>
      </c>
      <c r="FL162" s="202" t="str">
        <f t="shared" si="383"/>
        <v/>
      </c>
      <c r="FM162" s="188" t="str">
        <f t="shared" si="515"/>
        <v/>
      </c>
      <c r="FN162" s="203" t="str">
        <f t="shared" si="516"/>
        <v/>
      </c>
      <c r="FO162" s="202" t="str">
        <f t="shared" si="384"/>
        <v/>
      </c>
      <c r="FP162" s="204" t="str">
        <f t="shared" si="517"/>
        <v/>
      </c>
      <c r="FQ162" s="188" t="str">
        <f t="shared" si="385"/>
        <v/>
      </c>
      <c r="FR162" s="188" t="str">
        <f t="shared" si="386"/>
        <v/>
      </c>
      <c r="FS162" s="188" t="str">
        <f t="shared" si="387"/>
        <v/>
      </c>
      <c r="FT162" s="188" t="str">
        <f t="shared" si="388"/>
        <v/>
      </c>
      <c r="FU162" s="188" t="str">
        <f t="shared" si="518"/>
        <v/>
      </c>
      <c r="FV162" s="205" t="str">
        <f t="shared" si="389"/>
        <v/>
      </c>
      <c r="FW162" s="204" t="str">
        <f t="shared" si="519"/>
        <v/>
      </c>
      <c r="FX162" s="188" t="str">
        <f t="shared" si="390"/>
        <v/>
      </c>
      <c r="FY162" s="188" t="str">
        <f t="shared" si="391"/>
        <v/>
      </c>
      <c r="FZ162" s="188" t="str">
        <f t="shared" si="392"/>
        <v/>
      </c>
      <c r="GA162" s="188" t="str">
        <f t="shared" si="393"/>
        <v/>
      </c>
      <c r="GB162" s="188" t="str">
        <f t="shared" si="520"/>
        <v/>
      </c>
      <c r="GC162" s="205" t="str">
        <f t="shared" si="394"/>
        <v/>
      </c>
      <c r="GD162" s="204" t="str">
        <f t="shared" si="521"/>
        <v/>
      </c>
      <c r="GE162" s="188" t="str">
        <f t="shared" si="395"/>
        <v/>
      </c>
      <c r="GF162" s="188" t="str">
        <f t="shared" si="396"/>
        <v/>
      </c>
      <c r="GG162" s="188" t="str">
        <f t="shared" si="397"/>
        <v/>
      </c>
      <c r="GH162" s="188" t="str">
        <f t="shared" si="398"/>
        <v/>
      </c>
      <c r="GI162" s="188" t="str">
        <f t="shared" si="522"/>
        <v/>
      </c>
      <c r="GJ162" s="205" t="str">
        <f t="shared" si="399"/>
        <v/>
      </c>
      <c r="GK162" s="204" t="str">
        <f t="shared" si="523"/>
        <v/>
      </c>
      <c r="GL162" s="188" t="str">
        <f t="shared" si="400"/>
        <v/>
      </c>
      <c r="GM162" s="188" t="str">
        <f t="shared" si="401"/>
        <v/>
      </c>
      <c r="GN162" s="188" t="str">
        <f t="shared" si="402"/>
        <v/>
      </c>
      <c r="GO162" s="188" t="str">
        <f t="shared" si="403"/>
        <v/>
      </c>
      <c r="GP162" s="188" t="str">
        <f t="shared" si="524"/>
        <v/>
      </c>
      <c r="GQ162" s="205" t="str">
        <f t="shared" si="404"/>
        <v/>
      </c>
      <c r="GR162" s="188" t="str">
        <f t="shared" si="525"/>
        <v/>
      </c>
      <c r="GS162" s="188" t="str">
        <f t="shared" si="526"/>
        <v/>
      </c>
      <c r="GT162" s="206" t="str">
        <f t="shared" si="527"/>
        <v xml:space="preserve">    </v>
      </c>
      <c r="GU162" s="206" t="str">
        <f t="shared" si="528"/>
        <v xml:space="preserve">    </v>
      </c>
      <c r="GV162" s="206" t="str">
        <f t="shared" si="529"/>
        <v xml:space="preserve">    </v>
      </c>
      <c r="GW162" s="206" t="str">
        <f t="shared" si="530"/>
        <v xml:space="preserve">       </v>
      </c>
      <c r="GX162" s="598" t="str">
        <f t="shared" si="531"/>
        <v xml:space="preserve">     </v>
      </c>
      <c r="GY162" s="207" t="str">
        <f t="shared" si="405"/>
        <v/>
      </c>
      <c r="GZ162" s="606" t="str">
        <f>IF(AND(Q162="",AE162="",AZ162="",BW162="",CT162=""),"",IF(AND('Master Sheet'!$D$19="YES",'Marks Entry'!$BA$1=1),SUM(Q162,AE162,AZ162,BW162,DT162),SUM(Q162,AE162,AZ162,BW162,CT162)))</f>
        <v/>
      </c>
      <c r="HA162" s="208" t="str">
        <f>IF(GZ162="","",IF(AND('Master Sheet'!$D$19="YES",'Marks Entry'!$BA$1=1),GZ162/((900)-DC162)*100,GZ162/((1000)-DC162)*100))</f>
        <v/>
      </c>
      <c r="HB162" s="611" t="str">
        <f t="shared" si="532"/>
        <v/>
      </c>
      <c r="HC162" s="609" t="str">
        <f t="shared" si="533"/>
        <v/>
      </c>
      <c r="HD162" s="610" t="str">
        <f t="shared" si="534"/>
        <v/>
      </c>
      <c r="HE162" s="209" t="str">
        <f>IFERROR(IF(OR(GY162="SUPPLEMENTARY",GY162="RE-EXAM"),'Supp. Result Entry'!AS161,""),"")</f>
        <v/>
      </c>
      <c r="HF162" s="613" t="str">
        <f t="shared" si="535"/>
        <v/>
      </c>
      <c r="HG162" s="598" t="str">
        <f t="shared" si="536"/>
        <v/>
      </c>
      <c r="HH162" s="598" t="str">
        <f>IF(AND(HE162="",HF162="",HG162=""),"",IF(OR(GY162="SUPPLEMENTARY",GY162="RE-EXAM"),'Supp. Result Entry'!AS161,GY162))</f>
        <v/>
      </c>
      <c r="HI162" s="179"/>
      <c r="HY162" s="211" t="str">
        <f>IF('Supp. Result Entry'!U161="","",'Supp. Result Entry'!$U$6)</f>
        <v/>
      </c>
      <c r="HZ162" s="212" t="str">
        <f>IF('Supp. Result Entry'!X161="","",'Supp. Result Entry'!$X$6)</f>
        <v/>
      </c>
      <c r="IA162" s="212" t="str">
        <f>IF('Supp. Result Entry'!AA161="","",'Supp. Result Entry'!$AA$6)</f>
        <v/>
      </c>
      <c r="IB162" s="212" t="str">
        <f>IF('Supp. Result Entry'!AD161="","",'Supp. Result Entry'!$AD$6)</f>
        <v/>
      </c>
      <c r="IC162" s="212" t="str">
        <f>IF('Supp. Result Entry'!AG161="","",'Supp. Result Entry'!$AG$6)</f>
        <v/>
      </c>
      <c r="ID162" s="212" t="str">
        <f>IF('Supp. Result Entry'!AJ161="","",'Supp. Result Entry'!$AJ$6)</f>
        <v/>
      </c>
      <c r="IE162" s="212" t="str">
        <f>IF('Supp. Result Entry'!V161="","",'Supp. Result Entry'!V161)</f>
        <v/>
      </c>
      <c r="IF162" s="212" t="str">
        <f>IF('Supp. Result Entry'!Y161="","",'Supp. Result Entry'!Y161)</f>
        <v/>
      </c>
      <c r="IG162" s="212" t="str">
        <f>IF('Supp. Result Entry'!AB161="","",'Supp. Result Entry'!AB161)</f>
        <v/>
      </c>
      <c r="IH162" s="212" t="str">
        <f>IF('Supp. Result Entry'!AE161="","",'Supp. Result Entry'!AE161)</f>
        <v/>
      </c>
      <c r="II162" s="212" t="str">
        <f>IF('Supp. Result Entry'!AH161="","",'Supp. Result Entry'!AH161)</f>
        <v/>
      </c>
      <c r="IJ162" s="212" t="str">
        <f>IF('Supp. Result Entry'!AK161="","",'Supp. Result Entry'!AK161)</f>
        <v/>
      </c>
      <c r="IK162" s="212" t="str">
        <f>IF('Supp. Result Entry'!W161="","",'Supp. Result Entry'!W161)</f>
        <v/>
      </c>
      <c r="IL162" s="212" t="str">
        <f>IF('Supp. Result Entry'!Z161="","",'Supp. Result Entry'!Z161)</f>
        <v/>
      </c>
      <c r="IM162" s="212" t="str">
        <f>IF('Supp. Result Entry'!AC161="","",'Supp. Result Entry'!AC161)</f>
        <v/>
      </c>
      <c r="IN162" s="212" t="str">
        <f>IF('Supp. Result Entry'!AF161="","",'Supp. Result Entry'!AF161)</f>
        <v/>
      </c>
      <c r="IO162" s="212" t="str">
        <f>IF('Supp. Result Entry'!AI161="","",'Supp. Result Entry'!AI161)</f>
        <v/>
      </c>
      <c r="IP162" s="212" t="str">
        <f>IF('Supp. Result Entry'!AL161="","",'Supp. Result Entry'!AL161)</f>
        <v/>
      </c>
      <c r="IQ162" s="212">
        <f>COUNTIF('Supp. Result Entry'!K161:Q161,"S")</f>
        <v>0</v>
      </c>
      <c r="IR162" s="212">
        <f t="shared" si="537"/>
        <v>0</v>
      </c>
      <c r="IS162" s="212">
        <f t="shared" si="538"/>
        <v>0</v>
      </c>
      <c r="IT162" s="212" t="str">
        <f t="shared" si="406"/>
        <v/>
      </c>
      <c r="IU162" s="212" t="str">
        <f t="shared" si="407"/>
        <v/>
      </c>
      <c r="IV162" s="212" t="str">
        <f t="shared" si="408"/>
        <v/>
      </c>
      <c r="IW162" s="212" t="str">
        <f t="shared" si="409"/>
        <v/>
      </c>
      <c r="IX162" s="212" t="str">
        <f t="shared" si="410"/>
        <v/>
      </c>
      <c r="IY162" s="212" t="str">
        <f t="shared" si="539"/>
        <v/>
      </c>
      <c r="IZ162" s="212" t="str">
        <f t="shared" si="540"/>
        <v/>
      </c>
      <c r="JA162" s="212" t="str">
        <f t="shared" si="411"/>
        <v/>
      </c>
      <c r="JB162" s="210" t="str">
        <f t="shared" si="541"/>
        <v/>
      </c>
    </row>
    <row r="163" spans="1:262" s="210" customFormat="1" ht="21" customHeight="1">
      <c r="A163" s="183">
        <v>156</v>
      </c>
      <c r="B163" s="184" t="str">
        <f>IF('Marks Entry'!B163="","",'Marks Entry'!B163)</f>
        <v/>
      </c>
      <c r="C163" s="185" t="str">
        <f>IF('Marks Entry'!D163="","",'Marks Entry'!D163)</f>
        <v/>
      </c>
      <c r="D163" s="186" t="str">
        <f>IF('Marks Entry'!E163="","",'Marks Entry'!E163)</f>
        <v/>
      </c>
      <c r="E163" s="187" t="str">
        <f>IF('Marks Entry'!F163="","",'Marks Entry'!F163)</f>
        <v/>
      </c>
      <c r="F163" s="187" t="str">
        <f>IF('Marks Entry'!G163="","",'Marks Entry'!G163)</f>
        <v/>
      </c>
      <c r="G163" s="187" t="str">
        <f>IF('Marks Entry'!H163="","",'Marks Entry'!H163)</f>
        <v/>
      </c>
      <c r="H163" s="188" t="str">
        <f>IF('Marks Entry'!I163="","",'Marks Entry'!I163)</f>
        <v/>
      </c>
      <c r="I163" s="189" t="str">
        <f>IF('Marks Entry'!J163="","",'Marks Entry'!J163)</f>
        <v/>
      </c>
      <c r="J163" s="545" t="str">
        <f>IF('Marks Entry'!K163="","",'Marks Entry'!K163)</f>
        <v/>
      </c>
      <c r="K163" s="545" t="str">
        <f>IF('Marks Entry'!L163="","",'Marks Entry'!L163)</f>
        <v/>
      </c>
      <c r="L163" s="545" t="str">
        <f>IF('Marks Entry'!M163="","",'Marks Entry'!M163)</f>
        <v/>
      </c>
      <c r="M163" s="546" t="str">
        <f t="shared" si="412"/>
        <v/>
      </c>
      <c r="N163" s="545" t="str">
        <f>IF('Marks Entry'!N163="","",'Marks Entry'!N163)</f>
        <v/>
      </c>
      <c r="O163" s="546" t="str">
        <f t="shared" si="413"/>
        <v/>
      </c>
      <c r="P163" s="545" t="str">
        <f>IF('Marks Entry'!O163="","",'Marks Entry'!O163)</f>
        <v/>
      </c>
      <c r="Q163" s="547" t="str">
        <f t="shared" si="414"/>
        <v/>
      </c>
      <c r="R163" s="152">
        <f t="shared" si="415"/>
        <v>0</v>
      </c>
      <c r="S163" s="152">
        <f t="shared" si="416"/>
        <v>0</v>
      </c>
      <c r="T163" s="153" t="str">
        <f t="shared" si="417"/>
        <v/>
      </c>
      <c r="U163" s="152" t="str">
        <f t="shared" si="418"/>
        <v/>
      </c>
      <c r="V163" s="152" t="str">
        <f t="shared" si="419"/>
        <v/>
      </c>
      <c r="W163" s="152" t="str">
        <f t="shared" si="420"/>
        <v/>
      </c>
      <c r="X163" s="545" t="str">
        <f>IF('Marks Entry'!P163="","",'Marks Entry'!P163)</f>
        <v/>
      </c>
      <c r="Y163" s="545" t="str">
        <f>IF('Marks Entry'!Q163="","",'Marks Entry'!Q163)</f>
        <v/>
      </c>
      <c r="Z163" s="545" t="str">
        <f>IF('Marks Entry'!R163="","",'Marks Entry'!R163)</f>
        <v/>
      </c>
      <c r="AA163" s="546" t="str">
        <f t="shared" si="421"/>
        <v/>
      </c>
      <c r="AB163" s="545" t="str">
        <f>IF('Marks Entry'!S163="","",'Marks Entry'!S163)</f>
        <v/>
      </c>
      <c r="AC163" s="546" t="str">
        <f t="shared" si="422"/>
        <v/>
      </c>
      <c r="AD163" s="545" t="str">
        <f>IF('Marks Entry'!T163="","",'Marks Entry'!T163)</f>
        <v/>
      </c>
      <c r="AE163" s="547" t="str">
        <f t="shared" si="423"/>
        <v/>
      </c>
      <c r="AF163" s="152">
        <f t="shared" si="424"/>
        <v>0</v>
      </c>
      <c r="AG163" s="152">
        <f t="shared" si="425"/>
        <v>0</v>
      </c>
      <c r="AH163" s="153" t="str">
        <f t="shared" si="426"/>
        <v/>
      </c>
      <c r="AI163" s="152" t="str">
        <f t="shared" si="427"/>
        <v/>
      </c>
      <c r="AJ163" s="152" t="str">
        <f t="shared" si="428"/>
        <v/>
      </c>
      <c r="AK163" s="152" t="str">
        <f t="shared" si="429"/>
        <v/>
      </c>
      <c r="AL163" s="573" t="str">
        <f>IF('Marks Entry'!U163="","",'Marks Entry'!U163)</f>
        <v/>
      </c>
      <c r="AM163" s="573" t="str">
        <f>IF('Marks Entry'!V163="","",'Marks Entry'!V163)</f>
        <v/>
      </c>
      <c r="AN163" s="573" t="str">
        <f>IF('Marks Entry'!W163="","",'Marks Entry'!W163)</f>
        <v/>
      </c>
      <c r="AO163" s="573" t="str">
        <f>IF('Marks Entry'!X163="","",'Marks Entry'!X163)</f>
        <v/>
      </c>
      <c r="AP163" s="572" t="str">
        <f t="shared" si="430"/>
        <v/>
      </c>
      <c r="AQ163" s="573" t="str">
        <f>IF('Marks Entry'!Y163="","",'Marks Entry'!Y163)</f>
        <v/>
      </c>
      <c r="AR163" s="573" t="str">
        <f>IF('Marks Entry'!Z163="","",'Marks Entry'!Z163)</f>
        <v/>
      </c>
      <c r="AS163" s="572" t="str">
        <f t="shared" si="431"/>
        <v/>
      </c>
      <c r="AT163" s="572" t="str">
        <f t="shared" si="432"/>
        <v/>
      </c>
      <c r="AU163" s="573" t="str">
        <f>IF('Marks Entry'!AA163="","",'Marks Entry'!AA163)</f>
        <v/>
      </c>
      <c r="AV163" s="573" t="str">
        <f>IF('Marks Entry'!AB163="","",'Marks Entry'!AB163)</f>
        <v/>
      </c>
      <c r="AW163" s="572" t="str">
        <f t="shared" si="433"/>
        <v/>
      </c>
      <c r="AX163" s="156" t="str">
        <f t="shared" si="434"/>
        <v/>
      </c>
      <c r="AY163" s="156" t="str">
        <f t="shared" si="435"/>
        <v/>
      </c>
      <c r="AZ163" s="191" t="str">
        <f t="shared" si="436"/>
        <v/>
      </c>
      <c r="BA163" s="152">
        <f t="shared" si="437"/>
        <v>0</v>
      </c>
      <c r="BB163" s="153">
        <f t="shared" si="438"/>
        <v>0</v>
      </c>
      <c r="BC163" s="153" t="str">
        <f t="shared" si="439"/>
        <v/>
      </c>
      <c r="BD163" s="153" t="str">
        <f t="shared" si="440"/>
        <v/>
      </c>
      <c r="BE163" s="153" t="str">
        <f t="shared" si="441"/>
        <v/>
      </c>
      <c r="BF163" s="152" t="str">
        <f t="shared" si="442"/>
        <v/>
      </c>
      <c r="BG163" s="153" t="str">
        <f t="shared" si="443"/>
        <v/>
      </c>
      <c r="BH163" s="152" t="str">
        <f t="shared" si="444"/>
        <v/>
      </c>
      <c r="BI163" s="580" t="str">
        <f>IF('Marks Entry'!AC163="","",'Marks Entry'!AC163)</f>
        <v/>
      </c>
      <c r="BJ163" s="580" t="str">
        <f>IF('Marks Entry'!AD163="","",'Marks Entry'!AD163)</f>
        <v/>
      </c>
      <c r="BK163" s="580" t="str">
        <f>IF('Marks Entry'!AE163="","",'Marks Entry'!AE163)</f>
        <v/>
      </c>
      <c r="BL163" s="580" t="str">
        <f>IF('Marks Entry'!AF163="","",'Marks Entry'!AF163)</f>
        <v/>
      </c>
      <c r="BM163" s="581" t="str">
        <f t="shared" si="445"/>
        <v/>
      </c>
      <c r="BN163" s="580" t="str">
        <f>IF('Marks Entry'!AG163="","",'Marks Entry'!AG163)</f>
        <v/>
      </c>
      <c r="BO163" s="580" t="str">
        <f>IF('Marks Entry'!AH163="","",'Marks Entry'!AH163)</f>
        <v/>
      </c>
      <c r="BP163" s="581" t="str">
        <f t="shared" si="446"/>
        <v/>
      </c>
      <c r="BQ163" s="581" t="str">
        <f t="shared" si="447"/>
        <v/>
      </c>
      <c r="BR163" s="580" t="str">
        <f>IF('Marks Entry'!AI163="","",'Marks Entry'!AI163)</f>
        <v/>
      </c>
      <c r="BS163" s="580" t="str">
        <f>IF('Marks Entry'!AJ163="","",'Marks Entry'!AJ163)</f>
        <v/>
      </c>
      <c r="BT163" s="581" t="str">
        <f t="shared" si="448"/>
        <v/>
      </c>
      <c r="BU163" s="156" t="str">
        <f t="shared" si="449"/>
        <v/>
      </c>
      <c r="BV163" s="156" t="str">
        <f t="shared" si="450"/>
        <v/>
      </c>
      <c r="BW163" s="191" t="str">
        <f t="shared" si="451"/>
        <v/>
      </c>
      <c r="BX163" s="152">
        <f t="shared" si="452"/>
        <v>0</v>
      </c>
      <c r="BY163" s="153">
        <f t="shared" si="453"/>
        <v>0</v>
      </c>
      <c r="BZ163" s="153" t="str">
        <f t="shared" si="454"/>
        <v/>
      </c>
      <c r="CA163" s="153" t="str">
        <f t="shared" si="455"/>
        <v/>
      </c>
      <c r="CB163" s="153" t="str">
        <f t="shared" si="456"/>
        <v/>
      </c>
      <c r="CC163" s="152" t="str">
        <f t="shared" si="457"/>
        <v/>
      </c>
      <c r="CD163" s="153" t="str">
        <f t="shared" si="458"/>
        <v/>
      </c>
      <c r="CE163" s="152" t="str">
        <f t="shared" si="459"/>
        <v/>
      </c>
      <c r="CF163" s="580" t="str">
        <f>IF('Marks Entry'!AK163="","",'Marks Entry'!AK163)</f>
        <v/>
      </c>
      <c r="CG163" s="580" t="str">
        <f>IF('Marks Entry'!AL163="","",'Marks Entry'!AL163)</f>
        <v/>
      </c>
      <c r="CH163" s="580" t="str">
        <f>IF('Marks Entry'!AM163="","",'Marks Entry'!AM163)</f>
        <v/>
      </c>
      <c r="CI163" s="580" t="str">
        <f>IF('Marks Entry'!AN163="","",'Marks Entry'!AN163)</f>
        <v/>
      </c>
      <c r="CJ163" s="581" t="str">
        <f t="shared" si="460"/>
        <v/>
      </c>
      <c r="CK163" s="580" t="str">
        <f>IF('Marks Entry'!AO163="","",'Marks Entry'!AO163)</f>
        <v/>
      </c>
      <c r="CL163" s="580" t="str">
        <f>IF('Marks Entry'!AP163="","",'Marks Entry'!AP163)</f>
        <v/>
      </c>
      <c r="CM163" s="581" t="str">
        <f t="shared" si="461"/>
        <v/>
      </c>
      <c r="CN163" s="581" t="str">
        <f t="shared" si="462"/>
        <v/>
      </c>
      <c r="CO163" s="580" t="str">
        <f>IF('Marks Entry'!AQ163="","",'Marks Entry'!AQ163)</f>
        <v/>
      </c>
      <c r="CP163" s="580" t="str">
        <f>IF('Marks Entry'!AR163="","",'Marks Entry'!AR163)</f>
        <v/>
      </c>
      <c r="CQ163" s="581" t="str">
        <f t="shared" si="463"/>
        <v/>
      </c>
      <c r="CR163" s="156" t="str">
        <f t="shared" si="464"/>
        <v/>
      </c>
      <c r="CS163" s="156" t="str">
        <f t="shared" si="465"/>
        <v/>
      </c>
      <c r="CT163" s="191" t="str">
        <f t="shared" si="466"/>
        <v/>
      </c>
      <c r="CU163" s="152">
        <f t="shared" si="467"/>
        <v>0</v>
      </c>
      <c r="CV163" s="153">
        <f t="shared" si="468"/>
        <v>0</v>
      </c>
      <c r="CW163" s="153" t="str">
        <f t="shared" si="469"/>
        <v/>
      </c>
      <c r="CX163" s="153" t="str">
        <f t="shared" si="470"/>
        <v/>
      </c>
      <c r="CY163" s="153" t="str">
        <f t="shared" si="471"/>
        <v/>
      </c>
      <c r="CZ163" s="152" t="str">
        <f t="shared" si="472"/>
        <v/>
      </c>
      <c r="DA163" s="153" t="str">
        <f t="shared" si="473"/>
        <v/>
      </c>
      <c r="DB163" s="152" t="str">
        <f t="shared" si="474"/>
        <v/>
      </c>
      <c r="DC163" s="153">
        <f t="shared" si="475"/>
        <v>0</v>
      </c>
      <c r="DD163" s="851" t="str">
        <f>IF('Marks Entry'!AS163="","",IF(OR('Master Sheet'!$D$19="YES",'Marks Entry'!$BA$1=1),'Marks Entry'!AS163,""))</f>
        <v/>
      </c>
      <c r="DE163" s="851" t="str">
        <f>IF('Marks Entry'!AT163="","",IF(OR('Master Sheet'!$D$19="YES",'Marks Entry'!$BA$1=1),'Marks Entry'!AT163,""))</f>
        <v/>
      </c>
      <c r="DF163" s="851" t="str">
        <f>IF('Marks Entry'!AU163="","",IF(OR('Master Sheet'!$D$19="YES",'Marks Entry'!$BA$1=1),'Marks Entry'!AU163,""))</f>
        <v/>
      </c>
      <c r="DG163" s="851" t="str">
        <f>IF('Marks Entry'!AV163="","",IF(OR('Master Sheet'!$D$19="YES",'Marks Entry'!$BA$1=1),'Marks Entry'!AV163,""))</f>
        <v/>
      </c>
      <c r="DH163" s="852" t="str">
        <f t="shared" si="476"/>
        <v/>
      </c>
      <c r="DI163" s="851" t="str">
        <f>IF('Marks Entry'!AW163="","",IF(OR('Master Sheet'!$D$19="YES",'Marks Entry'!$BA$1=1),'Marks Entry'!AW163,""))</f>
        <v/>
      </c>
      <c r="DJ163" s="851" t="str">
        <f>IF('Marks Entry'!AX163="","",IF(OR('Master Sheet'!$D$19="YES",'Marks Entry'!$BA$1=1),'Marks Entry'!AX163,""))</f>
        <v/>
      </c>
      <c r="DK163" s="852" t="str">
        <f t="shared" si="477"/>
        <v/>
      </c>
      <c r="DL163" s="852" t="str">
        <f t="shared" si="478"/>
        <v/>
      </c>
      <c r="DM163" s="851" t="str">
        <f>IF('Marks Entry'!AY163="","",IF(OR('Master Sheet'!$D$19="YES",'Marks Entry'!$BA$1=1),'Marks Entry'!AY163,""))</f>
        <v/>
      </c>
      <c r="DN163" s="851" t="str">
        <f>IF('Marks Entry'!AZ163="","",IF(OR('Master Sheet'!$D$19="YES",'Marks Entry'!$BA$1=1),'Marks Entry'!AZ163,""))</f>
        <v/>
      </c>
      <c r="DO163" s="851" t="str">
        <f>IF('Marks Entry'!BA163="","",IF(OR('Master Sheet'!$D$19="YES",'Marks Entry'!$BA$1=1),'Marks Entry'!BA163,""))</f>
        <v/>
      </c>
      <c r="DP163" s="852" t="str">
        <f t="shared" si="479"/>
        <v/>
      </c>
      <c r="DQ163" s="156" t="str">
        <f t="shared" si="480"/>
        <v/>
      </c>
      <c r="DR163" s="156" t="str">
        <f t="shared" si="481"/>
        <v/>
      </c>
      <c r="DS163" s="156" t="str">
        <f t="shared" si="482"/>
        <v/>
      </c>
      <c r="DT163" s="191" t="str">
        <f t="shared" si="483"/>
        <v/>
      </c>
      <c r="DU163" s="152">
        <f t="shared" si="484"/>
        <v>0</v>
      </c>
      <c r="DV163" s="153">
        <f t="shared" si="485"/>
        <v>0</v>
      </c>
      <c r="DW163" s="153" t="str">
        <f t="shared" si="486"/>
        <v/>
      </c>
      <c r="DX163" s="153" t="str">
        <f>IF(OR($B163="NSO",$B163=0,DS163=""),"",IF(AND(DJ163="",DO163=""),"",IF('Master Sheet'!$D$19="YES",$DO$6-COUNTIF(DO163,"ML")*DO$6,DS$6-(COUNTIF(DJ163,"ML")*DJ$6)-(COUNTIF(DO163,"ML")*DO$6))))</f>
        <v/>
      </c>
      <c r="DY163" s="153" t="str">
        <f>IF(OR($B163="NSO",$B163=0),"",IF(AND(DH163="",DI163="",DM163=""),"",IF(AND('Master Sheet'!$D$19="YES",'Marks Entry'!$BA$1=1),100,IF(AND(DJ163="",DO163=""),SUM(($DQ$7+$DR$7)-(DU163+DV163)),SUM(($DQ$6+$DR$6)-(DU163+DV163))))))</f>
        <v/>
      </c>
      <c r="DZ163" s="152" t="str">
        <f t="shared" si="487"/>
        <v/>
      </c>
      <c r="EA163" s="153" t="str">
        <f t="shared" si="488"/>
        <v/>
      </c>
      <c r="EB163" s="152" t="str">
        <f t="shared" si="489"/>
        <v/>
      </c>
      <c r="EC163" s="584" t="str">
        <f>IF('Marks Entry'!BB163="","",'Marks Entry'!BB163)</f>
        <v/>
      </c>
      <c r="ED163" s="584" t="str">
        <f>IF('Marks Entry'!BC163="","",'Marks Entry'!BC163)</f>
        <v/>
      </c>
      <c r="EE163" s="584" t="str">
        <f>IF('Marks Entry'!BD163="","",'Marks Entry'!BD163)</f>
        <v/>
      </c>
      <c r="EF163" s="590" t="str">
        <f t="shared" si="490"/>
        <v/>
      </c>
      <c r="EG163" s="595">
        <f t="shared" si="491"/>
        <v>0</v>
      </c>
      <c r="EH163" s="595">
        <f t="shared" si="492"/>
        <v>0</v>
      </c>
      <c r="EI163" s="192" t="str">
        <f t="shared" si="493"/>
        <v/>
      </c>
      <c r="EJ163" s="595" t="str">
        <f t="shared" si="494"/>
        <v/>
      </c>
      <c r="EK163" s="595" t="str">
        <f t="shared" si="495"/>
        <v/>
      </c>
      <c r="EL163" s="193" t="str">
        <f t="shared" si="496"/>
        <v/>
      </c>
      <c r="EM163" s="193" t="str">
        <f t="shared" si="497"/>
        <v/>
      </c>
      <c r="EN163" s="193" t="str">
        <f t="shared" si="498"/>
        <v/>
      </c>
      <c r="EO163" s="193" t="str">
        <f t="shared" si="499"/>
        <v/>
      </c>
      <c r="EP163" s="193" t="str">
        <f t="shared" si="500"/>
        <v/>
      </c>
      <c r="EQ163" s="193" t="str">
        <f t="shared" si="501"/>
        <v/>
      </c>
      <c r="ER163" s="194">
        <f t="shared" si="502"/>
        <v>0</v>
      </c>
      <c r="ES163" s="194">
        <f t="shared" si="503"/>
        <v>0</v>
      </c>
      <c r="ET163" s="194">
        <f t="shared" si="504"/>
        <v>0</v>
      </c>
      <c r="EU163" s="194">
        <f t="shared" si="505"/>
        <v>0</v>
      </c>
      <c r="EV163" s="194">
        <f t="shared" si="506"/>
        <v>0</v>
      </c>
      <c r="EW163" s="194" t="str">
        <f t="shared" si="507"/>
        <v/>
      </c>
      <c r="EX163" s="195" t="str">
        <f t="shared" si="508"/>
        <v/>
      </c>
      <c r="EY163" s="196" t="str">
        <f>IF('Marks Entry'!BE163="","",'Marks Entry'!BE163)</f>
        <v/>
      </c>
      <c r="EZ163" s="196" t="str">
        <f>IF('Marks Entry'!BF163="","",'Marks Entry'!BF163)</f>
        <v/>
      </c>
      <c r="FA163" s="196" t="str">
        <f>IF('Marks Entry'!BG163="","",'Marks Entry'!BG163)</f>
        <v/>
      </c>
      <c r="FB163" s="596" t="str">
        <f t="shared" si="509"/>
        <v/>
      </c>
      <c r="FC163" s="196" t="str">
        <f>IF('Marks Entry'!BH163="","",'Marks Entry'!BH163)</f>
        <v/>
      </c>
      <c r="FD163" s="196" t="str">
        <f>IF('Marks Entry'!BI163="","",'Marks Entry'!BI163)</f>
        <v/>
      </c>
      <c r="FE163" s="197" t="str">
        <f t="shared" si="510"/>
        <v/>
      </c>
      <c r="FF163" s="198" t="str">
        <f t="shared" si="511"/>
        <v/>
      </c>
      <c r="FG163" s="199" t="str">
        <f>IF(AND(E163=""),"",IF('Student DATA Entry'!L159="","",'Student DATA Entry'!L159))</f>
        <v/>
      </c>
      <c r="FH163" s="200" t="str">
        <f>IF(AND(E163=""),"",IF('Student DATA Entry'!M159="","",'Student DATA Entry'!M159))</f>
        <v/>
      </c>
      <c r="FI163" s="201" t="str">
        <f t="shared" si="512"/>
        <v/>
      </c>
      <c r="FJ163" s="188" t="str">
        <f t="shared" si="513"/>
        <v/>
      </c>
      <c r="FK163" s="188" t="str">
        <f t="shared" si="514"/>
        <v/>
      </c>
      <c r="FL163" s="202" t="str">
        <f t="shared" si="383"/>
        <v/>
      </c>
      <c r="FM163" s="188" t="str">
        <f t="shared" si="515"/>
        <v/>
      </c>
      <c r="FN163" s="203" t="str">
        <f t="shared" si="516"/>
        <v/>
      </c>
      <c r="FO163" s="202" t="str">
        <f t="shared" si="384"/>
        <v/>
      </c>
      <c r="FP163" s="204" t="str">
        <f t="shared" si="517"/>
        <v/>
      </c>
      <c r="FQ163" s="188" t="str">
        <f t="shared" si="385"/>
        <v/>
      </c>
      <c r="FR163" s="188" t="str">
        <f t="shared" si="386"/>
        <v/>
      </c>
      <c r="FS163" s="188" t="str">
        <f t="shared" si="387"/>
        <v/>
      </c>
      <c r="FT163" s="188" t="str">
        <f t="shared" si="388"/>
        <v/>
      </c>
      <c r="FU163" s="188" t="str">
        <f t="shared" si="518"/>
        <v/>
      </c>
      <c r="FV163" s="205" t="str">
        <f t="shared" si="389"/>
        <v/>
      </c>
      <c r="FW163" s="204" t="str">
        <f t="shared" si="519"/>
        <v/>
      </c>
      <c r="FX163" s="188" t="str">
        <f t="shared" si="390"/>
        <v/>
      </c>
      <c r="FY163" s="188" t="str">
        <f t="shared" si="391"/>
        <v/>
      </c>
      <c r="FZ163" s="188" t="str">
        <f t="shared" si="392"/>
        <v/>
      </c>
      <c r="GA163" s="188" t="str">
        <f t="shared" si="393"/>
        <v/>
      </c>
      <c r="GB163" s="188" t="str">
        <f t="shared" si="520"/>
        <v/>
      </c>
      <c r="GC163" s="205" t="str">
        <f t="shared" si="394"/>
        <v/>
      </c>
      <c r="GD163" s="204" t="str">
        <f t="shared" si="521"/>
        <v/>
      </c>
      <c r="GE163" s="188" t="str">
        <f t="shared" si="395"/>
        <v/>
      </c>
      <c r="GF163" s="188" t="str">
        <f t="shared" si="396"/>
        <v/>
      </c>
      <c r="GG163" s="188" t="str">
        <f t="shared" si="397"/>
        <v/>
      </c>
      <c r="GH163" s="188" t="str">
        <f t="shared" si="398"/>
        <v/>
      </c>
      <c r="GI163" s="188" t="str">
        <f t="shared" si="522"/>
        <v/>
      </c>
      <c r="GJ163" s="205" t="str">
        <f t="shared" si="399"/>
        <v/>
      </c>
      <c r="GK163" s="204" t="str">
        <f t="shared" si="523"/>
        <v/>
      </c>
      <c r="GL163" s="188" t="str">
        <f t="shared" si="400"/>
        <v/>
      </c>
      <c r="GM163" s="188" t="str">
        <f t="shared" si="401"/>
        <v/>
      </c>
      <c r="GN163" s="188" t="str">
        <f t="shared" si="402"/>
        <v/>
      </c>
      <c r="GO163" s="188" t="str">
        <f t="shared" si="403"/>
        <v/>
      </c>
      <c r="GP163" s="188" t="str">
        <f t="shared" si="524"/>
        <v/>
      </c>
      <c r="GQ163" s="205" t="str">
        <f t="shared" si="404"/>
        <v/>
      </c>
      <c r="GR163" s="188" t="str">
        <f t="shared" si="525"/>
        <v/>
      </c>
      <c r="GS163" s="188" t="str">
        <f t="shared" si="526"/>
        <v/>
      </c>
      <c r="GT163" s="206" t="str">
        <f t="shared" si="527"/>
        <v xml:space="preserve">    </v>
      </c>
      <c r="GU163" s="206" t="str">
        <f t="shared" si="528"/>
        <v xml:space="preserve">    </v>
      </c>
      <c r="GV163" s="206" t="str">
        <f t="shared" si="529"/>
        <v xml:space="preserve">    </v>
      </c>
      <c r="GW163" s="206" t="str">
        <f t="shared" si="530"/>
        <v xml:space="preserve">       </v>
      </c>
      <c r="GX163" s="598" t="str">
        <f t="shared" si="531"/>
        <v xml:space="preserve">     </v>
      </c>
      <c r="GY163" s="207" t="str">
        <f t="shared" si="405"/>
        <v/>
      </c>
      <c r="GZ163" s="606" t="str">
        <f>IF(AND(Q163="",AE163="",AZ163="",BW163="",CT163=""),"",IF(AND('Master Sheet'!$D$19="YES",'Marks Entry'!$BA$1=1),SUM(Q163,AE163,AZ163,BW163,DT163),SUM(Q163,AE163,AZ163,BW163,CT163)))</f>
        <v/>
      </c>
      <c r="HA163" s="208" t="str">
        <f>IF(GZ163="","",IF(AND('Master Sheet'!$D$19="YES",'Marks Entry'!$BA$1=1),GZ163/((900)-DC163)*100,GZ163/((1000)-DC163)*100))</f>
        <v/>
      </c>
      <c r="HB163" s="611" t="str">
        <f t="shared" si="532"/>
        <v/>
      </c>
      <c r="HC163" s="609" t="str">
        <f t="shared" si="533"/>
        <v/>
      </c>
      <c r="HD163" s="610" t="str">
        <f t="shared" si="534"/>
        <v/>
      </c>
      <c r="HE163" s="209" t="str">
        <f>IFERROR(IF(OR(GY163="SUPPLEMENTARY",GY163="RE-EXAM"),'Supp. Result Entry'!AS162,""),"")</f>
        <v/>
      </c>
      <c r="HF163" s="613" t="str">
        <f t="shared" si="535"/>
        <v/>
      </c>
      <c r="HG163" s="598" t="str">
        <f t="shared" si="536"/>
        <v/>
      </c>
      <c r="HH163" s="598" t="str">
        <f>IF(AND(HE163="",HF163="",HG163=""),"",IF(OR(GY163="SUPPLEMENTARY",GY163="RE-EXAM"),'Supp. Result Entry'!AS162,GY163))</f>
        <v/>
      </c>
      <c r="HI163" s="179"/>
      <c r="HY163" s="211" t="str">
        <f>IF('Supp. Result Entry'!U162="","",'Supp. Result Entry'!$U$6)</f>
        <v/>
      </c>
      <c r="HZ163" s="212" t="str">
        <f>IF('Supp. Result Entry'!X162="","",'Supp. Result Entry'!$X$6)</f>
        <v/>
      </c>
      <c r="IA163" s="212" t="str">
        <f>IF('Supp. Result Entry'!AA162="","",'Supp. Result Entry'!$AA$6)</f>
        <v/>
      </c>
      <c r="IB163" s="212" t="str">
        <f>IF('Supp. Result Entry'!AD162="","",'Supp. Result Entry'!$AD$6)</f>
        <v/>
      </c>
      <c r="IC163" s="212" t="str">
        <f>IF('Supp. Result Entry'!AG162="","",'Supp. Result Entry'!$AG$6)</f>
        <v/>
      </c>
      <c r="ID163" s="212" t="str">
        <f>IF('Supp. Result Entry'!AJ162="","",'Supp. Result Entry'!$AJ$6)</f>
        <v/>
      </c>
      <c r="IE163" s="212" t="str">
        <f>IF('Supp. Result Entry'!V162="","",'Supp. Result Entry'!V162)</f>
        <v/>
      </c>
      <c r="IF163" s="212" t="str">
        <f>IF('Supp. Result Entry'!Y162="","",'Supp. Result Entry'!Y162)</f>
        <v/>
      </c>
      <c r="IG163" s="212" t="str">
        <f>IF('Supp. Result Entry'!AB162="","",'Supp. Result Entry'!AB162)</f>
        <v/>
      </c>
      <c r="IH163" s="212" t="str">
        <f>IF('Supp. Result Entry'!AE162="","",'Supp. Result Entry'!AE162)</f>
        <v/>
      </c>
      <c r="II163" s="212" t="str">
        <f>IF('Supp. Result Entry'!AH162="","",'Supp. Result Entry'!AH162)</f>
        <v/>
      </c>
      <c r="IJ163" s="212" t="str">
        <f>IF('Supp. Result Entry'!AK162="","",'Supp. Result Entry'!AK162)</f>
        <v/>
      </c>
      <c r="IK163" s="212" t="str">
        <f>IF('Supp. Result Entry'!W162="","",'Supp. Result Entry'!W162)</f>
        <v/>
      </c>
      <c r="IL163" s="212" t="str">
        <f>IF('Supp. Result Entry'!Z162="","",'Supp. Result Entry'!Z162)</f>
        <v/>
      </c>
      <c r="IM163" s="212" t="str">
        <f>IF('Supp. Result Entry'!AC162="","",'Supp. Result Entry'!AC162)</f>
        <v/>
      </c>
      <c r="IN163" s="212" t="str">
        <f>IF('Supp. Result Entry'!AF162="","",'Supp. Result Entry'!AF162)</f>
        <v/>
      </c>
      <c r="IO163" s="212" t="str">
        <f>IF('Supp. Result Entry'!AI162="","",'Supp. Result Entry'!AI162)</f>
        <v/>
      </c>
      <c r="IP163" s="212" t="str">
        <f>IF('Supp. Result Entry'!AL162="","",'Supp. Result Entry'!AL162)</f>
        <v/>
      </c>
      <c r="IQ163" s="212">
        <f>COUNTIF('Supp. Result Entry'!K162:Q162,"S")</f>
        <v>0</v>
      </c>
      <c r="IR163" s="212">
        <f t="shared" si="537"/>
        <v>0</v>
      </c>
      <c r="IS163" s="212">
        <f t="shared" si="538"/>
        <v>0</v>
      </c>
      <c r="IT163" s="212" t="str">
        <f t="shared" si="406"/>
        <v/>
      </c>
      <c r="IU163" s="212" t="str">
        <f t="shared" si="407"/>
        <v/>
      </c>
      <c r="IV163" s="212" t="str">
        <f t="shared" si="408"/>
        <v/>
      </c>
      <c r="IW163" s="212" t="str">
        <f t="shared" si="409"/>
        <v/>
      </c>
      <c r="IX163" s="212" t="str">
        <f t="shared" si="410"/>
        <v/>
      </c>
      <c r="IY163" s="212" t="str">
        <f t="shared" si="539"/>
        <v/>
      </c>
      <c r="IZ163" s="212" t="str">
        <f t="shared" si="540"/>
        <v/>
      </c>
      <c r="JA163" s="212" t="str">
        <f t="shared" si="411"/>
        <v/>
      </c>
      <c r="JB163" s="210" t="str">
        <f t="shared" si="541"/>
        <v/>
      </c>
    </row>
    <row r="164" spans="1:262" s="210" customFormat="1" ht="21" customHeight="1">
      <c r="A164" s="183">
        <v>157</v>
      </c>
      <c r="B164" s="184" t="str">
        <f>IF('Marks Entry'!B164="","",'Marks Entry'!B164)</f>
        <v/>
      </c>
      <c r="C164" s="185" t="str">
        <f>IF('Marks Entry'!D164="","",'Marks Entry'!D164)</f>
        <v/>
      </c>
      <c r="D164" s="186" t="str">
        <f>IF('Marks Entry'!E164="","",'Marks Entry'!E164)</f>
        <v/>
      </c>
      <c r="E164" s="187" t="str">
        <f>IF('Marks Entry'!F164="","",'Marks Entry'!F164)</f>
        <v/>
      </c>
      <c r="F164" s="187" t="str">
        <f>IF('Marks Entry'!G164="","",'Marks Entry'!G164)</f>
        <v/>
      </c>
      <c r="G164" s="187" t="str">
        <f>IF('Marks Entry'!H164="","",'Marks Entry'!H164)</f>
        <v/>
      </c>
      <c r="H164" s="188" t="str">
        <f>IF('Marks Entry'!I164="","",'Marks Entry'!I164)</f>
        <v/>
      </c>
      <c r="I164" s="189" t="str">
        <f>IF('Marks Entry'!J164="","",'Marks Entry'!J164)</f>
        <v/>
      </c>
      <c r="J164" s="545" t="str">
        <f>IF('Marks Entry'!K164="","",'Marks Entry'!K164)</f>
        <v/>
      </c>
      <c r="K164" s="545" t="str">
        <f>IF('Marks Entry'!L164="","",'Marks Entry'!L164)</f>
        <v/>
      </c>
      <c r="L164" s="545" t="str">
        <f>IF('Marks Entry'!M164="","",'Marks Entry'!M164)</f>
        <v/>
      </c>
      <c r="M164" s="546" t="str">
        <f t="shared" si="412"/>
        <v/>
      </c>
      <c r="N164" s="545" t="str">
        <f>IF('Marks Entry'!N164="","",'Marks Entry'!N164)</f>
        <v/>
      </c>
      <c r="O164" s="546" t="str">
        <f t="shared" si="413"/>
        <v/>
      </c>
      <c r="P164" s="545" t="str">
        <f>IF('Marks Entry'!O164="","",'Marks Entry'!O164)</f>
        <v/>
      </c>
      <c r="Q164" s="547" t="str">
        <f t="shared" si="414"/>
        <v/>
      </c>
      <c r="R164" s="152">
        <f t="shared" si="415"/>
        <v>0</v>
      </c>
      <c r="S164" s="152">
        <f t="shared" si="416"/>
        <v>0</v>
      </c>
      <c r="T164" s="153" t="str">
        <f t="shared" si="417"/>
        <v/>
      </c>
      <c r="U164" s="152" t="str">
        <f t="shared" si="418"/>
        <v/>
      </c>
      <c r="V164" s="152" t="str">
        <f t="shared" si="419"/>
        <v/>
      </c>
      <c r="W164" s="152" t="str">
        <f t="shared" si="420"/>
        <v/>
      </c>
      <c r="X164" s="545" t="str">
        <f>IF('Marks Entry'!P164="","",'Marks Entry'!P164)</f>
        <v/>
      </c>
      <c r="Y164" s="545" t="str">
        <f>IF('Marks Entry'!Q164="","",'Marks Entry'!Q164)</f>
        <v/>
      </c>
      <c r="Z164" s="545" t="str">
        <f>IF('Marks Entry'!R164="","",'Marks Entry'!R164)</f>
        <v/>
      </c>
      <c r="AA164" s="546" t="str">
        <f t="shared" si="421"/>
        <v/>
      </c>
      <c r="AB164" s="545" t="str">
        <f>IF('Marks Entry'!S164="","",'Marks Entry'!S164)</f>
        <v/>
      </c>
      <c r="AC164" s="546" t="str">
        <f t="shared" si="422"/>
        <v/>
      </c>
      <c r="AD164" s="545" t="str">
        <f>IF('Marks Entry'!T164="","",'Marks Entry'!T164)</f>
        <v/>
      </c>
      <c r="AE164" s="547" t="str">
        <f t="shared" si="423"/>
        <v/>
      </c>
      <c r="AF164" s="152">
        <f t="shared" si="424"/>
        <v>0</v>
      </c>
      <c r="AG164" s="152">
        <f t="shared" si="425"/>
        <v>0</v>
      </c>
      <c r="AH164" s="153" t="str">
        <f t="shared" si="426"/>
        <v/>
      </c>
      <c r="AI164" s="152" t="str">
        <f t="shared" si="427"/>
        <v/>
      </c>
      <c r="AJ164" s="152" t="str">
        <f t="shared" si="428"/>
        <v/>
      </c>
      <c r="AK164" s="152" t="str">
        <f t="shared" si="429"/>
        <v/>
      </c>
      <c r="AL164" s="573" t="str">
        <f>IF('Marks Entry'!U164="","",'Marks Entry'!U164)</f>
        <v/>
      </c>
      <c r="AM164" s="573" t="str">
        <f>IF('Marks Entry'!V164="","",'Marks Entry'!V164)</f>
        <v/>
      </c>
      <c r="AN164" s="573" t="str">
        <f>IF('Marks Entry'!W164="","",'Marks Entry'!W164)</f>
        <v/>
      </c>
      <c r="AO164" s="573" t="str">
        <f>IF('Marks Entry'!X164="","",'Marks Entry'!X164)</f>
        <v/>
      </c>
      <c r="AP164" s="572" t="str">
        <f t="shared" si="430"/>
        <v/>
      </c>
      <c r="AQ164" s="573" t="str">
        <f>IF('Marks Entry'!Y164="","",'Marks Entry'!Y164)</f>
        <v/>
      </c>
      <c r="AR164" s="573" t="str">
        <f>IF('Marks Entry'!Z164="","",'Marks Entry'!Z164)</f>
        <v/>
      </c>
      <c r="AS164" s="572" t="str">
        <f t="shared" si="431"/>
        <v/>
      </c>
      <c r="AT164" s="572" t="str">
        <f t="shared" si="432"/>
        <v/>
      </c>
      <c r="AU164" s="573" t="str">
        <f>IF('Marks Entry'!AA164="","",'Marks Entry'!AA164)</f>
        <v/>
      </c>
      <c r="AV164" s="573" t="str">
        <f>IF('Marks Entry'!AB164="","",'Marks Entry'!AB164)</f>
        <v/>
      </c>
      <c r="AW164" s="572" t="str">
        <f t="shared" si="433"/>
        <v/>
      </c>
      <c r="AX164" s="156" t="str">
        <f t="shared" si="434"/>
        <v/>
      </c>
      <c r="AY164" s="156" t="str">
        <f t="shared" si="435"/>
        <v/>
      </c>
      <c r="AZ164" s="191" t="str">
        <f t="shared" si="436"/>
        <v/>
      </c>
      <c r="BA164" s="152">
        <f t="shared" si="437"/>
        <v>0</v>
      </c>
      <c r="BB164" s="153">
        <f t="shared" si="438"/>
        <v>0</v>
      </c>
      <c r="BC164" s="153" t="str">
        <f t="shared" si="439"/>
        <v/>
      </c>
      <c r="BD164" s="153" t="str">
        <f t="shared" si="440"/>
        <v/>
      </c>
      <c r="BE164" s="153" t="str">
        <f t="shared" si="441"/>
        <v/>
      </c>
      <c r="BF164" s="152" t="str">
        <f t="shared" si="442"/>
        <v/>
      </c>
      <c r="BG164" s="153" t="str">
        <f t="shared" si="443"/>
        <v/>
      </c>
      <c r="BH164" s="152" t="str">
        <f t="shared" si="444"/>
        <v/>
      </c>
      <c r="BI164" s="580" t="str">
        <f>IF('Marks Entry'!AC164="","",'Marks Entry'!AC164)</f>
        <v/>
      </c>
      <c r="BJ164" s="580" t="str">
        <f>IF('Marks Entry'!AD164="","",'Marks Entry'!AD164)</f>
        <v/>
      </c>
      <c r="BK164" s="580" t="str">
        <f>IF('Marks Entry'!AE164="","",'Marks Entry'!AE164)</f>
        <v/>
      </c>
      <c r="BL164" s="580" t="str">
        <f>IF('Marks Entry'!AF164="","",'Marks Entry'!AF164)</f>
        <v/>
      </c>
      <c r="BM164" s="581" t="str">
        <f t="shared" si="445"/>
        <v/>
      </c>
      <c r="BN164" s="580" t="str">
        <f>IF('Marks Entry'!AG164="","",'Marks Entry'!AG164)</f>
        <v/>
      </c>
      <c r="BO164" s="580" t="str">
        <f>IF('Marks Entry'!AH164="","",'Marks Entry'!AH164)</f>
        <v/>
      </c>
      <c r="BP164" s="581" t="str">
        <f t="shared" si="446"/>
        <v/>
      </c>
      <c r="BQ164" s="581" t="str">
        <f t="shared" si="447"/>
        <v/>
      </c>
      <c r="BR164" s="580" t="str">
        <f>IF('Marks Entry'!AI164="","",'Marks Entry'!AI164)</f>
        <v/>
      </c>
      <c r="BS164" s="580" t="str">
        <f>IF('Marks Entry'!AJ164="","",'Marks Entry'!AJ164)</f>
        <v/>
      </c>
      <c r="BT164" s="581" t="str">
        <f t="shared" si="448"/>
        <v/>
      </c>
      <c r="BU164" s="156" t="str">
        <f t="shared" si="449"/>
        <v/>
      </c>
      <c r="BV164" s="156" t="str">
        <f t="shared" si="450"/>
        <v/>
      </c>
      <c r="BW164" s="191" t="str">
        <f t="shared" si="451"/>
        <v/>
      </c>
      <c r="BX164" s="152">
        <f t="shared" si="452"/>
        <v>0</v>
      </c>
      <c r="BY164" s="153">
        <f t="shared" si="453"/>
        <v>0</v>
      </c>
      <c r="BZ164" s="153" t="str">
        <f t="shared" si="454"/>
        <v/>
      </c>
      <c r="CA164" s="153" t="str">
        <f t="shared" si="455"/>
        <v/>
      </c>
      <c r="CB164" s="153" t="str">
        <f t="shared" si="456"/>
        <v/>
      </c>
      <c r="CC164" s="152" t="str">
        <f t="shared" si="457"/>
        <v/>
      </c>
      <c r="CD164" s="153" t="str">
        <f t="shared" si="458"/>
        <v/>
      </c>
      <c r="CE164" s="152" t="str">
        <f t="shared" si="459"/>
        <v/>
      </c>
      <c r="CF164" s="580" t="str">
        <f>IF('Marks Entry'!AK164="","",'Marks Entry'!AK164)</f>
        <v/>
      </c>
      <c r="CG164" s="580" t="str">
        <f>IF('Marks Entry'!AL164="","",'Marks Entry'!AL164)</f>
        <v/>
      </c>
      <c r="CH164" s="580" t="str">
        <f>IF('Marks Entry'!AM164="","",'Marks Entry'!AM164)</f>
        <v/>
      </c>
      <c r="CI164" s="580" t="str">
        <f>IF('Marks Entry'!AN164="","",'Marks Entry'!AN164)</f>
        <v/>
      </c>
      <c r="CJ164" s="581" t="str">
        <f t="shared" si="460"/>
        <v/>
      </c>
      <c r="CK164" s="580" t="str">
        <f>IF('Marks Entry'!AO164="","",'Marks Entry'!AO164)</f>
        <v/>
      </c>
      <c r="CL164" s="580" t="str">
        <f>IF('Marks Entry'!AP164="","",'Marks Entry'!AP164)</f>
        <v/>
      </c>
      <c r="CM164" s="581" t="str">
        <f t="shared" si="461"/>
        <v/>
      </c>
      <c r="CN164" s="581" t="str">
        <f t="shared" si="462"/>
        <v/>
      </c>
      <c r="CO164" s="580" t="str">
        <f>IF('Marks Entry'!AQ164="","",'Marks Entry'!AQ164)</f>
        <v/>
      </c>
      <c r="CP164" s="580" t="str">
        <f>IF('Marks Entry'!AR164="","",'Marks Entry'!AR164)</f>
        <v/>
      </c>
      <c r="CQ164" s="581" t="str">
        <f t="shared" si="463"/>
        <v/>
      </c>
      <c r="CR164" s="156" t="str">
        <f t="shared" si="464"/>
        <v/>
      </c>
      <c r="CS164" s="156" t="str">
        <f t="shared" si="465"/>
        <v/>
      </c>
      <c r="CT164" s="191" t="str">
        <f t="shared" si="466"/>
        <v/>
      </c>
      <c r="CU164" s="152">
        <f t="shared" si="467"/>
        <v>0</v>
      </c>
      <c r="CV164" s="153">
        <f t="shared" si="468"/>
        <v>0</v>
      </c>
      <c r="CW164" s="153" t="str">
        <f t="shared" si="469"/>
        <v/>
      </c>
      <c r="CX164" s="153" t="str">
        <f t="shared" si="470"/>
        <v/>
      </c>
      <c r="CY164" s="153" t="str">
        <f t="shared" si="471"/>
        <v/>
      </c>
      <c r="CZ164" s="152" t="str">
        <f t="shared" si="472"/>
        <v/>
      </c>
      <c r="DA164" s="153" t="str">
        <f t="shared" si="473"/>
        <v/>
      </c>
      <c r="DB164" s="152" t="str">
        <f t="shared" si="474"/>
        <v/>
      </c>
      <c r="DC164" s="153">
        <f t="shared" si="475"/>
        <v>0</v>
      </c>
      <c r="DD164" s="851" t="str">
        <f>IF('Marks Entry'!AS164="","",IF(OR('Master Sheet'!$D$19="YES",'Marks Entry'!$BA$1=1),'Marks Entry'!AS164,""))</f>
        <v/>
      </c>
      <c r="DE164" s="851" t="str">
        <f>IF('Marks Entry'!AT164="","",IF(OR('Master Sheet'!$D$19="YES",'Marks Entry'!$BA$1=1),'Marks Entry'!AT164,""))</f>
        <v/>
      </c>
      <c r="DF164" s="851" t="str">
        <f>IF('Marks Entry'!AU164="","",IF(OR('Master Sheet'!$D$19="YES",'Marks Entry'!$BA$1=1),'Marks Entry'!AU164,""))</f>
        <v/>
      </c>
      <c r="DG164" s="851" t="str">
        <f>IF('Marks Entry'!AV164="","",IF(OR('Master Sheet'!$D$19="YES",'Marks Entry'!$BA$1=1),'Marks Entry'!AV164,""))</f>
        <v/>
      </c>
      <c r="DH164" s="852" t="str">
        <f t="shared" si="476"/>
        <v/>
      </c>
      <c r="DI164" s="851" t="str">
        <f>IF('Marks Entry'!AW164="","",IF(OR('Master Sheet'!$D$19="YES",'Marks Entry'!$BA$1=1),'Marks Entry'!AW164,""))</f>
        <v/>
      </c>
      <c r="DJ164" s="851" t="str">
        <f>IF('Marks Entry'!AX164="","",IF(OR('Master Sheet'!$D$19="YES",'Marks Entry'!$BA$1=1),'Marks Entry'!AX164,""))</f>
        <v/>
      </c>
      <c r="DK164" s="852" t="str">
        <f t="shared" si="477"/>
        <v/>
      </c>
      <c r="DL164" s="852" t="str">
        <f t="shared" si="478"/>
        <v/>
      </c>
      <c r="DM164" s="851" t="str">
        <f>IF('Marks Entry'!AY164="","",IF(OR('Master Sheet'!$D$19="YES",'Marks Entry'!$BA$1=1),'Marks Entry'!AY164,""))</f>
        <v/>
      </c>
      <c r="DN164" s="851" t="str">
        <f>IF('Marks Entry'!AZ164="","",IF(OR('Master Sheet'!$D$19="YES",'Marks Entry'!$BA$1=1),'Marks Entry'!AZ164,""))</f>
        <v/>
      </c>
      <c r="DO164" s="851" t="str">
        <f>IF('Marks Entry'!BA164="","",IF(OR('Master Sheet'!$D$19="YES",'Marks Entry'!$BA$1=1),'Marks Entry'!BA164,""))</f>
        <v/>
      </c>
      <c r="DP164" s="852" t="str">
        <f t="shared" si="479"/>
        <v/>
      </c>
      <c r="DQ164" s="156" t="str">
        <f t="shared" si="480"/>
        <v/>
      </c>
      <c r="DR164" s="156" t="str">
        <f t="shared" si="481"/>
        <v/>
      </c>
      <c r="DS164" s="156" t="str">
        <f t="shared" si="482"/>
        <v/>
      </c>
      <c r="DT164" s="191" t="str">
        <f t="shared" si="483"/>
        <v/>
      </c>
      <c r="DU164" s="152">
        <f t="shared" si="484"/>
        <v>0</v>
      </c>
      <c r="DV164" s="153">
        <f t="shared" si="485"/>
        <v>0</v>
      </c>
      <c r="DW164" s="153" t="str">
        <f t="shared" si="486"/>
        <v/>
      </c>
      <c r="DX164" s="153" t="str">
        <f>IF(OR($B164="NSO",$B164=0,DS164=""),"",IF(AND(DJ164="",DO164=""),"",IF('Master Sheet'!$D$19="YES",$DO$6-COUNTIF(DO164,"ML")*DO$6,DS$6-(COUNTIF(DJ164,"ML")*DJ$6)-(COUNTIF(DO164,"ML")*DO$6))))</f>
        <v/>
      </c>
      <c r="DY164" s="153" t="str">
        <f>IF(OR($B164="NSO",$B164=0),"",IF(AND(DH164="",DI164="",DM164=""),"",IF(AND('Master Sheet'!$D$19="YES",'Marks Entry'!$BA$1=1),100,IF(AND(DJ164="",DO164=""),SUM(($DQ$7+$DR$7)-(DU164+DV164)),SUM(($DQ$6+$DR$6)-(DU164+DV164))))))</f>
        <v/>
      </c>
      <c r="DZ164" s="152" t="str">
        <f t="shared" si="487"/>
        <v/>
      </c>
      <c r="EA164" s="153" t="str">
        <f t="shared" si="488"/>
        <v/>
      </c>
      <c r="EB164" s="152" t="str">
        <f t="shared" si="489"/>
        <v/>
      </c>
      <c r="EC164" s="584" t="str">
        <f>IF('Marks Entry'!BB164="","",'Marks Entry'!BB164)</f>
        <v/>
      </c>
      <c r="ED164" s="584" t="str">
        <f>IF('Marks Entry'!BC164="","",'Marks Entry'!BC164)</f>
        <v/>
      </c>
      <c r="EE164" s="584" t="str">
        <f>IF('Marks Entry'!BD164="","",'Marks Entry'!BD164)</f>
        <v/>
      </c>
      <c r="EF164" s="590" t="str">
        <f t="shared" si="490"/>
        <v/>
      </c>
      <c r="EG164" s="595">
        <f t="shared" si="491"/>
        <v>0</v>
      </c>
      <c r="EH164" s="595">
        <f t="shared" si="492"/>
        <v>0</v>
      </c>
      <c r="EI164" s="192" t="str">
        <f t="shared" si="493"/>
        <v/>
      </c>
      <c r="EJ164" s="595" t="str">
        <f t="shared" si="494"/>
        <v/>
      </c>
      <c r="EK164" s="595" t="str">
        <f t="shared" si="495"/>
        <v/>
      </c>
      <c r="EL164" s="193" t="str">
        <f t="shared" si="496"/>
        <v/>
      </c>
      <c r="EM164" s="193" t="str">
        <f t="shared" si="497"/>
        <v/>
      </c>
      <c r="EN164" s="193" t="str">
        <f t="shared" si="498"/>
        <v/>
      </c>
      <c r="EO164" s="193" t="str">
        <f t="shared" si="499"/>
        <v/>
      </c>
      <c r="EP164" s="193" t="str">
        <f t="shared" si="500"/>
        <v/>
      </c>
      <c r="EQ164" s="193" t="str">
        <f t="shared" si="501"/>
        <v/>
      </c>
      <c r="ER164" s="194">
        <f t="shared" si="502"/>
        <v>0</v>
      </c>
      <c r="ES164" s="194">
        <f t="shared" si="503"/>
        <v>0</v>
      </c>
      <c r="ET164" s="194">
        <f t="shared" si="504"/>
        <v>0</v>
      </c>
      <c r="EU164" s="194">
        <f t="shared" si="505"/>
        <v>0</v>
      </c>
      <c r="EV164" s="194">
        <f t="shared" si="506"/>
        <v>0</v>
      </c>
      <c r="EW164" s="194" t="str">
        <f t="shared" si="507"/>
        <v/>
      </c>
      <c r="EX164" s="195" t="str">
        <f t="shared" si="508"/>
        <v/>
      </c>
      <c r="EY164" s="196" t="str">
        <f>IF('Marks Entry'!BE164="","",'Marks Entry'!BE164)</f>
        <v/>
      </c>
      <c r="EZ164" s="196" t="str">
        <f>IF('Marks Entry'!BF164="","",'Marks Entry'!BF164)</f>
        <v/>
      </c>
      <c r="FA164" s="196" t="str">
        <f>IF('Marks Entry'!BG164="","",'Marks Entry'!BG164)</f>
        <v/>
      </c>
      <c r="FB164" s="596" t="str">
        <f t="shared" si="509"/>
        <v/>
      </c>
      <c r="FC164" s="196" t="str">
        <f>IF('Marks Entry'!BH164="","",'Marks Entry'!BH164)</f>
        <v/>
      </c>
      <c r="FD164" s="196" t="str">
        <f>IF('Marks Entry'!BI164="","",'Marks Entry'!BI164)</f>
        <v/>
      </c>
      <c r="FE164" s="197" t="str">
        <f t="shared" si="510"/>
        <v/>
      </c>
      <c r="FF164" s="198" t="str">
        <f t="shared" si="511"/>
        <v/>
      </c>
      <c r="FG164" s="199" t="str">
        <f>IF(AND(E164=""),"",IF('Student DATA Entry'!L160="","",'Student DATA Entry'!L160))</f>
        <v/>
      </c>
      <c r="FH164" s="200" t="str">
        <f>IF(AND(E164=""),"",IF('Student DATA Entry'!M160="","",'Student DATA Entry'!M160))</f>
        <v/>
      </c>
      <c r="FI164" s="201" t="str">
        <f t="shared" si="512"/>
        <v/>
      </c>
      <c r="FJ164" s="188" t="str">
        <f t="shared" si="513"/>
        <v/>
      </c>
      <c r="FK164" s="188" t="str">
        <f t="shared" si="514"/>
        <v/>
      </c>
      <c r="FL164" s="202" t="str">
        <f t="shared" si="383"/>
        <v/>
      </c>
      <c r="FM164" s="188" t="str">
        <f t="shared" si="515"/>
        <v/>
      </c>
      <c r="FN164" s="203" t="str">
        <f t="shared" si="516"/>
        <v/>
      </c>
      <c r="FO164" s="202" t="str">
        <f t="shared" si="384"/>
        <v/>
      </c>
      <c r="FP164" s="204" t="str">
        <f t="shared" si="517"/>
        <v/>
      </c>
      <c r="FQ164" s="188" t="str">
        <f t="shared" si="385"/>
        <v/>
      </c>
      <c r="FR164" s="188" t="str">
        <f t="shared" si="386"/>
        <v/>
      </c>
      <c r="FS164" s="188" t="str">
        <f t="shared" si="387"/>
        <v/>
      </c>
      <c r="FT164" s="188" t="str">
        <f t="shared" si="388"/>
        <v/>
      </c>
      <c r="FU164" s="188" t="str">
        <f t="shared" si="518"/>
        <v/>
      </c>
      <c r="FV164" s="205" t="str">
        <f t="shared" si="389"/>
        <v/>
      </c>
      <c r="FW164" s="204" t="str">
        <f t="shared" si="519"/>
        <v/>
      </c>
      <c r="FX164" s="188" t="str">
        <f t="shared" si="390"/>
        <v/>
      </c>
      <c r="FY164" s="188" t="str">
        <f t="shared" si="391"/>
        <v/>
      </c>
      <c r="FZ164" s="188" t="str">
        <f t="shared" si="392"/>
        <v/>
      </c>
      <c r="GA164" s="188" t="str">
        <f t="shared" si="393"/>
        <v/>
      </c>
      <c r="GB164" s="188" t="str">
        <f t="shared" si="520"/>
        <v/>
      </c>
      <c r="GC164" s="205" t="str">
        <f t="shared" si="394"/>
        <v/>
      </c>
      <c r="GD164" s="204" t="str">
        <f t="shared" si="521"/>
        <v/>
      </c>
      <c r="GE164" s="188" t="str">
        <f t="shared" si="395"/>
        <v/>
      </c>
      <c r="GF164" s="188" t="str">
        <f t="shared" si="396"/>
        <v/>
      </c>
      <c r="GG164" s="188" t="str">
        <f t="shared" si="397"/>
        <v/>
      </c>
      <c r="GH164" s="188" t="str">
        <f t="shared" si="398"/>
        <v/>
      </c>
      <c r="GI164" s="188" t="str">
        <f t="shared" si="522"/>
        <v/>
      </c>
      <c r="GJ164" s="205" t="str">
        <f t="shared" si="399"/>
        <v/>
      </c>
      <c r="GK164" s="204" t="str">
        <f t="shared" si="523"/>
        <v/>
      </c>
      <c r="GL164" s="188" t="str">
        <f t="shared" si="400"/>
        <v/>
      </c>
      <c r="GM164" s="188" t="str">
        <f t="shared" si="401"/>
        <v/>
      </c>
      <c r="GN164" s="188" t="str">
        <f t="shared" si="402"/>
        <v/>
      </c>
      <c r="GO164" s="188" t="str">
        <f t="shared" si="403"/>
        <v/>
      </c>
      <c r="GP164" s="188" t="str">
        <f t="shared" si="524"/>
        <v/>
      </c>
      <c r="GQ164" s="205" t="str">
        <f t="shared" si="404"/>
        <v/>
      </c>
      <c r="GR164" s="188" t="str">
        <f t="shared" si="525"/>
        <v/>
      </c>
      <c r="GS164" s="188" t="str">
        <f t="shared" si="526"/>
        <v/>
      </c>
      <c r="GT164" s="206" t="str">
        <f t="shared" si="527"/>
        <v xml:space="preserve">    </v>
      </c>
      <c r="GU164" s="206" t="str">
        <f t="shared" si="528"/>
        <v xml:space="preserve">    </v>
      </c>
      <c r="GV164" s="206" t="str">
        <f t="shared" si="529"/>
        <v xml:space="preserve">    </v>
      </c>
      <c r="GW164" s="206" t="str">
        <f t="shared" si="530"/>
        <v xml:space="preserve">       </v>
      </c>
      <c r="GX164" s="598" t="str">
        <f t="shared" si="531"/>
        <v xml:space="preserve">     </v>
      </c>
      <c r="GY164" s="207" t="str">
        <f t="shared" si="405"/>
        <v/>
      </c>
      <c r="GZ164" s="606" t="str">
        <f>IF(AND(Q164="",AE164="",AZ164="",BW164="",CT164=""),"",IF(AND('Master Sheet'!$D$19="YES",'Marks Entry'!$BA$1=1),SUM(Q164,AE164,AZ164,BW164,DT164),SUM(Q164,AE164,AZ164,BW164,CT164)))</f>
        <v/>
      </c>
      <c r="HA164" s="208" t="str">
        <f>IF(GZ164="","",IF(AND('Master Sheet'!$D$19="YES",'Marks Entry'!$BA$1=1),GZ164/((900)-DC164)*100,GZ164/((1000)-DC164)*100))</f>
        <v/>
      </c>
      <c r="HB164" s="611" t="str">
        <f t="shared" si="532"/>
        <v/>
      </c>
      <c r="HC164" s="609" t="str">
        <f t="shared" si="533"/>
        <v/>
      </c>
      <c r="HD164" s="610" t="str">
        <f t="shared" si="534"/>
        <v/>
      </c>
      <c r="HE164" s="209" t="str">
        <f>IFERROR(IF(OR(GY164="SUPPLEMENTARY",GY164="RE-EXAM"),'Supp. Result Entry'!AS163,""),"")</f>
        <v/>
      </c>
      <c r="HF164" s="613" t="str">
        <f t="shared" si="535"/>
        <v/>
      </c>
      <c r="HG164" s="598" t="str">
        <f t="shared" si="536"/>
        <v/>
      </c>
      <c r="HH164" s="598" t="str">
        <f>IF(AND(HE164="",HF164="",HG164=""),"",IF(OR(GY164="SUPPLEMENTARY",GY164="RE-EXAM"),'Supp. Result Entry'!AS163,GY164))</f>
        <v/>
      </c>
      <c r="HI164" s="179"/>
      <c r="HY164" s="211" t="str">
        <f>IF('Supp. Result Entry'!U163="","",'Supp. Result Entry'!$U$6)</f>
        <v/>
      </c>
      <c r="HZ164" s="212" t="str">
        <f>IF('Supp. Result Entry'!X163="","",'Supp. Result Entry'!$X$6)</f>
        <v/>
      </c>
      <c r="IA164" s="212" t="str">
        <f>IF('Supp. Result Entry'!AA163="","",'Supp. Result Entry'!$AA$6)</f>
        <v/>
      </c>
      <c r="IB164" s="212" t="str">
        <f>IF('Supp. Result Entry'!AD163="","",'Supp. Result Entry'!$AD$6)</f>
        <v/>
      </c>
      <c r="IC164" s="212" t="str">
        <f>IF('Supp. Result Entry'!AG163="","",'Supp. Result Entry'!$AG$6)</f>
        <v/>
      </c>
      <c r="ID164" s="212" t="str">
        <f>IF('Supp. Result Entry'!AJ163="","",'Supp. Result Entry'!$AJ$6)</f>
        <v/>
      </c>
      <c r="IE164" s="212" t="str">
        <f>IF('Supp. Result Entry'!V163="","",'Supp. Result Entry'!V163)</f>
        <v/>
      </c>
      <c r="IF164" s="212" t="str">
        <f>IF('Supp. Result Entry'!Y163="","",'Supp. Result Entry'!Y163)</f>
        <v/>
      </c>
      <c r="IG164" s="212" t="str">
        <f>IF('Supp. Result Entry'!AB163="","",'Supp. Result Entry'!AB163)</f>
        <v/>
      </c>
      <c r="IH164" s="212" t="str">
        <f>IF('Supp. Result Entry'!AE163="","",'Supp. Result Entry'!AE163)</f>
        <v/>
      </c>
      <c r="II164" s="212" t="str">
        <f>IF('Supp. Result Entry'!AH163="","",'Supp. Result Entry'!AH163)</f>
        <v/>
      </c>
      <c r="IJ164" s="212" t="str">
        <f>IF('Supp. Result Entry'!AK163="","",'Supp. Result Entry'!AK163)</f>
        <v/>
      </c>
      <c r="IK164" s="212" t="str">
        <f>IF('Supp. Result Entry'!W163="","",'Supp. Result Entry'!W163)</f>
        <v/>
      </c>
      <c r="IL164" s="212" t="str">
        <f>IF('Supp. Result Entry'!Z163="","",'Supp. Result Entry'!Z163)</f>
        <v/>
      </c>
      <c r="IM164" s="212" t="str">
        <f>IF('Supp. Result Entry'!AC163="","",'Supp. Result Entry'!AC163)</f>
        <v/>
      </c>
      <c r="IN164" s="212" t="str">
        <f>IF('Supp. Result Entry'!AF163="","",'Supp. Result Entry'!AF163)</f>
        <v/>
      </c>
      <c r="IO164" s="212" t="str">
        <f>IF('Supp. Result Entry'!AI163="","",'Supp. Result Entry'!AI163)</f>
        <v/>
      </c>
      <c r="IP164" s="212" t="str">
        <f>IF('Supp. Result Entry'!AL163="","",'Supp. Result Entry'!AL163)</f>
        <v/>
      </c>
      <c r="IQ164" s="212">
        <f>COUNTIF('Supp. Result Entry'!K163:Q163,"S")</f>
        <v>0</v>
      </c>
      <c r="IR164" s="212">
        <f t="shared" si="537"/>
        <v>0</v>
      </c>
      <c r="IS164" s="212">
        <f t="shared" si="538"/>
        <v>0</v>
      </c>
      <c r="IT164" s="212" t="str">
        <f t="shared" si="406"/>
        <v/>
      </c>
      <c r="IU164" s="212" t="str">
        <f t="shared" si="407"/>
        <v/>
      </c>
      <c r="IV164" s="212" t="str">
        <f t="shared" si="408"/>
        <v/>
      </c>
      <c r="IW164" s="212" t="str">
        <f t="shared" si="409"/>
        <v/>
      </c>
      <c r="IX164" s="212" t="str">
        <f t="shared" si="410"/>
        <v/>
      </c>
      <c r="IY164" s="212" t="str">
        <f t="shared" si="539"/>
        <v/>
      </c>
      <c r="IZ164" s="212" t="str">
        <f t="shared" si="540"/>
        <v/>
      </c>
      <c r="JA164" s="212" t="str">
        <f t="shared" si="411"/>
        <v/>
      </c>
      <c r="JB164" s="210" t="str">
        <f t="shared" si="541"/>
        <v/>
      </c>
    </row>
    <row r="165" spans="1:262" s="210" customFormat="1" ht="21" customHeight="1">
      <c r="A165" s="183">
        <v>158</v>
      </c>
      <c r="B165" s="184" t="str">
        <f>IF('Marks Entry'!B165="","",'Marks Entry'!B165)</f>
        <v/>
      </c>
      <c r="C165" s="185" t="str">
        <f>IF('Marks Entry'!D165="","",'Marks Entry'!D165)</f>
        <v/>
      </c>
      <c r="D165" s="186" t="str">
        <f>IF('Marks Entry'!E165="","",'Marks Entry'!E165)</f>
        <v/>
      </c>
      <c r="E165" s="187" t="str">
        <f>IF('Marks Entry'!F165="","",'Marks Entry'!F165)</f>
        <v/>
      </c>
      <c r="F165" s="187" t="str">
        <f>IF('Marks Entry'!G165="","",'Marks Entry'!G165)</f>
        <v/>
      </c>
      <c r="G165" s="187" t="str">
        <f>IF('Marks Entry'!H165="","",'Marks Entry'!H165)</f>
        <v/>
      </c>
      <c r="H165" s="188" t="str">
        <f>IF('Marks Entry'!I165="","",'Marks Entry'!I165)</f>
        <v/>
      </c>
      <c r="I165" s="189" t="str">
        <f>IF('Marks Entry'!J165="","",'Marks Entry'!J165)</f>
        <v/>
      </c>
      <c r="J165" s="545" t="str">
        <f>IF('Marks Entry'!K165="","",'Marks Entry'!K165)</f>
        <v/>
      </c>
      <c r="K165" s="545" t="str">
        <f>IF('Marks Entry'!L165="","",'Marks Entry'!L165)</f>
        <v/>
      </c>
      <c r="L165" s="545" t="str">
        <f>IF('Marks Entry'!M165="","",'Marks Entry'!M165)</f>
        <v/>
      </c>
      <c r="M165" s="546" t="str">
        <f t="shared" si="412"/>
        <v/>
      </c>
      <c r="N165" s="545" t="str">
        <f>IF('Marks Entry'!N165="","",'Marks Entry'!N165)</f>
        <v/>
      </c>
      <c r="O165" s="546" t="str">
        <f t="shared" si="413"/>
        <v/>
      </c>
      <c r="P165" s="545" t="str">
        <f>IF('Marks Entry'!O165="","",'Marks Entry'!O165)</f>
        <v/>
      </c>
      <c r="Q165" s="547" t="str">
        <f t="shared" si="414"/>
        <v/>
      </c>
      <c r="R165" s="152">
        <f t="shared" si="415"/>
        <v>0</v>
      </c>
      <c r="S165" s="152">
        <f t="shared" si="416"/>
        <v>0</v>
      </c>
      <c r="T165" s="153" t="str">
        <f t="shared" si="417"/>
        <v/>
      </c>
      <c r="U165" s="152" t="str">
        <f t="shared" si="418"/>
        <v/>
      </c>
      <c r="V165" s="152" t="str">
        <f t="shared" si="419"/>
        <v/>
      </c>
      <c r="W165" s="152" t="str">
        <f t="shared" si="420"/>
        <v/>
      </c>
      <c r="X165" s="545" t="str">
        <f>IF('Marks Entry'!P165="","",'Marks Entry'!P165)</f>
        <v/>
      </c>
      <c r="Y165" s="545" t="str">
        <f>IF('Marks Entry'!Q165="","",'Marks Entry'!Q165)</f>
        <v/>
      </c>
      <c r="Z165" s="545" t="str">
        <f>IF('Marks Entry'!R165="","",'Marks Entry'!R165)</f>
        <v/>
      </c>
      <c r="AA165" s="546" t="str">
        <f t="shared" si="421"/>
        <v/>
      </c>
      <c r="AB165" s="545" t="str">
        <f>IF('Marks Entry'!S165="","",'Marks Entry'!S165)</f>
        <v/>
      </c>
      <c r="AC165" s="546" t="str">
        <f t="shared" si="422"/>
        <v/>
      </c>
      <c r="AD165" s="545" t="str">
        <f>IF('Marks Entry'!T165="","",'Marks Entry'!T165)</f>
        <v/>
      </c>
      <c r="AE165" s="547" t="str">
        <f t="shared" si="423"/>
        <v/>
      </c>
      <c r="AF165" s="152">
        <f t="shared" si="424"/>
        <v>0</v>
      </c>
      <c r="AG165" s="152">
        <f t="shared" si="425"/>
        <v>0</v>
      </c>
      <c r="AH165" s="153" t="str">
        <f t="shared" si="426"/>
        <v/>
      </c>
      <c r="AI165" s="152" t="str">
        <f t="shared" si="427"/>
        <v/>
      </c>
      <c r="AJ165" s="152" t="str">
        <f t="shared" si="428"/>
        <v/>
      </c>
      <c r="AK165" s="152" t="str">
        <f t="shared" si="429"/>
        <v/>
      </c>
      <c r="AL165" s="573" t="str">
        <f>IF('Marks Entry'!U165="","",'Marks Entry'!U165)</f>
        <v/>
      </c>
      <c r="AM165" s="573" t="str">
        <f>IF('Marks Entry'!V165="","",'Marks Entry'!V165)</f>
        <v/>
      </c>
      <c r="AN165" s="573" t="str">
        <f>IF('Marks Entry'!W165="","",'Marks Entry'!W165)</f>
        <v/>
      </c>
      <c r="AO165" s="573" t="str">
        <f>IF('Marks Entry'!X165="","",'Marks Entry'!X165)</f>
        <v/>
      </c>
      <c r="AP165" s="572" t="str">
        <f t="shared" si="430"/>
        <v/>
      </c>
      <c r="AQ165" s="573" t="str">
        <f>IF('Marks Entry'!Y165="","",'Marks Entry'!Y165)</f>
        <v/>
      </c>
      <c r="AR165" s="573" t="str">
        <f>IF('Marks Entry'!Z165="","",'Marks Entry'!Z165)</f>
        <v/>
      </c>
      <c r="AS165" s="572" t="str">
        <f t="shared" si="431"/>
        <v/>
      </c>
      <c r="AT165" s="572" t="str">
        <f t="shared" si="432"/>
        <v/>
      </c>
      <c r="AU165" s="573" t="str">
        <f>IF('Marks Entry'!AA165="","",'Marks Entry'!AA165)</f>
        <v/>
      </c>
      <c r="AV165" s="573" t="str">
        <f>IF('Marks Entry'!AB165="","",'Marks Entry'!AB165)</f>
        <v/>
      </c>
      <c r="AW165" s="572" t="str">
        <f t="shared" si="433"/>
        <v/>
      </c>
      <c r="AX165" s="156" t="str">
        <f t="shared" si="434"/>
        <v/>
      </c>
      <c r="AY165" s="156" t="str">
        <f t="shared" si="435"/>
        <v/>
      </c>
      <c r="AZ165" s="191" t="str">
        <f t="shared" si="436"/>
        <v/>
      </c>
      <c r="BA165" s="152">
        <f t="shared" si="437"/>
        <v>0</v>
      </c>
      <c r="BB165" s="153">
        <f t="shared" si="438"/>
        <v>0</v>
      </c>
      <c r="BC165" s="153" t="str">
        <f t="shared" si="439"/>
        <v/>
      </c>
      <c r="BD165" s="153" t="str">
        <f t="shared" si="440"/>
        <v/>
      </c>
      <c r="BE165" s="153" t="str">
        <f t="shared" si="441"/>
        <v/>
      </c>
      <c r="BF165" s="152" t="str">
        <f t="shared" si="442"/>
        <v/>
      </c>
      <c r="BG165" s="153" t="str">
        <f t="shared" si="443"/>
        <v/>
      </c>
      <c r="BH165" s="152" t="str">
        <f t="shared" si="444"/>
        <v/>
      </c>
      <c r="BI165" s="580" t="str">
        <f>IF('Marks Entry'!AC165="","",'Marks Entry'!AC165)</f>
        <v/>
      </c>
      <c r="BJ165" s="580" t="str">
        <f>IF('Marks Entry'!AD165="","",'Marks Entry'!AD165)</f>
        <v/>
      </c>
      <c r="BK165" s="580" t="str">
        <f>IF('Marks Entry'!AE165="","",'Marks Entry'!AE165)</f>
        <v/>
      </c>
      <c r="BL165" s="580" t="str">
        <f>IF('Marks Entry'!AF165="","",'Marks Entry'!AF165)</f>
        <v/>
      </c>
      <c r="BM165" s="581" t="str">
        <f t="shared" si="445"/>
        <v/>
      </c>
      <c r="BN165" s="580" t="str">
        <f>IF('Marks Entry'!AG165="","",'Marks Entry'!AG165)</f>
        <v/>
      </c>
      <c r="BO165" s="580" t="str">
        <f>IF('Marks Entry'!AH165="","",'Marks Entry'!AH165)</f>
        <v/>
      </c>
      <c r="BP165" s="581" t="str">
        <f t="shared" si="446"/>
        <v/>
      </c>
      <c r="BQ165" s="581" t="str">
        <f t="shared" si="447"/>
        <v/>
      </c>
      <c r="BR165" s="580" t="str">
        <f>IF('Marks Entry'!AI165="","",'Marks Entry'!AI165)</f>
        <v/>
      </c>
      <c r="BS165" s="580" t="str">
        <f>IF('Marks Entry'!AJ165="","",'Marks Entry'!AJ165)</f>
        <v/>
      </c>
      <c r="BT165" s="581" t="str">
        <f t="shared" si="448"/>
        <v/>
      </c>
      <c r="BU165" s="156" t="str">
        <f t="shared" si="449"/>
        <v/>
      </c>
      <c r="BV165" s="156" t="str">
        <f t="shared" si="450"/>
        <v/>
      </c>
      <c r="BW165" s="191" t="str">
        <f t="shared" si="451"/>
        <v/>
      </c>
      <c r="BX165" s="152">
        <f t="shared" si="452"/>
        <v>0</v>
      </c>
      <c r="BY165" s="153">
        <f t="shared" si="453"/>
        <v>0</v>
      </c>
      <c r="BZ165" s="153" t="str">
        <f t="shared" si="454"/>
        <v/>
      </c>
      <c r="CA165" s="153" t="str">
        <f t="shared" si="455"/>
        <v/>
      </c>
      <c r="CB165" s="153" t="str">
        <f t="shared" si="456"/>
        <v/>
      </c>
      <c r="CC165" s="152" t="str">
        <f t="shared" si="457"/>
        <v/>
      </c>
      <c r="CD165" s="153" t="str">
        <f t="shared" si="458"/>
        <v/>
      </c>
      <c r="CE165" s="152" t="str">
        <f t="shared" si="459"/>
        <v/>
      </c>
      <c r="CF165" s="580" t="str">
        <f>IF('Marks Entry'!AK165="","",'Marks Entry'!AK165)</f>
        <v/>
      </c>
      <c r="CG165" s="580" t="str">
        <f>IF('Marks Entry'!AL165="","",'Marks Entry'!AL165)</f>
        <v/>
      </c>
      <c r="CH165" s="580" t="str">
        <f>IF('Marks Entry'!AM165="","",'Marks Entry'!AM165)</f>
        <v/>
      </c>
      <c r="CI165" s="580" t="str">
        <f>IF('Marks Entry'!AN165="","",'Marks Entry'!AN165)</f>
        <v/>
      </c>
      <c r="CJ165" s="581" t="str">
        <f t="shared" si="460"/>
        <v/>
      </c>
      <c r="CK165" s="580" t="str">
        <f>IF('Marks Entry'!AO165="","",'Marks Entry'!AO165)</f>
        <v/>
      </c>
      <c r="CL165" s="580" t="str">
        <f>IF('Marks Entry'!AP165="","",'Marks Entry'!AP165)</f>
        <v/>
      </c>
      <c r="CM165" s="581" t="str">
        <f t="shared" si="461"/>
        <v/>
      </c>
      <c r="CN165" s="581" t="str">
        <f t="shared" si="462"/>
        <v/>
      </c>
      <c r="CO165" s="580" t="str">
        <f>IF('Marks Entry'!AQ165="","",'Marks Entry'!AQ165)</f>
        <v/>
      </c>
      <c r="CP165" s="580" t="str">
        <f>IF('Marks Entry'!AR165="","",'Marks Entry'!AR165)</f>
        <v/>
      </c>
      <c r="CQ165" s="581" t="str">
        <f t="shared" si="463"/>
        <v/>
      </c>
      <c r="CR165" s="156" t="str">
        <f t="shared" si="464"/>
        <v/>
      </c>
      <c r="CS165" s="156" t="str">
        <f t="shared" si="465"/>
        <v/>
      </c>
      <c r="CT165" s="191" t="str">
        <f t="shared" si="466"/>
        <v/>
      </c>
      <c r="CU165" s="152">
        <f t="shared" si="467"/>
        <v>0</v>
      </c>
      <c r="CV165" s="153">
        <f t="shared" si="468"/>
        <v>0</v>
      </c>
      <c r="CW165" s="153" t="str">
        <f t="shared" si="469"/>
        <v/>
      </c>
      <c r="CX165" s="153" t="str">
        <f t="shared" si="470"/>
        <v/>
      </c>
      <c r="CY165" s="153" t="str">
        <f t="shared" si="471"/>
        <v/>
      </c>
      <c r="CZ165" s="152" t="str">
        <f t="shared" si="472"/>
        <v/>
      </c>
      <c r="DA165" s="153" t="str">
        <f t="shared" si="473"/>
        <v/>
      </c>
      <c r="DB165" s="152" t="str">
        <f t="shared" si="474"/>
        <v/>
      </c>
      <c r="DC165" s="153">
        <f t="shared" si="475"/>
        <v>0</v>
      </c>
      <c r="DD165" s="851" t="str">
        <f>IF('Marks Entry'!AS165="","",IF(OR('Master Sheet'!$D$19="YES",'Marks Entry'!$BA$1=1),'Marks Entry'!AS165,""))</f>
        <v/>
      </c>
      <c r="DE165" s="851" t="str">
        <f>IF('Marks Entry'!AT165="","",IF(OR('Master Sheet'!$D$19="YES",'Marks Entry'!$BA$1=1),'Marks Entry'!AT165,""))</f>
        <v/>
      </c>
      <c r="DF165" s="851" t="str">
        <f>IF('Marks Entry'!AU165="","",IF(OR('Master Sheet'!$D$19="YES",'Marks Entry'!$BA$1=1),'Marks Entry'!AU165,""))</f>
        <v/>
      </c>
      <c r="DG165" s="851" t="str">
        <f>IF('Marks Entry'!AV165="","",IF(OR('Master Sheet'!$D$19="YES",'Marks Entry'!$BA$1=1),'Marks Entry'!AV165,""))</f>
        <v/>
      </c>
      <c r="DH165" s="852" t="str">
        <f t="shared" si="476"/>
        <v/>
      </c>
      <c r="DI165" s="851" t="str">
        <f>IF('Marks Entry'!AW165="","",IF(OR('Master Sheet'!$D$19="YES",'Marks Entry'!$BA$1=1),'Marks Entry'!AW165,""))</f>
        <v/>
      </c>
      <c r="DJ165" s="851" t="str">
        <f>IF('Marks Entry'!AX165="","",IF(OR('Master Sheet'!$D$19="YES",'Marks Entry'!$BA$1=1),'Marks Entry'!AX165,""))</f>
        <v/>
      </c>
      <c r="DK165" s="852" t="str">
        <f t="shared" si="477"/>
        <v/>
      </c>
      <c r="DL165" s="852" t="str">
        <f t="shared" si="478"/>
        <v/>
      </c>
      <c r="DM165" s="851" t="str">
        <f>IF('Marks Entry'!AY165="","",IF(OR('Master Sheet'!$D$19="YES",'Marks Entry'!$BA$1=1),'Marks Entry'!AY165,""))</f>
        <v/>
      </c>
      <c r="DN165" s="851" t="str">
        <f>IF('Marks Entry'!AZ165="","",IF(OR('Master Sheet'!$D$19="YES",'Marks Entry'!$BA$1=1),'Marks Entry'!AZ165,""))</f>
        <v/>
      </c>
      <c r="DO165" s="851" t="str">
        <f>IF('Marks Entry'!BA165="","",IF(OR('Master Sheet'!$D$19="YES",'Marks Entry'!$BA$1=1),'Marks Entry'!BA165,""))</f>
        <v/>
      </c>
      <c r="DP165" s="852" t="str">
        <f t="shared" si="479"/>
        <v/>
      </c>
      <c r="DQ165" s="156" t="str">
        <f t="shared" si="480"/>
        <v/>
      </c>
      <c r="DR165" s="156" t="str">
        <f t="shared" si="481"/>
        <v/>
      </c>
      <c r="DS165" s="156" t="str">
        <f t="shared" si="482"/>
        <v/>
      </c>
      <c r="DT165" s="191" t="str">
        <f t="shared" si="483"/>
        <v/>
      </c>
      <c r="DU165" s="152">
        <f t="shared" si="484"/>
        <v>0</v>
      </c>
      <c r="DV165" s="153">
        <f t="shared" si="485"/>
        <v>0</v>
      </c>
      <c r="DW165" s="153" t="str">
        <f t="shared" si="486"/>
        <v/>
      </c>
      <c r="DX165" s="153" t="str">
        <f>IF(OR($B165="NSO",$B165=0,DS165=""),"",IF(AND(DJ165="",DO165=""),"",IF('Master Sheet'!$D$19="YES",$DO$6-COUNTIF(DO165,"ML")*DO$6,DS$6-(COUNTIF(DJ165,"ML")*DJ$6)-(COUNTIF(DO165,"ML")*DO$6))))</f>
        <v/>
      </c>
      <c r="DY165" s="153" t="str">
        <f>IF(OR($B165="NSO",$B165=0),"",IF(AND(DH165="",DI165="",DM165=""),"",IF(AND('Master Sheet'!$D$19="YES",'Marks Entry'!$BA$1=1),100,IF(AND(DJ165="",DO165=""),SUM(($DQ$7+$DR$7)-(DU165+DV165)),SUM(($DQ$6+$DR$6)-(DU165+DV165))))))</f>
        <v/>
      </c>
      <c r="DZ165" s="152" t="str">
        <f t="shared" si="487"/>
        <v/>
      </c>
      <c r="EA165" s="153" t="str">
        <f t="shared" si="488"/>
        <v/>
      </c>
      <c r="EB165" s="152" t="str">
        <f t="shared" si="489"/>
        <v/>
      </c>
      <c r="EC165" s="584" t="str">
        <f>IF('Marks Entry'!BB165="","",'Marks Entry'!BB165)</f>
        <v/>
      </c>
      <c r="ED165" s="584" t="str">
        <f>IF('Marks Entry'!BC165="","",'Marks Entry'!BC165)</f>
        <v/>
      </c>
      <c r="EE165" s="584" t="str">
        <f>IF('Marks Entry'!BD165="","",'Marks Entry'!BD165)</f>
        <v/>
      </c>
      <c r="EF165" s="590" t="str">
        <f t="shared" si="490"/>
        <v/>
      </c>
      <c r="EG165" s="595">
        <f t="shared" si="491"/>
        <v>0</v>
      </c>
      <c r="EH165" s="595">
        <f t="shared" si="492"/>
        <v>0</v>
      </c>
      <c r="EI165" s="192" t="str">
        <f t="shared" si="493"/>
        <v/>
      </c>
      <c r="EJ165" s="595" t="str">
        <f t="shared" si="494"/>
        <v/>
      </c>
      <c r="EK165" s="595" t="str">
        <f t="shared" si="495"/>
        <v/>
      </c>
      <c r="EL165" s="193" t="str">
        <f t="shared" si="496"/>
        <v/>
      </c>
      <c r="EM165" s="193" t="str">
        <f t="shared" si="497"/>
        <v/>
      </c>
      <c r="EN165" s="193" t="str">
        <f t="shared" si="498"/>
        <v/>
      </c>
      <c r="EO165" s="193" t="str">
        <f t="shared" si="499"/>
        <v/>
      </c>
      <c r="EP165" s="193" t="str">
        <f t="shared" si="500"/>
        <v/>
      </c>
      <c r="EQ165" s="193" t="str">
        <f t="shared" si="501"/>
        <v/>
      </c>
      <c r="ER165" s="194">
        <f t="shared" si="502"/>
        <v>0</v>
      </c>
      <c r="ES165" s="194">
        <f t="shared" si="503"/>
        <v>0</v>
      </c>
      <c r="ET165" s="194">
        <f t="shared" si="504"/>
        <v>0</v>
      </c>
      <c r="EU165" s="194">
        <f t="shared" si="505"/>
        <v>0</v>
      </c>
      <c r="EV165" s="194">
        <f t="shared" si="506"/>
        <v>0</v>
      </c>
      <c r="EW165" s="194" t="str">
        <f t="shared" si="507"/>
        <v/>
      </c>
      <c r="EX165" s="195" t="str">
        <f t="shared" si="508"/>
        <v/>
      </c>
      <c r="EY165" s="196" t="str">
        <f>IF('Marks Entry'!BE165="","",'Marks Entry'!BE165)</f>
        <v/>
      </c>
      <c r="EZ165" s="196" t="str">
        <f>IF('Marks Entry'!BF165="","",'Marks Entry'!BF165)</f>
        <v/>
      </c>
      <c r="FA165" s="196" t="str">
        <f>IF('Marks Entry'!BG165="","",'Marks Entry'!BG165)</f>
        <v/>
      </c>
      <c r="FB165" s="596" t="str">
        <f t="shared" si="509"/>
        <v/>
      </c>
      <c r="FC165" s="196" t="str">
        <f>IF('Marks Entry'!BH165="","",'Marks Entry'!BH165)</f>
        <v/>
      </c>
      <c r="FD165" s="196" t="str">
        <f>IF('Marks Entry'!BI165="","",'Marks Entry'!BI165)</f>
        <v/>
      </c>
      <c r="FE165" s="197" t="str">
        <f t="shared" si="510"/>
        <v/>
      </c>
      <c r="FF165" s="198" t="str">
        <f t="shared" si="511"/>
        <v/>
      </c>
      <c r="FG165" s="199" t="str">
        <f>IF(AND(E165=""),"",IF('Student DATA Entry'!L161="","",'Student DATA Entry'!L161))</f>
        <v/>
      </c>
      <c r="FH165" s="200" t="str">
        <f>IF(AND(E165=""),"",IF('Student DATA Entry'!M161="","",'Student DATA Entry'!M161))</f>
        <v/>
      </c>
      <c r="FI165" s="201" t="str">
        <f t="shared" si="512"/>
        <v/>
      </c>
      <c r="FJ165" s="188" t="str">
        <f t="shared" si="513"/>
        <v/>
      </c>
      <c r="FK165" s="188" t="str">
        <f t="shared" si="514"/>
        <v/>
      </c>
      <c r="FL165" s="202" t="str">
        <f t="shared" si="383"/>
        <v/>
      </c>
      <c r="FM165" s="188" t="str">
        <f t="shared" si="515"/>
        <v/>
      </c>
      <c r="FN165" s="203" t="str">
        <f t="shared" si="516"/>
        <v/>
      </c>
      <c r="FO165" s="202" t="str">
        <f t="shared" si="384"/>
        <v/>
      </c>
      <c r="FP165" s="204" t="str">
        <f t="shared" si="517"/>
        <v/>
      </c>
      <c r="FQ165" s="188" t="str">
        <f t="shared" si="385"/>
        <v/>
      </c>
      <c r="FR165" s="188" t="str">
        <f t="shared" si="386"/>
        <v/>
      </c>
      <c r="FS165" s="188" t="str">
        <f t="shared" si="387"/>
        <v/>
      </c>
      <c r="FT165" s="188" t="str">
        <f t="shared" si="388"/>
        <v/>
      </c>
      <c r="FU165" s="188" t="str">
        <f t="shared" si="518"/>
        <v/>
      </c>
      <c r="FV165" s="205" t="str">
        <f t="shared" si="389"/>
        <v/>
      </c>
      <c r="FW165" s="204" t="str">
        <f t="shared" si="519"/>
        <v/>
      </c>
      <c r="FX165" s="188" t="str">
        <f t="shared" si="390"/>
        <v/>
      </c>
      <c r="FY165" s="188" t="str">
        <f t="shared" si="391"/>
        <v/>
      </c>
      <c r="FZ165" s="188" t="str">
        <f t="shared" si="392"/>
        <v/>
      </c>
      <c r="GA165" s="188" t="str">
        <f t="shared" si="393"/>
        <v/>
      </c>
      <c r="GB165" s="188" t="str">
        <f t="shared" si="520"/>
        <v/>
      </c>
      <c r="GC165" s="205" t="str">
        <f t="shared" si="394"/>
        <v/>
      </c>
      <c r="GD165" s="204" t="str">
        <f t="shared" si="521"/>
        <v/>
      </c>
      <c r="GE165" s="188" t="str">
        <f t="shared" si="395"/>
        <v/>
      </c>
      <c r="GF165" s="188" t="str">
        <f t="shared" si="396"/>
        <v/>
      </c>
      <c r="GG165" s="188" t="str">
        <f t="shared" si="397"/>
        <v/>
      </c>
      <c r="GH165" s="188" t="str">
        <f t="shared" si="398"/>
        <v/>
      </c>
      <c r="GI165" s="188" t="str">
        <f t="shared" si="522"/>
        <v/>
      </c>
      <c r="GJ165" s="205" t="str">
        <f t="shared" si="399"/>
        <v/>
      </c>
      <c r="GK165" s="204" t="str">
        <f t="shared" si="523"/>
        <v/>
      </c>
      <c r="GL165" s="188" t="str">
        <f t="shared" si="400"/>
        <v/>
      </c>
      <c r="GM165" s="188" t="str">
        <f t="shared" si="401"/>
        <v/>
      </c>
      <c r="GN165" s="188" t="str">
        <f t="shared" si="402"/>
        <v/>
      </c>
      <c r="GO165" s="188" t="str">
        <f t="shared" si="403"/>
        <v/>
      </c>
      <c r="GP165" s="188" t="str">
        <f t="shared" si="524"/>
        <v/>
      </c>
      <c r="GQ165" s="205" t="str">
        <f t="shared" si="404"/>
        <v/>
      </c>
      <c r="GR165" s="188" t="str">
        <f t="shared" si="525"/>
        <v/>
      </c>
      <c r="GS165" s="188" t="str">
        <f t="shared" si="526"/>
        <v/>
      </c>
      <c r="GT165" s="206" t="str">
        <f t="shared" si="527"/>
        <v xml:space="preserve">    </v>
      </c>
      <c r="GU165" s="206" t="str">
        <f t="shared" si="528"/>
        <v xml:space="preserve">    </v>
      </c>
      <c r="GV165" s="206" t="str">
        <f t="shared" si="529"/>
        <v xml:space="preserve">    </v>
      </c>
      <c r="GW165" s="206" t="str">
        <f t="shared" si="530"/>
        <v xml:space="preserve">       </v>
      </c>
      <c r="GX165" s="598" t="str">
        <f t="shared" si="531"/>
        <v xml:space="preserve">     </v>
      </c>
      <c r="GY165" s="207" t="str">
        <f t="shared" si="405"/>
        <v/>
      </c>
      <c r="GZ165" s="606" t="str">
        <f>IF(AND(Q165="",AE165="",AZ165="",BW165="",CT165=""),"",IF(AND('Master Sheet'!$D$19="YES",'Marks Entry'!$BA$1=1),SUM(Q165,AE165,AZ165,BW165,DT165),SUM(Q165,AE165,AZ165,BW165,CT165)))</f>
        <v/>
      </c>
      <c r="HA165" s="208" t="str">
        <f>IF(GZ165="","",IF(AND('Master Sheet'!$D$19="YES",'Marks Entry'!$BA$1=1),GZ165/((900)-DC165)*100,GZ165/((1000)-DC165)*100))</f>
        <v/>
      </c>
      <c r="HB165" s="611" t="str">
        <f t="shared" si="532"/>
        <v/>
      </c>
      <c r="HC165" s="609" t="str">
        <f t="shared" si="533"/>
        <v/>
      </c>
      <c r="HD165" s="610" t="str">
        <f t="shared" si="534"/>
        <v/>
      </c>
      <c r="HE165" s="209" t="str">
        <f>IFERROR(IF(OR(GY165="SUPPLEMENTARY",GY165="RE-EXAM"),'Supp. Result Entry'!AS164,""),"")</f>
        <v/>
      </c>
      <c r="HF165" s="613" t="str">
        <f t="shared" si="535"/>
        <v/>
      </c>
      <c r="HG165" s="598" t="str">
        <f t="shared" si="536"/>
        <v/>
      </c>
      <c r="HH165" s="598" t="str">
        <f>IF(AND(HE165="",HF165="",HG165=""),"",IF(OR(GY165="SUPPLEMENTARY",GY165="RE-EXAM"),'Supp. Result Entry'!AS164,GY165))</f>
        <v/>
      </c>
      <c r="HI165" s="179"/>
      <c r="HY165" s="211" t="str">
        <f>IF('Supp. Result Entry'!U164="","",'Supp. Result Entry'!$U$6)</f>
        <v/>
      </c>
      <c r="HZ165" s="212" t="str">
        <f>IF('Supp. Result Entry'!X164="","",'Supp. Result Entry'!$X$6)</f>
        <v/>
      </c>
      <c r="IA165" s="212" t="str">
        <f>IF('Supp. Result Entry'!AA164="","",'Supp. Result Entry'!$AA$6)</f>
        <v/>
      </c>
      <c r="IB165" s="212" t="str">
        <f>IF('Supp. Result Entry'!AD164="","",'Supp. Result Entry'!$AD$6)</f>
        <v/>
      </c>
      <c r="IC165" s="212" t="str">
        <f>IF('Supp. Result Entry'!AG164="","",'Supp. Result Entry'!$AG$6)</f>
        <v/>
      </c>
      <c r="ID165" s="212" t="str">
        <f>IF('Supp. Result Entry'!AJ164="","",'Supp. Result Entry'!$AJ$6)</f>
        <v/>
      </c>
      <c r="IE165" s="212" t="str">
        <f>IF('Supp. Result Entry'!V164="","",'Supp. Result Entry'!V164)</f>
        <v/>
      </c>
      <c r="IF165" s="212" t="str">
        <f>IF('Supp. Result Entry'!Y164="","",'Supp. Result Entry'!Y164)</f>
        <v/>
      </c>
      <c r="IG165" s="212" t="str">
        <f>IF('Supp. Result Entry'!AB164="","",'Supp. Result Entry'!AB164)</f>
        <v/>
      </c>
      <c r="IH165" s="212" t="str">
        <f>IF('Supp. Result Entry'!AE164="","",'Supp. Result Entry'!AE164)</f>
        <v/>
      </c>
      <c r="II165" s="212" t="str">
        <f>IF('Supp. Result Entry'!AH164="","",'Supp. Result Entry'!AH164)</f>
        <v/>
      </c>
      <c r="IJ165" s="212" t="str">
        <f>IF('Supp. Result Entry'!AK164="","",'Supp. Result Entry'!AK164)</f>
        <v/>
      </c>
      <c r="IK165" s="212" t="str">
        <f>IF('Supp. Result Entry'!W164="","",'Supp. Result Entry'!W164)</f>
        <v/>
      </c>
      <c r="IL165" s="212" t="str">
        <f>IF('Supp. Result Entry'!Z164="","",'Supp. Result Entry'!Z164)</f>
        <v/>
      </c>
      <c r="IM165" s="212" t="str">
        <f>IF('Supp. Result Entry'!AC164="","",'Supp. Result Entry'!AC164)</f>
        <v/>
      </c>
      <c r="IN165" s="212" t="str">
        <f>IF('Supp. Result Entry'!AF164="","",'Supp. Result Entry'!AF164)</f>
        <v/>
      </c>
      <c r="IO165" s="212" t="str">
        <f>IF('Supp. Result Entry'!AI164="","",'Supp. Result Entry'!AI164)</f>
        <v/>
      </c>
      <c r="IP165" s="212" t="str">
        <f>IF('Supp. Result Entry'!AL164="","",'Supp. Result Entry'!AL164)</f>
        <v/>
      </c>
      <c r="IQ165" s="212">
        <f>COUNTIF('Supp. Result Entry'!K164:Q164,"S")</f>
        <v>0</v>
      </c>
      <c r="IR165" s="212">
        <f t="shared" si="537"/>
        <v>0</v>
      </c>
      <c r="IS165" s="212">
        <f t="shared" si="538"/>
        <v>0</v>
      </c>
      <c r="IT165" s="212" t="str">
        <f t="shared" si="406"/>
        <v/>
      </c>
      <c r="IU165" s="212" t="str">
        <f t="shared" si="407"/>
        <v/>
      </c>
      <c r="IV165" s="212" t="str">
        <f t="shared" si="408"/>
        <v/>
      </c>
      <c r="IW165" s="212" t="str">
        <f t="shared" si="409"/>
        <v/>
      </c>
      <c r="IX165" s="212" t="str">
        <f t="shared" si="410"/>
        <v/>
      </c>
      <c r="IY165" s="212" t="str">
        <f t="shared" si="539"/>
        <v/>
      </c>
      <c r="IZ165" s="212" t="str">
        <f t="shared" si="540"/>
        <v/>
      </c>
      <c r="JA165" s="212" t="str">
        <f t="shared" si="411"/>
        <v/>
      </c>
      <c r="JB165" s="210" t="str">
        <f t="shared" si="541"/>
        <v/>
      </c>
    </row>
    <row r="166" spans="1:262" s="210" customFormat="1" ht="21" customHeight="1">
      <c r="A166" s="183">
        <v>159</v>
      </c>
      <c r="B166" s="184" t="str">
        <f>IF('Marks Entry'!B166="","",'Marks Entry'!B166)</f>
        <v/>
      </c>
      <c r="C166" s="185" t="str">
        <f>IF('Marks Entry'!D166="","",'Marks Entry'!D166)</f>
        <v/>
      </c>
      <c r="D166" s="186" t="str">
        <f>IF('Marks Entry'!E166="","",'Marks Entry'!E166)</f>
        <v/>
      </c>
      <c r="E166" s="187" t="str">
        <f>IF('Marks Entry'!F166="","",'Marks Entry'!F166)</f>
        <v/>
      </c>
      <c r="F166" s="187" t="str">
        <f>IF('Marks Entry'!G166="","",'Marks Entry'!G166)</f>
        <v/>
      </c>
      <c r="G166" s="187" t="str">
        <f>IF('Marks Entry'!H166="","",'Marks Entry'!H166)</f>
        <v/>
      </c>
      <c r="H166" s="188" t="str">
        <f>IF('Marks Entry'!I166="","",'Marks Entry'!I166)</f>
        <v/>
      </c>
      <c r="I166" s="189" t="str">
        <f>IF('Marks Entry'!J166="","",'Marks Entry'!J166)</f>
        <v/>
      </c>
      <c r="J166" s="545" t="str">
        <f>IF('Marks Entry'!K166="","",'Marks Entry'!K166)</f>
        <v/>
      </c>
      <c r="K166" s="545" t="str">
        <f>IF('Marks Entry'!L166="","",'Marks Entry'!L166)</f>
        <v/>
      </c>
      <c r="L166" s="545" t="str">
        <f>IF('Marks Entry'!M166="","",'Marks Entry'!M166)</f>
        <v/>
      </c>
      <c r="M166" s="546" t="str">
        <f t="shared" si="412"/>
        <v/>
      </c>
      <c r="N166" s="545" t="str">
        <f>IF('Marks Entry'!N166="","",'Marks Entry'!N166)</f>
        <v/>
      </c>
      <c r="O166" s="546" t="str">
        <f t="shared" si="413"/>
        <v/>
      </c>
      <c r="P166" s="545" t="str">
        <f>IF('Marks Entry'!O166="","",'Marks Entry'!O166)</f>
        <v/>
      </c>
      <c r="Q166" s="547" t="str">
        <f t="shared" si="414"/>
        <v/>
      </c>
      <c r="R166" s="152">
        <f t="shared" si="415"/>
        <v>0</v>
      </c>
      <c r="S166" s="152">
        <f t="shared" si="416"/>
        <v>0</v>
      </c>
      <c r="T166" s="153" t="str">
        <f t="shared" si="417"/>
        <v/>
      </c>
      <c r="U166" s="152" t="str">
        <f t="shared" si="418"/>
        <v/>
      </c>
      <c r="V166" s="152" t="str">
        <f t="shared" si="419"/>
        <v/>
      </c>
      <c r="W166" s="152" t="str">
        <f t="shared" si="420"/>
        <v/>
      </c>
      <c r="X166" s="545" t="str">
        <f>IF('Marks Entry'!P166="","",'Marks Entry'!P166)</f>
        <v/>
      </c>
      <c r="Y166" s="545" t="str">
        <f>IF('Marks Entry'!Q166="","",'Marks Entry'!Q166)</f>
        <v/>
      </c>
      <c r="Z166" s="545" t="str">
        <f>IF('Marks Entry'!R166="","",'Marks Entry'!R166)</f>
        <v/>
      </c>
      <c r="AA166" s="546" t="str">
        <f t="shared" si="421"/>
        <v/>
      </c>
      <c r="AB166" s="545" t="str">
        <f>IF('Marks Entry'!S166="","",'Marks Entry'!S166)</f>
        <v/>
      </c>
      <c r="AC166" s="546" t="str">
        <f t="shared" si="422"/>
        <v/>
      </c>
      <c r="AD166" s="545" t="str">
        <f>IF('Marks Entry'!T166="","",'Marks Entry'!T166)</f>
        <v/>
      </c>
      <c r="AE166" s="547" t="str">
        <f t="shared" si="423"/>
        <v/>
      </c>
      <c r="AF166" s="152">
        <f t="shared" si="424"/>
        <v>0</v>
      </c>
      <c r="AG166" s="152">
        <f t="shared" si="425"/>
        <v>0</v>
      </c>
      <c r="AH166" s="153" t="str">
        <f t="shared" si="426"/>
        <v/>
      </c>
      <c r="AI166" s="152" t="str">
        <f t="shared" si="427"/>
        <v/>
      </c>
      <c r="AJ166" s="152" t="str">
        <f t="shared" si="428"/>
        <v/>
      </c>
      <c r="AK166" s="152" t="str">
        <f t="shared" si="429"/>
        <v/>
      </c>
      <c r="AL166" s="573" t="str">
        <f>IF('Marks Entry'!U166="","",'Marks Entry'!U166)</f>
        <v/>
      </c>
      <c r="AM166" s="573" t="str">
        <f>IF('Marks Entry'!V166="","",'Marks Entry'!V166)</f>
        <v/>
      </c>
      <c r="AN166" s="573" t="str">
        <f>IF('Marks Entry'!W166="","",'Marks Entry'!W166)</f>
        <v/>
      </c>
      <c r="AO166" s="573" t="str">
        <f>IF('Marks Entry'!X166="","",'Marks Entry'!X166)</f>
        <v/>
      </c>
      <c r="AP166" s="572" t="str">
        <f t="shared" si="430"/>
        <v/>
      </c>
      <c r="AQ166" s="573" t="str">
        <f>IF('Marks Entry'!Y166="","",'Marks Entry'!Y166)</f>
        <v/>
      </c>
      <c r="AR166" s="573" t="str">
        <f>IF('Marks Entry'!Z166="","",'Marks Entry'!Z166)</f>
        <v/>
      </c>
      <c r="AS166" s="572" t="str">
        <f t="shared" si="431"/>
        <v/>
      </c>
      <c r="AT166" s="572" t="str">
        <f t="shared" si="432"/>
        <v/>
      </c>
      <c r="AU166" s="573" t="str">
        <f>IF('Marks Entry'!AA166="","",'Marks Entry'!AA166)</f>
        <v/>
      </c>
      <c r="AV166" s="573" t="str">
        <f>IF('Marks Entry'!AB166="","",'Marks Entry'!AB166)</f>
        <v/>
      </c>
      <c r="AW166" s="572" t="str">
        <f t="shared" si="433"/>
        <v/>
      </c>
      <c r="AX166" s="156" t="str">
        <f t="shared" si="434"/>
        <v/>
      </c>
      <c r="AY166" s="156" t="str">
        <f t="shared" si="435"/>
        <v/>
      </c>
      <c r="AZ166" s="191" t="str">
        <f t="shared" si="436"/>
        <v/>
      </c>
      <c r="BA166" s="152">
        <f t="shared" si="437"/>
        <v>0</v>
      </c>
      <c r="BB166" s="153">
        <f t="shared" si="438"/>
        <v>0</v>
      </c>
      <c r="BC166" s="153" t="str">
        <f t="shared" si="439"/>
        <v/>
      </c>
      <c r="BD166" s="153" t="str">
        <f t="shared" si="440"/>
        <v/>
      </c>
      <c r="BE166" s="153" t="str">
        <f t="shared" si="441"/>
        <v/>
      </c>
      <c r="BF166" s="152" t="str">
        <f t="shared" si="442"/>
        <v/>
      </c>
      <c r="BG166" s="153" t="str">
        <f t="shared" si="443"/>
        <v/>
      </c>
      <c r="BH166" s="152" t="str">
        <f t="shared" si="444"/>
        <v/>
      </c>
      <c r="BI166" s="580" t="str">
        <f>IF('Marks Entry'!AC166="","",'Marks Entry'!AC166)</f>
        <v/>
      </c>
      <c r="BJ166" s="580" t="str">
        <f>IF('Marks Entry'!AD166="","",'Marks Entry'!AD166)</f>
        <v/>
      </c>
      <c r="BK166" s="580" t="str">
        <f>IF('Marks Entry'!AE166="","",'Marks Entry'!AE166)</f>
        <v/>
      </c>
      <c r="BL166" s="580" t="str">
        <f>IF('Marks Entry'!AF166="","",'Marks Entry'!AF166)</f>
        <v/>
      </c>
      <c r="BM166" s="581" t="str">
        <f t="shared" si="445"/>
        <v/>
      </c>
      <c r="BN166" s="580" t="str">
        <f>IF('Marks Entry'!AG166="","",'Marks Entry'!AG166)</f>
        <v/>
      </c>
      <c r="BO166" s="580" t="str">
        <f>IF('Marks Entry'!AH166="","",'Marks Entry'!AH166)</f>
        <v/>
      </c>
      <c r="BP166" s="581" t="str">
        <f t="shared" si="446"/>
        <v/>
      </c>
      <c r="BQ166" s="581" t="str">
        <f t="shared" si="447"/>
        <v/>
      </c>
      <c r="BR166" s="580" t="str">
        <f>IF('Marks Entry'!AI166="","",'Marks Entry'!AI166)</f>
        <v/>
      </c>
      <c r="BS166" s="580" t="str">
        <f>IF('Marks Entry'!AJ166="","",'Marks Entry'!AJ166)</f>
        <v/>
      </c>
      <c r="BT166" s="581" t="str">
        <f t="shared" si="448"/>
        <v/>
      </c>
      <c r="BU166" s="156" t="str">
        <f t="shared" si="449"/>
        <v/>
      </c>
      <c r="BV166" s="156" t="str">
        <f t="shared" si="450"/>
        <v/>
      </c>
      <c r="BW166" s="191" t="str">
        <f t="shared" si="451"/>
        <v/>
      </c>
      <c r="BX166" s="152">
        <f t="shared" si="452"/>
        <v>0</v>
      </c>
      <c r="BY166" s="153">
        <f t="shared" si="453"/>
        <v>0</v>
      </c>
      <c r="BZ166" s="153" t="str">
        <f t="shared" si="454"/>
        <v/>
      </c>
      <c r="CA166" s="153" t="str">
        <f t="shared" si="455"/>
        <v/>
      </c>
      <c r="CB166" s="153" t="str">
        <f t="shared" si="456"/>
        <v/>
      </c>
      <c r="CC166" s="152" t="str">
        <f t="shared" si="457"/>
        <v/>
      </c>
      <c r="CD166" s="153" t="str">
        <f t="shared" si="458"/>
        <v/>
      </c>
      <c r="CE166" s="152" t="str">
        <f t="shared" si="459"/>
        <v/>
      </c>
      <c r="CF166" s="580" t="str">
        <f>IF('Marks Entry'!AK166="","",'Marks Entry'!AK166)</f>
        <v/>
      </c>
      <c r="CG166" s="580" t="str">
        <f>IF('Marks Entry'!AL166="","",'Marks Entry'!AL166)</f>
        <v/>
      </c>
      <c r="CH166" s="580" t="str">
        <f>IF('Marks Entry'!AM166="","",'Marks Entry'!AM166)</f>
        <v/>
      </c>
      <c r="CI166" s="580" t="str">
        <f>IF('Marks Entry'!AN166="","",'Marks Entry'!AN166)</f>
        <v/>
      </c>
      <c r="CJ166" s="581" t="str">
        <f t="shared" si="460"/>
        <v/>
      </c>
      <c r="CK166" s="580" t="str">
        <f>IF('Marks Entry'!AO166="","",'Marks Entry'!AO166)</f>
        <v/>
      </c>
      <c r="CL166" s="580" t="str">
        <f>IF('Marks Entry'!AP166="","",'Marks Entry'!AP166)</f>
        <v/>
      </c>
      <c r="CM166" s="581" t="str">
        <f t="shared" si="461"/>
        <v/>
      </c>
      <c r="CN166" s="581" t="str">
        <f t="shared" si="462"/>
        <v/>
      </c>
      <c r="CO166" s="580" t="str">
        <f>IF('Marks Entry'!AQ166="","",'Marks Entry'!AQ166)</f>
        <v/>
      </c>
      <c r="CP166" s="580" t="str">
        <f>IF('Marks Entry'!AR166="","",'Marks Entry'!AR166)</f>
        <v/>
      </c>
      <c r="CQ166" s="581" t="str">
        <f t="shared" si="463"/>
        <v/>
      </c>
      <c r="CR166" s="156" t="str">
        <f t="shared" si="464"/>
        <v/>
      </c>
      <c r="CS166" s="156" t="str">
        <f t="shared" si="465"/>
        <v/>
      </c>
      <c r="CT166" s="191" t="str">
        <f t="shared" si="466"/>
        <v/>
      </c>
      <c r="CU166" s="152">
        <f t="shared" si="467"/>
        <v>0</v>
      </c>
      <c r="CV166" s="153">
        <f t="shared" si="468"/>
        <v>0</v>
      </c>
      <c r="CW166" s="153" t="str">
        <f t="shared" si="469"/>
        <v/>
      </c>
      <c r="CX166" s="153" t="str">
        <f t="shared" si="470"/>
        <v/>
      </c>
      <c r="CY166" s="153" t="str">
        <f t="shared" si="471"/>
        <v/>
      </c>
      <c r="CZ166" s="152" t="str">
        <f t="shared" si="472"/>
        <v/>
      </c>
      <c r="DA166" s="153" t="str">
        <f t="shared" si="473"/>
        <v/>
      </c>
      <c r="DB166" s="152" t="str">
        <f t="shared" si="474"/>
        <v/>
      </c>
      <c r="DC166" s="153">
        <f t="shared" si="475"/>
        <v>0</v>
      </c>
      <c r="DD166" s="851" t="str">
        <f>IF('Marks Entry'!AS166="","",IF(OR('Master Sheet'!$D$19="YES",'Marks Entry'!$BA$1=1),'Marks Entry'!AS166,""))</f>
        <v/>
      </c>
      <c r="DE166" s="851" t="str">
        <f>IF('Marks Entry'!AT166="","",IF(OR('Master Sheet'!$D$19="YES",'Marks Entry'!$BA$1=1),'Marks Entry'!AT166,""))</f>
        <v/>
      </c>
      <c r="DF166" s="851" t="str">
        <f>IF('Marks Entry'!AU166="","",IF(OR('Master Sheet'!$D$19="YES",'Marks Entry'!$BA$1=1),'Marks Entry'!AU166,""))</f>
        <v/>
      </c>
      <c r="DG166" s="851" t="str">
        <f>IF('Marks Entry'!AV166="","",IF(OR('Master Sheet'!$D$19="YES",'Marks Entry'!$BA$1=1),'Marks Entry'!AV166,""))</f>
        <v/>
      </c>
      <c r="DH166" s="852" t="str">
        <f t="shared" si="476"/>
        <v/>
      </c>
      <c r="DI166" s="851" t="str">
        <f>IF('Marks Entry'!AW166="","",IF(OR('Master Sheet'!$D$19="YES",'Marks Entry'!$BA$1=1),'Marks Entry'!AW166,""))</f>
        <v/>
      </c>
      <c r="DJ166" s="851" t="str">
        <f>IF('Marks Entry'!AX166="","",IF(OR('Master Sheet'!$D$19="YES",'Marks Entry'!$BA$1=1),'Marks Entry'!AX166,""))</f>
        <v/>
      </c>
      <c r="DK166" s="852" t="str">
        <f t="shared" si="477"/>
        <v/>
      </c>
      <c r="DL166" s="852" t="str">
        <f t="shared" si="478"/>
        <v/>
      </c>
      <c r="DM166" s="851" t="str">
        <f>IF('Marks Entry'!AY166="","",IF(OR('Master Sheet'!$D$19="YES",'Marks Entry'!$BA$1=1),'Marks Entry'!AY166,""))</f>
        <v/>
      </c>
      <c r="DN166" s="851" t="str">
        <f>IF('Marks Entry'!AZ166="","",IF(OR('Master Sheet'!$D$19="YES",'Marks Entry'!$BA$1=1),'Marks Entry'!AZ166,""))</f>
        <v/>
      </c>
      <c r="DO166" s="851" t="str">
        <f>IF('Marks Entry'!BA166="","",IF(OR('Master Sheet'!$D$19="YES",'Marks Entry'!$BA$1=1),'Marks Entry'!BA166,""))</f>
        <v/>
      </c>
      <c r="DP166" s="852" t="str">
        <f t="shared" si="479"/>
        <v/>
      </c>
      <c r="DQ166" s="156" t="str">
        <f t="shared" si="480"/>
        <v/>
      </c>
      <c r="DR166" s="156" t="str">
        <f t="shared" si="481"/>
        <v/>
      </c>
      <c r="DS166" s="156" t="str">
        <f t="shared" si="482"/>
        <v/>
      </c>
      <c r="DT166" s="191" t="str">
        <f t="shared" si="483"/>
        <v/>
      </c>
      <c r="DU166" s="152">
        <f t="shared" si="484"/>
        <v>0</v>
      </c>
      <c r="DV166" s="153">
        <f t="shared" si="485"/>
        <v>0</v>
      </c>
      <c r="DW166" s="153" t="str">
        <f t="shared" si="486"/>
        <v/>
      </c>
      <c r="DX166" s="153" t="str">
        <f>IF(OR($B166="NSO",$B166=0,DS166=""),"",IF(AND(DJ166="",DO166=""),"",IF('Master Sheet'!$D$19="YES",$DO$6-COUNTIF(DO166,"ML")*DO$6,DS$6-(COUNTIF(DJ166,"ML")*DJ$6)-(COUNTIF(DO166,"ML")*DO$6))))</f>
        <v/>
      </c>
      <c r="DY166" s="153" t="str">
        <f>IF(OR($B166="NSO",$B166=0),"",IF(AND(DH166="",DI166="",DM166=""),"",IF(AND('Master Sheet'!$D$19="YES",'Marks Entry'!$BA$1=1),100,IF(AND(DJ166="",DO166=""),SUM(($DQ$7+$DR$7)-(DU166+DV166)),SUM(($DQ$6+$DR$6)-(DU166+DV166))))))</f>
        <v/>
      </c>
      <c r="DZ166" s="152" t="str">
        <f t="shared" si="487"/>
        <v/>
      </c>
      <c r="EA166" s="153" t="str">
        <f t="shared" si="488"/>
        <v/>
      </c>
      <c r="EB166" s="152" t="str">
        <f t="shared" si="489"/>
        <v/>
      </c>
      <c r="EC166" s="584" t="str">
        <f>IF('Marks Entry'!BB166="","",'Marks Entry'!BB166)</f>
        <v/>
      </c>
      <c r="ED166" s="584" t="str">
        <f>IF('Marks Entry'!BC166="","",'Marks Entry'!BC166)</f>
        <v/>
      </c>
      <c r="EE166" s="584" t="str">
        <f>IF('Marks Entry'!BD166="","",'Marks Entry'!BD166)</f>
        <v/>
      </c>
      <c r="EF166" s="590" t="str">
        <f t="shared" si="490"/>
        <v/>
      </c>
      <c r="EG166" s="595">
        <f t="shared" si="491"/>
        <v>0</v>
      </c>
      <c r="EH166" s="595">
        <f t="shared" si="492"/>
        <v>0</v>
      </c>
      <c r="EI166" s="192" t="str">
        <f t="shared" si="493"/>
        <v/>
      </c>
      <c r="EJ166" s="595" t="str">
        <f t="shared" si="494"/>
        <v/>
      </c>
      <c r="EK166" s="595" t="str">
        <f t="shared" si="495"/>
        <v/>
      </c>
      <c r="EL166" s="193" t="str">
        <f t="shared" si="496"/>
        <v/>
      </c>
      <c r="EM166" s="193" t="str">
        <f t="shared" si="497"/>
        <v/>
      </c>
      <c r="EN166" s="193" t="str">
        <f t="shared" si="498"/>
        <v/>
      </c>
      <c r="EO166" s="193" t="str">
        <f t="shared" si="499"/>
        <v/>
      </c>
      <c r="EP166" s="193" t="str">
        <f t="shared" si="500"/>
        <v/>
      </c>
      <c r="EQ166" s="193" t="str">
        <f t="shared" si="501"/>
        <v/>
      </c>
      <c r="ER166" s="194">
        <f t="shared" si="502"/>
        <v>0</v>
      </c>
      <c r="ES166" s="194">
        <f t="shared" si="503"/>
        <v>0</v>
      </c>
      <c r="ET166" s="194">
        <f t="shared" si="504"/>
        <v>0</v>
      </c>
      <c r="EU166" s="194">
        <f t="shared" si="505"/>
        <v>0</v>
      </c>
      <c r="EV166" s="194">
        <f t="shared" si="506"/>
        <v>0</v>
      </c>
      <c r="EW166" s="194" t="str">
        <f t="shared" si="507"/>
        <v/>
      </c>
      <c r="EX166" s="195" t="str">
        <f t="shared" si="508"/>
        <v/>
      </c>
      <c r="EY166" s="196" t="str">
        <f>IF('Marks Entry'!BE166="","",'Marks Entry'!BE166)</f>
        <v/>
      </c>
      <c r="EZ166" s="196" t="str">
        <f>IF('Marks Entry'!BF166="","",'Marks Entry'!BF166)</f>
        <v/>
      </c>
      <c r="FA166" s="196" t="str">
        <f>IF('Marks Entry'!BG166="","",'Marks Entry'!BG166)</f>
        <v/>
      </c>
      <c r="FB166" s="596" t="str">
        <f t="shared" si="509"/>
        <v/>
      </c>
      <c r="FC166" s="196" t="str">
        <f>IF('Marks Entry'!BH166="","",'Marks Entry'!BH166)</f>
        <v/>
      </c>
      <c r="FD166" s="196" t="str">
        <f>IF('Marks Entry'!BI166="","",'Marks Entry'!BI166)</f>
        <v/>
      </c>
      <c r="FE166" s="197" t="str">
        <f t="shared" si="510"/>
        <v/>
      </c>
      <c r="FF166" s="198" t="str">
        <f t="shared" si="511"/>
        <v/>
      </c>
      <c r="FG166" s="199" t="str">
        <f>IF(AND(E166=""),"",IF('Student DATA Entry'!L162="","",'Student DATA Entry'!L162))</f>
        <v/>
      </c>
      <c r="FH166" s="200" t="str">
        <f>IF(AND(E166=""),"",IF('Student DATA Entry'!M162="","",'Student DATA Entry'!M162))</f>
        <v/>
      </c>
      <c r="FI166" s="201" t="str">
        <f t="shared" si="512"/>
        <v/>
      </c>
      <c r="FJ166" s="188" t="str">
        <f t="shared" si="513"/>
        <v/>
      </c>
      <c r="FK166" s="188" t="str">
        <f t="shared" si="514"/>
        <v/>
      </c>
      <c r="FL166" s="202" t="str">
        <f t="shared" si="383"/>
        <v/>
      </c>
      <c r="FM166" s="188" t="str">
        <f t="shared" si="515"/>
        <v/>
      </c>
      <c r="FN166" s="203" t="str">
        <f t="shared" si="516"/>
        <v/>
      </c>
      <c r="FO166" s="202" t="str">
        <f t="shared" si="384"/>
        <v/>
      </c>
      <c r="FP166" s="204" t="str">
        <f t="shared" si="517"/>
        <v/>
      </c>
      <c r="FQ166" s="188" t="str">
        <f t="shared" si="385"/>
        <v/>
      </c>
      <c r="FR166" s="188" t="str">
        <f t="shared" si="386"/>
        <v/>
      </c>
      <c r="FS166" s="188" t="str">
        <f t="shared" si="387"/>
        <v/>
      </c>
      <c r="FT166" s="188" t="str">
        <f t="shared" si="388"/>
        <v/>
      </c>
      <c r="FU166" s="188" t="str">
        <f t="shared" si="518"/>
        <v/>
      </c>
      <c r="FV166" s="205" t="str">
        <f t="shared" si="389"/>
        <v/>
      </c>
      <c r="FW166" s="204" t="str">
        <f t="shared" si="519"/>
        <v/>
      </c>
      <c r="FX166" s="188" t="str">
        <f t="shared" si="390"/>
        <v/>
      </c>
      <c r="FY166" s="188" t="str">
        <f t="shared" si="391"/>
        <v/>
      </c>
      <c r="FZ166" s="188" t="str">
        <f t="shared" si="392"/>
        <v/>
      </c>
      <c r="GA166" s="188" t="str">
        <f t="shared" si="393"/>
        <v/>
      </c>
      <c r="GB166" s="188" t="str">
        <f t="shared" si="520"/>
        <v/>
      </c>
      <c r="GC166" s="205" t="str">
        <f t="shared" si="394"/>
        <v/>
      </c>
      <c r="GD166" s="204" t="str">
        <f t="shared" si="521"/>
        <v/>
      </c>
      <c r="GE166" s="188" t="str">
        <f t="shared" si="395"/>
        <v/>
      </c>
      <c r="GF166" s="188" t="str">
        <f t="shared" si="396"/>
        <v/>
      </c>
      <c r="GG166" s="188" t="str">
        <f t="shared" si="397"/>
        <v/>
      </c>
      <c r="GH166" s="188" t="str">
        <f t="shared" si="398"/>
        <v/>
      </c>
      <c r="GI166" s="188" t="str">
        <f t="shared" si="522"/>
        <v/>
      </c>
      <c r="GJ166" s="205" t="str">
        <f t="shared" si="399"/>
        <v/>
      </c>
      <c r="GK166" s="204" t="str">
        <f t="shared" si="523"/>
        <v/>
      </c>
      <c r="GL166" s="188" t="str">
        <f t="shared" si="400"/>
        <v/>
      </c>
      <c r="GM166" s="188" t="str">
        <f t="shared" si="401"/>
        <v/>
      </c>
      <c r="GN166" s="188" t="str">
        <f t="shared" si="402"/>
        <v/>
      </c>
      <c r="GO166" s="188" t="str">
        <f t="shared" si="403"/>
        <v/>
      </c>
      <c r="GP166" s="188" t="str">
        <f t="shared" si="524"/>
        <v/>
      </c>
      <c r="GQ166" s="205" t="str">
        <f t="shared" si="404"/>
        <v/>
      </c>
      <c r="GR166" s="188" t="str">
        <f t="shared" si="525"/>
        <v/>
      </c>
      <c r="GS166" s="188" t="str">
        <f t="shared" si="526"/>
        <v/>
      </c>
      <c r="GT166" s="206" t="str">
        <f t="shared" si="527"/>
        <v xml:space="preserve">    </v>
      </c>
      <c r="GU166" s="206" t="str">
        <f t="shared" si="528"/>
        <v xml:space="preserve">    </v>
      </c>
      <c r="GV166" s="206" t="str">
        <f t="shared" si="529"/>
        <v xml:space="preserve">    </v>
      </c>
      <c r="GW166" s="206" t="str">
        <f t="shared" si="530"/>
        <v xml:space="preserve">       </v>
      </c>
      <c r="GX166" s="598" t="str">
        <f t="shared" si="531"/>
        <v xml:space="preserve">     </v>
      </c>
      <c r="GY166" s="207" t="str">
        <f t="shared" si="405"/>
        <v/>
      </c>
      <c r="GZ166" s="606" t="str">
        <f>IF(AND(Q166="",AE166="",AZ166="",BW166="",CT166=""),"",IF(AND('Master Sheet'!$D$19="YES",'Marks Entry'!$BA$1=1),SUM(Q166,AE166,AZ166,BW166,DT166),SUM(Q166,AE166,AZ166,BW166,CT166)))</f>
        <v/>
      </c>
      <c r="HA166" s="208" t="str">
        <f>IF(GZ166="","",IF(AND('Master Sheet'!$D$19="YES",'Marks Entry'!$BA$1=1),GZ166/((900)-DC166)*100,GZ166/((1000)-DC166)*100))</f>
        <v/>
      </c>
      <c r="HB166" s="611" t="str">
        <f t="shared" si="532"/>
        <v/>
      </c>
      <c r="HC166" s="609" t="str">
        <f t="shared" si="533"/>
        <v/>
      </c>
      <c r="HD166" s="610" t="str">
        <f t="shared" si="534"/>
        <v/>
      </c>
      <c r="HE166" s="209" t="str">
        <f>IFERROR(IF(OR(GY166="SUPPLEMENTARY",GY166="RE-EXAM"),'Supp. Result Entry'!AS165,""),"")</f>
        <v/>
      </c>
      <c r="HF166" s="613" t="str">
        <f t="shared" si="535"/>
        <v/>
      </c>
      <c r="HG166" s="598" t="str">
        <f t="shared" si="536"/>
        <v/>
      </c>
      <c r="HH166" s="598" t="str">
        <f>IF(AND(HE166="",HF166="",HG166=""),"",IF(OR(GY166="SUPPLEMENTARY",GY166="RE-EXAM"),'Supp. Result Entry'!AS165,GY166))</f>
        <v/>
      </c>
      <c r="HI166" s="179"/>
      <c r="HY166" s="211" t="str">
        <f>IF('Supp. Result Entry'!U165="","",'Supp. Result Entry'!$U$6)</f>
        <v/>
      </c>
      <c r="HZ166" s="212" t="str">
        <f>IF('Supp. Result Entry'!X165="","",'Supp. Result Entry'!$X$6)</f>
        <v/>
      </c>
      <c r="IA166" s="212" t="str">
        <f>IF('Supp. Result Entry'!AA165="","",'Supp. Result Entry'!$AA$6)</f>
        <v/>
      </c>
      <c r="IB166" s="212" t="str">
        <f>IF('Supp. Result Entry'!AD165="","",'Supp. Result Entry'!$AD$6)</f>
        <v/>
      </c>
      <c r="IC166" s="212" t="str">
        <f>IF('Supp. Result Entry'!AG165="","",'Supp. Result Entry'!$AG$6)</f>
        <v/>
      </c>
      <c r="ID166" s="212" t="str">
        <f>IF('Supp. Result Entry'!AJ165="","",'Supp. Result Entry'!$AJ$6)</f>
        <v/>
      </c>
      <c r="IE166" s="212" t="str">
        <f>IF('Supp. Result Entry'!V165="","",'Supp. Result Entry'!V165)</f>
        <v/>
      </c>
      <c r="IF166" s="212" t="str">
        <f>IF('Supp. Result Entry'!Y165="","",'Supp. Result Entry'!Y165)</f>
        <v/>
      </c>
      <c r="IG166" s="212" t="str">
        <f>IF('Supp. Result Entry'!AB165="","",'Supp. Result Entry'!AB165)</f>
        <v/>
      </c>
      <c r="IH166" s="212" t="str">
        <f>IF('Supp. Result Entry'!AE165="","",'Supp. Result Entry'!AE165)</f>
        <v/>
      </c>
      <c r="II166" s="212" t="str">
        <f>IF('Supp. Result Entry'!AH165="","",'Supp. Result Entry'!AH165)</f>
        <v/>
      </c>
      <c r="IJ166" s="212" t="str">
        <f>IF('Supp. Result Entry'!AK165="","",'Supp. Result Entry'!AK165)</f>
        <v/>
      </c>
      <c r="IK166" s="212" t="str">
        <f>IF('Supp. Result Entry'!W165="","",'Supp. Result Entry'!W165)</f>
        <v/>
      </c>
      <c r="IL166" s="212" t="str">
        <f>IF('Supp. Result Entry'!Z165="","",'Supp. Result Entry'!Z165)</f>
        <v/>
      </c>
      <c r="IM166" s="212" t="str">
        <f>IF('Supp. Result Entry'!AC165="","",'Supp. Result Entry'!AC165)</f>
        <v/>
      </c>
      <c r="IN166" s="212" t="str">
        <f>IF('Supp. Result Entry'!AF165="","",'Supp. Result Entry'!AF165)</f>
        <v/>
      </c>
      <c r="IO166" s="212" t="str">
        <f>IF('Supp. Result Entry'!AI165="","",'Supp. Result Entry'!AI165)</f>
        <v/>
      </c>
      <c r="IP166" s="212" t="str">
        <f>IF('Supp. Result Entry'!AL165="","",'Supp. Result Entry'!AL165)</f>
        <v/>
      </c>
      <c r="IQ166" s="212">
        <f>COUNTIF('Supp. Result Entry'!K165:Q165,"S")</f>
        <v>0</v>
      </c>
      <c r="IR166" s="212">
        <f t="shared" si="537"/>
        <v>0</v>
      </c>
      <c r="IS166" s="212">
        <f t="shared" si="538"/>
        <v>0</v>
      </c>
      <c r="IT166" s="212" t="str">
        <f t="shared" si="406"/>
        <v/>
      </c>
      <c r="IU166" s="212" t="str">
        <f t="shared" si="407"/>
        <v/>
      </c>
      <c r="IV166" s="212" t="str">
        <f t="shared" si="408"/>
        <v/>
      </c>
      <c r="IW166" s="212" t="str">
        <f t="shared" si="409"/>
        <v/>
      </c>
      <c r="IX166" s="212" t="str">
        <f t="shared" si="410"/>
        <v/>
      </c>
      <c r="IY166" s="212" t="str">
        <f t="shared" si="539"/>
        <v/>
      </c>
      <c r="IZ166" s="212" t="str">
        <f t="shared" si="540"/>
        <v/>
      </c>
      <c r="JA166" s="212" t="str">
        <f t="shared" si="411"/>
        <v/>
      </c>
      <c r="JB166" s="210" t="str">
        <f t="shared" si="541"/>
        <v/>
      </c>
    </row>
    <row r="167" spans="1:262" s="210" customFormat="1" ht="21" customHeight="1">
      <c r="A167" s="183">
        <v>160</v>
      </c>
      <c r="B167" s="184" t="str">
        <f>IF('Marks Entry'!B167="","",'Marks Entry'!B167)</f>
        <v/>
      </c>
      <c r="C167" s="185" t="str">
        <f>IF('Marks Entry'!D167="","",'Marks Entry'!D167)</f>
        <v/>
      </c>
      <c r="D167" s="186" t="str">
        <f>IF('Marks Entry'!E167="","",'Marks Entry'!E167)</f>
        <v/>
      </c>
      <c r="E167" s="187" t="str">
        <f>IF('Marks Entry'!F167="","",'Marks Entry'!F167)</f>
        <v/>
      </c>
      <c r="F167" s="187" t="str">
        <f>IF('Marks Entry'!G167="","",'Marks Entry'!G167)</f>
        <v/>
      </c>
      <c r="G167" s="187" t="str">
        <f>IF('Marks Entry'!H167="","",'Marks Entry'!H167)</f>
        <v/>
      </c>
      <c r="H167" s="188" t="str">
        <f>IF('Marks Entry'!I167="","",'Marks Entry'!I167)</f>
        <v/>
      </c>
      <c r="I167" s="189" t="str">
        <f>IF('Marks Entry'!J167="","",'Marks Entry'!J167)</f>
        <v/>
      </c>
      <c r="J167" s="545" t="str">
        <f>IF('Marks Entry'!K167="","",'Marks Entry'!K167)</f>
        <v/>
      </c>
      <c r="K167" s="545" t="str">
        <f>IF('Marks Entry'!L167="","",'Marks Entry'!L167)</f>
        <v/>
      </c>
      <c r="L167" s="545" t="str">
        <f>IF('Marks Entry'!M167="","",'Marks Entry'!M167)</f>
        <v/>
      </c>
      <c r="M167" s="546" t="str">
        <f t="shared" si="412"/>
        <v/>
      </c>
      <c r="N167" s="545" t="str">
        <f>IF('Marks Entry'!N167="","",'Marks Entry'!N167)</f>
        <v/>
      </c>
      <c r="O167" s="546" t="str">
        <f t="shared" si="413"/>
        <v/>
      </c>
      <c r="P167" s="545" t="str">
        <f>IF('Marks Entry'!O167="","",'Marks Entry'!O167)</f>
        <v/>
      </c>
      <c r="Q167" s="547" t="str">
        <f t="shared" si="414"/>
        <v/>
      </c>
      <c r="R167" s="152">
        <f t="shared" si="415"/>
        <v>0</v>
      </c>
      <c r="S167" s="152">
        <f t="shared" si="416"/>
        <v>0</v>
      </c>
      <c r="T167" s="153" t="str">
        <f t="shared" si="417"/>
        <v/>
      </c>
      <c r="U167" s="152" t="str">
        <f t="shared" si="418"/>
        <v/>
      </c>
      <c r="V167" s="152" t="str">
        <f t="shared" si="419"/>
        <v/>
      </c>
      <c r="W167" s="152" t="str">
        <f t="shared" si="420"/>
        <v/>
      </c>
      <c r="X167" s="545" t="str">
        <f>IF('Marks Entry'!P167="","",'Marks Entry'!P167)</f>
        <v/>
      </c>
      <c r="Y167" s="545" t="str">
        <f>IF('Marks Entry'!Q167="","",'Marks Entry'!Q167)</f>
        <v/>
      </c>
      <c r="Z167" s="545" t="str">
        <f>IF('Marks Entry'!R167="","",'Marks Entry'!R167)</f>
        <v/>
      </c>
      <c r="AA167" s="546" t="str">
        <f t="shared" si="421"/>
        <v/>
      </c>
      <c r="AB167" s="545" t="str">
        <f>IF('Marks Entry'!S167="","",'Marks Entry'!S167)</f>
        <v/>
      </c>
      <c r="AC167" s="546" t="str">
        <f t="shared" si="422"/>
        <v/>
      </c>
      <c r="AD167" s="545" t="str">
        <f>IF('Marks Entry'!T167="","",'Marks Entry'!T167)</f>
        <v/>
      </c>
      <c r="AE167" s="547" t="str">
        <f t="shared" si="423"/>
        <v/>
      </c>
      <c r="AF167" s="152">
        <f t="shared" si="424"/>
        <v>0</v>
      </c>
      <c r="AG167" s="152">
        <f t="shared" si="425"/>
        <v>0</v>
      </c>
      <c r="AH167" s="153" t="str">
        <f t="shared" si="426"/>
        <v/>
      </c>
      <c r="AI167" s="152" t="str">
        <f t="shared" si="427"/>
        <v/>
      </c>
      <c r="AJ167" s="152" t="str">
        <f t="shared" si="428"/>
        <v/>
      </c>
      <c r="AK167" s="152" t="str">
        <f t="shared" si="429"/>
        <v/>
      </c>
      <c r="AL167" s="573" t="str">
        <f>IF('Marks Entry'!U167="","",'Marks Entry'!U167)</f>
        <v/>
      </c>
      <c r="AM167" s="573" t="str">
        <f>IF('Marks Entry'!V167="","",'Marks Entry'!V167)</f>
        <v/>
      </c>
      <c r="AN167" s="573" t="str">
        <f>IF('Marks Entry'!W167="","",'Marks Entry'!W167)</f>
        <v/>
      </c>
      <c r="AO167" s="573" t="str">
        <f>IF('Marks Entry'!X167="","",'Marks Entry'!X167)</f>
        <v/>
      </c>
      <c r="AP167" s="572" t="str">
        <f t="shared" si="430"/>
        <v/>
      </c>
      <c r="AQ167" s="573" t="str">
        <f>IF('Marks Entry'!Y167="","",'Marks Entry'!Y167)</f>
        <v/>
      </c>
      <c r="AR167" s="573" t="str">
        <f>IF('Marks Entry'!Z167="","",'Marks Entry'!Z167)</f>
        <v/>
      </c>
      <c r="AS167" s="572" t="str">
        <f t="shared" si="431"/>
        <v/>
      </c>
      <c r="AT167" s="572" t="str">
        <f t="shared" si="432"/>
        <v/>
      </c>
      <c r="AU167" s="573" t="str">
        <f>IF('Marks Entry'!AA167="","",'Marks Entry'!AA167)</f>
        <v/>
      </c>
      <c r="AV167" s="573" t="str">
        <f>IF('Marks Entry'!AB167="","",'Marks Entry'!AB167)</f>
        <v/>
      </c>
      <c r="AW167" s="572" t="str">
        <f t="shared" si="433"/>
        <v/>
      </c>
      <c r="AX167" s="156" t="str">
        <f t="shared" si="434"/>
        <v/>
      </c>
      <c r="AY167" s="156" t="str">
        <f t="shared" si="435"/>
        <v/>
      </c>
      <c r="AZ167" s="191" t="str">
        <f t="shared" si="436"/>
        <v/>
      </c>
      <c r="BA167" s="152">
        <f t="shared" si="437"/>
        <v>0</v>
      </c>
      <c r="BB167" s="153">
        <f t="shared" si="438"/>
        <v>0</v>
      </c>
      <c r="BC167" s="153" t="str">
        <f t="shared" si="439"/>
        <v/>
      </c>
      <c r="BD167" s="153" t="str">
        <f t="shared" si="440"/>
        <v/>
      </c>
      <c r="BE167" s="153" t="str">
        <f t="shared" si="441"/>
        <v/>
      </c>
      <c r="BF167" s="152" t="str">
        <f t="shared" si="442"/>
        <v/>
      </c>
      <c r="BG167" s="153" t="str">
        <f t="shared" si="443"/>
        <v/>
      </c>
      <c r="BH167" s="152" t="str">
        <f t="shared" si="444"/>
        <v/>
      </c>
      <c r="BI167" s="580" t="str">
        <f>IF('Marks Entry'!AC167="","",'Marks Entry'!AC167)</f>
        <v/>
      </c>
      <c r="BJ167" s="580" t="str">
        <f>IF('Marks Entry'!AD167="","",'Marks Entry'!AD167)</f>
        <v/>
      </c>
      <c r="BK167" s="580" t="str">
        <f>IF('Marks Entry'!AE167="","",'Marks Entry'!AE167)</f>
        <v/>
      </c>
      <c r="BL167" s="580" t="str">
        <f>IF('Marks Entry'!AF167="","",'Marks Entry'!AF167)</f>
        <v/>
      </c>
      <c r="BM167" s="581" t="str">
        <f t="shared" si="445"/>
        <v/>
      </c>
      <c r="BN167" s="580" t="str">
        <f>IF('Marks Entry'!AG167="","",'Marks Entry'!AG167)</f>
        <v/>
      </c>
      <c r="BO167" s="580" t="str">
        <f>IF('Marks Entry'!AH167="","",'Marks Entry'!AH167)</f>
        <v/>
      </c>
      <c r="BP167" s="581" t="str">
        <f t="shared" si="446"/>
        <v/>
      </c>
      <c r="BQ167" s="581" t="str">
        <f t="shared" si="447"/>
        <v/>
      </c>
      <c r="BR167" s="580" t="str">
        <f>IF('Marks Entry'!AI167="","",'Marks Entry'!AI167)</f>
        <v/>
      </c>
      <c r="BS167" s="580" t="str">
        <f>IF('Marks Entry'!AJ167="","",'Marks Entry'!AJ167)</f>
        <v/>
      </c>
      <c r="BT167" s="581" t="str">
        <f t="shared" si="448"/>
        <v/>
      </c>
      <c r="BU167" s="156" t="str">
        <f t="shared" si="449"/>
        <v/>
      </c>
      <c r="BV167" s="156" t="str">
        <f t="shared" si="450"/>
        <v/>
      </c>
      <c r="BW167" s="191" t="str">
        <f t="shared" si="451"/>
        <v/>
      </c>
      <c r="BX167" s="152">
        <f t="shared" si="452"/>
        <v>0</v>
      </c>
      <c r="BY167" s="153">
        <f t="shared" si="453"/>
        <v>0</v>
      </c>
      <c r="BZ167" s="153" t="str">
        <f t="shared" si="454"/>
        <v/>
      </c>
      <c r="CA167" s="153" t="str">
        <f t="shared" si="455"/>
        <v/>
      </c>
      <c r="CB167" s="153" t="str">
        <f t="shared" si="456"/>
        <v/>
      </c>
      <c r="CC167" s="152" t="str">
        <f t="shared" si="457"/>
        <v/>
      </c>
      <c r="CD167" s="153" t="str">
        <f t="shared" si="458"/>
        <v/>
      </c>
      <c r="CE167" s="152" t="str">
        <f t="shared" si="459"/>
        <v/>
      </c>
      <c r="CF167" s="580" t="str">
        <f>IF('Marks Entry'!AK167="","",'Marks Entry'!AK167)</f>
        <v/>
      </c>
      <c r="CG167" s="580" t="str">
        <f>IF('Marks Entry'!AL167="","",'Marks Entry'!AL167)</f>
        <v/>
      </c>
      <c r="CH167" s="580" t="str">
        <f>IF('Marks Entry'!AM167="","",'Marks Entry'!AM167)</f>
        <v/>
      </c>
      <c r="CI167" s="580" t="str">
        <f>IF('Marks Entry'!AN167="","",'Marks Entry'!AN167)</f>
        <v/>
      </c>
      <c r="CJ167" s="581" t="str">
        <f t="shared" si="460"/>
        <v/>
      </c>
      <c r="CK167" s="580" t="str">
        <f>IF('Marks Entry'!AO167="","",'Marks Entry'!AO167)</f>
        <v/>
      </c>
      <c r="CL167" s="580" t="str">
        <f>IF('Marks Entry'!AP167="","",'Marks Entry'!AP167)</f>
        <v/>
      </c>
      <c r="CM167" s="581" t="str">
        <f t="shared" si="461"/>
        <v/>
      </c>
      <c r="CN167" s="581" t="str">
        <f t="shared" si="462"/>
        <v/>
      </c>
      <c r="CO167" s="580" t="str">
        <f>IF('Marks Entry'!AQ167="","",'Marks Entry'!AQ167)</f>
        <v/>
      </c>
      <c r="CP167" s="580" t="str">
        <f>IF('Marks Entry'!AR167="","",'Marks Entry'!AR167)</f>
        <v/>
      </c>
      <c r="CQ167" s="581" t="str">
        <f t="shared" si="463"/>
        <v/>
      </c>
      <c r="CR167" s="156" t="str">
        <f t="shared" si="464"/>
        <v/>
      </c>
      <c r="CS167" s="156" t="str">
        <f t="shared" si="465"/>
        <v/>
      </c>
      <c r="CT167" s="191" t="str">
        <f t="shared" si="466"/>
        <v/>
      </c>
      <c r="CU167" s="152">
        <f t="shared" si="467"/>
        <v>0</v>
      </c>
      <c r="CV167" s="153">
        <f t="shared" si="468"/>
        <v>0</v>
      </c>
      <c r="CW167" s="153" t="str">
        <f t="shared" si="469"/>
        <v/>
      </c>
      <c r="CX167" s="153" t="str">
        <f t="shared" si="470"/>
        <v/>
      </c>
      <c r="CY167" s="153" t="str">
        <f t="shared" si="471"/>
        <v/>
      </c>
      <c r="CZ167" s="152" t="str">
        <f t="shared" si="472"/>
        <v/>
      </c>
      <c r="DA167" s="153" t="str">
        <f t="shared" si="473"/>
        <v/>
      </c>
      <c r="DB167" s="152" t="str">
        <f t="shared" si="474"/>
        <v/>
      </c>
      <c r="DC167" s="153">
        <f t="shared" si="475"/>
        <v>0</v>
      </c>
      <c r="DD167" s="851" t="str">
        <f>IF('Marks Entry'!AS167="","",IF(OR('Master Sheet'!$D$19="YES",'Marks Entry'!$BA$1=1),'Marks Entry'!AS167,""))</f>
        <v/>
      </c>
      <c r="DE167" s="851" t="str">
        <f>IF('Marks Entry'!AT167="","",IF(OR('Master Sheet'!$D$19="YES",'Marks Entry'!$BA$1=1),'Marks Entry'!AT167,""))</f>
        <v/>
      </c>
      <c r="DF167" s="851" t="str">
        <f>IF('Marks Entry'!AU167="","",IF(OR('Master Sheet'!$D$19="YES",'Marks Entry'!$BA$1=1),'Marks Entry'!AU167,""))</f>
        <v/>
      </c>
      <c r="DG167" s="851" t="str">
        <f>IF('Marks Entry'!AV167="","",IF(OR('Master Sheet'!$D$19="YES",'Marks Entry'!$BA$1=1),'Marks Entry'!AV167,""))</f>
        <v/>
      </c>
      <c r="DH167" s="852" t="str">
        <f t="shared" si="476"/>
        <v/>
      </c>
      <c r="DI167" s="851" t="str">
        <f>IF('Marks Entry'!AW167="","",IF(OR('Master Sheet'!$D$19="YES",'Marks Entry'!$BA$1=1),'Marks Entry'!AW167,""))</f>
        <v/>
      </c>
      <c r="DJ167" s="851" t="str">
        <f>IF('Marks Entry'!AX167="","",IF(OR('Master Sheet'!$D$19="YES",'Marks Entry'!$BA$1=1),'Marks Entry'!AX167,""))</f>
        <v/>
      </c>
      <c r="DK167" s="852" t="str">
        <f t="shared" si="477"/>
        <v/>
      </c>
      <c r="DL167" s="852" t="str">
        <f t="shared" si="478"/>
        <v/>
      </c>
      <c r="DM167" s="851" t="str">
        <f>IF('Marks Entry'!AY167="","",IF(OR('Master Sheet'!$D$19="YES",'Marks Entry'!$BA$1=1),'Marks Entry'!AY167,""))</f>
        <v/>
      </c>
      <c r="DN167" s="851" t="str">
        <f>IF('Marks Entry'!AZ167="","",IF(OR('Master Sheet'!$D$19="YES",'Marks Entry'!$BA$1=1),'Marks Entry'!AZ167,""))</f>
        <v/>
      </c>
      <c r="DO167" s="851" t="str">
        <f>IF('Marks Entry'!BA167="","",IF(OR('Master Sheet'!$D$19="YES",'Marks Entry'!$BA$1=1),'Marks Entry'!BA167,""))</f>
        <v/>
      </c>
      <c r="DP167" s="852" t="str">
        <f t="shared" si="479"/>
        <v/>
      </c>
      <c r="DQ167" s="156" t="str">
        <f t="shared" si="480"/>
        <v/>
      </c>
      <c r="DR167" s="156" t="str">
        <f t="shared" si="481"/>
        <v/>
      </c>
      <c r="DS167" s="156" t="str">
        <f t="shared" si="482"/>
        <v/>
      </c>
      <c r="DT167" s="191" t="str">
        <f t="shared" si="483"/>
        <v/>
      </c>
      <c r="DU167" s="152">
        <f t="shared" si="484"/>
        <v>0</v>
      </c>
      <c r="DV167" s="153">
        <f t="shared" si="485"/>
        <v>0</v>
      </c>
      <c r="DW167" s="153" t="str">
        <f t="shared" si="486"/>
        <v/>
      </c>
      <c r="DX167" s="153" t="str">
        <f>IF(OR($B167="NSO",$B167=0,DS167=""),"",IF(AND(DJ167="",DO167=""),"",IF('Master Sheet'!$D$19="YES",$DO$6-COUNTIF(DO167,"ML")*DO$6,DS$6-(COUNTIF(DJ167,"ML")*DJ$6)-(COUNTIF(DO167,"ML")*DO$6))))</f>
        <v/>
      </c>
      <c r="DY167" s="153" t="str">
        <f>IF(OR($B167="NSO",$B167=0),"",IF(AND(DH167="",DI167="",DM167=""),"",IF(AND('Master Sheet'!$D$19="YES",'Marks Entry'!$BA$1=1),100,IF(AND(DJ167="",DO167=""),SUM(($DQ$7+$DR$7)-(DU167+DV167)),SUM(($DQ$6+$DR$6)-(DU167+DV167))))))</f>
        <v/>
      </c>
      <c r="DZ167" s="152" t="str">
        <f t="shared" si="487"/>
        <v/>
      </c>
      <c r="EA167" s="153" t="str">
        <f t="shared" si="488"/>
        <v/>
      </c>
      <c r="EB167" s="152" t="str">
        <f t="shared" si="489"/>
        <v/>
      </c>
      <c r="EC167" s="584" t="str">
        <f>IF('Marks Entry'!BB167="","",'Marks Entry'!BB167)</f>
        <v/>
      </c>
      <c r="ED167" s="584" t="str">
        <f>IF('Marks Entry'!BC167="","",'Marks Entry'!BC167)</f>
        <v/>
      </c>
      <c r="EE167" s="584" t="str">
        <f>IF('Marks Entry'!BD167="","",'Marks Entry'!BD167)</f>
        <v/>
      </c>
      <c r="EF167" s="590" t="str">
        <f t="shared" si="490"/>
        <v/>
      </c>
      <c r="EG167" s="595">
        <f t="shared" si="491"/>
        <v>0</v>
      </c>
      <c r="EH167" s="595">
        <f t="shared" si="492"/>
        <v>0</v>
      </c>
      <c r="EI167" s="192" t="str">
        <f t="shared" si="493"/>
        <v/>
      </c>
      <c r="EJ167" s="595" t="str">
        <f t="shared" si="494"/>
        <v/>
      </c>
      <c r="EK167" s="595" t="str">
        <f t="shared" si="495"/>
        <v/>
      </c>
      <c r="EL167" s="193" t="str">
        <f t="shared" si="496"/>
        <v/>
      </c>
      <c r="EM167" s="193" t="str">
        <f t="shared" si="497"/>
        <v/>
      </c>
      <c r="EN167" s="193" t="str">
        <f t="shared" si="498"/>
        <v/>
      </c>
      <c r="EO167" s="193" t="str">
        <f t="shared" si="499"/>
        <v/>
      </c>
      <c r="EP167" s="193" t="str">
        <f t="shared" si="500"/>
        <v/>
      </c>
      <c r="EQ167" s="193" t="str">
        <f t="shared" si="501"/>
        <v/>
      </c>
      <c r="ER167" s="194">
        <f t="shared" si="502"/>
        <v>0</v>
      </c>
      <c r="ES167" s="194">
        <f t="shared" si="503"/>
        <v>0</v>
      </c>
      <c r="ET167" s="194">
        <f t="shared" si="504"/>
        <v>0</v>
      </c>
      <c r="EU167" s="194">
        <f t="shared" si="505"/>
        <v>0</v>
      </c>
      <c r="EV167" s="194">
        <f t="shared" si="506"/>
        <v>0</v>
      </c>
      <c r="EW167" s="194" t="str">
        <f t="shared" si="507"/>
        <v/>
      </c>
      <c r="EX167" s="195" t="str">
        <f t="shared" si="508"/>
        <v/>
      </c>
      <c r="EY167" s="196" t="str">
        <f>IF('Marks Entry'!BE167="","",'Marks Entry'!BE167)</f>
        <v/>
      </c>
      <c r="EZ167" s="196" t="str">
        <f>IF('Marks Entry'!BF167="","",'Marks Entry'!BF167)</f>
        <v/>
      </c>
      <c r="FA167" s="196" t="str">
        <f>IF('Marks Entry'!BG167="","",'Marks Entry'!BG167)</f>
        <v/>
      </c>
      <c r="FB167" s="596" t="str">
        <f t="shared" si="509"/>
        <v/>
      </c>
      <c r="FC167" s="196" t="str">
        <f>IF('Marks Entry'!BH167="","",'Marks Entry'!BH167)</f>
        <v/>
      </c>
      <c r="FD167" s="196" t="str">
        <f>IF('Marks Entry'!BI167="","",'Marks Entry'!BI167)</f>
        <v/>
      </c>
      <c r="FE167" s="197" t="str">
        <f t="shared" si="510"/>
        <v/>
      </c>
      <c r="FF167" s="198" t="str">
        <f t="shared" si="511"/>
        <v/>
      </c>
      <c r="FG167" s="199" t="str">
        <f>IF(AND(E167=""),"",IF('Student DATA Entry'!L163="","",'Student DATA Entry'!L163))</f>
        <v/>
      </c>
      <c r="FH167" s="200" t="str">
        <f>IF(AND(E167=""),"",IF('Student DATA Entry'!M163="","",'Student DATA Entry'!M163))</f>
        <v/>
      </c>
      <c r="FI167" s="201" t="str">
        <f t="shared" si="512"/>
        <v/>
      </c>
      <c r="FJ167" s="188" t="str">
        <f t="shared" si="513"/>
        <v/>
      </c>
      <c r="FK167" s="188" t="str">
        <f t="shared" si="514"/>
        <v/>
      </c>
      <c r="FL167" s="202" t="str">
        <f t="shared" si="383"/>
        <v/>
      </c>
      <c r="FM167" s="188" t="str">
        <f t="shared" si="515"/>
        <v/>
      </c>
      <c r="FN167" s="203" t="str">
        <f t="shared" si="516"/>
        <v/>
      </c>
      <c r="FO167" s="202" t="str">
        <f t="shared" si="384"/>
        <v/>
      </c>
      <c r="FP167" s="204" t="str">
        <f t="shared" si="517"/>
        <v/>
      </c>
      <c r="FQ167" s="188" t="str">
        <f t="shared" si="385"/>
        <v/>
      </c>
      <c r="FR167" s="188" t="str">
        <f t="shared" si="386"/>
        <v/>
      </c>
      <c r="FS167" s="188" t="str">
        <f t="shared" si="387"/>
        <v/>
      </c>
      <c r="FT167" s="188" t="str">
        <f t="shared" si="388"/>
        <v/>
      </c>
      <c r="FU167" s="188" t="str">
        <f t="shared" si="518"/>
        <v/>
      </c>
      <c r="FV167" s="205" t="str">
        <f t="shared" si="389"/>
        <v/>
      </c>
      <c r="FW167" s="204" t="str">
        <f t="shared" si="519"/>
        <v/>
      </c>
      <c r="FX167" s="188" t="str">
        <f t="shared" si="390"/>
        <v/>
      </c>
      <c r="FY167" s="188" t="str">
        <f t="shared" si="391"/>
        <v/>
      </c>
      <c r="FZ167" s="188" t="str">
        <f t="shared" si="392"/>
        <v/>
      </c>
      <c r="GA167" s="188" t="str">
        <f t="shared" si="393"/>
        <v/>
      </c>
      <c r="GB167" s="188" t="str">
        <f t="shared" si="520"/>
        <v/>
      </c>
      <c r="GC167" s="205" t="str">
        <f t="shared" si="394"/>
        <v/>
      </c>
      <c r="GD167" s="204" t="str">
        <f t="shared" si="521"/>
        <v/>
      </c>
      <c r="GE167" s="188" t="str">
        <f t="shared" si="395"/>
        <v/>
      </c>
      <c r="GF167" s="188" t="str">
        <f t="shared" si="396"/>
        <v/>
      </c>
      <c r="GG167" s="188" t="str">
        <f t="shared" si="397"/>
        <v/>
      </c>
      <c r="GH167" s="188" t="str">
        <f t="shared" si="398"/>
        <v/>
      </c>
      <c r="GI167" s="188" t="str">
        <f t="shared" si="522"/>
        <v/>
      </c>
      <c r="GJ167" s="205" t="str">
        <f t="shared" si="399"/>
        <v/>
      </c>
      <c r="GK167" s="204" t="str">
        <f t="shared" si="523"/>
        <v/>
      </c>
      <c r="GL167" s="188" t="str">
        <f t="shared" si="400"/>
        <v/>
      </c>
      <c r="GM167" s="188" t="str">
        <f t="shared" si="401"/>
        <v/>
      </c>
      <c r="GN167" s="188" t="str">
        <f t="shared" si="402"/>
        <v/>
      </c>
      <c r="GO167" s="188" t="str">
        <f t="shared" si="403"/>
        <v/>
      </c>
      <c r="GP167" s="188" t="str">
        <f t="shared" si="524"/>
        <v/>
      </c>
      <c r="GQ167" s="205" t="str">
        <f t="shared" si="404"/>
        <v/>
      </c>
      <c r="GR167" s="188" t="str">
        <f t="shared" si="525"/>
        <v/>
      </c>
      <c r="GS167" s="188" t="str">
        <f t="shared" si="526"/>
        <v/>
      </c>
      <c r="GT167" s="206" t="str">
        <f t="shared" si="527"/>
        <v xml:space="preserve">    </v>
      </c>
      <c r="GU167" s="206" t="str">
        <f t="shared" si="528"/>
        <v xml:space="preserve">    </v>
      </c>
      <c r="GV167" s="206" t="str">
        <f t="shared" si="529"/>
        <v xml:space="preserve">    </v>
      </c>
      <c r="GW167" s="206" t="str">
        <f t="shared" si="530"/>
        <v xml:space="preserve">       </v>
      </c>
      <c r="GX167" s="598" t="str">
        <f t="shared" si="531"/>
        <v xml:space="preserve">     </v>
      </c>
      <c r="GY167" s="207" t="str">
        <f t="shared" si="405"/>
        <v/>
      </c>
      <c r="GZ167" s="606" t="str">
        <f>IF(AND(Q167="",AE167="",AZ167="",BW167="",CT167=""),"",IF(AND('Master Sheet'!$D$19="YES",'Marks Entry'!$BA$1=1),SUM(Q167,AE167,AZ167,BW167,DT167),SUM(Q167,AE167,AZ167,BW167,CT167)))</f>
        <v/>
      </c>
      <c r="HA167" s="208" t="str">
        <f>IF(GZ167="","",IF(AND('Master Sheet'!$D$19="YES",'Marks Entry'!$BA$1=1),GZ167/((900)-DC167)*100,GZ167/((1000)-DC167)*100))</f>
        <v/>
      </c>
      <c r="HB167" s="611" t="str">
        <f t="shared" si="532"/>
        <v/>
      </c>
      <c r="HC167" s="609" t="str">
        <f t="shared" si="533"/>
        <v/>
      </c>
      <c r="HD167" s="610" t="str">
        <f t="shared" si="534"/>
        <v/>
      </c>
      <c r="HE167" s="209" t="str">
        <f>IFERROR(IF(OR(GY167="SUPPLEMENTARY",GY167="RE-EXAM"),'Supp. Result Entry'!AS166,""),"")</f>
        <v/>
      </c>
      <c r="HF167" s="613" t="str">
        <f t="shared" si="535"/>
        <v/>
      </c>
      <c r="HG167" s="598" t="str">
        <f t="shared" si="536"/>
        <v/>
      </c>
      <c r="HH167" s="598" t="str">
        <f>IF(AND(HE167="",HF167="",HG167=""),"",IF(OR(GY167="SUPPLEMENTARY",GY167="RE-EXAM"),'Supp. Result Entry'!AS166,GY167))</f>
        <v/>
      </c>
      <c r="HI167" s="179"/>
      <c r="HY167" s="211" t="str">
        <f>IF('Supp. Result Entry'!U166="","",'Supp. Result Entry'!$U$6)</f>
        <v/>
      </c>
      <c r="HZ167" s="212" t="str">
        <f>IF('Supp. Result Entry'!X166="","",'Supp. Result Entry'!$X$6)</f>
        <v/>
      </c>
      <c r="IA167" s="212" t="str">
        <f>IF('Supp. Result Entry'!AA166="","",'Supp. Result Entry'!$AA$6)</f>
        <v/>
      </c>
      <c r="IB167" s="212" t="str">
        <f>IF('Supp. Result Entry'!AD166="","",'Supp. Result Entry'!$AD$6)</f>
        <v/>
      </c>
      <c r="IC167" s="212" t="str">
        <f>IF('Supp. Result Entry'!AG166="","",'Supp. Result Entry'!$AG$6)</f>
        <v/>
      </c>
      <c r="ID167" s="212" t="str">
        <f>IF('Supp. Result Entry'!AJ166="","",'Supp. Result Entry'!$AJ$6)</f>
        <v/>
      </c>
      <c r="IE167" s="212" t="str">
        <f>IF('Supp. Result Entry'!V166="","",'Supp. Result Entry'!V166)</f>
        <v/>
      </c>
      <c r="IF167" s="212" t="str">
        <f>IF('Supp. Result Entry'!Y166="","",'Supp. Result Entry'!Y166)</f>
        <v/>
      </c>
      <c r="IG167" s="212" t="str">
        <f>IF('Supp. Result Entry'!AB166="","",'Supp. Result Entry'!AB166)</f>
        <v/>
      </c>
      <c r="IH167" s="212" t="str">
        <f>IF('Supp. Result Entry'!AE166="","",'Supp. Result Entry'!AE166)</f>
        <v/>
      </c>
      <c r="II167" s="212" t="str">
        <f>IF('Supp. Result Entry'!AH166="","",'Supp. Result Entry'!AH166)</f>
        <v/>
      </c>
      <c r="IJ167" s="212" t="str">
        <f>IF('Supp. Result Entry'!AK166="","",'Supp. Result Entry'!AK166)</f>
        <v/>
      </c>
      <c r="IK167" s="212" t="str">
        <f>IF('Supp. Result Entry'!W166="","",'Supp. Result Entry'!W166)</f>
        <v/>
      </c>
      <c r="IL167" s="212" t="str">
        <f>IF('Supp. Result Entry'!Z166="","",'Supp. Result Entry'!Z166)</f>
        <v/>
      </c>
      <c r="IM167" s="212" t="str">
        <f>IF('Supp. Result Entry'!AC166="","",'Supp. Result Entry'!AC166)</f>
        <v/>
      </c>
      <c r="IN167" s="212" t="str">
        <f>IF('Supp. Result Entry'!AF166="","",'Supp. Result Entry'!AF166)</f>
        <v/>
      </c>
      <c r="IO167" s="212" t="str">
        <f>IF('Supp. Result Entry'!AI166="","",'Supp. Result Entry'!AI166)</f>
        <v/>
      </c>
      <c r="IP167" s="212" t="str">
        <f>IF('Supp. Result Entry'!AL166="","",'Supp. Result Entry'!AL166)</f>
        <v/>
      </c>
      <c r="IQ167" s="212">
        <f>COUNTIF('Supp. Result Entry'!K166:Q166,"S")</f>
        <v>0</v>
      </c>
      <c r="IR167" s="212">
        <f t="shared" si="537"/>
        <v>0</v>
      </c>
      <c r="IS167" s="212">
        <f t="shared" si="538"/>
        <v>0</v>
      </c>
      <c r="IT167" s="212" t="str">
        <f t="shared" si="406"/>
        <v/>
      </c>
      <c r="IU167" s="212" t="str">
        <f t="shared" si="407"/>
        <v/>
      </c>
      <c r="IV167" s="212" t="str">
        <f t="shared" si="408"/>
        <v/>
      </c>
      <c r="IW167" s="212" t="str">
        <f t="shared" si="409"/>
        <v/>
      </c>
      <c r="IX167" s="212" t="str">
        <f t="shared" si="410"/>
        <v/>
      </c>
      <c r="IY167" s="212" t="str">
        <f t="shared" si="539"/>
        <v/>
      </c>
      <c r="IZ167" s="212" t="str">
        <f t="shared" si="540"/>
        <v/>
      </c>
      <c r="JA167" s="212" t="str">
        <f t="shared" si="411"/>
        <v/>
      </c>
      <c r="JB167" s="210" t="str">
        <f t="shared" si="541"/>
        <v/>
      </c>
    </row>
    <row r="168" spans="1:262" s="210" customFormat="1" ht="21" customHeight="1">
      <c r="A168" s="183">
        <v>161</v>
      </c>
      <c r="B168" s="184" t="str">
        <f>IF('Marks Entry'!B168="","",'Marks Entry'!B168)</f>
        <v/>
      </c>
      <c r="C168" s="185" t="str">
        <f>IF('Marks Entry'!D168="","",'Marks Entry'!D168)</f>
        <v/>
      </c>
      <c r="D168" s="186" t="str">
        <f>IF('Marks Entry'!E168="","",'Marks Entry'!E168)</f>
        <v/>
      </c>
      <c r="E168" s="187" t="str">
        <f>IF('Marks Entry'!F168="","",'Marks Entry'!F168)</f>
        <v/>
      </c>
      <c r="F168" s="187" t="str">
        <f>IF('Marks Entry'!G168="","",'Marks Entry'!G168)</f>
        <v/>
      </c>
      <c r="G168" s="187" t="str">
        <f>IF('Marks Entry'!H168="","",'Marks Entry'!H168)</f>
        <v/>
      </c>
      <c r="H168" s="188" t="str">
        <f>IF('Marks Entry'!I168="","",'Marks Entry'!I168)</f>
        <v/>
      </c>
      <c r="I168" s="189" t="str">
        <f>IF('Marks Entry'!J168="","",'Marks Entry'!J168)</f>
        <v/>
      </c>
      <c r="J168" s="545" t="str">
        <f>IF('Marks Entry'!K168="","",'Marks Entry'!K168)</f>
        <v/>
      </c>
      <c r="K168" s="545" t="str">
        <f>IF('Marks Entry'!L168="","",'Marks Entry'!L168)</f>
        <v/>
      </c>
      <c r="L168" s="545" t="str">
        <f>IF('Marks Entry'!M168="","",'Marks Entry'!M168)</f>
        <v/>
      </c>
      <c r="M168" s="546" t="str">
        <f t="shared" si="412"/>
        <v/>
      </c>
      <c r="N168" s="545" t="str">
        <f>IF('Marks Entry'!N168="","",'Marks Entry'!N168)</f>
        <v/>
      </c>
      <c r="O168" s="546" t="str">
        <f t="shared" si="413"/>
        <v/>
      </c>
      <c r="P168" s="545" t="str">
        <f>IF('Marks Entry'!O168="","",'Marks Entry'!O168)</f>
        <v/>
      </c>
      <c r="Q168" s="547" t="str">
        <f t="shared" si="414"/>
        <v/>
      </c>
      <c r="R168" s="152">
        <f t="shared" si="415"/>
        <v>0</v>
      </c>
      <c r="S168" s="152">
        <f t="shared" si="416"/>
        <v>0</v>
      </c>
      <c r="T168" s="153" t="str">
        <f t="shared" si="417"/>
        <v/>
      </c>
      <c r="U168" s="152" t="str">
        <f t="shared" si="418"/>
        <v/>
      </c>
      <c r="V168" s="152" t="str">
        <f t="shared" si="419"/>
        <v/>
      </c>
      <c r="W168" s="152" t="str">
        <f t="shared" si="420"/>
        <v/>
      </c>
      <c r="X168" s="545" t="str">
        <f>IF('Marks Entry'!P168="","",'Marks Entry'!P168)</f>
        <v/>
      </c>
      <c r="Y168" s="545" t="str">
        <f>IF('Marks Entry'!Q168="","",'Marks Entry'!Q168)</f>
        <v/>
      </c>
      <c r="Z168" s="545" t="str">
        <f>IF('Marks Entry'!R168="","",'Marks Entry'!R168)</f>
        <v/>
      </c>
      <c r="AA168" s="546" t="str">
        <f t="shared" si="421"/>
        <v/>
      </c>
      <c r="AB168" s="545" t="str">
        <f>IF('Marks Entry'!S168="","",'Marks Entry'!S168)</f>
        <v/>
      </c>
      <c r="AC168" s="546" t="str">
        <f t="shared" si="422"/>
        <v/>
      </c>
      <c r="AD168" s="545" t="str">
        <f>IF('Marks Entry'!T168="","",'Marks Entry'!T168)</f>
        <v/>
      </c>
      <c r="AE168" s="547" t="str">
        <f t="shared" si="423"/>
        <v/>
      </c>
      <c r="AF168" s="152">
        <f t="shared" si="424"/>
        <v>0</v>
      </c>
      <c r="AG168" s="152">
        <f t="shared" si="425"/>
        <v>0</v>
      </c>
      <c r="AH168" s="153" t="str">
        <f t="shared" si="426"/>
        <v/>
      </c>
      <c r="AI168" s="152" t="str">
        <f t="shared" si="427"/>
        <v/>
      </c>
      <c r="AJ168" s="152" t="str">
        <f t="shared" si="428"/>
        <v/>
      </c>
      <c r="AK168" s="152" t="str">
        <f t="shared" si="429"/>
        <v/>
      </c>
      <c r="AL168" s="573" t="str">
        <f>IF('Marks Entry'!U168="","",'Marks Entry'!U168)</f>
        <v/>
      </c>
      <c r="AM168" s="573" t="str">
        <f>IF('Marks Entry'!V168="","",'Marks Entry'!V168)</f>
        <v/>
      </c>
      <c r="AN168" s="573" t="str">
        <f>IF('Marks Entry'!W168="","",'Marks Entry'!W168)</f>
        <v/>
      </c>
      <c r="AO168" s="573" t="str">
        <f>IF('Marks Entry'!X168="","",'Marks Entry'!X168)</f>
        <v/>
      </c>
      <c r="AP168" s="572" t="str">
        <f t="shared" si="430"/>
        <v/>
      </c>
      <c r="AQ168" s="573" t="str">
        <f>IF('Marks Entry'!Y168="","",'Marks Entry'!Y168)</f>
        <v/>
      </c>
      <c r="AR168" s="573" t="str">
        <f>IF('Marks Entry'!Z168="","",'Marks Entry'!Z168)</f>
        <v/>
      </c>
      <c r="AS168" s="572" t="str">
        <f t="shared" si="431"/>
        <v/>
      </c>
      <c r="AT168" s="572" t="str">
        <f t="shared" si="432"/>
        <v/>
      </c>
      <c r="AU168" s="573" t="str">
        <f>IF('Marks Entry'!AA168="","",'Marks Entry'!AA168)</f>
        <v/>
      </c>
      <c r="AV168" s="573" t="str">
        <f>IF('Marks Entry'!AB168="","",'Marks Entry'!AB168)</f>
        <v/>
      </c>
      <c r="AW168" s="572" t="str">
        <f t="shared" si="433"/>
        <v/>
      </c>
      <c r="AX168" s="156" t="str">
        <f t="shared" si="434"/>
        <v/>
      </c>
      <c r="AY168" s="156" t="str">
        <f t="shared" si="435"/>
        <v/>
      </c>
      <c r="AZ168" s="191" t="str">
        <f t="shared" si="436"/>
        <v/>
      </c>
      <c r="BA168" s="152">
        <f t="shared" si="437"/>
        <v>0</v>
      </c>
      <c r="BB168" s="153">
        <f t="shared" si="438"/>
        <v>0</v>
      </c>
      <c r="BC168" s="153" t="str">
        <f t="shared" si="439"/>
        <v/>
      </c>
      <c r="BD168" s="153" t="str">
        <f t="shared" si="440"/>
        <v/>
      </c>
      <c r="BE168" s="153" t="str">
        <f t="shared" si="441"/>
        <v/>
      </c>
      <c r="BF168" s="152" t="str">
        <f t="shared" si="442"/>
        <v/>
      </c>
      <c r="BG168" s="153" t="str">
        <f t="shared" si="443"/>
        <v/>
      </c>
      <c r="BH168" s="152" t="str">
        <f t="shared" si="444"/>
        <v/>
      </c>
      <c r="BI168" s="580" t="str">
        <f>IF('Marks Entry'!AC168="","",'Marks Entry'!AC168)</f>
        <v/>
      </c>
      <c r="BJ168" s="580" t="str">
        <f>IF('Marks Entry'!AD168="","",'Marks Entry'!AD168)</f>
        <v/>
      </c>
      <c r="BK168" s="580" t="str">
        <f>IF('Marks Entry'!AE168="","",'Marks Entry'!AE168)</f>
        <v/>
      </c>
      <c r="BL168" s="580" t="str">
        <f>IF('Marks Entry'!AF168="","",'Marks Entry'!AF168)</f>
        <v/>
      </c>
      <c r="BM168" s="581" t="str">
        <f t="shared" si="445"/>
        <v/>
      </c>
      <c r="BN168" s="580" t="str">
        <f>IF('Marks Entry'!AG168="","",'Marks Entry'!AG168)</f>
        <v/>
      </c>
      <c r="BO168" s="580" t="str">
        <f>IF('Marks Entry'!AH168="","",'Marks Entry'!AH168)</f>
        <v/>
      </c>
      <c r="BP168" s="581" t="str">
        <f t="shared" si="446"/>
        <v/>
      </c>
      <c r="BQ168" s="581" t="str">
        <f t="shared" si="447"/>
        <v/>
      </c>
      <c r="BR168" s="580" t="str">
        <f>IF('Marks Entry'!AI168="","",'Marks Entry'!AI168)</f>
        <v/>
      </c>
      <c r="BS168" s="580" t="str">
        <f>IF('Marks Entry'!AJ168="","",'Marks Entry'!AJ168)</f>
        <v/>
      </c>
      <c r="BT168" s="581" t="str">
        <f t="shared" si="448"/>
        <v/>
      </c>
      <c r="BU168" s="156" t="str">
        <f t="shared" si="449"/>
        <v/>
      </c>
      <c r="BV168" s="156" t="str">
        <f t="shared" si="450"/>
        <v/>
      </c>
      <c r="BW168" s="191" t="str">
        <f t="shared" si="451"/>
        <v/>
      </c>
      <c r="BX168" s="152">
        <f t="shared" si="452"/>
        <v>0</v>
      </c>
      <c r="BY168" s="153">
        <f t="shared" si="453"/>
        <v>0</v>
      </c>
      <c r="BZ168" s="153" t="str">
        <f t="shared" si="454"/>
        <v/>
      </c>
      <c r="CA168" s="153" t="str">
        <f t="shared" si="455"/>
        <v/>
      </c>
      <c r="CB168" s="153" t="str">
        <f t="shared" si="456"/>
        <v/>
      </c>
      <c r="CC168" s="152" t="str">
        <f t="shared" si="457"/>
        <v/>
      </c>
      <c r="CD168" s="153" t="str">
        <f t="shared" si="458"/>
        <v/>
      </c>
      <c r="CE168" s="152" t="str">
        <f t="shared" si="459"/>
        <v/>
      </c>
      <c r="CF168" s="580" t="str">
        <f>IF('Marks Entry'!AK168="","",'Marks Entry'!AK168)</f>
        <v/>
      </c>
      <c r="CG168" s="580" t="str">
        <f>IF('Marks Entry'!AL168="","",'Marks Entry'!AL168)</f>
        <v/>
      </c>
      <c r="CH168" s="580" t="str">
        <f>IF('Marks Entry'!AM168="","",'Marks Entry'!AM168)</f>
        <v/>
      </c>
      <c r="CI168" s="580" t="str">
        <f>IF('Marks Entry'!AN168="","",'Marks Entry'!AN168)</f>
        <v/>
      </c>
      <c r="CJ168" s="581" t="str">
        <f t="shared" si="460"/>
        <v/>
      </c>
      <c r="CK168" s="580" t="str">
        <f>IF('Marks Entry'!AO168="","",'Marks Entry'!AO168)</f>
        <v/>
      </c>
      <c r="CL168" s="580" t="str">
        <f>IF('Marks Entry'!AP168="","",'Marks Entry'!AP168)</f>
        <v/>
      </c>
      <c r="CM168" s="581" t="str">
        <f t="shared" si="461"/>
        <v/>
      </c>
      <c r="CN168" s="581" t="str">
        <f t="shared" si="462"/>
        <v/>
      </c>
      <c r="CO168" s="580" t="str">
        <f>IF('Marks Entry'!AQ168="","",'Marks Entry'!AQ168)</f>
        <v/>
      </c>
      <c r="CP168" s="580" t="str">
        <f>IF('Marks Entry'!AR168="","",'Marks Entry'!AR168)</f>
        <v/>
      </c>
      <c r="CQ168" s="581" t="str">
        <f t="shared" si="463"/>
        <v/>
      </c>
      <c r="CR168" s="156" t="str">
        <f t="shared" si="464"/>
        <v/>
      </c>
      <c r="CS168" s="156" t="str">
        <f t="shared" si="465"/>
        <v/>
      </c>
      <c r="CT168" s="191" t="str">
        <f t="shared" si="466"/>
        <v/>
      </c>
      <c r="CU168" s="152">
        <f t="shared" si="467"/>
        <v>0</v>
      </c>
      <c r="CV168" s="153">
        <f t="shared" si="468"/>
        <v>0</v>
      </c>
      <c r="CW168" s="153" t="str">
        <f t="shared" si="469"/>
        <v/>
      </c>
      <c r="CX168" s="153" t="str">
        <f t="shared" si="470"/>
        <v/>
      </c>
      <c r="CY168" s="153" t="str">
        <f t="shared" si="471"/>
        <v/>
      </c>
      <c r="CZ168" s="152" t="str">
        <f t="shared" si="472"/>
        <v/>
      </c>
      <c r="DA168" s="153" t="str">
        <f t="shared" si="473"/>
        <v/>
      </c>
      <c r="DB168" s="152" t="str">
        <f t="shared" si="474"/>
        <v/>
      </c>
      <c r="DC168" s="153">
        <f t="shared" si="475"/>
        <v>0</v>
      </c>
      <c r="DD168" s="851" t="str">
        <f>IF('Marks Entry'!AS168="","",IF(OR('Master Sheet'!$D$19="YES",'Marks Entry'!$BA$1=1),'Marks Entry'!AS168,""))</f>
        <v/>
      </c>
      <c r="DE168" s="851" t="str">
        <f>IF('Marks Entry'!AT168="","",IF(OR('Master Sheet'!$D$19="YES",'Marks Entry'!$BA$1=1),'Marks Entry'!AT168,""))</f>
        <v/>
      </c>
      <c r="DF168" s="851" t="str">
        <f>IF('Marks Entry'!AU168="","",IF(OR('Master Sheet'!$D$19="YES",'Marks Entry'!$BA$1=1),'Marks Entry'!AU168,""))</f>
        <v/>
      </c>
      <c r="DG168" s="851" t="str">
        <f>IF('Marks Entry'!AV168="","",IF(OR('Master Sheet'!$D$19="YES",'Marks Entry'!$BA$1=1),'Marks Entry'!AV168,""))</f>
        <v/>
      </c>
      <c r="DH168" s="852" t="str">
        <f t="shared" si="476"/>
        <v/>
      </c>
      <c r="DI168" s="851" t="str">
        <f>IF('Marks Entry'!AW168="","",IF(OR('Master Sheet'!$D$19="YES",'Marks Entry'!$BA$1=1),'Marks Entry'!AW168,""))</f>
        <v/>
      </c>
      <c r="DJ168" s="851" t="str">
        <f>IF('Marks Entry'!AX168="","",IF(OR('Master Sheet'!$D$19="YES",'Marks Entry'!$BA$1=1),'Marks Entry'!AX168,""))</f>
        <v/>
      </c>
      <c r="DK168" s="852" t="str">
        <f t="shared" si="477"/>
        <v/>
      </c>
      <c r="DL168" s="852" t="str">
        <f t="shared" si="478"/>
        <v/>
      </c>
      <c r="DM168" s="851" t="str">
        <f>IF('Marks Entry'!AY168="","",IF(OR('Master Sheet'!$D$19="YES",'Marks Entry'!$BA$1=1),'Marks Entry'!AY168,""))</f>
        <v/>
      </c>
      <c r="DN168" s="851" t="str">
        <f>IF('Marks Entry'!AZ168="","",IF(OR('Master Sheet'!$D$19="YES",'Marks Entry'!$BA$1=1),'Marks Entry'!AZ168,""))</f>
        <v/>
      </c>
      <c r="DO168" s="851" t="str">
        <f>IF('Marks Entry'!BA168="","",IF(OR('Master Sheet'!$D$19="YES",'Marks Entry'!$BA$1=1),'Marks Entry'!BA168,""))</f>
        <v/>
      </c>
      <c r="DP168" s="852" t="str">
        <f t="shared" si="479"/>
        <v/>
      </c>
      <c r="DQ168" s="156" t="str">
        <f t="shared" si="480"/>
        <v/>
      </c>
      <c r="DR168" s="156" t="str">
        <f t="shared" si="481"/>
        <v/>
      </c>
      <c r="DS168" s="156" t="str">
        <f t="shared" si="482"/>
        <v/>
      </c>
      <c r="DT168" s="191" t="str">
        <f t="shared" si="483"/>
        <v/>
      </c>
      <c r="DU168" s="152">
        <f t="shared" si="484"/>
        <v>0</v>
      </c>
      <c r="DV168" s="153">
        <f t="shared" si="485"/>
        <v>0</v>
      </c>
      <c r="DW168" s="153" t="str">
        <f t="shared" si="486"/>
        <v/>
      </c>
      <c r="DX168" s="153" t="str">
        <f>IF(OR($B168="NSO",$B168=0,DS168=""),"",IF(AND(DJ168="",DO168=""),"",IF('Master Sheet'!$D$19="YES",$DO$6-COUNTIF(DO168,"ML")*DO$6,DS$6-(COUNTIF(DJ168,"ML")*DJ$6)-(COUNTIF(DO168,"ML")*DO$6))))</f>
        <v/>
      </c>
      <c r="DY168" s="153" t="str">
        <f>IF(OR($B168="NSO",$B168=0),"",IF(AND(DH168="",DI168="",DM168=""),"",IF(AND('Master Sheet'!$D$19="YES",'Marks Entry'!$BA$1=1),100,IF(AND(DJ168="",DO168=""),SUM(($DQ$7+$DR$7)-(DU168+DV168)),SUM(($DQ$6+$DR$6)-(DU168+DV168))))))</f>
        <v/>
      </c>
      <c r="DZ168" s="152" t="str">
        <f t="shared" si="487"/>
        <v/>
      </c>
      <c r="EA168" s="153" t="str">
        <f t="shared" si="488"/>
        <v/>
      </c>
      <c r="EB168" s="152" t="str">
        <f t="shared" si="489"/>
        <v/>
      </c>
      <c r="EC168" s="584" t="str">
        <f>IF('Marks Entry'!BB168="","",'Marks Entry'!BB168)</f>
        <v/>
      </c>
      <c r="ED168" s="584" t="str">
        <f>IF('Marks Entry'!BC168="","",'Marks Entry'!BC168)</f>
        <v/>
      </c>
      <c r="EE168" s="584" t="str">
        <f>IF('Marks Entry'!BD168="","",'Marks Entry'!BD168)</f>
        <v/>
      </c>
      <c r="EF168" s="590" t="str">
        <f t="shared" si="490"/>
        <v/>
      </c>
      <c r="EG168" s="595">
        <f t="shared" si="491"/>
        <v>0</v>
      </c>
      <c r="EH168" s="595">
        <f t="shared" si="492"/>
        <v>0</v>
      </c>
      <c r="EI168" s="192" t="str">
        <f t="shared" si="493"/>
        <v/>
      </c>
      <c r="EJ168" s="595" t="str">
        <f t="shared" si="494"/>
        <v/>
      </c>
      <c r="EK168" s="595" t="str">
        <f t="shared" si="495"/>
        <v/>
      </c>
      <c r="EL168" s="193" t="str">
        <f t="shared" si="496"/>
        <v/>
      </c>
      <c r="EM168" s="193" t="str">
        <f t="shared" si="497"/>
        <v/>
      </c>
      <c r="EN168" s="193" t="str">
        <f t="shared" si="498"/>
        <v/>
      </c>
      <c r="EO168" s="193" t="str">
        <f t="shared" si="499"/>
        <v/>
      </c>
      <c r="EP168" s="193" t="str">
        <f t="shared" si="500"/>
        <v/>
      </c>
      <c r="EQ168" s="193" t="str">
        <f t="shared" si="501"/>
        <v/>
      </c>
      <c r="ER168" s="194">
        <f t="shared" si="502"/>
        <v>0</v>
      </c>
      <c r="ES168" s="194">
        <f t="shared" si="503"/>
        <v>0</v>
      </c>
      <c r="ET168" s="194">
        <f t="shared" si="504"/>
        <v>0</v>
      </c>
      <c r="EU168" s="194">
        <f t="shared" si="505"/>
        <v>0</v>
      </c>
      <c r="EV168" s="194">
        <f t="shared" si="506"/>
        <v>0</v>
      </c>
      <c r="EW168" s="194" t="str">
        <f t="shared" si="507"/>
        <v/>
      </c>
      <c r="EX168" s="195" t="str">
        <f t="shared" si="508"/>
        <v/>
      </c>
      <c r="EY168" s="196" t="str">
        <f>IF('Marks Entry'!BE168="","",'Marks Entry'!BE168)</f>
        <v/>
      </c>
      <c r="EZ168" s="196" t="str">
        <f>IF('Marks Entry'!BF168="","",'Marks Entry'!BF168)</f>
        <v/>
      </c>
      <c r="FA168" s="196" t="str">
        <f>IF('Marks Entry'!BG168="","",'Marks Entry'!BG168)</f>
        <v/>
      </c>
      <c r="FB168" s="596" t="str">
        <f t="shared" si="509"/>
        <v/>
      </c>
      <c r="FC168" s="196" t="str">
        <f>IF('Marks Entry'!BH168="","",'Marks Entry'!BH168)</f>
        <v/>
      </c>
      <c r="FD168" s="196" t="str">
        <f>IF('Marks Entry'!BI168="","",'Marks Entry'!BI168)</f>
        <v/>
      </c>
      <c r="FE168" s="197" t="str">
        <f t="shared" si="510"/>
        <v/>
      </c>
      <c r="FF168" s="198" t="str">
        <f t="shared" si="511"/>
        <v/>
      </c>
      <c r="FG168" s="199" t="str">
        <f>IF(AND(E168=""),"",IF('Student DATA Entry'!L164="","",'Student DATA Entry'!L164))</f>
        <v/>
      </c>
      <c r="FH168" s="200" t="str">
        <f>IF(AND(E168=""),"",IF('Student DATA Entry'!M164="","",'Student DATA Entry'!M164))</f>
        <v/>
      </c>
      <c r="FI168" s="201" t="str">
        <f t="shared" si="512"/>
        <v/>
      </c>
      <c r="FJ168" s="188" t="str">
        <f t="shared" si="513"/>
        <v/>
      </c>
      <c r="FK168" s="188" t="str">
        <f t="shared" si="514"/>
        <v/>
      </c>
      <c r="FL168" s="202" t="str">
        <f t="shared" ref="FL168:FL199" si="542">IF(FJ168="G",ROUNDUP(36%*T168-Q168,0),"")</f>
        <v/>
      </c>
      <c r="FM168" s="188" t="str">
        <f t="shared" si="515"/>
        <v/>
      </c>
      <c r="FN168" s="203" t="str">
        <f t="shared" si="516"/>
        <v/>
      </c>
      <c r="FO168" s="202" t="str">
        <f t="shared" ref="FO168:FO199" si="543">IF(FM168="G",ROUNDUP(36%*AH168-AE168,0),"")</f>
        <v/>
      </c>
      <c r="FP168" s="204" t="str">
        <f t="shared" si="517"/>
        <v/>
      </c>
      <c r="FQ168" s="188" t="str">
        <f t="shared" ref="FQ168:FQ199" si="544">IF(AL168="A",FP168,"")</f>
        <v/>
      </c>
      <c r="FR168" s="188" t="str">
        <f t="shared" ref="FR168:FR199" si="545">IF(AL168="B",FP168,"")</f>
        <v/>
      </c>
      <c r="FS168" s="188" t="str">
        <f t="shared" ref="FS168:FS199" si="546">IF(AL168="C",FP168,"")</f>
        <v/>
      </c>
      <c r="FT168" s="188" t="str">
        <f t="shared" ref="FT168:FT199" si="547">IF(AL168="D",FP168,"")</f>
        <v/>
      </c>
      <c r="FU168" s="188" t="str">
        <f t="shared" si="518"/>
        <v/>
      </c>
      <c r="FV168" s="205" t="str">
        <f t="shared" ref="FV168:FV199" si="548">IF(FP168="G",ROUNDUP(36%*BE168-AX168,0),"")</f>
        <v/>
      </c>
      <c r="FW168" s="204" t="str">
        <f t="shared" si="519"/>
        <v/>
      </c>
      <c r="FX168" s="188" t="str">
        <f t="shared" ref="FX168:FX199" si="549">IF(BI168="A",FW168,"")</f>
        <v/>
      </c>
      <c r="FY168" s="188" t="str">
        <f t="shared" ref="FY168:FY199" si="550">IF(BI168="B",FW168,"")</f>
        <v/>
      </c>
      <c r="FZ168" s="188" t="str">
        <f t="shared" ref="FZ168:FZ199" si="551">IF(BI168="C",FW168,"")</f>
        <v/>
      </c>
      <c r="GA168" s="188" t="str">
        <f t="shared" ref="GA168:GA199" si="552">IF(BI168="D",FW168,"")</f>
        <v/>
      </c>
      <c r="GB168" s="188" t="str">
        <f t="shared" si="520"/>
        <v/>
      </c>
      <c r="GC168" s="205" t="str">
        <f t="shared" ref="GC168:GC199" si="553">IF(FW168="G",ROUNDUP(36%*CB168-BU168,0),"")</f>
        <v/>
      </c>
      <c r="GD168" s="204" t="str">
        <f t="shared" si="521"/>
        <v/>
      </c>
      <c r="GE168" s="188" t="str">
        <f t="shared" ref="GE168:GE199" si="554">IF(CF168="A",GD168,"")</f>
        <v/>
      </c>
      <c r="GF168" s="188" t="str">
        <f t="shared" ref="GF168:GF199" si="555">IF(CF168="B",GD168,"")</f>
        <v/>
      </c>
      <c r="GG168" s="188" t="str">
        <f t="shared" ref="GG168:GG199" si="556">IF(CF168="C",GD168,"")</f>
        <v/>
      </c>
      <c r="GH168" s="188" t="str">
        <f t="shared" ref="GH168:GH199" si="557">IF(CF168="D",GD168,"")</f>
        <v/>
      </c>
      <c r="GI168" s="188" t="str">
        <f t="shared" si="522"/>
        <v/>
      </c>
      <c r="GJ168" s="205" t="str">
        <f t="shared" ref="GJ168:GJ199" si="558">IF(GD168="G",ROUNDUP(36%*CY168-CR168,0),"")</f>
        <v/>
      </c>
      <c r="GK168" s="204" t="str">
        <f t="shared" si="523"/>
        <v/>
      </c>
      <c r="GL168" s="188" t="str">
        <f t="shared" ref="GL168:GL199" si="559">IF(DD168="A",GK168,"")</f>
        <v/>
      </c>
      <c r="GM168" s="188" t="str">
        <f t="shared" ref="GM168:GM199" si="560">IF(DD168="B",GK168,"")</f>
        <v/>
      </c>
      <c r="GN168" s="188" t="str">
        <f t="shared" ref="GN168:GN199" si="561">IF(DD168="C",GK168,"")</f>
        <v/>
      </c>
      <c r="GO168" s="188" t="str">
        <f t="shared" ref="GO168:GO199" si="562">IF(DD168="D",GK168,"")</f>
        <v/>
      </c>
      <c r="GP168" s="188" t="str">
        <f t="shared" si="524"/>
        <v/>
      </c>
      <c r="GQ168" s="205" t="str">
        <f t="shared" ref="GQ168:GQ199" si="563">IF(GK168="G",ROUNDUP(36%*DY168-DQ168,0),"")</f>
        <v/>
      </c>
      <c r="GR168" s="188" t="str">
        <f t="shared" si="525"/>
        <v/>
      </c>
      <c r="GS168" s="188" t="str">
        <f t="shared" si="526"/>
        <v/>
      </c>
      <c r="GT168" s="206" t="str">
        <f t="shared" si="527"/>
        <v xml:space="preserve">    </v>
      </c>
      <c r="GU168" s="206" t="str">
        <f t="shared" si="528"/>
        <v xml:space="preserve">    </v>
      </c>
      <c r="GV168" s="206" t="str">
        <f t="shared" si="529"/>
        <v xml:space="preserve">    </v>
      </c>
      <c r="GW168" s="206" t="str">
        <f t="shared" si="530"/>
        <v xml:space="preserve">       </v>
      </c>
      <c r="GX168" s="598" t="str">
        <f t="shared" si="531"/>
        <v xml:space="preserve">     </v>
      </c>
      <c r="GY168" s="207" t="str">
        <f t="shared" ref="GY168:GY199" si="564">IF(B168="NSO","NSO",IF(AND(OR(EX168="PASS",EX168="BY GRACE PASS",EX168="RE-EXAM"),EW168="F"),"FAIL",IF(AND(OR(EX168="PASS",EX168="BY GRACE PASS"),EW168="RE"),"RE-EXAM",EX168)))</f>
        <v/>
      </c>
      <c r="GZ168" s="606" t="str">
        <f>IF(AND(Q168="",AE168="",AZ168="",BW168="",CT168=""),"",IF(AND('Master Sheet'!$D$19="YES",'Marks Entry'!$BA$1=1),SUM(Q168,AE168,AZ168,BW168,DT168),SUM(Q168,AE168,AZ168,BW168,CT168)))</f>
        <v/>
      </c>
      <c r="HA168" s="208" t="str">
        <f>IF(GZ168="","",IF(AND('Master Sheet'!$D$19="YES",'Marks Entry'!$BA$1=1),GZ168/((900)-DC168)*100,GZ168/((1000)-DC168)*100))</f>
        <v/>
      </c>
      <c r="HB168" s="611" t="str">
        <f t="shared" si="532"/>
        <v/>
      </c>
      <c r="HC168" s="609" t="str">
        <f t="shared" si="533"/>
        <v/>
      </c>
      <c r="HD168" s="610" t="str">
        <f t="shared" si="534"/>
        <v/>
      </c>
      <c r="HE168" s="209" t="str">
        <f>IFERROR(IF(OR(GY168="SUPPLEMENTARY",GY168="RE-EXAM"),'Supp. Result Entry'!AS167,""),"")</f>
        <v/>
      </c>
      <c r="HF168" s="613" t="str">
        <f t="shared" si="535"/>
        <v/>
      </c>
      <c r="HG168" s="598" t="str">
        <f t="shared" si="536"/>
        <v/>
      </c>
      <c r="HH168" s="598" t="str">
        <f>IF(AND(HE168="",HF168="",HG168=""),"",IF(OR(GY168="SUPPLEMENTARY",GY168="RE-EXAM"),'Supp. Result Entry'!AS167,GY168))</f>
        <v/>
      </c>
      <c r="HI168" s="179"/>
      <c r="HY168" s="211" t="str">
        <f>IF('Supp. Result Entry'!U167="","",'Supp. Result Entry'!$U$6)</f>
        <v/>
      </c>
      <c r="HZ168" s="212" t="str">
        <f>IF('Supp. Result Entry'!X167="","",'Supp. Result Entry'!$X$6)</f>
        <v/>
      </c>
      <c r="IA168" s="212" t="str">
        <f>IF('Supp. Result Entry'!AA167="","",'Supp. Result Entry'!$AA$6)</f>
        <v/>
      </c>
      <c r="IB168" s="212" t="str">
        <f>IF('Supp. Result Entry'!AD167="","",'Supp. Result Entry'!$AD$6)</f>
        <v/>
      </c>
      <c r="IC168" s="212" t="str">
        <f>IF('Supp. Result Entry'!AG167="","",'Supp. Result Entry'!$AG$6)</f>
        <v/>
      </c>
      <c r="ID168" s="212" t="str">
        <f>IF('Supp. Result Entry'!AJ167="","",'Supp. Result Entry'!$AJ$6)</f>
        <v/>
      </c>
      <c r="IE168" s="212" t="str">
        <f>IF('Supp. Result Entry'!V167="","",'Supp. Result Entry'!V167)</f>
        <v/>
      </c>
      <c r="IF168" s="212" t="str">
        <f>IF('Supp. Result Entry'!Y167="","",'Supp. Result Entry'!Y167)</f>
        <v/>
      </c>
      <c r="IG168" s="212" t="str">
        <f>IF('Supp. Result Entry'!AB167="","",'Supp. Result Entry'!AB167)</f>
        <v/>
      </c>
      <c r="IH168" s="212" t="str">
        <f>IF('Supp. Result Entry'!AE167="","",'Supp. Result Entry'!AE167)</f>
        <v/>
      </c>
      <c r="II168" s="212" t="str">
        <f>IF('Supp. Result Entry'!AH167="","",'Supp. Result Entry'!AH167)</f>
        <v/>
      </c>
      <c r="IJ168" s="212" t="str">
        <f>IF('Supp. Result Entry'!AK167="","",'Supp. Result Entry'!AK167)</f>
        <v/>
      </c>
      <c r="IK168" s="212" t="str">
        <f>IF('Supp. Result Entry'!W167="","",'Supp. Result Entry'!W167)</f>
        <v/>
      </c>
      <c r="IL168" s="212" t="str">
        <f>IF('Supp. Result Entry'!Z167="","",'Supp. Result Entry'!Z167)</f>
        <v/>
      </c>
      <c r="IM168" s="212" t="str">
        <f>IF('Supp. Result Entry'!AC167="","",'Supp. Result Entry'!AC167)</f>
        <v/>
      </c>
      <c r="IN168" s="212" t="str">
        <f>IF('Supp. Result Entry'!AF167="","",'Supp. Result Entry'!AF167)</f>
        <v/>
      </c>
      <c r="IO168" s="212" t="str">
        <f>IF('Supp. Result Entry'!AI167="","",'Supp. Result Entry'!AI167)</f>
        <v/>
      </c>
      <c r="IP168" s="212" t="str">
        <f>IF('Supp. Result Entry'!AL167="","",'Supp. Result Entry'!AL167)</f>
        <v/>
      </c>
      <c r="IQ168" s="212">
        <f>COUNTIF('Supp. Result Entry'!K167:Q167,"S")</f>
        <v>0</v>
      </c>
      <c r="IR168" s="212">
        <f t="shared" si="537"/>
        <v>0</v>
      </c>
      <c r="IS168" s="212">
        <f t="shared" si="538"/>
        <v>0</v>
      </c>
      <c r="IT168" s="212" t="str">
        <f t="shared" si="406"/>
        <v/>
      </c>
      <c r="IU168" s="212" t="str">
        <f t="shared" si="407"/>
        <v/>
      </c>
      <c r="IV168" s="212" t="str">
        <f t="shared" si="408"/>
        <v/>
      </c>
      <c r="IW168" s="212" t="str">
        <f t="shared" si="409"/>
        <v/>
      </c>
      <c r="IX168" s="212" t="str">
        <f t="shared" si="410"/>
        <v/>
      </c>
      <c r="IY168" s="212" t="str">
        <f t="shared" si="539"/>
        <v/>
      </c>
      <c r="IZ168" s="212" t="str">
        <f t="shared" si="540"/>
        <v/>
      </c>
      <c r="JA168" s="212" t="str">
        <f t="shared" si="411"/>
        <v/>
      </c>
      <c r="JB168" s="210" t="str">
        <f t="shared" si="541"/>
        <v/>
      </c>
    </row>
    <row r="169" spans="1:262" s="210" customFormat="1" ht="21" customHeight="1">
      <c r="A169" s="183">
        <v>162</v>
      </c>
      <c r="B169" s="184" t="str">
        <f>IF('Marks Entry'!B169="","",'Marks Entry'!B169)</f>
        <v/>
      </c>
      <c r="C169" s="185" t="str">
        <f>IF('Marks Entry'!D169="","",'Marks Entry'!D169)</f>
        <v/>
      </c>
      <c r="D169" s="186" t="str">
        <f>IF('Marks Entry'!E169="","",'Marks Entry'!E169)</f>
        <v/>
      </c>
      <c r="E169" s="187" t="str">
        <f>IF('Marks Entry'!F169="","",'Marks Entry'!F169)</f>
        <v/>
      </c>
      <c r="F169" s="187" t="str">
        <f>IF('Marks Entry'!G169="","",'Marks Entry'!G169)</f>
        <v/>
      </c>
      <c r="G169" s="187" t="str">
        <f>IF('Marks Entry'!H169="","",'Marks Entry'!H169)</f>
        <v/>
      </c>
      <c r="H169" s="188" t="str">
        <f>IF('Marks Entry'!I169="","",'Marks Entry'!I169)</f>
        <v/>
      </c>
      <c r="I169" s="189" t="str">
        <f>IF('Marks Entry'!J169="","",'Marks Entry'!J169)</f>
        <v/>
      </c>
      <c r="J169" s="545" t="str">
        <f>IF('Marks Entry'!K169="","",'Marks Entry'!K169)</f>
        <v/>
      </c>
      <c r="K169" s="545" t="str">
        <f>IF('Marks Entry'!L169="","",'Marks Entry'!L169)</f>
        <v/>
      </c>
      <c r="L169" s="545" t="str">
        <f>IF('Marks Entry'!M169="","",'Marks Entry'!M169)</f>
        <v/>
      </c>
      <c r="M169" s="546" t="str">
        <f t="shared" si="412"/>
        <v/>
      </c>
      <c r="N169" s="545" t="str">
        <f>IF('Marks Entry'!N169="","",'Marks Entry'!N169)</f>
        <v/>
      </c>
      <c r="O169" s="546" t="str">
        <f t="shared" si="413"/>
        <v/>
      </c>
      <c r="P169" s="545" t="str">
        <f>IF('Marks Entry'!O169="","",'Marks Entry'!O169)</f>
        <v/>
      </c>
      <c r="Q169" s="547" t="str">
        <f t="shared" si="414"/>
        <v/>
      </c>
      <c r="R169" s="152">
        <f t="shared" si="415"/>
        <v>0</v>
      </c>
      <c r="S169" s="152">
        <f t="shared" si="416"/>
        <v>0</v>
      </c>
      <c r="T169" s="153" t="str">
        <f t="shared" si="417"/>
        <v/>
      </c>
      <c r="U169" s="152" t="str">
        <f t="shared" si="418"/>
        <v/>
      </c>
      <c r="V169" s="152" t="str">
        <f t="shared" si="419"/>
        <v/>
      </c>
      <c r="W169" s="152" t="str">
        <f t="shared" si="420"/>
        <v/>
      </c>
      <c r="X169" s="545" t="str">
        <f>IF('Marks Entry'!P169="","",'Marks Entry'!P169)</f>
        <v/>
      </c>
      <c r="Y169" s="545" t="str">
        <f>IF('Marks Entry'!Q169="","",'Marks Entry'!Q169)</f>
        <v/>
      </c>
      <c r="Z169" s="545" t="str">
        <f>IF('Marks Entry'!R169="","",'Marks Entry'!R169)</f>
        <v/>
      </c>
      <c r="AA169" s="546" t="str">
        <f t="shared" si="421"/>
        <v/>
      </c>
      <c r="AB169" s="545" t="str">
        <f>IF('Marks Entry'!S169="","",'Marks Entry'!S169)</f>
        <v/>
      </c>
      <c r="AC169" s="546" t="str">
        <f t="shared" si="422"/>
        <v/>
      </c>
      <c r="AD169" s="545" t="str">
        <f>IF('Marks Entry'!T169="","",'Marks Entry'!T169)</f>
        <v/>
      </c>
      <c r="AE169" s="547" t="str">
        <f t="shared" si="423"/>
        <v/>
      </c>
      <c r="AF169" s="152">
        <f t="shared" si="424"/>
        <v>0</v>
      </c>
      <c r="AG169" s="152">
        <f t="shared" si="425"/>
        <v>0</v>
      </c>
      <c r="AH169" s="153" t="str">
        <f t="shared" si="426"/>
        <v/>
      </c>
      <c r="AI169" s="152" t="str">
        <f t="shared" si="427"/>
        <v/>
      </c>
      <c r="AJ169" s="152" t="str">
        <f t="shared" si="428"/>
        <v/>
      </c>
      <c r="AK169" s="152" t="str">
        <f t="shared" si="429"/>
        <v/>
      </c>
      <c r="AL169" s="573" t="str">
        <f>IF('Marks Entry'!U169="","",'Marks Entry'!U169)</f>
        <v/>
      </c>
      <c r="AM169" s="573" t="str">
        <f>IF('Marks Entry'!V169="","",'Marks Entry'!V169)</f>
        <v/>
      </c>
      <c r="AN169" s="573" t="str">
        <f>IF('Marks Entry'!W169="","",'Marks Entry'!W169)</f>
        <v/>
      </c>
      <c r="AO169" s="573" t="str">
        <f>IF('Marks Entry'!X169="","",'Marks Entry'!X169)</f>
        <v/>
      </c>
      <c r="AP169" s="572" t="str">
        <f t="shared" si="430"/>
        <v/>
      </c>
      <c r="AQ169" s="573" t="str">
        <f>IF('Marks Entry'!Y169="","",'Marks Entry'!Y169)</f>
        <v/>
      </c>
      <c r="AR169" s="573" t="str">
        <f>IF('Marks Entry'!Z169="","",'Marks Entry'!Z169)</f>
        <v/>
      </c>
      <c r="AS169" s="572" t="str">
        <f t="shared" si="431"/>
        <v/>
      </c>
      <c r="AT169" s="572" t="str">
        <f t="shared" si="432"/>
        <v/>
      </c>
      <c r="AU169" s="573" t="str">
        <f>IF('Marks Entry'!AA169="","",'Marks Entry'!AA169)</f>
        <v/>
      </c>
      <c r="AV169" s="573" t="str">
        <f>IF('Marks Entry'!AB169="","",'Marks Entry'!AB169)</f>
        <v/>
      </c>
      <c r="AW169" s="572" t="str">
        <f t="shared" si="433"/>
        <v/>
      </c>
      <c r="AX169" s="156" t="str">
        <f t="shared" si="434"/>
        <v/>
      </c>
      <c r="AY169" s="156" t="str">
        <f t="shared" si="435"/>
        <v/>
      </c>
      <c r="AZ169" s="191" t="str">
        <f t="shared" si="436"/>
        <v/>
      </c>
      <c r="BA169" s="152">
        <f t="shared" si="437"/>
        <v>0</v>
      </c>
      <c r="BB169" s="153">
        <f t="shared" si="438"/>
        <v>0</v>
      </c>
      <c r="BC169" s="153" t="str">
        <f t="shared" si="439"/>
        <v/>
      </c>
      <c r="BD169" s="153" t="str">
        <f t="shared" si="440"/>
        <v/>
      </c>
      <c r="BE169" s="153" t="str">
        <f t="shared" si="441"/>
        <v/>
      </c>
      <c r="BF169" s="152" t="str">
        <f t="shared" si="442"/>
        <v/>
      </c>
      <c r="BG169" s="153" t="str">
        <f t="shared" si="443"/>
        <v/>
      </c>
      <c r="BH169" s="152" t="str">
        <f t="shared" si="444"/>
        <v/>
      </c>
      <c r="BI169" s="580" t="str">
        <f>IF('Marks Entry'!AC169="","",'Marks Entry'!AC169)</f>
        <v/>
      </c>
      <c r="BJ169" s="580" t="str">
        <f>IF('Marks Entry'!AD169="","",'Marks Entry'!AD169)</f>
        <v/>
      </c>
      <c r="BK169" s="580" t="str">
        <f>IF('Marks Entry'!AE169="","",'Marks Entry'!AE169)</f>
        <v/>
      </c>
      <c r="BL169" s="580" t="str">
        <f>IF('Marks Entry'!AF169="","",'Marks Entry'!AF169)</f>
        <v/>
      </c>
      <c r="BM169" s="581" t="str">
        <f t="shared" si="445"/>
        <v/>
      </c>
      <c r="BN169" s="580" t="str">
        <f>IF('Marks Entry'!AG169="","",'Marks Entry'!AG169)</f>
        <v/>
      </c>
      <c r="BO169" s="580" t="str">
        <f>IF('Marks Entry'!AH169="","",'Marks Entry'!AH169)</f>
        <v/>
      </c>
      <c r="BP169" s="581" t="str">
        <f t="shared" si="446"/>
        <v/>
      </c>
      <c r="BQ169" s="581" t="str">
        <f t="shared" si="447"/>
        <v/>
      </c>
      <c r="BR169" s="580" t="str">
        <f>IF('Marks Entry'!AI169="","",'Marks Entry'!AI169)</f>
        <v/>
      </c>
      <c r="BS169" s="580" t="str">
        <f>IF('Marks Entry'!AJ169="","",'Marks Entry'!AJ169)</f>
        <v/>
      </c>
      <c r="BT169" s="581" t="str">
        <f t="shared" si="448"/>
        <v/>
      </c>
      <c r="BU169" s="156" t="str">
        <f t="shared" si="449"/>
        <v/>
      </c>
      <c r="BV169" s="156" t="str">
        <f t="shared" si="450"/>
        <v/>
      </c>
      <c r="BW169" s="191" t="str">
        <f t="shared" si="451"/>
        <v/>
      </c>
      <c r="BX169" s="152">
        <f t="shared" si="452"/>
        <v>0</v>
      </c>
      <c r="BY169" s="153">
        <f t="shared" si="453"/>
        <v>0</v>
      </c>
      <c r="BZ169" s="153" t="str">
        <f t="shared" si="454"/>
        <v/>
      </c>
      <c r="CA169" s="153" t="str">
        <f t="shared" si="455"/>
        <v/>
      </c>
      <c r="CB169" s="153" t="str">
        <f t="shared" si="456"/>
        <v/>
      </c>
      <c r="CC169" s="152" t="str">
        <f t="shared" si="457"/>
        <v/>
      </c>
      <c r="CD169" s="153" t="str">
        <f t="shared" si="458"/>
        <v/>
      </c>
      <c r="CE169" s="152" t="str">
        <f t="shared" si="459"/>
        <v/>
      </c>
      <c r="CF169" s="580" t="str">
        <f>IF('Marks Entry'!AK169="","",'Marks Entry'!AK169)</f>
        <v/>
      </c>
      <c r="CG169" s="580" t="str">
        <f>IF('Marks Entry'!AL169="","",'Marks Entry'!AL169)</f>
        <v/>
      </c>
      <c r="CH169" s="580" t="str">
        <f>IF('Marks Entry'!AM169="","",'Marks Entry'!AM169)</f>
        <v/>
      </c>
      <c r="CI169" s="580" t="str">
        <f>IF('Marks Entry'!AN169="","",'Marks Entry'!AN169)</f>
        <v/>
      </c>
      <c r="CJ169" s="581" t="str">
        <f t="shared" si="460"/>
        <v/>
      </c>
      <c r="CK169" s="580" t="str">
        <f>IF('Marks Entry'!AO169="","",'Marks Entry'!AO169)</f>
        <v/>
      </c>
      <c r="CL169" s="580" t="str">
        <f>IF('Marks Entry'!AP169="","",'Marks Entry'!AP169)</f>
        <v/>
      </c>
      <c r="CM169" s="581" t="str">
        <f t="shared" si="461"/>
        <v/>
      </c>
      <c r="CN169" s="581" t="str">
        <f t="shared" si="462"/>
        <v/>
      </c>
      <c r="CO169" s="580" t="str">
        <f>IF('Marks Entry'!AQ169="","",'Marks Entry'!AQ169)</f>
        <v/>
      </c>
      <c r="CP169" s="580" t="str">
        <f>IF('Marks Entry'!AR169="","",'Marks Entry'!AR169)</f>
        <v/>
      </c>
      <c r="CQ169" s="581" t="str">
        <f t="shared" si="463"/>
        <v/>
      </c>
      <c r="CR169" s="156" t="str">
        <f t="shared" si="464"/>
        <v/>
      </c>
      <c r="CS169" s="156" t="str">
        <f t="shared" si="465"/>
        <v/>
      </c>
      <c r="CT169" s="191" t="str">
        <f t="shared" si="466"/>
        <v/>
      </c>
      <c r="CU169" s="152">
        <f t="shared" si="467"/>
        <v>0</v>
      </c>
      <c r="CV169" s="153">
        <f t="shared" si="468"/>
        <v>0</v>
      </c>
      <c r="CW169" s="153" t="str">
        <f t="shared" si="469"/>
        <v/>
      </c>
      <c r="CX169" s="153" t="str">
        <f t="shared" si="470"/>
        <v/>
      </c>
      <c r="CY169" s="153" t="str">
        <f t="shared" si="471"/>
        <v/>
      </c>
      <c r="CZ169" s="152" t="str">
        <f t="shared" si="472"/>
        <v/>
      </c>
      <c r="DA169" s="153" t="str">
        <f t="shared" si="473"/>
        <v/>
      </c>
      <c r="DB169" s="152" t="str">
        <f t="shared" si="474"/>
        <v/>
      </c>
      <c r="DC169" s="153">
        <f t="shared" si="475"/>
        <v>0</v>
      </c>
      <c r="DD169" s="851" t="str">
        <f>IF('Marks Entry'!AS169="","",IF(OR('Master Sheet'!$D$19="YES",'Marks Entry'!$BA$1=1),'Marks Entry'!AS169,""))</f>
        <v/>
      </c>
      <c r="DE169" s="851" t="str">
        <f>IF('Marks Entry'!AT169="","",IF(OR('Master Sheet'!$D$19="YES",'Marks Entry'!$BA$1=1),'Marks Entry'!AT169,""))</f>
        <v/>
      </c>
      <c r="DF169" s="851" t="str">
        <f>IF('Marks Entry'!AU169="","",IF(OR('Master Sheet'!$D$19="YES",'Marks Entry'!$BA$1=1),'Marks Entry'!AU169,""))</f>
        <v/>
      </c>
      <c r="DG169" s="851" t="str">
        <f>IF('Marks Entry'!AV169="","",IF(OR('Master Sheet'!$D$19="YES",'Marks Entry'!$BA$1=1),'Marks Entry'!AV169,""))</f>
        <v/>
      </c>
      <c r="DH169" s="852" t="str">
        <f t="shared" si="476"/>
        <v/>
      </c>
      <c r="DI169" s="851" t="str">
        <f>IF('Marks Entry'!AW169="","",IF(OR('Master Sheet'!$D$19="YES",'Marks Entry'!$BA$1=1),'Marks Entry'!AW169,""))</f>
        <v/>
      </c>
      <c r="DJ169" s="851" t="str">
        <f>IF('Marks Entry'!AX169="","",IF(OR('Master Sheet'!$D$19="YES",'Marks Entry'!$BA$1=1),'Marks Entry'!AX169,""))</f>
        <v/>
      </c>
      <c r="DK169" s="852" t="str">
        <f t="shared" si="477"/>
        <v/>
      </c>
      <c r="DL169" s="852" t="str">
        <f t="shared" si="478"/>
        <v/>
      </c>
      <c r="DM169" s="851" t="str">
        <f>IF('Marks Entry'!AY169="","",IF(OR('Master Sheet'!$D$19="YES",'Marks Entry'!$BA$1=1),'Marks Entry'!AY169,""))</f>
        <v/>
      </c>
      <c r="DN169" s="851" t="str">
        <f>IF('Marks Entry'!AZ169="","",IF(OR('Master Sheet'!$D$19="YES",'Marks Entry'!$BA$1=1),'Marks Entry'!AZ169,""))</f>
        <v/>
      </c>
      <c r="DO169" s="851" t="str">
        <f>IF('Marks Entry'!BA169="","",IF(OR('Master Sheet'!$D$19="YES",'Marks Entry'!$BA$1=1),'Marks Entry'!BA169,""))</f>
        <v/>
      </c>
      <c r="DP169" s="852" t="str">
        <f t="shared" si="479"/>
        <v/>
      </c>
      <c r="DQ169" s="156" t="str">
        <f t="shared" si="480"/>
        <v/>
      </c>
      <c r="DR169" s="156" t="str">
        <f t="shared" si="481"/>
        <v/>
      </c>
      <c r="DS169" s="156" t="str">
        <f t="shared" si="482"/>
        <v/>
      </c>
      <c r="DT169" s="191" t="str">
        <f t="shared" si="483"/>
        <v/>
      </c>
      <c r="DU169" s="152">
        <f t="shared" si="484"/>
        <v>0</v>
      </c>
      <c r="DV169" s="153">
        <f t="shared" si="485"/>
        <v>0</v>
      </c>
      <c r="DW169" s="153" t="str">
        <f t="shared" si="486"/>
        <v/>
      </c>
      <c r="DX169" s="153" t="str">
        <f>IF(OR($B169="NSO",$B169=0,DS169=""),"",IF(AND(DJ169="",DO169=""),"",IF('Master Sheet'!$D$19="YES",$DO$6-COUNTIF(DO169,"ML")*DO$6,DS$6-(COUNTIF(DJ169,"ML")*DJ$6)-(COUNTIF(DO169,"ML")*DO$6))))</f>
        <v/>
      </c>
      <c r="DY169" s="153" t="str">
        <f>IF(OR($B169="NSO",$B169=0),"",IF(AND(DH169="",DI169="",DM169=""),"",IF(AND('Master Sheet'!$D$19="YES",'Marks Entry'!$BA$1=1),100,IF(AND(DJ169="",DO169=""),SUM(($DQ$7+$DR$7)-(DU169+DV169)),SUM(($DQ$6+$DR$6)-(DU169+DV169))))))</f>
        <v/>
      </c>
      <c r="DZ169" s="152" t="str">
        <f t="shared" si="487"/>
        <v/>
      </c>
      <c r="EA169" s="153" t="str">
        <f t="shared" si="488"/>
        <v/>
      </c>
      <c r="EB169" s="152" t="str">
        <f t="shared" si="489"/>
        <v/>
      </c>
      <c r="EC169" s="584" t="str">
        <f>IF('Marks Entry'!BB169="","",'Marks Entry'!BB169)</f>
        <v/>
      </c>
      <c r="ED169" s="584" t="str">
        <f>IF('Marks Entry'!BC169="","",'Marks Entry'!BC169)</f>
        <v/>
      </c>
      <c r="EE169" s="584" t="str">
        <f>IF('Marks Entry'!BD169="","",'Marks Entry'!BD169)</f>
        <v/>
      </c>
      <c r="EF169" s="590" t="str">
        <f t="shared" si="490"/>
        <v/>
      </c>
      <c r="EG169" s="595">
        <f t="shared" si="491"/>
        <v>0</v>
      </c>
      <c r="EH169" s="595">
        <f t="shared" si="492"/>
        <v>0</v>
      </c>
      <c r="EI169" s="192" t="str">
        <f t="shared" si="493"/>
        <v/>
      </c>
      <c r="EJ169" s="595" t="str">
        <f t="shared" si="494"/>
        <v/>
      </c>
      <c r="EK169" s="595" t="str">
        <f t="shared" si="495"/>
        <v/>
      </c>
      <c r="EL169" s="193" t="str">
        <f t="shared" si="496"/>
        <v/>
      </c>
      <c r="EM169" s="193" t="str">
        <f t="shared" si="497"/>
        <v/>
      </c>
      <c r="EN169" s="193" t="str">
        <f t="shared" si="498"/>
        <v/>
      </c>
      <c r="EO169" s="193" t="str">
        <f t="shared" si="499"/>
        <v/>
      </c>
      <c r="EP169" s="193" t="str">
        <f t="shared" si="500"/>
        <v/>
      </c>
      <c r="EQ169" s="193" t="str">
        <f t="shared" si="501"/>
        <v/>
      </c>
      <c r="ER169" s="194">
        <f t="shared" si="502"/>
        <v>0</v>
      </c>
      <c r="ES169" s="194">
        <f t="shared" si="503"/>
        <v>0</v>
      </c>
      <c r="ET169" s="194">
        <f t="shared" si="504"/>
        <v>0</v>
      </c>
      <c r="EU169" s="194">
        <f t="shared" si="505"/>
        <v>0</v>
      </c>
      <c r="EV169" s="194">
        <f t="shared" si="506"/>
        <v>0</v>
      </c>
      <c r="EW169" s="194" t="str">
        <f t="shared" si="507"/>
        <v/>
      </c>
      <c r="EX169" s="195" t="str">
        <f t="shared" si="508"/>
        <v/>
      </c>
      <c r="EY169" s="196" t="str">
        <f>IF('Marks Entry'!BE169="","",'Marks Entry'!BE169)</f>
        <v/>
      </c>
      <c r="EZ169" s="196" t="str">
        <f>IF('Marks Entry'!BF169="","",'Marks Entry'!BF169)</f>
        <v/>
      </c>
      <c r="FA169" s="196" t="str">
        <f>IF('Marks Entry'!BG169="","",'Marks Entry'!BG169)</f>
        <v/>
      </c>
      <c r="FB169" s="596" t="str">
        <f t="shared" si="509"/>
        <v/>
      </c>
      <c r="FC169" s="196" t="str">
        <f>IF('Marks Entry'!BH169="","",'Marks Entry'!BH169)</f>
        <v/>
      </c>
      <c r="FD169" s="196" t="str">
        <f>IF('Marks Entry'!BI169="","",'Marks Entry'!BI169)</f>
        <v/>
      </c>
      <c r="FE169" s="197" t="str">
        <f t="shared" si="510"/>
        <v/>
      </c>
      <c r="FF169" s="198" t="str">
        <f t="shared" si="511"/>
        <v/>
      </c>
      <c r="FG169" s="199" t="str">
        <f>IF(AND(E169=""),"",IF('Student DATA Entry'!L165="","",'Student DATA Entry'!L165))</f>
        <v/>
      </c>
      <c r="FH169" s="200" t="str">
        <f>IF(AND(E169=""),"",IF('Student DATA Entry'!M165="","",'Student DATA Entry'!M165))</f>
        <v/>
      </c>
      <c r="FI169" s="201" t="str">
        <f t="shared" si="512"/>
        <v/>
      </c>
      <c r="FJ169" s="188" t="str">
        <f t="shared" si="513"/>
        <v/>
      </c>
      <c r="FK169" s="188" t="str">
        <f t="shared" si="514"/>
        <v/>
      </c>
      <c r="FL169" s="202" t="str">
        <f t="shared" si="542"/>
        <v/>
      </c>
      <c r="FM169" s="188" t="str">
        <f t="shared" si="515"/>
        <v/>
      </c>
      <c r="FN169" s="203" t="str">
        <f t="shared" si="516"/>
        <v/>
      </c>
      <c r="FO169" s="202" t="str">
        <f t="shared" si="543"/>
        <v/>
      </c>
      <c r="FP169" s="204" t="str">
        <f t="shared" si="517"/>
        <v/>
      </c>
      <c r="FQ169" s="188" t="str">
        <f t="shared" si="544"/>
        <v/>
      </c>
      <c r="FR169" s="188" t="str">
        <f t="shared" si="545"/>
        <v/>
      </c>
      <c r="FS169" s="188" t="str">
        <f t="shared" si="546"/>
        <v/>
      </c>
      <c r="FT169" s="188" t="str">
        <f t="shared" si="547"/>
        <v/>
      </c>
      <c r="FU169" s="188" t="str">
        <f t="shared" si="518"/>
        <v/>
      </c>
      <c r="FV169" s="205" t="str">
        <f t="shared" si="548"/>
        <v/>
      </c>
      <c r="FW169" s="204" t="str">
        <f t="shared" si="519"/>
        <v/>
      </c>
      <c r="FX169" s="188" t="str">
        <f t="shared" si="549"/>
        <v/>
      </c>
      <c r="FY169" s="188" t="str">
        <f t="shared" si="550"/>
        <v/>
      </c>
      <c r="FZ169" s="188" t="str">
        <f t="shared" si="551"/>
        <v/>
      </c>
      <c r="GA169" s="188" t="str">
        <f t="shared" si="552"/>
        <v/>
      </c>
      <c r="GB169" s="188" t="str">
        <f t="shared" si="520"/>
        <v/>
      </c>
      <c r="GC169" s="205" t="str">
        <f t="shared" si="553"/>
        <v/>
      </c>
      <c r="GD169" s="204" t="str">
        <f t="shared" si="521"/>
        <v/>
      </c>
      <c r="GE169" s="188" t="str">
        <f t="shared" si="554"/>
        <v/>
      </c>
      <c r="GF169" s="188" t="str">
        <f t="shared" si="555"/>
        <v/>
      </c>
      <c r="GG169" s="188" t="str">
        <f t="shared" si="556"/>
        <v/>
      </c>
      <c r="GH169" s="188" t="str">
        <f t="shared" si="557"/>
        <v/>
      </c>
      <c r="GI169" s="188" t="str">
        <f t="shared" si="522"/>
        <v/>
      </c>
      <c r="GJ169" s="205" t="str">
        <f t="shared" si="558"/>
        <v/>
      </c>
      <c r="GK169" s="204" t="str">
        <f t="shared" si="523"/>
        <v/>
      </c>
      <c r="GL169" s="188" t="str">
        <f t="shared" si="559"/>
        <v/>
      </c>
      <c r="GM169" s="188" t="str">
        <f t="shared" si="560"/>
        <v/>
      </c>
      <c r="GN169" s="188" t="str">
        <f t="shared" si="561"/>
        <v/>
      </c>
      <c r="GO169" s="188" t="str">
        <f t="shared" si="562"/>
        <v/>
      </c>
      <c r="GP169" s="188" t="str">
        <f t="shared" si="524"/>
        <v/>
      </c>
      <c r="GQ169" s="205" t="str">
        <f t="shared" si="563"/>
        <v/>
      </c>
      <c r="GR169" s="188" t="str">
        <f t="shared" si="525"/>
        <v/>
      </c>
      <c r="GS169" s="188" t="str">
        <f t="shared" si="526"/>
        <v/>
      </c>
      <c r="GT169" s="206" t="str">
        <f t="shared" si="527"/>
        <v xml:space="preserve">    </v>
      </c>
      <c r="GU169" s="206" t="str">
        <f t="shared" si="528"/>
        <v xml:space="preserve">    </v>
      </c>
      <c r="GV169" s="206" t="str">
        <f t="shared" si="529"/>
        <v xml:space="preserve">    </v>
      </c>
      <c r="GW169" s="206" t="str">
        <f t="shared" si="530"/>
        <v xml:space="preserve">       </v>
      </c>
      <c r="GX169" s="598" t="str">
        <f t="shared" si="531"/>
        <v xml:space="preserve">     </v>
      </c>
      <c r="GY169" s="207" t="str">
        <f t="shared" si="564"/>
        <v/>
      </c>
      <c r="GZ169" s="606" t="str">
        <f>IF(AND(Q169="",AE169="",AZ169="",BW169="",CT169=""),"",IF(AND('Master Sheet'!$D$19="YES",'Marks Entry'!$BA$1=1),SUM(Q169,AE169,AZ169,BW169,DT169),SUM(Q169,AE169,AZ169,BW169,CT169)))</f>
        <v/>
      </c>
      <c r="HA169" s="208" t="str">
        <f>IF(GZ169="","",IF(AND('Master Sheet'!$D$19="YES",'Marks Entry'!$BA$1=1),GZ169/((900)-DC169)*100,GZ169/((1000)-DC169)*100))</f>
        <v/>
      </c>
      <c r="HB169" s="611" t="str">
        <f t="shared" si="532"/>
        <v/>
      </c>
      <c r="HC169" s="609" t="str">
        <f t="shared" si="533"/>
        <v/>
      </c>
      <c r="HD169" s="610" t="str">
        <f t="shared" si="534"/>
        <v/>
      </c>
      <c r="HE169" s="209" t="str">
        <f>IFERROR(IF(OR(GY169="SUPPLEMENTARY",GY169="RE-EXAM"),'Supp. Result Entry'!AS168,""),"")</f>
        <v/>
      </c>
      <c r="HF169" s="613" t="str">
        <f t="shared" si="535"/>
        <v/>
      </c>
      <c r="HG169" s="598" t="str">
        <f t="shared" si="536"/>
        <v/>
      </c>
      <c r="HH169" s="598" t="str">
        <f>IF(AND(HE169="",HF169="",HG169=""),"",IF(OR(GY169="SUPPLEMENTARY",GY169="RE-EXAM"),'Supp. Result Entry'!AS168,GY169))</f>
        <v/>
      </c>
      <c r="HI169" s="179"/>
      <c r="HY169" s="211" t="str">
        <f>IF('Supp. Result Entry'!U168="","",'Supp. Result Entry'!$U$6)</f>
        <v/>
      </c>
      <c r="HZ169" s="212" t="str">
        <f>IF('Supp. Result Entry'!X168="","",'Supp. Result Entry'!$X$6)</f>
        <v/>
      </c>
      <c r="IA169" s="212" t="str">
        <f>IF('Supp. Result Entry'!AA168="","",'Supp. Result Entry'!$AA$6)</f>
        <v/>
      </c>
      <c r="IB169" s="212" t="str">
        <f>IF('Supp. Result Entry'!AD168="","",'Supp. Result Entry'!$AD$6)</f>
        <v/>
      </c>
      <c r="IC169" s="212" t="str">
        <f>IF('Supp. Result Entry'!AG168="","",'Supp. Result Entry'!$AG$6)</f>
        <v/>
      </c>
      <c r="ID169" s="212" t="str">
        <f>IF('Supp. Result Entry'!AJ168="","",'Supp. Result Entry'!$AJ$6)</f>
        <v/>
      </c>
      <c r="IE169" s="212" t="str">
        <f>IF('Supp. Result Entry'!V168="","",'Supp. Result Entry'!V168)</f>
        <v/>
      </c>
      <c r="IF169" s="212" t="str">
        <f>IF('Supp. Result Entry'!Y168="","",'Supp. Result Entry'!Y168)</f>
        <v/>
      </c>
      <c r="IG169" s="212" t="str">
        <f>IF('Supp. Result Entry'!AB168="","",'Supp. Result Entry'!AB168)</f>
        <v/>
      </c>
      <c r="IH169" s="212" t="str">
        <f>IF('Supp. Result Entry'!AE168="","",'Supp. Result Entry'!AE168)</f>
        <v/>
      </c>
      <c r="II169" s="212" t="str">
        <f>IF('Supp. Result Entry'!AH168="","",'Supp. Result Entry'!AH168)</f>
        <v/>
      </c>
      <c r="IJ169" s="212" t="str">
        <f>IF('Supp. Result Entry'!AK168="","",'Supp. Result Entry'!AK168)</f>
        <v/>
      </c>
      <c r="IK169" s="212" t="str">
        <f>IF('Supp. Result Entry'!W168="","",'Supp. Result Entry'!W168)</f>
        <v/>
      </c>
      <c r="IL169" s="212" t="str">
        <f>IF('Supp. Result Entry'!Z168="","",'Supp. Result Entry'!Z168)</f>
        <v/>
      </c>
      <c r="IM169" s="212" t="str">
        <f>IF('Supp. Result Entry'!AC168="","",'Supp. Result Entry'!AC168)</f>
        <v/>
      </c>
      <c r="IN169" s="212" t="str">
        <f>IF('Supp. Result Entry'!AF168="","",'Supp. Result Entry'!AF168)</f>
        <v/>
      </c>
      <c r="IO169" s="212" t="str">
        <f>IF('Supp. Result Entry'!AI168="","",'Supp. Result Entry'!AI168)</f>
        <v/>
      </c>
      <c r="IP169" s="212" t="str">
        <f>IF('Supp. Result Entry'!AL168="","",'Supp. Result Entry'!AL168)</f>
        <v/>
      </c>
      <c r="IQ169" s="212">
        <f>COUNTIF('Supp. Result Entry'!K168:Q168,"S")</f>
        <v>0</v>
      </c>
      <c r="IR169" s="212">
        <f t="shared" si="537"/>
        <v>0</v>
      </c>
      <c r="IS169" s="212">
        <f t="shared" si="538"/>
        <v>0</v>
      </c>
      <c r="IT169" s="212" t="str">
        <f t="shared" si="406"/>
        <v/>
      </c>
      <c r="IU169" s="212" t="str">
        <f t="shared" si="407"/>
        <v/>
      </c>
      <c r="IV169" s="212" t="str">
        <f t="shared" si="408"/>
        <v/>
      </c>
      <c r="IW169" s="212" t="str">
        <f t="shared" si="409"/>
        <v/>
      </c>
      <c r="IX169" s="212" t="str">
        <f t="shared" si="410"/>
        <v/>
      </c>
      <c r="IY169" s="212" t="str">
        <f t="shared" si="539"/>
        <v/>
      </c>
      <c r="IZ169" s="212" t="str">
        <f t="shared" si="540"/>
        <v/>
      </c>
      <c r="JA169" s="212" t="str">
        <f t="shared" si="411"/>
        <v/>
      </c>
      <c r="JB169" s="210" t="str">
        <f t="shared" si="541"/>
        <v/>
      </c>
    </row>
    <row r="170" spans="1:262" s="210" customFormat="1" ht="21" customHeight="1">
      <c r="A170" s="183">
        <v>163</v>
      </c>
      <c r="B170" s="184" t="str">
        <f>IF('Marks Entry'!B170="","",'Marks Entry'!B170)</f>
        <v/>
      </c>
      <c r="C170" s="185" t="str">
        <f>IF('Marks Entry'!D170="","",'Marks Entry'!D170)</f>
        <v/>
      </c>
      <c r="D170" s="186" t="str">
        <f>IF('Marks Entry'!E170="","",'Marks Entry'!E170)</f>
        <v/>
      </c>
      <c r="E170" s="187" t="str">
        <f>IF('Marks Entry'!F170="","",'Marks Entry'!F170)</f>
        <v/>
      </c>
      <c r="F170" s="187" t="str">
        <f>IF('Marks Entry'!G170="","",'Marks Entry'!G170)</f>
        <v/>
      </c>
      <c r="G170" s="187" t="str">
        <f>IF('Marks Entry'!H170="","",'Marks Entry'!H170)</f>
        <v/>
      </c>
      <c r="H170" s="188" t="str">
        <f>IF('Marks Entry'!I170="","",'Marks Entry'!I170)</f>
        <v/>
      </c>
      <c r="I170" s="189" t="str">
        <f>IF('Marks Entry'!J170="","",'Marks Entry'!J170)</f>
        <v/>
      </c>
      <c r="J170" s="545" t="str">
        <f>IF('Marks Entry'!K170="","",'Marks Entry'!K170)</f>
        <v/>
      </c>
      <c r="K170" s="545" t="str">
        <f>IF('Marks Entry'!L170="","",'Marks Entry'!L170)</f>
        <v/>
      </c>
      <c r="L170" s="545" t="str">
        <f>IF('Marks Entry'!M170="","",'Marks Entry'!M170)</f>
        <v/>
      </c>
      <c r="M170" s="546" t="str">
        <f t="shared" si="412"/>
        <v/>
      </c>
      <c r="N170" s="545" t="str">
        <f>IF('Marks Entry'!N170="","",'Marks Entry'!N170)</f>
        <v/>
      </c>
      <c r="O170" s="546" t="str">
        <f t="shared" si="413"/>
        <v/>
      </c>
      <c r="P170" s="545" t="str">
        <f>IF('Marks Entry'!O170="","",'Marks Entry'!O170)</f>
        <v/>
      </c>
      <c r="Q170" s="547" t="str">
        <f t="shared" si="414"/>
        <v/>
      </c>
      <c r="R170" s="152">
        <f t="shared" si="415"/>
        <v>0</v>
      </c>
      <c r="S170" s="152">
        <f t="shared" si="416"/>
        <v>0</v>
      </c>
      <c r="T170" s="153" t="str">
        <f t="shared" si="417"/>
        <v/>
      </c>
      <c r="U170" s="152" t="str">
        <f t="shared" si="418"/>
        <v/>
      </c>
      <c r="V170" s="152" t="str">
        <f t="shared" si="419"/>
        <v/>
      </c>
      <c r="W170" s="152" t="str">
        <f t="shared" si="420"/>
        <v/>
      </c>
      <c r="X170" s="545" t="str">
        <f>IF('Marks Entry'!P170="","",'Marks Entry'!P170)</f>
        <v/>
      </c>
      <c r="Y170" s="545" t="str">
        <f>IF('Marks Entry'!Q170="","",'Marks Entry'!Q170)</f>
        <v/>
      </c>
      <c r="Z170" s="545" t="str">
        <f>IF('Marks Entry'!R170="","",'Marks Entry'!R170)</f>
        <v/>
      </c>
      <c r="AA170" s="546" t="str">
        <f t="shared" si="421"/>
        <v/>
      </c>
      <c r="AB170" s="545" t="str">
        <f>IF('Marks Entry'!S170="","",'Marks Entry'!S170)</f>
        <v/>
      </c>
      <c r="AC170" s="546" t="str">
        <f t="shared" si="422"/>
        <v/>
      </c>
      <c r="AD170" s="545" t="str">
        <f>IF('Marks Entry'!T170="","",'Marks Entry'!T170)</f>
        <v/>
      </c>
      <c r="AE170" s="547" t="str">
        <f t="shared" si="423"/>
        <v/>
      </c>
      <c r="AF170" s="152">
        <f t="shared" si="424"/>
        <v>0</v>
      </c>
      <c r="AG170" s="152">
        <f t="shared" si="425"/>
        <v>0</v>
      </c>
      <c r="AH170" s="153" t="str">
        <f t="shared" si="426"/>
        <v/>
      </c>
      <c r="AI170" s="152" t="str">
        <f t="shared" si="427"/>
        <v/>
      </c>
      <c r="AJ170" s="152" t="str">
        <f t="shared" si="428"/>
        <v/>
      </c>
      <c r="AK170" s="152" t="str">
        <f t="shared" si="429"/>
        <v/>
      </c>
      <c r="AL170" s="573" t="str">
        <f>IF('Marks Entry'!U170="","",'Marks Entry'!U170)</f>
        <v/>
      </c>
      <c r="AM170" s="573" t="str">
        <f>IF('Marks Entry'!V170="","",'Marks Entry'!V170)</f>
        <v/>
      </c>
      <c r="AN170" s="573" t="str">
        <f>IF('Marks Entry'!W170="","",'Marks Entry'!W170)</f>
        <v/>
      </c>
      <c r="AO170" s="573" t="str">
        <f>IF('Marks Entry'!X170="","",'Marks Entry'!X170)</f>
        <v/>
      </c>
      <c r="AP170" s="572" t="str">
        <f t="shared" si="430"/>
        <v/>
      </c>
      <c r="AQ170" s="573" t="str">
        <f>IF('Marks Entry'!Y170="","",'Marks Entry'!Y170)</f>
        <v/>
      </c>
      <c r="AR170" s="573" t="str">
        <f>IF('Marks Entry'!Z170="","",'Marks Entry'!Z170)</f>
        <v/>
      </c>
      <c r="AS170" s="572" t="str">
        <f t="shared" si="431"/>
        <v/>
      </c>
      <c r="AT170" s="572" t="str">
        <f t="shared" si="432"/>
        <v/>
      </c>
      <c r="AU170" s="573" t="str">
        <f>IF('Marks Entry'!AA170="","",'Marks Entry'!AA170)</f>
        <v/>
      </c>
      <c r="AV170" s="573" t="str">
        <f>IF('Marks Entry'!AB170="","",'Marks Entry'!AB170)</f>
        <v/>
      </c>
      <c r="AW170" s="572" t="str">
        <f t="shared" si="433"/>
        <v/>
      </c>
      <c r="AX170" s="156" t="str">
        <f t="shared" si="434"/>
        <v/>
      </c>
      <c r="AY170" s="156" t="str">
        <f t="shared" si="435"/>
        <v/>
      </c>
      <c r="AZ170" s="191" t="str">
        <f t="shared" si="436"/>
        <v/>
      </c>
      <c r="BA170" s="152">
        <f t="shared" si="437"/>
        <v>0</v>
      </c>
      <c r="BB170" s="153">
        <f t="shared" si="438"/>
        <v>0</v>
      </c>
      <c r="BC170" s="153" t="str">
        <f t="shared" si="439"/>
        <v/>
      </c>
      <c r="BD170" s="153" t="str">
        <f t="shared" si="440"/>
        <v/>
      </c>
      <c r="BE170" s="153" t="str">
        <f t="shared" si="441"/>
        <v/>
      </c>
      <c r="BF170" s="152" t="str">
        <f t="shared" si="442"/>
        <v/>
      </c>
      <c r="BG170" s="153" t="str">
        <f t="shared" si="443"/>
        <v/>
      </c>
      <c r="BH170" s="152" t="str">
        <f t="shared" si="444"/>
        <v/>
      </c>
      <c r="BI170" s="580" t="str">
        <f>IF('Marks Entry'!AC170="","",'Marks Entry'!AC170)</f>
        <v/>
      </c>
      <c r="BJ170" s="580" t="str">
        <f>IF('Marks Entry'!AD170="","",'Marks Entry'!AD170)</f>
        <v/>
      </c>
      <c r="BK170" s="580" t="str">
        <f>IF('Marks Entry'!AE170="","",'Marks Entry'!AE170)</f>
        <v/>
      </c>
      <c r="BL170" s="580" t="str">
        <f>IF('Marks Entry'!AF170="","",'Marks Entry'!AF170)</f>
        <v/>
      </c>
      <c r="BM170" s="581" t="str">
        <f t="shared" si="445"/>
        <v/>
      </c>
      <c r="BN170" s="580" t="str">
        <f>IF('Marks Entry'!AG170="","",'Marks Entry'!AG170)</f>
        <v/>
      </c>
      <c r="BO170" s="580" t="str">
        <f>IF('Marks Entry'!AH170="","",'Marks Entry'!AH170)</f>
        <v/>
      </c>
      <c r="BP170" s="581" t="str">
        <f t="shared" si="446"/>
        <v/>
      </c>
      <c r="BQ170" s="581" t="str">
        <f t="shared" si="447"/>
        <v/>
      </c>
      <c r="BR170" s="580" t="str">
        <f>IF('Marks Entry'!AI170="","",'Marks Entry'!AI170)</f>
        <v/>
      </c>
      <c r="BS170" s="580" t="str">
        <f>IF('Marks Entry'!AJ170="","",'Marks Entry'!AJ170)</f>
        <v/>
      </c>
      <c r="BT170" s="581" t="str">
        <f t="shared" si="448"/>
        <v/>
      </c>
      <c r="BU170" s="156" t="str">
        <f t="shared" si="449"/>
        <v/>
      </c>
      <c r="BV170" s="156" t="str">
        <f t="shared" si="450"/>
        <v/>
      </c>
      <c r="BW170" s="191" t="str">
        <f t="shared" si="451"/>
        <v/>
      </c>
      <c r="BX170" s="152">
        <f t="shared" si="452"/>
        <v>0</v>
      </c>
      <c r="BY170" s="153">
        <f t="shared" si="453"/>
        <v>0</v>
      </c>
      <c r="BZ170" s="153" t="str">
        <f t="shared" si="454"/>
        <v/>
      </c>
      <c r="CA170" s="153" t="str">
        <f t="shared" si="455"/>
        <v/>
      </c>
      <c r="CB170" s="153" t="str">
        <f t="shared" si="456"/>
        <v/>
      </c>
      <c r="CC170" s="152" t="str">
        <f t="shared" si="457"/>
        <v/>
      </c>
      <c r="CD170" s="153" t="str">
        <f t="shared" si="458"/>
        <v/>
      </c>
      <c r="CE170" s="152" t="str">
        <f t="shared" si="459"/>
        <v/>
      </c>
      <c r="CF170" s="580" t="str">
        <f>IF('Marks Entry'!AK170="","",'Marks Entry'!AK170)</f>
        <v/>
      </c>
      <c r="CG170" s="580" t="str">
        <f>IF('Marks Entry'!AL170="","",'Marks Entry'!AL170)</f>
        <v/>
      </c>
      <c r="CH170" s="580" t="str">
        <f>IF('Marks Entry'!AM170="","",'Marks Entry'!AM170)</f>
        <v/>
      </c>
      <c r="CI170" s="580" t="str">
        <f>IF('Marks Entry'!AN170="","",'Marks Entry'!AN170)</f>
        <v/>
      </c>
      <c r="CJ170" s="581" t="str">
        <f t="shared" si="460"/>
        <v/>
      </c>
      <c r="CK170" s="580" t="str">
        <f>IF('Marks Entry'!AO170="","",'Marks Entry'!AO170)</f>
        <v/>
      </c>
      <c r="CL170" s="580" t="str">
        <f>IF('Marks Entry'!AP170="","",'Marks Entry'!AP170)</f>
        <v/>
      </c>
      <c r="CM170" s="581" t="str">
        <f t="shared" si="461"/>
        <v/>
      </c>
      <c r="CN170" s="581" t="str">
        <f t="shared" si="462"/>
        <v/>
      </c>
      <c r="CO170" s="580" t="str">
        <f>IF('Marks Entry'!AQ170="","",'Marks Entry'!AQ170)</f>
        <v/>
      </c>
      <c r="CP170" s="580" t="str">
        <f>IF('Marks Entry'!AR170="","",'Marks Entry'!AR170)</f>
        <v/>
      </c>
      <c r="CQ170" s="581" t="str">
        <f t="shared" si="463"/>
        <v/>
      </c>
      <c r="CR170" s="156" t="str">
        <f t="shared" si="464"/>
        <v/>
      </c>
      <c r="CS170" s="156" t="str">
        <f t="shared" si="465"/>
        <v/>
      </c>
      <c r="CT170" s="191" t="str">
        <f t="shared" si="466"/>
        <v/>
      </c>
      <c r="CU170" s="152">
        <f t="shared" si="467"/>
        <v>0</v>
      </c>
      <c r="CV170" s="153">
        <f t="shared" si="468"/>
        <v>0</v>
      </c>
      <c r="CW170" s="153" t="str">
        <f t="shared" si="469"/>
        <v/>
      </c>
      <c r="CX170" s="153" t="str">
        <f t="shared" si="470"/>
        <v/>
      </c>
      <c r="CY170" s="153" t="str">
        <f t="shared" si="471"/>
        <v/>
      </c>
      <c r="CZ170" s="152" t="str">
        <f t="shared" si="472"/>
        <v/>
      </c>
      <c r="DA170" s="153" t="str">
        <f t="shared" si="473"/>
        <v/>
      </c>
      <c r="DB170" s="152" t="str">
        <f t="shared" si="474"/>
        <v/>
      </c>
      <c r="DC170" s="153">
        <f t="shared" si="475"/>
        <v>0</v>
      </c>
      <c r="DD170" s="851" t="str">
        <f>IF('Marks Entry'!AS170="","",IF(OR('Master Sheet'!$D$19="YES",'Marks Entry'!$BA$1=1),'Marks Entry'!AS170,""))</f>
        <v/>
      </c>
      <c r="DE170" s="851" t="str">
        <f>IF('Marks Entry'!AT170="","",IF(OR('Master Sheet'!$D$19="YES",'Marks Entry'!$BA$1=1),'Marks Entry'!AT170,""))</f>
        <v/>
      </c>
      <c r="DF170" s="851" t="str">
        <f>IF('Marks Entry'!AU170="","",IF(OR('Master Sheet'!$D$19="YES",'Marks Entry'!$BA$1=1),'Marks Entry'!AU170,""))</f>
        <v/>
      </c>
      <c r="DG170" s="851" t="str">
        <f>IF('Marks Entry'!AV170="","",IF(OR('Master Sheet'!$D$19="YES",'Marks Entry'!$BA$1=1),'Marks Entry'!AV170,""))</f>
        <v/>
      </c>
      <c r="DH170" s="852" t="str">
        <f t="shared" si="476"/>
        <v/>
      </c>
      <c r="DI170" s="851" t="str">
        <f>IF('Marks Entry'!AW170="","",IF(OR('Master Sheet'!$D$19="YES",'Marks Entry'!$BA$1=1),'Marks Entry'!AW170,""))</f>
        <v/>
      </c>
      <c r="DJ170" s="851" t="str">
        <f>IF('Marks Entry'!AX170="","",IF(OR('Master Sheet'!$D$19="YES",'Marks Entry'!$BA$1=1),'Marks Entry'!AX170,""))</f>
        <v/>
      </c>
      <c r="DK170" s="852" t="str">
        <f t="shared" si="477"/>
        <v/>
      </c>
      <c r="DL170" s="852" t="str">
        <f t="shared" si="478"/>
        <v/>
      </c>
      <c r="DM170" s="851" t="str">
        <f>IF('Marks Entry'!AY170="","",IF(OR('Master Sheet'!$D$19="YES",'Marks Entry'!$BA$1=1),'Marks Entry'!AY170,""))</f>
        <v/>
      </c>
      <c r="DN170" s="851" t="str">
        <f>IF('Marks Entry'!AZ170="","",IF(OR('Master Sheet'!$D$19="YES",'Marks Entry'!$BA$1=1),'Marks Entry'!AZ170,""))</f>
        <v/>
      </c>
      <c r="DO170" s="851" t="str">
        <f>IF('Marks Entry'!BA170="","",IF(OR('Master Sheet'!$D$19="YES",'Marks Entry'!$BA$1=1),'Marks Entry'!BA170,""))</f>
        <v/>
      </c>
      <c r="DP170" s="852" t="str">
        <f t="shared" si="479"/>
        <v/>
      </c>
      <c r="DQ170" s="156" t="str">
        <f t="shared" si="480"/>
        <v/>
      </c>
      <c r="DR170" s="156" t="str">
        <f t="shared" si="481"/>
        <v/>
      </c>
      <c r="DS170" s="156" t="str">
        <f t="shared" si="482"/>
        <v/>
      </c>
      <c r="DT170" s="191" t="str">
        <f t="shared" si="483"/>
        <v/>
      </c>
      <c r="DU170" s="152">
        <f t="shared" si="484"/>
        <v>0</v>
      </c>
      <c r="DV170" s="153">
        <f t="shared" si="485"/>
        <v>0</v>
      </c>
      <c r="DW170" s="153" t="str">
        <f t="shared" si="486"/>
        <v/>
      </c>
      <c r="DX170" s="153" t="str">
        <f>IF(OR($B170="NSO",$B170=0,DS170=""),"",IF(AND(DJ170="",DO170=""),"",IF('Master Sheet'!$D$19="YES",$DO$6-COUNTIF(DO170,"ML")*DO$6,DS$6-(COUNTIF(DJ170,"ML")*DJ$6)-(COUNTIF(DO170,"ML")*DO$6))))</f>
        <v/>
      </c>
      <c r="DY170" s="153" t="str">
        <f>IF(OR($B170="NSO",$B170=0),"",IF(AND(DH170="",DI170="",DM170=""),"",IF(AND('Master Sheet'!$D$19="YES",'Marks Entry'!$BA$1=1),100,IF(AND(DJ170="",DO170=""),SUM(($DQ$7+$DR$7)-(DU170+DV170)),SUM(($DQ$6+$DR$6)-(DU170+DV170))))))</f>
        <v/>
      </c>
      <c r="DZ170" s="152" t="str">
        <f t="shared" si="487"/>
        <v/>
      </c>
      <c r="EA170" s="153" t="str">
        <f t="shared" si="488"/>
        <v/>
      </c>
      <c r="EB170" s="152" t="str">
        <f t="shared" si="489"/>
        <v/>
      </c>
      <c r="EC170" s="584" t="str">
        <f>IF('Marks Entry'!BB170="","",'Marks Entry'!BB170)</f>
        <v/>
      </c>
      <c r="ED170" s="584" t="str">
        <f>IF('Marks Entry'!BC170="","",'Marks Entry'!BC170)</f>
        <v/>
      </c>
      <c r="EE170" s="584" t="str">
        <f>IF('Marks Entry'!BD170="","",'Marks Entry'!BD170)</f>
        <v/>
      </c>
      <c r="EF170" s="590" t="str">
        <f t="shared" si="490"/>
        <v/>
      </c>
      <c r="EG170" s="595">
        <f t="shared" si="491"/>
        <v>0</v>
      </c>
      <c r="EH170" s="595">
        <f t="shared" si="492"/>
        <v>0</v>
      </c>
      <c r="EI170" s="192" t="str">
        <f t="shared" si="493"/>
        <v/>
      </c>
      <c r="EJ170" s="595" t="str">
        <f t="shared" si="494"/>
        <v/>
      </c>
      <c r="EK170" s="595" t="str">
        <f t="shared" si="495"/>
        <v/>
      </c>
      <c r="EL170" s="193" t="str">
        <f t="shared" si="496"/>
        <v/>
      </c>
      <c r="EM170" s="193" t="str">
        <f t="shared" si="497"/>
        <v/>
      </c>
      <c r="EN170" s="193" t="str">
        <f t="shared" si="498"/>
        <v/>
      </c>
      <c r="EO170" s="193" t="str">
        <f t="shared" si="499"/>
        <v/>
      </c>
      <c r="EP170" s="193" t="str">
        <f t="shared" si="500"/>
        <v/>
      </c>
      <c r="EQ170" s="193" t="str">
        <f t="shared" si="501"/>
        <v/>
      </c>
      <c r="ER170" s="194">
        <f t="shared" si="502"/>
        <v>0</v>
      </c>
      <c r="ES170" s="194">
        <f t="shared" si="503"/>
        <v>0</v>
      </c>
      <c r="ET170" s="194">
        <f t="shared" si="504"/>
        <v>0</v>
      </c>
      <c r="EU170" s="194">
        <f t="shared" si="505"/>
        <v>0</v>
      </c>
      <c r="EV170" s="194">
        <f t="shared" si="506"/>
        <v>0</v>
      </c>
      <c r="EW170" s="194" t="str">
        <f t="shared" si="507"/>
        <v/>
      </c>
      <c r="EX170" s="195" t="str">
        <f t="shared" si="508"/>
        <v/>
      </c>
      <c r="EY170" s="196" t="str">
        <f>IF('Marks Entry'!BE170="","",'Marks Entry'!BE170)</f>
        <v/>
      </c>
      <c r="EZ170" s="196" t="str">
        <f>IF('Marks Entry'!BF170="","",'Marks Entry'!BF170)</f>
        <v/>
      </c>
      <c r="FA170" s="196" t="str">
        <f>IF('Marks Entry'!BG170="","",'Marks Entry'!BG170)</f>
        <v/>
      </c>
      <c r="FB170" s="596" t="str">
        <f t="shared" si="509"/>
        <v/>
      </c>
      <c r="FC170" s="196" t="str">
        <f>IF('Marks Entry'!BH170="","",'Marks Entry'!BH170)</f>
        <v/>
      </c>
      <c r="FD170" s="196" t="str">
        <f>IF('Marks Entry'!BI170="","",'Marks Entry'!BI170)</f>
        <v/>
      </c>
      <c r="FE170" s="197" t="str">
        <f t="shared" si="510"/>
        <v/>
      </c>
      <c r="FF170" s="198" t="str">
        <f t="shared" si="511"/>
        <v/>
      </c>
      <c r="FG170" s="199" t="str">
        <f>IF(AND(E170=""),"",IF('Student DATA Entry'!L166="","",'Student DATA Entry'!L166))</f>
        <v/>
      </c>
      <c r="FH170" s="200" t="str">
        <f>IF(AND(E170=""),"",IF('Student DATA Entry'!M166="","",'Student DATA Entry'!M166))</f>
        <v/>
      </c>
      <c r="FI170" s="201" t="str">
        <f t="shared" si="512"/>
        <v/>
      </c>
      <c r="FJ170" s="188" t="str">
        <f t="shared" si="513"/>
        <v/>
      </c>
      <c r="FK170" s="188" t="str">
        <f t="shared" si="514"/>
        <v/>
      </c>
      <c r="FL170" s="202" t="str">
        <f t="shared" si="542"/>
        <v/>
      </c>
      <c r="FM170" s="188" t="str">
        <f t="shared" si="515"/>
        <v/>
      </c>
      <c r="FN170" s="203" t="str">
        <f t="shared" si="516"/>
        <v/>
      </c>
      <c r="FO170" s="202" t="str">
        <f t="shared" si="543"/>
        <v/>
      </c>
      <c r="FP170" s="204" t="str">
        <f t="shared" si="517"/>
        <v/>
      </c>
      <c r="FQ170" s="188" t="str">
        <f t="shared" si="544"/>
        <v/>
      </c>
      <c r="FR170" s="188" t="str">
        <f t="shared" si="545"/>
        <v/>
      </c>
      <c r="FS170" s="188" t="str">
        <f t="shared" si="546"/>
        <v/>
      </c>
      <c r="FT170" s="188" t="str">
        <f t="shared" si="547"/>
        <v/>
      </c>
      <c r="FU170" s="188" t="str">
        <f t="shared" si="518"/>
        <v/>
      </c>
      <c r="FV170" s="205" t="str">
        <f t="shared" si="548"/>
        <v/>
      </c>
      <c r="FW170" s="204" t="str">
        <f t="shared" si="519"/>
        <v/>
      </c>
      <c r="FX170" s="188" t="str">
        <f t="shared" si="549"/>
        <v/>
      </c>
      <c r="FY170" s="188" t="str">
        <f t="shared" si="550"/>
        <v/>
      </c>
      <c r="FZ170" s="188" t="str">
        <f t="shared" si="551"/>
        <v/>
      </c>
      <c r="GA170" s="188" t="str">
        <f t="shared" si="552"/>
        <v/>
      </c>
      <c r="GB170" s="188" t="str">
        <f t="shared" si="520"/>
        <v/>
      </c>
      <c r="GC170" s="205" t="str">
        <f t="shared" si="553"/>
        <v/>
      </c>
      <c r="GD170" s="204" t="str">
        <f t="shared" si="521"/>
        <v/>
      </c>
      <c r="GE170" s="188" t="str">
        <f t="shared" si="554"/>
        <v/>
      </c>
      <c r="GF170" s="188" t="str">
        <f t="shared" si="555"/>
        <v/>
      </c>
      <c r="GG170" s="188" t="str">
        <f t="shared" si="556"/>
        <v/>
      </c>
      <c r="GH170" s="188" t="str">
        <f t="shared" si="557"/>
        <v/>
      </c>
      <c r="GI170" s="188" t="str">
        <f t="shared" si="522"/>
        <v/>
      </c>
      <c r="GJ170" s="205" t="str">
        <f t="shared" si="558"/>
        <v/>
      </c>
      <c r="GK170" s="204" t="str">
        <f t="shared" si="523"/>
        <v/>
      </c>
      <c r="GL170" s="188" t="str">
        <f t="shared" si="559"/>
        <v/>
      </c>
      <c r="GM170" s="188" t="str">
        <f t="shared" si="560"/>
        <v/>
      </c>
      <c r="GN170" s="188" t="str">
        <f t="shared" si="561"/>
        <v/>
      </c>
      <c r="GO170" s="188" t="str">
        <f t="shared" si="562"/>
        <v/>
      </c>
      <c r="GP170" s="188" t="str">
        <f t="shared" si="524"/>
        <v/>
      </c>
      <c r="GQ170" s="205" t="str">
        <f t="shared" si="563"/>
        <v/>
      </c>
      <c r="GR170" s="188" t="str">
        <f t="shared" si="525"/>
        <v/>
      </c>
      <c r="GS170" s="188" t="str">
        <f t="shared" si="526"/>
        <v/>
      </c>
      <c r="GT170" s="206" t="str">
        <f t="shared" si="527"/>
        <v xml:space="preserve">    </v>
      </c>
      <c r="GU170" s="206" t="str">
        <f t="shared" si="528"/>
        <v xml:space="preserve">    </v>
      </c>
      <c r="GV170" s="206" t="str">
        <f t="shared" si="529"/>
        <v xml:space="preserve">    </v>
      </c>
      <c r="GW170" s="206" t="str">
        <f t="shared" si="530"/>
        <v xml:space="preserve">       </v>
      </c>
      <c r="GX170" s="598" t="str">
        <f t="shared" si="531"/>
        <v xml:space="preserve">     </v>
      </c>
      <c r="GY170" s="207" t="str">
        <f t="shared" si="564"/>
        <v/>
      </c>
      <c r="GZ170" s="606" t="str">
        <f>IF(AND(Q170="",AE170="",AZ170="",BW170="",CT170=""),"",IF(AND('Master Sheet'!$D$19="YES",'Marks Entry'!$BA$1=1),SUM(Q170,AE170,AZ170,BW170,DT170),SUM(Q170,AE170,AZ170,BW170,CT170)))</f>
        <v/>
      </c>
      <c r="HA170" s="208" t="str">
        <f>IF(GZ170="","",IF(AND('Master Sheet'!$D$19="YES",'Marks Entry'!$BA$1=1),GZ170/((900)-DC170)*100,GZ170/((1000)-DC170)*100))</f>
        <v/>
      </c>
      <c r="HB170" s="611" t="str">
        <f t="shared" si="532"/>
        <v/>
      </c>
      <c r="HC170" s="609" t="str">
        <f t="shared" si="533"/>
        <v/>
      </c>
      <c r="HD170" s="610" t="str">
        <f t="shared" si="534"/>
        <v/>
      </c>
      <c r="HE170" s="209" t="str">
        <f>IFERROR(IF(OR(GY170="SUPPLEMENTARY",GY170="RE-EXAM"),'Supp. Result Entry'!AS169,""),"")</f>
        <v/>
      </c>
      <c r="HF170" s="613" t="str">
        <f t="shared" si="535"/>
        <v/>
      </c>
      <c r="HG170" s="598" t="str">
        <f t="shared" si="536"/>
        <v/>
      </c>
      <c r="HH170" s="598" t="str">
        <f>IF(AND(HE170="",HF170="",HG170=""),"",IF(OR(GY170="SUPPLEMENTARY",GY170="RE-EXAM"),'Supp. Result Entry'!AS169,GY170))</f>
        <v/>
      </c>
      <c r="HI170" s="179"/>
      <c r="HY170" s="211" t="str">
        <f>IF('Supp. Result Entry'!U169="","",'Supp. Result Entry'!$U$6)</f>
        <v/>
      </c>
      <c r="HZ170" s="212" t="str">
        <f>IF('Supp. Result Entry'!X169="","",'Supp. Result Entry'!$X$6)</f>
        <v/>
      </c>
      <c r="IA170" s="212" t="str">
        <f>IF('Supp. Result Entry'!AA169="","",'Supp. Result Entry'!$AA$6)</f>
        <v/>
      </c>
      <c r="IB170" s="212" t="str">
        <f>IF('Supp. Result Entry'!AD169="","",'Supp. Result Entry'!$AD$6)</f>
        <v/>
      </c>
      <c r="IC170" s="212" t="str">
        <f>IF('Supp. Result Entry'!AG169="","",'Supp. Result Entry'!$AG$6)</f>
        <v/>
      </c>
      <c r="ID170" s="212" t="str">
        <f>IF('Supp. Result Entry'!AJ169="","",'Supp. Result Entry'!$AJ$6)</f>
        <v/>
      </c>
      <c r="IE170" s="212" t="str">
        <f>IF('Supp. Result Entry'!V169="","",'Supp. Result Entry'!V169)</f>
        <v/>
      </c>
      <c r="IF170" s="212" t="str">
        <f>IF('Supp. Result Entry'!Y169="","",'Supp. Result Entry'!Y169)</f>
        <v/>
      </c>
      <c r="IG170" s="212" t="str">
        <f>IF('Supp. Result Entry'!AB169="","",'Supp. Result Entry'!AB169)</f>
        <v/>
      </c>
      <c r="IH170" s="212" t="str">
        <f>IF('Supp. Result Entry'!AE169="","",'Supp. Result Entry'!AE169)</f>
        <v/>
      </c>
      <c r="II170" s="212" t="str">
        <f>IF('Supp. Result Entry'!AH169="","",'Supp. Result Entry'!AH169)</f>
        <v/>
      </c>
      <c r="IJ170" s="212" t="str">
        <f>IF('Supp. Result Entry'!AK169="","",'Supp. Result Entry'!AK169)</f>
        <v/>
      </c>
      <c r="IK170" s="212" t="str">
        <f>IF('Supp. Result Entry'!W169="","",'Supp. Result Entry'!W169)</f>
        <v/>
      </c>
      <c r="IL170" s="212" t="str">
        <f>IF('Supp. Result Entry'!Z169="","",'Supp. Result Entry'!Z169)</f>
        <v/>
      </c>
      <c r="IM170" s="212" t="str">
        <f>IF('Supp. Result Entry'!AC169="","",'Supp. Result Entry'!AC169)</f>
        <v/>
      </c>
      <c r="IN170" s="212" t="str">
        <f>IF('Supp. Result Entry'!AF169="","",'Supp. Result Entry'!AF169)</f>
        <v/>
      </c>
      <c r="IO170" s="212" t="str">
        <f>IF('Supp. Result Entry'!AI169="","",'Supp. Result Entry'!AI169)</f>
        <v/>
      </c>
      <c r="IP170" s="212" t="str">
        <f>IF('Supp. Result Entry'!AL169="","",'Supp. Result Entry'!AL169)</f>
        <v/>
      </c>
      <c r="IQ170" s="212">
        <f>COUNTIF('Supp. Result Entry'!K169:Q169,"S")</f>
        <v>0</v>
      </c>
      <c r="IR170" s="212">
        <f t="shared" si="537"/>
        <v>0</v>
      </c>
      <c r="IS170" s="212">
        <f t="shared" si="538"/>
        <v>0</v>
      </c>
      <c r="IT170" s="212" t="str">
        <f t="shared" si="406"/>
        <v/>
      </c>
      <c r="IU170" s="212" t="str">
        <f t="shared" si="407"/>
        <v/>
      </c>
      <c r="IV170" s="212" t="str">
        <f t="shared" si="408"/>
        <v/>
      </c>
      <c r="IW170" s="212" t="str">
        <f t="shared" si="409"/>
        <v/>
      </c>
      <c r="IX170" s="212" t="str">
        <f t="shared" si="410"/>
        <v/>
      </c>
      <c r="IY170" s="212" t="str">
        <f t="shared" si="539"/>
        <v/>
      </c>
      <c r="IZ170" s="212" t="str">
        <f t="shared" si="540"/>
        <v/>
      </c>
      <c r="JA170" s="212" t="str">
        <f t="shared" si="411"/>
        <v/>
      </c>
      <c r="JB170" s="210" t="str">
        <f t="shared" si="541"/>
        <v/>
      </c>
    </row>
    <row r="171" spans="1:262" s="210" customFormat="1" ht="21" customHeight="1">
      <c r="A171" s="183">
        <v>164</v>
      </c>
      <c r="B171" s="184" t="str">
        <f>IF('Marks Entry'!B171="","",'Marks Entry'!B171)</f>
        <v/>
      </c>
      <c r="C171" s="185" t="str">
        <f>IF('Marks Entry'!D171="","",'Marks Entry'!D171)</f>
        <v/>
      </c>
      <c r="D171" s="186" t="str">
        <f>IF('Marks Entry'!E171="","",'Marks Entry'!E171)</f>
        <v/>
      </c>
      <c r="E171" s="187" t="str">
        <f>IF('Marks Entry'!F171="","",'Marks Entry'!F171)</f>
        <v/>
      </c>
      <c r="F171" s="187" t="str">
        <f>IF('Marks Entry'!G171="","",'Marks Entry'!G171)</f>
        <v/>
      </c>
      <c r="G171" s="187" t="str">
        <f>IF('Marks Entry'!H171="","",'Marks Entry'!H171)</f>
        <v/>
      </c>
      <c r="H171" s="188" t="str">
        <f>IF('Marks Entry'!I171="","",'Marks Entry'!I171)</f>
        <v/>
      </c>
      <c r="I171" s="189" t="str">
        <f>IF('Marks Entry'!J171="","",'Marks Entry'!J171)</f>
        <v/>
      </c>
      <c r="J171" s="545" t="str">
        <f>IF('Marks Entry'!K171="","",'Marks Entry'!K171)</f>
        <v/>
      </c>
      <c r="K171" s="545" t="str">
        <f>IF('Marks Entry'!L171="","",'Marks Entry'!L171)</f>
        <v/>
      </c>
      <c r="L171" s="545" t="str">
        <f>IF('Marks Entry'!M171="","",'Marks Entry'!M171)</f>
        <v/>
      </c>
      <c r="M171" s="546" t="str">
        <f t="shared" si="412"/>
        <v/>
      </c>
      <c r="N171" s="545" t="str">
        <f>IF('Marks Entry'!N171="","",'Marks Entry'!N171)</f>
        <v/>
      </c>
      <c r="O171" s="546" t="str">
        <f t="shared" si="413"/>
        <v/>
      </c>
      <c r="P171" s="545" t="str">
        <f>IF('Marks Entry'!O171="","",'Marks Entry'!O171)</f>
        <v/>
      </c>
      <c r="Q171" s="547" t="str">
        <f t="shared" si="414"/>
        <v/>
      </c>
      <c r="R171" s="152">
        <f t="shared" si="415"/>
        <v>0</v>
      </c>
      <c r="S171" s="152">
        <f t="shared" si="416"/>
        <v>0</v>
      </c>
      <c r="T171" s="153" t="str">
        <f t="shared" si="417"/>
        <v/>
      </c>
      <c r="U171" s="152" t="str">
        <f t="shared" si="418"/>
        <v/>
      </c>
      <c r="V171" s="152" t="str">
        <f t="shared" si="419"/>
        <v/>
      </c>
      <c r="W171" s="152" t="str">
        <f t="shared" si="420"/>
        <v/>
      </c>
      <c r="X171" s="545" t="str">
        <f>IF('Marks Entry'!P171="","",'Marks Entry'!P171)</f>
        <v/>
      </c>
      <c r="Y171" s="545" t="str">
        <f>IF('Marks Entry'!Q171="","",'Marks Entry'!Q171)</f>
        <v/>
      </c>
      <c r="Z171" s="545" t="str">
        <f>IF('Marks Entry'!R171="","",'Marks Entry'!R171)</f>
        <v/>
      </c>
      <c r="AA171" s="546" t="str">
        <f t="shared" si="421"/>
        <v/>
      </c>
      <c r="AB171" s="545" t="str">
        <f>IF('Marks Entry'!S171="","",'Marks Entry'!S171)</f>
        <v/>
      </c>
      <c r="AC171" s="546" t="str">
        <f t="shared" si="422"/>
        <v/>
      </c>
      <c r="AD171" s="545" t="str">
        <f>IF('Marks Entry'!T171="","",'Marks Entry'!T171)</f>
        <v/>
      </c>
      <c r="AE171" s="547" t="str">
        <f t="shared" si="423"/>
        <v/>
      </c>
      <c r="AF171" s="152">
        <f t="shared" si="424"/>
        <v>0</v>
      </c>
      <c r="AG171" s="152">
        <f t="shared" si="425"/>
        <v>0</v>
      </c>
      <c r="AH171" s="153" t="str">
        <f t="shared" si="426"/>
        <v/>
      </c>
      <c r="AI171" s="152" t="str">
        <f t="shared" si="427"/>
        <v/>
      </c>
      <c r="AJ171" s="152" t="str">
        <f t="shared" si="428"/>
        <v/>
      </c>
      <c r="AK171" s="152" t="str">
        <f t="shared" si="429"/>
        <v/>
      </c>
      <c r="AL171" s="573" t="str">
        <f>IF('Marks Entry'!U171="","",'Marks Entry'!U171)</f>
        <v/>
      </c>
      <c r="AM171" s="573" t="str">
        <f>IF('Marks Entry'!V171="","",'Marks Entry'!V171)</f>
        <v/>
      </c>
      <c r="AN171" s="573" t="str">
        <f>IF('Marks Entry'!W171="","",'Marks Entry'!W171)</f>
        <v/>
      </c>
      <c r="AO171" s="573" t="str">
        <f>IF('Marks Entry'!X171="","",'Marks Entry'!X171)</f>
        <v/>
      </c>
      <c r="AP171" s="572" t="str">
        <f t="shared" si="430"/>
        <v/>
      </c>
      <c r="AQ171" s="573" t="str">
        <f>IF('Marks Entry'!Y171="","",'Marks Entry'!Y171)</f>
        <v/>
      </c>
      <c r="AR171" s="573" t="str">
        <f>IF('Marks Entry'!Z171="","",'Marks Entry'!Z171)</f>
        <v/>
      </c>
      <c r="AS171" s="572" t="str">
        <f t="shared" si="431"/>
        <v/>
      </c>
      <c r="AT171" s="572" t="str">
        <f t="shared" si="432"/>
        <v/>
      </c>
      <c r="AU171" s="573" t="str">
        <f>IF('Marks Entry'!AA171="","",'Marks Entry'!AA171)</f>
        <v/>
      </c>
      <c r="AV171" s="573" t="str">
        <f>IF('Marks Entry'!AB171="","",'Marks Entry'!AB171)</f>
        <v/>
      </c>
      <c r="AW171" s="572" t="str">
        <f t="shared" si="433"/>
        <v/>
      </c>
      <c r="AX171" s="156" t="str">
        <f t="shared" si="434"/>
        <v/>
      </c>
      <c r="AY171" s="156" t="str">
        <f t="shared" si="435"/>
        <v/>
      </c>
      <c r="AZ171" s="191" t="str">
        <f t="shared" si="436"/>
        <v/>
      </c>
      <c r="BA171" s="152">
        <f t="shared" si="437"/>
        <v>0</v>
      </c>
      <c r="BB171" s="153">
        <f t="shared" si="438"/>
        <v>0</v>
      </c>
      <c r="BC171" s="153" t="str">
        <f t="shared" si="439"/>
        <v/>
      </c>
      <c r="BD171" s="153" t="str">
        <f t="shared" si="440"/>
        <v/>
      </c>
      <c r="BE171" s="153" t="str">
        <f t="shared" si="441"/>
        <v/>
      </c>
      <c r="BF171" s="152" t="str">
        <f t="shared" si="442"/>
        <v/>
      </c>
      <c r="BG171" s="153" t="str">
        <f t="shared" si="443"/>
        <v/>
      </c>
      <c r="BH171" s="152" t="str">
        <f t="shared" si="444"/>
        <v/>
      </c>
      <c r="BI171" s="580" t="str">
        <f>IF('Marks Entry'!AC171="","",'Marks Entry'!AC171)</f>
        <v/>
      </c>
      <c r="BJ171" s="580" t="str">
        <f>IF('Marks Entry'!AD171="","",'Marks Entry'!AD171)</f>
        <v/>
      </c>
      <c r="BK171" s="580" t="str">
        <f>IF('Marks Entry'!AE171="","",'Marks Entry'!AE171)</f>
        <v/>
      </c>
      <c r="BL171" s="580" t="str">
        <f>IF('Marks Entry'!AF171="","",'Marks Entry'!AF171)</f>
        <v/>
      </c>
      <c r="BM171" s="581" t="str">
        <f t="shared" si="445"/>
        <v/>
      </c>
      <c r="BN171" s="580" t="str">
        <f>IF('Marks Entry'!AG171="","",'Marks Entry'!AG171)</f>
        <v/>
      </c>
      <c r="BO171" s="580" t="str">
        <f>IF('Marks Entry'!AH171="","",'Marks Entry'!AH171)</f>
        <v/>
      </c>
      <c r="BP171" s="581" t="str">
        <f t="shared" si="446"/>
        <v/>
      </c>
      <c r="BQ171" s="581" t="str">
        <f t="shared" si="447"/>
        <v/>
      </c>
      <c r="BR171" s="580" t="str">
        <f>IF('Marks Entry'!AI171="","",'Marks Entry'!AI171)</f>
        <v/>
      </c>
      <c r="BS171" s="580" t="str">
        <f>IF('Marks Entry'!AJ171="","",'Marks Entry'!AJ171)</f>
        <v/>
      </c>
      <c r="BT171" s="581" t="str">
        <f t="shared" si="448"/>
        <v/>
      </c>
      <c r="BU171" s="156" t="str">
        <f t="shared" si="449"/>
        <v/>
      </c>
      <c r="BV171" s="156" t="str">
        <f t="shared" si="450"/>
        <v/>
      </c>
      <c r="BW171" s="191" t="str">
        <f t="shared" si="451"/>
        <v/>
      </c>
      <c r="BX171" s="152">
        <f t="shared" si="452"/>
        <v>0</v>
      </c>
      <c r="BY171" s="153">
        <f t="shared" si="453"/>
        <v>0</v>
      </c>
      <c r="BZ171" s="153" t="str">
        <f t="shared" si="454"/>
        <v/>
      </c>
      <c r="CA171" s="153" t="str">
        <f t="shared" si="455"/>
        <v/>
      </c>
      <c r="CB171" s="153" t="str">
        <f t="shared" si="456"/>
        <v/>
      </c>
      <c r="CC171" s="152" t="str">
        <f t="shared" si="457"/>
        <v/>
      </c>
      <c r="CD171" s="153" t="str">
        <f t="shared" si="458"/>
        <v/>
      </c>
      <c r="CE171" s="152" t="str">
        <f t="shared" si="459"/>
        <v/>
      </c>
      <c r="CF171" s="580" t="str">
        <f>IF('Marks Entry'!AK171="","",'Marks Entry'!AK171)</f>
        <v/>
      </c>
      <c r="CG171" s="580" t="str">
        <f>IF('Marks Entry'!AL171="","",'Marks Entry'!AL171)</f>
        <v/>
      </c>
      <c r="CH171" s="580" t="str">
        <f>IF('Marks Entry'!AM171="","",'Marks Entry'!AM171)</f>
        <v/>
      </c>
      <c r="CI171" s="580" t="str">
        <f>IF('Marks Entry'!AN171="","",'Marks Entry'!AN171)</f>
        <v/>
      </c>
      <c r="CJ171" s="581" t="str">
        <f t="shared" si="460"/>
        <v/>
      </c>
      <c r="CK171" s="580" t="str">
        <f>IF('Marks Entry'!AO171="","",'Marks Entry'!AO171)</f>
        <v/>
      </c>
      <c r="CL171" s="580" t="str">
        <f>IF('Marks Entry'!AP171="","",'Marks Entry'!AP171)</f>
        <v/>
      </c>
      <c r="CM171" s="581" t="str">
        <f t="shared" si="461"/>
        <v/>
      </c>
      <c r="CN171" s="581" t="str">
        <f t="shared" si="462"/>
        <v/>
      </c>
      <c r="CO171" s="580" t="str">
        <f>IF('Marks Entry'!AQ171="","",'Marks Entry'!AQ171)</f>
        <v/>
      </c>
      <c r="CP171" s="580" t="str">
        <f>IF('Marks Entry'!AR171="","",'Marks Entry'!AR171)</f>
        <v/>
      </c>
      <c r="CQ171" s="581" t="str">
        <f t="shared" si="463"/>
        <v/>
      </c>
      <c r="CR171" s="156" t="str">
        <f t="shared" si="464"/>
        <v/>
      </c>
      <c r="CS171" s="156" t="str">
        <f t="shared" si="465"/>
        <v/>
      </c>
      <c r="CT171" s="191" t="str">
        <f t="shared" si="466"/>
        <v/>
      </c>
      <c r="CU171" s="152">
        <f t="shared" si="467"/>
        <v>0</v>
      </c>
      <c r="CV171" s="153">
        <f t="shared" si="468"/>
        <v>0</v>
      </c>
      <c r="CW171" s="153" t="str">
        <f t="shared" si="469"/>
        <v/>
      </c>
      <c r="CX171" s="153" t="str">
        <f t="shared" si="470"/>
        <v/>
      </c>
      <c r="CY171" s="153" t="str">
        <f t="shared" si="471"/>
        <v/>
      </c>
      <c r="CZ171" s="152" t="str">
        <f t="shared" si="472"/>
        <v/>
      </c>
      <c r="DA171" s="153" t="str">
        <f t="shared" si="473"/>
        <v/>
      </c>
      <c r="DB171" s="152" t="str">
        <f t="shared" si="474"/>
        <v/>
      </c>
      <c r="DC171" s="153">
        <f t="shared" si="475"/>
        <v>0</v>
      </c>
      <c r="DD171" s="851" t="str">
        <f>IF('Marks Entry'!AS171="","",IF(OR('Master Sheet'!$D$19="YES",'Marks Entry'!$BA$1=1),'Marks Entry'!AS171,""))</f>
        <v/>
      </c>
      <c r="DE171" s="851" t="str">
        <f>IF('Marks Entry'!AT171="","",IF(OR('Master Sheet'!$D$19="YES",'Marks Entry'!$BA$1=1),'Marks Entry'!AT171,""))</f>
        <v/>
      </c>
      <c r="DF171" s="851" t="str">
        <f>IF('Marks Entry'!AU171="","",IF(OR('Master Sheet'!$D$19="YES",'Marks Entry'!$BA$1=1),'Marks Entry'!AU171,""))</f>
        <v/>
      </c>
      <c r="DG171" s="851" t="str">
        <f>IF('Marks Entry'!AV171="","",IF(OR('Master Sheet'!$D$19="YES",'Marks Entry'!$BA$1=1),'Marks Entry'!AV171,""))</f>
        <v/>
      </c>
      <c r="DH171" s="852" t="str">
        <f t="shared" si="476"/>
        <v/>
      </c>
      <c r="DI171" s="851" t="str">
        <f>IF('Marks Entry'!AW171="","",IF(OR('Master Sheet'!$D$19="YES",'Marks Entry'!$BA$1=1),'Marks Entry'!AW171,""))</f>
        <v/>
      </c>
      <c r="DJ171" s="851" t="str">
        <f>IF('Marks Entry'!AX171="","",IF(OR('Master Sheet'!$D$19="YES",'Marks Entry'!$BA$1=1),'Marks Entry'!AX171,""))</f>
        <v/>
      </c>
      <c r="DK171" s="852" t="str">
        <f t="shared" si="477"/>
        <v/>
      </c>
      <c r="DL171" s="852" t="str">
        <f t="shared" si="478"/>
        <v/>
      </c>
      <c r="DM171" s="851" t="str">
        <f>IF('Marks Entry'!AY171="","",IF(OR('Master Sheet'!$D$19="YES",'Marks Entry'!$BA$1=1),'Marks Entry'!AY171,""))</f>
        <v/>
      </c>
      <c r="DN171" s="851" t="str">
        <f>IF('Marks Entry'!AZ171="","",IF(OR('Master Sheet'!$D$19="YES",'Marks Entry'!$BA$1=1),'Marks Entry'!AZ171,""))</f>
        <v/>
      </c>
      <c r="DO171" s="851" t="str">
        <f>IF('Marks Entry'!BA171="","",IF(OR('Master Sheet'!$D$19="YES",'Marks Entry'!$BA$1=1),'Marks Entry'!BA171,""))</f>
        <v/>
      </c>
      <c r="DP171" s="852" t="str">
        <f t="shared" si="479"/>
        <v/>
      </c>
      <c r="DQ171" s="156" t="str">
        <f t="shared" si="480"/>
        <v/>
      </c>
      <c r="DR171" s="156" t="str">
        <f t="shared" si="481"/>
        <v/>
      </c>
      <c r="DS171" s="156" t="str">
        <f t="shared" si="482"/>
        <v/>
      </c>
      <c r="DT171" s="191" t="str">
        <f t="shared" si="483"/>
        <v/>
      </c>
      <c r="DU171" s="152">
        <f t="shared" si="484"/>
        <v>0</v>
      </c>
      <c r="DV171" s="153">
        <f t="shared" si="485"/>
        <v>0</v>
      </c>
      <c r="DW171" s="153" t="str">
        <f t="shared" si="486"/>
        <v/>
      </c>
      <c r="DX171" s="153" t="str">
        <f>IF(OR($B171="NSO",$B171=0,DS171=""),"",IF(AND(DJ171="",DO171=""),"",IF('Master Sheet'!$D$19="YES",$DO$6-COUNTIF(DO171,"ML")*DO$6,DS$6-(COUNTIF(DJ171,"ML")*DJ$6)-(COUNTIF(DO171,"ML")*DO$6))))</f>
        <v/>
      </c>
      <c r="DY171" s="153" t="str">
        <f>IF(OR($B171="NSO",$B171=0),"",IF(AND(DH171="",DI171="",DM171=""),"",IF(AND('Master Sheet'!$D$19="YES",'Marks Entry'!$BA$1=1),100,IF(AND(DJ171="",DO171=""),SUM(($DQ$7+$DR$7)-(DU171+DV171)),SUM(($DQ$6+$DR$6)-(DU171+DV171))))))</f>
        <v/>
      </c>
      <c r="DZ171" s="152" t="str">
        <f t="shared" si="487"/>
        <v/>
      </c>
      <c r="EA171" s="153" t="str">
        <f t="shared" si="488"/>
        <v/>
      </c>
      <c r="EB171" s="152" t="str">
        <f t="shared" si="489"/>
        <v/>
      </c>
      <c r="EC171" s="584" t="str">
        <f>IF('Marks Entry'!BB171="","",'Marks Entry'!BB171)</f>
        <v/>
      </c>
      <c r="ED171" s="584" t="str">
        <f>IF('Marks Entry'!BC171="","",'Marks Entry'!BC171)</f>
        <v/>
      </c>
      <c r="EE171" s="584" t="str">
        <f>IF('Marks Entry'!BD171="","",'Marks Entry'!BD171)</f>
        <v/>
      </c>
      <c r="EF171" s="590" t="str">
        <f t="shared" si="490"/>
        <v/>
      </c>
      <c r="EG171" s="595">
        <f t="shared" si="491"/>
        <v>0</v>
      </c>
      <c r="EH171" s="595">
        <f t="shared" si="492"/>
        <v>0</v>
      </c>
      <c r="EI171" s="192" t="str">
        <f t="shared" si="493"/>
        <v/>
      </c>
      <c r="EJ171" s="595" t="str">
        <f t="shared" si="494"/>
        <v/>
      </c>
      <c r="EK171" s="595" t="str">
        <f t="shared" si="495"/>
        <v/>
      </c>
      <c r="EL171" s="193" t="str">
        <f t="shared" si="496"/>
        <v/>
      </c>
      <c r="EM171" s="193" t="str">
        <f t="shared" si="497"/>
        <v/>
      </c>
      <c r="EN171" s="193" t="str">
        <f t="shared" si="498"/>
        <v/>
      </c>
      <c r="EO171" s="193" t="str">
        <f t="shared" si="499"/>
        <v/>
      </c>
      <c r="EP171" s="193" t="str">
        <f t="shared" si="500"/>
        <v/>
      </c>
      <c r="EQ171" s="193" t="str">
        <f t="shared" si="501"/>
        <v/>
      </c>
      <c r="ER171" s="194">
        <f t="shared" si="502"/>
        <v>0</v>
      </c>
      <c r="ES171" s="194">
        <f t="shared" si="503"/>
        <v>0</v>
      </c>
      <c r="ET171" s="194">
        <f t="shared" si="504"/>
        <v>0</v>
      </c>
      <c r="EU171" s="194">
        <f t="shared" si="505"/>
        <v>0</v>
      </c>
      <c r="EV171" s="194">
        <f t="shared" si="506"/>
        <v>0</v>
      </c>
      <c r="EW171" s="194" t="str">
        <f t="shared" si="507"/>
        <v/>
      </c>
      <c r="EX171" s="195" t="str">
        <f t="shared" si="508"/>
        <v/>
      </c>
      <c r="EY171" s="196" t="str">
        <f>IF('Marks Entry'!BE171="","",'Marks Entry'!BE171)</f>
        <v/>
      </c>
      <c r="EZ171" s="196" t="str">
        <f>IF('Marks Entry'!BF171="","",'Marks Entry'!BF171)</f>
        <v/>
      </c>
      <c r="FA171" s="196" t="str">
        <f>IF('Marks Entry'!BG171="","",'Marks Entry'!BG171)</f>
        <v/>
      </c>
      <c r="FB171" s="596" t="str">
        <f t="shared" si="509"/>
        <v/>
      </c>
      <c r="FC171" s="196" t="str">
        <f>IF('Marks Entry'!BH171="","",'Marks Entry'!BH171)</f>
        <v/>
      </c>
      <c r="FD171" s="196" t="str">
        <f>IF('Marks Entry'!BI171="","",'Marks Entry'!BI171)</f>
        <v/>
      </c>
      <c r="FE171" s="197" t="str">
        <f t="shared" si="510"/>
        <v/>
      </c>
      <c r="FF171" s="198" t="str">
        <f t="shared" si="511"/>
        <v/>
      </c>
      <c r="FG171" s="199" t="str">
        <f>IF(AND(E171=""),"",IF('Student DATA Entry'!L167="","",'Student DATA Entry'!L167))</f>
        <v/>
      </c>
      <c r="FH171" s="200" t="str">
        <f>IF(AND(E171=""),"",IF('Student DATA Entry'!M167="","",'Student DATA Entry'!M167))</f>
        <v/>
      </c>
      <c r="FI171" s="201" t="str">
        <f t="shared" si="512"/>
        <v/>
      </c>
      <c r="FJ171" s="188" t="str">
        <f t="shared" si="513"/>
        <v/>
      </c>
      <c r="FK171" s="188" t="str">
        <f t="shared" si="514"/>
        <v/>
      </c>
      <c r="FL171" s="202" t="str">
        <f t="shared" si="542"/>
        <v/>
      </c>
      <c r="FM171" s="188" t="str">
        <f t="shared" si="515"/>
        <v/>
      </c>
      <c r="FN171" s="203" t="str">
        <f t="shared" si="516"/>
        <v/>
      </c>
      <c r="FO171" s="202" t="str">
        <f t="shared" si="543"/>
        <v/>
      </c>
      <c r="FP171" s="204" t="str">
        <f t="shared" si="517"/>
        <v/>
      </c>
      <c r="FQ171" s="188" t="str">
        <f t="shared" si="544"/>
        <v/>
      </c>
      <c r="FR171" s="188" t="str">
        <f t="shared" si="545"/>
        <v/>
      </c>
      <c r="FS171" s="188" t="str">
        <f t="shared" si="546"/>
        <v/>
      </c>
      <c r="FT171" s="188" t="str">
        <f t="shared" si="547"/>
        <v/>
      </c>
      <c r="FU171" s="188" t="str">
        <f t="shared" si="518"/>
        <v/>
      </c>
      <c r="FV171" s="205" t="str">
        <f t="shared" si="548"/>
        <v/>
      </c>
      <c r="FW171" s="204" t="str">
        <f t="shared" si="519"/>
        <v/>
      </c>
      <c r="FX171" s="188" t="str">
        <f t="shared" si="549"/>
        <v/>
      </c>
      <c r="FY171" s="188" t="str">
        <f t="shared" si="550"/>
        <v/>
      </c>
      <c r="FZ171" s="188" t="str">
        <f t="shared" si="551"/>
        <v/>
      </c>
      <c r="GA171" s="188" t="str">
        <f t="shared" si="552"/>
        <v/>
      </c>
      <c r="GB171" s="188" t="str">
        <f t="shared" si="520"/>
        <v/>
      </c>
      <c r="GC171" s="205" t="str">
        <f t="shared" si="553"/>
        <v/>
      </c>
      <c r="GD171" s="204" t="str">
        <f t="shared" si="521"/>
        <v/>
      </c>
      <c r="GE171" s="188" t="str">
        <f t="shared" si="554"/>
        <v/>
      </c>
      <c r="GF171" s="188" t="str">
        <f t="shared" si="555"/>
        <v/>
      </c>
      <c r="GG171" s="188" t="str">
        <f t="shared" si="556"/>
        <v/>
      </c>
      <c r="GH171" s="188" t="str">
        <f t="shared" si="557"/>
        <v/>
      </c>
      <c r="GI171" s="188" t="str">
        <f t="shared" si="522"/>
        <v/>
      </c>
      <c r="GJ171" s="205" t="str">
        <f t="shared" si="558"/>
        <v/>
      </c>
      <c r="GK171" s="204" t="str">
        <f t="shared" si="523"/>
        <v/>
      </c>
      <c r="GL171" s="188" t="str">
        <f t="shared" si="559"/>
        <v/>
      </c>
      <c r="GM171" s="188" t="str">
        <f t="shared" si="560"/>
        <v/>
      </c>
      <c r="GN171" s="188" t="str">
        <f t="shared" si="561"/>
        <v/>
      </c>
      <c r="GO171" s="188" t="str">
        <f t="shared" si="562"/>
        <v/>
      </c>
      <c r="GP171" s="188" t="str">
        <f t="shared" si="524"/>
        <v/>
      </c>
      <c r="GQ171" s="205" t="str">
        <f t="shared" si="563"/>
        <v/>
      </c>
      <c r="GR171" s="188" t="str">
        <f t="shared" si="525"/>
        <v/>
      </c>
      <c r="GS171" s="188" t="str">
        <f t="shared" si="526"/>
        <v/>
      </c>
      <c r="GT171" s="206" t="str">
        <f t="shared" si="527"/>
        <v xml:space="preserve">    </v>
      </c>
      <c r="GU171" s="206" t="str">
        <f t="shared" si="528"/>
        <v xml:space="preserve">    </v>
      </c>
      <c r="GV171" s="206" t="str">
        <f t="shared" si="529"/>
        <v xml:space="preserve">    </v>
      </c>
      <c r="GW171" s="206" t="str">
        <f t="shared" si="530"/>
        <v xml:space="preserve">       </v>
      </c>
      <c r="GX171" s="598" t="str">
        <f t="shared" si="531"/>
        <v xml:space="preserve">     </v>
      </c>
      <c r="GY171" s="207" t="str">
        <f t="shared" si="564"/>
        <v/>
      </c>
      <c r="GZ171" s="606" t="str">
        <f>IF(AND(Q171="",AE171="",AZ171="",BW171="",CT171=""),"",IF(AND('Master Sheet'!$D$19="YES",'Marks Entry'!$BA$1=1),SUM(Q171,AE171,AZ171,BW171,DT171),SUM(Q171,AE171,AZ171,BW171,CT171)))</f>
        <v/>
      </c>
      <c r="HA171" s="208" t="str">
        <f>IF(GZ171="","",IF(AND('Master Sheet'!$D$19="YES",'Marks Entry'!$BA$1=1),GZ171/((900)-DC171)*100,GZ171/((1000)-DC171)*100))</f>
        <v/>
      </c>
      <c r="HB171" s="611" t="str">
        <f t="shared" si="532"/>
        <v/>
      </c>
      <c r="HC171" s="609" t="str">
        <f t="shared" si="533"/>
        <v/>
      </c>
      <c r="HD171" s="610" t="str">
        <f t="shared" si="534"/>
        <v/>
      </c>
      <c r="HE171" s="209" t="str">
        <f>IFERROR(IF(OR(GY171="SUPPLEMENTARY",GY171="RE-EXAM"),'Supp. Result Entry'!AS170,""),"")</f>
        <v/>
      </c>
      <c r="HF171" s="613" t="str">
        <f t="shared" si="535"/>
        <v/>
      </c>
      <c r="HG171" s="598" t="str">
        <f t="shared" si="536"/>
        <v/>
      </c>
      <c r="HH171" s="598" t="str">
        <f>IF(AND(HE171="",HF171="",HG171=""),"",IF(OR(GY171="SUPPLEMENTARY",GY171="RE-EXAM"),'Supp. Result Entry'!AS170,GY171))</f>
        <v/>
      </c>
      <c r="HI171" s="179"/>
      <c r="HY171" s="211" t="str">
        <f>IF('Supp. Result Entry'!U170="","",'Supp. Result Entry'!$U$6)</f>
        <v/>
      </c>
      <c r="HZ171" s="212" t="str">
        <f>IF('Supp. Result Entry'!X170="","",'Supp. Result Entry'!$X$6)</f>
        <v/>
      </c>
      <c r="IA171" s="212" t="str">
        <f>IF('Supp. Result Entry'!AA170="","",'Supp. Result Entry'!$AA$6)</f>
        <v/>
      </c>
      <c r="IB171" s="212" t="str">
        <f>IF('Supp. Result Entry'!AD170="","",'Supp. Result Entry'!$AD$6)</f>
        <v/>
      </c>
      <c r="IC171" s="212" t="str">
        <f>IF('Supp. Result Entry'!AG170="","",'Supp. Result Entry'!$AG$6)</f>
        <v/>
      </c>
      <c r="ID171" s="212" t="str">
        <f>IF('Supp. Result Entry'!AJ170="","",'Supp. Result Entry'!$AJ$6)</f>
        <v/>
      </c>
      <c r="IE171" s="212" t="str">
        <f>IF('Supp. Result Entry'!V170="","",'Supp. Result Entry'!V170)</f>
        <v/>
      </c>
      <c r="IF171" s="212" t="str">
        <f>IF('Supp. Result Entry'!Y170="","",'Supp. Result Entry'!Y170)</f>
        <v/>
      </c>
      <c r="IG171" s="212" t="str">
        <f>IF('Supp. Result Entry'!AB170="","",'Supp. Result Entry'!AB170)</f>
        <v/>
      </c>
      <c r="IH171" s="212" t="str">
        <f>IF('Supp. Result Entry'!AE170="","",'Supp. Result Entry'!AE170)</f>
        <v/>
      </c>
      <c r="II171" s="212" t="str">
        <f>IF('Supp. Result Entry'!AH170="","",'Supp. Result Entry'!AH170)</f>
        <v/>
      </c>
      <c r="IJ171" s="212" t="str">
        <f>IF('Supp. Result Entry'!AK170="","",'Supp. Result Entry'!AK170)</f>
        <v/>
      </c>
      <c r="IK171" s="212" t="str">
        <f>IF('Supp. Result Entry'!W170="","",'Supp. Result Entry'!W170)</f>
        <v/>
      </c>
      <c r="IL171" s="212" t="str">
        <f>IF('Supp. Result Entry'!Z170="","",'Supp. Result Entry'!Z170)</f>
        <v/>
      </c>
      <c r="IM171" s="212" t="str">
        <f>IF('Supp. Result Entry'!AC170="","",'Supp. Result Entry'!AC170)</f>
        <v/>
      </c>
      <c r="IN171" s="212" t="str">
        <f>IF('Supp. Result Entry'!AF170="","",'Supp. Result Entry'!AF170)</f>
        <v/>
      </c>
      <c r="IO171" s="212" t="str">
        <f>IF('Supp. Result Entry'!AI170="","",'Supp. Result Entry'!AI170)</f>
        <v/>
      </c>
      <c r="IP171" s="212" t="str">
        <f>IF('Supp. Result Entry'!AL170="","",'Supp. Result Entry'!AL170)</f>
        <v/>
      </c>
      <c r="IQ171" s="212">
        <f>COUNTIF('Supp. Result Entry'!K170:Q170,"S")</f>
        <v>0</v>
      </c>
      <c r="IR171" s="212">
        <f t="shared" si="537"/>
        <v>0</v>
      </c>
      <c r="IS171" s="212">
        <f t="shared" si="538"/>
        <v>0</v>
      </c>
      <c r="IT171" s="212" t="str">
        <f t="shared" si="406"/>
        <v/>
      </c>
      <c r="IU171" s="212" t="str">
        <f t="shared" si="407"/>
        <v/>
      </c>
      <c r="IV171" s="212" t="str">
        <f t="shared" si="408"/>
        <v/>
      </c>
      <c r="IW171" s="212" t="str">
        <f t="shared" si="409"/>
        <v/>
      </c>
      <c r="IX171" s="212" t="str">
        <f t="shared" si="410"/>
        <v/>
      </c>
      <c r="IY171" s="212" t="str">
        <f t="shared" si="539"/>
        <v/>
      </c>
      <c r="IZ171" s="212" t="str">
        <f t="shared" si="540"/>
        <v/>
      </c>
      <c r="JA171" s="212" t="str">
        <f t="shared" si="411"/>
        <v/>
      </c>
      <c r="JB171" s="210" t="str">
        <f t="shared" si="541"/>
        <v/>
      </c>
    </row>
    <row r="172" spans="1:262" s="210" customFormat="1" ht="21" customHeight="1">
      <c r="A172" s="183">
        <v>165</v>
      </c>
      <c r="B172" s="184" t="str">
        <f>IF('Marks Entry'!B172="","",'Marks Entry'!B172)</f>
        <v/>
      </c>
      <c r="C172" s="185" t="str">
        <f>IF('Marks Entry'!D172="","",'Marks Entry'!D172)</f>
        <v/>
      </c>
      <c r="D172" s="186" t="str">
        <f>IF('Marks Entry'!E172="","",'Marks Entry'!E172)</f>
        <v/>
      </c>
      <c r="E172" s="187" t="str">
        <f>IF('Marks Entry'!F172="","",'Marks Entry'!F172)</f>
        <v/>
      </c>
      <c r="F172" s="187" t="str">
        <f>IF('Marks Entry'!G172="","",'Marks Entry'!G172)</f>
        <v/>
      </c>
      <c r="G172" s="187" t="str">
        <f>IF('Marks Entry'!H172="","",'Marks Entry'!H172)</f>
        <v/>
      </c>
      <c r="H172" s="188" t="str">
        <f>IF('Marks Entry'!I172="","",'Marks Entry'!I172)</f>
        <v/>
      </c>
      <c r="I172" s="189" t="str">
        <f>IF('Marks Entry'!J172="","",'Marks Entry'!J172)</f>
        <v/>
      </c>
      <c r="J172" s="545" t="str">
        <f>IF('Marks Entry'!K172="","",'Marks Entry'!K172)</f>
        <v/>
      </c>
      <c r="K172" s="545" t="str">
        <f>IF('Marks Entry'!L172="","",'Marks Entry'!L172)</f>
        <v/>
      </c>
      <c r="L172" s="545" t="str">
        <f>IF('Marks Entry'!M172="","",'Marks Entry'!M172)</f>
        <v/>
      </c>
      <c r="M172" s="546" t="str">
        <f t="shared" si="412"/>
        <v/>
      </c>
      <c r="N172" s="545" t="str">
        <f>IF('Marks Entry'!N172="","",'Marks Entry'!N172)</f>
        <v/>
      </c>
      <c r="O172" s="546" t="str">
        <f t="shared" si="413"/>
        <v/>
      </c>
      <c r="P172" s="545" t="str">
        <f>IF('Marks Entry'!O172="","",'Marks Entry'!O172)</f>
        <v/>
      </c>
      <c r="Q172" s="547" t="str">
        <f t="shared" si="414"/>
        <v/>
      </c>
      <c r="R172" s="152">
        <f t="shared" si="415"/>
        <v>0</v>
      </c>
      <c r="S172" s="152">
        <f t="shared" si="416"/>
        <v>0</v>
      </c>
      <c r="T172" s="153" t="str">
        <f t="shared" si="417"/>
        <v/>
      </c>
      <c r="U172" s="152" t="str">
        <f t="shared" si="418"/>
        <v/>
      </c>
      <c r="V172" s="152" t="str">
        <f t="shared" si="419"/>
        <v/>
      </c>
      <c r="W172" s="152" t="str">
        <f t="shared" si="420"/>
        <v/>
      </c>
      <c r="X172" s="545" t="str">
        <f>IF('Marks Entry'!P172="","",'Marks Entry'!P172)</f>
        <v/>
      </c>
      <c r="Y172" s="545" t="str">
        <f>IF('Marks Entry'!Q172="","",'Marks Entry'!Q172)</f>
        <v/>
      </c>
      <c r="Z172" s="545" t="str">
        <f>IF('Marks Entry'!R172="","",'Marks Entry'!R172)</f>
        <v/>
      </c>
      <c r="AA172" s="546" t="str">
        <f t="shared" si="421"/>
        <v/>
      </c>
      <c r="AB172" s="545" t="str">
        <f>IF('Marks Entry'!S172="","",'Marks Entry'!S172)</f>
        <v/>
      </c>
      <c r="AC172" s="546" t="str">
        <f t="shared" si="422"/>
        <v/>
      </c>
      <c r="AD172" s="545" t="str">
        <f>IF('Marks Entry'!T172="","",'Marks Entry'!T172)</f>
        <v/>
      </c>
      <c r="AE172" s="547" t="str">
        <f t="shared" si="423"/>
        <v/>
      </c>
      <c r="AF172" s="152">
        <f t="shared" si="424"/>
        <v>0</v>
      </c>
      <c r="AG172" s="152">
        <f t="shared" si="425"/>
        <v>0</v>
      </c>
      <c r="AH172" s="153" t="str">
        <f t="shared" si="426"/>
        <v/>
      </c>
      <c r="AI172" s="152" t="str">
        <f t="shared" si="427"/>
        <v/>
      </c>
      <c r="AJ172" s="152" t="str">
        <f t="shared" si="428"/>
        <v/>
      </c>
      <c r="AK172" s="152" t="str">
        <f t="shared" si="429"/>
        <v/>
      </c>
      <c r="AL172" s="573" t="str">
        <f>IF('Marks Entry'!U172="","",'Marks Entry'!U172)</f>
        <v/>
      </c>
      <c r="AM172" s="573" t="str">
        <f>IF('Marks Entry'!V172="","",'Marks Entry'!V172)</f>
        <v/>
      </c>
      <c r="AN172" s="573" t="str">
        <f>IF('Marks Entry'!W172="","",'Marks Entry'!W172)</f>
        <v/>
      </c>
      <c r="AO172" s="573" t="str">
        <f>IF('Marks Entry'!X172="","",'Marks Entry'!X172)</f>
        <v/>
      </c>
      <c r="AP172" s="572" t="str">
        <f t="shared" si="430"/>
        <v/>
      </c>
      <c r="AQ172" s="573" t="str">
        <f>IF('Marks Entry'!Y172="","",'Marks Entry'!Y172)</f>
        <v/>
      </c>
      <c r="AR172" s="573" t="str">
        <f>IF('Marks Entry'!Z172="","",'Marks Entry'!Z172)</f>
        <v/>
      </c>
      <c r="AS172" s="572" t="str">
        <f t="shared" si="431"/>
        <v/>
      </c>
      <c r="AT172" s="572" t="str">
        <f t="shared" si="432"/>
        <v/>
      </c>
      <c r="AU172" s="573" t="str">
        <f>IF('Marks Entry'!AA172="","",'Marks Entry'!AA172)</f>
        <v/>
      </c>
      <c r="AV172" s="573" t="str">
        <f>IF('Marks Entry'!AB172="","",'Marks Entry'!AB172)</f>
        <v/>
      </c>
      <c r="AW172" s="572" t="str">
        <f t="shared" si="433"/>
        <v/>
      </c>
      <c r="AX172" s="156" t="str">
        <f t="shared" si="434"/>
        <v/>
      </c>
      <c r="AY172" s="156" t="str">
        <f t="shared" si="435"/>
        <v/>
      </c>
      <c r="AZ172" s="191" t="str">
        <f t="shared" si="436"/>
        <v/>
      </c>
      <c r="BA172" s="152">
        <f t="shared" si="437"/>
        <v>0</v>
      </c>
      <c r="BB172" s="153">
        <f t="shared" si="438"/>
        <v>0</v>
      </c>
      <c r="BC172" s="153" t="str">
        <f t="shared" si="439"/>
        <v/>
      </c>
      <c r="BD172" s="153" t="str">
        <f t="shared" si="440"/>
        <v/>
      </c>
      <c r="BE172" s="153" t="str">
        <f t="shared" si="441"/>
        <v/>
      </c>
      <c r="BF172" s="152" t="str">
        <f t="shared" si="442"/>
        <v/>
      </c>
      <c r="BG172" s="153" t="str">
        <f t="shared" si="443"/>
        <v/>
      </c>
      <c r="BH172" s="152" t="str">
        <f t="shared" si="444"/>
        <v/>
      </c>
      <c r="BI172" s="580" t="str">
        <f>IF('Marks Entry'!AC172="","",'Marks Entry'!AC172)</f>
        <v/>
      </c>
      <c r="BJ172" s="580" t="str">
        <f>IF('Marks Entry'!AD172="","",'Marks Entry'!AD172)</f>
        <v/>
      </c>
      <c r="BK172" s="580" t="str">
        <f>IF('Marks Entry'!AE172="","",'Marks Entry'!AE172)</f>
        <v/>
      </c>
      <c r="BL172" s="580" t="str">
        <f>IF('Marks Entry'!AF172="","",'Marks Entry'!AF172)</f>
        <v/>
      </c>
      <c r="BM172" s="581" t="str">
        <f t="shared" si="445"/>
        <v/>
      </c>
      <c r="BN172" s="580" t="str">
        <f>IF('Marks Entry'!AG172="","",'Marks Entry'!AG172)</f>
        <v/>
      </c>
      <c r="BO172" s="580" t="str">
        <f>IF('Marks Entry'!AH172="","",'Marks Entry'!AH172)</f>
        <v/>
      </c>
      <c r="BP172" s="581" t="str">
        <f t="shared" si="446"/>
        <v/>
      </c>
      <c r="BQ172" s="581" t="str">
        <f t="shared" si="447"/>
        <v/>
      </c>
      <c r="BR172" s="580" t="str">
        <f>IF('Marks Entry'!AI172="","",'Marks Entry'!AI172)</f>
        <v/>
      </c>
      <c r="BS172" s="580" t="str">
        <f>IF('Marks Entry'!AJ172="","",'Marks Entry'!AJ172)</f>
        <v/>
      </c>
      <c r="BT172" s="581" t="str">
        <f t="shared" si="448"/>
        <v/>
      </c>
      <c r="BU172" s="156" t="str">
        <f t="shared" si="449"/>
        <v/>
      </c>
      <c r="BV172" s="156" t="str">
        <f t="shared" si="450"/>
        <v/>
      </c>
      <c r="BW172" s="191" t="str">
        <f t="shared" si="451"/>
        <v/>
      </c>
      <c r="BX172" s="152">
        <f t="shared" si="452"/>
        <v>0</v>
      </c>
      <c r="BY172" s="153">
        <f t="shared" si="453"/>
        <v>0</v>
      </c>
      <c r="BZ172" s="153" t="str">
        <f t="shared" si="454"/>
        <v/>
      </c>
      <c r="CA172" s="153" t="str">
        <f t="shared" si="455"/>
        <v/>
      </c>
      <c r="CB172" s="153" t="str">
        <f t="shared" si="456"/>
        <v/>
      </c>
      <c r="CC172" s="152" t="str">
        <f t="shared" si="457"/>
        <v/>
      </c>
      <c r="CD172" s="153" t="str">
        <f t="shared" si="458"/>
        <v/>
      </c>
      <c r="CE172" s="152" t="str">
        <f t="shared" si="459"/>
        <v/>
      </c>
      <c r="CF172" s="580" t="str">
        <f>IF('Marks Entry'!AK172="","",'Marks Entry'!AK172)</f>
        <v/>
      </c>
      <c r="CG172" s="580" t="str">
        <f>IF('Marks Entry'!AL172="","",'Marks Entry'!AL172)</f>
        <v/>
      </c>
      <c r="CH172" s="580" t="str">
        <f>IF('Marks Entry'!AM172="","",'Marks Entry'!AM172)</f>
        <v/>
      </c>
      <c r="CI172" s="580" t="str">
        <f>IF('Marks Entry'!AN172="","",'Marks Entry'!AN172)</f>
        <v/>
      </c>
      <c r="CJ172" s="581" t="str">
        <f t="shared" si="460"/>
        <v/>
      </c>
      <c r="CK172" s="580" t="str">
        <f>IF('Marks Entry'!AO172="","",'Marks Entry'!AO172)</f>
        <v/>
      </c>
      <c r="CL172" s="580" t="str">
        <f>IF('Marks Entry'!AP172="","",'Marks Entry'!AP172)</f>
        <v/>
      </c>
      <c r="CM172" s="581" t="str">
        <f t="shared" si="461"/>
        <v/>
      </c>
      <c r="CN172" s="581" t="str">
        <f t="shared" si="462"/>
        <v/>
      </c>
      <c r="CO172" s="580" t="str">
        <f>IF('Marks Entry'!AQ172="","",'Marks Entry'!AQ172)</f>
        <v/>
      </c>
      <c r="CP172" s="580" t="str">
        <f>IF('Marks Entry'!AR172="","",'Marks Entry'!AR172)</f>
        <v/>
      </c>
      <c r="CQ172" s="581" t="str">
        <f t="shared" si="463"/>
        <v/>
      </c>
      <c r="CR172" s="156" t="str">
        <f t="shared" si="464"/>
        <v/>
      </c>
      <c r="CS172" s="156" t="str">
        <f t="shared" si="465"/>
        <v/>
      </c>
      <c r="CT172" s="191" t="str">
        <f t="shared" si="466"/>
        <v/>
      </c>
      <c r="CU172" s="152">
        <f t="shared" si="467"/>
        <v>0</v>
      </c>
      <c r="CV172" s="153">
        <f t="shared" si="468"/>
        <v>0</v>
      </c>
      <c r="CW172" s="153" t="str">
        <f t="shared" si="469"/>
        <v/>
      </c>
      <c r="CX172" s="153" t="str">
        <f t="shared" si="470"/>
        <v/>
      </c>
      <c r="CY172" s="153" t="str">
        <f t="shared" si="471"/>
        <v/>
      </c>
      <c r="CZ172" s="152" t="str">
        <f t="shared" si="472"/>
        <v/>
      </c>
      <c r="DA172" s="153" t="str">
        <f t="shared" si="473"/>
        <v/>
      </c>
      <c r="DB172" s="152" t="str">
        <f t="shared" si="474"/>
        <v/>
      </c>
      <c r="DC172" s="153">
        <f t="shared" si="475"/>
        <v>0</v>
      </c>
      <c r="DD172" s="851" t="str">
        <f>IF('Marks Entry'!AS172="","",IF(OR('Master Sheet'!$D$19="YES",'Marks Entry'!$BA$1=1),'Marks Entry'!AS172,""))</f>
        <v/>
      </c>
      <c r="DE172" s="851" t="str">
        <f>IF('Marks Entry'!AT172="","",IF(OR('Master Sheet'!$D$19="YES",'Marks Entry'!$BA$1=1),'Marks Entry'!AT172,""))</f>
        <v/>
      </c>
      <c r="DF172" s="851" t="str">
        <f>IF('Marks Entry'!AU172="","",IF(OR('Master Sheet'!$D$19="YES",'Marks Entry'!$BA$1=1),'Marks Entry'!AU172,""))</f>
        <v/>
      </c>
      <c r="DG172" s="851" t="str">
        <f>IF('Marks Entry'!AV172="","",IF(OR('Master Sheet'!$D$19="YES",'Marks Entry'!$BA$1=1),'Marks Entry'!AV172,""))</f>
        <v/>
      </c>
      <c r="DH172" s="852" t="str">
        <f t="shared" si="476"/>
        <v/>
      </c>
      <c r="DI172" s="851" t="str">
        <f>IF('Marks Entry'!AW172="","",IF(OR('Master Sheet'!$D$19="YES",'Marks Entry'!$BA$1=1),'Marks Entry'!AW172,""))</f>
        <v/>
      </c>
      <c r="DJ172" s="851" t="str">
        <f>IF('Marks Entry'!AX172="","",IF(OR('Master Sheet'!$D$19="YES",'Marks Entry'!$BA$1=1),'Marks Entry'!AX172,""))</f>
        <v/>
      </c>
      <c r="DK172" s="852" t="str">
        <f t="shared" si="477"/>
        <v/>
      </c>
      <c r="DL172" s="852" t="str">
        <f t="shared" si="478"/>
        <v/>
      </c>
      <c r="DM172" s="851" t="str">
        <f>IF('Marks Entry'!AY172="","",IF(OR('Master Sheet'!$D$19="YES",'Marks Entry'!$BA$1=1),'Marks Entry'!AY172,""))</f>
        <v/>
      </c>
      <c r="DN172" s="851" t="str">
        <f>IF('Marks Entry'!AZ172="","",IF(OR('Master Sheet'!$D$19="YES",'Marks Entry'!$BA$1=1),'Marks Entry'!AZ172,""))</f>
        <v/>
      </c>
      <c r="DO172" s="851" t="str">
        <f>IF('Marks Entry'!BA172="","",IF(OR('Master Sheet'!$D$19="YES",'Marks Entry'!$BA$1=1),'Marks Entry'!BA172,""))</f>
        <v/>
      </c>
      <c r="DP172" s="852" t="str">
        <f t="shared" si="479"/>
        <v/>
      </c>
      <c r="DQ172" s="156" t="str">
        <f t="shared" si="480"/>
        <v/>
      </c>
      <c r="DR172" s="156" t="str">
        <f t="shared" si="481"/>
        <v/>
      </c>
      <c r="DS172" s="156" t="str">
        <f t="shared" si="482"/>
        <v/>
      </c>
      <c r="DT172" s="191" t="str">
        <f t="shared" si="483"/>
        <v/>
      </c>
      <c r="DU172" s="152">
        <f t="shared" si="484"/>
        <v>0</v>
      </c>
      <c r="DV172" s="153">
        <f t="shared" si="485"/>
        <v>0</v>
      </c>
      <c r="DW172" s="153" t="str">
        <f t="shared" si="486"/>
        <v/>
      </c>
      <c r="DX172" s="153" t="str">
        <f>IF(OR($B172="NSO",$B172=0,DS172=""),"",IF(AND(DJ172="",DO172=""),"",IF('Master Sheet'!$D$19="YES",$DO$6-COUNTIF(DO172,"ML")*DO$6,DS$6-(COUNTIF(DJ172,"ML")*DJ$6)-(COUNTIF(DO172,"ML")*DO$6))))</f>
        <v/>
      </c>
      <c r="DY172" s="153" t="str">
        <f>IF(OR($B172="NSO",$B172=0),"",IF(AND(DH172="",DI172="",DM172=""),"",IF(AND('Master Sheet'!$D$19="YES",'Marks Entry'!$BA$1=1),100,IF(AND(DJ172="",DO172=""),SUM(($DQ$7+$DR$7)-(DU172+DV172)),SUM(($DQ$6+$DR$6)-(DU172+DV172))))))</f>
        <v/>
      </c>
      <c r="DZ172" s="152" t="str">
        <f t="shared" si="487"/>
        <v/>
      </c>
      <c r="EA172" s="153" t="str">
        <f t="shared" si="488"/>
        <v/>
      </c>
      <c r="EB172" s="152" t="str">
        <f t="shared" si="489"/>
        <v/>
      </c>
      <c r="EC172" s="584" t="str">
        <f>IF('Marks Entry'!BB172="","",'Marks Entry'!BB172)</f>
        <v/>
      </c>
      <c r="ED172" s="584" t="str">
        <f>IF('Marks Entry'!BC172="","",'Marks Entry'!BC172)</f>
        <v/>
      </c>
      <c r="EE172" s="584" t="str">
        <f>IF('Marks Entry'!BD172="","",'Marks Entry'!BD172)</f>
        <v/>
      </c>
      <c r="EF172" s="590" t="str">
        <f t="shared" si="490"/>
        <v/>
      </c>
      <c r="EG172" s="595">
        <f t="shared" si="491"/>
        <v>0</v>
      </c>
      <c r="EH172" s="595">
        <f t="shared" si="492"/>
        <v>0</v>
      </c>
      <c r="EI172" s="192" t="str">
        <f t="shared" si="493"/>
        <v/>
      </c>
      <c r="EJ172" s="595" t="str">
        <f t="shared" si="494"/>
        <v/>
      </c>
      <c r="EK172" s="595" t="str">
        <f t="shared" si="495"/>
        <v/>
      </c>
      <c r="EL172" s="193" t="str">
        <f t="shared" si="496"/>
        <v/>
      </c>
      <c r="EM172" s="193" t="str">
        <f t="shared" si="497"/>
        <v/>
      </c>
      <c r="EN172" s="193" t="str">
        <f t="shared" si="498"/>
        <v/>
      </c>
      <c r="EO172" s="193" t="str">
        <f t="shared" si="499"/>
        <v/>
      </c>
      <c r="EP172" s="193" t="str">
        <f t="shared" si="500"/>
        <v/>
      </c>
      <c r="EQ172" s="193" t="str">
        <f t="shared" si="501"/>
        <v/>
      </c>
      <c r="ER172" s="194">
        <f t="shared" si="502"/>
        <v>0</v>
      </c>
      <c r="ES172" s="194">
        <f t="shared" si="503"/>
        <v>0</v>
      </c>
      <c r="ET172" s="194">
        <f t="shared" si="504"/>
        <v>0</v>
      </c>
      <c r="EU172" s="194">
        <f t="shared" si="505"/>
        <v>0</v>
      </c>
      <c r="EV172" s="194">
        <f t="shared" si="506"/>
        <v>0</v>
      </c>
      <c r="EW172" s="194" t="str">
        <f t="shared" si="507"/>
        <v/>
      </c>
      <c r="EX172" s="195" t="str">
        <f t="shared" si="508"/>
        <v/>
      </c>
      <c r="EY172" s="196" t="str">
        <f>IF('Marks Entry'!BE172="","",'Marks Entry'!BE172)</f>
        <v/>
      </c>
      <c r="EZ172" s="196" t="str">
        <f>IF('Marks Entry'!BF172="","",'Marks Entry'!BF172)</f>
        <v/>
      </c>
      <c r="FA172" s="196" t="str">
        <f>IF('Marks Entry'!BG172="","",'Marks Entry'!BG172)</f>
        <v/>
      </c>
      <c r="FB172" s="596" t="str">
        <f t="shared" si="509"/>
        <v/>
      </c>
      <c r="FC172" s="196" t="str">
        <f>IF('Marks Entry'!BH172="","",'Marks Entry'!BH172)</f>
        <v/>
      </c>
      <c r="FD172" s="196" t="str">
        <f>IF('Marks Entry'!BI172="","",'Marks Entry'!BI172)</f>
        <v/>
      </c>
      <c r="FE172" s="197" t="str">
        <f t="shared" si="510"/>
        <v/>
      </c>
      <c r="FF172" s="198" t="str">
        <f t="shared" si="511"/>
        <v/>
      </c>
      <c r="FG172" s="199" t="str">
        <f>IF(AND(E172=""),"",IF('Student DATA Entry'!L168="","",'Student DATA Entry'!L168))</f>
        <v/>
      </c>
      <c r="FH172" s="200" t="str">
        <f>IF(AND(E172=""),"",IF('Student DATA Entry'!M168="","",'Student DATA Entry'!M168))</f>
        <v/>
      </c>
      <c r="FI172" s="201" t="str">
        <f t="shared" si="512"/>
        <v/>
      </c>
      <c r="FJ172" s="188" t="str">
        <f t="shared" si="513"/>
        <v/>
      </c>
      <c r="FK172" s="188" t="str">
        <f t="shared" si="514"/>
        <v/>
      </c>
      <c r="FL172" s="202" t="str">
        <f t="shared" si="542"/>
        <v/>
      </c>
      <c r="FM172" s="188" t="str">
        <f t="shared" si="515"/>
        <v/>
      </c>
      <c r="FN172" s="203" t="str">
        <f t="shared" si="516"/>
        <v/>
      </c>
      <c r="FO172" s="202" t="str">
        <f t="shared" si="543"/>
        <v/>
      </c>
      <c r="FP172" s="204" t="str">
        <f t="shared" si="517"/>
        <v/>
      </c>
      <c r="FQ172" s="188" t="str">
        <f t="shared" si="544"/>
        <v/>
      </c>
      <c r="FR172" s="188" t="str">
        <f t="shared" si="545"/>
        <v/>
      </c>
      <c r="FS172" s="188" t="str">
        <f t="shared" si="546"/>
        <v/>
      </c>
      <c r="FT172" s="188" t="str">
        <f t="shared" si="547"/>
        <v/>
      </c>
      <c r="FU172" s="188" t="str">
        <f t="shared" si="518"/>
        <v/>
      </c>
      <c r="FV172" s="205" t="str">
        <f t="shared" si="548"/>
        <v/>
      </c>
      <c r="FW172" s="204" t="str">
        <f t="shared" si="519"/>
        <v/>
      </c>
      <c r="FX172" s="188" t="str">
        <f t="shared" si="549"/>
        <v/>
      </c>
      <c r="FY172" s="188" t="str">
        <f t="shared" si="550"/>
        <v/>
      </c>
      <c r="FZ172" s="188" t="str">
        <f t="shared" si="551"/>
        <v/>
      </c>
      <c r="GA172" s="188" t="str">
        <f t="shared" si="552"/>
        <v/>
      </c>
      <c r="GB172" s="188" t="str">
        <f t="shared" si="520"/>
        <v/>
      </c>
      <c r="GC172" s="205" t="str">
        <f t="shared" si="553"/>
        <v/>
      </c>
      <c r="GD172" s="204" t="str">
        <f t="shared" si="521"/>
        <v/>
      </c>
      <c r="GE172" s="188" t="str">
        <f t="shared" si="554"/>
        <v/>
      </c>
      <c r="GF172" s="188" t="str">
        <f t="shared" si="555"/>
        <v/>
      </c>
      <c r="GG172" s="188" t="str">
        <f t="shared" si="556"/>
        <v/>
      </c>
      <c r="GH172" s="188" t="str">
        <f t="shared" si="557"/>
        <v/>
      </c>
      <c r="GI172" s="188" t="str">
        <f t="shared" si="522"/>
        <v/>
      </c>
      <c r="GJ172" s="205" t="str">
        <f t="shared" si="558"/>
        <v/>
      </c>
      <c r="GK172" s="204" t="str">
        <f t="shared" si="523"/>
        <v/>
      </c>
      <c r="GL172" s="188" t="str">
        <f t="shared" si="559"/>
        <v/>
      </c>
      <c r="GM172" s="188" t="str">
        <f t="shared" si="560"/>
        <v/>
      </c>
      <c r="GN172" s="188" t="str">
        <f t="shared" si="561"/>
        <v/>
      </c>
      <c r="GO172" s="188" t="str">
        <f t="shared" si="562"/>
        <v/>
      </c>
      <c r="GP172" s="188" t="str">
        <f t="shared" si="524"/>
        <v/>
      </c>
      <c r="GQ172" s="205" t="str">
        <f t="shared" si="563"/>
        <v/>
      </c>
      <c r="GR172" s="188" t="str">
        <f t="shared" si="525"/>
        <v/>
      </c>
      <c r="GS172" s="188" t="str">
        <f t="shared" si="526"/>
        <v/>
      </c>
      <c r="GT172" s="206" t="str">
        <f t="shared" si="527"/>
        <v xml:space="preserve">    </v>
      </c>
      <c r="GU172" s="206" t="str">
        <f t="shared" si="528"/>
        <v xml:space="preserve">    </v>
      </c>
      <c r="GV172" s="206" t="str">
        <f t="shared" si="529"/>
        <v xml:space="preserve">    </v>
      </c>
      <c r="GW172" s="206" t="str">
        <f t="shared" si="530"/>
        <v xml:space="preserve">       </v>
      </c>
      <c r="GX172" s="598" t="str">
        <f t="shared" si="531"/>
        <v xml:space="preserve">     </v>
      </c>
      <c r="GY172" s="207" t="str">
        <f t="shared" si="564"/>
        <v/>
      </c>
      <c r="GZ172" s="606" t="str">
        <f>IF(AND(Q172="",AE172="",AZ172="",BW172="",CT172=""),"",IF(AND('Master Sheet'!$D$19="YES",'Marks Entry'!$BA$1=1),SUM(Q172,AE172,AZ172,BW172,DT172),SUM(Q172,AE172,AZ172,BW172,CT172)))</f>
        <v/>
      </c>
      <c r="HA172" s="208" t="str">
        <f>IF(GZ172="","",IF(AND('Master Sheet'!$D$19="YES",'Marks Entry'!$BA$1=1),GZ172/((900)-DC172)*100,GZ172/((1000)-DC172)*100))</f>
        <v/>
      </c>
      <c r="HB172" s="611" t="str">
        <f t="shared" si="532"/>
        <v/>
      </c>
      <c r="HC172" s="609" t="str">
        <f t="shared" si="533"/>
        <v/>
      </c>
      <c r="HD172" s="610" t="str">
        <f t="shared" si="534"/>
        <v/>
      </c>
      <c r="HE172" s="209" t="str">
        <f>IFERROR(IF(OR(GY172="SUPPLEMENTARY",GY172="RE-EXAM"),'Supp. Result Entry'!AS171,""),"")</f>
        <v/>
      </c>
      <c r="HF172" s="613" t="str">
        <f t="shared" si="535"/>
        <v/>
      </c>
      <c r="HG172" s="598" t="str">
        <f t="shared" si="536"/>
        <v/>
      </c>
      <c r="HH172" s="598" t="str">
        <f>IF(AND(HE172="",HF172="",HG172=""),"",IF(OR(GY172="SUPPLEMENTARY",GY172="RE-EXAM"),'Supp. Result Entry'!AS171,GY172))</f>
        <v/>
      </c>
      <c r="HI172" s="179"/>
      <c r="HY172" s="211" t="str">
        <f>IF('Supp. Result Entry'!U171="","",'Supp. Result Entry'!$U$6)</f>
        <v/>
      </c>
      <c r="HZ172" s="212" t="str">
        <f>IF('Supp. Result Entry'!X171="","",'Supp. Result Entry'!$X$6)</f>
        <v/>
      </c>
      <c r="IA172" s="212" t="str">
        <f>IF('Supp. Result Entry'!AA171="","",'Supp. Result Entry'!$AA$6)</f>
        <v/>
      </c>
      <c r="IB172" s="212" t="str">
        <f>IF('Supp. Result Entry'!AD171="","",'Supp. Result Entry'!$AD$6)</f>
        <v/>
      </c>
      <c r="IC172" s="212" t="str">
        <f>IF('Supp. Result Entry'!AG171="","",'Supp. Result Entry'!$AG$6)</f>
        <v/>
      </c>
      <c r="ID172" s="212" t="str">
        <f>IF('Supp. Result Entry'!AJ171="","",'Supp. Result Entry'!$AJ$6)</f>
        <v/>
      </c>
      <c r="IE172" s="212" t="str">
        <f>IF('Supp. Result Entry'!V171="","",'Supp. Result Entry'!V171)</f>
        <v/>
      </c>
      <c r="IF172" s="212" t="str">
        <f>IF('Supp. Result Entry'!Y171="","",'Supp. Result Entry'!Y171)</f>
        <v/>
      </c>
      <c r="IG172" s="212" t="str">
        <f>IF('Supp. Result Entry'!AB171="","",'Supp. Result Entry'!AB171)</f>
        <v/>
      </c>
      <c r="IH172" s="212" t="str">
        <f>IF('Supp. Result Entry'!AE171="","",'Supp. Result Entry'!AE171)</f>
        <v/>
      </c>
      <c r="II172" s="212" t="str">
        <f>IF('Supp. Result Entry'!AH171="","",'Supp. Result Entry'!AH171)</f>
        <v/>
      </c>
      <c r="IJ172" s="212" t="str">
        <f>IF('Supp. Result Entry'!AK171="","",'Supp. Result Entry'!AK171)</f>
        <v/>
      </c>
      <c r="IK172" s="212" t="str">
        <f>IF('Supp. Result Entry'!W171="","",'Supp. Result Entry'!W171)</f>
        <v/>
      </c>
      <c r="IL172" s="212" t="str">
        <f>IF('Supp. Result Entry'!Z171="","",'Supp. Result Entry'!Z171)</f>
        <v/>
      </c>
      <c r="IM172" s="212" t="str">
        <f>IF('Supp. Result Entry'!AC171="","",'Supp. Result Entry'!AC171)</f>
        <v/>
      </c>
      <c r="IN172" s="212" t="str">
        <f>IF('Supp. Result Entry'!AF171="","",'Supp. Result Entry'!AF171)</f>
        <v/>
      </c>
      <c r="IO172" s="212" t="str">
        <f>IF('Supp. Result Entry'!AI171="","",'Supp. Result Entry'!AI171)</f>
        <v/>
      </c>
      <c r="IP172" s="212" t="str">
        <f>IF('Supp. Result Entry'!AL171="","",'Supp. Result Entry'!AL171)</f>
        <v/>
      </c>
      <c r="IQ172" s="212">
        <f>COUNTIF('Supp. Result Entry'!K171:Q171,"S")</f>
        <v>0</v>
      </c>
      <c r="IR172" s="212">
        <f t="shared" si="537"/>
        <v>0</v>
      </c>
      <c r="IS172" s="212">
        <f t="shared" si="538"/>
        <v>0</v>
      </c>
      <c r="IT172" s="212" t="str">
        <f t="shared" si="406"/>
        <v/>
      </c>
      <c r="IU172" s="212" t="str">
        <f t="shared" si="407"/>
        <v/>
      </c>
      <c r="IV172" s="212" t="str">
        <f t="shared" si="408"/>
        <v/>
      </c>
      <c r="IW172" s="212" t="str">
        <f t="shared" si="409"/>
        <v/>
      </c>
      <c r="IX172" s="212" t="str">
        <f t="shared" si="410"/>
        <v/>
      </c>
      <c r="IY172" s="212" t="str">
        <f t="shared" si="539"/>
        <v/>
      </c>
      <c r="IZ172" s="212" t="str">
        <f t="shared" si="540"/>
        <v/>
      </c>
      <c r="JA172" s="212" t="str">
        <f t="shared" si="411"/>
        <v/>
      </c>
      <c r="JB172" s="210" t="str">
        <f t="shared" si="541"/>
        <v/>
      </c>
    </row>
    <row r="173" spans="1:262" s="210" customFormat="1" ht="21" customHeight="1">
      <c r="A173" s="183">
        <v>166</v>
      </c>
      <c r="B173" s="184" t="str">
        <f>IF('Marks Entry'!B173="","",'Marks Entry'!B173)</f>
        <v/>
      </c>
      <c r="C173" s="185" t="str">
        <f>IF('Marks Entry'!D173="","",'Marks Entry'!D173)</f>
        <v/>
      </c>
      <c r="D173" s="186" t="str">
        <f>IF('Marks Entry'!E173="","",'Marks Entry'!E173)</f>
        <v/>
      </c>
      <c r="E173" s="187" t="str">
        <f>IF('Marks Entry'!F173="","",'Marks Entry'!F173)</f>
        <v/>
      </c>
      <c r="F173" s="187" t="str">
        <f>IF('Marks Entry'!G173="","",'Marks Entry'!G173)</f>
        <v/>
      </c>
      <c r="G173" s="187" t="str">
        <f>IF('Marks Entry'!H173="","",'Marks Entry'!H173)</f>
        <v/>
      </c>
      <c r="H173" s="188" t="str">
        <f>IF('Marks Entry'!I173="","",'Marks Entry'!I173)</f>
        <v/>
      </c>
      <c r="I173" s="189" t="str">
        <f>IF('Marks Entry'!J173="","",'Marks Entry'!J173)</f>
        <v/>
      </c>
      <c r="J173" s="545" t="str">
        <f>IF('Marks Entry'!K173="","",'Marks Entry'!K173)</f>
        <v/>
      </c>
      <c r="K173" s="545" t="str">
        <f>IF('Marks Entry'!L173="","",'Marks Entry'!L173)</f>
        <v/>
      </c>
      <c r="L173" s="545" t="str">
        <f>IF('Marks Entry'!M173="","",'Marks Entry'!M173)</f>
        <v/>
      </c>
      <c r="M173" s="546" t="str">
        <f t="shared" si="412"/>
        <v/>
      </c>
      <c r="N173" s="545" t="str">
        <f>IF('Marks Entry'!N173="","",'Marks Entry'!N173)</f>
        <v/>
      </c>
      <c r="O173" s="546" t="str">
        <f t="shared" si="413"/>
        <v/>
      </c>
      <c r="P173" s="545" t="str">
        <f>IF('Marks Entry'!O173="","",'Marks Entry'!O173)</f>
        <v/>
      </c>
      <c r="Q173" s="547" t="str">
        <f t="shared" si="414"/>
        <v/>
      </c>
      <c r="R173" s="152">
        <f t="shared" si="415"/>
        <v>0</v>
      </c>
      <c r="S173" s="152">
        <f t="shared" si="416"/>
        <v>0</v>
      </c>
      <c r="T173" s="153" t="str">
        <f t="shared" si="417"/>
        <v/>
      </c>
      <c r="U173" s="152" t="str">
        <f t="shared" si="418"/>
        <v/>
      </c>
      <c r="V173" s="152" t="str">
        <f t="shared" si="419"/>
        <v/>
      </c>
      <c r="W173" s="152" t="str">
        <f t="shared" si="420"/>
        <v/>
      </c>
      <c r="X173" s="545" t="str">
        <f>IF('Marks Entry'!P173="","",'Marks Entry'!P173)</f>
        <v/>
      </c>
      <c r="Y173" s="545" t="str">
        <f>IF('Marks Entry'!Q173="","",'Marks Entry'!Q173)</f>
        <v/>
      </c>
      <c r="Z173" s="545" t="str">
        <f>IF('Marks Entry'!R173="","",'Marks Entry'!R173)</f>
        <v/>
      </c>
      <c r="AA173" s="546" t="str">
        <f t="shared" si="421"/>
        <v/>
      </c>
      <c r="AB173" s="545" t="str">
        <f>IF('Marks Entry'!S173="","",'Marks Entry'!S173)</f>
        <v/>
      </c>
      <c r="AC173" s="546" t="str">
        <f t="shared" si="422"/>
        <v/>
      </c>
      <c r="AD173" s="545" t="str">
        <f>IF('Marks Entry'!T173="","",'Marks Entry'!T173)</f>
        <v/>
      </c>
      <c r="AE173" s="547" t="str">
        <f t="shared" si="423"/>
        <v/>
      </c>
      <c r="AF173" s="152">
        <f t="shared" si="424"/>
        <v>0</v>
      </c>
      <c r="AG173" s="152">
        <f t="shared" si="425"/>
        <v>0</v>
      </c>
      <c r="AH173" s="153" t="str">
        <f t="shared" si="426"/>
        <v/>
      </c>
      <c r="AI173" s="152" t="str">
        <f t="shared" si="427"/>
        <v/>
      </c>
      <c r="AJ173" s="152" t="str">
        <f t="shared" si="428"/>
        <v/>
      </c>
      <c r="AK173" s="152" t="str">
        <f t="shared" si="429"/>
        <v/>
      </c>
      <c r="AL173" s="573" t="str">
        <f>IF('Marks Entry'!U173="","",'Marks Entry'!U173)</f>
        <v/>
      </c>
      <c r="AM173" s="573" t="str">
        <f>IF('Marks Entry'!V173="","",'Marks Entry'!V173)</f>
        <v/>
      </c>
      <c r="AN173" s="573" t="str">
        <f>IF('Marks Entry'!W173="","",'Marks Entry'!W173)</f>
        <v/>
      </c>
      <c r="AO173" s="573" t="str">
        <f>IF('Marks Entry'!X173="","",'Marks Entry'!X173)</f>
        <v/>
      </c>
      <c r="AP173" s="572" t="str">
        <f t="shared" si="430"/>
        <v/>
      </c>
      <c r="AQ173" s="573" t="str">
        <f>IF('Marks Entry'!Y173="","",'Marks Entry'!Y173)</f>
        <v/>
      </c>
      <c r="AR173" s="573" t="str">
        <f>IF('Marks Entry'!Z173="","",'Marks Entry'!Z173)</f>
        <v/>
      </c>
      <c r="AS173" s="572" t="str">
        <f t="shared" si="431"/>
        <v/>
      </c>
      <c r="AT173" s="572" t="str">
        <f t="shared" si="432"/>
        <v/>
      </c>
      <c r="AU173" s="573" t="str">
        <f>IF('Marks Entry'!AA173="","",'Marks Entry'!AA173)</f>
        <v/>
      </c>
      <c r="AV173" s="573" t="str">
        <f>IF('Marks Entry'!AB173="","",'Marks Entry'!AB173)</f>
        <v/>
      </c>
      <c r="AW173" s="572" t="str">
        <f t="shared" si="433"/>
        <v/>
      </c>
      <c r="AX173" s="156" t="str">
        <f t="shared" si="434"/>
        <v/>
      </c>
      <c r="AY173" s="156" t="str">
        <f t="shared" si="435"/>
        <v/>
      </c>
      <c r="AZ173" s="191" t="str">
        <f t="shared" si="436"/>
        <v/>
      </c>
      <c r="BA173" s="152">
        <f t="shared" si="437"/>
        <v>0</v>
      </c>
      <c r="BB173" s="153">
        <f t="shared" si="438"/>
        <v>0</v>
      </c>
      <c r="BC173" s="153" t="str">
        <f t="shared" si="439"/>
        <v/>
      </c>
      <c r="BD173" s="153" t="str">
        <f t="shared" si="440"/>
        <v/>
      </c>
      <c r="BE173" s="153" t="str">
        <f t="shared" si="441"/>
        <v/>
      </c>
      <c r="BF173" s="152" t="str">
        <f t="shared" si="442"/>
        <v/>
      </c>
      <c r="BG173" s="153" t="str">
        <f t="shared" si="443"/>
        <v/>
      </c>
      <c r="BH173" s="152" t="str">
        <f t="shared" si="444"/>
        <v/>
      </c>
      <c r="BI173" s="580" t="str">
        <f>IF('Marks Entry'!AC173="","",'Marks Entry'!AC173)</f>
        <v/>
      </c>
      <c r="BJ173" s="580" t="str">
        <f>IF('Marks Entry'!AD173="","",'Marks Entry'!AD173)</f>
        <v/>
      </c>
      <c r="BK173" s="580" t="str">
        <f>IF('Marks Entry'!AE173="","",'Marks Entry'!AE173)</f>
        <v/>
      </c>
      <c r="BL173" s="580" t="str">
        <f>IF('Marks Entry'!AF173="","",'Marks Entry'!AF173)</f>
        <v/>
      </c>
      <c r="BM173" s="581" t="str">
        <f t="shared" si="445"/>
        <v/>
      </c>
      <c r="BN173" s="580" t="str">
        <f>IF('Marks Entry'!AG173="","",'Marks Entry'!AG173)</f>
        <v/>
      </c>
      <c r="BO173" s="580" t="str">
        <f>IF('Marks Entry'!AH173="","",'Marks Entry'!AH173)</f>
        <v/>
      </c>
      <c r="BP173" s="581" t="str">
        <f t="shared" si="446"/>
        <v/>
      </c>
      <c r="BQ173" s="581" t="str">
        <f t="shared" si="447"/>
        <v/>
      </c>
      <c r="BR173" s="580" t="str">
        <f>IF('Marks Entry'!AI173="","",'Marks Entry'!AI173)</f>
        <v/>
      </c>
      <c r="BS173" s="580" t="str">
        <f>IF('Marks Entry'!AJ173="","",'Marks Entry'!AJ173)</f>
        <v/>
      </c>
      <c r="BT173" s="581" t="str">
        <f t="shared" si="448"/>
        <v/>
      </c>
      <c r="BU173" s="156" t="str">
        <f t="shared" si="449"/>
        <v/>
      </c>
      <c r="BV173" s="156" t="str">
        <f t="shared" si="450"/>
        <v/>
      </c>
      <c r="BW173" s="191" t="str">
        <f t="shared" si="451"/>
        <v/>
      </c>
      <c r="BX173" s="152">
        <f t="shared" si="452"/>
        <v>0</v>
      </c>
      <c r="BY173" s="153">
        <f t="shared" si="453"/>
        <v>0</v>
      </c>
      <c r="BZ173" s="153" t="str">
        <f t="shared" si="454"/>
        <v/>
      </c>
      <c r="CA173" s="153" t="str">
        <f t="shared" si="455"/>
        <v/>
      </c>
      <c r="CB173" s="153" t="str">
        <f t="shared" si="456"/>
        <v/>
      </c>
      <c r="CC173" s="152" t="str">
        <f t="shared" si="457"/>
        <v/>
      </c>
      <c r="CD173" s="153" t="str">
        <f t="shared" si="458"/>
        <v/>
      </c>
      <c r="CE173" s="152" t="str">
        <f t="shared" si="459"/>
        <v/>
      </c>
      <c r="CF173" s="580" t="str">
        <f>IF('Marks Entry'!AK173="","",'Marks Entry'!AK173)</f>
        <v/>
      </c>
      <c r="CG173" s="580" t="str">
        <f>IF('Marks Entry'!AL173="","",'Marks Entry'!AL173)</f>
        <v/>
      </c>
      <c r="CH173" s="580" t="str">
        <f>IF('Marks Entry'!AM173="","",'Marks Entry'!AM173)</f>
        <v/>
      </c>
      <c r="CI173" s="580" t="str">
        <f>IF('Marks Entry'!AN173="","",'Marks Entry'!AN173)</f>
        <v/>
      </c>
      <c r="CJ173" s="581" t="str">
        <f t="shared" si="460"/>
        <v/>
      </c>
      <c r="CK173" s="580" t="str">
        <f>IF('Marks Entry'!AO173="","",'Marks Entry'!AO173)</f>
        <v/>
      </c>
      <c r="CL173" s="580" t="str">
        <f>IF('Marks Entry'!AP173="","",'Marks Entry'!AP173)</f>
        <v/>
      </c>
      <c r="CM173" s="581" t="str">
        <f t="shared" si="461"/>
        <v/>
      </c>
      <c r="CN173" s="581" t="str">
        <f t="shared" si="462"/>
        <v/>
      </c>
      <c r="CO173" s="580" t="str">
        <f>IF('Marks Entry'!AQ173="","",'Marks Entry'!AQ173)</f>
        <v/>
      </c>
      <c r="CP173" s="580" t="str">
        <f>IF('Marks Entry'!AR173="","",'Marks Entry'!AR173)</f>
        <v/>
      </c>
      <c r="CQ173" s="581" t="str">
        <f t="shared" si="463"/>
        <v/>
      </c>
      <c r="CR173" s="156" t="str">
        <f t="shared" si="464"/>
        <v/>
      </c>
      <c r="CS173" s="156" t="str">
        <f t="shared" si="465"/>
        <v/>
      </c>
      <c r="CT173" s="191" t="str">
        <f t="shared" si="466"/>
        <v/>
      </c>
      <c r="CU173" s="152">
        <f t="shared" si="467"/>
        <v>0</v>
      </c>
      <c r="CV173" s="153">
        <f t="shared" si="468"/>
        <v>0</v>
      </c>
      <c r="CW173" s="153" t="str">
        <f t="shared" si="469"/>
        <v/>
      </c>
      <c r="CX173" s="153" t="str">
        <f t="shared" si="470"/>
        <v/>
      </c>
      <c r="CY173" s="153" t="str">
        <f t="shared" si="471"/>
        <v/>
      </c>
      <c r="CZ173" s="152" t="str">
        <f t="shared" si="472"/>
        <v/>
      </c>
      <c r="DA173" s="153" t="str">
        <f t="shared" si="473"/>
        <v/>
      </c>
      <c r="DB173" s="152" t="str">
        <f t="shared" si="474"/>
        <v/>
      </c>
      <c r="DC173" s="153">
        <f t="shared" si="475"/>
        <v>0</v>
      </c>
      <c r="DD173" s="851" t="str">
        <f>IF('Marks Entry'!AS173="","",IF(OR('Master Sheet'!$D$19="YES",'Marks Entry'!$BA$1=1),'Marks Entry'!AS173,""))</f>
        <v/>
      </c>
      <c r="DE173" s="851" t="str">
        <f>IF('Marks Entry'!AT173="","",IF(OR('Master Sheet'!$D$19="YES",'Marks Entry'!$BA$1=1),'Marks Entry'!AT173,""))</f>
        <v/>
      </c>
      <c r="DF173" s="851" t="str">
        <f>IF('Marks Entry'!AU173="","",IF(OR('Master Sheet'!$D$19="YES",'Marks Entry'!$BA$1=1),'Marks Entry'!AU173,""))</f>
        <v/>
      </c>
      <c r="DG173" s="851" t="str">
        <f>IF('Marks Entry'!AV173="","",IF(OR('Master Sheet'!$D$19="YES",'Marks Entry'!$BA$1=1),'Marks Entry'!AV173,""))</f>
        <v/>
      </c>
      <c r="DH173" s="852" t="str">
        <f t="shared" si="476"/>
        <v/>
      </c>
      <c r="DI173" s="851" t="str">
        <f>IF('Marks Entry'!AW173="","",IF(OR('Master Sheet'!$D$19="YES",'Marks Entry'!$BA$1=1),'Marks Entry'!AW173,""))</f>
        <v/>
      </c>
      <c r="DJ173" s="851" t="str">
        <f>IF('Marks Entry'!AX173="","",IF(OR('Master Sheet'!$D$19="YES",'Marks Entry'!$BA$1=1),'Marks Entry'!AX173,""))</f>
        <v/>
      </c>
      <c r="DK173" s="852" t="str">
        <f t="shared" si="477"/>
        <v/>
      </c>
      <c r="DL173" s="852" t="str">
        <f t="shared" si="478"/>
        <v/>
      </c>
      <c r="DM173" s="851" t="str">
        <f>IF('Marks Entry'!AY173="","",IF(OR('Master Sheet'!$D$19="YES",'Marks Entry'!$BA$1=1),'Marks Entry'!AY173,""))</f>
        <v/>
      </c>
      <c r="DN173" s="851" t="str">
        <f>IF('Marks Entry'!AZ173="","",IF(OR('Master Sheet'!$D$19="YES",'Marks Entry'!$BA$1=1),'Marks Entry'!AZ173,""))</f>
        <v/>
      </c>
      <c r="DO173" s="851" t="str">
        <f>IF('Marks Entry'!BA173="","",IF(OR('Master Sheet'!$D$19="YES",'Marks Entry'!$BA$1=1),'Marks Entry'!BA173,""))</f>
        <v/>
      </c>
      <c r="DP173" s="852" t="str">
        <f t="shared" si="479"/>
        <v/>
      </c>
      <c r="DQ173" s="156" t="str">
        <f t="shared" si="480"/>
        <v/>
      </c>
      <c r="DR173" s="156" t="str">
        <f t="shared" si="481"/>
        <v/>
      </c>
      <c r="DS173" s="156" t="str">
        <f t="shared" si="482"/>
        <v/>
      </c>
      <c r="DT173" s="191" t="str">
        <f t="shared" si="483"/>
        <v/>
      </c>
      <c r="DU173" s="152">
        <f t="shared" si="484"/>
        <v>0</v>
      </c>
      <c r="DV173" s="153">
        <f t="shared" si="485"/>
        <v>0</v>
      </c>
      <c r="DW173" s="153" t="str">
        <f t="shared" si="486"/>
        <v/>
      </c>
      <c r="DX173" s="153" t="str">
        <f>IF(OR($B173="NSO",$B173=0,DS173=""),"",IF(AND(DJ173="",DO173=""),"",IF('Master Sheet'!$D$19="YES",$DO$6-COUNTIF(DO173,"ML")*DO$6,DS$6-(COUNTIF(DJ173,"ML")*DJ$6)-(COUNTIF(DO173,"ML")*DO$6))))</f>
        <v/>
      </c>
      <c r="DY173" s="153" t="str">
        <f>IF(OR($B173="NSO",$B173=0),"",IF(AND(DH173="",DI173="",DM173=""),"",IF(AND('Master Sheet'!$D$19="YES",'Marks Entry'!$BA$1=1),100,IF(AND(DJ173="",DO173=""),SUM(($DQ$7+$DR$7)-(DU173+DV173)),SUM(($DQ$6+$DR$6)-(DU173+DV173))))))</f>
        <v/>
      </c>
      <c r="DZ173" s="152" t="str">
        <f t="shared" si="487"/>
        <v/>
      </c>
      <c r="EA173" s="153" t="str">
        <f t="shared" si="488"/>
        <v/>
      </c>
      <c r="EB173" s="152" t="str">
        <f t="shared" si="489"/>
        <v/>
      </c>
      <c r="EC173" s="584" t="str">
        <f>IF('Marks Entry'!BB173="","",'Marks Entry'!BB173)</f>
        <v/>
      </c>
      <c r="ED173" s="584" t="str">
        <f>IF('Marks Entry'!BC173="","",'Marks Entry'!BC173)</f>
        <v/>
      </c>
      <c r="EE173" s="584" t="str">
        <f>IF('Marks Entry'!BD173="","",'Marks Entry'!BD173)</f>
        <v/>
      </c>
      <c r="EF173" s="590" t="str">
        <f t="shared" si="490"/>
        <v/>
      </c>
      <c r="EG173" s="595">
        <f t="shared" si="491"/>
        <v>0</v>
      </c>
      <c r="EH173" s="595">
        <f t="shared" si="492"/>
        <v>0</v>
      </c>
      <c r="EI173" s="192" t="str">
        <f t="shared" si="493"/>
        <v/>
      </c>
      <c r="EJ173" s="595" t="str">
        <f t="shared" si="494"/>
        <v/>
      </c>
      <c r="EK173" s="595" t="str">
        <f t="shared" si="495"/>
        <v/>
      </c>
      <c r="EL173" s="193" t="str">
        <f t="shared" si="496"/>
        <v/>
      </c>
      <c r="EM173" s="193" t="str">
        <f t="shared" si="497"/>
        <v/>
      </c>
      <c r="EN173" s="193" t="str">
        <f t="shared" si="498"/>
        <v/>
      </c>
      <c r="EO173" s="193" t="str">
        <f t="shared" si="499"/>
        <v/>
      </c>
      <c r="EP173" s="193" t="str">
        <f t="shared" si="500"/>
        <v/>
      </c>
      <c r="EQ173" s="193" t="str">
        <f t="shared" si="501"/>
        <v/>
      </c>
      <c r="ER173" s="194">
        <f t="shared" si="502"/>
        <v>0</v>
      </c>
      <c r="ES173" s="194">
        <f t="shared" si="503"/>
        <v>0</v>
      </c>
      <c r="ET173" s="194">
        <f t="shared" si="504"/>
        <v>0</v>
      </c>
      <c r="EU173" s="194">
        <f t="shared" si="505"/>
        <v>0</v>
      </c>
      <c r="EV173" s="194">
        <f t="shared" si="506"/>
        <v>0</v>
      </c>
      <c r="EW173" s="194" t="str">
        <f t="shared" si="507"/>
        <v/>
      </c>
      <c r="EX173" s="195" t="str">
        <f t="shared" si="508"/>
        <v/>
      </c>
      <c r="EY173" s="196" t="str">
        <f>IF('Marks Entry'!BE173="","",'Marks Entry'!BE173)</f>
        <v/>
      </c>
      <c r="EZ173" s="196" t="str">
        <f>IF('Marks Entry'!BF173="","",'Marks Entry'!BF173)</f>
        <v/>
      </c>
      <c r="FA173" s="196" t="str">
        <f>IF('Marks Entry'!BG173="","",'Marks Entry'!BG173)</f>
        <v/>
      </c>
      <c r="FB173" s="596" t="str">
        <f t="shared" si="509"/>
        <v/>
      </c>
      <c r="FC173" s="196" t="str">
        <f>IF('Marks Entry'!BH173="","",'Marks Entry'!BH173)</f>
        <v/>
      </c>
      <c r="FD173" s="196" t="str">
        <f>IF('Marks Entry'!BI173="","",'Marks Entry'!BI173)</f>
        <v/>
      </c>
      <c r="FE173" s="197" t="str">
        <f t="shared" si="510"/>
        <v/>
      </c>
      <c r="FF173" s="198" t="str">
        <f t="shared" si="511"/>
        <v/>
      </c>
      <c r="FG173" s="199" t="str">
        <f>IF(AND(E173=""),"",IF('Student DATA Entry'!L169="","",'Student DATA Entry'!L169))</f>
        <v/>
      </c>
      <c r="FH173" s="200" t="str">
        <f>IF(AND(E173=""),"",IF('Student DATA Entry'!M169="","",'Student DATA Entry'!M169))</f>
        <v/>
      </c>
      <c r="FI173" s="201" t="str">
        <f t="shared" si="512"/>
        <v/>
      </c>
      <c r="FJ173" s="188" t="str">
        <f t="shared" si="513"/>
        <v/>
      </c>
      <c r="FK173" s="188" t="str">
        <f t="shared" si="514"/>
        <v/>
      </c>
      <c r="FL173" s="202" t="str">
        <f t="shared" si="542"/>
        <v/>
      </c>
      <c r="FM173" s="188" t="str">
        <f t="shared" si="515"/>
        <v/>
      </c>
      <c r="FN173" s="203" t="str">
        <f t="shared" si="516"/>
        <v/>
      </c>
      <c r="FO173" s="202" t="str">
        <f t="shared" si="543"/>
        <v/>
      </c>
      <c r="FP173" s="204" t="str">
        <f t="shared" si="517"/>
        <v/>
      </c>
      <c r="FQ173" s="188" t="str">
        <f t="shared" si="544"/>
        <v/>
      </c>
      <c r="FR173" s="188" t="str">
        <f t="shared" si="545"/>
        <v/>
      </c>
      <c r="FS173" s="188" t="str">
        <f t="shared" si="546"/>
        <v/>
      </c>
      <c r="FT173" s="188" t="str">
        <f t="shared" si="547"/>
        <v/>
      </c>
      <c r="FU173" s="188" t="str">
        <f t="shared" si="518"/>
        <v/>
      </c>
      <c r="FV173" s="205" t="str">
        <f t="shared" si="548"/>
        <v/>
      </c>
      <c r="FW173" s="204" t="str">
        <f t="shared" si="519"/>
        <v/>
      </c>
      <c r="FX173" s="188" t="str">
        <f t="shared" si="549"/>
        <v/>
      </c>
      <c r="FY173" s="188" t="str">
        <f t="shared" si="550"/>
        <v/>
      </c>
      <c r="FZ173" s="188" t="str">
        <f t="shared" si="551"/>
        <v/>
      </c>
      <c r="GA173" s="188" t="str">
        <f t="shared" si="552"/>
        <v/>
      </c>
      <c r="GB173" s="188" t="str">
        <f t="shared" si="520"/>
        <v/>
      </c>
      <c r="GC173" s="205" t="str">
        <f t="shared" si="553"/>
        <v/>
      </c>
      <c r="GD173" s="204" t="str">
        <f t="shared" si="521"/>
        <v/>
      </c>
      <c r="GE173" s="188" t="str">
        <f t="shared" si="554"/>
        <v/>
      </c>
      <c r="GF173" s="188" t="str">
        <f t="shared" si="555"/>
        <v/>
      </c>
      <c r="GG173" s="188" t="str">
        <f t="shared" si="556"/>
        <v/>
      </c>
      <c r="GH173" s="188" t="str">
        <f t="shared" si="557"/>
        <v/>
      </c>
      <c r="GI173" s="188" t="str">
        <f t="shared" si="522"/>
        <v/>
      </c>
      <c r="GJ173" s="205" t="str">
        <f t="shared" si="558"/>
        <v/>
      </c>
      <c r="GK173" s="204" t="str">
        <f t="shared" si="523"/>
        <v/>
      </c>
      <c r="GL173" s="188" t="str">
        <f t="shared" si="559"/>
        <v/>
      </c>
      <c r="GM173" s="188" t="str">
        <f t="shared" si="560"/>
        <v/>
      </c>
      <c r="GN173" s="188" t="str">
        <f t="shared" si="561"/>
        <v/>
      </c>
      <c r="GO173" s="188" t="str">
        <f t="shared" si="562"/>
        <v/>
      </c>
      <c r="GP173" s="188" t="str">
        <f t="shared" si="524"/>
        <v/>
      </c>
      <c r="GQ173" s="205" t="str">
        <f t="shared" si="563"/>
        <v/>
      </c>
      <c r="GR173" s="188" t="str">
        <f t="shared" si="525"/>
        <v/>
      </c>
      <c r="GS173" s="188" t="str">
        <f t="shared" si="526"/>
        <v/>
      </c>
      <c r="GT173" s="206" t="str">
        <f t="shared" si="527"/>
        <v xml:space="preserve">    </v>
      </c>
      <c r="GU173" s="206" t="str">
        <f t="shared" si="528"/>
        <v xml:space="preserve">    </v>
      </c>
      <c r="GV173" s="206" t="str">
        <f t="shared" si="529"/>
        <v xml:space="preserve">    </v>
      </c>
      <c r="GW173" s="206" t="str">
        <f t="shared" si="530"/>
        <v xml:space="preserve">       </v>
      </c>
      <c r="GX173" s="598" t="str">
        <f t="shared" si="531"/>
        <v xml:space="preserve">     </v>
      </c>
      <c r="GY173" s="207" t="str">
        <f t="shared" si="564"/>
        <v/>
      </c>
      <c r="GZ173" s="606" t="str">
        <f>IF(AND(Q173="",AE173="",AZ173="",BW173="",CT173=""),"",IF(AND('Master Sheet'!$D$19="YES",'Marks Entry'!$BA$1=1),SUM(Q173,AE173,AZ173,BW173,DT173),SUM(Q173,AE173,AZ173,BW173,CT173)))</f>
        <v/>
      </c>
      <c r="HA173" s="208" t="str">
        <f>IF(GZ173="","",IF(AND('Master Sheet'!$D$19="YES",'Marks Entry'!$BA$1=1),GZ173/((900)-DC173)*100,GZ173/((1000)-DC173)*100))</f>
        <v/>
      </c>
      <c r="HB173" s="611" t="str">
        <f t="shared" si="532"/>
        <v/>
      </c>
      <c r="HC173" s="609" t="str">
        <f t="shared" si="533"/>
        <v/>
      </c>
      <c r="HD173" s="610" t="str">
        <f t="shared" si="534"/>
        <v/>
      </c>
      <c r="HE173" s="209" t="str">
        <f>IFERROR(IF(OR(GY173="SUPPLEMENTARY",GY173="RE-EXAM"),'Supp. Result Entry'!AS172,""),"")</f>
        <v/>
      </c>
      <c r="HF173" s="613" t="str">
        <f t="shared" si="535"/>
        <v/>
      </c>
      <c r="HG173" s="598" t="str">
        <f t="shared" si="536"/>
        <v/>
      </c>
      <c r="HH173" s="598" t="str">
        <f>IF(AND(HE173="",HF173="",HG173=""),"",IF(OR(GY173="SUPPLEMENTARY",GY173="RE-EXAM"),'Supp. Result Entry'!AS172,GY173))</f>
        <v/>
      </c>
      <c r="HI173" s="179"/>
      <c r="HY173" s="211" t="str">
        <f>IF('Supp. Result Entry'!U172="","",'Supp. Result Entry'!$U$6)</f>
        <v/>
      </c>
      <c r="HZ173" s="212" t="str">
        <f>IF('Supp. Result Entry'!X172="","",'Supp. Result Entry'!$X$6)</f>
        <v/>
      </c>
      <c r="IA173" s="212" t="str">
        <f>IF('Supp. Result Entry'!AA172="","",'Supp. Result Entry'!$AA$6)</f>
        <v/>
      </c>
      <c r="IB173" s="212" t="str">
        <f>IF('Supp. Result Entry'!AD172="","",'Supp. Result Entry'!$AD$6)</f>
        <v/>
      </c>
      <c r="IC173" s="212" t="str">
        <f>IF('Supp. Result Entry'!AG172="","",'Supp. Result Entry'!$AG$6)</f>
        <v/>
      </c>
      <c r="ID173" s="212" t="str">
        <f>IF('Supp. Result Entry'!AJ172="","",'Supp. Result Entry'!$AJ$6)</f>
        <v/>
      </c>
      <c r="IE173" s="212" t="str">
        <f>IF('Supp. Result Entry'!V172="","",'Supp. Result Entry'!V172)</f>
        <v/>
      </c>
      <c r="IF173" s="212" t="str">
        <f>IF('Supp. Result Entry'!Y172="","",'Supp. Result Entry'!Y172)</f>
        <v/>
      </c>
      <c r="IG173" s="212" t="str">
        <f>IF('Supp. Result Entry'!AB172="","",'Supp. Result Entry'!AB172)</f>
        <v/>
      </c>
      <c r="IH173" s="212" t="str">
        <f>IF('Supp. Result Entry'!AE172="","",'Supp. Result Entry'!AE172)</f>
        <v/>
      </c>
      <c r="II173" s="212" t="str">
        <f>IF('Supp. Result Entry'!AH172="","",'Supp. Result Entry'!AH172)</f>
        <v/>
      </c>
      <c r="IJ173" s="212" t="str">
        <f>IF('Supp. Result Entry'!AK172="","",'Supp. Result Entry'!AK172)</f>
        <v/>
      </c>
      <c r="IK173" s="212" t="str">
        <f>IF('Supp. Result Entry'!W172="","",'Supp. Result Entry'!W172)</f>
        <v/>
      </c>
      <c r="IL173" s="212" t="str">
        <f>IF('Supp. Result Entry'!Z172="","",'Supp. Result Entry'!Z172)</f>
        <v/>
      </c>
      <c r="IM173" s="212" t="str">
        <f>IF('Supp. Result Entry'!AC172="","",'Supp. Result Entry'!AC172)</f>
        <v/>
      </c>
      <c r="IN173" s="212" t="str">
        <f>IF('Supp. Result Entry'!AF172="","",'Supp. Result Entry'!AF172)</f>
        <v/>
      </c>
      <c r="IO173" s="212" t="str">
        <f>IF('Supp. Result Entry'!AI172="","",'Supp. Result Entry'!AI172)</f>
        <v/>
      </c>
      <c r="IP173" s="212" t="str">
        <f>IF('Supp. Result Entry'!AL172="","",'Supp. Result Entry'!AL172)</f>
        <v/>
      </c>
      <c r="IQ173" s="212">
        <f>COUNTIF('Supp. Result Entry'!K172:Q172,"S")</f>
        <v>0</v>
      </c>
      <c r="IR173" s="212">
        <f t="shared" si="537"/>
        <v>0</v>
      </c>
      <c r="IS173" s="212">
        <f t="shared" si="538"/>
        <v>0</v>
      </c>
      <c r="IT173" s="212" t="str">
        <f t="shared" si="406"/>
        <v/>
      </c>
      <c r="IU173" s="212" t="str">
        <f t="shared" si="407"/>
        <v/>
      </c>
      <c r="IV173" s="212" t="str">
        <f t="shared" si="408"/>
        <v/>
      </c>
      <c r="IW173" s="212" t="str">
        <f t="shared" si="409"/>
        <v/>
      </c>
      <c r="IX173" s="212" t="str">
        <f t="shared" si="410"/>
        <v/>
      </c>
      <c r="IY173" s="212" t="str">
        <f t="shared" si="539"/>
        <v/>
      </c>
      <c r="IZ173" s="212" t="str">
        <f t="shared" si="540"/>
        <v/>
      </c>
      <c r="JA173" s="212" t="str">
        <f t="shared" si="411"/>
        <v/>
      </c>
      <c r="JB173" s="210" t="str">
        <f t="shared" si="541"/>
        <v/>
      </c>
    </row>
    <row r="174" spans="1:262" s="210" customFormat="1" ht="21" customHeight="1">
      <c r="A174" s="183">
        <v>167</v>
      </c>
      <c r="B174" s="184" t="str">
        <f>IF('Marks Entry'!B174="","",'Marks Entry'!B174)</f>
        <v/>
      </c>
      <c r="C174" s="185" t="str">
        <f>IF('Marks Entry'!D174="","",'Marks Entry'!D174)</f>
        <v/>
      </c>
      <c r="D174" s="186" t="str">
        <f>IF('Marks Entry'!E174="","",'Marks Entry'!E174)</f>
        <v/>
      </c>
      <c r="E174" s="187" t="str">
        <f>IF('Marks Entry'!F174="","",'Marks Entry'!F174)</f>
        <v/>
      </c>
      <c r="F174" s="187" t="str">
        <f>IF('Marks Entry'!G174="","",'Marks Entry'!G174)</f>
        <v/>
      </c>
      <c r="G174" s="187" t="str">
        <f>IF('Marks Entry'!H174="","",'Marks Entry'!H174)</f>
        <v/>
      </c>
      <c r="H174" s="188" t="str">
        <f>IF('Marks Entry'!I174="","",'Marks Entry'!I174)</f>
        <v/>
      </c>
      <c r="I174" s="189" t="str">
        <f>IF('Marks Entry'!J174="","",'Marks Entry'!J174)</f>
        <v/>
      </c>
      <c r="J174" s="545" t="str">
        <f>IF('Marks Entry'!K174="","",'Marks Entry'!K174)</f>
        <v/>
      </c>
      <c r="K174" s="545" t="str">
        <f>IF('Marks Entry'!L174="","",'Marks Entry'!L174)</f>
        <v/>
      </c>
      <c r="L174" s="545" t="str">
        <f>IF('Marks Entry'!M174="","",'Marks Entry'!M174)</f>
        <v/>
      </c>
      <c r="M174" s="546" t="str">
        <f t="shared" si="412"/>
        <v/>
      </c>
      <c r="N174" s="545" t="str">
        <f>IF('Marks Entry'!N174="","",'Marks Entry'!N174)</f>
        <v/>
      </c>
      <c r="O174" s="546" t="str">
        <f t="shared" si="413"/>
        <v/>
      </c>
      <c r="P174" s="545" t="str">
        <f>IF('Marks Entry'!O174="","",'Marks Entry'!O174)</f>
        <v/>
      </c>
      <c r="Q174" s="547" t="str">
        <f t="shared" si="414"/>
        <v/>
      </c>
      <c r="R174" s="152">
        <f t="shared" si="415"/>
        <v>0</v>
      </c>
      <c r="S174" s="152">
        <f t="shared" si="416"/>
        <v>0</v>
      </c>
      <c r="T174" s="153" t="str">
        <f t="shared" si="417"/>
        <v/>
      </c>
      <c r="U174" s="152" t="str">
        <f t="shared" si="418"/>
        <v/>
      </c>
      <c r="V174" s="152" t="str">
        <f t="shared" si="419"/>
        <v/>
      </c>
      <c r="W174" s="152" t="str">
        <f t="shared" si="420"/>
        <v/>
      </c>
      <c r="X174" s="545" t="str">
        <f>IF('Marks Entry'!P174="","",'Marks Entry'!P174)</f>
        <v/>
      </c>
      <c r="Y174" s="545" t="str">
        <f>IF('Marks Entry'!Q174="","",'Marks Entry'!Q174)</f>
        <v/>
      </c>
      <c r="Z174" s="545" t="str">
        <f>IF('Marks Entry'!R174="","",'Marks Entry'!R174)</f>
        <v/>
      </c>
      <c r="AA174" s="546" t="str">
        <f t="shared" si="421"/>
        <v/>
      </c>
      <c r="AB174" s="545" t="str">
        <f>IF('Marks Entry'!S174="","",'Marks Entry'!S174)</f>
        <v/>
      </c>
      <c r="AC174" s="546" t="str">
        <f t="shared" si="422"/>
        <v/>
      </c>
      <c r="AD174" s="545" t="str">
        <f>IF('Marks Entry'!T174="","",'Marks Entry'!T174)</f>
        <v/>
      </c>
      <c r="AE174" s="547" t="str">
        <f t="shared" si="423"/>
        <v/>
      </c>
      <c r="AF174" s="152">
        <f t="shared" si="424"/>
        <v>0</v>
      </c>
      <c r="AG174" s="152">
        <f t="shared" si="425"/>
        <v>0</v>
      </c>
      <c r="AH174" s="153" t="str">
        <f t="shared" si="426"/>
        <v/>
      </c>
      <c r="AI174" s="152" t="str">
        <f t="shared" si="427"/>
        <v/>
      </c>
      <c r="AJ174" s="152" t="str">
        <f t="shared" si="428"/>
        <v/>
      </c>
      <c r="AK174" s="152" t="str">
        <f t="shared" si="429"/>
        <v/>
      </c>
      <c r="AL174" s="573" t="str">
        <f>IF('Marks Entry'!U174="","",'Marks Entry'!U174)</f>
        <v/>
      </c>
      <c r="AM174" s="573" t="str">
        <f>IF('Marks Entry'!V174="","",'Marks Entry'!V174)</f>
        <v/>
      </c>
      <c r="AN174" s="573" t="str">
        <f>IF('Marks Entry'!W174="","",'Marks Entry'!W174)</f>
        <v/>
      </c>
      <c r="AO174" s="573" t="str">
        <f>IF('Marks Entry'!X174="","",'Marks Entry'!X174)</f>
        <v/>
      </c>
      <c r="AP174" s="572" t="str">
        <f t="shared" si="430"/>
        <v/>
      </c>
      <c r="AQ174" s="573" t="str">
        <f>IF('Marks Entry'!Y174="","",'Marks Entry'!Y174)</f>
        <v/>
      </c>
      <c r="AR174" s="573" t="str">
        <f>IF('Marks Entry'!Z174="","",'Marks Entry'!Z174)</f>
        <v/>
      </c>
      <c r="AS174" s="572" t="str">
        <f t="shared" si="431"/>
        <v/>
      </c>
      <c r="AT174" s="572" t="str">
        <f t="shared" si="432"/>
        <v/>
      </c>
      <c r="AU174" s="573" t="str">
        <f>IF('Marks Entry'!AA174="","",'Marks Entry'!AA174)</f>
        <v/>
      </c>
      <c r="AV174" s="573" t="str">
        <f>IF('Marks Entry'!AB174="","",'Marks Entry'!AB174)</f>
        <v/>
      </c>
      <c r="AW174" s="572" t="str">
        <f t="shared" si="433"/>
        <v/>
      </c>
      <c r="AX174" s="156" t="str">
        <f t="shared" si="434"/>
        <v/>
      </c>
      <c r="AY174" s="156" t="str">
        <f t="shared" si="435"/>
        <v/>
      </c>
      <c r="AZ174" s="191" t="str">
        <f t="shared" si="436"/>
        <v/>
      </c>
      <c r="BA174" s="152">
        <f t="shared" si="437"/>
        <v>0</v>
      </c>
      <c r="BB174" s="153">
        <f t="shared" si="438"/>
        <v>0</v>
      </c>
      <c r="BC174" s="153" t="str">
        <f t="shared" si="439"/>
        <v/>
      </c>
      <c r="BD174" s="153" t="str">
        <f t="shared" si="440"/>
        <v/>
      </c>
      <c r="BE174" s="153" t="str">
        <f t="shared" si="441"/>
        <v/>
      </c>
      <c r="BF174" s="152" t="str">
        <f t="shared" si="442"/>
        <v/>
      </c>
      <c r="BG174" s="153" t="str">
        <f t="shared" si="443"/>
        <v/>
      </c>
      <c r="BH174" s="152" t="str">
        <f t="shared" si="444"/>
        <v/>
      </c>
      <c r="BI174" s="580" t="str">
        <f>IF('Marks Entry'!AC174="","",'Marks Entry'!AC174)</f>
        <v/>
      </c>
      <c r="BJ174" s="580" t="str">
        <f>IF('Marks Entry'!AD174="","",'Marks Entry'!AD174)</f>
        <v/>
      </c>
      <c r="BK174" s="580" t="str">
        <f>IF('Marks Entry'!AE174="","",'Marks Entry'!AE174)</f>
        <v/>
      </c>
      <c r="BL174" s="580" t="str">
        <f>IF('Marks Entry'!AF174="","",'Marks Entry'!AF174)</f>
        <v/>
      </c>
      <c r="BM174" s="581" t="str">
        <f t="shared" si="445"/>
        <v/>
      </c>
      <c r="BN174" s="580" t="str">
        <f>IF('Marks Entry'!AG174="","",'Marks Entry'!AG174)</f>
        <v/>
      </c>
      <c r="BO174" s="580" t="str">
        <f>IF('Marks Entry'!AH174="","",'Marks Entry'!AH174)</f>
        <v/>
      </c>
      <c r="BP174" s="581" t="str">
        <f t="shared" si="446"/>
        <v/>
      </c>
      <c r="BQ174" s="581" t="str">
        <f t="shared" si="447"/>
        <v/>
      </c>
      <c r="BR174" s="580" t="str">
        <f>IF('Marks Entry'!AI174="","",'Marks Entry'!AI174)</f>
        <v/>
      </c>
      <c r="BS174" s="580" t="str">
        <f>IF('Marks Entry'!AJ174="","",'Marks Entry'!AJ174)</f>
        <v/>
      </c>
      <c r="BT174" s="581" t="str">
        <f t="shared" si="448"/>
        <v/>
      </c>
      <c r="BU174" s="156" t="str">
        <f t="shared" si="449"/>
        <v/>
      </c>
      <c r="BV174" s="156" t="str">
        <f t="shared" si="450"/>
        <v/>
      </c>
      <c r="BW174" s="191" t="str">
        <f t="shared" si="451"/>
        <v/>
      </c>
      <c r="BX174" s="152">
        <f t="shared" si="452"/>
        <v>0</v>
      </c>
      <c r="BY174" s="153">
        <f t="shared" si="453"/>
        <v>0</v>
      </c>
      <c r="BZ174" s="153" t="str">
        <f t="shared" si="454"/>
        <v/>
      </c>
      <c r="CA174" s="153" t="str">
        <f t="shared" si="455"/>
        <v/>
      </c>
      <c r="CB174" s="153" t="str">
        <f t="shared" si="456"/>
        <v/>
      </c>
      <c r="CC174" s="152" t="str">
        <f t="shared" si="457"/>
        <v/>
      </c>
      <c r="CD174" s="153" t="str">
        <f t="shared" si="458"/>
        <v/>
      </c>
      <c r="CE174" s="152" t="str">
        <f t="shared" si="459"/>
        <v/>
      </c>
      <c r="CF174" s="580" t="str">
        <f>IF('Marks Entry'!AK174="","",'Marks Entry'!AK174)</f>
        <v/>
      </c>
      <c r="CG174" s="580" t="str">
        <f>IF('Marks Entry'!AL174="","",'Marks Entry'!AL174)</f>
        <v/>
      </c>
      <c r="CH174" s="580" t="str">
        <f>IF('Marks Entry'!AM174="","",'Marks Entry'!AM174)</f>
        <v/>
      </c>
      <c r="CI174" s="580" t="str">
        <f>IF('Marks Entry'!AN174="","",'Marks Entry'!AN174)</f>
        <v/>
      </c>
      <c r="CJ174" s="581" t="str">
        <f t="shared" si="460"/>
        <v/>
      </c>
      <c r="CK174" s="580" t="str">
        <f>IF('Marks Entry'!AO174="","",'Marks Entry'!AO174)</f>
        <v/>
      </c>
      <c r="CL174" s="580" t="str">
        <f>IF('Marks Entry'!AP174="","",'Marks Entry'!AP174)</f>
        <v/>
      </c>
      <c r="CM174" s="581" t="str">
        <f t="shared" si="461"/>
        <v/>
      </c>
      <c r="CN174" s="581" t="str">
        <f t="shared" si="462"/>
        <v/>
      </c>
      <c r="CO174" s="580" t="str">
        <f>IF('Marks Entry'!AQ174="","",'Marks Entry'!AQ174)</f>
        <v/>
      </c>
      <c r="CP174" s="580" t="str">
        <f>IF('Marks Entry'!AR174="","",'Marks Entry'!AR174)</f>
        <v/>
      </c>
      <c r="CQ174" s="581" t="str">
        <f t="shared" si="463"/>
        <v/>
      </c>
      <c r="CR174" s="156" t="str">
        <f t="shared" si="464"/>
        <v/>
      </c>
      <c r="CS174" s="156" t="str">
        <f t="shared" si="465"/>
        <v/>
      </c>
      <c r="CT174" s="191" t="str">
        <f t="shared" si="466"/>
        <v/>
      </c>
      <c r="CU174" s="152">
        <f t="shared" si="467"/>
        <v>0</v>
      </c>
      <c r="CV174" s="153">
        <f t="shared" si="468"/>
        <v>0</v>
      </c>
      <c r="CW174" s="153" t="str">
        <f t="shared" si="469"/>
        <v/>
      </c>
      <c r="CX174" s="153" t="str">
        <f t="shared" si="470"/>
        <v/>
      </c>
      <c r="CY174" s="153" t="str">
        <f t="shared" si="471"/>
        <v/>
      </c>
      <c r="CZ174" s="152" t="str">
        <f t="shared" si="472"/>
        <v/>
      </c>
      <c r="DA174" s="153" t="str">
        <f t="shared" si="473"/>
        <v/>
      </c>
      <c r="DB174" s="152" t="str">
        <f t="shared" si="474"/>
        <v/>
      </c>
      <c r="DC174" s="153">
        <f t="shared" si="475"/>
        <v>0</v>
      </c>
      <c r="DD174" s="851" t="str">
        <f>IF('Marks Entry'!AS174="","",IF(OR('Master Sheet'!$D$19="YES",'Marks Entry'!$BA$1=1),'Marks Entry'!AS174,""))</f>
        <v/>
      </c>
      <c r="DE174" s="851" t="str">
        <f>IF('Marks Entry'!AT174="","",IF(OR('Master Sheet'!$D$19="YES",'Marks Entry'!$BA$1=1),'Marks Entry'!AT174,""))</f>
        <v/>
      </c>
      <c r="DF174" s="851" t="str">
        <f>IF('Marks Entry'!AU174="","",IF(OR('Master Sheet'!$D$19="YES",'Marks Entry'!$BA$1=1),'Marks Entry'!AU174,""))</f>
        <v/>
      </c>
      <c r="DG174" s="851" t="str">
        <f>IF('Marks Entry'!AV174="","",IF(OR('Master Sheet'!$D$19="YES",'Marks Entry'!$BA$1=1),'Marks Entry'!AV174,""))</f>
        <v/>
      </c>
      <c r="DH174" s="852" t="str">
        <f t="shared" si="476"/>
        <v/>
      </c>
      <c r="DI174" s="851" t="str">
        <f>IF('Marks Entry'!AW174="","",IF(OR('Master Sheet'!$D$19="YES",'Marks Entry'!$BA$1=1),'Marks Entry'!AW174,""))</f>
        <v/>
      </c>
      <c r="DJ174" s="851" t="str">
        <f>IF('Marks Entry'!AX174="","",IF(OR('Master Sheet'!$D$19="YES",'Marks Entry'!$BA$1=1),'Marks Entry'!AX174,""))</f>
        <v/>
      </c>
      <c r="DK174" s="852" t="str">
        <f t="shared" si="477"/>
        <v/>
      </c>
      <c r="DL174" s="852" t="str">
        <f t="shared" si="478"/>
        <v/>
      </c>
      <c r="DM174" s="851" t="str">
        <f>IF('Marks Entry'!AY174="","",IF(OR('Master Sheet'!$D$19="YES",'Marks Entry'!$BA$1=1),'Marks Entry'!AY174,""))</f>
        <v/>
      </c>
      <c r="DN174" s="851" t="str">
        <f>IF('Marks Entry'!AZ174="","",IF(OR('Master Sheet'!$D$19="YES",'Marks Entry'!$BA$1=1),'Marks Entry'!AZ174,""))</f>
        <v/>
      </c>
      <c r="DO174" s="851" t="str">
        <f>IF('Marks Entry'!BA174="","",IF(OR('Master Sheet'!$D$19="YES",'Marks Entry'!$BA$1=1),'Marks Entry'!BA174,""))</f>
        <v/>
      </c>
      <c r="DP174" s="852" t="str">
        <f t="shared" si="479"/>
        <v/>
      </c>
      <c r="DQ174" s="156" t="str">
        <f t="shared" si="480"/>
        <v/>
      </c>
      <c r="DR174" s="156" t="str">
        <f t="shared" si="481"/>
        <v/>
      </c>
      <c r="DS174" s="156" t="str">
        <f t="shared" si="482"/>
        <v/>
      </c>
      <c r="DT174" s="191" t="str">
        <f t="shared" si="483"/>
        <v/>
      </c>
      <c r="DU174" s="152">
        <f t="shared" si="484"/>
        <v>0</v>
      </c>
      <c r="DV174" s="153">
        <f t="shared" si="485"/>
        <v>0</v>
      </c>
      <c r="DW174" s="153" t="str">
        <f t="shared" si="486"/>
        <v/>
      </c>
      <c r="DX174" s="153" t="str">
        <f>IF(OR($B174="NSO",$B174=0,DS174=""),"",IF(AND(DJ174="",DO174=""),"",IF('Master Sheet'!$D$19="YES",$DO$6-COUNTIF(DO174,"ML")*DO$6,DS$6-(COUNTIF(DJ174,"ML")*DJ$6)-(COUNTIF(DO174,"ML")*DO$6))))</f>
        <v/>
      </c>
      <c r="DY174" s="153" t="str">
        <f>IF(OR($B174="NSO",$B174=0),"",IF(AND(DH174="",DI174="",DM174=""),"",IF(AND('Master Sheet'!$D$19="YES",'Marks Entry'!$BA$1=1),100,IF(AND(DJ174="",DO174=""),SUM(($DQ$7+$DR$7)-(DU174+DV174)),SUM(($DQ$6+$DR$6)-(DU174+DV174))))))</f>
        <v/>
      </c>
      <c r="DZ174" s="152" t="str">
        <f t="shared" si="487"/>
        <v/>
      </c>
      <c r="EA174" s="153" t="str">
        <f t="shared" si="488"/>
        <v/>
      </c>
      <c r="EB174" s="152" t="str">
        <f t="shared" si="489"/>
        <v/>
      </c>
      <c r="EC174" s="584" t="str">
        <f>IF('Marks Entry'!BB174="","",'Marks Entry'!BB174)</f>
        <v/>
      </c>
      <c r="ED174" s="584" t="str">
        <f>IF('Marks Entry'!BC174="","",'Marks Entry'!BC174)</f>
        <v/>
      </c>
      <c r="EE174" s="584" t="str">
        <f>IF('Marks Entry'!BD174="","",'Marks Entry'!BD174)</f>
        <v/>
      </c>
      <c r="EF174" s="590" t="str">
        <f t="shared" si="490"/>
        <v/>
      </c>
      <c r="EG174" s="595">
        <f t="shared" si="491"/>
        <v>0</v>
      </c>
      <c r="EH174" s="595">
        <f t="shared" si="492"/>
        <v>0</v>
      </c>
      <c r="EI174" s="192" t="str">
        <f t="shared" si="493"/>
        <v/>
      </c>
      <c r="EJ174" s="595" t="str">
        <f t="shared" si="494"/>
        <v/>
      </c>
      <c r="EK174" s="595" t="str">
        <f t="shared" si="495"/>
        <v/>
      </c>
      <c r="EL174" s="193" t="str">
        <f t="shared" si="496"/>
        <v/>
      </c>
      <c r="EM174" s="193" t="str">
        <f t="shared" si="497"/>
        <v/>
      </c>
      <c r="EN174" s="193" t="str">
        <f t="shared" si="498"/>
        <v/>
      </c>
      <c r="EO174" s="193" t="str">
        <f t="shared" si="499"/>
        <v/>
      </c>
      <c r="EP174" s="193" t="str">
        <f t="shared" si="500"/>
        <v/>
      </c>
      <c r="EQ174" s="193" t="str">
        <f t="shared" si="501"/>
        <v/>
      </c>
      <c r="ER174" s="194">
        <f t="shared" si="502"/>
        <v>0</v>
      </c>
      <c r="ES174" s="194">
        <f t="shared" si="503"/>
        <v>0</v>
      </c>
      <c r="ET174" s="194">
        <f t="shared" si="504"/>
        <v>0</v>
      </c>
      <c r="EU174" s="194">
        <f t="shared" si="505"/>
        <v>0</v>
      </c>
      <c r="EV174" s="194">
        <f t="shared" si="506"/>
        <v>0</v>
      </c>
      <c r="EW174" s="194" t="str">
        <f t="shared" si="507"/>
        <v/>
      </c>
      <c r="EX174" s="195" t="str">
        <f t="shared" si="508"/>
        <v/>
      </c>
      <c r="EY174" s="196" t="str">
        <f>IF('Marks Entry'!BE174="","",'Marks Entry'!BE174)</f>
        <v/>
      </c>
      <c r="EZ174" s="196" t="str">
        <f>IF('Marks Entry'!BF174="","",'Marks Entry'!BF174)</f>
        <v/>
      </c>
      <c r="FA174" s="196" t="str">
        <f>IF('Marks Entry'!BG174="","",'Marks Entry'!BG174)</f>
        <v/>
      </c>
      <c r="FB174" s="596" t="str">
        <f t="shared" si="509"/>
        <v/>
      </c>
      <c r="FC174" s="196" t="str">
        <f>IF('Marks Entry'!BH174="","",'Marks Entry'!BH174)</f>
        <v/>
      </c>
      <c r="FD174" s="196" t="str">
        <f>IF('Marks Entry'!BI174="","",'Marks Entry'!BI174)</f>
        <v/>
      </c>
      <c r="FE174" s="197" t="str">
        <f t="shared" si="510"/>
        <v/>
      </c>
      <c r="FF174" s="198" t="str">
        <f t="shared" si="511"/>
        <v/>
      </c>
      <c r="FG174" s="199" t="str">
        <f>IF(AND(E174=""),"",IF('Student DATA Entry'!L170="","",'Student DATA Entry'!L170))</f>
        <v/>
      </c>
      <c r="FH174" s="200" t="str">
        <f>IF(AND(E174=""),"",IF('Student DATA Entry'!M170="","",'Student DATA Entry'!M170))</f>
        <v/>
      </c>
      <c r="FI174" s="201" t="str">
        <f t="shared" si="512"/>
        <v/>
      </c>
      <c r="FJ174" s="188" t="str">
        <f t="shared" si="513"/>
        <v/>
      </c>
      <c r="FK174" s="188" t="str">
        <f t="shared" si="514"/>
        <v/>
      </c>
      <c r="FL174" s="202" t="str">
        <f t="shared" si="542"/>
        <v/>
      </c>
      <c r="FM174" s="188" t="str">
        <f t="shared" si="515"/>
        <v/>
      </c>
      <c r="FN174" s="203" t="str">
        <f t="shared" si="516"/>
        <v/>
      </c>
      <c r="FO174" s="202" t="str">
        <f t="shared" si="543"/>
        <v/>
      </c>
      <c r="FP174" s="204" t="str">
        <f t="shared" si="517"/>
        <v/>
      </c>
      <c r="FQ174" s="188" t="str">
        <f t="shared" si="544"/>
        <v/>
      </c>
      <c r="FR174" s="188" t="str">
        <f t="shared" si="545"/>
        <v/>
      </c>
      <c r="FS174" s="188" t="str">
        <f t="shared" si="546"/>
        <v/>
      </c>
      <c r="FT174" s="188" t="str">
        <f t="shared" si="547"/>
        <v/>
      </c>
      <c r="FU174" s="188" t="str">
        <f t="shared" si="518"/>
        <v/>
      </c>
      <c r="FV174" s="205" t="str">
        <f t="shared" si="548"/>
        <v/>
      </c>
      <c r="FW174" s="204" t="str">
        <f t="shared" si="519"/>
        <v/>
      </c>
      <c r="FX174" s="188" t="str">
        <f t="shared" si="549"/>
        <v/>
      </c>
      <c r="FY174" s="188" t="str">
        <f t="shared" si="550"/>
        <v/>
      </c>
      <c r="FZ174" s="188" t="str">
        <f t="shared" si="551"/>
        <v/>
      </c>
      <c r="GA174" s="188" t="str">
        <f t="shared" si="552"/>
        <v/>
      </c>
      <c r="GB174" s="188" t="str">
        <f t="shared" si="520"/>
        <v/>
      </c>
      <c r="GC174" s="205" t="str">
        <f t="shared" si="553"/>
        <v/>
      </c>
      <c r="GD174" s="204" t="str">
        <f t="shared" si="521"/>
        <v/>
      </c>
      <c r="GE174" s="188" t="str">
        <f t="shared" si="554"/>
        <v/>
      </c>
      <c r="GF174" s="188" t="str">
        <f t="shared" si="555"/>
        <v/>
      </c>
      <c r="GG174" s="188" t="str">
        <f t="shared" si="556"/>
        <v/>
      </c>
      <c r="GH174" s="188" t="str">
        <f t="shared" si="557"/>
        <v/>
      </c>
      <c r="GI174" s="188" t="str">
        <f t="shared" si="522"/>
        <v/>
      </c>
      <c r="GJ174" s="205" t="str">
        <f t="shared" si="558"/>
        <v/>
      </c>
      <c r="GK174" s="204" t="str">
        <f t="shared" si="523"/>
        <v/>
      </c>
      <c r="GL174" s="188" t="str">
        <f t="shared" si="559"/>
        <v/>
      </c>
      <c r="GM174" s="188" t="str">
        <f t="shared" si="560"/>
        <v/>
      </c>
      <c r="GN174" s="188" t="str">
        <f t="shared" si="561"/>
        <v/>
      </c>
      <c r="GO174" s="188" t="str">
        <f t="shared" si="562"/>
        <v/>
      </c>
      <c r="GP174" s="188" t="str">
        <f t="shared" si="524"/>
        <v/>
      </c>
      <c r="GQ174" s="205" t="str">
        <f t="shared" si="563"/>
        <v/>
      </c>
      <c r="GR174" s="188" t="str">
        <f t="shared" si="525"/>
        <v/>
      </c>
      <c r="GS174" s="188" t="str">
        <f t="shared" si="526"/>
        <v/>
      </c>
      <c r="GT174" s="206" t="str">
        <f t="shared" si="527"/>
        <v xml:space="preserve">    </v>
      </c>
      <c r="GU174" s="206" t="str">
        <f t="shared" si="528"/>
        <v xml:space="preserve">    </v>
      </c>
      <c r="GV174" s="206" t="str">
        <f t="shared" si="529"/>
        <v xml:space="preserve">    </v>
      </c>
      <c r="GW174" s="206" t="str">
        <f t="shared" si="530"/>
        <v xml:space="preserve">       </v>
      </c>
      <c r="GX174" s="598" t="str">
        <f t="shared" si="531"/>
        <v xml:space="preserve">     </v>
      </c>
      <c r="GY174" s="207" t="str">
        <f t="shared" si="564"/>
        <v/>
      </c>
      <c r="GZ174" s="606" t="str">
        <f>IF(AND(Q174="",AE174="",AZ174="",BW174="",CT174=""),"",IF(AND('Master Sheet'!$D$19="YES",'Marks Entry'!$BA$1=1),SUM(Q174,AE174,AZ174,BW174,DT174),SUM(Q174,AE174,AZ174,BW174,CT174)))</f>
        <v/>
      </c>
      <c r="HA174" s="208" t="str">
        <f>IF(GZ174="","",IF(AND('Master Sheet'!$D$19="YES",'Marks Entry'!$BA$1=1),GZ174/((900)-DC174)*100,GZ174/((1000)-DC174)*100))</f>
        <v/>
      </c>
      <c r="HB174" s="611" t="str">
        <f t="shared" si="532"/>
        <v/>
      </c>
      <c r="HC174" s="609" t="str">
        <f t="shared" si="533"/>
        <v/>
      </c>
      <c r="HD174" s="610" t="str">
        <f t="shared" si="534"/>
        <v/>
      </c>
      <c r="HE174" s="209" t="str">
        <f>IFERROR(IF(OR(GY174="SUPPLEMENTARY",GY174="RE-EXAM"),'Supp. Result Entry'!AS173,""),"")</f>
        <v/>
      </c>
      <c r="HF174" s="613" t="str">
        <f t="shared" si="535"/>
        <v/>
      </c>
      <c r="HG174" s="598" t="str">
        <f t="shared" si="536"/>
        <v/>
      </c>
      <c r="HH174" s="598" t="str">
        <f>IF(AND(HE174="",HF174="",HG174=""),"",IF(OR(GY174="SUPPLEMENTARY",GY174="RE-EXAM"),'Supp. Result Entry'!AS173,GY174))</f>
        <v/>
      </c>
      <c r="HI174" s="179"/>
      <c r="HY174" s="211" t="str">
        <f>IF('Supp. Result Entry'!U173="","",'Supp. Result Entry'!$U$6)</f>
        <v/>
      </c>
      <c r="HZ174" s="212" t="str">
        <f>IF('Supp. Result Entry'!X173="","",'Supp. Result Entry'!$X$6)</f>
        <v/>
      </c>
      <c r="IA174" s="212" t="str">
        <f>IF('Supp. Result Entry'!AA173="","",'Supp. Result Entry'!$AA$6)</f>
        <v/>
      </c>
      <c r="IB174" s="212" t="str">
        <f>IF('Supp. Result Entry'!AD173="","",'Supp. Result Entry'!$AD$6)</f>
        <v/>
      </c>
      <c r="IC174" s="212" t="str">
        <f>IF('Supp. Result Entry'!AG173="","",'Supp. Result Entry'!$AG$6)</f>
        <v/>
      </c>
      <c r="ID174" s="212" t="str">
        <f>IF('Supp. Result Entry'!AJ173="","",'Supp. Result Entry'!$AJ$6)</f>
        <v/>
      </c>
      <c r="IE174" s="212" t="str">
        <f>IF('Supp. Result Entry'!V173="","",'Supp. Result Entry'!V173)</f>
        <v/>
      </c>
      <c r="IF174" s="212" t="str">
        <f>IF('Supp. Result Entry'!Y173="","",'Supp. Result Entry'!Y173)</f>
        <v/>
      </c>
      <c r="IG174" s="212" t="str">
        <f>IF('Supp. Result Entry'!AB173="","",'Supp. Result Entry'!AB173)</f>
        <v/>
      </c>
      <c r="IH174" s="212" t="str">
        <f>IF('Supp. Result Entry'!AE173="","",'Supp. Result Entry'!AE173)</f>
        <v/>
      </c>
      <c r="II174" s="212" t="str">
        <f>IF('Supp. Result Entry'!AH173="","",'Supp. Result Entry'!AH173)</f>
        <v/>
      </c>
      <c r="IJ174" s="212" t="str">
        <f>IF('Supp. Result Entry'!AK173="","",'Supp. Result Entry'!AK173)</f>
        <v/>
      </c>
      <c r="IK174" s="212" t="str">
        <f>IF('Supp. Result Entry'!W173="","",'Supp. Result Entry'!W173)</f>
        <v/>
      </c>
      <c r="IL174" s="212" t="str">
        <f>IF('Supp. Result Entry'!Z173="","",'Supp. Result Entry'!Z173)</f>
        <v/>
      </c>
      <c r="IM174" s="212" t="str">
        <f>IF('Supp. Result Entry'!AC173="","",'Supp. Result Entry'!AC173)</f>
        <v/>
      </c>
      <c r="IN174" s="212" t="str">
        <f>IF('Supp. Result Entry'!AF173="","",'Supp. Result Entry'!AF173)</f>
        <v/>
      </c>
      <c r="IO174" s="212" t="str">
        <f>IF('Supp. Result Entry'!AI173="","",'Supp. Result Entry'!AI173)</f>
        <v/>
      </c>
      <c r="IP174" s="212" t="str">
        <f>IF('Supp. Result Entry'!AL173="","",'Supp. Result Entry'!AL173)</f>
        <v/>
      </c>
      <c r="IQ174" s="212">
        <f>COUNTIF('Supp. Result Entry'!K173:Q173,"S")</f>
        <v>0</v>
      </c>
      <c r="IR174" s="212">
        <f t="shared" si="537"/>
        <v>0</v>
      </c>
      <c r="IS174" s="212">
        <f t="shared" si="538"/>
        <v>0</v>
      </c>
      <c r="IT174" s="212" t="str">
        <f t="shared" si="406"/>
        <v/>
      </c>
      <c r="IU174" s="212" t="str">
        <f t="shared" si="407"/>
        <v/>
      </c>
      <c r="IV174" s="212" t="str">
        <f t="shared" si="408"/>
        <v/>
      </c>
      <c r="IW174" s="212" t="str">
        <f t="shared" si="409"/>
        <v/>
      </c>
      <c r="IX174" s="212" t="str">
        <f t="shared" si="410"/>
        <v/>
      </c>
      <c r="IY174" s="212" t="str">
        <f t="shared" si="539"/>
        <v/>
      </c>
      <c r="IZ174" s="212" t="str">
        <f t="shared" si="540"/>
        <v/>
      </c>
      <c r="JA174" s="212" t="str">
        <f t="shared" si="411"/>
        <v/>
      </c>
      <c r="JB174" s="210" t="str">
        <f t="shared" si="541"/>
        <v/>
      </c>
    </row>
    <row r="175" spans="1:262" s="210" customFormat="1" ht="21" customHeight="1">
      <c r="A175" s="183">
        <v>168</v>
      </c>
      <c r="B175" s="184" t="str">
        <f>IF('Marks Entry'!B175="","",'Marks Entry'!B175)</f>
        <v/>
      </c>
      <c r="C175" s="185" t="str">
        <f>IF('Marks Entry'!D175="","",'Marks Entry'!D175)</f>
        <v/>
      </c>
      <c r="D175" s="186" t="str">
        <f>IF('Marks Entry'!E175="","",'Marks Entry'!E175)</f>
        <v/>
      </c>
      <c r="E175" s="187" t="str">
        <f>IF('Marks Entry'!F175="","",'Marks Entry'!F175)</f>
        <v/>
      </c>
      <c r="F175" s="187" t="str">
        <f>IF('Marks Entry'!G175="","",'Marks Entry'!G175)</f>
        <v/>
      </c>
      <c r="G175" s="187" t="str">
        <f>IF('Marks Entry'!H175="","",'Marks Entry'!H175)</f>
        <v/>
      </c>
      <c r="H175" s="188" t="str">
        <f>IF('Marks Entry'!I175="","",'Marks Entry'!I175)</f>
        <v/>
      </c>
      <c r="I175" s="189" t="str">
        <f>IF('Marks Entry'!J175="","",'Marks Entry'!J175)</f>
        <v/>
      </c>
      <c r="J175" s="545" t="str">
        <f>IF('Marks Entry'!K175="","",'Marks Entry'!K175)</f>
        <v/>
      </c>
      <c r="K175" s="545" t="str">
        <f>IF('Marks Entry'!L175="","",'Marks Entry'!L175)</f>
        <v/>
      </c>
      <c r="L175" s="545" t="str">
        <f>IF('Marks Entry'!M175="","",'Marks Entry'!M175)</f>
        <v/>
      </c>
      <c r="M175" s="546" t="str">
        <f t="shared" si="412"/>
        <v/>
      </c>
      <c r="N175" s="545" t="str">
        <f>IF('Marks Entry'!N175="","",'Marks Entry'!N175)</f>
        <v/>
      </c>
      <c r="O175" s="546" t="str">
        <f t="shared" si="413"/>
        <v/>
      </c>
      <c r="P175" s="545" t="str">
        <f>IF('Marks Entry'!O175="","",'Marks Entry'!O175)</f>
        <v/>
      </c>
      <c r="Q175" s="547" t="str">
        <f t="shared" si="414"/>
        <v/>
      </c>
      <c r="R175" s="152">
        <f t="shared" si="415"/>
        <v>0</v>
      </c>
      <c r="S175" s="152">
        <f t="shared" si="416"/>
        <v>0</v>
      </c>
      <c r="T175" s="153" t="str">
        <f t="shared" si="417"/>
        <v/>
      </c>
      <c r="U175" s="152" t="str">
        <f t="shared" si="418"/>
        <v/>
      </c>
      <c r="V175" s="152" t="str">
        <f t="shared" si="419"/>
        <v/>
      </c>
      <c r="W175" s="152" t="str">
        <f t="shared" si="420"/>
        <v/>
      </c>
      <c r="X175" s="545" t="str">
        <f>IF('Marks Entry'!P175="","",'Marks Entry'!P175)</f>
        <v/>
      </c>
      <c r="Y175" s="545" t="str">
        <f>IF('Marks Entry'!Q175="","",'Marks Entry'!Q175)</f>
        <v/>
      </c>
      <c r="Z175" s="545" t="str">
        <f>IF('Marks Entry'!R175="","",'Marks Entry'!R175)</f>
        <v/>
      </c>
      <c r="AA175" s="546" t="str">
        <f t="shared" si="421"/>
        <v/>
      </c>
      <c r="AB175" s="545" t="str">
        <f>IF('Marks Entry'!S175="","",'Marks Entry'!S175)</f>
        <v/>
      </c>
      <c r="AC175" s="546" t="str">
        <f t="shared" si="422"/>
        <v/>
      </c>
      <c r="AD175" s="545" t="str">
        <f>IF('Marks Entry'!T175="","",'Marks Entry'!T175)</f>
        <v/>
      </c>
      <c r="AE175" s="547" t="str">
        <f t="shared" si="423"/>
        <v/>
      </c>
      <c r="AF175" s="152">
        <f t="shared" si="424"/>
        <v>0</v>
      </c>
      <c r="AG175" s="152">
        <f t="shared" si="425"/>
        <v>0</v>
      </c>
      <c r="AH175" s="153" t="str">
        <f t="shared" si="426"/>
        <v/>
      </c>
      <c r="AI175" s="152" t="str">
        <f t="shared" si="427"/>
        <v/>
      </c>
      <c r="AJ175" s="152" t="str">
        <f t="shared" si="428"/>
        <v/>
      </c>
      <c r="AK175" s="152" t="str">
        <f t="shared" si="429"/>
        <v/>
      </c>
      <c r="AL175" s="573" t="str">
        <f>IF('Marks Entry'!U175="","",'Marks Entry'!U175)</f>
        <v/>
      </c>
      <c r="AM175" s="573" t="str">
        <f>IF('Marks Entry'!V175="","",'Marks Entry'!V175)</f>
        <v/>
      </c>
      <c r="AN175" s="573" t="str">
        <f>IF('Marks Entry'!W175="","",'Marks Entry'!W175)</f>
        <v/>
      </c>
      <c r="AO175" s="573" t="str">
        <f>IF('Marks Entry'!X175="","",'Marks Entry'!X175)</f>
        <v/>
      </c>
      <c r="AP175" s="572" t="str">
        <f t="shared" si="430"/>
        <v/>
      </c>
      <c r="AQ175" s="573" t="str">
        <f>IF('Marks Entry'!Y175="","",'Marks Entry'!Y175)</f>
        <v/>
      </c>
      <c r="AR175" s="573" t="str">
        <f>IF('Marks Entry'!Z175="","",'Marks Entry'!Z175)</f>
        <v/>
      </c>
      <c r="AS175" s="572" t="str">
        <f t="shared" si="431"/>
        <v/>
      </c>
      <c r="AT175" s="572" t="str">
        <f t="shared" si="432"/>
        <v/>
      </c>
      <c r="AU175" s="573" t="str">
        <f>IF('Marks Entry'!AA175="","",'Marks Entry'!AA175)</f>
        <v/>
      </c>
      <c r="AV175" s="573" t="str">
        <f>IF('Marks Entry'!AB175="","",'Marks Entry'!AB175)</f>
        <v/>
      </c>
      <c r="AW175" s="572" t="str">
        <f t="shared" si="433"/>
        <v/>
      </c>
      <c r="AX175" s="156" t="str">
        <f t="shared" si="434"/>
        <v/>
      </c>
      <c r="AY175" s="156" t="str">
        <f t="shared" si="435"/>
        <v/>
      </c>
      <c r="AZ175" s="191" t="str">
        <f t="shared" si="436"/>
        <v/>
      </c>
      <c r="BA175" s="152">
        <f t="shared" si="437"/>
        <v>0</v>
      </c>
      <c r="BB175" s="153">
        <f t="shared" si="438"/>
        <v>0</v>
      </c>
      <c r="BC175" s="153" t="str">
        <f t="shared" si="439"/>
        <v/>
      </c>
      <c r="BD175" s="153" t="str">
        <f t="shared" si="440"/>
        <v/>
      </c>
      <c r="BE175" s="153" t="str">
        <f t="shared" si="441"/>
        <v/>
      </c>
      <c r="BF175" s="152" t="str">
        <f t="shared" si="442"/>
        <v/>
      </c>
      <c r="BG175" s="153" t="str">
        <f t="shared" si="443"/>
        <v/>
      </c>
      <c r="BH175" s="152" t="str">
        <f t="shared" si="444"/>
        <v/>
      </c>
      <c r="BI175" s="580" t="str">
        <f>IF('Marks Entry'!AC175="","",'Marks Entry'!AC175)</f>
        <v/>
      </c>
      <c r="BJ175" s="580" t="str">
        <f>IF('Marks Entry'!AD175="","",'Marks Entry'!AD175)</f>
        <v/>
      </c>
      <c r="BK175" s="580" t="str">
        <f>IF('Marks Entry'!AE175="","",'Marks Entry'!AE175)</f>
        <v/>
      </c>
      <c r="BL175" s="580" t="str">
        <f>IF('Marks Entry'!AF175="","",'Marks Entry'!AF175)</f>
        <v/>
      </c>
      <c r="BM175" s="581" t="str">
        <f t="shared" si="445"/>
        <v/>
      </c>
      <c r="BN175" s="580" t="str">
        <f>IF('Marks Entry'!AG175="","",'Marks Entry'!AG175)</f>
        <v/>
      </c>
      <c r="BO175" s="580" t="str">
        <f>IF('Marks Entry'!AH175="","",'Marks Entry'!AH175)</f>
        <v/>
      </c>
      <c r="BP175" s="581" t="str">
        <f t="shared" si="446"/>
        <v/>
      </c>
      <c r="BQ175" s="581" t="str">
        <f t="shared" si="447"/>
        <v/>
      </c>
      <c r="BR175" s="580" t="str">
        <f>IF('Marks Entry'!AI175="","",'Marks Entry'!AI175)</f>
        <v/>
      </c>
      <c r="BS175" s="580" t="str">
        <f>IF('Marks Entry'!AJ175="","",'Marks Entry'!AJ175)</f>
        <v/>
      </c>
      <c r="BT175" s="581" t="str">
        <f t="shared" si="448"/>
        <v/>
      </c>
      <c r="BU175" s="156" t="str">
        <f t="shared" si="449"/>
        <v/>
      </c>
      <c r="BV175" s="156" t="str">
        <f t="shared" si="450"/>
        <v/>
      </c>
      <c r="BW175" s="191" t="str">
        <f t="shared" si="451"/>
        <v/>
      </c>
      <c r="BX175" s="152">
        <f t="shared" si="452"/>
        <v>0</v>
      </c>
      <c r="BY175" s="153">
        <f t="shared" si="453"/>
        <v>0</v>
      </c>
      <c r="BZ175" s="153" t="str">
        <f t="shared" si="454"/>
        <v/>
      </c>
      <c r="CA175" s="153" t="str">
        <f t="shared" si="455"/>
        <v/>
      </c>
      <c r="CB175" s="153" t="str">
        <f t="shared" si="456"/>
        <v/>
      </c>
      <c r="CC175" s="152" t="str">
        <f t="shared" si="457"/>
        <v/>
      </c>
      <c r="CD175" s="153" t="str">
        <f t="shared" si="458"/>
        <v/>
      </c>
      <c r="CE175" s="152" t="str">
        <f t="shared" si="459"/>
        <v/>
      </c>
      <c r="CF175" s="580" t="str">
        <f>IF('Marks Entry'!AK175="","",'Marks Entry'!AK175)</f>
        <v/>
      </c>
      <c r="CG175" s="580" t="str">
        <f>IF('Marks Entry'!AL175="","",'Marks Entry'!AL175)</f>
        <v/>
      </c>
      <c r="CH175" s="580" t="str">
        <f>IF('Marks Entry'!AM175="","",'Marks Entry'!AM175)</f>
        <v/>
      </c>
      <c r="CI175" s="580" t="str">
        <f>IF('Marks Entry'!AN175="","",'Marks Entry'!AN175)</f>
        <v/>
      </c>
      <c r="CJ175" s="581" t="str">
        <f t="shared" si="460"/>
        <v/>
      </c>
      <c r="CK175" s="580" t="str">
        <f>IF('Marks Entry'!AO175="","",'Marks Entry'!AO175)</f>
        <v/>
      </c>
      <c r="CL175" s="580" t="str">
        <f>IF('Marks Entry'!AP175="","",'Marks Entry'!AP175)</f>
        <v/>
      </c>
      <c r="CM175" s="581" t="str">
        <f t="shared" si="461"/>
        <v/>
      </c>
      <c r="CN175" s="581" t="str">
        <f t="shared" si="462"/>
        <v/>
      </c>
      <c r="CO175" s="580" t="str">
        <f>IF('Marks Entry'!AQ175="","",'Marks Entry'!AQ175)</f>
        <v/>
      </c>
      <c r="CP175" s="580" t="str">
        <f>IF('Marks Entry'!AR175="","",'Marks Entry'!AR175)</f>
        <v/>
      </c>
      <c r="CQ175" s="581" t="str">
        <f t="shared" si="463"/>
        <v/>
      </c>
      <c r="CR175" s="156" t="str">
        <f t="shared" si="464"/>
        <v/>
      </c>
      <c r="CS175" s="156" t="str">
        <f t="shared" si="465"/>
        <v/>
      </c>
      <c r="CT175" s="191" t="str">
        <f t="shared" si="466"/>
        <v/>
      </c>
      <c r="CU175" s="152">
        <f t="shared" si="467"/>
        <v>0</v>
      </c>
      <c r="CV175" s="153">
        <f t="shared" si="468"/>
        <v>0</v>
      </c>
      <c r="CW175" s="153" t="str">
        <f t="shared" si="469"/>
        <v/>
      </c>
      <c r="CX175" s="153" t="str">
        <f t="shared" si="470"/>
        <v/>
      </c>
      <c r="CY175" s="153" t="str">
        <f t="shared" si="471"/>
        <v/>
      </c>
      <c r="CZ175" s="152" t="str">
        <f t="shared" si="472"/>
        <v/>
      </c>
      <c r="DA175" s="153" t="str">
        <f t="shared" si="473"/>
        <v/>
      </c>
      <c r="DB175" s="152" t="str">
        <f t="shared" si="474"/>
        <v/>
      </c>
      <c r="DC175" s="153">
        <f t="shared" si="475"/>
        <v>0</v>
      </c>
      <c r="DD175" s="851" t="str">
        <f>IF('Marks Entry'!AS175="","",IF(OR('Master Sheet'!$D$19="YES",'Marks Entry'!$BA$1=1),'Marks Entry'!AS175,""))</f>
        <v/>
      </c>
      <c r="DE175" s="851" t="str">
        <f>IF('Marks Entry'!AT175="","",IF(OR('Master Sheet'!$D$19="YES",'Marks Entry'!$BA$1=1),'Marks Entry'!AT175,""))</f>
        <v/>
      </c>
      <c r="DF175" s="851" t="str">
        <f>IF('Marks Entry'!AU175="","",IF(OR('Master Sheet'!$D$19="YES",'Marks Entry'!$BA$1=1),'Marks Entry'!AU175,""))</f>
        <v/>
      </c>
      <c r="DG175" s="851" t="str">
        <f>IF('Marks Entry'!AV175="","",IF(OR('Master Sheet'!$D$19="YES",'Marks Entry'!$BA$1=1),'Marks Entry'!AV175,""))</f>
        <v/>
      </c>
      <c r="DH175" s="852" t="str">
        <f t="shared" si="476"/>
        <v/>
      </c>
      <c r="DI175" s="851" t="str">
        <f>IF('Marks Entry'!AW175="","",IF(OR('Master Sheet'!$D$19="YES",'Marks Entry'!$BA$1=1),'Marks Entry'!AW175,""))</f>
        <v/>
      </c>
      <c r="DJ175" s="851" t="str">
        <f>IF('Marks Entry'!AX175="","",IF(OR('Master Sheet'!$D$19="YES",'Marks Entry'!$BA$1=1),'Marks Entry'!AX175,""))</f>
        <v/>
      </c>
      <c r="DK175" s="852" t="str">
        <f t="shared" si="477"/>
        <v/>
      </c>
      <c r="DL175" s="852" t="str">
        <f t="shared" si="478"/>
        <v/>
      </c>
      <c r="DM175" s="851" t="str">
        <f>IF('Marks Entry'!AY175="","",IF(OR('Master Sheet'!$D$19="YES",'Marks Entry'!$BA$1=1),'Marks Entry'!AY175,""))</f>
        <v/>
      </c>
      <c r="DN175" s="851" t="str">
        <f>IF('Marks Entry'!AZ175="","",IF(OR('Master Sheet'!$D$19="YES",'Marks Entry'!$BA$1=1),'Marks Entry'!AZ175,""))</f>
        <v/>
      </c>
      <c r="DO175" s="851" t="str">
        <f>IF('Marks Entry'!BA175="","",IF(OR('Master Sheet'!$D$19="YES",'Marks Entry'!$BA$1=1),'Marks Entry'!BA175,""))</f>
        <v/>
      </c>
      <c r="DP175" s="852" t="str">
        <f t="shared" si="479"/>
        <v/>
      </c>
      <c r="DQ175" s="156" t="str">
        <f t="shared" si="480"/>
        <v/>
      </c>
      <c r="DR175" s="156" t="str">
        <f t="shared" si="481"/>
        <v/>
      </c>
      <c r="DS175" s="156" t="str">
        <f t="shared" si="482"/>
        <v/>
      </c>
      <c r="DT175" s="191" t="str">
        <f t="shared" si="483"/>
        <v/>
      </c>
      <c r="DU175" s="152">
        <f t="shared" si="484"/>
        <v>0</v>
      </c>
      <c r="DV175" s="153">
        <f t="shared" si="485"/>
        <v>0</v>
      </c>
      <c r="DW175" s="153" t="str">
        <f t="shared" si="486"/>
        <v/>
      </c>
      <c r="DX175" s="153" t="str">
        <f>IF(OR($B175="NSO",$B175=0,DS175=""),"",IF(AND(DJ175="",DO175=""),"",IF('Master Sheet'!$D$19="YES",$DO$6-COUNTIF(DO175,"ML")*DO$6,DS$6-(COUNTIF(DJ175,"ML")*DJ$6)-(COUNTIF(DO175,"ML")*DO$6))))</f>
        <v/>
      </c>
      <c r="DY175" s="153" t="str">
        <f>IF(OR($B175="NSO",$B175=0),"",IF(AND(DH175="",DI175="",DM175=""),"",IF(AND('Master Sheet'!$D$19="YES",'Marks Entry'!$BA$1=1),100,IF(AND(DJ175="",DO175=""),SUM(($DQ$7+$DR$7)-(DU175+DV175)),SUM(($DQ$6+$DR$6)-(DU175+DV175))))))</f>
        <v/>
      </c>
      <c r="DZ175" s="152" t="str">
        <f t="shared" si="487"/>
        <v/>
      </c>
      <c r="EA175" s="153" t="str">
        <f t="shared" si="488"/>
        <v/>
      </c>
      <c r="EB175" s="152" t="str">
        <f t="shared" si="489"/>
        <v/>
      </c>
      <c r="EC175" s="584" t="str">
        <f>IF('Marks Entry'!BB175="","",'Marks Entry'!BB175)</f>
        <v/>
      </c>
      <c r="ED175" s="584" t="str">
        <f>IF('Marks Entry'!BC175="","",'Marks Entry'!BC175)</f>
        <v/>
      </c>
      <c r="EE175" s="584" t="str">
        <f>IF('Marks Entry'!BD175="","",'Marks Entry'!BD175)</f>
        <v/>
      </c>
      <c r="EF175" s="590" t="str">
        <f t="shared" si="490"/>
        <v/>
      </c>
      <c r="EG175" s="595">
        <f t="shared" si="491"/>
        <v>0</v>
      </c>
      <c r="EH175" s="595">
        <f t="shared" si="492"/>
        <v>0</v>
      </c>
      <c r="EI175" s="192" t="str">
        <f t="shared" si="493"/>
        <v/>
      </c>
      <c r="EJ175" s="595" t="str">
        <f t="shared" si="494"/>
        <v/>
      </c>
      <c r="EK175" s="595" t="str">
        <f t="shared" si="495"/>
        <v/>
      </c>
      <c r="EL175" s="193" t="str">
        <f t="shared" si="496"/>
        <v/>
      </c>
      <c r="EM175" s="193" t="str">
        <f t="shared" si="497"/>
        <v/>
      </c>
      <c r="EN175" s="193" t="str">
        <f t="shared" si="498"/>
        <v/>
      </c>
      <c r="EO175" s="193" t="str">
        <f t="shared" si="499"/>
        <v/>
      </c>
      <c r="EP175" s="193" t="str">
        <f t="shared" si="500"/>
        <v/>
      </c>
      <c r="EQ175" s="193" t="str">
        <f t="shared" si="501"/>
        <v/>
      </c>
      <c r="ER175" s="194">
        <f t="shared" si="502"/>
        <v>0</v>
      </c>
      <c r="ES175" s="194">
        <f t="shared" si="503"/>
        <v>0</v>
      </c>
      <c r="ET175" s="194">
        <f t="shared" si="504"/>
        <v>0</v>
      </c>
      <c r="EU175" s="194">
        <f t="shared" si="505"/>
        <v>0</v>
      </c>
      <c r="EV175" s="194">
        <f t="shared" si="506"/>
        <v>0</v>
      </c>
      <c r="EW175" s="194" t="str">
        <f t="shared" si="507"/>
        <v/>
      </c>
      <c r="EX175" s="195" t="str">
        <f t="shared" si="508"/>
        <v/>
      </c>
      <c r="EY175" s="196" t="str">
        <f>IF('Marks Entry'!BE175="","",'Marks Entry'!BE175)</f>
        <v/>
      </c>
      <c r="EZ175" s="196" t="str">
        <f>IF('Marks Entry'!BF175="","",'Marks Entry'!BF175)</f>
        <v/>
      </c>
      <c r="FA175" s="196" t="str">
        <f>IF('Marks Entry'!BG175="","",'Marks Entry'!BG175)</f>
        <v/>
      </c>
      <c r="FB175" s="596" t="str">
        <f t="shared" si="509"/>
        <v/>
      </c>
      <c r="FC175" s="196" t="str">
        <f>IF('Marks Entry'!BH175="","",'Marks Entry'!BH175)</f>
        <v/>
      </c>
      <c r="FD175" s="196" t="str">
        <f>IF('Marks Entry'!BI175="","",'Marks Entry'!BI175)</f>
        <v/>
      </c>
      <c r="FE175" s="197" t="str">
        <f t="shared" si="510"/>
        <v/>
      </c>
      <c r="FF175" s="198" t="str">
        <f t="shared" si="511"/>
        <v/>
      </c>
      <c r="FG175" s="199" t="str">
        <f>IF(AND(E175=""),"",IF('Student DATA Entry'!L171="","",'Student DATA Entry'!L171))</f>
        <v/>
      </c>
      <c r="FH175" s="200" t="str">
        <f>IF(AND(E175=""),"",IF('Student DATA Entry'!M171="","",'Student DATA Entry'!M171))</f>
        <v/>
      </c>
      <c r="FI175" s="201" t="str">
        <f t="shared" si="512"/>
        <v/>
      </c>
      <c r="FJ175" s="188" t="str">
        <f t="shared" si="513"/>
        <v/>
      </c>
      <c r="FK175" s="188" t="str">
        <f t="shared" si="514"/>
        <v/>
      </c>
      <c r="FL175" s="202" t="str">
        <f t="shared" si="542"/>
        <v/>
      </c>
      <c r="FM175" s="188" t="str">
        <f t="shared" si="515"/>
        <v/>
      </c>
      <c r="FN175" s="203" t="str">
        <f t="shared" si="516"/>
        <v/>
      </c>
      <c r="FO175" s="202" t="str">
        <f t="shared" si="543"/>
        <v/>
      </c>
      <c r="FP175" s="204" t="str">
        <f t="shared" si="517"/>
        <v/>
      </c>
      <c r="FQ175" s="188" t="str">
        <f t="shared" si="544"/>
        <v/>
      </c>
      <c r="FR175" s="188" t="str">
        <f t="shared" si="545"/>
        <v/>
      </c>
      <c r="FS175" s="188" t="str">
        <f t="shared" si="546"/>
        <v/>
      </c>
      <c r="FT175" s="188" t="str">
        <f t="shared" si="547"/>
        <v/>
      </c>
      <c r="FU175" s="188" t="str">
        <f t="shared" si="518"/>
        <v/>
      </c>
      <c r="FV175" s="205" t="str">
        <f t="shared" si="548"/>
        <v/>
      </c>
      <c r="FW175" s="204" t="str">
        <f t="shared" si="519"/>
        <v/>
      </c>
      <c r="FX175" s="188" t="str">
        <f t="shared" si="549"/>
        <v/>
      </c>
      <c r="FY175" s="188" t="str">
        <f t="shared" si="550"/>
        <v/>
      </c>
      <c r="FZ175" s="188" t="str">
        <f t="shared" si="551"/>
        <v/>
      </c>
      <c r="GA175" s="188" t="str">
        <f t="shared" si="552"/>
        <v/>
      </c>
      <c r="GB175" s="188" t="str">
        <f t="shared" si="520"/>
        <v/>
      </c>
      <c r="GC175" s="205" t="str">
        <f t="shared" si="553"/>
        <v/>
      </c>
      <c r="GD175" s="204" t="str">
        <f t="shared" si="521"/>
        <v/>
      </c>
      <c r="GE175" s="188" t="str">
        <f t="shared" si="554"/>
        <v/>
      </c>
      <c r="GF175" s="188" t="str">
        <f t="shared" si="555"/>
        <v/>
      </c>
      <c r="GG175" s="188" t="str">
        <f t="shared" si="556"/>
        <v/>
      </c>
      <c r="GH175" s="188" t="str">
        <f t="shared" si="557"/>
        <v/>
      </c>
      <c r="GI175" s="188" t="str">
        <f t="shared" si="522"/>
        <v/>
      </c>
      <c r="GJ175" s="205" t="str">
        <f t="shared" si="558"/>
        <v/>
      </c>
      <c r="GK175" s="204" t="str">
        <f t="shared" si="523"/>
        <v/>
      </c>
      <c r="GL175" s="188" t="str">
        <f t="shared" si="559"/>
        <v/>
      </c>
      <c r="GM175" s="188" t="str">
        <f t="shared" si="560"/>
        <v/>
      </c>
      <c r="GN175" s="188" t="str">
        <f t="shared" si="561"/>
        <v/>
      </c>
      <c r="GO175" s="188" t="str">
        <f t="shared" si="562"/>
        <v/>
      </c>
      <c r="GP175" s="188" t="str">
        <f t="shared" si="524"/>
        <v/>
      </c>
      <c r="GQ175" s="205" t="str">
        <f t="shared" si="563"/>
        <v/>
      </c>
      <c r="GR175" s="188" t="str">
        <f t="shared" si="525"/>
        <v/>
      </c>
      <c r="GS175" s="188" t="str">
        <f t="shared" si="526"/>
        <v/>
      </c>
      <c r="GT175" s="206" t="str">
        <f t="shared" si="527"/>
        <v xml:space="preserve">    </v>
      </c>
      <c r="GU175" s="206" t="str">
        <f t="shared" si="528"/>
        <v xml:space="preserve">    </v>
      </c>
      <c r="GV175" s="206" t="str">
        <f t="shared" si="529"/>
        <v xml:space="preserve">    </v>
      </c>
      <c r="GW175" s="206" t="str">
        <f t="shared" si="530"/>
        <v xml:space="preserve">       </v>
      </c>
      <c r="GX175" s="598" t="str">
        <f t="shared" si="531"/>
        <v xml:space="preserve">     </v>
      </c>
      <c r="GY175" s="207" t="str">
        <f t="shared" si="564"/>
        <v/>
      </c>
      <c r="GZ175" s="606" t="str">
        <f>IF(AND(Q175="",AE175="",AZ175="",BW175="",CT175=""),"",IF(AND('Master Sheet'!$D$19="YES",'Marks Entry'!$BA$1=1),SUM(Q175,AE175,AZ175,BW175,DT175),SUM(Q175,AE175,AZ175,BW175,CT175)))</f>
        <v/>
      </c>
      <c r="HA175" s="208" t="str">
        <f>IF(GZ175="","",IF(AND('Master Sheet'!$D$19="YES",'Marks Entry'!$BA$1=1),GZ175/((900)-DC175)*100,GZ175/((1000)-DC175)*100))</f>
        <v/>
      </c>
      <c r="HB175" s="611" t="str">
        <f t="shared" si="532"/>
        <v/>
      </c>
      <c r="HC175" s="609" t="str">
        <f t="shared" si="533"/>
        <v/>
      </c>
      <c r="HD175" s="610" t="str">
        <f t="shared" si="534"/>
        <v/>
      </c>
      <c r="HE175" s="209" t="str">
        <f>IFERROR(IF(OR(GY175="SUPPLEMENTARY",GY175="RE-EXAM"),'Supp. Result Entry'!AS174,""),"")</f>
        <v/>
      </c>
      <c r="HF175" s="613" t="str">
        <f t="shared" si="535"/>
        <v/>
      </c>
      <c r="HG175" s="598" t="str">
        <f t="shared" si="536"/>
        <v/>
      </c>
      <c r="HH175" s="598" t="str">
        <f>IF(AND(HE175="",HF175="",HG175=""),"",IF(OR(GY175="SUPPLEMENTARY",GY175="RE-EXAM"),'Supp. Result Entry'!AS174,GY175))</f>
        <v/>
      </c>
      <c r="HI175" s="179"/>
      <c r="HY175" s="211" t="str">
        <f>IF('Supp. Result Entry'!U174="","",'Supp. Result Entry'!$U$6)</f>
        <v/>
      </c>
      <c r="HZ175" s="212" t="str">
        <f>IF('Supp. Result Entry'!X174="","",'Supp. Result Entry'!$X$6)</f>
        <v/>
      </c>
      <c r="IA175" s="212" t="str">
        <f>IF('Supp. Result Entry'!AA174="","",'Supp. Result Entry'!$AA$6)</f>
        <v/>
      </c>
      <c r="IB175" s="212" t="str">
        <f>IF('Supp. Result Entry'!AD174="","",'Supp. Result Entry'!$AD$6)</f>
        <v/>
      </c>
      <c r="IC175" s="212" t="str">
        <f>IF('Supp. Result Entry'!AG174="","",'Supp. Result Entry'!$AG$6)</f>
        <v/>
      </c>
      <c r="ID175" s="212" t="str">
        <f>IF('Supp. Result Entry'!AJ174="","",'Supp. Result Entry'!$AJ$6)</f>
        <v/>
      </c>
      <c r="IE175" s="212" t="str">
        <f>IF('Supp. Result Entry'!V174="","",'Supp. Result Entry'!V174)</f>
        <v/>
      </c>
      <c r="IF175" s="212" t="str">
        <f>IF('Supp. Result Entry'!Y174="","",'Supp. Result Entry'!Y174)</f>
        <v/>
      </c>
      <c r="IG175" s="212" t="str">
        <f>IF('Supp. Result Entry'!AB174="","",'Supp. Result Entry'!AB174)</f>
        <v/>
      </c>
      <c r="IH175" s="212" t="str">
        <f>IF('Supp. Result Entry'!AE174="","",'Supp. Result Entry'!AE174)</f>
        <v/>
      </c>
      <c r="II175" s="212" t="str">
        <f>IF('Supp. Result Entry'!AH174="","",'Supp. Result Entry'!AH174)</f>
        <v/>
      </c>
      <c r="IJ175" s="212" t="str">
        <f>IF('Supp. Result Entry'!AK174="","",'Supp. Result Entry'!AK174)</f>
        <v/>
      </c>
      <c r="IK175" s="212" t="str">
        <f>IF('Supp. Result Entry'!W174="","",'Supp. Result Entry'!W174)</f>
        <v/>
      </c>
      <c r="IL175" s="212" t="str">
        <f>IF('Supp. Result Entry'!Z174="","",'Supp. Result Entry'!Z174)</f>
        <v/>
      </c>
      <c r="IM175" s="212" t="str">
        <f>IF('Supp. Result Entry'!AC174="","",'Supp. Result Entry'!AC174)</f>
        <v/>
      </c>
      <c r="IN175" s="212" t="str">
        <f>IF('Supp. Result Entry'!AF174="","",'Supp. Result Entry'!AF174)</f>
        <v/>
      </c>
      <c r="IO175" s="212" t="str">
        <f>IF('Supp. Result Entry'!AI174="","",'Supp. Result Entry'!AI174)</f>
        <v/>
      </c>
      <c r="IP175" s="212" t="str">
        <f>IF('Supp. Result Entry'!AL174="","",'Supp. Result Entry'!AL174)</f>
        <v/>
      </c>
      <c r="IQ175" s="212">
        <f>COUNTIF('Supp. Result Entry'!K174:Q174,"S")</f>
        <v>0</v>
      </c>
      <c r="IR175" s="212">
        <f t="shared" si="537"/>
        <v>0</v>
      </c>
      <c r="IS175" s="212">
        <f t="shared" si="538"/>
        <v>0</v>
      </c>
      <c r="IT175" s="212" t="str">
        <f t="shared" si="406"/>
        <v/>
      </c>
      <c r="IU175" s="212" t="str">
        <f t="shared" si="407"/>
        <v/>
      </c>
      <c r="IV175" s="212" t="str">
        <f t="shared" si="408"/>
        <v/>
      </c>
      <c r="IW175" s="212" t="str">
        <f t="shared" si="409"/>
        <v/>
      </c>
      <c r="IX175" s="212" t="str">
        <f t="shared" si="410"/>
        <v/>
      </c>
      <c r="IY175" s="212" t="str">
        <f t="shared" si="539"/>
        <v/>
      </c>
      <c r="IZ175" s="212" t="str">
        <f t="shared" si="540"/>
        <v/>
      </c>
      <c r="JA175" s="212" t="str">
        <f t="shared" si="411"/>
        <v/>
      </c>
      <c r="JB175" s="210" t="str">
        <f t="shared" si="541"/>
        <v/>
      </c>
    </row>
    <row r="176" spans="1:262" s="210" customFormat="1" ht="21" customHeight="1">
      <c r="A176" s="183">
        <v>169</v>
      </c>
      <c r="B176" s="184" t="str">
        <f>IF('Marks Entry'!B176="","",'Marks Entry'!B176)</f>
        <v/>
      </c>
      <c r="C176" s="185" t="str">
        <f>IF('Marks Entry'!D176="","",'Marks Entry'!D176)</f>
        <v/>
      </c>
      <c r="D176" s="186" t="str">
        <f>IF('Marks Entry'!E176="","",'Marks Entry'!E176)</f>
        <v/>
      </c>
      <c r="E176" s="187" t="str">
        <f>IF('Marks Entry'!F176="","",'Marks Entry'!F176)</f>
        <v/>
      </c>
      <c r="F176" s="187" t="str">
        <f>IF('Marks Entry'!G176="","",'Marks Entry'!G176)</f>
        <v/>
      </c>
      <c r="G176" s="187" t="str">
        <f>IF('Marks Entry'!H176="","",'Marks Entry'!H176)</f>
        <v/>
      </c>
      <c r="H176" s="188" t="str">
        <f>IF('Marks Entry'!I176="","",'Marks Entry'!I176)</f>
        <v/>
      </c>
      <c r="I176" s="189" t="str">
        <f>IF('Marks Entry'!J176="","",'Marks Entry'!J176)</f>
        <v/>
      </c>
      <c r="J176" s="545" t="str">
        <f>IF('Marks Entry'!K176="","",'Marks Entry'!K176)</f>
        <v/>
      </c>
      <c r="K176" s="545" t="str">
        <f>IF('Marks Entry'!L176="","",'Marks Entry'!L176)</f>
        <v/>
      </c>
      <c r="L176" s="545" t="str">
        <f>IF('Marks Entry'!M176="","",'Marks Entry'!M176)</f>
        <v/>
      </c>
      <c r="M176" s="546" t="str">
        <f t="shared" si="412"/>
        <v/>
      </c>
      <c r="N176" s="545" t="str">
        <f>IF('Marks Entry'!N176="","",'Marks Entry'!N176)</f>
        <v/>
      </c>
      <c r="O176" s="546" t="str">
        <f t="shared" si="413"/>
        <v/>
      </c>
      <c r="P176" s="545" t="str">
        <f>IF('Marks Entry'!O176="","",'Marks Entry'!O176)</f>
        <v/>
      </c>
      <c r="Q176" s="547" t="str">
        <f t="shared" si="414"/>
        <v/>
      </c>
      <c r="R176" s="152">
        <f t="shared" si="415"/>
        <v>0</v>
      </c>
      <c r="S176" s="152">
        <f t="shared" si="416"/>
        <v>0</v>
      </c>
      <c r="T176" s="153" t="str">
        <f t="shared" si="417"/>
        <v/>
      </c>
      <c r="U176" s="152" t="str">
        <f t="shared" si="418"/>
        <v/>
      </c>
      <c r="V176" s="152" t="str">
        <f t="shared" si="419"/>
        <v/>
      </c>
      <c r="W176" s="152" t="str">
        <f t="shared" si="420"/>
        <v/>
      </c>
      <c r="X176" s="545" t="str">
        <f>IF('Marks Entry'!P176="","",'Marks Entry'!P176)</f>
        <v/>
      </c>
      <c r="Y176" s="545" t="str">
        <f>IF('Marks Entry'!Q176="","",'Marks Entry'!Q176)</f>
        <v/>
      </c>
      <c r="Z176" s="545" t="str">
        <f>IF('Marks Entry'!R176="","",'Marks Entry'!R176)</f>
        <v/>
      </c>
      <c r="AA176" s="546" t="str">
        <f t="shared" si="421"/>
        <v/>
      </c>
      <c r="AB176" s="545" t="str">
        <f>IF('Marks Entry'!S176="","",'Marks Entry'!S176)</f>
        <v/>
      </c>
      <c r="AC176" s="546" t="str">
        <f t="shared" si="422"/>
        <v/>
      </c>
      <c r="AD176" s="545" t="str">
        <f>IF('Marks Entry'!T176="","",'Marks Entry'!T176)</f>
        <v/>
      </c>
      <c r="AE176" s="547" t="str">
        <f t="shared" si="423"/>
        <v/>
      </c>
      <c r="AF176" s="152">
        <f t="shared" si="424"/>
        <v>0</v>
      </c>
      <c r="AG176" s="152">
        <f t="shared" si="425"/>
        <v>0</v>
      </c>
      <c r="AH176" s="153" t="str">
        <f t="shared" si="426"/>
        <v/>
      </c>
      <c r="AI176" s="152" t="str">
        <f t="shared" si="427"/>
        <v/>
      </c>
      <c r="AJ176" s="152" t="str">
        <f t="shared" si="428"/>
        <v/>
      </c>
      <c r="AK176" s="152" t="str">
        <f t="shared" si="429"/>
        <v/>
      </c>
      <c r="AL176" s="573" t="str">
        <f>IF('Marks Entry'!U176="","",'Marks Entry'!U176)</f>
        <v/>
      </c>
      <c r="AM176" s="573" t="str">
        <f>IF('Marks Entry'!V176="","",'Marks Entry'!V176)</f>
        <v/>
      </c>
      <c r="AN176" s="573" t="str">
        <f>IF('Marks Entry'!W176="","",'Marks Entry'!W176)</f>
        <v/>
      </c>
      <c r="AO176" s="573" t="str">
        <f>IF('Marks Entry'!X176="","",'Marks Entry'!X176)</f>
        <v/>
      </c>
      <c r="AP176" s="572" t="str">
        <f t="shared" si="430"/>
        <v/>
      </c>
      <c r="AQ176" s="573" t="str">
        <f>IF('Marks Entry'!Y176="","",'Marks Entry'!Y176)</f>
        <v/>
      </c>
      <c r="AR176" s="573" t="str">
        <f>IF('Marks Entry'!Z176="","",'Marks Entry'!Z176)</f>
        <v/>
      </c>
      <c r="AS176" s="572" t="str">
        <f t="shared" si="431"/>
        <v/>
      </c>
      <c r="AT176" s="572" t="str">
        <f t="shared" si="432"/>
        <v/>
      </c>
      <c r="AU176" s="573" t="str">
        <f>IF('Marks Entry'!AA176="","",'Marks Entry'!AA176)</f>
        <v/>
      </c>
      <c r="AV176" s="573" t="str">
        <f>IF('Marks Entry'!AB176="","",'Marks Entry'!AB176)</f>
        <v/>
      </c>
      <c r="AW176" s="572" t="str">
        <f t="shared" si="433"/>
        <v/>
      </c>
      <c r="AX176" s="156" t="str">
        <f t="shared" si="434"/>
        <v/>
      </c>
      <c r="AY176" s="156" t="str">
        <f t="shared" si="435"/>
        <v/>
      </c>
      <c r="AZ176" s="191" t="str">
        <f t="shared" si="436"/>
        <v/>
      </c>
      <c r="BA176" s="152">
        <f t="shared" si="437"/>
        <v>0</v>
      </c>
      <c r="BB176" s="153">
        <f t="shared" si="438"/>
        <v>0</v>
      </c>
      <c r="BC176" s="153" t="str">
        <f t="shared" si="439"/>
        <v/>
      </c>
      <c r="BD176" s="153" t="str">
        <f t="shared" si="440"/>
        <v/>
      </c>
      <c r="BE176" s="153" t="str">
        <f t="shared" si="441"/>
        <v/>
      </c>
      <c r="BF176" s="152" t="str">
        <f t="shared" si="442"/>
        <v/>
      </c>
      <c r="BG176" s="153" t="str">
        <f t="shared" si="443"/>
        <v/>
      </c>
      <c r="BH176" s="152" t="str">
        <f t="shared" si="444"/>
        <v/>
      </c>
      <c r="BI176" s="580" t="str">
        <f>IF('Marks Entry'!AC176="","",'Marks Entry'!AC176)</f>
        <v/>
      </c>
      <c r="BJ176" s="580" t="str">
        <f>IF('Marks Entry'!AD176="","",'Marks Entry'!AD176)</f>
        <v/>
      </c>
      <c r="BK176" s="580" t="str">
        <f>IF('Marks Entry'!AE176="","",'Marks Entry'!AE176)</f>
        <v/>
      </c>
      <c r="BL176" s="580" t="str">
        <f>IF('Marks Entry'!AF176="","",'Marks Entry'!AF176)</f>
        <v/>
      </c>
      <c r="BM176" s="581" t="str">
        <f t="shared" si="445"/>
        <v/>
      </c>
      <c r="BN176" s="580" t="str">
        <f>IF('Marks Entry'!AG176="","",'Marks Entry'!AG176)</f>
        <v/>
      </c>
      <c r="BO176" s="580" t="str">
        <f>IF('Marks Entry'!AH176="","",'Marks Entry'!AH176)</f>
        <v/>
      </c>
      <c r="BP176" s="581" t="str">
        <f t="shared" si="446"/>
        <v/>
      </c>
      <c r="BQ176" s="581" t="str">
        <f t="shared" si="447"/>
        <v/>
      </c>
      <c r="BR176" s="580" t="str">
        <f>IF('Marks Entry'!AI176="","",'Marks Entry'!AI176)</f>
        <v/>
      </c>
      <c r="BS176" s="580" t="str">
        <f>IF('Marks Entry'!AJ176="","",'Marks Entry'!AJ176)</f>
        <v/>
      </c>
      <c r="BT176" s="581" t="str">
        <f t="shared" si="448"/>
        <v/>
      </c>
      <c r="BU176" s="156" t="str">
        <f t="shared" si="449"/>
        <v/>
      </c>
      <c r="BV176" s="156" t="str">
        <f t="shared" si="450"/>
        <v/>
      </c>
      <c r="BW176" s="191" t="str">
        <f t="shared" si="451"/>
        <v/>
      </c>
      <c r="BX176" s="152">
        <f t="shared" si="452"/>
        <v>0</v>
      </c>
      <c r="BY176" s="153">
        <f t="shared" si="453"/>
        <v>0</v>
      </c>
      <c r="BZ176" s="153" t="str">
        <f t="shared" si="454"/>
        <v/>
      </c>
      <c r="CA176" s="153" t="str">
        <f t="shared" si="455"/>
        <v/>
      </c>
      <c r="CB176" s="153" t="str">
        <f t="shared" si="456"/>
        <v/>
      </c>
      <c r="CC176" s="152" t="str">
        <f t="shared" si="457"/>
        <v/>
      </c>
      <c r="CD176" s="153" t="str">
        <f t="shared" si="458"/>
        <v/>
      </c>
      <c r="CE176" s="152" t="str">
        <f t="shared" si="459"/>
        <v/>
      </c>
      <c r="CF176" s="580" t="str">
        <f>IF('Marks Entry'!AK176="","",'Marks Entry'!AK176)</f>
        <v/>
      </c>
      <c r="CG176" s="580" t="str">
        <f>IF('Marks Entry'!AL176="","",'Marks Entry'!AL176)</f>
        <v/>
      </c>
      <c r="CH176" s="580" t="str">
        <f>IF('Marks Entry'!AM176="","",'Marks Entry'!AM176)</f>
        <v/>
      </c>
      <c r="CI176" s="580" t="str">
        <f>IF('Marks Entry'!AN176="","",'Marks Entry'!AN176)</f>
        <v/>
      </c>
      <c r="CJ176" s="581" t="str">
        <f t="shared" si="460"/>
        <v/>
      </c>
      <c r="CK176" s="580" t="str">
        <f>IF('Marks Entry'!AO176="","",'Marks Entry'!AO176)</f>
        <v/>
      </c>
      <c r="CL176" s="580" t="str">
        <f>IF('Marks Entry'!AP176="","",'Marks Entry'!AP176)</f>
        <v/>
      </c>
      <c r="CM176" s="581" t="str">
        <f t="shared" si="461"/>
        <v/>
      </c>
      <c r="CN176" s="581" t="str">
        <f t="shared" si="462"/>
        <v/>
      </c>
      <c r="CO176" s="580" t="str">
        <f>IF('Marks Entry'!AQ176="","",'Marks Entry'!AQ176)</f>
        <v/>
      </c>
      <c r="CP176" s="580" t="str">
        <f>IF('Marks Entry'!AR176="","",'Marks Entry'!AR176)</f>
        <v/>
      </c>
      <c r="CQ176" s="581" t="str">
        <f t="shared" si="463"/>
        <v/>
      </c>
      <c r="CR176" s="156" t="str">
        <f t="shared" si="464"/>
        <v/>
      </c>
      <c r="CS176" s="156" t="str">
        <f t="shared" si="465"/>
        <v/>
      </c>
      <c r="CT176" s="191" t="str">
        <f t="shared" si="466"/>
        <v/>
      </c>
      <c r="CU176" s="152">
        <f t="shared" si="467"/>
        <v>0</v>
      </c>
      <c r="CV176" s="153">
        <f t="shared" si="468"/>
        <v>0</v>
      </c>
      <c r="CW176" s="153" t="str">
        <f t="shared" si="469"/>
        <v/>
      </c>
      <c r="CX176" s="153" t="str">
        <f t="shared" si="470"/>
        <v/>
      </c>
      <c r="CY176" s="153" t="str">
        <f t="shared" si="471"/>
        <v/>
      </c>
      <c r="CZ176" s="152" t="str">
        <f t="shared" si="472"/>
        <v/>
      </c>
      <c r="DA176" s="153" t="str">
        <f t="shared" si="473"/>
        <v/>
      </c>
      <c r="DB176" s="152" t="str">
        <f t="shared" si="474"/>
        <v/>
      </c>
      <c r="DC176" s="153">
        <f t="shared" si="475"/>
        <v>0</v>
      </c>
      <c r="DD176" s="851" t="str">
        <f>IF('Marks Entry'!AS176="","",IF(OR('Master Sheet'!$D$19="YES",'Marks Entry'!$BA$1=1),'Marks Entry'!AS176,""))</f>
        <v/>
      </c>
      <c r="DE176" s="851" t="str">
        <f>IF('Marks Entry'!AT176="","",IF(OR('Master Sheet'!$D$19="YES",'Marks Entry'!$BA$1=1),'Marks Entry'!AT176,""))</f>
        <v/>
      </c>
      <c r="DF176" s="851" t="str">
        <f>IF('Marks Entry'!AU176="","",IF(OR('Master Sheet'!$D$19="YES",'Marks Entry'!$BA$1=1),'Marks Entry'!AU176,""))</f>
        <v/>
      </c>
      <c r="DG176" s="851" t="str">
        <f>IF('Marks Entry'!AV176="","",IF(OR('Master Sheet'!$D$19="YES",'Marks Entry'!$BA$1=1),'Marks Entry'!AV176,""))</f>
        <v/>
      </c>
      <c r="DH176" s="852" t="str">
        <f t="shared" si="476"/>
        <v/>
      </c>
      <c r="DI176" s="851" t="str">
        <f>IF('Marks Entry'!AW176="","",IF(OR('Master Sheet'!$D$19="YES",'Marks Entry'!$BA$1=1),'Marks Entry'!AW176,""))</f>
        <v/>
      </c>
      <c r="DJ176" s="851" t="str">
        <f>IF('Marks Entry'!AX176="","",IF(OR('Master Sheet'!$D$19="YES",'Marks Entry'!$BA$1=1),'Marks Entry'!AX176,""))</f>
        <v/>
      </c>
      <c r="DK176" s="852" t="str">
        <f t="shared" si="477"/>
        <v/>
      </c>
      <c r="DL176" s="852" t="str">
        <f t="shared" si="478"/>
        <v/>
      </c>
      <c r="DM176" s="851" t="str">
        <f>IF('Marks Entry'!AY176="","",IF(OR('Master Sheet'!$D$19="YES",'Marks Entry'!$BA$1=1),'Marks Entry'!AY176,""))</f>
        <v/>
      </c>
      <c r="DN176" s="851" t="str">
        <f>IF('Marks Entry'!AZ176="","",IF(OR('Master Sheet'!$D$19="YES",'Marks Entry'!$BA$1=1),'Marks Entry'!AZ176,""))</f>
        <v/>
      </c>
      <c r="DO176" s="851" t="str">
        <f>IF('Marks Entry'!BA176="","",IF(OR('Master Sheet'!$D$19="YES",'Marks Entry'!$BA$1=1),'Marks Entry'!BA176,""))</f>
        <v/>
      </c>
      <c r="DP176" s="852" t="str">
        <f t="shared" si="479"/>
        <v/>
      </c>
      <c r="DQ176" s="156" t="str">
        <f t="shared" si="480"/>
        <v/>
      </c>
      <c r="DR176" s="156" t="str">
        <f t="shared" si="481"/>
        <v/>
      </c>
      <c r="DS176" s="156" t="str">
        <f t="shared" si="482"/>
        <v/>
      </c>
      <c r="DT176" s="191" t="str">
        <f t="shared" si="483"/>
        <v/>
      </c>
      <c r="DU176" s="152">
        <f t="shared" si="484"/>
        <v>0</v>
      </c>
      <c r="DV176" s="153">
        <f t="shared" si="485"/>
        <v>0</v>
      </c>
      <c r="DW176" s="153" t="str">
        <f t="shared" si="486"/>
        <v/>
      </c>
      <c r="DX176" s="153" t="str">
        <f>IF(OR($B176="NSO",$B176=0,DS176=""),"",IF(AND(DJ176="",DO176=""),"",IF('Master Sheet'!$D$19="YES",$DO$6-COUNTIF(DO176,"ML")*DO$6,DS$6-(COUNTIF(DJ176,"ML")*DJ$6)-(COUNTIF(DO176,"ML")*DO$6))))</f>
        <v/>
      </c>
      <c r="DY176" s="153" t="str">
        <f>IF(OR($B176="NSO",$B176=0),"",IF(AND(DH176="",DI176="",DM176=""),"",IF(AND('Master Sheet'!$D$19="YES",'Marks Entry'!$BA$1=1),100,IF(AND(DJ176="",DO176=""),SUM(($DQ$7+$DR$7)-(DU176+DV176)),SUM(($DQ$6+$DR$6)-(DU176+DV176))))))</f>
        <v/>
      </c>
      <c r="DZ176" s="152" t="str">
        <f t="shared" si="487"/>
        <v/>
      </c>
      <c r="EA176" s="153" t="str">
        <f t="shared" si="488"/>
        <v/>
      </c>
      <c r="EB176" s="152" t="str">
        <f t="shared" si="489"/>
        <v/>
      </c>
      <c r="EC176" s="584" t="str">
        <f>IF('Marks Entry'!BB176="","",'Marks Entry'!BB176)</f>
        <v/>
      </c>
      <c r="ED176" s="584" t="str">
        <f>IF('Marks Entry'!BC176="","",'Marks Entry'!BC176)</f>
        <v/>
      </c>
      <c r="EE176" s="584" t="str">
        <f>IF('Marks Entry'!BD176="","",'Marks Entry'!BD176)</f>
        <v/>
      </c>
      <c r="EF176" s="590" t="str">
        <f t="shared" si="490"/>
        <v/>
      </c>
      <c r="EG176" s="595">
        <f t="shared" si="491"/>
        <v>0</v>
      </c>
      <c r="EH176" s="595">
        <f t="shared" si="492"/>
        <v>0</v>
      </c>
      <c r="EI176" s="192" t="str">
        <f t="shared" si="493"/>
        <v/>
      </c>
      <c r="EJ176" s="595" t="str">
        <f t="shared" si="494"/>
        <v/>
      </c>
      <c r="EK176" s="595" t="str">
        <f t="shared" si="495"/>
        <v/>
      </c>
      <c r="EL176" s="193" t="str">
        <f t="shared" si="496"/>
        <v/>
      </c>
      <c r="EM176" s="193" t="str">
        <f t="shared" si="497"/>
        <v/>
      </c>
      <c r="EN176" s="193" t="str">
        <f t="shared" si="498"/>
        <v/>
      </c>
      <c r="EO176" s="193" t="str">
        <f t="shared" si="499"/>
        <v/>
      </c>
      <c r="EP176" s="193" t="str">
        <f t="shared" si="500"/>
        <v/>
      </c>
      <c r="EQ176" s="193" t="str">
        <f t="shared" si="501"/>
        <v/>
      </c>
      <c r="ER176" s="194">
        <f t="shared" si="502"/>
        <v>0</v>
      </c>
      <c r="ES176" s="194">
        <f t="shared" si="503"/>
        <v>0</v>
      </c>
      <c r="ET176" s="194">
        <f t="shared" si="504"/>
        <v>0</v>
      </c>
      <c r="EU176" s="194">
        <f t="shared" si="505"/>
        <v>0</v>
      </c>
      <c r="EV176" s="194">
        <f t="shared" si="506"/>
        <v>0</v>
      </c>
      <c r="EW176" s="194" t="str">
        <f t="shared" si="507"/>
        <v/>
      </c>
      <c r="EX176" s="195" t="str">
        <f t="shared" si="508"/>
        <v/>
      </c>
      <c r="EY176" s="196" t="str">
        <f>IF('Marks Entry'!BE176="","",'Marks Entry'!BE176)</f>
        <v/>
      </c>
      <c r="EZ176" s="196" t="str">
        <f>IF('Marks Entry'!BF176="","",'Marks Entry'!BF176)</f>
        <v/>
      </c>
      <c r="FA176" s="196" t="str">
        <f>IF('Marks Entry'!BG176="","",'Marks Entry'!BG176)</f>
        <v/>
      </c>
      <c r="FB176" s="596" t="str">
        <f t="shared" si="509"/>
        <v/>
      </c>
      <c r="FC176" s="196" t="str">
        <f>IF('Marks Entry'!BH176="","",'Marks Entry'!BH176)</f>
        <v/>
      </c>
      <c r="FD176" s="196" t="str">
        <f>IF('Marks Entry'!BI176="","",'Marks Entry'!BI176)</f>
        <v/>
      </c>
      <c r="FE176" s="197" t="str">
        <f t="shared" si="510"/>
        <v/>
      </c>
      <c r="FF176" s="198" t="str">
        <f t="shared" si="511"/>
        <v/>
      </c>
      <c r="FG176" s="199" t="str">
        <f>IF(AND(E176=""),"",IF('Student DATA Entry'!L172="","",'Student DATA Entry'!L172))</f>
        <v/>
      </c>
      <c r="FH176" s="200" t="str">
        <f>IF(AND(E176=""),"",IF('Student DATA Entry'!M172="","",'Student DATA Entry'!M172))</f>
        <v/>
      </c>
      <c r="FI176" s="201" t="str">
        <f t="shared" si="512"/>
        <v/>
      </c>
      <c r="FJ176" s="188" t="str">
        <f t="shared" si="513"/>
        <v/>
      </c>
      <c r="FK176" s="188" t="str">
        <f t="shared" si="514"/>
        <v/>
      </c>
      <c r="FL176" s="202" t="str">
        <f t="shared" si="542"/>
        <v/>
      </c>
      <c r="FM176" s="188" t="str">
        <f t="shared" si="515"/>
        <v/>
      </c>
      <c r="FN176" s="203" t="str">
        <f t="shared" si="516"/>
        <v/>
      </c>
      <c r="FO176" s="202" t="str">
        <f t="shared" si="543"/>
        <v/>
      </c>
      <c r="FP176" s="204" t="str">
        <f t="shared" si="517"/>
        <v/>
      </c>
      <c r="FQ176" s="188" t="str">
        <f t="shared" si="544"/>
        <v/>
      </c>
      <c r="FR176" s="188" t="str">
        <f t="shared" si="545"/>
        <v/>
      </c>
      <c r="FS176" s="188" t="str">
        <f t="shared" si="546"/>
        <v/>
      </c>
      <c r="FT176" s="188" t="str">
        <f t="shared" si="547"/>
        <v/>
      </c>
      <c r="FU176" s="188" t="str">
        <f t="shared" si="518"/>
        <v/>
      </c>
      <c r="FV176" s="205" t="str">
        <f t="shared" si="548"/>
        <v/>
      </c>
      <c r="FW176" s="204" t="str">
        <f t="shared" si="519"/>
        <v/>
      </c>
      <c r="FX176" s="188" t="str">
        <f t="shared" si="549"/>
        <v/>
      </c>
      <c r="FY176" s="188" t="str">
        <f t="shared" si="550"/>
        <v/>
      </c>
      <c r="FZ176" s="188" t="str">
        <f t="shared" si="551"/>
        <v/>
      </c>
      <c r="GA176" s="188" t="str">
        <f t="shared" si="552"/>
        <v/>
      </c>
      <c r="GB176" s="188" t="str">
        <f t="shared" si="520"/>
        <v/>
      </c>
      <c r="GC176" s="205" t="str">
        <f t="shared" si="553"/>
        <v/>
      </c>
      <c r="GD176" s="204" t="str">
        <f t="shared" si="521"/>
        <v/>
      </c>
      <c r="GE176" s="188" t="str">
        <f t="shared" si="554"/>
        <v/>
      </c>
      <c r="GF176" s="188" t="str">
        <f t="shared" si="555"/>
        <v/>
      </c>
      <c r="GG176" s="188" t="str">
        <f t="shared" si="556"/>
        <v/>
      </c>
      <c r="GH176" s="188" t="str">
        <f t="shared" si="557"/>
        <v/>
      </c>
      <c r="GI176" s="188" t="str">
        <f t="shared" si="522"/>
        <v/>
      </c>
      <c r="GJ176" s="205" t="str">
        <f t="shared" si="558"/>
        <v/>
      </c>
      <c r="GK176" s="204" t="str">
        <f t="shared" si="523"/>
        <v/>
      </c>
      <c r="GL176" s="188" t="str">
        <f t="shared" si="559"/>
        <v/>
      </c>
      <c r="GM176" s="188" t="str">
        <f t="shared" si="560"/>
        <v/>
      </c>
      <c r="GN176" s="188" t="str">
        <f t="shared" si="561"/>
        <v/>
      </c>
      <c r="GO176" s="188" t="str">
        <f t="shared" si="562"/>
        <v/>
      </c>
      <c r="GP176" s="188" t="str">
        <f t="shared" si="524"/>
        <v/>
      </c>
      <c r="GQ176" s="205" t="str">
        <f t="shared" si="563"/>
        <v/>
      </c>
      <c r="GR176" s="188" t="str">
        <f t="shared" si="525"/>
        <v/>
      </c>
      <c r="GS176" s="188" t="str">
        <f t="shared" si="526"/>
        <v/>
      </c>
      <c r="GT176" s="206" t="str">
        <f t="shared" si="527"/>
        <v xml:space="preserve">    </v>
      </c>
      <c r="GU176" s="206" t="str">
        <f t="shared" si="528"/>
        <v xml:space="preserve">    </v>
      </c>
      <c r="GV176" s="206" t="str">
        <f t="shared" si="529"/>
        <v xml:space="preserve">    </v>
      </c>
      <c r="GW176" s="206" t="str">
        <f t="shared" si="530"/>
        <v xml:space="preserve">       </v>
      </c>
      <c r="GX176" s="598" t="str">
        <f t="shared" si="531"/>
        <v xml:space="preserve">     </v>
      </c>
      <c r="GY176" s="207" t="str">
        <f t="shared" si="564"/>
        <v/>
      </c>
      <c r="GZ176" s="606" t="str">
        <f>IF(AND(Q176="",AE176="",AZ176="",BW176="",CT176=""),"",IF(AND('Master Sheet'!$D$19="YES",'Marks Entry'!$BA$1=1),SUM(Q176,AE176,AZ176,BW176,DT176),SUM(Q176,AE176,AZ176,BW176,CT176)))</f>
        <v/>
      </c>
      <c r="HA176" s="208" t="str">
        <f>IF(GZ176="","",IF(AND('Master Sheet'!$D$19="YES",'Marks Entry'!$BA$1=1),GZ176/((900)-DC176)*100,GZ176/((1000)-DC176)*100))</f>
        <v/>
      </c>
      <c r="HB176" s="611" t="str">
        <f t="shared" si="532"/>
        <v/>
      </c>
      <c r="HC176" s="609" t="str">
        <f t="shared" si="533"/>
        <v/>
      </c>
      <c r="HD176" s="610" t="str">
        <f t="shared" si="534"/>
        <v/>
      </c>
      <c r="HE176" s="209" t="str">
        <f>IFERROR(IF(OR(GY176="SUPPLEMENTARY",GY176="RE-EXAM"),'Supp. Result Entry'!AS175,""),"")</f>
        <v/>
      </c>
      <c r="HF176" s="613" t="str">
        <f t="shared" si="535"/>
        <v/>
      </c>
      <c r="HG176" s="598" t="str">
        <f t="shared" si="536"/>
        <v/>
      </c>
      <c r="HH176" s="598" t="str">
        <f>IF(AND(HE176="",HF176="",HG176=""),"",IF(OR(GY176="SUPPLEMENTARY",GY176="RE-EXAM"),'Supp. Result Entry'!AS175,GY176))</f>
        <v/>
      </c>
      <c r="HI176" s="179"/>
      <c r="HY176" s="211" t="str">
        <f>IF('Supp. Result Entry'!U175="","",'Supp. Result Entry'!$U$6)</f>
        <v/>
      </c>
      <c r="HZ176" s="212" t="str">
        <f>IF('Supp. Result Entry'!X175="","",'Supp. Result Entry'!$X$6)</f>
        <v/>
      </c>
      <c r="IA176" s="212" t="str">
        <f>IF('Supp. Result Entry'!AA175="","",'Supp. Result Entry'!$AA$6)</f>
        <v/>
      </c>
      <c r="IB176" s="212" t="str">
        <f>IF('Supp. Result Entry'!AD175="","",'Supp. Result Entry'!$AD$6)</f>
        <v/>
      </c>
      <c r="IC176" s="212" t="str">
        <f>IF('Supp. Result Entry'!AG175="","",'Supp. Result Entry'!$AG$6)</f>
        <v/>
      </c>
      <c r="ID176" s="212" t="str">
        <f>IF('Supp. Result Entry'!AJ175="","",'Supp. Result Entry'!$AJ$6)</f>
        <v/>
      </c>
      <c r="IE176" s="212" t="str">
        <f>IF('Supp. Result Entry'!V175="","",'Supp. Result Entry'!V175)</f>
        <v/>
      </c>
      <c r="IF176" s="212" t="str">
        <f>IF('Supp. Result Entry'!Y175="","",'Supp. Result Entry'!Y175)</f>
        <v/>
      </c>
      <c r="IG176" s="212" t="str">
        <f>IF('Supp. Result Entry'!AB175="","",'Supp. Result Entry'!AB175)</f>
        <v/>
      </c>
      <c r="IH176" s="212" t="str">
        <f>IF('Supp. Result Entry'!AE175="","",'Supp. Result Entry'!AE175)</f>
        <v/>
      </c>
      <c r="II176" s="212" t="str">
        <f>IF('Supp. Result Entry'!AH175="","",'Supp. Result Entry'!AH175)</f>
        <v/>
      </c>
      <c r="IJ176" s="212" t="str">
        <f>IF('Supp. Result Entry'!AK175="","",'Supp. Result Entry'!AK175)</f>
        <v/>
      </c>
      <c r="IK176" s="212" t="str">
        <f>IF('Supp. Result Entry'!W175="","",'Supp. Result Entry'!W175)</f>
        <v/>
      </c>
      <c r="IL176" s="212" t="str">
        <f>IF('Supp. Result Entry'!Z175="","",'Supp. Result Entry'!Z175)</f>
        <v/>
      </c>
      <c r="IM176" s="212" t="str">
        <f>IF('Supp. Result Entry'!AC175="","",'Supp. Result Entry'!AC175)</f>
        <v/>
      </c>
      <c r="IN176" s="212" t="str">
        <f>IF('Supp. Result Entry'!AF175="","",'Supp. Result Entry'!AF175)</f>
        <v/>
      </c>
      <c r="IO176" s="212" t="str">
        <f>IF('Supp. Result Entry'!AI175="","",'Supp. Result Entry'!AI175)</f>
        <v/>
      </c>
      <c r="IP176" s="212" t="str">
        <f>IF('Supp. Result Entry'!AL175="","",'Supp. Result Entry'!AL175)</f>
        <v/>
      </c>
      <c r="IQ176" s="212">
        <f>COUNTIF('Supp. Result Entry'!K175:Q175,"S")</f>
        <v>0</v>
      </c>
      <c r="IR176" s="212">
        <f t="shared" si="537"/>
        <v>0</v>
      </c>
      <c r="IS176" s="212">
        <f t="shared" si="538"/>
        <v>0</v>
      </c>
      <c r="IT176" s="212" t="str">
        <f t="shared" si="406"/>
        <v/>
      </c>
      <c r="IU176" s="212" t="str">
        <f t="shared" si="407"/>
        <v/>
      </c>
      <c r="IV176" s="212" t="str">
        <f t="shared" si="408"/>
        <v/>
      </c>
      <c r="IW176" s="212" t="str">
        <f t="shared" si="409"/>
        <v/>
      </c>
      <c r="IX176" s="212" t="str">
        <f t="shared" si="410"/>
        <v/>
      </c>
      <c r="IY176" s="212" t="str">
        <f t="shared" si="539"/>
        <v/>
      </c>
      <c r="IZ176" s="212" t="str">
        <f t="shared" si="540"/>
        <v/>
      </c>
      <c r="JA176" s="212" t="str">
        <f t="shared" si="411"/>
        <v/>
      </c>
      <c r="JB176" s="210" t="str">
        <f t="shared" si="541"/>
        <v/>
      </c>
    </row>
    <row r="177" spans="1:262" s="210" customFormat="1" ht="21" customHeight="1">
      <c r="A177" s="183">
        <v>170</v>
      </c>
      <c r="B177" s="184" t="str">
        <f>IF('Marks Entry'!B177="","",'Marks Entry'!B177)</f>
        <v/>
      </c>
      <c r="C177" s="185" t="str">
        <f>IF('Marks Entry'!D177="","",'Marks Entry'!D177)</f>
        <v/>
      </c>
      <c r="D177" s="186" t="str">
        <f>IF('Marks Entry'!E177="","",'Marks Entry'!E177)</f>
        <v/>
      </c>
      <c r="E177" s="187" t="str">
        <f>IF('Marks Entry'!F177="","",'Marks Entry'!F177)</f>
        <v/>
      </c>
      <c r="F177" s="187" t="str">
        <f>IF('Marks Entry'!G177="","",'Marks Entry'!G177)</f>
        <v/>
      </c>
      <c r="G177" s="187" t="str">
        <f>IF('Marks Entry'!H177="","",'Marks Entry'!H177)</f>
        <v/>
      </c>
      <c r="H177" s="188" t="str">
        <f>IF('Marks Entry'!I177="","",'Marks Entry'!I177)</f>
        <v/>
      </c>
      <c r="I177" s="189" t="str">
        <f>IF('Marks Entry'!J177="","",'Marks Entry'!J177)</f>
        <v/>
      </c>
      <c r="J177" s="545" t="str">
        <f>IF('Marks Entry'!K177="","",'Marks Entry'!K177)</f>
        <v/>
      </c>
      <c r="K177" s="545" t="str">
        <f>IF('Marks Entry'!L177="","",'Marks Entry'!L177)</f>
        <v/>
      </c>
      <c r="L177" s="545" t="str">
        <f>IF('Marks Entry'!M177="","",'Marks Entry'!M177)</f>
        <v/>
      </c>
      <c r="M177" s="546" t="str">
        <f t="shared" si="412"/>
        <v/>
      </c>
      <c r="N177" s="545" t="str">
        <f>IF('Marks Entry'!N177="","",'Marks Entry'!N177)</f>
        <v/>
      </c>
      <c r="O177" s="546" t="str">
        <f t="shared" si="413"/>
        <v/>
      </c>
      <c r="P177" s="545" t="str">
        <f>IF('Marks Entry'!O177="","",'Marks Entry'!O177)</f>
        <v/>
      </c>
      <c r="Q177" s="547" t="str">
        <f t="shared" si="414"/>
        <v/>
      </c>
      <c r="R177" s="152">
        <f t="shared" si="415"/>
        <v>0</v>
      </c>
      <c r="S177" s="152">
        <f t="shared" si="416"/>
        <v>0</v>
      </c>
      <c r="T177" s="153" t="str">
        <f t="shared" si="417"/>
        <v/>
      </c>
      <c r="U177" s="152" t="str">
        <f t="shared" si="418"/>
        <v/>
      </c>
      <c r="V177" s="152" t="str">
        <f t="shared" si="419"/>
        <v/>
      </c>
      <c r="W177" s="152" t="str">
        <f t="shared" si="420"/>
        <v/>
      </c>
      <c r="X177" s="545" t="str">
        <f>IF('Marks Entry'!P177="","",'Marks Entry'!P177)</f>
        <v/>
      </c>
      <c r="Y177" s="545" t="str">
        <f>IF('Marks Entry'!Q177="","",'Marks Entry'!Q177)</f>
        <v/>
      </c>
      <c r="Z177" s="545" t="str">
        <f>IF('Marks Entry'!R177="","",'Marks Entry'!R177)</f>
        <v/>
      </c>
      <c r="AA177" s="546" t="str">
        <f t="shared" si="421"/>
        <v/>
      </c>
      <c r="AB177" s="545" t="str">
        <f>IF('Marks Entry'!S177="","",'Marks Entry'!S177)</f>
        <v/>
      </c>
      <c r="AC177" s="546" t="str">
        <f t="shared" si="422"/>
        <v/>
      </c>
      <c r="AD177" s="545" t="str">
        <f>IF('Marks Entry'!T177="","",'Marks Entry'!T177)</f>
        <v/>
      </c>
      <c r="AE177" s="547" t="str">
        <f t="shared" si="423"/>
        <v/>
      </c>
      <c r="AF177" s="152">
        <f t="shared" si="424"/>
        <v>0</v>
      </c>
      <c r="AG177" s="152">
        <f t="shared" si="425"/>
        <v>0</v>
      </c>
      <c r="AH177" s="153" t="str">
        <f t="shared" si="426"/>
        <v/>
      </c>
      <c r="AI177" s="152" t="str">
        <f t="shared" si="427"/>
        <v/>
      </c>
      <c r="AJ177" s="152" t="str">
        <f t="shared" si="428"/>
        <v/>
      </c>
      <c r="AK177" s="152" t="str">
        <f t="shared" si="429"/>
        <v/>
      </c>
      <c r="AL177" s="573" t="str">
        <f>IF('Marks Entry'!U177="","",'Marks Entry'!U177)</f>
        <v/>
      </c>
      <c r="AM177" s="573" t="str">
        <f>IF('Marks Entry'!V177="","",'Marks Entry'!V177)</f>
        <v/>
      </c>
      <c r="AN177" s="573" t="str">
        <f>IF('Marks Entry'!W177="","",'Marks Entry'!W177)</f>
        <v/>
      </c>
      <c r="AO177" s="573" t="str">
        <f>IF('Marks Entry'!X177="","",'Marks Entry'!X177)</f>
        <v/>
      </c>
      <c r="AP177" s="572" t="str">
        <f t="shared" si="430"/>
        <v/>
      </c>
      <c r="AQ177" s="573" t="str">
        <f>IF('Marks Entry'!Y177="","",'Marks Entry'!Y177)</f>
        <v/>
      </c>
      <c r="AR177" s="573" t="str">
        <f>IF('Marks Entry'!Z177="","",'Marks Entry'!Z177)</f>
        <v/>
      </c>
      <c r="AS177" s="572" t="str">
        <f t="shared" si="431"/>
        <v/>
      </c>
      <c r="AT177" s="572" t="str">
        <f t="shared" si="432"/>
        <v/>
      </c>
      <c r="AU177" s="573" t="str">
        <f>IF('Marks Entry'!AA177="","",'Marks Entry'!AA177)</f>
        <v/>
      </c>
      <c r="AV177" s="573" t="str">
        <f>IF('Marks Entry'!AB177="","",'Marks Entry'!AB177)</f>
        <v/>
      </c>
      <c r="AW177" s="572" t="str">
        <f t="shared" si="433"/>
        <v/>
      </c>
      <c r="AX177" s="156" t="str">
        <f t="shared" si="434"/>
        <v/>
      </c>
      <c r="AY177" s="156" t="str">
        <f t="shared" si="435"/>
        <v/>
      </c>
      <c r="AZ177" s="191" t="str">
        <f t="shared" si="436"/>
        <v/>
      </c>
      <c r="BA177" s="152">
        <f t="shared" si="437"/>
        <v>0</v>
      </c>
      <c r="BB177" s="153">
        <f t="shared" si="438"/>
        <v>0</v>
      </c>
      <c r="BC177" s="153" t="str">
        <f t="shared" si="439"/>
        <v/>
      </c>
      <c r="BD177" s="153" t="str">
        <f t="shared" si="440"/>
        <v/>
      </c>
      <c r="BE177" s="153" t="str">
        <f t="shared" si="441"/>
        <v/>
      </c>
      <c r="BF177" s="152" t="str">
        <f t="shared" si="442"/>
        <v/>
      </c>
      <c r="BG177" s="153" t="str">
        <f t="shared" si="443"/>
        <v/>
      </c>
      <c r="BH177" s="152" t="str">
        <f t="shared" si="444"/>
        <v/>
      </c>
      <c r="BI177" s="580" t="str">
        <f>IF('Marks Entry'!AC177="","",'Marks Entry'!AC177)</f>
        <v/>
      </c>
      <c r="BJ177" s="580" t="str">
        <f>IF('Marks Entry'!AD177="","",'Marks Entry'!AD177)</f>
        <v/>
      </c>
      <c r="BK177" s="580" t="str">
        <f>IF('Marks Entry'!AE177="","",'Marks Entry'!AE177)</f>
        <v/>
      </c>
      <c r="BL177" s="580" t="str">
        <f>IF('Marks Entry'!AF177="","",'Marks Entry'!AF177)</f>
        <v/>
      </c>
      <c r="BM177" s="581" t="str">
        <f t="shared" si="445"/>
        <v/>
      </c>
      <c r="BN177" s="580" t="str">
        <f>IF('Marks Entry'!AG177="","",'Marks Entry'!AG177)</f>
        <v/>
      </c>
      <c r="BO177" s="580" t="str">
        <f>IF('Marks Entry'!AH177="","",'Marks Entry'!AH177)</f>
        <v/>
      </c>
      <c r="BP177" s="581" t="str">
        <f t="shared" si="446"/>
        <v/>
      </c>
      <c r="BQ177" s="581" t="str">
        <f t="shared" si="447"/>
        <v/>
      </c>
      <c r="BR177" s="580" t="str">
        <f>IF('Marks Entry'!AI177="","",'Marks Entry'!AI177)</f>
        <v/>
      </c>
      <c r="BS177" s="580" t="str">
        <f>IF('Marks Entry'!AJ177="","",'Marks Entry'!AJ177)</f>
        <v/>
      </c>
      <c r="BT177" s="581" t="str">
        <f t="shared" si="448"/>
        <v/>
      </c>
      <c r="BU177" s="156" t="str">
        <f t="shared" si="449"/>
        <v/>
      </c>
      <c r="BV177" s="156" t="str">
        <f t="shared" si="450"/>
        <v/>
      </c>
      <c r="BW177" s="191" t="str">
        <f t="shared" si="451"/>
        <v/>
      </c>
      <c r="BX177" s="152">
        <f t="shared" si="452"/>
        <v>0</v>
      </c>
      <c r="BY177" s="153">
        <f t="shared" si="453"/>
        <v>0</v>
      </c>
      <c r="BZ177" s="153" t="str">
        <f t="shared" si="454"/>
        <v/>
      </c>
      <c r="CA177" s="153" t="str">
        <f t="shared" si="455"/>
        <v/>
      </c>
      <c r="CB177" s="153" t="str">
        <f t="shared" si="456"/>
        <v/>
      </c>
      <c r="CC177" s="152" t="str">
        <f t="shared" si="457"/>
        <v/>
      </c>
      <c r="CD177" s="153" t="str">
        <f t="shared" si="458"/>
        <v/>
      </c>
      <c r="CE177" s="152" t="str">
        <f t="shared" si="459"/>
        <v/>
      </c>
      <c r="CF177" s="580" t="str">
        <f>IF('Marks Entry'!AK177="","",'Marks Entry'!AK177)</f>
        <v/>
      </c>
      <c r="CG177" s="580" t="str">
        <f>IF('Marks Entry'!AL177="","",'Marks Entry'!AL177)</f>
        <v/>
      </c>
      <c r="CH177" s="580" t="str">
        <f>IF('Marks Entry'!AM177="","",'Marks Entry'!AM177)</f>
        <v/>
      </c>
      <c r="CI177" s="580" t="str">
        <f>IF('Marks Entry'!AN177="","",'Marks Entry'!AN177)</f>
        <v/>
      </c>
      <c r="CJ177" s="581" t="str">
        <f t="shared" si="460"/>
        <v/>
      </c>
      <c r="CK177" s="580" t="str">
        <f>IF('Marks Entry'!AO177="","",'Marks Entry'!AO177)</f>
        <v/>
      </c>
      <c r="CL177" s="580" t="str">
        <f>IF('Marks Entry'!AP177="","",'Marks Entry'!AP177)</f>
        <v/>
      </c>
      <c r="CM177" s="581" t="str">
        <f t="shared" si="461"/>
        <v/>
      </c>
      <c r="CN177" s="581" t="str">
        <f t="shared" si="462"/>
        <v/>
      </c>
      <c r="CO177" s="580" t="str">
        <f>IF('Marks Entry'!AQ177="","",'Marks Entry'!AQ177)</f>
        <v/>
      </c>
      <c r="CP177" s="580" t="str">
        <f>IF('Marks Entry'!AR177="","",'Marks Entry'!AR177)</f>
        <v/>
      </c>
      <c r="CQ177" s="581" t="str">
        <f t="shared" si="463"/>
        <v/>
      </c>
      <c r="CR177" s="156" t="str">
        <f t="shared" si="464"/>
        <v/>
      </c>
      <c r="CS177" s="156" t="str">
        <f t="shared" si="465"/>
        <v/>
      </c>
      <c r="CT177" s="191" t="str">
        <f t="shared" si="466"/>
        <v/>
      </c>
      <c r="CU177" s="152">
        <f t="shared" si="467"/>
        <v>0</v>
      </c>
      <c r="CV177" s="153">
        <f t="shared" si="468"/>
        <v>0</v>
      </c>
      <c r="CW177" s="153" t="str">
        <f t="shared" si="469"/>
        <v/>
      </c>
      <c r="CX177" s="153" t="str">
        <f t="shared" si="470"/>
        <v/>
      </c>
      <c r="CY177" s="153" t="str">
        <f t="shared" si="471"/>
        <v/>
      </c>
      <c r="CZ177" s="152" t="str">
        <f t="shared" si="472"/>
        <v/>
      </c>
      <c r="DA177" s="153" t="str">
        <f t="shared" si="473"/>
        <v/>
      </c>
      <c r="DB177" s="152" t="str">
        <f t="shared" si="474"/>
        <v/>
      </c>
      <c r="DC177" s="153">
        <f t="shared" si="475"/>
        <v>0</v>
      </c>
      <c r="DD177" s="851" t="str">
        <f>IF('Marks Entry'!AS177="","",IF(OR('Master Sheet'!$D$19="YES",'Marks Entry'!$BA$1=1),'Marks Entry'!AS177,""))</f>
        <v/>
      </c>
      <c r="DE177" s="851" t="str">
        <f>IF('Marks Entry'!AT177="","",IF(OR('Master Sheet'!$D$19="YES",'Marks Entry'!$BA$1=1),'Marks Entry'!AT177,""))</f>
        <v/>
      </c>
      <c r="DF177" s="851" t="str">
        <f>IF('Marks Entry'!AU177="","",IF(OR('Master Sheet'!$D$19="YES",'Marks Entry'!$BA$1=1),'Marks Entry'!AU177,""))</f>
        <v/>
      </c>
      <c r="DG177" s="851" t="str">
        <f>IF('Marks Entry'!AV177="","",IF(OR('Master Sheet'!$D$19="YES",'Marks Entry'!$BA$1=1),'Marks Entry'!AV177,""))</f>
        <v/>
      </c>
      <c r="DH177" s="852" t="str">
        <f t="shared" si="476"/>
        <v/>
      </c>
      <c r="DI177" s="851" t="str">
        <f>IF('Marks Entry'!AW177="","",IF(OR('Master Sheet'!$D$19="YES",'Marks Entry'!$BA$1=1),'Marks Entry'!AW177,""))</f>
        <v/>
      </c>
      <c r="DJ177" s="851" t="str">
        <f>IF('Marks Entry'!AX177="","",IF(OR('Master Sheet'!$D$19="YES",'Marks Entry'!$BA$1=1),'Marks Entry'!AX177,""))</f>
        <v/>
      </c>
      <c r="DK177" s="852" t="str">
        <f t="shared" si="477"/>
        <v/>
      </c>
      <c r="DL177" s="852" t="str">
        <f t="shared" si="478"/>
        <v/>
      </c>
      <c r="DM177" s="851" t="str">
        <f>IF('Marks Entry'!AY177="","",IF(OR('Master Sheet'!$D$19="YES",'Marks Entry'!$BA$1=1),'Marks Entry'!AY177,""))</f>
        <v/>
      </c>
      <c r="DN177" s="851" t="str">
        <f>IF('Marks Entry'!AZ177="","",IF(OR('Master Sheet'!$D$19="YES",'Marks Entry'!$BA$1=1),'Marks Entry'!AZ177,""))</f>
        <v/>
      </c>
      <c r="DO177" s="851" t="str">
        <f>IF('Marks Entry'!BA177="","",IF(OR('Master Sheet'!$D$19="YES",'Marks Entry'!$BA$1=1),'Marks Entry'!BA177,""))</f>
        <v/>
      </c>
      <c r="DP177" s="852" t="str">
        <f t="shared" si="479"/>
        <v/>
      </c>
      <c r="DQ177" s="156" t="str">
        <f t="shared" si="480"/>
        <v/>
      </c>
      <c r="DR177" s="156" t="str">
        <f t="shared" si="481"/>
        <v/>
      </c>
      <c r="DS177" s="156" t="str">
        <f t="shared" si="482"/>
        <v/>
      </c>
      <c r="DT177" s="191" t="str">
        <f t="shared" si="483"/>
        <v/>
      </c>
      <c r="DU177" s="152">
        <f t="shared" si="484"/>
        <v>0</v>
      </c>
      <c r="DV177" s="153">
        <f t="shared" si="485"/>
        <v>0</v>
      </c>
      <c r="DW177" s="153" t="str">
        <f t="shared" si="486"/>
        <v/>
      </c>
      <c r="DX177" s="153" t="str">
        <f>IF(OR($B177="NSO",$B177=0,DS177=""),"",IF(AND(DJ177="",DO177=""),"",IF('Master Sheet'!$D$19="YES",$DO$6-COUNTIF(DO177,"ML")*DO$6,DS$6-(COUNTIF(DJ177,"ML")*DJ$6)-(COUNTIF(DO177,"ML")*DO$6))))</f>
        <v/>
      </c>
      <c r="DY177" s="153" t="str">
        <f>IF(OR($B177="NSO",$B177=0),"",IF(AND(DH177="",DI177="",DM177=""),"",IF(AND('Master Sheet'!$D$19="YES",'Marks Entry'!$BA$1=1),100,IF(AND(DJ177="",DO177=""),SUM(($DQ$7+$DR$7)-(DU177+DV177)),SUM(($DQ$6+$DR$6)-(DU177+DV177))))))</f>
        <v/>
      </c>
      <c r="DZ177" s="152" t="str">
        <f t="shared" si="487"/>
        <v/>
      </c>
      <c r="EA177" s="153" t="str">
        <f t="shared" si="488"/>
        <v/>
      </c>
      <c r="EB177" s="152" t="str">
        <f t="shared" si="489"/>
        <v/>
      </c>
      <c r="EC177" s="584" t="str">
        <f>IF('Marks Entry'!BB177="","",'Marks Entry'!BB177)</f>
        <v/>
      </c>
      <c r="ED177" s="584" t="str">
        <f>IF('Marks Entry'!BC177="","",'Marks Entry'!BC177)</f>
        <v/>
      </c>
      <c r="EE177" s="584" t="str">
        <f>IF('Marks Entry'!BD177="","",'Marks Entry'!BD177)</f>
        <v/>
      </c>
      <c r="EF177" s="590" t="str">
        <f t="shared" si="490"/>
        <v/>
      </c>
      <c r="EG177" s="595">
        <f t="shared" si="491"/>
        <v>0</v>
      </c>
      <c r="EH177" s="595">
        <f t="shared" si="492"/>
        <v>0</v>
      </c>
      <c r="EI177" s="192" t="str">
        <f t="shared" si="493"/>
        <v/>
      </c>
      <c r="EJ177" s="595" t="str">
        <f t="shared" si="494"/>
        <v/>
      </c>
      <c r="EK177" s="595" t="str">
        <f t="shared" si="495"/>
        <v/>
      </c>
      <c r="EL177" s="193" t="str">
        <f t="shared" si="496"/>
        <v/>
      </c>
      <c r="EM177" s="193" t="str">
        <f t="shared" si="497"/>
        <v/>
      </c>
      <c r="EN177" s="193" t="str">
        <f t="shared" si="498"/>
        <v/>
      </c>
      <c r="EO177" s="193" t="str">
        <f t="shared" si="499"/>
        <v/>
      </c>
      <c r="EP177" s="193" t="str">
        <f t="shared" si="500"/>
        <v/>
      </c>
      <c r="EQ177" s="193" t="str">
        <f t="shared" si="501"/>
        <v/>
      </c>
      <c r="ER177" s="194">
        <f t="shared" si="502"/>
        <v>0</v>
      </c>
      <c r="ES177" s="194">
        <f t="shared" si="503"/>
        <v>0</v>
      </c>
      <c r="ET177" s="194">
        <f t="shared" si="504"/>
        <v>0</v>
      </c>
      <c r="EU177" s="194">
        <f t="shared" si="505"/>
        <v>0</v>
      </c>
      <c r="EV177" s="194">
        <f t="shared" si="506"/>
        <v>0</v>
      </c>
      <c r="EW177" s="194" t="str">
        <f t="shared" si="507"/>
        <v/>
      </c>
      <c r="EX177" s="195" t="str">
        <f t="shared" si="508"/>
        <v/>
      </c>
      <c r="EY177" s="196" t="str">
        <f>IF('Marks Entry'!BE177="","",'Marks Entry'!BE177)</f>
        <v/>
      </c>
      <c r="EZ177" s="196" t="str">
        <f>IF('Marks Entry'!BF177="","",'Marks Entry'!BF177)</f>
        <v/>
      </c>
      <c r="FA177" s="196" t="str">
        <f>IF('Marks Entry'!BG177="","",'Marks Entry'!BG177)</f>
        <v/>
      </c>
      <c r="FB177" s="596" t="str">
        <f t="shared" si="509"/>
        <v/>
      </c>
      <c r="FC177" s="196" t="str">
        <f>IF('Marks Entry'!BH177="","",'Marks Entry'!BH177)</f>
        <v/>
      </c>
      <c r="FD177" s="196" t="str">
        <f>IF('Marks Entry'!BI177="","",'Marks Entry'!BI177)</f>
        <v/>
      </c>
      <c r="FE177" s="197" t="str">
        <f t="shared" si="510"/>
        <v/>
      </c>
      <c r="FF177" s="198" t="str">
        <f t="shared" si="511"/>
        <v/>
      </c>
      <c r="FG177" s="199" t="str">
        <f>IF(AND(E177=""),"",IF('Student DATA Entry'!L173="","",'Student DATA Entry'!L173))</f>
        <v/>
      </c>
      <c r="FH177" s="200" t="str">
        <f>IF(AND(E177=""),"",IF('Student DATA Entry'!M173="","",'Student DATA Entry'!M173))</f>
        <v/>
      </c>
      <c r="FI177" s="201" t="str">
        <f t="shared" si="512"/>
        <v/>
      </c>
      <c r="FJ177" s="188" t="str">
        <f t="shared" si="513"/>
        <v/>
      </c>
      <c r="FK177" s="188" t="str">
        <f t="shared" si="514"/>
        <v/>
      </c>
      <c r="FL177" s="202" t="str">
        <f t="shared" si="542"/>
        <v/>
      </c>
      <c r="FM177" s="188" t="str">
        <f t="shared" si="515"/>
        <v/>
      </c>
      <c r="FN177" s="203" t="str">
        <f t="shared" si="516"/>
        <v/>
      </c>
      <c r="FO177" s="202" t="str">
        <f t="shared" si="543"/>
        <v/>
      </c>
      <c r="FP177" s="204" t="str">
        <f t="shared" si="517"/>
        <v/>
      </c>
      <c r="FQ177" s="188" t="str">
        <f t="shared" si="544"/>
        <v/>
      </c>
      <c r="FR177" s="188" t="str">
        <f t="shared" si="545"/>
        <v/>
      </c>
      <c r="FS177" s="188" t="str">
        <f t="shared" si="546"/>
        <v/>
      </c>
      <c r="FT177" s="188" t="str">
        <f t="shared" si="547"/>
        <v/>
      </c>
      <c r="FU177" s="188" t="str">
        <f t="shared" si="518"/>
        <v/>
      </c>
      <c r="FV177" s="205" t="str">
        <f t="shared" si="548"/>
        <v/>
      </c>
      <c r="FW177" s="204" t="str">
        <f t="shared" si="519"/>
        <v/>
      </c>
      <c r="FX177" s="188" t="str">
        <f t="shared" si="549"/>
        <v/>
      </c>
      <c r="FY177" s="188" t="str">
        <f t="shared" si="550"/>
        <v/>
      </c>
      <c r="FZ177" s="188" t="str">
        <f t="shared" si="551"/>
        <v/>
      </c>
      <c r="GA177" s="188" t="str">
        <f t="shared" si="552"/>
        <v/>
      </c>
      <c r="GB177" s="188" t="str">
        <f t="shared" si="520"/>
        <v/>
      </c>
      <c r="GC177" s="205" t="str">
        <f t="shared" si="553"/>
        <v/>
      </c>
      <c r="GD177" s="204" t="str">
        <f t="shared" si="521"/>
        <v/>
      </c>
      <c r="GE177" s="188" t="str">
        <f t="shared" si="554"/>
        <v/>
      </c>
      <c r="GF177" s="188" t="str">
        <f t="shared" si="555"/>
        <v/>
      </c>
      <c r="GG177" s="188" t="str">
        <f t="shared" si="556"/>
        <v/>
      </c>
      <c r="GH177" s="188" t="str">
        <f t="shared" si="557"/>
        <v/>
      </c>
      <c r="GI177" s="188" t="str">
        <f t="shared" si="522"/>
        <v/>
      </c>
      <c r="GJ177" s="205" t="str">
        <f t="shared" si="558"/>
        <v/>
      </c>
      <c r="GK177" s="204" t="str">
        <f t="shared" si="523"/>
        <v/>
      </c>
      <c r="GL177" s="188" t="str">
        <f t="shared" si="559"/>
        <v/>
      </c>
      <c r="GM177" s="188" t="str">
        <f t="shared" si="560"/>
        <v/>
      </c>
      <c r="GN177" s="188" t="str">
        <f t="shared" si="561"/>
        <v/>
      </c>
      <c r="GO177" s="188" t="str">
        <f t="shared" si="562"/>
        <v/>
      </c>
      <c r="GP177" s="188" t="str">
        <f t="shared" si="524"/>
        <v/>
      </c>
      <c r="GQ177" s="205" t="str">
        <f t="shared" si="563"/>
        <v/>
      </c>
      <c r="GR177" s="188" t="str">
        <f t="shared" si="525"/>
        <v/>
      </c>
      <c r="GS177" s="188" t="str">
        <f t="shared" si="526"/>
        <v/>
      </c>
      <c r="GT177" s="206" t="str">
        <f t="shared" si="527"/>
        <v xml:space="preserve">    </v>
      </c>
      <c r="GU177" s="206" t="str">
        <f t="shared" si="528"/>
        <v xml:space="preserve">    </v>
      </c>
      <c r="GV177" s="206" t="str">
        <f t="shared" si="529"/>
        <v xml:space="preserve">    </v>
      </c>
      <c r="GW177" s="206" t="str">
        <f t="shared" si="530"/>
        <v xml:space="preserve">       </v>
      </c>
      <c r="GX177" s="598" t="str">
        <f t="shared" si="531"/>
        <v xml:space="preserve">     </v>
      </c>
      <c r="GY177" s="207" t="str">
        <f t="shared" si="564"/>
        <v/>
      </c>
      <c r="GZ177" s="606" t="str">
        <f>IF(AND(Q177="",AE177="",AZ177="",BW177="",CT177=""),"",IF(AND('Master Sheet'!$D$19="YES",'Marks Entry'!$BA$1=1),SUM(Q177,AE177,AZ177,BW177,DT177),SUM(Q177,AE177,AZ177,BW177,CT177)))</f>
        <v/>
      </c>
      <c r="HA177" s="208" t="str">
        <f>IF(GZ177="","",IF(AND('Master Sheet'!$D$19="YES",'Marks Entry'!$BA$1=1),GZ177/((900)-DC177)*100,GZ177/((1000)-DC177)*100))</f>
        <v/>
      </c>
      <c r="HB177" s="611" t="str">
        <f t="shared" si="532"/>
        <v/>
      </c>
      <c r="HC177" s="609" t="str">
        <f t="shared" si="533"/>
        <v/>
      </c>
      <c r="HD177" s="610" t="str">
        <f t="shared" si="534"/>
        <v/>
      </c>
      <c r="HE177" s="209" t="str">
        <f>IFERROR(IF(OR(GY177="SUPPLEMENTARY",GY177="RE-EXAM"),'Supp. Result Entry'!AS176,""),"")</f>
        <v/>
      </c>
      <c r="HF177" s="613" t="str">
        <f t="shared" si="535"/>
        <v/>
      </c>
      <c r="HG177" s="598" t="str">
        <f t="shared" si="536"/>
        <v/>
      </c>
      <c r="HH177" s="598" t="str">
        <f>IF(AND(HE177="",HF177="",HG177=""),"",IF(OR(GY177="SUPPLEMENTARY",GY177="RE-EXAM"),'Supp. Result Entry'!AS176,GY177))</f>
        <v/>
      </c>
      <c r="HI177" s="179"/>
      <c r="HY177" s="211" t="str">
        <f>IF('Supp. Result Entry'!U176="","",'Supp. Result Entry'!$U$6)</f>
        <v/>
      </c>
      <c r="HZ177" s="212" t="str">
        <f>IF('Supp. Result Entry'!X176="","",'Supp. Result Entry'!$X$6)</f>
        <v/>
      </c>
      <c r="IA177" s="212" t="str">
        <f>IF('Supp. Result Entry'!AA176="","",'Supp. Result Entry'!$AA$6)</f>
        <v/>
      </c>
      <c r="IB177" s="212" t="str">
        <f>IF('Supp. Result Entry'!AD176="","",'Supp. Result Entry'!$AD$6)</f>
        <v/>
      </c>
      <c r="IC177" s="212" t="str">
        <f>IF('Supp. Result Entry'!AG176="","",'Supp. Result Entry'!$AG$6)</f>
        <v/>
      </c>
      <c r="ID177" s="212" t="str">
        <f>IF('Supp. Result Entry'!AJ176="","",'Supp. Result Entry'!$AJ$6)</f>
        <v/>
      </c>
      <c r="IE177" s="212" t="str">
        <f>IF('Supp. Result Entry'!V176="","",'Supp. Result Entry'!V176)</f>
        <v/>
      </c>
      <c r="IF177" s="212" t="str">
        <f>IF('Supp. Result Entry'!Y176="","",'Supp. Result Entry'!Y176)</f>
        <v/>
      </c>
      <c r="IG177" s="212" t="str">
        <f>IF('Supp. Result Entry'!AB176="","",'Supp. Result Entry'!AB176)</f>
        <v/>
      </c>
      <c r="IH177" s="212" t="str">
        <f>IF('Supp. Result Entry'!AE176="","",'Supp. Result Entry'!AE176)</f>
        <v/>
      </c>
      <c r="II177" s="212" t="str">
        <f>IF('Supp. Result Entry'!AH176="","",'Supp. Result Entry'!AH176)</f>
        <v/>
      </c>
      <c r="IJ177" s="212" t="str">
        <f>IF('Supp. Result Entry'!AK176="","",'Supp. Result Entry'!AK176)</f>
        <v/>
      </c>
      <c r="IK177" s="212" t="str">
        <f>IF('Supp. Result Entry'!W176="","",'Supp. Result Entry'!W176)</f>
        <v/>
      </c>
      <c r="IL177" s="212" t="str">
        <f>IF('Supp. Result Entry'!Z176="","",'Supp. Result Entry'!Z176)</f>
        <v/>
      </c>
      <c r="IM177" s="212" t="str">
        <f>IF('Supp. Result Entry'!AC176="","",'Supp. Result Entry'!AC176)</f>
        <v/>
      </c>
      <c r="IN177" s="212" t="str">
        <f>IF('Supp. Result Entry'!AF176="","",'Supp. Result Entry'!AF176)</f>
        <v/>
      </c>
      <c r="IO177" s="212" t="str">
        <f>IF('Supp. Result Entry'!AI176="","",'Supp. Result Entry'!AI176)</f>
        <v/>
      </c>
      <c r="IP177" s="212" t="str">
        <f>IF('Supp. Result Entry'!AL176="","",'Supp. Result Entry'!AL176)</f>
        <v/>
      </c>
      <c r="IQ177" s="212">
        <f>COUNTIF('Supp. Result Entry'!K176:Q176,"S")</f>
        <v>0</v>
      </c>
      <c r="IR177" s="212">
        <f t="shared" si="537"/>
        <v>0</v>
      </c>
      <c r="IS177" s="212">
        <f t="shared" si="538"/>
        <v>0</v>
      </c>
      <c r="IT177" s="212" t="str">
        <f t="shared" si="406"/>
        <v/>
      </c>
      <c r="IU177" s="212" t="str">
        <f t="shared" si="407"/>
        <v/>
      </c>
      <c r="IV177" s="212" t="str">
        <f t="shared" si="408"/>
        <v/>
      </c>
      <c r="IW177" s="212" t="str">
        <f t="shared" si="409"/>
        <v/>
      </c>
      <c r="IX177" s="212" t="str">
        <f t="shared" si="410"/>
        <v/>
      </c>
      <c r="IY177" s="212" t="str">
        <f t="shared" si="539"/>
        <v/>
      </c>
      <c r="IZ177" s="212" t="str">
        <f t="shared" si="540"/>
        <v/>
      </c>
      <c r="JA177" s="212" t="str">
        <f t="shared" si="411"/>
        <v/>
      </c>
      <c r="JB177" s="210" t="str">
        <f t="shared" si="541"/>
        <v/>
      </c>
    </row>
    <row r="178" spans="1:262" s="210" customFormat="1" ht="21" customHeight="1">
      <c r="A178" s="183">
        <v>171</v>
      </c>
      <c r="B178" s="184" t="str">
        <f>IF('Marks Entry'!B178="","",'Marks Entry'!B178)</f>
        <v/>
      </c>
      <c r="C178" s="185" t="str">
        <f>IF('Marks Entry'!D178="","",'Marks Entry'!D178)</f>
        <v/>
      </c>
      <c r="D178" s="186" t="str">
        <f>IF('Marks Entry'!E178="","",'Marks Entry'!E178)</f>
        <v/>
      </c>
      <c r="E178" s="187" t="str">
        <f>IF('Marks Entry'!F178="","",'Marks Entry'!F178)</f>
        <v/>
      </c>
      <c r="F178" s="187" t="str">
        <f>IF('Marks Entry'!G178="","",'Marks Entry'!G178)</f>
        <v/>
      </c>
      <c r="G178" s="187" t="str">
        <f>IF('Marks Entry'!H178="","",'Marks Entry'!H178)</f>
        <v/>
      </c>
      <c r="H178" s="188" t="str">
        <f>IF('Marks Entry'!I178="","",'Marks Entry'!I178)</f>
        <v/>
      </c>
      <c r="I178" s="189" t="str">
        <f>IF('Marks Entry'!J178="","",'Marks Entry'!J178)</f>
        <v/>
      </c>
      <c r="J178" s="545" t="str">
        <f>IF('Marks Entry'!K178="","",'Marks Entry'!K178)</f>
        <v/>
      </c>
      <c r="K178" s="545" t="str">
        <f>IF('Marks Entry'!L178="","",'Marks Entry'!L178)</f>
        <v/>
      </c>
      <c r="L178" s="545" t="str">
        <f>IF('Marks Entry'!M178="","",'Marks Entry'!M178)</f>
        <v/>
      </c>
      <c r="M178" s="546" t="str">
        <f t="shared" si="412"/>
        <v/>
      </c>
      <c r="N178" s="545" t="str">
        <f>IF('Marks Entry'!N178="","",'Marks Entry'!N178)</f>
        <v/>
      </c>
      <c r="O178" s="546" t="str">
        <f t="shared" si="413"/>
        <v/>
      </c>
      <c r="P178" s="545" t="str">
        <f>IF('Marks Entry'!O178="","",'Marks Entry'!O178)</f>
        <v/>
      </c>
      <c r="Q178" s="547" t="str">
        <f t="shared" si="414"/>
        <v/>
      </c>
      <c r="R178" s="152">
        <f t="shared" si="415"/>
        <v>0</v>
      </c>
      <c r="S178" s="152">
        <f t="shared" si="416"/>
        <v>0</v>
      </c>
      <c r="T178" s="153" t="str">
        <f t="shared" si="417"/>
        <v/>
      </c>
      <c r="U178" s="152" t="str">
        <f t="shared" si="418"/>
        <v/>
      </c>
      <c r="V178" s="152" t="str">
        <f t="shared" si="419"/>
        <v/>
      </c>
      <c r="W178" s="152" t="str">
        <f t="shared" si="420"/>
        <v/>
      </c>
      <c r="X178" s="545" t="str">
        <f>IF('Marks Entry'!P178="","",'Marks Entry'!P178)</f>
        <v/>
      </c>
      <c r="Y178" s="545" t="str">
        <f>IF('Marks Entry'!Q178="","",'Marks Entry'!Q178)</f>
        <v/>
      </c>
      <c r="Z178" s="545" t="str">
        <f>IF('Marks Entry'!R178="","",'Marks Entry'!R178)</f>
        <v/>
      </c>
      <c r="AA178" s="546" t="str">
        <f t="shared" si="421"/>
        <v/>
      </c>
      <c r="AB178" s="545" t="str">
        <f>IF('Marks Entry'!S178="","",'Marks Entry'!S178)</f>
        <v/>
      </c>
      <c r="AC178" s="546" t="str">
        <f t="shared" si="422"/>
        <v/>
      </c>
      <c r="AD178" s="545" t="str">
        <f>IF('Marks Entry'!T178="","",'Marks Entry'!T178)</f>
        <v/>
      </c>
      <c r="AE178" s="547" t="str">
        <f t="shared" si="423"/>
        <v/>
      </c>
      <c r="AF178" s="152">
        <f t="shared" si="424"/>
        <v>0</v>
      </c>
      <c r="AG178" s="152">
        <f t="shared" si="425"/>
        <v>0</v>
      </c>
      <c r="AH178" s="153" t="str">
        <f t="shared" si="426"/>
        <v/>
      </c>
      <c r="AI178" s="152" t="str">
        <f t="shared" si="427"/>
        <v/>
      </c>
      <c r="AJ178" s="152" t="str">
        <f t="shared" si="428"/>
        <v/>
      </c>
      <c r="AK178" s="152" t="str">
        <f t="shared" si="429"/>
        <v/>
      </c>
      <c r="AL178" s="573" t="str">
        <f>IF('Marks Entry'!U178="","",'Marks Entry'!U178)</f>
        <v/>
      </c>
      <c r="AM178" s="573" t="str">
        <f>IF('Marks Entry'!V178="","",'Marks Entry'!V178)</f>
        <v/>
      </c>
      <c r="AN178" s="573" t="str">
        <f>IF('Marks Entry'!W178="","",'Marks Entry'!W178)</f>
        <v/>
      </c>
      <c r="AO178" s="573" t="str">
        <f>IF('Marks Entry'!X178="","",'Marks Entry'!X178)</f>
        <v/>
      </c>
      <c r="AP178" s="572" t="str">
        <f t="shared" si="430"/>
        <v/>
      </c>
      <c r="AQ178" s="573" t="str">
        <f>IF('Marks Entry'!Y178="","",'Marks Entry'!Y178)</f>
        <v/>
      </c>
      <c r="AR178" s="573" t="str">
        <f>IF('Marks Entry'!Z178="","",'Marks Entry'!Z178)</f>
        <v/>
      </c>
      <c r="AS178" s="572" t="str">
        <f t="shared" si="431"/>
        <v/>
      </c>
      <c r="AT178" s="572" t="str">
        <f t="shared" si="432"/>
        <v/>
      </c>
      <c r="AU178" s="573" t="str">
        <f>IF('Marks Entry'!AA178="","",'Marks Entry'!AA178)</f>
        <v/>
      </c>
      <c r="AV178" s="573" t="str">
        <f>IF('Marks Entry'!AB178="","",'Marks Entry'!AB178)</f>
        <v/>
      </c>
      <c r="AW178" s="572" t="str">
        <f t="shared" si="433"/>
        <v/>
      </c>
      <c r="AX178" s="156" t="str">
        <f t="shared" si="434"/>
        <v/>
      </c>
      <c r="AY178" s="156" t="str">
        <f t="shared" si="435"/>
        <v/>
      </c>
      <c r="AZ178" s="191" t="str">
        <f t="shared" si="436"/>
        <v/>
      </c>
      <c r="BA178" s="152">
        <f t="shared" si="437"/>
        <v>0</v>
      </c>
      <c r="BB178" s="153">
        <f t="shared" si="438"/>
        <v>0</v>
      </c>
      <c r="BC178" s="153" t="str">
        <f t="shared" si="439"/>
        <v/>
      </c>
      <c r="BD178" s="153" t="str">
        <f t="shared" si="440"/>
        <v/>
      </c>
      <c r="BE178" s="153" t="str">
        <f t="shared" si="441"/>
        <v/>
      </c>
      <c r="BF178" s="152" t="str">
        <f t="shared" si="442"/>
        <v/>
      </c>
      <c r="BG178" s="153" t="str">
        <f t="shared" si="443"/>
        <v/>
      </c>
      <c r="BH178" s="152" t="str">
        <f t="shared" si="444"/>
        <v/>
      </c>
      <c r="BI178" s="580" t="str">
        <f>IF('Marks Entry'!AC178="","",'Marks Entry'!AC178)</f>
        <v/>
      </c>
      <c r="BJ178" s="580" t="str">
        <f>IF('Marks Entry'!AD178="","",'Marks Entry'!AD178)</f>
        <v/>
      </c>
      <c r="BK178" s="580" t="str">
        <f>IF('Marks Entry'!AE178="","",'Marks Entry'!AE178)</f>
        <v/>
      </c>
      <c r="BL178" s="580" t="str">
        <f>IF('Marks Entry'!AF178="","",'Marks Entry'!AF178)</f>
        <v/>
      </c>
      <c r="BM178" s="581" t="str">
        <f t="shared" si="445"/>
        <v/>
      </c>
      <c r="BN178" s="580" t="str">
        <f>IF('Marks Entry'!AG178="","",'Marks Entry'!AG178)</f>
        <v/>
      </c>
      <c r="BO178" s="580" t="str">
        <f>IF('Marks Entry'!AH178="","",'Marks Entry'!AH178)</f>
        <v/>
      </c>
      <c r="BP178" s="581" t="str">
        <f t="shared" si="446"/>
        <v/>
      </c>
      <c r="BQ178" s="581" t="str">
        <f t="shared" si="447"/>
        <v/>
      </c>
      <c r="BR178" s="580" t="str">
        <f>IF('Marks Entry'!AI178="","",'Marks Entry'!AI178)</f>
        <v/>
      </c>
      <c r="BS178" s="580" t="str">
        <f>IF('Marks Entry'!AJ178="","",'Marks Entry'!AJ178)</f>
        <v/>
      </c>
      <c r="BT178" s="581" t="str">
        <f t="shared" si="448"/>
        <v/>
      </c>
      <c r="BU178" s="156" t="str">
        <f t="shared" si="449"/>
        <v/>
      </c>
      <c r="BV178" s="156" t="str">
        <f t="shared" si="450"/>
        <v/>
      </c>
      <c r="BW178" s="191" t="str">
        <f t="shared" si="451"/>
        <v/>
      </c>
      <c r="BX178" s="152">
        <f t="shared" si="452"/>
        <v>0</v>
      </c>
      <c r="BY178" s="153">
        <f t="shared" si="453"/>
        <v>0</v>
      </c>
      <c r="BZ178" s="153" t="str">
        <f t="shared" si="454"/>
        <v/>
      </c>
      <c r="CA178" s="153" t="str">
        <f t="shared" si="455"/>
        <v/>
      </c>
      <c r="CB178" s="153" t="str">
        <f t="shared" si="456"/>
        <v/>
      </c>
      <c r="CC178" s="152" t="str">
        <f t="shared" si="457"/>
        <v/>
      </c>
      <c r="CD178" s="153" t="str">
        <f t="shared" si="458"/>
        <v/>
      </c>
      <c r="CE178" s="152" t="str">
        <f t="shared" si="459"/>
        <v/>
      </c>
      <c r="CF178" s="580" t="str">
        <f>IF('Marks Entry'!AK178="","",'Marks Entry'!AK178)</f>
        <v/>
      </c>
      <c r="CG178" s="580" t="str">
        <f>IF('Marks Entry'!AL178="","",'Marks Entry'!AL178)</f>
        <v/>
      </c>
      <c r="CH178" s="580" t="str">
        <f>IF('Marks Entry'!AM178="","",'Marks Entry'!AM178)</f>
        <v/>
      </c>
      <c r="CI178" s="580" t="str">
        <f>IF('Marks Entry'!AN178="","",'Marks Entry'!AN178)</f>
        <v/>
      </c>
      <c r="CJ178" s="581" t="str">
        <f t="shared" si="460"/>
        <v/>
      </c>
      <c r="CK178" s="580" t="str">
        <f>IF('Marks Entry'!AO178="","",'Marks Entry'!AO178)</f>
        <v/>
      </c>
      <c r="CL178" s="580" t="str">
        <f>IF('Marks Entry'!AP178="","",'Marks Entry'!AP178)</f>
        <v/>
      </c>
      <c r="CM178" s="581" t="str">
        <f t="shared" si="461"/>
        <v/>
      </c>
      <c r="CN178" s="581" t="str">
        <f t="shared" si="462"/>
        <v/>
      </c>
      <c r="CO178" s="580" t="str">
        <f>IF('Marks Entry'!AQ178="","",'Marks Entry'!AQ178)</f>
        <v/>
      </c>
      <c r="CP178" s="580" t="str">
        <f>IF('Marks Entry'!AR178="","",'Marks Entry'!AR178)</f>
        <v/>
      </c>
      <c r="CQ178" s="581" t="str">
        <f t="shared" si="463"/>
        <v/>
      </c>
      <c r="CR178" s="156" t="str">
        <f t="shared" si="464"/>
        <v/>
      </c>
      <c r="CS178" s="156" t="str">
        <f t="shared" si="465"/>
        <v/>
      </c>
      <c r="CT178" s="191" t="str">
        <f t="shared" si="466"/>
        <v/>
      </c>
      <c r="CU178" s="152">
        <f t="shared" si="467"/>
        <v>0</v>
      </c>
      <c r="CV178" s="153">
        <f t="shared" si="468"/>
        <v>0</v>
      </c>
      <c r="CW178" s="153" t="str">
        <f t="shared" si="469"/>
        <v/>
      </c>
      <c r="CX178" s="153" t="str">
        <f t="shared" si="470"/>
        <v/>
      </c>
      <c r="CY178" s="153" t="str">
        <f t="shared" si="471"/>
        <v/>
      </c>
      <c r="CZ178" s="152" t="str">
        <f t="shared" si="472"/>
        <v/>
      </c>
      <c r="DA178" s="153" t="str">
        <f t="shared" si="473"/>
        <v/>
      </c>
      <c r="DB178" s="152" t="str">
        <f t="shared" si="474"/>
        <v/>
      </c>
      <c r="DC178" s="153">
        <f t="shared" si="475"/>
        <v>0</v>
      </c>
      <c r="DD178" s="851" t="str">
        <f>IF('Marks Entry'!AS178="","",IF(OR('Master Sheet'!$D$19="YES",'Marks Entry'!$BA$1=1),'Marks Entry'!AS178,""))</f>
        <v/>
      </c>
      <c r="DE178" s="851" t="str">
        <f>IF('Marks Entry'!AT178="","",IF(OR('Master Sheet'!$D$19="YES",'Marks Entry'!$BA$1=1),'Marks Entry'!AT178,""))</f>
        <v/>
      </c>
      <c r="DF178" s="851" t="str">
        <f>IF('Marks Entry'!AU178="","",IF(OR('Master Sheet'!$D$19="YES",'Marks Entry'!$BA$1=1),'Marks Entry'!AU178,""))</f>
        <v/>
      </c>
      <c r="DG178" s="851" t="str">
        <f>IF('Marks Entry'!AV178="","",IF(OR('Master Sheet'!$D$19="YES",'Marks Entry'!$BA$1=1),'Marks Entry'!AV178,""))</f>
        <v/>
      </c>
      <c r="DH178" s="852" t="str">
        <f t="shared" si="476"/>
        <v/>
      </c>
      <c r="DI178" s="851" t="str">
        <f>IF('Marks Entry'!AW178="","",IF(OR('Master Sheet'!$D$19="YES",'Marks Entry'!$BA$1=1),'Marks Entry'!AW178,""))</f>
        <v/>
      </c>
      <c r="DJ178" s="851" t="str">
        <f>IF('Marks Entry'!AX178="","",IF(OR('Master Sheet'!$D$19="YES",'Marks Entry'!$BA$1=1),'Marks Entry'!AX178,""))</f>
        <v/>
      </c>
      <c r="DK178" s="852" t="str">
        <f t="shared" si="477"/>
        <v/>
      </c>
      <c r="DL178" s="852" t="str">
        <f t="shared" si="478"/>
        <v/>
      </c>
      <c r="DM178" s="851" t="str">
        <f>IF('Marks Entry'!AY178="","",IF(OR('Master Sheet'!$D$19="YES",'Marks Entry'!$BA$1=1),'Marks Entry'!AY178,""))</f>
        <v/>
      </c>
      <c r="DN178" s="851" t="str">
        <f>IF('Marks Entry'!AZ178="","",IF(OR('Master Sheet'!$D$19="YES",'Marks Entry'!$BA$1=1),'Marks Entry'!AZ178,""))</f>
        <v/>
      </c>
      <c r="DO178" s="851" t="str">
        <f>IF('Marks Entry'!BA178="","",IF(OR('Master Sheet'!$D$19="YES",'Marks Entry'!$BA$1=1),'Marks Entry'!BA178,""))</f>
        <v/>
      </c>
      <c r="DP178" s="852" t="str">
        <f t="shared" si="479"/>
        <v/>
      </c>
      <c r="DQ178" s="156" t="str">
        <f t="shared" si="480"/>
        <v/>
      </c>
      <c r="DR178" s="156" t="str">
        <f t="shared" si="481"/>
        <v/>
      </c>
      <c r="DS178" s="156" t="str">
        <f t="shared" si="482"/>
        <v/>
      </c>
      <c r="DT178" s="191" t="str">
        <f t="shared" si="483"/>
        <v/>
      </c>
      <c r="DU178" s="152">
        <f t="shared" si="484"/>
        <v>0</v>
      </c>
      <c r="DV178" s="153">
        <f t="shared" si="485"/>
        <v>0</v>
      </c>
      <c r="DW178" s="153" t="str">
        <f t="shared" si="486"/>
        <v/>
      </c>
      <c r="DX178" s="153" t="str">
        <f>IF(OR($B178="NSO",$B178=0,DS178=""),"",IF(AND(DJ178="",DO178=""),"",IF('Master Sheet'!$D$19="YES",$DO$6-COUNTIF(DO178,"ML")*DO$6,DS$6-(COUNTIF(DJ178,"ML")*DJ$6)-(COUNTIF(DO178,"ML")*DO$6))))</f>
        <v/>
      </c>
      <c r="DY178" s="153" t="str">
        <f>IF(OR($B178="NSO",$B178=0),"",IF(AND(DH178="",DI178="",DM178=""),"",IF(AND('Master Sheet'!$D$19="YES",'Marks Entry'!$BA$1=1),100,IF(AND(DJ178="",DO178=""),SUM(($DQ$7+$DR$7)-(DU178+DV178)),SUM(($DQ$6+$DR$6)-(DU178+DV178))))))</f>
        <v/>
      </c>
      <c r="DZ178" s="152" t="str">
        <f t="shared" si="487"/>
        <v/>
      </c>
      <c r="EA178" s="153" t="str">
        <f t="shared" si="488"/>
        <v/>
      </c>
      <c r="EB178" s="152" t="str">
        <f t="shared" si="489"/>
        <v/>
      </c>
      <c r="EC178" s="584" t="str">
        <f>IF('Marks Entry'!BB178="","",'Marks Entry'!BB178)</f>
        <v/>
      </c>
      <c r="ED178" s="584" t="str">
        <f>IF('Marks Entry'!BC178="","",'Marks Entry'!BC178)</f>
        <v/>
      </c>
      <c r="EE178" s="584" t="str">
        <f>IF('Marks Entry'!BD178="","",'Marks Entry'!BD178)</f>
        <v/>
      </c>
      <c r="EF178" s="590" t="str">
        <f t="shared" si="490"/>
        <v/>
      </c>
      <c r="EG178" s="595">
        <f t="shared" si="491"/>
        <v>0</v>
      </c>
      <c r="EH178" s="595">
        <f t="shared" si="492"/>
        <v>0</v>
      </c>
      <c r="EI178" s="192" t="str">
        <f t="shared" si="493"/>
        <v/>
      </c>
      <c r="EJ178" s="595" t="str">
        <f t="shared" si="494"/>
        <v/>
      </c>
      <c r="EK178" s="595" t="str">
        <f t="shared" si="495"/>
        <v/>
      </c>
      <c r="EL178" s="193" t="str">
        <f t="shared" si="496"/>
        <v/>
      </c>
      <c r="EM178" s="193" t="str">
        <f t="shared" si="497"/>
        <v/>
      </c>
      <c r="EN178" s="193" t="str">
        <f t="shared" si="498"/>
        <v/>
      </c>
      <c r="EO178" s="193" t="str">
        <f t="shared" si="499"/>
        <v/>
      </c>
      <c r="EP178" s="193" t="str">
        <f t="shared" si="500"/>
        <v/>
      </c>
      <c r="EQ178" s="193" t="str">
        <f t="shared" si="501"/>
        <v/>
      </c>
      <c r="ER178" s="194">
        <f t="shared" si="502"/>
        <v>0</v>
      </c>
      <c r="ES178" s="194">
        <f t="shared" si="503"/>
        <v>0</v>
      </c>
      <c r="ET178" s="194">
        <f t="shared" si="504"/>
        <v>0</v>
      </c>
      <c r="EU178" s="194">
        <f t="shared" si="505"/>
        <v>0</v>
      </c>
      <c r="EV178" s="194">
        <f t="shared" si="506"/>
        <v>0</v>
      </c>
      <c r="EW178" s="194" t="str">
        <f t="shared" si="507"/>
        <v/>
      </c>
      <c r="EX178" s="195" t="str">
        <f t="shared" si="508"/>
        <v/>
      </c>
      <c r="EY178" s="196" t="str">
        <f>IF('Marks Entry'!BE178="","",'Marks Entry'!BE178)</f>
        <v/>
      </c>
      <c r="EZ178" s="196" t="str">
        <f>IF('Marks Entry'!BF178="","",'Marks Entry'!BF178)</f>
        <v/>
      </c>
      <c r="FA178" s="196" t="str">
        <f>IF('Marks Entry'!BG178="","",'Marks Entry'!BG178)</f>
        <v/>
      </c>
      <c r="FB178" s="596" t="str">
        <f t="shared" si="509"/>
        <v/>
      </c>
      <c r="FC178" s="196" t="str">
        <f>IF('Marks Entry'!BH178="","",'Marks Entry'!BH178)</f>
        <v/>
      </c>
      <c r="FD178" s="196" t="str">
        <f>IF('Marks Entry'!BI178="","",'Marks Entry'!BI178)</f>
        <v/>
      </c>
      <c r="FE178" s="197" t="str">
        <f t="shared" si="510"/>
        <v/>
      </c>
      <c r="FF178" s="198" t="str">
        <f t="shared" si="511"/>
        <v/>
      </c>
      <c r="FG178" s="199" t="str">
        <f>IF(AND(E178=""),"",IF('Student DATA Entry'!L174="","",'Student DATA Entry'!L174))</f>
        <v/>
      </c>
      <c r="FH178" s="200" t="str">
        <f>IF(AND(E178=""),"",IF('Student DATA Entry'!M174="","",'Student DATA Entry'!M174))</f>
        <v/>
      </c>
      <c r="FI178" s="201" t="str">
        <f t="shared" si="512"/>
        <v/>
      </c>
      <c r="FJ178" s="188" t="str">
        <f t="shared" si="513"/>
        <v/>
      </c>
      <c r="FK178" s="188" t="str">
        <f t="shared" si="514"/>
        <v/>
      </c>
      <c r="FL178" s="202" t="str">
        <f t="shared" si="542"/>
        <v/>
      </c>
      <c r="FM178" s="188" t="str">
        <f t="shared" si="515"/>
        <v/>
      </c>
      <c r="FN178" s="203" t="str">
        <f t="shared" si="516"/>
        <v/>
      </c>
      <c r="FO178" s="202" t="str">
        <f t="shared" si="543"/>
        <v/>
      </c>
      <c r="FP178" s="204" t="str">
        <f t="shared" si="517"/>
        <v/>
      </c>
      <c r="FQ178" s="188" t="str">
        <f t="shared" si="544"/>
        <v/>
      </c>
      <c r="FR178" s="188" t="str">
        <f t="shared" si="545"/>
        <v/>
      </c>
      <c r="FS178" s="188" t="str">
        <f t="shared" si="546"/>
        <v/>
      </c>
      <c r="FT178" s="188" t="str">
        <f t="shared" si="547"/>
        <v/>
      </c>
      <c r="FU178" s="188" t="str">
        <f t="shared" si="518"/>
        <v/>
      </c>
      <c r="FV178" s="205" t="str">
        <f t="shared" si="548"/>
        <v/>
      </c>
      <c r="FW178" s="204" t="str">
        <f t="shared" si="519"/>
        <v/>
      </c>
      <c r="FX178" s="188" t="str">
        <f t="shared" si="549"/>
        <v/>
      </c>
      <c r="FY178" s="188" t="str">
        <f t="shared" si="550"/>
        <v/>
      </c>
      <c r="FZ178" s="188" t="str">
        <f t="shared" si="551"/>
        <v/>
      </c>
      <c r="GA178" s="188" t="str">
        <f t="shared" si="552"/>
        <v/>
      </c>
      <c r="GB178" s="188" t="str">
        <f t="shared" si="520"/>
        <v/>
      </c>
      <c r="GC178" s="205" t="str">
        <f t="shared" si="553"/>
        <v/>
      </c>
      <c r="GD178" s="204" t="str">
        <f t="shared" si="521"/>
        <v/>
      </c>
      <c r="GE178" s="188" t="str">
        <f t="shared" si="554"/>
        <v/>
      </c>
      <c r="GF178" s="188" t="str">
        <f t="shared" si="555"/>
        <v/>
      </c>
      <c r="GG178" s="188" t="str">
        <f t="shared" si="556"/>
        <v/>
      </c>
      <c r="GH178" s="188" t="str">
        <f t="shared" si="557"/>
        <v/>
      </c>
      <c r="GI178" s="188" t="str">
        <f t="shared" si="522"/>
        <v/>
      </c>
      <c r="GJ178" s="205" t="str">
        <f t="shared" si="558"/>
        <v/>
      </c>
      <c r="GK178" s="204" t="str">
        <f t="shared" si="523"/>
        <v/>
      </c>
      <c r="GL178" s="188" t="str">
        <f t="shared" si="559"/>
        <v/>
      </c>
      <c r="GM178" s="188" t="str">
        <f t="shared" si="560"/>
        <v/>
      </c>
      <c r="GN178" s="188" t="str">
        <f t="shared" si="561"/>
        <v/>
      </c>
      <c r="GO178" s="188" t="str">
        <f t="shared" si="562"/>
        <v/>
      </c>
      <c r="GP178" s="188" t="str">
        <f t="shared" si="524"/>
        <v/>
      </c>
      <c r="GQ178" s="205" t="str">
        <f t="shared" si="563"/>
        <v/>
      </c>
      <c r="GR178" s="188" t="str">
        <f t="shared" si="525"/>
        <v/>
      </c>
      <c r="GS178" s="188" t="str">
        <f t="shared" si="526"/>
        <v/>
      </c>
      <c r="GT178" s="206" t="str">
        <f t="shared" si="527"/>
        <v xml:space="preserve">    </v>
      </c>
      <c r="GU178" s="206" t="str">
        <f t="shared" si="528"/>
        <v xml:space="preserve">    </v>
      </c>
      <c r="GV178" s="206" t="str">
        <f t="shared" si="529"/>
        <v xml:space="preserve">    </v>
      </c>
      <c r="GW178" s="206" t="str">
        <f t="shared" si="530"/>
        <v xml:space="preserve">       </v>
      </c>
      <c r="GX178" s="598" t="str">
        <f t="shared" si="531"/>
        <v xml:space="preserve">     </v>
      </c>
      <c r="GY178" s="207" t="str">
        <f t="shared" si="564"/>
        <v/>
      </c>
      <c r="GZ178" s="606" t="str">
        <f>IF(AND(Q178="",AE178="",AZ178="",BW178="",CT178=""),"",IF(AND('Master Sheet'!$D$19="YES",'Marks Entry'!$BA$1=1),SUM(Q178,AE178,AZ178,BW178,DT178),SUM(Q178,AE178,AZ178,BW178,CT178)))</f>
        <v/>
      </c>
      <c r="HA178" s="208" t="str">
        <f>IF(GZ178="","",IF(AND('Master Sheet'!$D$19="YES",'Marks Entry'!$BA$1=1),GZ178/((900)-DC178)*100,GZ178/((1000)-DC178)*100))</f>
        <v/>
      </c>
      <c r="HB178" s="611" t="str">
        <f t="shared" si="532"/>
        <v/>
      </c>
      <c r="HC178" s="609" t="str">
        <f t="shared" si="533"/>
        <v/>
      </c>
      <c r="HD178" s="610" t="str">
        <f t="shared" si="534"/>
        <v/>
      </c>
      <c r="HE178" s="209" t="str">
        <f>IFERROR(IF(OR(GY178="SUPPLEMENTARY",GY178="RE-EXAM"),'Supp. Result Entry'!AS177,""),"")</f>
        <v/>
      </c>
      <c r="HF178" s="613" t="str">
        <f t="shared" si="535"/>
        <v/>
      </c>
      <c r="HG178" s="598" t="str">
        <f t="shared" si="536"/>
        <v/>
      </c>
      <c r="HH178" s="598" t="str">
        <f>IF(AND(HE178="",HF178="",HG178=""),"",IF(OR(GY178="SUPPLEMENTARY",GY178="RE-EXAM"),'Supp. Result Entry'!AS177,GY178))</f>
        <v/>
      </c>
      <c r="HI178" s="179"/>
      <c r="HY178" s="211" t="str">
        <f>IF('Supp. Result Entry'!U177="","",'Supp. Result Entry'!$U$6)</f>
        <v/>
      </c>
      <c r="HZ178" s="212" t="str">
        <f>IF('Supp. Result Entry'!X177="","",'Supp. Result Entry'!$X$6)</f>
        <v/>
      </c>
      <c r="IA178" s="212" t="str">
        <f>IF('Supp. Result Entry'!AA177="","",'Supp. Result Entry'!$AA$6)</f>
        <v/>
      </c>
      <c r="IB178" s="212" t="str">
        <f>IF('Supp. Result Entry'!AD177="","",'Supp. Result Entry'!$AD$6)</f>
        <v/>
      </c>
      <c r="IC178" s="212" t="str">
        <f>IF('Supp. Result Entry'!AG177="","",'Supp. Result Entry'!$AG$6)</f>
        <v/>
      </c>
      <c r="ID178" s="212" t="str">
        <f>IF('Supp. Result Entry'!AJ177="","",'Supp. Result Entry'!$AJ$6)</f>
        <v/>
      </c>
      <c r="IE178" s="212" t="str">
        <f>IF('Supp. Result Entry'!V177="","",'Supp. Result Entry'!V177)</f>
        <v/>
      </c>
      <c r="IF178" s="212" t="str">
        <f>IF('Supp. Result Entry'!Y177="","",'Supp. Result Entry'!Y177)</f>
        <v/>
      </c>
      <c r="IG178" s="212" t="str">
        <f>IF('Supp. Result Entry'!AB177="","",'Supp. Result Entry'!AB177)</f>
        <v/>
      </c>
      <c r="IH178" s="212" t="str">
        <f>IF('Supp. Result Entry'!AE177="","",'Supp. Result Entry'!AE177)</f>
        <v/>
      </c>
      <c r="II178" s="212" t="str">
        <f>IF('Supp. Result Entry'!AH177="","",'Supp. Result Entry'!AH177)</f>
        <v/>
      </c>
      <c r="IJ178" s="212" t="str">
        <f>IF('Supp. Result Entry'!AK177="","",'Supp. Result Entry'!AK177)</f>
        <v/>
      </c>
      <c r="IK178" s="212" t="str">
        <f>IF('Supp. Result Entry'!W177="","",'Supp. Result Entry'!W177)</f>
        <v/>
      </c>
      <c r="IL178" s="212" t="str">
        <f>IF('Supp. Result Entry'!Z177="","",'Supp. Result Entry'!Z177)</f>
        <v/>
      </c>
      <c r="IM178" s="212" t="str">
        <f>IF('Supp. Result Entry'!AC177="","",'Supp. Result Entry'!AC177)</f>
        <v/>
      </c>
      <c r="IN178" s="212" t="str">
        <f>IF('Supp. Result Entry'!AF177="","",'Supp. Result Entry'!AF177)</f>
        <v/>
      </c>
      <c r="IO178" s="212" t="str">
        <f>IF('Supp. Result Entry'!AI177="","",'Supp. Result Entry'!AI177)</f>
        <v/>
      </c>
      <c r="IP178" s="212" t="str">
        <f>IF('Supp. Result Entry'!AL177="","",'Supp. Result Entry'!AL177)</f>
        <v/>
      </c>
      <c r="IQ178" s="212">
        <f>COUNTIF('Supp. Result Entry'!K177:Q177,"S")</f>
        <v>0</v>
      </c>
      <c r="IR178" s="212">
        <f t="shared" si="537"/>
        <v>0</v>
      </c>
      <c r="IS178" s="212">
        <f t="shared" si="538"/>
        <v>0</v>
      </c>
      <c r="IT178" s="212" t="str">
        <f t="shared" si="406"/>
        <v/>
      </c>
      <c r="IU178" s="212" t="str">
        <f t="shared" si="407"/>
        <v/>
      </c>
      <c r="IV178" s="212" t="str">
        <f t="shared" si="408"/>
        <v/>
      </c>
      <c r="IW178" s="212" t="str">
        <f t="shared" si="409"/>
        <v/>
      </c>
      <c r="IX178" s="212" t="str">
        <f t="shared" si="410"/>
        <v/>
      </c>
      <c r="IY178" s="212" t="str">
        <f t="shared" si="539"/>
        <v/>
      </c>
      <c r="IZ178" s="212" t="str">
        <f t="shared" si="540"/>
        <v/>
      </c>
      <c r="JA178" s="212" t="str">
        <f t="shared" si="411"/>
        <v/>
      </c>
      <c r="JB178" s="210" t="str">
        <f t="shared" si="541"/>
        <v/>
      </c>
    </row>
    <row r="179" spans="1:262" s="210" customFormat="1" ht="21" customHeight="1">
      <c r="A179" s="183">
        <v>172</v>
      </c>
      <c r="B179" s="184" t="str">
        <f>IF('Marks Entry'!B179="","",'Marks Entry'!B179)</f>
        <v/>
      </c>
      <c r="C179" s="185" t="str">
        <f>IF('Marks Entry'!D179="","",'Marks Entry'!D179)</f>
        <v/>
      </c>
      <c r="D179" s="186" t="str">
        <f>IF('Marks Entry'!E179="","",'Marks Entry'!E179)</f>
        <v/>
      </c>
      <c r="E179" s="187" t="str">
        <f>IF('Marks Entry'!F179="","",'Marks Entry'!F179)</f>
        <v/>
      </c>
      <c r="F179" s="187" t="str">
        <f>IF('Marks Entry'!G179="","",'Marks Entry'!G179)</f>
        <v/>
      </c>
      <c r="G179" s="187" t="str">
        <f>IF('Marks Entry'!H179="","",'Marks Entry'!H179)</f>
        <v/>
      </c>
      <c r="H179" s="188" t="str">
        <f>IF('Marks Entry'!I179="","",'Marks Entry'!I179)</f>
        <v/>
      </c>
      <c r="I179" s="189" t="str">
        <f>IF('Marks Entry'!J179="","",'Marks Entry'!J179)</f>
        <v/>
      </c>
      <c r="J179" s="545" t="str">
        <f>IF('Marks Entry'!K179="","",'Marks Entry'!K179)</f>
        <v/>
      </c>
      <c r="K179" s="545" t="str">
        <f>IF('Marks Entry'!L179="","",'Marks Entry'!L179)</f>
        <v/>
      </c>
      <c r="L179" s="545" t="str">
        <f>IF('Marks Entry'!M179="","",'Marks Entry'!M179)</f>
        <v/>
      </c>
      <c r="M179" s="546" t="str">
        <f t="shared" si="412"/>
        <v/>
      </c>
      <c r="N179" s="545" t="str">
        <f>IF('Marks Entry'!N179="","",'Marks Entry'!N179)</f>
        <v/>
      </c>
      <c r="O179" s="546" t="str">
        <f t="shared" si="413"/>
        <v/>
      </c>
      <c r="P179" s="545" t="str">
        <f>IF('Marks Entry'!O179="","",'Marks Entry'!O179)</f>
        <v/>
      </c>
      <c r="Q179" s="547" t="str">
        <f t="shared" si="414"/>
        <v/>
      </c>
      <c r="R179" s="152">
        <f t="shared" si="415"/>
        <v>0</v>
      </c>
      <c r="S179" s="152">
        <f t="shared" si="416"/>
        <v>0</v>
      </c>
      <c r="T179" s="153" t="str">
        <f t="shared" si="417"/>
        <v/>
      </c>
      <c r="U179" s="152" t="str">
        <f t="shared" si="418"/>
        <v/>
      </c>
      <c r="V179" s="152" t="str">
        <f t="shared" si="419"/>
        <v/>
      </c>
      <c r="W179" s="152" t="str">
        <f t="shared" si="420"/>
        <v/>
      </c>
      <c r="X179" s="545" t="str">
        <f>IF('Marks Entry'!P179="","",'Marks Entry'!P179)</f>
        <v/>
      </c>
      <c r="Y179" s="545" t="str">
        <f>IF('Marks Entry'!Q179="","",'Marks Entry'!Q179)</f>
        <v/>
      </c>
      <c r="Z179" s="545" t="str">
        <f>IF('Marks Entry'!R179="","",'Marks Entry'!R179)</f>
        <v/>
      </c>
      <c r="AA179" s="546" t="str">
        <f t="shared" si="421"/>
        <v/>
      </c>
      <c r="AB179" s="545" t="str">
        <f>IF('Marks Entry'!S179="","",'Marks Entry'!S179)</f>
        <v/>
      </c>
      <c r="AC179" s="546" t="str">
        <f t="shared" si="422"/>
        <v/>
      </c>
      <c r="AD179" s="545" t="str">
        <f>IF('Marks Entry'!T179="","",'Marks Entry'!T179)</f>
        <v/>
      </c>
      <c r="AE179" s="547" t="str">
        <f t="shared" si="423"/>
        <v/>
      </c>
      <c r="AF179" s="152">
        <f t="shared" si="424"/>
        <v>0</v>
      </c>
      <c r="AG179" s="152">
        <f t="shared" si="425"/>
        <v>0</v>
      </c>
      <c r="AH179" s="153" t="str">
        <f t="shared" si="426"/>
        <v/>
      </c>
      <c r="AI179" s="152" t="str">
        <f t="shared" si="427"/>
        <v/>
      </c>
      <c r="AJ179" s="152" t="str">
        <f t="shared" si="428"/>
        <v/>
      </c>
      <c r="AK179" s="152" t="str">
        <f t="shared" si="429"/>
        <v/>
      </c>
      <c r="AL179" s="573" t="str">
        <f>IF('Marks Entry'!U179="","",'Marks Entry'!U179)</f>
        <v/>
      </c>
      <c r="AM179" s="573" t="str">
        <f>IF('Marks Entry'!V179="","",'Marks Entry'!V179)</f>
        <v/>
      </c>
      <c r="AN179" s="573" t="str">
        <f>IF('Marks Entry'!W179="","",'Marks Entry'!W179)</f>
        <v/>
      </c>
      <c r="AO179" s="573" t="str">
        <f>IF('Marks Entry'!X179="","",'Marks Entry'!X179)</f>
        <v/>
      </c>
      <c r="AP179" s="572" t="str">
        <f t="shared" si="430"/>
        <v/>
      </c>
      <c r="AQ179" s="573" t="str">
        <f>IF('Marks Entry'!Y179="","",'Marks Entry'!Y179)</f>
        <v/>
      </c>
      <c r="AR179" s="573" t="str">
        <f>IF('Marks Entry'!Z179="","",'Marks Entry'!Z179)</f>
        <v/>
      </c>
      <c r="AS179" s="572" t="str">
        <f t="shared" si="431"/>
        <v/>
      </c>
      <c r="AT179" s="572" t="str">
        <f t="shared" si="432"/>
        <v/>
      </c>
      <c r="AU179" s="573" t="str">
        <f>IF('Marks Entry'!AA179="","",'Marks Entry'!AA179)</f>
        <v/>
      </c>
      <c r="AV179" s="573" t="str">
        <f>IF('Marks Entry'!AB179="","",'Marks Entry'!AB179)</f>
        <v/>
      </c>
      <c r="AW179" s="572" t="str">
        <f t="shared" si="433"/>
        <v/>
      </c>
      <c r="AX179" s="156" t="str">
        <f t="shared" si="434"/>
        <v/>
      </c>
      <c r="AY179" s="156" t="str">
        <f t="shared" si="435"/>
        <v/>
      </c>
      <c r="AZ179" s="191" t="str">
        <f t="shared" si="436"/>
        <v/>
      </c>
      <c r="BA179" s="152">
        <f t="shared" si="437"/>
        <v>0</v>
      </c>
      <c r="BB179" s="153">
        <f t="shared" si="438"/>
        <v>0</v>
      </c>
      <c r="BC179" s="153" t="str">
        <f t="shared" si="439"/>
        <v/>
      </c>
      <c r="BD179" s="153" t="str">
        <f t="shared" si="440"/>
        <v/>
      </c>
      <c r="BE179" s="153" t="str">
        <f t="shared" si="441"/>
        <v/>
      </c>
      <c r="BF179" s="152" t="str">
        <f t="shared" si="442"/>
        <v/>
      </c>
      <c r="BG179" s="153" t="str">
        <f t="shared" si="443"/>
        <v/>
      </c>
      <c r="BH179" s="152" t="str">
        <f t="shared" si="444"/>
        <v/>
      </c>
      <c r="BI179" s="580" t="str">
        <f>IF('Marks Entry'!AC179="","",'Marks Entry'!AC179)</f>
        <v/>
      </c>
      <c r="BJ179" s="580" t="str">
        <f>IF('Marks Entry'!AD179="","",'Marks Entry'!AD179)</f>
        <v/>
      </c>
      <c r="BK179" s="580" t="str">
        <f>IF('Marks Entry'!AE179="","",'Marks Entry'!AE179)</f>
        <v/>
      </c>
      <c r="BL179" s="580" t="str">
        <f>IF('Marks Entry'!AF179="","",'Marks Entry'!AF179)</f>
        <v/>
      </c>
      <c r="BM179" s="581" t="str">
        <f t="shared" si="445"/>
        <v/>
      </c>
      <c r="BN179" s="580" t="str">
        <f>IF('Marks Entry'!AG179="","",'Marks Entry'!AG179)</f>
        <v/>
      </c>
      <c r="BO179" s="580" t="str">
        <f>IF('Marks Entry'!AH179="","",'Marks Entry'!AH179)</f>
        <v/>
      </c>
      <c r="BP179" s="581" t="str">
        <f t="shared" si="446"/>
        <v/>
      </c>
      <c r="BQ179" s="581" t="str">
        <f t="shared" si="447"/>
        <v/>
      </c>
      <c r="BR179" s="580" t="str">
        <f>IF('Marks Entry'!AI179="","",'Marks Entry'!AI179)</f>
        <v/>
      </c>
      <c r="BS179" s="580" t="str">
        <f>IF('Marks Entry'!AJ179="","",'Marks Entry'!AJ179)</f>
        <v/>
      </c>
      <c r="BT179" s="581" t="str">
        <f t="shared" si="448"/>
        <v/>
      </c>
      <c r="BU179" s="156" t="str">
        <f t="shared" si="449"/>
        <v/>
      </c>
      <c r="BV179" s="156" t="str">
        <f t="shared" si="450"/>
        <v/>
      </c>
      <c r="BW179" s="191" t="str">
        <f t="shared" si="451"/>
        <v/>
      </c>
      <c r="BX179" s="152">
        <f t="shared" si="452"/>
        <v>0</v>
      </c>
      <c r="BY179" s="153">
        <f t="shared" si="453"/>
        <v>0</v>
      </c>
      <c r="BZ179" s="153" t="str">
        <f t="shared" si="454"/>
        <v/>
      </c>
      <c r="CA179" s="153" t="str">
        <f t="shared" si="455"/>
        <v/>
      </c>
      <c r="CB179" s="153" t="str">
        <f t="shared" si="456"/>
        <v/>
      </c>
      <c r="CC179" s="152" t="str">
        <f t="shared" si="457"/>
        <v/>
      </c>
      <c r="CD179" s="153" t="str">
        <f t="shared" si="458"/>
        <v/>
      </c>
      <c r="CE179" s="152" t="str">
        <f t="shared" si="459"/>
        <v/>
      </c>
      <c r="CF179" s="580" t="str">
        <f>IF('Marks Entry'!AK179="","",'Marks Entry'!AK179)</f>
        <v/>
      </c>
      <c r="CG179" s="580" t="str">
        <f>IF('Marks Entry'!AL179="","",'Marks Entry'!AL179)</f>
        <v/>
      </c>
      <c r="CH179" s="580" t="str">
        <f>IF('Marks Entry'!AM179="","",'Marks Entry'!AM179)</f>
        <v/>
      </c>
      <c r="CI179" s="580" t="str">
        <f>IF('Marks Entry'!AN179="","",'Marks Entry'!AN179)</f>
        <v/>
      </c>
      <c r="CJ179" s="581" t="str">
        <f t="shared" si="460"/>
        <v/>
      </c>
      <c r="CK179" s="580" t="str">
        <f>IF('Marks Entry'!AO179="","",'Marks Entry'!AO179)</f>
        <v/>
      </c>
      <c r="CL179" s="580" t="str">
        <f>IF('Marks Entry'!AP179="","",'Marks Entry'!AP179)</f>
        <v/>
      </c>
      <c r="CM179" s="581" t="str">
        <f t="shared" si="461"/>
        <v/>
      </c>
      <c r="CN179" s="581" t="str">
        <f t="shared" si="462"/>
        <v/>
      </c>
      <c r="CO179" s="580" t="str">
        <f>IF('Marks Entry'!AQ179="","",'Marks Entry'!AQ179)</f>
        <v/>
      </c>
      <c r="CP179" s="580" t="str">
        <f>IF('Marks Entry'!AR179="","",'Marks Entry'!AR179)</f>
        <v/>
      </c>
      <c r="CQ179" s="581" t="str">
        <f t="shared" si="463"/>
        <v/>
      </c>
      <c r="CR179" s="156" t="str">
        <f t="shared" si="464"/>
        <v/>
      </c>
      <c r="CS179" s="156" t="str">
        <f t="shared" si="465"/>
        <v/>
      </c>
      <c r="CT179" s="191" t="str">
        <f t="shared" si="466"/>
        <v/>
      </c>
      <c r="CU179" s="152">
        <f t="shared" si="467"/>
        <v>0</v>
      </c>
      <c r="CV179" s="153">
        <f t="shared" si="468"/>
        <v>0</v>
      </c>
      <c r="CW179" s="153" t="str">
        <f t="shared" si="469"/>
        <v/>
      </c>
      <c r="CX179" s="153" t="str">
        <f t="shared" si="470"/>
        <v/>
      </c>
      <c r="CY179" s="153" t="str">
        <f t="shared" si="471"/>
        <v/>
      </c>
      <c r="CZ179" s="152" t="str">
        <f t="shared" si="472"/>
        <v/>
      </c>
      <c r="DA179" s="153" t="str">
        <f t="shared" si="473"/>
        <v/>
      </c>
      <c r="DB179" s="152" t="str">
        <f t="shared" si="474"/>
        <v/>
      </c>
      <c r="DC179" s="153">
        <f t="shared" si="475"/>
        <v>0</v>
      </c>
      <c r="DD179" s="851" t="str">
        <f>IF('Marks Entry'!AS179="","",IF(OR('Master Sheet'!$D$19="YES",'Marks Entry'!$BA$1=1),'Marks Entry'!AS179,""))</f>
        <v/>
      </c>
      <c r="DE179" s="851" t="str">
        <f>IF('Marks Entry'!AT179="","",IF(OR('Master Sheet'!$D$19="YES",'Marks Entry'!$BA$1=1),'Marks Entry'!AT179,""))</f>
        <v/>
      </c>
      <c r="DF179" s="851" t="str">
        <f>IF('Marks Entry'!AU179="","",IF(OR('Master Sheet'!$D$19="YES",'Marks Entry'!$BA$1=1),'Marks Entry'!AU179,""))</f>
        <v/>
      </c>
      <c r="DG179" s="851" t="str">
        <f>IF('Marks Entry'!AV179="","",IF(OR('Master Sheet'!$D$19="YES",'Marks Entry'!$BA$1=1),'Marks Entry'!AV179,""))</f>
        <v/>
      </c>
      <c r="DH179" s="852" t="str">
        <f t="shared" si="476"/>
        <v/>
      </c>
      <c r="DI179" s="851" t="str">
        <f>IF('Marks Entry'!AW179="","",IF(OR('Master Sheet'!$D$19="YES",'Marks Entry'!$BA$1=1),'Marks Entry'!AW179,""))</f>
        <v/>
      </c>
      <c r="DJ179" s="851" t="str">
        <f>IF('Marks Entry'!AX179="","",IF(OR('Master Sheet'!$D$19="YES",'Marks Entry'!$BA$1=1),'Marks Entry'!AX179,""))</f>
        <v/>
      </c>
      <c r="DK179" s="852" t="str">
        <f t="shared" si="477"/>
        <v/>
      </c>
      <c r="DL179" s="852" t="str">
        <f t="shared" si="478"/>
        <v/>
      </c>
      <c r="DM179" s="851" t="str">
        <f>IF('Marks Entry'!AY179="","",IF(OR('Master Sheet'!$D$19="YES",'Marks Entry'!$BA$1=1),'Marks Entry'!AY179,""))</f>
        <v/>
      </c>
      <c r="DN179" s="851" t="str">
        <f>IF('Marks Entry'!AZ179="","",IF(OR('Master Sheet'!$D$19="YES",'Marks Entry'!$BA$1=1),'Marks Entry'!AZ179,""))</f>
        <v/>
      </c>
      <c r="DO179" s="851" t="str">
        <f>IF('Marks Entry'!BA179="","",IF(OR('Master Sheet'!$D$19="YES",'Marks Entry'!$BA$1=1),'Marks Entry'!BA179,""))</f>
        <v/>
      </c>
      <c r="DP179" s="852" t="str">
        <f t="shared" si="479"/>
        <v/>
      </c>
      <c r="DQ179" s="156" t="str">
        <f t="shared" si="480"/>
        <v/>
      </c>
      <c r="DR179" s="156" t="str">
        <f t="shared" si="481"/>
        <v/>
      </c>
      <c r="DS179" s="156" t="str">
        <f t="shared" si="482"/>
        <v/>
      </c>
      <c r="DT179" s="191" t="str">
        <f t="shared" si="483"/>
        <v/>
      </c>
      <c r="DU179" s="152">
        <f t="shared" si="484"/>
        <v>0</v>
      </c>
      <c r="DV179" s="153">
        <f t="shared" si="485"/>
        <v>0</v>
      </c>
      <c r="DW179" s="153" t="str">
        <f t="shared" si="486"/>
        <v/>
      </c>
      <c r="DX179" s="153" t="str">
        <f>IF(OR($B179="NSO",$B179=0,DS179=""),"",IF(AND(DJ179="",DO179=""),"",IF('Master Sheet'!$D$19="YES",$DO$6-COUNTIF(DO179,"ML")*DO$6,DS$6-(COUNTIF(DJ179,"ML")*DJ$6)-(COUNTIF(DO179,"ML")*DO$6))))</f>
        <v/>
      </c>
      <c r="DY179" s="153" t="str">
        <f>IF(OR($B179="NSO",$B179=0),"",IF(AND(DH179="",DI179="",DM179=""),"",IF(AND('Master Sheet'!$D$19="YES",'Marks Entry'!$BA$1=1),100,IF(AND(DJ179="",DO179=""),SUM(($DQ$7+$DR$7)-(DU179+DV179)),SUM(($DQ$6+$DR$6)-(DU179+DV179))))))</f>
        <v/>
      </c>
      <c r="DZ179" s="152" t="str">
        <f t="shared" si="487"/>
        <v/>
      </c>
      <c r="EA179" s="153" t="str">
        <f t="shared" si="488"/>
        <v/>
      </c>
      <c r="EB179" s="152" t="str">
        <f t="shared" si="489"/>
        <v/>
      </c>
      <c r="EC179" s="584" t="str">
        <f>IF('Marks Entry'!BB179="","",'Marks Entry'!BB179)</f>
        <v/>
      </c>
      <c r="ED179" s="584" t="str">
        <f>IF('Marks Entry'!BC179="","",'Marks Entry'!BC179)</f>
        <v/>
      </c>
      <c r="EE179" s="584" t="str">
        <f>IF('Marks Entry'!BD179="","",'Marks Entry'!BD179)</f>
        <v/>
      </c>
      <c r="EF179" s="590" t="str">
        <f t="shared" si="490"/>
        <v/>
      </c>
      <c r="EG179" s="595">
        <f t="shared" si="491"/>
        <v>0</v>
      </c>
      <c r="EH179" s="595">
        <f t="shared" si="492"/>
        <v>0</v>
      </c>
      <c r="EI179" s="192" t="str">
        <f t="shared" si="493"/>
        <v/>
      </c>
      <c r="EJ179" s="595" t="str">
        <f t="shared" si="494"/>
        <v/>
      </c>
      <c r="EK179" s="595" t="str">
        <f t="shared" si="495"/>
        <v/>
      </c>
      <c r="EL179" s="193" t="str">
        <f t="shared" si="496"/>
        <v/>
      </c>
      <c r="EM179" s="193" t="str">
        <f t="shared" si="497"/>
        <v/>
      </c>
      <c r="EN179" s="193" t="str">
        <f t="shared" si="498"/>
        <v/>
      </c>
      <c r="EO179" s="193" t="str">
        <f t="shared" si="499"/>
        <v/>
      </c>
      <c r="EP179" s="193" t="str">
        <f t="shared" si="500"/>
        <v/>
      </c>
      <c r="EQ179" s="193" t="str">
        <f t="shared" si="501"/>
        <v/>
      </c>
      <c r="ER179" s="194">
        <f t="shared" si="502"/>
        <v>0</v>
      </c>
      <c r="ES179" s="194">
        <f t="shared" si="503"/>
        <v>0</v>
      </c>
      <c r="ET179" s="194">
        <f t="shared" si="504"/>
        <v>0</v>
      </c>
      <c r="EU179" s="194">
        <f t="shared" si="505"/>
        <v>0</v>
      </c>
      <c r="EV179" s="194">
        <f t="shared" si="506"/>
        <v>0</v>
      </c>
      <c r="EW179" s="194" t="str">
        <f t="shared" si="507"/>
        <v/>
      </c>
      <c r="EX179" s="195" t="str">
        <f t="shared" si="508"/>
        <v/>
      </c>
      <c r="EY179" s="196" t="str">
        <f>IF('Marks Entry'!BE179="","",'Marks Entry'!BE179)</f>
        <v/>
      </c>
      <c r="EZ179" s="196" t="str">
        <f>IF('Marks Entry'!BF179="","",'Marks Entry'!BF179)</f>
        <v/>
      </c>
      <c r="FA179" s="196" t="str">
        <f>IF('Marks Entry'!BG179="","",'Marks Entry'!BG179)</f>
        <v/>
      </c>
      <c r="FB179" s="596" t="str">
        <f t="shared" si="509"/>
        <v/>
      </c>
      <c r="FC179" s="196" t="str">
        <f>IF('Marks Entry'!BH179="","",'Marks Entry'!BH179)</f>
        <v/>
      </c>
      <c r="FD179" s="196" t="str">
        <f>IF('Marks Entry'!BI179="","",'Marks Entry'!BI179)</f>
        <v/>
      </c>
      <c r="FE179" s="197" t="str">
        <f t="shared" si="510"/>
        <v/>
      </c>
      <c r="FF179" s="198" t="str">
        <f t="shared" si="511"/>
        <v/>
      </c>
      <c r="FG179" s="199" t="str">
        <f>IF(AND(E179=""),"",IF('Student DATA Entry'!L175="","",'Student DATA Entry'!L175))</f>
        <v/>
      </c>
      <c r="FH179" s="200" t="str">
        <f>IF(AND(E179=""),"",IF('Student DATA Entry'!M175="","",'Student DATA Entry'!M175))</f>
        <v/>
      </c>
      <c r="FI179" s="201" t="str">
        <f t="shared" si="512"/>
        <v/>
      </c>
      <c r="FJ179" s="188" t="str">
        <f t="shared" si="513"/>
        <v/>
      </c>
      <c r="FK179" s="188" t="str">
        <f t="shared" si="514"/>
        <v/>
      </c>
      <c r="FL179" s="202" t="str">
        <f t="shared" si="542"/>
        <v/>
      </c>
      <c r="FM179" s="188" t="str">
        <f t="shared" si="515"/>
        <v/>
      </c>
      <c r="FN179" s="203" t="str">
        <f t="shared" si="516"/>
        <v/>
      </c>
      <c r="FO179" s="202" t="str">
        <f t="shared" si="543"/>
        <v/>
      </c>
      <c r="FP179" s="204" t="str">
        <f t="shared" si="517"/>
        <v/>
      </c>
      <c r="FQ179" s="188" t="str">
        <f t="shared" si="544"/>
        <v/>
      </c>
      <c r="FR179" s="188" t="str">
        <f t="shared" si="545"/>
        <v/>
      </c>
      <c r="FS179" s="188" t="str">
        <f t="shared" si="546"/>
        <v/>
      </c>
      <c r="FT179" s="188" t="str">
        <f t="shared" si="547"/>
        <v/>
      </c>
      <c r="FU179" s="188" t="str">
        <f t="shared" si="518"/>
        <v/>
      </c>
      <c r="FV179" s="205" t="str">
        <f t="shared" si="548"/>
        <v/>
      </c>
      <c r="FW179" s="204" t="str">
        <f t="shared" si="519"/>
        <v/>
      </c>
      <c r="FX179" s="188" t="str">
        <f t="shared" si="549"/>
        <v/>
      </c>
      <c r="FY179" s="188" t="str">
        <f t="shared" si="550"/>
        <v/>
      </c>
      <c r="FZ179" s="188" t="str">
        <f t="shared" si="551"/>
        <v/>
      </c>
      <c r="GA179" s="188" t="str">
        <f t="shared" si="552"/>
        <v/>
      </c>
      <c r="GB179" s="188" t="str">
        <f t="shared" si="520"/>
        <v/>
      </c>
      <c r="GC179" s="205" t="str">
        <f t="shared" si="553"/>
        <v/>
      </c>
      <c r="GD179" s="204" t="str">
        <f t="shared" si="521"/>
        <v/>
      </c>
      <c r="GE179" s="188" t="str">
        <f t="shared" si="554"/>
        <v/>
      </c>
      <c r="GF179" s="188" t="str">
        <f t="shared" si="555"/>
        <v/>
      </c>
      <c r="GG179" s="188" t="str">
        <f t="shared" si="556"/>
        <v/>
      </c>
      <c r="GH179" s="188" t="str">
        <f t="shared" si="557"/>
        <v/>
      </c>
      <c r="GI179" s="188" t="str">
        <f t="shared" si="522"/>
        <v/>
      </c>
      <c r="GJ179" s="205" t="str">
        <f t="shared" si="558"/>
        <v/>
      </c>
      <c r="GK179" s="204" t="str">
        <f t="shared" si="523"/>
        <v/>
      </c>
      <c r="GL179" s="188" t="str">
        <f t="shared" si="559"/>
        <v/>
      </c>
      <c r="GM179" s="188" t="str">
        <f t="shared" si="560"/>
        <v/>
      </c>
      <c r="GN179" s="188" t="str">
        <f t="shared" si="561"/>
        <v/>
      </c>
      <c r="GO179" s="188" t="str">
        <f t="shared" si="562"/>
        <v/>
      </c>
      <c r="GP179" s="188" t="str">
        <f t="shared" si="524"/>
        <v/>
      </c>
      <c r="GQ179" s="205" t="str">
        <f t="shared" si="563"/>
        <v/>
      </c>
      <c r="GR179" s="188" t="str">
        <f t="shared" si="525"/>
        <v/>
      </c>
      <c r="GS179" s="188" t="str">
        <f t="shared" si="526"/>
        <v/>
      </c>
      <c r="GT179" s="206" t="str">
        <f t="shared" si="527"/>
        <v xml:space="preserve">    </v>
      </c>
      <c r="GU179" s="206" t="str">
        <f t="shared" si="528"/>
        <v xml:space="preserve">    </v>
      </c>
      <c r="GV179" s="206" t="str">
        <f t="shared" si="529"/>
        <v xml:space="preserve">    </v>
      </c>
      <c r="GW179" s="206" t="str">
        <f t="shared" si="530"/>
        <v xml:space="preserve">       </v>
      </c>
      <c r="GX179" s="598" t="str">
        <f t="shared" si="531"/>
        <v xml:space="preserve">     </v>
      </c>
      <c r="GY179" s="207" t="str">
        <f t="shared" si="564"/>
        <v/>
      </c>
      <c r="GZ179" s="606" t="str">
        <f>IF(AND(Q179="",AE179="",AZ179="",BW179="",CT179=""),"",IF(AND('Master Sheet'!$D$19="YES",'Marks Entry'!$BA$1=1),SUM(Q179,AE179,AZ179,BW179,DT179),SUM(Q179,AE179,AZ179,BW179,CT179)))</f>
        <v/>
      </c>
      <c r="HA179" s="208" t="str">
        <f>IF(GZ179="","",IF(AND('Master Sheet'!$D$19="YES",'Marks Entry'!$BA$1=1),GZ179/((900)-DC179)*100,GZ179/((1000)-DC179)*100))</f>
        <v/>
      </c>
      <c r="HB179" s="611" t="str">
        <f t="shared" si="532"/>
        <v/>
      </c>
      <c r="HC179" s="609" t="str">
        <f t="shared" si="533"/>
        <v/>
      </c>
      <c r="HD179" s="610" t="str">
        <f t="shared" si="534"/>
        <v/>
      </c>
      <c r="HE179" s="209" t="str">
        <f>IFERROR(IF(OR(GY179="SUPPLEMENTARY",GY179="RE-EXAM"),'Supp. Result Entry'!AS178,""),"")</f>
        <v/>
      </c>
      <c r="HF179" s="613" t="str">
        <f t="shared" si="535"/>
        <v/>
      </c>
      <c r="HG179" s="598" t="str">
        <f t="shared" si="536"/>
        <v/>
      </c>
      <c r="HH179" s="598" t="str">
        <f>IF(AND(HE179="",HF179="",HG179=""),"",IF(OR(GY179="SUPPLEMENTARY",GY179="RE-EXAM"),'Supp. Result Entry'!AS178,GY179))</f>
        <v/>
      </c>
      <c r="HI179" s="179"/>
      <c r="HY179" s="211" t="str">
        <f>IF('Supp. Result Entry'!U178="","",'Supp. Result Entry'!$U$6)</f>
        <v/>
      </c>
      <c r="HZ179" s="212" t="str">
        <f>IF('Supp. Result Entry'!X178="","",'Supp. Result Entry'!$X$6)</f>
        <v/>
      </c>
      <c r="IA179" s="212" t="str">
        <f>IF('Supp. Result Entry'!AA178="","",'Supp. Result Entry'!$AA$6)</f>
        <v/>
      </c>
      <c r="IB179" s="212" t="str">
        <f>IF('Supp. Result Entry'!AD178="","",'Supp. Result Entry'!$AD$6)</f>
        <v/>
      </c>
      <c r="IC179" s="212" t="str">
        <f>IF('Supp. Result Entry'!AG178="","",'Supp. Result Entry'!$AG$6)</f>
        <v/>
      </c>
      <c r="ID179" s="212" t="str">
        <f>IF('Supp. Result Entry'!AJ178="","",'Supp. Result Entry'!$AJ$6)</f>
        <v/>
      </c>
      <c r="IE179" s="212" t="str">
        <f>IF('Supp. Result Entry'!V178="","",'Supp. Result Entry'!V178)</f>
        <v/>
      </c>
      <c r="IF179" s="212" t="str">
        <f>IF('Supp. Result Entry'!Y178="","",'Supp. Result Entry'!Y178)</f>
        <v/>
      </c>
      <c r="IG179" s="212" t="str">
        <f>IF('Supp. Result Entry'!AB178="","",'Supp. Result Entry'!AB178)</f>
        <v/>
      </c>
      <c r="IH179" s="212" t="str">
        <f>IF('Supp. Result Entry'!AE178="","",'Supp. Result Entry'!AE178)</f>
        <v/>
      </c>
      <c r="II179" s="212" t="str">
        <f>IF('Supp. Result Entry'!AH178="","",'Supp. Result Entry'!AH178)</f>
        <v/>
      </c>
      <c r="IJ179" s="212" t="str">
        <f>IF('Supp. Result Entry'!AK178="","",'Supp. Result Entry'!AK178)</f>
        <v/>
      </c>
      <c r="IK179" s="212" t="str">
        <f>IF('Supp. Result Entry'!W178="","",'Supp. Result Entry'!W178)</f>
        <v/>
      </c>
      <c r="IL179" s="212" t="str">
        <f>IF('Supp. Result Entry'!Z178="","",'Supp. Result Entry'!Z178)</f>
        <v/>
      </c>
      <c r="IM179" s="212" t="str">
        <f>IF('Supp. Result Entry'!AC178="","",'Supp. Result Entry'!AC178)</f>
        <v/>
      </c>
      <c r="IN179" s="212" t="str">
        <f>IF('Supp. Result Entry'!AF178="","",'Supp. Result Entry'!AF178)</f>
        <v/>
      </c>
      <c r="IO179" s="212" t="str">
        <f>IF('Supp. Result Entry'!AI178="","",'Supp. Result Entry'!AI178)</f>
        <v/>
      </c>
      <c r="IP179" s="212" t="str">
        <f>IF('Supp. Result Entry'!AL178="","",'Supp. Result Entry'!AL178)</f>
        <v/>
      </c>
      <c r="IQ179" s="212">
        <f>COUNTIF('Supp. Result Entry'!K178:Q178,"S")</f>
        <v>0</v>
      </c>
      <c r="IR179" s="212">
        <f t="shared" si="537"/>
        <v>0</v>
      </c>
      <c r="IS179" s="212">
        <f t="shared" si="538"/>
        <v>0</v>
      </c>
      <c r="IT179" s="212" t="str">
        <f t="shared" si="406"/>
        <v/>
      </c>
      <c r="IU179" s="212" t="str">
        <f t="shared" si="407"/>
        <v/>
      </c>
      <c r="IV179" s="212" t="str">
        <f t="shared" si="408"/>
        <v/>
      </c>
      <c r="IW179" s="212" t="str">
        <f t="shared" si="409"/>
        <v/>
      </c>
      <c r="IX179" s="212" t="str">
        <f t="shared" si="410"/>
        <v/>
      </c>
      <c r="IY179" s="212" t="str">
        <f t="shared" si="539"/>
        <v/>
      </c>
      <c r="IZ179" s="212" t="str">
        <f t="shared" si="540"/>
        <v/>
      </c>
      <c r="JA179" s="212" t="str">
        <f t="shared" si="411"/>
        <v/>
      </c>
      <c r="JB179" s="210" t="str">
        <f t="shared" si="541"/>
        <v/>
      </c>
    </row>
    <row r="180" spans="1:262" s="210" customFormat="1" ht="21" customHeight="1">
      <c r="A180" s="183">
        <v>173</v>
      </c>
      <c r="B180" s="184" t="str">
        <f>IF('Marks Entry'!B180="","",'Marks Entry'!B180)</f>
        <v/>
      </c>
      <c r="C180" s="185" t="str">
        <f>IF('Marks Entry'!D180="","",'Marks Entry'!D180)</f>
        <v/>
      </c>
      <c r="D180" s="186" t="str">
        <f>IF('Marks Entry'!E180="","",'Marks Entry'!E180)</f>
        <v/>
      </c>
      <c r="E180" s="187" t="str">
        <f>IF('Marks Entry'!F180="","",'Marks Entry'!F180)</f>
        <v/>
      </c>
      <c r="F180" s="187" t="str">
        <f>IF('Marks Entry'!G180="","",'Marks Entry'!G180)</f>
        <v/>
      </c>
      <c r="G180" s="187" t="str">
        <f>IF('Marks Entry'!H180="","",'Marks Entry'!H180)</f>
        <v/>
      </c>
      <c r="H180" s="188" t="str">
        <f>IF('Marks Entry'!I180="","",'Marks Entry'!I180)</f>
        <v/>
      </c>
      <c r="I180" s="189" t="str">
        <f>IF('Marks Entry'!J180="","",'Marks Entry'!J180)</f>
        <v/>
      </c>
      <c r="J180" s="545" t="str">
        <f>IF('Marks Entry'!K180="","",'Marks Entry'!K180)</f>
        <v/>
      </c>
      <c r="K180" s="545" t="str">
        <f>IF('Marks Entry'!L180="","",'Marks Entry'!L180)</f>
        <v/>
      </c>
      <c r="L180" s="545" t="str">
        <f>IF('Marks Entry'!M180="","",'Marks Entry'!M180)</f>
        <v/>
      </c>
      <c r="M180" s="546" t="str">
        <f t="shared" si="412"/>
        <v/>
      </c>
      <c r="N180" s="545" t="str">
        <f>IF('Marks Entry'!N180="","",'Marks Entry'!N180)</f>
        <v/>
      </c>
      <c r="O180" s="546" t="str">
        <f t="shared" si="413"/>
        <v/>
      </c>
      <c r="P180" s="545" t="str">
        <f>IF('Marks Entry'!O180="","",'Marks Entry'!O180)</f>
        <v/>
      </c>
      <c r="Q180" s="547" t="str">
        <f t="shared" si="414"/>
        <v/>
      </c>
      <c r="R180" s="152">
        <f t="shared" si="415"/>
        <v>0</v>
      </c>
      <c r="S180" s="152">
        <f t="shared" si="416"/>
        <v>0</v>
      </c>
      <c r="T180" s="153" t="str">
        <f t="shared" si="417"/>
        <v/>
      </c>
      <c r="U180" s="152" t="str">
        <f t="shared" si="418"/>
        <v/>
      </c>
      <c r="V180" s="152" t="str">
        <f t="shared" si="419"/>
        <v/>
      </c>
      <c r="W180" s="152" t="str">
        <f t="shared" si="420"/>
        <v/>
      </c>
      <c r="X180" s="545" t="str">
        <f>IF('Marks Entry'!P180="","",'Marks Entry'!P180)</f>
        <v/>
      </c>
      <c r="Y180" s="545" t="str">
        <f>IF('Marks Entry'!Q180="","",'Marks Entry'!Q180)</f>
        <v/>
      </c>
      <c r="Z180" s="545" t="str">
        <f>IF('Marks Entry'!R180="","",'Marks Entry'!R180)</f>
        <v/>
      </c>
      <c r="AA180" s="546" t="str">
        <f t="shared" si="421"/>
        <v/>
      </c>
      <c r="AB180" s="545" t="str">
        <f>IF('Marks Entry'!S180="","",'Marks Entry'!S180)</f>
        <v/>
      </c>
      <c r="AC180" s="546" t="str">
        <f t="shared" si="422"/>
        <v/>
      </c>
      <c r="AD180" s="545" t="str">
        <f>IF('Marks Entry'!T180="","",'Marks Entry'!T180)</f>
        <v/>
      </c>
      <c r="AE180" s="547" t="str">
        <f t="shared" si="423"/>
        <v/>
      </c>
      <c r="AF180" s="152">
        <f t="shared" si="424"/>
        <v>0</v>
      </c>
      <c r="AG180" s="152">
        <f t="shared" si="425"/>
        <v>0</v>
      </c>
      <c r="AH180" s="153" t="str">
        <f t="shared" si="426"/>
        <v/>
      </c>
      <c r="AI180" s="152" t="str">
        <f t="shared" si="427"/>
        <v/>
      </c>
      <c r="AJ180" s="152" t="str">
        <f t="shared" si="428"/>
        <v/>
      </c>
      <c r="AK180" s="152" t="str">
        <f t="shared" si="429"/>
        <v/>
      </c>
      <c r="AL180" s="573" t="str">
        <f>IF('Marks Entry'!U180="","",'Marks Entry'!U180)</f>
        <v/>
      </c>
      <c r="AM180" s="573" t="str">
        <f>IF('Marks Entry'!V180="","",'Marks Entry'!V180)</f>
        <v/>
      </c>
      <c r="AN180" s="573" t="str">
        <f>IF('Marks Entry'!W180="","",'Marks Entry'!W180)</f>
        <v/>
      </c>
      <c r="AO180" s="573" t="str">
        <f>IF('Marks Entry'!X180="","",'Marks Entry'!X180)</f>
        <v/>
      </c>
      <c r="AP180" s="572" t="str">
        <f t="shared" si="430"/>
        <v/>
      </c>
      <c r="AQ180" s="573" t="str">
        <f>IF('Marks Entry'!Y180="","",'Marks Entry'!Y180)</f>
        <v/>
      </c>
      <c r="AR180" s="573" t="str">
        <f>IF('Marks Entry'!Z180="","",'Marks Entry'!Z180)</f>
        <v/>
      </c>
      <c r="AS180" s="572" t="str">
        <f t="shared" si="431"/>
        <v/>
      </c>
      <c r="AT180" s="572" t="str">
        <f t="shared" si="432"/>
        <v/>
      </c>
      <c r="AU180" s="573" t="str">
        <f>IF('Marks Entry'!AA180="","",'Marks Entry'!AA180)</f>
        <v/>
      </c>
      <c r="AV180" s="573" t="str">
        <f>IF('Marks Entry'!AB180="","",'Marks Entry'!AB180)</f>
        <v/>
      </c>
      <c r="AW180" s="572" t="str">
        <f t="shared" si="433"/>
        <v/>
      </c>
      <c r="AX180" s="156" t="str">
        <f t="shared" si="434"/>
        <v/>
      </c>
      <c r="AY180" s="156" t="str">
        <f t="shared" si="435"/>
        <v/>
      </c>
      <c r="AZ180" s="191" t="str">
        <f t="shared" si="436"/>
        <v/>
      </c>
      <c r="BA180" s="152">
        <f t="shared" si="437"/>
        <v>0</v>
      </c>
      <c r="BB180" s="153">
        <f t="shared" si="438"/>
        <v>0</v>
      </c>
      <c r="BC180" s="153" t="str">
        <f t="shared" si="439"/>
        <v/>
      </c>
      <c r="BD180" s="153" t="str">
        <f t="shared" si="440"/>
        <v/>
      </c>
      <c r="BE180" s="153" t="str">
        <f t="shared" si="441"/>
        <v/>
      </c>
      <c r="BF180" s="152" t="str">
        <f t="shared" si="442"/>
        <v/>
      </c>
      <c r="BG180" s="153" t="str">
        <f t="shared" si="443"/>
        <v/>
      </c>
      <c r="BH180" s="152" t="str">
        <f t="shared" si="444"/>
        <v/>
      </c>
      <c r="BI180" s="580" t="str">
        <f>IF('Marks Entry'!AC180="","",'Marks Entry'!AC180)</f>
        <v/>
      </c>
      <c r="BJ180" s="580" t="str">
        <f>IF('Marks Entry'!AD180="","",'Marks Entry'!AD180)</f>
        <v/>
      </c>
      <c r="BK180" s="580" t="str">
        <f>IF('Marks Entry'!AE180="","",'Marks Entry'!AE180)</f>
        <v/>
      </c>
      <c r="BL180" s="580" t="str">
        <f>IF('Marks Entry'!AF180="","",'Marks Entry'!AF180)</f>
        <v/>
      </c>
      <c r="BM180" s="581" t="str">
        <f t="shared" si="445"/>
        <v/>
      </c>
      <c r="BN180" s="580" t="str">
        <f>IF('Marks Entry'!AG180="","",'Marks Entry'!AG180)</f>
        <v/>
      </c>
      <c r="BO180" s="580" t="str">
        <f>IF('Marks Entry'!AH180="","",'Marks Entry'!AH180)</f>
        <v/>
      </c>
      <c r="BP180" s="581" t="str">
        <f t="shared" si="446"/>
        <v/>
      </c>
      <c r="BQ180" s="581" t="str">
        <f t="shared" si="447"/>
        <v/>
      </c>
      <c r="BR180" s="580" t="str">
        <f>IF('Marks Entry'!AI180="","",'Marks Entry'!AI180)</f>
        <v/>
      </c>
      <c r="BS180" s="580" t="str">
        <f>IF('Marks Entry'!AJ180="","",'Marks Entry'!AJ180)</f>
        <v/>
      </c>
      <c r="BT180" s="581" t="str">
        <f t="shared" si="448"/>
        <v/>
      </c>
      <c r="BU180" s="156" t="str">
        <f t="shared" si="449"/>
        <v/>
      </c>
      <c r="BV180" s="156" t="str">
        <f t="shared" si="450"/>
        <v/>
      </c>
      <c r="BW180" s="191" t="str">
        <f t="shared" si="451"/>
        <v/>
      </c>
      <c r="BX180" s="152">
        <f t="shared" si="452"/>
        <v>0</v>
      </c>
      <c r="BY180" s="153">
        <f t="shared" si="453"/>
        <v>0</v>
      </c>
      <c r="BZ180" s="153" t="str">
        <f t="shared" si="454"/>
        <v/>
      </c>
      <c r="CA180" s="153" t="str">
        <f t="shared" si="455"/>
        <v/>
      </c>
      <c r="CB180" s="153" t="str">
        <f t="shared" si="456"/>
        <v/>
      </c>
      <c r="CC180" s="152" t="str">
        <f t="shared" si="457"/>
        <v/>
      </c>
      <c r="CD180" s="153" t="str">
        <f t="shared" si="458"/>
        <v/>
      </c>
      <c r="CE180" s="152" t="str">
        <f t="shared" si="459"/>
        <v/>
      </c>
      <c r="CF180" s="580" t="str">
        <f>IF('Marks Entry'!AK180="","",'Marks Entry'!AK180)</f>
        <v/>
      </c>
      <c r="CG180" s="580" t="str">
        <f>IF('Marks Entry'!AL180="","",'Marks Entry'!AL180)</f>
        <v/>
      </c>
      <c r="CH180" s="580" t="str">
        <f>IF('Marks Entry'!AM180="","",'Marks Entry'!AM180)</f>
        <v/>
      </c>
      <c r="CI180" s="580" t="str">
        <f>IF('Marks Entry'!AN180="","",'Marks Entry'!AN180)</f>
        <v/>
      </c>
      <c r="CJ180" s="581" t="str">
        <f t="shared" si="460"/>
        <v/>
      </c>
      <c r="CK180" s="580" t="str">
        <f>IF('Marks Entry'!AO180="","",'Marks Entry'!AO180)</f>
        <v/>
      </c>
      <c r="CL180" s="580" t="str">
        <f>IF('Marks Entry'!AP180="","",'Marks Entry'!AP180)</f>
        <v/>
      </c>
      <c r="CM180" s="581" t="str">
        <f t="shared" si="461"/>
        <v/>
      </c>
      <c r="CN180" s="581" t="str">
        <f t="shared" si="462"/>
        <v/>
      </c>
      <c r="CO180" s="580" t="str">
        <f>IF('Marks Entry'!AQ180="","",'Marks Entry'!AQ180)</f>
        <v/>
      </c>
      <c r="CP180" s="580" t="str">
        <f>IF('Marks Entry'!AR180="","",'Marks Entry'!AR180)</f>
        <v/>
      </c>
      <c r="CQ180" s="581" t="str">
        <f t="shared" si="463"/>
        <v/>
      </c>
      <c r="CR180" s="156" t="str">
        <f t="shared" si="464"/>
        <v/>
      </c>
      <c r="CS180" s="156" t="str">
        <f t="shared" si="465"/>
        <v/>
      </c>
      <c r="CT180" s="191" t="str">
        <f t="shared" si="466"/>
        <v/>
      </c>
      <c r="CU180" s="152">
        <f t="shared" si="467"/>
        <v>0</v>
      </c>
      <c r="CV180" s="153">
        <f t="shared" si="468"/>
        <v>0</v>
      </c>
      <c r="CW180" s="153" t="str">
        <f t="shared" si="469"/>
        <v/>
      </c>
      <c r="CX180" s="153" t="str">
        <f t="shared" si="470"/>
        <v/>
      </c>
      <c r="CY180" s="153" t="str">
        <f t="shared" si="471"/>
        <v/>
      </c>
      <c r="CZ180" s="152" t="str">
        <f t="shared" si="472"/>
        <v/>
      </c>
      <c r="DA180" s="153" t="str">
        <f t="shared" si="473"/>
        <v/>
      </c>
      <c r="DB180" s="152" t="str">
        <f t="shared" si="474"/>
        <v/>
      </c>
      <c r="DC180" s="153">
        <f t="shared" si="475"/>
        <v>0</v>
      </c>
      <c r="DD180" s="851" t="str">
        <f>IF('Marks Entry'!AS180="","",IF(OR('Master Sheet'!$D$19="YES",'Marks Entry'!$BA$1=1),'Marks Entry'!AS180,""))</f>
        <v/>
      </c>
      <c r="DE180" s="851" t="str">
        <f>IF('Marks Entry'!AT180="","",IF(OR('Master Sheet'!$D$19="YES",'Marks Entry'!$BA$1=1),'Marks Entry'!AT180,""))</f>
        <v/>
      </c>
      <c r="DF180" s="851" t="str">
        <f>IF('Marks Entry'!AU180="","",IF(OR('Master Sheet'!$D$19="YES",'Marks Entry'!$BA$1=1),'Marks Entry'!AU180,""))</f>
        <v/>
      </c>
      <c r="DG180" s="851" t="str">
        <f>IF('Marks Entry'!AV180="","",IF(OR('Master Sheet'!$D$19="YES",'Marks Entry'!$BA$1=1),'Marks Entry'!AV180,""))</f>
        <v/>
      </c>
      <c r="DH180" s="852" t="str">
        <f t="shared" si="476"/>
        <v/>
      </c>
      <c r="DI180" s="851" t="str">
        <f>IF('Marks Entry'!AW180="","",IF(OR('Master Sheet'!$D$19="YES",'Marks Entry'!$BA$1=1),'Marks Entry'!AW180,""))</f>
        <v/>
      </c>
      <c r="DJ180" s="851" t="str">
        <f>IF('Marks Entry'!AX180="","",IF(OR('Master Sheet'!$D$19="YES",'Marks Entry'!$BA$1=1),'Marks Entry'!AX180,""))</f>
        <v/>
      </c>
      <c r="DK180" s="852" t="str">
        <f t="shared" si="477"/>
        <v/>
      </c>
      <c r="DL180" s="852" t="str">
        <f t="shared" si="478"/>
        <v/>
      </c>
      <c r="DM180" s="851" t="str">
        <f>IF('Marks Entry'!AY180="","",IF(OR('Master Sheet'!$D$19="YES",'Marks Entry'!$BA$1=1),'Marks Entry'!AY180,""))</f>
        <v/>
      </c>
      <c r="DN180" s="851" t="str">
        <f>IF('Marks Entry'!AZ180="","",IF(OR('Master Sheet'!$D$19="YES",'Marks Entry'!$BA$1=1),'Marks Entry'!AZ180,""))</f>
        <v/>
      </c>
      <c r="DO180" s="851" t="str">
        <f>IF('Marks Entry'!BA180="","",IF(OR('Master Sheet'!$D$19="YES",'Marks Entry'!$BA$1=1),'Marks Entry'!BA180,""))</f>
        <v/>
      </c>
      <c r="DP180" s="852" t="str">
        <f t="shared" si="479"/>
        <v/>
      </c>
      <c r="DQ180" s="156" t="str">
        <f t="shared" si="480"/>
        <v/>
      </c>
      <c r="DR180" s="156" t="str">
        <f t="shared" si="481"/>
        <v/>
      </c>
      <c r="DS180" s="156" t="str">
        <f t="shared" si="482"/>
        <v/>
      </c>
      <c r="DT180" s="191" t="str">
        <f t="shared" si="483"/>
        <v/>
      </c>
      <c r="DU180" s="152">
        <f t="shared" si="484"/>
        <v>0</v>
      </c>
      <c r="DV180" s="153">
        <f t="shared" si="485"/>
        <v>0</v>
      </c>
      <c r="DW180" s="153" t="str">
        <f t="shared" si="486"/>
        <v/>
      </c>
      <c r="DX180" s="153" t="str">
        <f>IF(OR($B180="NSO",$B180=0,DS180=""),"",IF(AND(DJ180="",DO180=""),"",IF('Master Sheet'!$D$19="YES",$DO$6-COUNTIF(DO180,"ML")*DO$6,DS$6-(COUNTIF(DJ180,"ML")*DJ$6)-(COUNTIF(DO180,"ML")*DO$6))))</f>
        <v/>
      </c>
      <c r="DY180" s="153" t="str">
        <f>IF(OR($B180="NSO",$B180=0),"",IF(AND(DH180="",DI180="",DM180=""),"",IF(AND('Master Sheet'!$D$19="YES",'Marks Entry'!$BA$1=1),100,IF(AND(DJ180="",DO180=""),SUM(($DQ$7+$DR$7)-(DU180+DV180)),SUM(($DQ$6+$DR$6)-(DU180+DV180))))))</f>
        <v/>
      </c>
      <c r="DZ180" s="152" t="str">
        <f t="shared" si="487"/>
        <v/>
      </c>
      <c r="EA180" s="153" t="str">
        <f t="shared" si="488"/>
        <v/>
      </c>
      <c r="EB180" s="152" t="str">
        <f t="shared" si="489"/>
        <v/>
      </c>
      <c r="EC180" s="584" t="str">
        <f>IF('Marks Entry'!BB180="","",'Marks Entry'!BB180)</f>
        <v/>
      </c>
      <c r="ED180" s="584" t="str">
        <f>IF('Marks Entry'!BC180="","",'Marks Entry'!BC180)</f>
        <v/>
      </c>
      <c r="EE180" s="584" t="str">
        <f>IF('Marks Entry'!BD180="","",'Marks Entry'!BD180)</f>
        <v/>
      </c>
      <c r="EF180" s="590" t="str">
        <f t="shared" si="490"/>
        <v/>
      </c>
      <c r="EG180" s="595">
        <f t="shared" si="491"/>
        <v>0</v>
      </c>
      <c r="EH180" s="595">
        <f t="shared" si="492"/>
        <v>0</v>
      </c>
      <c r="EI180" s="192" t="str">
        <f t="shared" si="493"/>
        <v/>
      </c>
      <c r="EJ180" s="595" t="str">
        <f t="shared" si="494"/>
        <v/>
      </c>
      <c r="EK180" s="595" t="str">
        <f t="shared" si="495"/>
        <v/>
      </c>
      <c r="EL180" s="193" t="str">
        <f t="shared" si="496"/>
        <v/>
      </c>
      <c r="EM180" s="193" t="str">
        <f t="shared" si="497"/>
        <v/>
      </c>
      <c r="EN180" s="193" t="str">
        <f t="shared" si="498"/>
        <v/>
      </c>
      <c r="EO180" s="193" t="str">
        <f t="shared" si="499"/>
        <v/>
      </c>
      <c r="EP180" s="193" t="str">
        <f t="shared" si="500"/>
        <v/>
      </c>
      <c r="EQ180" s="193" t="str">
        <f t="shared" si="501"/>
        <v/>
      </c>
      <c r="ER180" s="194">
        <f t="shared" si="502"/>
        <v>0</v>
      </c>
      <c r="ES180" s="194">
        <f t="shared" si="503"/>
        <v>0</v>
      </c>
      <c r="ET180" s="194">
        <f t="shared" si="504"/>
        <v>0</v>
      </c>
      <c r="EU180" s="194">
        <f t="shared" si="505"/>
        <v>0</v>
      </c>
      <c r="EV180" s="194">
        <f t="shared" si="506"/>
        <v>0</v>
      </c>
      <c r="EW180" s="194" t="str">
        <f t="shared" si="507"/>
        <v/>
      </c>
      <c r="EX180" s="195" t="str">
        <f t="shared" si="508"/>
        <v/>
      </c>
      <c r="EY180" s="196" t="str">
        <f>IF('Marks Entry'!BE180="","",'Marks Entry'!BE180)</f>
        <v/>
      </c>
      <c r="EZ180" s="196" t="str">
        <f>IF('Marks Entry'!BF180="","",'Marks Entry'!BF180)</f>
        <v/>
      </c>
      <c r="FA180" s="196" t="str">
        <f>IF('Marks Entry'!BG180="","",'Marks Entry'!BG180)</f>
        <v/>
      </c>
      <c r="FB180" s="596" t="str">
        <f t="shared" si="509"/>
        <v/>
      </c>
      <c r="FC180" s="196" t="str">
        <f>IF('Marks Entry'!BH180="","",'Marks Entry'!BH180)</f>
        <v/>
      </c>
      <c r="FD180" s="196" t="str">
        <f>IF('Marks Entry'!BI180="","",'Marks Entry'!BI180)</f>
        <v/>
      </c>
      <c r="FE180" s="197" t="str">
        <f t="shared" si="510"/>
        <v/>
      </c>
      <c r="FF180" s="198" t="str">
        <f t="shared" si="511"/>
        <v/>
      </c>
      <c r="FG180" s="199" t="str">
        <f>IF(AND(E180=""),"",IF('Student DATA Entry'!L176="","",'Student DATA Entry'!L176))</f>
        <v/>
      </c>
      <c r="FH180" s="200" t="str">
        <f>IF(AND(E180=""),"",IF('Student DATA Entry'!M176="","",'Student DATA Entry'!M176))</f>
        <v/>
      </c>
      <c r="FI180" s="201" t="str">
        <f t="shared" si="512"/>
        <v/>
      </c>
      <c r="FJ180" s="188" t="str">
        <f t="shared" si="513"/>
        <v/>
      </c>
      <c r="FK180" s="188" t="str">
        <f t="shared" si="514"/>
        <v/>
      </c>
      <c r="FL180" s="202" t="str">
        <f t="shared" si="542"/>
        <v/>
      </c>
      <c r="FM180" s="188" t="str">
        <f t="shared" si="515"/>
        <v/>
      </c>
      <c r="FN180" s="203" t="str">
        <f t="shared" si="516"/>
        <v/>
      </c>
      <c r="FO180" s="202" t="str">
        <f t="shared" si="543"/>
        <v/>
      </c>
      <c r="FP180" s="204" t="str">
        <f t="shared" si="517"/>
        <v/>
      </c>
      <c r="FQ180" s="188" t="str">
        <f t="shared" si="544"/>
        <v/>
      </c>
      <c r="FR180" s="188" t="str">
        <f t="shared" si="545"/>
        <v/>
      </c>
      <c r="FS180" s="188" t="str">
        <f t="shared" si="546"/>
        <v/>
      </c>
      <c r="FT180" s="188" t="str">
        <f t="shared" si="547"/>
        <v/>
      </c>
      <c r="FU180" s="188" t="str">
        <f t="shared" si="518"/>
        <v/>
      </c>
      <c r="FV180" s="205" t="str">
        <f t="shared" si="548"/>
        <v/>
      </c>
      <c r="FW180" s="204" t="str">
        <f t="shared" si="519"/>
        <v/>
      </c>
      <c r="FX180" s="188" t="str">
        <f t="shared" si="549"/>
        <v/>
      </c>
      <c r="FY180" s="188" t="str">
        <f t="shared" si="550"/>
        <v/>
      </c>
      <c r="FZ180" s="188" t="str">
        <f t="shared" si="551"/>
        <v/>
      </c>
      <c r="GA180" s="188" t="str">
        <f t="shared" si="552"/>
        <v/>
      </c>
      <c r="GB180" s="188" t="str">
        <f t="shared" si="520"/>
        <v/>
      </c>
      <c r="GC180" s="205" t="str">
        <f t="shared" si="553"/>
        <v/>
      </c>
      <c r="GD180" s="204" t="str">
        <f t="shared" si="521"/>
        <v/>
      </c>
      <c r="GE180" s="188" t="str">
        <f t="shared" si="554"/>
        <v/>
      </c>
      <c r="GF180" s="188" t="str">
        <f t="shared" si="555"/>
        <v/>
      </c>
      <c r="GG180" s="188" t="str">
        <f t="shared" si="556"/>
        <v/>
      </c>
      <c r="GH180" s="188" t="str">
        <f t="shared" si="557"/>
        <v/>
      </c>
      <c r="GI180" s="188" t="str">
        <f t="shared" si="522"/>
        <v/>
      </c>
      <c r="GJ180" s="205" t="str">
        <f t="shared" si="558"/>
        <v/>
      </c>
      <c r="GK180" s="204" t="str">
        <f t="shared" si="523"/>
        <v/>
      </c>
      <c r="GL180" s="188" t="str">
        <f t="shared" si="559"/>
        <v/>
      </c>
      <c r="GM180" s="188" t="str">
        <f t="shared" si="560"/>
        <v/>
      </c>
      <c r="GN180" s="188" t="str">
        <f t="shared" si="561"/>
        <v/>
      </c>
      <c r="GO180" s="188" t="str">
        <f t="shared" si="562"/>
        <v/>
      </c>
      <c r="GP180" s="188" t="str">
        <f t="shared" si="524"/>
        <v/>
      </c>
      <c r="GQ180" s="205" t="str">
        <f t="shared" si="563"/>
        <v/>
      </c>
      <c r="GR180" s="188" t="str">
        <f t="shared" si="525"/>
        <v/>
      </c>
      <c r="GS180" s="188" t="str">
        <f t="shared" si="526"/>
        <v/>
      </c>
      <c r="GT180" s="206" t="str">
        <f t="shared" si="527"/>
        <v xml:space="preserve">    </v>
      </c>
      <c r="GU180" s="206" t="str">
        <f t="shared" si="528"/>
        <v xml:space="preserve">    </v>
      </c>
      <c r="GV180" s="206" t="str">
        <f t="shared" si="529"/>
        <v xml:space="preserve">    </v>
      </c>
      <c r="GW180" s="206" t="str">
        <f t="shared" si="530"/>
        <v xml:space="preserve">       </v>
      </c>
      <c r="GX180" s="598" t="str">
        <f t="shared" si="531"/>
        <v xml:space="preserve">     </v>
      </c>
      <c r="GY180" s="207" t="str">
        <f t="shared" si="564"/>
        <v/>
      </c>
      <c r="GZ180" s="606" t="str">
        <f>IF(AND(Q180="",AE180="",AZ180="",BW180="",CT180=""),"",IF(AND('Master Sheet'!$D$19="YES",'Marks Entry'!$BA$1=1),SUM(Q180,AE180,AZ180,BW180,DT180),SUM(Q180,AE180,AZ180,BW180,CT180)))</f>
        <v/>
      </c>
      <c r="HA180" s="208" t="str">
        <f>IF(GZ180="","",IF(AND('Master Sheet'!$D$19="YES",'Marks Entry'!$BA$1=1),GZ180/((900)-DC180)*100,GZ180/((1000)-DC180)*100))</f>
        <v/>
      </c>
      <c r="HB180" s="611" t="str">
        <f t="shared" si="532"/>
        <v/>
      </c>
      <c r="HC180" s="609" t="str">
        <f t="shared" si="533"/>
        <v/>
      </c>
      <c r="HD180" s="610" t="str">
        <f t="shared" si="534"/>
        <v/>
      </c>
      <c r="HE180" s="209" t="str">
        <f>IFERROR(IF(OR(GY180="SUPPLEMENTARY",GY180="RE-EXAM"),'Supp. Result Entry'!AS179,""),"")</f>
        <v/>
      </c>
      <c r="HF180" s="613" t="str">
        <f t="shared" si="535"/>
        <v/>
      </c>
      <c r="HG180" s="598" t="str">
        <f t="shared" si="536"/>
        <v/>
      </c>
      <c r="HH180" s="598" t="str">
        <f>IF(AND(HE180="",HF180="",HG180=""),"",IF(OR(GY180="SUPPLEMENTARY",GY180="RE-EXAM"),'Supp. Result Entry'!AS179,GY180))</f>
        <v/>
      </c>
      <c r="HI180" s="179"/>
      <c r="HY180" s="211" t="str">
        <f>IF('Supp. Result Entry'!U179="","",'Supp. Result Entry'!$U$6)</f>
        <v/>
      </c>
      <c r="HZ180" s="212" t="str">
        <f>IF('Supp. Result Entry'!X179="","",'Supp. Result Entry'!$X$6)</f>
        <v/>
      </c>
      <c r="IA180" s="212" t="str">
        <f>IF('Supp. Result Entry'!AA179="","",'Supp. Result Entry'!$AA$6)</f>
        <v/>
      </c>
      <c r="IB180" s="212" t="str">
        <f>IF('Supp. Result Entry'!AD179="","",'Supp. Result Entry'!$AD$6)</f>
        <v/>
      </c>
      <c r="IC180" s="212" t="str">
        <f>IF('Supp. Result Entry'!AG179="","",'Supp. Result Entry'!$AG$6)</f>
        <v/>
      </c>
      <c r="ID180" s="212" t="str">
        <f>IF('Supp. Result Entry'!AJ179="","",'Supp. Result Entry'!$AJ$6)</f>
        <v/>
      </c>
      <c r="IE180" s="212" t="str">
        <f>IF('Supp. Result Entry'!V179="","",'Supp. Result Entry'!V179)</f>
        <v/>
      </c>
      <c r="IF180" s="212" t="str">
        <f>IF('Supp. Result Entry'!Y179="","",'Supp. Result Entry'!Y179)</f>
        <v/>
      </c>
      <c r="IG180" s="212" t="str">
        <f>IF('Supp. Result Entry'!AB179="","",'Supp. Result Entry'!AB179)</f>
        <v/>
      </c>
      <c r="IH180" s="212" t="str">
        <f>IF('Supp. Result Entry'!AE179="","",'Supp. Result Entry'!AE179)</f>
        <v/>
      </c>
      <c r="II180" s="212" t="str">
        <f>IF('Supp. Result Entry'!AH179="","",'Supp. Result Entry'!AH179)</f>
        <v/>
      </c>
      <c r="IJ180" s="212" t="str">
        <f>IF('Supp. Result Entry'!AK179="","",'Supp. Result Entry'!AK179)</f>
        <v/>
      </c>
      <c r="IK180" s="212" t="str">
        <f>IF('Supp. Result Entry'!W179="","",'Supp. Result Entry'!W179)</f>
        <v/>
      </c>
      <c r="IL180" s="212" t="str">
        <f>IF('Supp. Result Entry'!Z179="","",'Supp. Result Entry'!Z179)</f>
        <v/>
      </c>
      <c r="IM180" s="212" t="str">
        <f>IF('Supp. Result Entry'!AC179="","",'Supp. Result Entry'!AC179)</f>
        <v/>
      </c>
      <c r="IN180" s="212" t="str">
        <f>IF('Supp. Result Entry'!AF179="","",'Supp. Result Entry'!AF179)</f>
        <v/>
      </c>
      <c r="IO180" s="212" t="str">
        <f>IF('Supp. Result Entry'!AI179="","",'Supp. Result Entry'!AI179)</f>
        <v/>
      </c>
      <c r="IP180" s="212" t="str">
        <f>IF('Supp. Result Entry'!AL179="","",'Supp. Result Entry'!AL179)</f>
        <v/>
      </c>
      <c r="IQ180" s="212">
        <f>COUNTIF('Supp. Result Entry'!K179:Q179,"S")</f>
        <v>0</v>
      </c>
      <c r="IR180" s="212">
        <f t="shared" si="537"/>
        <v>0</v>
      </c>
      <c r="IS180" s="212">
        <f t="shared" si="538"/>
        <v>0</v>
      </c>
      <c r="IT180" s="212" t="str">
        <f t="shared" si="406"/>
        <v/>
      </c>
      <c r="IU180" s="212" t="str">
        <f t="shared" si="407"/>
        <v/>
      </c>
      <c r="IV180" s="212" t="str">
        <f t="shared" si="408"/>
        <v/>
      </c>
      <c r="IW180" s="212" t="str">
        <f t="shared" si="409"/>
        <v/>
      </c>
      <c r="IX180" s="212" t="str">
        <f t="shared" si="410"/>
        <v/>
      </c>
      <c r="IY180" s="212" t="str">
        <f t="shared" si="539"/>
        <v/>
      </c>
      <c r="IZ180" s="212" t="str">
        <f t="shared" si="540"/>
        <v/>
      </c>
      <c r="JA180" s="212" t="str">
        <f t="shared" si="411"/>
        <v/>
      </c>
      <c r="JB180" s="210" t="str">
        <f t="shared" si="541"/>
        <v/>
      </c>
    </row>
    <row r="181" spans="1:262" s="210" customFormat="1" ht="21" customHeight="1">
      <c r="A181" s="183">
        <v>174</v>
      </c>
      <c r="B181" s="184" t="str">
        <f>IF('Marks Entry'!B181="","",'Marks Entry'!B181)</f>
        <v/>
      </c>
      <c r="C181" s="185" t="str">
        <f>IF('Marks Entry'!D181="","",'Marks Entry'!D181)</f>
        <v/>
      </c>
      <c r="D181" s="186" t="str">
        <f>IF('Marks Entry'!E181="","",'Marks Entry'!E181)</f>
        <v/>
      </c>
      <c r="E181" s="187" t="str">
        <f>IF('Marks Entry'!F181="","",'Marks Entry'!F181)</f>
        <v/>
      </c>
      <c r="F181" s="187" t="str">
        <f>IF('Marks Entry'!G181="","",'Marks Entry'!G181)</f>
        <v/>
      </c>
      <c r="G181" s="187" t="str">
        <f>IF('Marks Entry'!H181="","",'Marks Entry'!H181)</f>
        <v/>
      </c>
      <c r="H181" s="188" t="str">
        <f>IF('Marks Entry'!I181="","",'Marks Entry'!I181)</f>
        <v/>
      </c>
      <c r="I181" s="189" t="str">
        <f>IF('Marks Entry'!J181="","",'Marks Entry'!J181)</f>
        <v/>
      </c>
      <c r="J181" s="545" t="str">
        <f>IF('Marks Entry'!K181="","",'Marks Entry'!K181)</f>
        <v/>
      </c>
      <c r="K181" s="545" t="str">
        <f>IF('Marks Entry'!L181="","",'Marks Entry'!L181)</f>
        <v/>
      </c>
      <c r="L181" s="545" t="str">
        <f>IF('Marks Entry'!M181="","",'Marks Entry'!M181)</f>
        <v/>
      </c>
      <c r="M181" s="546" t="str">
        <f t="shared" si="412"/>
        <v/>
      </c>
      <c r="N181" s="545" t="str">
        <f>IF('Marks Entry'!N181="","",'Marks Entry'!N181)</f>
        <v/>
      </c>
      <c r="O181" s="546" t="str">
        <f t="shared" si="413"/>
        <v/>
      </c>
      <c r="P181" s="545" t="str">
        <f>IF('Marks Entry'!O181="","",'Marks Entry'!O181)</f>
        <v/>
      </c>
      <c r="Q181" s="547" t="str">
        <f t="shared" si="414"/>
        <v/>
      </c>
      <c r="R181" s="152">
        <f t="shared" si="415"/>
        <v>0</v>
      </c>
      <c r="S181" s="152">
        <f t="shared" si="416"/>
        <v>0</v>
      </c>
      <c r="T181" s="153" t="str">
        <f t="shared" si="417"/>
        <v/>
      </c>
      <c r="U181" s="152" t="str">
        <f t="shared" si="418"/>
        <v/>
      </c>
      <c r="V181" s="152" t="str">
        <f t="shared" si="419"/>
        <v/>
      </c>
      <c r="W181" s="152" t="str">
        <f t="shared" si="420"/>
        <v/>
      </c>
      <c r="X181" s="545" t="str">
        <f>IF('Marks Entry'!P181="","",'Marks Entry'!P181)</f>
        <v/>
      </c>
      <c r="Y181" s="545" t="str">
        <f>IF('Marks Entry'!Q181="","",'Marks Entry'!Q181)</f>
        <v/>
      </c>
      <c r="Z181" s="545" t="str">
        <f>IF('Marks Entry'!R181="","",'Marks Entry'!R181)</f>
        <v/>
      </c>
      <c r="AA181" s="546" t="str">
        <f t="shared" si="421"/>
        <v/>
      </c>
      <c r="AB181" s="545" t="str">
        <f>IF('Marks Entry'!S181="","",'Marks Entry'!S181)</f>
        <v/>
      </c>
      <c r="AC181" s="546" t="str">
        <f t="shared" si="422"/>
        <v/>
      </c>
      <c r="AD181" s="545" t="str">
        <f>IF('Marks Entry'!T181="","",'Marks Entry'!T181)</f>
        <v/>
      </c>
      <c r="AE181" s="547" t="str">
        <f t="shared" si="423"/>
        <v/>
      </c>
      <c r="AF181" s="152">
        <f t="shared" si="424"/>
        <v>0</v>
      </c>
      <c r="AG181" s="152">
        <f t="shared" si="425"/>
        <v>0</v>
      </c>
      <c r="AH181" s="153" t="str">
        <f t="shared" si="426"/>
        <v/>
      </c>
      <c r="AI181" s="152" t="str">
        <f t="shared" si="427"/>
        <v/>
      </c>
      <c r="AJ181" s="152" t="str">
        <f t="shared" si="428"/>
        <v/>
      </c>
      <c r="AK181" s="152" t="str">
        <f t="shared" si="429"/>
        <v/>
      </c>
      <c r="AL181" s="573" t="str">
        <f>IF('Marks Entry'!U181="","",'Marks Entry'!U181)</f>
        <v/>
      </c>
      <c r="AM181" s="573" t="str">
        <f>IF('Marks Entry'!V181="","",'Marks Entry'!V181)</f>
        <v/>
      </c>
      <c r="AN181" s="573" t="str">
        <f>IF('Marks Entry'!W181="","",'Marks Entry'!W181)</f>
        <v/>
      </c>
      <c r="AO181" s="573" t="str">
        <f>IF('Marks Entry'!X181="","",'Marks Entry'!X181)</f>
        <v/>
      </c>
      <c r="AP181" s="572" t="str">
        <f t="shared" si="430"/>
        <v/>
      </c>
      <c r="AQ181" s="573" t="str">
        <f>IF('Marks Entry'!Y181="","",'Marks Entry'!Y181)</f>
        <v/>
      </c>
      <c r="AR181" s="573" t="str">
        <f>IF('Marks Entry'!Z181="","",'Marks Entry'!Z181)</f>
        <v/>
      </c>
      <c r="AS181" s="572" t="str">
        <f t="shared" si="431"/>
        <v/>
      </c>
      <c r="AT181" s="572" t="str">
        <f t="shared" si="432"/>
        <v/>
      </c>
      <c r="AU181" s="573" t="str">
        <f>IF('Marks Entry'!AA181="","",'Marks Entry'!AA181)</f>
        <v/>
      </c>
      <c r="AV181" s="573" t="str">
        <f>IF('Marks Entry'!AB181="","",'Marks Entry'!AB181)</f>
        <v/>
      </c>
      <c r="AW181" s="572" t="str">
        <f t="shared" si="433"/>
        <v/>
      </c>
      <c r="AX181" s="156" t="str">
        <f t="shared" si="434"/>
        <v/>
      </c>
      <c r="AY181" s="156" t="str">
        <f t="shared" si="435"/>
        <v/>
      </c>
      <c r="AZ181" s="191" t="str">
        <f t="shared" si="436"/>
        <v/>
      </c>
      <c r="BA181" s="152">
        <f t="shared" si="437"/>
        <v>0</v>
      </c>
      <c r="BB181" s="153">
        <f t="shared" si="438"/>
        <v>0</v>
      </c>
      <c r="BC181" s="153" t="str">
        <f t="shared" si="439"/>
        <v/>
      </c>
      <c r="BD181" s="153" t="str">
        <f t="shared" si="440"/>
        <v/>
      </c>
      <c r="BE181" s="153" t="str">
        <f t="shared" si="441"/>
        <v/>
      </c>
      <c r="BF181" s="152" t="str">
        <f t="shared" si="442"/>
        <v/>
      </c>
      <c r="BG181" s="153" t="str">
        <f t="shared" si="443"/>
        <v/>
      </c>
      <c r="BH181" s="152" t="str">
        <f t="shared" si="444"/>
        <v/>
      </c>
      <c r="BI181" s="580" t="str">
        <f>IF('Marks Entry'!AC181="","",'Marks Entry'!AC181)</f>
        <v/>
      </c>
      <c r="BJ181" s="580" t="str">
        <f>IF('Marks Entry'!AD181="","",'Marks Entry'!AD181)</f>
        <v/>
      </c>
      <c r="BK181" s="580" t="str">
        <f>IF('Marks Entry'!AE181="","",'Marks Entry'!AE181)</f>
        <v/>
      </c>
      <c r="BL181" s="580" t="str">
        <f>IF('Marks Entry'!AF181="","",'Marks Entry'!AF181)</f>
        <v/>
      </c>
      <c r="BM181" s="581" t="str">
        <f t="shared" si="445"/>
        <v/>
      </c>
      <c r="BN181" s="580" t="str">
        <f>IF('Marks Entry'!AG181="","",'Marks Entry'!AG181)</f>
        <v/>
      </c>
      <c r="BO181" s="580" t="str">
        <f>IF('Marks Entry'!AH181="","",'Marks Entry'!AH181)</f>
        <v/>
      </c>
      <c r="BP181" s="581" t="str">
        <f t="shared" si="446"/>
        <v/>
      </c>
      <c r="BQ181" s="581" t="str">
        <f t="shared" si="447"/>
        <v/>
      </c>
      <c r="BR181" s="580" t="str">
        <f>IF('Marks Entry'!AI181="","",'Marks Entry'!AI181)</f>
        <v/>
      </c>
      <c r="BS181" s="580" t="str">
        <f>IF('Marks Entry'!AJ181="","",'Marks Entry'!AJ181)</f>
        <v/>
      </c>
      <c r="BT181" s="581" t="str">
        <f t="shared" si="448"/>
        <v/>
      </c>
      <c r="BU181" s="156" t="str">
        <f t="shared" si="449"/>
        <v/>
      </c>
      <c r="BV181" s="156" t="str">
        <f t="shared" si="450"/>
        <v/>
      </c>
      <c r="BW181" s="191" t="str">
        <f t="shared" si="451"/>
        <v/>
      </c>
      <c r="BX181" s="152">
        <f t="shared" si="452"/>
        <v>0</v>
      </c>
      <c r="BY181" s="153">
        <f t="shared" si="453"/>
        <v>0</v>
      </c>
      <c r="BZ181" s="153" t="str">
        <f t="shared" si="454"/>
        <v/>
      </c>
      <c r="CA181" s="153" t="str">
        <f t="shared" si="455"/>
        <v/>
      </c>
      <c r="CB181" s="153" t="str">
        <f t="shared" si="456"/>
        <v/>
      </c>
      <c r="CC181" s="152" t="str">
        <f t="shared" si="457"/>
        <v/>
      </c>
      <c r="CD181" s="153" t="str">
        <f t="shared" si="458"/>
        <v/>
      </c>
      <c r="CE181" s="152" t="str">
        <f t="shared" si="459"/>
        <v/>
      </c>
      <c r="CF181" s="580" t="str">
        <f>IF('Marks Entry'!AK181="","",'Marks Entry'!AK181)</f>
        <v/>
      </c>
      <c r="CG181" s="580" t="str">
        <f>IF('Marks Entry'!AL181="","",'Marks Entry'!AL181)</f>
        <v/>
      </c>
      <c r="CH181" s="580" t="str">
        <f>IF('Marks Entry'!AM181="","",'Marks Entry'!AM181)</f>
        <v/>
      </c>
      <c r="CI181" s="580" t="str">
        <f>IF('Marks Entry'!AN181="","",'Marks Entry'!AN181)</f>
        <v/>
      </c>
      <c r="CJ181" s="581" t="str">
        <f t="shared" si="460"/>
        <v/>
      </c>
      <c r="CK181" s="580" t="str">
        <f>IF('Marks Entry'!AO181="","",'Marks Entry'!AO181)</f>
        <v/>
      </c>
      <c r="CL181" s="580" t="str">
        <f>IF('Marks Entry'!AP181="","",'Marks Entry'!AP181)</f>
        <v/>
      </c>
      <c r="CM181" s="581" t="str">
        <f t="shared" si="461"/>
        <v/>
      </c>
      <c r="CN181" s="581" t="str">
        <f t="shared" si="462"/>
        <v/>
      </c>
      <c r="CO181" s="580" t="str">
        <f>IF('Marks Entry'!AQ181="","",'Marks Entry'!AQ181)</f>
        <v/>
      </c>
      <c r="CP181" s="580" t="str">
        <f>IF('Marks Entry'!AR181="","",'Marks Entry'!AR181)</f>
        <v/>
      </c>
      <c r="CQ181" s="581" t="str">
        <f t="shared" si="463"/>
        <v/>
      </c>
      <c r="CR181" s="156" t="str">
        <f t="shared" si="464"/>
        <v/>
      </c>
      <c r="CS181" s="156" t="str">
        <f t="shared" si="465"/>
        <v/>
      </c>
      <c r="CT181" s="191" t="str">
        <f t="shared" si="466"/>
        <v/>
      </c>
      <c r="CU181" s="152">
        <f t="shared" si="467"/>
        <v>0</v>
      </c>
      <c r="CV181" s="153">
        <f t="shared" si="468"/>
        <v>0</v>
      </c>
      <c r="CW181" s="153" t="str">
        <f t="shared" si="469"/>
        <v/>
      </c>
      <c r="CX181" s="153" t="str">
        <f t="shared" si="470"/>
        <v/>
      </c>
      <c r="CY181" s="153" t="str">
        <f t="shared" si="471"/>
        <v/>
      </c>
      <c r="CZ181" s="152" t="str">
        <f t="shared" si="472"/>
        <v/>
      </c>
      <c r="DA181" s="153" t="str">
        <f t="shared" si="473"/>
        <v/>
      </c>
      <c r="DB181" s="152" t="str">
        <f t="shared" si="474"/>
        <v/>
      </c>
      <c r="DC181" s="153">
        <f t="shared" si="475"/>
        <v>0</v>
      </c>
      <c r="DD181" s="851" t="str">
        <f>IF('Marks Entry'!AS181="","",IF(OR('Master Sheet'!$D$19="YES",'Marks Entry'!$BA$1=1),'Marks Entry'!AS181,""))</f>
        <v/>
      </c>
      <c r="DE181" s="851" t="str">
        <f>IF('Marks Entry'!AT181="","",IF(OR('Master Sheet'!$D$19="YES",'Marks Entry'!$BA$1=1),'Marks Entry'!AT181,""))</f>
        <v/>
      </c>
      <c r="DF181" s="851" t="str">
        <f>IF('Marks Entry'!AU181="","",IF(OR('Master Sheet'!$D$19="YES",'Marks Entry'!$BA$1=1),'Marks Entry'!AU181,""))</f>
        <v/>
      </c>
      <c r="DG181" s="851" t="str">
        <f>IF('Marks Entry'!AV181="","",IF(OR('Master Sheet'!$D$19="YES",'Marks Entry'!$BA$1=1),'Marks Entry'!AV181,""))</f>
        <v/>
      </c>
      <c r="DH181" s="852" t="str">
        <f t="shared" si="476"/>
        <v/>
      </c>
      <c r="DI181" s="851" t="str">
        <f>IF('Marks Entry'!AW181="","",IF(OR('Master Sheet'!$D$19="YES",'Marks Entry'!$BA$1=1),'Marks Entry'!AW181,""))</f>
        <v/>
      </c>
      <c r="DJ181" s="851" t="str">
        <f>IF('Marks Entry'!AX181="","",IF(OR('Master Sheet'!$D$19="YES",'Marks Entry'!$BA$1=1),'Marks Entry'!AX181,""))</f>
        <v/>
      </c>
      <c r="DK181" s="852" t="str">
        <f t="shared" si="477"/>
        <v/>
      </c>
      <c r="DL181" s="852" t="str">
        <f t="shared" si="478"/>
        <v/>
      </c>
      <c r="DM181" s="851" t="str">
        <f>IF('Marks Entry'!AY181="","",IF(OR('Master Sheet'!$D$19="YES",'Marks Entry'!$BA$1=1),'Marks Entry'!AY181,""))</f>
        <v/>
      </c>
      <c r="DN181" s="851" t="str">
        <f>IF('Marks Entry'!AZ181="","",IF(OR('Master Sheet'!$D$19="YES",'Marks Entry'!$BA$1=1),'Marks Entry'!AZ181,""))</f>
        <v/>
      </c>
      <c r="DO181" s="851" t="str">
        <f>IF('Marks Entry'!BA181="","",IF(OR('Master Sheet'!$D$19="YES",'Marks Entry'!$BA$1=1),'Marks Entry'!BA181,""))</f>
        <v/>
      </c>
      <c r="DP181" s="852" t="str">
        <f t="shared" si="479"/>
        <v/>
      </c>
      <c r="DQ181" s="156" t="str">
        <f t="shared" si="480"/>
        <v/>
      </c>
      <c r="DR181" s="156" t="str">
        <f t="shared" si="481"/>
        <v/>
      </c>
      <c r="DS181" s="156" t="str">
        <f t="shared" si="482"/>
        <v/>
      </c>
      <c r="DT181" s="191" t="str">
        <f t="shared" si="483"/>
        <v/>
      </c>
      <c r="DU181" s="152">
        <f t="shared" si="484"/>
        <v>0</v>
      </c>
      <c r="DV181" s="153">
        <f t="shared" si="485"/>
        <v>0</v>
      </c>
      <c r="DW181" s="153" t="str">
        <f t="shared" si="486"/>
        <v/>
      </c>
      <c r="DX181" s="153" t="str">
        <f>IF(OR($B181="NSO",$B181=0,DS181=""),"",IF(AND(DJ181="",DO181=""),"",IF('Master Sheet'!$D$19="YES",$DO$6-COUNTIF(DO181,"ML")*DO$6,DS$6-(COUNTIF(DJ181,"ML")*DJ$6)-(COUNTIF(DO181,"ML")*DO$6))))</f>
        <v/>
      </c>
      <c r="DY181" s="153" t="str">
        <f>IF(OR($B181="NSO",$B181=0),"",IF(AND(DH181="",DI181="",DM181=""),"",IF(AND('Master Sheet'!$D$19="YES",'Marks Entry'!$BA$1=1),100,IF(AND(DJ181="",DO181=""),SUM(($DQ$7+$DR$7)-(DU181+DV181)),SUM(($DQ$6+$DR$6)-(DU181+DV181))))))</f>
        <v/>
      </c>
      <c r="DZ181" s="152" t="str">
        <f t="shared" si="487"/>
        <v/>
      </c>
      <c r="EA181" s="153" t="str">
        <f t="shared" si="488"/>
        <v/>
      </c>
      <c r="EB181" s="152" t="str">
        <f t="shared" si="489"/>
        <v/>
      </c>
      <c r="EC181" s="584" t="str">
        <f>IF('Marks Entry'!BB181="","",'Marks Entry'!BB181)</f>
        <v/>
      </c>
      <c r="ED181" s="584" t="str">
        <f>IF('Marks Entry'!BC181="","",'Marks Entry'!BC181)</f>
        <v/>
      </c>
      <c r="EE181" s="584" t="str">
        <f>IF('Marks Entry'!BD181="","",'Marks Entry'!BD181)</f>
        <v/>
      </c>
      <c r="EF181" s="590" t="str">
        <f t="shared" si="490"/>
        <v/>
      </c>
      <c r="EG181" s="595">
        <f t="shared" si="491"/>
        <v>0</v>
      </c>
      <c r="EH181" s="595">
        <f t="shared" si="492"/>
        <v>0</v>
      </c>
      <c r="EI181" s="192" t="str">
        <f t="shared" si="493"/>
        <v/>
      </c>
      <c r="EJ181" s="595" t="str">
        <f t="shared" si="494"/>
        <v/>
      </c>
      <c r="EK181" s="595" t="str">
        <f t="shared" si="495"/>
        <v/>
      </c>
      <c r="EL181" s="193" t="str">
        <f t="shared" si="496"/>
        <v/>
      </c>
      <c r="EM181" s="193" t="str">
        <f t="shared" si="497"/>
        <v/>
      </c>
      <c r="EN181" s="193" t="str">
        <f t="shared" si="498"/>
        <v/>
      </c>
      <c r="EO181" s="193" t="str">
        <f t="shared" si="499"/>
        <v/>
      </c>
      <c r="EP181" s="193" t="str">
        <f t="shared" si="500"/>
        <v/>
      </c>
      <c r="EQ181" s="193" t="str">
        <f t="shared" si="501"/>
        <v/>
      </c>
      <c r="ER181" s="194">
        <f t="shared" si="502"/>
        <v>0</v>
      </c>
      <c r="ES181" s="194">
        <f t="shared" si="503"/>
        <v>0</v>
      </c>
      <c r="ET181" s="194">
        <f t="shared" si="504"/>
        <v>0</v>
      </c>
      <c r="EU181" s="194">
        <f t="shared" si="505"/>
        <v>0</v>
      </c>
      <c r="EV181" s="194">
        <f t="shared" si="506"/>
        <v>0</v>
      </c>
      <c r="EW181" s="194" t="str">
        <f t="shared" si="507"/>
        <v/>
      </c>
      <c r="EX181" s="195" t="str">
        <f t="shared" si="508"/>
        <v/>
      </c>
      <c r="EY181" s="196" t="str">
        <f>IF('Marks Entry'!BE181="","",'Marks Entry'!BE181)</f>
        <v/>
      </c>
      <c r="EZ181" s="196" t="str">
        <f>IF('Marks Entry'!BF181="","",'Marks Entry'!BF181)</f>
        <v/>
      </c>
      <c r="FA181" s="196" t="str">
        <f>IF('Marks Entry'!BG181="","",'Marks Entry'!BG181)</f>
        <v/>
      </c>
      <c r="FB181" s="596" t="str">
        <f t="shared" si="509"/>
        <v/>
      </c>
      <c r="FC181" s="196" t="str">
        <f>IF('Marks Entry'!BH181="","",'Marks Entry'!BH181)</f>
        <v/>
      </c>
      <c r="FD181" s="196" t="str">
        <f>IF('Marks Entry'!BI181="","",'Marks Entry'!BI181)</f>
        <v/>
      </c>
      <c r="FE181" s="197" t="str">
        <f t="shared" si="510"/>
        <v/>
      </c>
      <c r="FF181" s="198" t="str">
        <f t="shared" si="511"/>
        <v/>
      </c>
      <c r="FG181" s="199" t="str">
        <f>IF(AND(E181=""),"",IF('Student DATA Entry'!L177="","",'Student DATA Entry'!L177))</f>
        <v/>
      </c>
      <c r="FH181" s="200" t="str">
        <f>IF(AND(E181=""),"",IF('Student DATA Entry'!M177="","",'Student DATA Entry'!M177))</f>
        <v/>
      </c>
      <c r="FI181" s="201" t="str">
        <f t="shared" si="512"/>
        <v/>
      </c>
      <c r="FJ181" s="188" t="str">
        <f t="shared" si="513"/>
        <v/>
      </c>
      <c r="FK181" s="188" t="str">
        <f t="shared" si="514"/>
        <v/>
      </c>
      <c r="FL181" s="202" t="str">
        <f t="shared" si="542"/>
        <v/>
      </c>
      <c r="FM181" s="188" t="str">
        <f t="shared" si="515"/>
        <v/>
      </c>
      <c r="FN181" s="203" t="str">
        <f t="shared" si="516"/>
        <v/>
      </c>
      <c r="FO181" s="202" t="str">
        <f t="shared" si="543"/>
        <v/>
      </c>
      <c r="FP181" s="204" t="str">
        <f t="shared" si="517"/>
        <v/>
      </c>
      <c r="FQ181" s="188" t="str">
        <f t="shared" si="544"/>
        <v/>
      </c>
      <c r="FR181" s="188" t="str">
        <f t="shared" si="545"/>
        <v/>
      </c>
      <c r="FS181" s="188" t="str">
        <f t="shared" si="546"/>
        <v/>
      </c>
      <c r="FT181" s="188" t="str">
        <f t="shared" si="547"/>
        <v/>
      </c>
      <c r="FU181" s="188" t="str">
        <f t="shared" si="518"/>
        <v/>
      </c>
      <c r="FV181" s="205" t="str">
        <f t="shared" si="548"/>
        <v/>
      </c>
      <c r="FW181" s="204" t="str">
        <f t="shared" si="519"/>
        <v/>
      </c>
      <c r="FX181" s="188" t="str">
        <f t="shared" si="549"/>
        <v/>
      </c>
      <c r="FY181" s="188" t="str">
        <f t="shared" si="550"/>
        <v/>
      </c>
      <c r="FZ181" s="188" t="str">
        <f t="shared" si="551"/>
        <v/>
      </c>
      <c r="GA181" s="188" t="str">
        <f t="shared" si="552"/>
        <v/>
      </c>
      <c r="GB181" s="188" t="str">
        <f t="shared" si="520"/>
        <v/>
      </c>
      <c r="GC181" s="205" t="str">
        <f t="shared" si="553"/>
        <v/>
      </c>
      <c r="GD181" s="204" t="str">
        <f t="shared" si="521"/>
        <v/>
      </c>
      <c r="GE181" s="188" t="str">
        <f t="shared" si="554"/>
        <v/>
      </c>
      <c r="GF181" s="188" t="str">
        <f t="shared" si="555"/>
        <v/>
      </c>
      <c r="GG181" s="188" t="str">
        <f t="shared" si="556"/>
        <v/>
      </c>
      <c r="GH181" s="188" t="str">
        <f t="shared" si="557"/>
        <v/>
      </c>
      <c r="GI181" s="188" t="str">
        <f t="shared" si="522"/>
        <v/>
      </c>
      <c r="GJ181" s="205" t="str">
        <f t="shared" si="558"/>
        <v/>
      </c>
      <c r="GK181" s="204" t="str">
        <f t="shared" si="523"/>
        <v/>
      </c>
      <c r="GL181" s="188" t="str">
        <f t="shared" si="559"/>
        <v/>
      </c>
      <c r="GM181" s="188" t="str">
        <f t="shared" si="560"/>
        <v/>
      </c>
      <c r="GN181" s="188" t="str">
        <f t="shared" si="561"/>
        <v/>
      </c>
      <c r="GO181" s="188" t="str">
        <f t="shared" si="562"/>
        <v/>
      </c>
      <c r="GP181" s="188" t="str">
        <f t="shared" si="524"/>
        <v/>
      </c>
      <c r="GQ181" s="205" t="str">
        <f t="shared" si="563"/>
        <v/>
      </c>
      <c r="GR181" s="188" t="str">
        <f t="shared" si="525"/>
        <v/>
      </c>
      <c r="GS181" s="188" t="str">
        <f t="shared" si="526"/>
        <v/>
      </c>
      <c r="GT181" s="206" t="str">
        <f t="shared" si="527"/>
        <v xml:space="preserve">    </v>
      </c>
      <c r="GU181" s="206" t="str">
        <f t="shared" si="528"/>
        <v xml:space="preserve">    </v>
      </c>
      <c r="GV181" s="206" t="str">
        <f t="shared" si="529"/>
        <v xml:space="preserve">    </v>
      </c>
      <c r="GW181" s="206" t="str">
        <f t="shared" si="530"/>
        <v xml:space="preserve">       </v>
      </c>
      <c r="GX181" s="598" t="str">
        <f t="shared" si="531"/>
        <v xml:space="preserve">     </v>
      </c>
      <c r="GY181" s="207" t="str">
        <f t="shared" si="564"/>
        <v/>
      </c>
      <c r="GZ181" s="606" t="str">
        <f>IF(AND(Q181="",AE181="",AZ181="",BW181="",CT181=""),"",IF(AND('Master Sheet'!$D$19="YES",'Marks Entry'!$BA$1=1),SUM(Q181,AE181,AZ181,BW181,DT181),SUM(Q181,AE181,AZ181,BW181,CT181)))</f>
        <v/>
      </c>
      <c r="HA181" s="208" t="str">
        <f>IF(GZ181="","",IF(AND('Master Sheet'!$D$19="YES",'Marks Entry'!$BA$1=1),GZ181/((900)-DC181)*100,GZ181/((1000)-DC181)*100))</f>
        <v/>
      </c>
      <c r="HB181" s="611" t="str">
        <f t="shared" si="532"/>
        <v/>
      </c>
      <c r="HC181" s="609" t="str">
        <f t="shared" si="533"/>
        <v/>
      </c>
      <c r="HD181" s="610" t="str">
        <f t="shared" si="534"/>
        <v/>
      </c>
      <c r="HE181" s="209" t="str">
        <f>IFERROR(IF(OR(GY181="SUPPLEMENTARY",GY181="RE-EXAM"),'Supp. Result Entry'!AS180,""),"")</f>
        <v/>
      </c>
      <c r="HF181" s="613" t="str">
        <f t="shared" si="535"/>
        <v/>
      </c>
      <c r="HG181" s="598" t="str">
        <f t="shared" si="536"/>
        <v/>
      </c>
      <c r="HH181" s="598" t="str">
        <f>IF(AND(HE181="",HF181="",HG181=""),"",IF(OR(GY181="SUPPLEMENTARY",GY181="RE-EXAM"),'Supp. Result Entry'!AS180,GY181))</f>
        <v/>
      </c>
      <c r="HI181" s="179"/>
      <c r="HY181" s="211" t="str">
        <f>IF('Supp. Result Entry'!U180="","",'Supp. Result Entry'!$U$6)</f>
        <v/>
      </c>
      <c r="HZ181" s="212" t="str">
        <f>IF('Supp. Result Entry'!X180="","",'Supp. Result Entry'!$X$6)</f>
        <v/>
      </c>
      <c r="IA181" s="212" t="str">
        <f>IF('Supp. Result Entry'!AA180="","",'Supp. Result Entry'!$AA$6)</f>
        <v/>
      </c>
      <c r="IB181" s="212" t="str">
        <f>IF('Supp. Result Entry'!AD180="","",'Supp. Result Entry'!$AD$6)</f>
        <v/>
      </c>
      <c r="IC181" s="212" t="str">
        <f>IF('Supp. Result Entry'!AG180="","",'Supp. Result Entry'!$AG$6)</f>
        <v/>
      </c>
      <c r="ID181" s="212" t="str">
        <f>IF('Supp. Result Entry'!AJ180="","",'Supp. Result Entry'!$AJ$6)</f>
        <v/>
      </c>
      <c r="IE181" s="212" t="str">
        <f>IF('Supp. Result Entry'!V180="","",'Supp. Result Entry'!V180)</f>
        <v/>
      </c>
      <c r="IF181" s="212" t="str">
        <f>IF('Supp. Result Entry'!Y180="","",'Supp. Result Entry'!Y180)</f>
        <v/>
      </c>
      <c r="IG181" s="212" t="str">
        <f>IF('Supp. Result Entry'!AB180="","",'Supp. Result Entry'!AB180)</f>
        <v/>
      </c>
      <c r="IH181" s="212" t="str">
        <f>IF('Supp. Result Entry'!AE180="","",'Supp. Result Entry'!AE180)</f>
        <v/>
      </c>
      <c r="II181" s="212" t="str">
        <f>IF('Supp. Result Entry'!AH180="","",'Supp. Result Entry'!AH180)</f>
        <v/>
      </c>
      <c r="IJ181" s="212" t="str">
        <f>IF('Supp. Result Entry'!AK180="","",'Supp. Result Entry'!AK180)</f>
        <v/>
      </c>
      <c r="IK181" s="212" t="str">
        <f>IF('Supp. Result Entry'!W180="","",'Supp. Result Entry'!W180)</f>
        <v/>
      </c>
      <c r="IL181" s="212" t="str">
        <f>IF('Supp. Result Entry'!Z180="","",'Supp. Result Entry'!Z180)</f>
        <v/>
      </c>
      <c r="IM181" s="212" t="str">
        <f>IF('Supp. Result Entry'!AC180="","",'Supp. Result Entry'!AC180)</f>
        <v/>
      </c>
      <c r="IN181" s="212" t="str">
        <f>IF('Supp. Result Entry'!AF180="","",'Supp. Result Entry'!AF180)</f>
        <v/>
      </c>
      <c r="IO181" s="212" t="str">
        <f>IF('Supp. Result Entry'!AI180="","",'Supp. Result Entry'!AI180)</f>
        <v/>
      </c>
      <c r="IP181" s="212" t="str">
        <f>IF('Supp. Result Entry'!AL180="","",'Supp. Result Entry'!AL180)</f>
        <v/>
      </c>
      <c r="IQ181" s="212">
        <f>COUNTIF('Supp. Result Entry'!K180:Q180,"S")</f>
        <v>0</v>
      </c>
      <c r="IR181" s="212">
        <f t="shared" si="537"/>
        <v>0</v>
      </c>
      <c r="IS181" s="212">
        <f t="shared" si="538"/>
        <v>0</v>
      </c>
      <c r="IT181" s="212" t="str">
        <f t="shared" si="406"/>
        <v/>
      </c>
      <c r="IU181" s="212" t="str">
        <f t="shared" si="407"/>
        <v/>
      </c>
      <c r="IV181" s="212" t="str">
        <f t="shared" si="408"/>
        <v/>
      </c>
      <c r="IW181" s="212" t="str">
        <f t="shared" si="409"/>
        <v/>
      </c>
      <c r="IX181" s="212" t="str">
        <f t="shared" si="410"/>
        <v/>
      </c>
      <c r="IY181" s="212" t="str">
        <f t="shared" si="539"/>
        <v/>
      </c>
      <c r="IZ181" s="212" t="str">
        <f t="shared" si="540"/>
        <v/>
      </c>
      <c r="JA181" s="212" t="str">
        <f t="shared" si="411"/>
        <v/>
      </c>
      <c r="JB181" s="210" t="str">
        <f t="shared" si="541"/>
        <v/>
      </c>
    </row>
    <row r="182" spans="1:262" s="210" customFormat="1" ht="21" customHeight="1">
      <c r="A182" s="183">
        <v>175</v>
      </c>
      <c r="B182" s="184" t="str">
        <f>IF('Marks Entry'!B182="","",'Marks Entry'!B182)</f>
        <v/>
      </c>
      <c r="C182" s="185" t="str">
        <f>IF('Marks Entry'!D182="","",'Marks Entry'!D182)</f>
        <v/>
      </c>
      <c r="D182" s="186" t="str">
        <f>IF('Marks Entry'!E182="","",'Marks Entry'!E182)</f>
        <v/>
      </c>
      <c r="E182" s="187" t="str">
        <f>IF('Marks Entry'!F182="","",'Marks Entry'!F182)</f>
        <v/>
      </c>
      <c r="F182" s="187" t="str">
        <f>IF('Marks Entry'!G182="","",'Marks Entry'!G182)</f>
        <v/>
      </c>
      <c r="G182" s="187" t="str">
        <f>IF('Marks Entry'!H182="","",'Marks Entry'!H182)</f>
        <v/>
      </c>
      <c r="H182" s="188" t="str">
        <f>IF('Marks Entry'!I182="","",'Marks Entry'!I182)</f>
        <v/>
      </c>
      <c r="I182" s="189" t="str">
        <f>IF('Marks Entry'!J182="","",'Marks Entry'!J182)</f>
        <v/>
      </c>
      <c r="J182" s="545" t="str">
        <f>IF('Marks Entry'!K182="","",'Marks Entry'!K182)</f>
        <v/>
      </c>
      <c r="K182" s="545" t="str">
        <f>IF('Marks Entry'!L182="","",'Marks Entry'!L182)</f>
        <v/>
      </c>
      <c r="L182" s="545" t="str">
        <f>IF('Marks Entry'!M182="","",'Marks Entry'!M182)</f>
        <v/>
      </c>
      <c r="M182" s="546" t="str">
        <f t="shared" si="412"/>
        <v/>
      </c>
      <c r="N182" s="545" t="str">
        <f>IF('Marks Entry'!N182="","",'Marks Entry'!N182)</f>
        <v/>
      </c>
      <c r="O182" s="546" t="str">
        <f t="shared" si="413"/>
        <v/>
      </c>
      <c r="P182" s="545" t="str">
        <f>IF('Marks Entry'!O182="","",'Marks Entry'!O182)</f>
        <v/>
      </c>
      <c r="Q182" s="547" t="str">
        <f t="shared" si="414"/>
        <v/>
      </c>
      <c r="R182" s="152">
        <f t="shared" si="415"/>
        <v>0</v>
      </c>
      <c r="S182" s="152">
        <f t="shared" si="416"/>
        <v>0</v>
      </c>
      <c r="T182" s="153" t="str">
        <f t="shared" si="417"/>
        <v/>
      </c>
      <c r="U182" s="152" t="str">
        <f t="shared" si="418"/>
        <v/>
      </c>
      <c r="V182" s="152" t="str">
        <f t="shared" si="419"/>
        <v/>
      </c>
      <c r="W182" s="152" t="str">
        <f t="shared" si="420"/>
        <v/>
      </c>
      <c r="X182" s="545" t="str">
        <f>IF('Marks Entry'!P182="","",'Marks Entry'!P182)</f>
        <v/>
      </c>
      <c r="Y182" s="545" t="str">
        <f>IF('Marks Entry'!Q182="","",'Marks Entry'!Q182)</f>
        <v/>
      </c>
      <c r="Z182" s="545" t="str">
        <f>IF('Marks Entry'!R182="","",'Marks Entry'!R182)</f>
        <v/>
      </c>
      <c r="AA182" s="546" t="str">
        <f t="shared" si="421"/>
        <v/>
      </c>
      <c r="AB182" s="545" t="str">
        <f>IF('Marks Entry'!S182="","",'Marks Entry'!S182)</f>
        <v/>
      </c>
      <c r="AC182" s="546" t="str">
        <f t="shared" si="422"/>
        <v/>
      </c>
      <c r="AD182" s="545" t="str">
        <f>IF('Marks Entry'!T182="","",'Marks Entry'!T182)</f>
        <v/>
      </c>
      <c r="AE182" s="547" t="str">
        <f t="shared" si="423"/>
        <v/>
      </c>
      <c r="AF182" s="152">
        <f t="shared" si="424"/>
        <v>0</v>
      </c>
      <c r="AG182" s="152">
        <f t="shared" si="425"/>
        <v>0</v>
      </c>
      <c r="AH182" s="153" t="str">
        <f t="shared" si="426"/>
        <v/>
      </c>
      <c r="AI182" s="152" t="str">
        <f t="shared" si="427"/>
        <v/>
      </c>
      <c r="AJ182" s="152" t="str">
        <f t="shared" si="428"/>
        <v/>
      </c>
      <c r="AK182" s="152" t="str">
        <f t="shared" si="429"/>
        <v/>
      </c>
      <c r="AL182" s="573" t="str">
        <f>IF('Marks Entry'!U182="","",'Marks Entry'!U182)</f>
        <v/>
      </c>
      <c r="AM182" s="573" t="str">
        <f>IF('Marks Entry'!V182="","",'Marks Entry'!V182)</f>
        <v/>
      </c>
      <c r="AN182" s="573" t="str">
        <f>IF('Marks Entry'!W182="","",'Marks Entry'!W182)</f>
        <v/>
      </c>
      <c r="AO182" s="573" t="str">
        <f>IF('Marks Entry'!X182="","",'Marks Entry'!X182)</f>
        <v/>
      </c>
      <c r="AP182" s="572" t="str">
        <f t="shared" si="430"/>
        <v/>
      </c>
      <c r="AQ182" s="573" t="str">
        <f>IF('Marks Entry'!Y182="","",'Marks Entry'!Y182)</f>
        <v/>
      </c>
      <c r="AR182" s="573" t="str">
        <f>IF('Marks Entry'!Z182="","",'Marks Entry'!Z182)</f>
        <v/>
      </c>
      <c r="AS182" s="572" t="str">
        <f t="shared" si="431"/>
        <v/>
      </c>
      <c r="AT182" s="572" t="str">
        <f t="shared" si="432"/>
        <v/>
      </c>
      <c r="AU182" s="573" t="str">
        <f>IF('Marks Entry'!AA182="","",'Marks Entry'!AA182)</f>
        <v/>
      </c>
      <c r="AV182" s="573" t="str">
        <f>IF('Marks Entry'!AB182="","",'Marks Entry'!AB182)</f>
        <v/>
      </c>
      <c r="AW182" s="572" t="str">
        <f t="shared" si="433"/>
        <v/>
      </c>
      <c r="AX182" s="156" t="str">
        <f t="shared" si="434"/>
        <v/>
      </c>
      <c r="AY182" s="156" t="str">
        <f t="shared" si="435"/>
        <v/>
      </c>
      <c r="AZ182" s="191" t="str">
        <f t="shared" si="436"/>
        <v/>
      </c>
      <c r="BA182" s="152">
        <f t="shared" si="437"/>
        <v>0</v>
      </c>
      <c r="BB182" s="153">
        <f t="shared" si="438"/>
        <v>0</v>
      </c>
      <c r="BC182" s="153" t="str">
        <f t="shared" si="439"/>
        <v/>
      </c>
      <c r="BD182" s="153" t="str">
        <f t="shared" si="440"/>
        <v/>
      </c>
      <c r="BE182" s="153" t="str">
        <f t="shared" si="441"/>
        <v/>
      </c>
      <c r="BF182" s="152" t="str">
        <f t="shared" si="442"/>
        <v/>
      </c>
      <c r="BG182" s="153" t="str">
        <f t="shared" si="443"/>
        <v/>
      </c>
      <c r="BH182" s="152" t="str">
        <f t="shared" si="444"/>
        <v/>
      </c>
      <c r="BI182" s="580" t="str">
        <f>IF('Marks Entry'!AC182="","",'Marks Entry'!AC182)</f>
        <v/>
      </c>
      <c r="BJ182" s="580" t="str">
        <f>IF('Marks Entry'!AD182="","",'Marks Entry'!AD182)</f>
        <v/>
      </c>
      <c r="BK182" s="580" t="str">
        <f>IF('Marks Entry'!AE182="","",'Marks Entry'!AE182)</f>
        <v/>
      </c>
      <c r="BL182" s="580" t="str">
        <f>IF('Marks Entry'!AF182="","",'Marks Entry'!AF182)</f>
        <v/>
      </c>
      <c r="BM182" s="581" t="str">
        <f t="shared" si="445"/>
        <v/>
      </c>
      <c r="BN182" s="580" t="str">
        <f>IF('Marks Entry'!AG182="","",'Marks Entry'!AG182)</f>
        <v/>
      </c>
      <c r="BO182" s="580" t="str">
        <f>IF('Marks Entry'!AH182="","",'Marks Entry'!AH182)</f>
        <v/>
      </c>
      <c r="BP182" s="581" t="str">
        <f t="shared" si="446"/>
        <v/>
      </c>
      <c r="BQ182" s="581" t="str">
        <f t="shared" si="447"/>
        <v/>
      </c>
      <c r="BR182" s="580" t="str">
        <f>IF('Marks Entry'!AI182="","",'Marks Entry'!AI182)</f>
        <v/>
      </c>
      <c r="BS182" s="580" t="str">
        <f>IF('Marks Entry'!AJ182="","",'Marks Entry'!AJ182)</f>
        <v/>
      </c>
      <c r="BT182" s="581" t="str">
        <f t="shared" si="448"/>
        <v/>
      </c>
      <c r="BU182" s="156" t="str">
        <f t="shared" si="449"/>
        <v/>
      </c>
      <c r="BV182" s="156" t="str">
        <f t="shared" si="450"/>
        <v/>
      </c>
      <c r="BW182" s="191" t="str">
        <f t="shared" si="451"/>
        <v/>
      </c>
      <c r="BX182" s="152">
        <f t="shared" si="452"/>
        <v>0</v>
      </c>
      <c r="BY182" s="153">
        <f t="shared" si="453"/>
        <v>0</v>
      </c>
      <c r="BZ182" s="153" t="str">
        <f t="shared" si="454"/>
        <v/>
      </c>
      <c r="CA182" s="153" t="str">
        <f t="shared" si="455"/>
        <v/>
      </c>
      <c r="CB182" s="153" t="str">
        <f t="shared" si="456"/>
        <v/>
      </c>
      <c r="CC182" s="152" t="str">
        <f t="shared" si="457"/>
        <v/>
      </c>
      <c r="CD182" s="153" t="str">
        <f t="shared" si="458"/>
        <v/>
      </c>
      <c r="CE182" s="152" t="str">
        <f t="shared" si="459"/>
        <v/>
      </c>
      <c r="CF182" s="580" t="str">
        <f>IF('Marks Entry'!AK182="","",'Marks Entry'!AK182)</f>
        <v/>
      </c>
      <c r="CG182" s="580" t="str">
        <f>IF('Marks Entry'!AL182="","",'Marks Entry'!AL182)</f>
        <v/>
      </c>
      <c r="CH182" s="580" t="str">
        <f>IF('Marks Entry'!AM182="","",'Marks Entry'!AM182)</f>
        <v/>
      </c>
      <c r="CI182" s="580" t="str">
        <f>IF('Marks Entry'!AN182="","",'Marks Entry'!AN182)</f>
        <v/>
      </c>
      <c r="CJ182" s="581" t="str">
        <f t="shared" si="460"/>
        <v/>
      </c>
      <c r="CK182" s="580" t="str">
        <f>IF('Marks Entry'!AO182="","",'Marks Entry'!AO182)</f>
        <v/>
      </c>
      <c r="CL182" s="580" t="str">
        <f>IF('Marks Entry'!AP182="","",'Marks Entry'!AP182)</f>
        <v/>
      </c>
      <c r="CM182" s="581" t="str">
        <f t="shared" si="461"/>
        <v/>
      </c>
      <c r="CN182" s="581" t="str">
        <f t="shared" si="462"/>
        <v/>
      </c>
      <c r="CO182" s="580" t="str">
        <f>IF('Marks Entry'!AQ182="","",'Marks Entry'!AQ182)</f>
        <v/>
      </c>
      <c r="CP182" s="580" t="str">
        <f>IF('Marks Entry'!AR182="","",'Marks Entry'!AR182)</f>
        <v/>
      </c>
      <c r="CQ182" s="581" t="str">
        <f t="shared" si="463"/>
        <v/>
      </c>
      <c r="CR182" s="156" t="str">
        <f t="shared" si="464"/>
        <v/>
      </c>
      <c r="CS182" s="156" t="str">
        <f t="shared" si="465"/>
        <v/>
      </c>
      <c r="CT182" s="191" t="str">
        <f t="shared" si="466"/>
        <v/>
      </c>
      <c r="CU182" s="152">
        <f t="shared" si="467"/>
        <v>0</v>
      </c>
      <c r="CV182" s="153">
        <f t="shared" si="468"/>
        <v>0</v>
      </c>
      <c r="CW182" s="153" t="str">
        <f t="shared" si="469"/>
        <v/>
      </c>
      <c r="CX182" s="153" t="str">
        <f t="shared" si="470"/>
        <v/>
      </c>
      <c r="CY182" s="153" t="str">
        <f t="shared" si="471"/>
        <v/>
      </c>
      <c r="CZ182" s="152" t="str">
        <f t="shared" si="472"/>
        <v/>
      </c>
      <c r="DA182" s="153" t="str">
        <f t="shared" si="473"/>
        <v/>
      </c>
      <c r="DB182" s="152" t="str">
        <f t="shared" si="474"/>
        <v/>
      </c>
      <c r="DC182" s="153">
        <f t="shared" si="475"/>
        <v>0</v>
      </c>
      <c r="DD182" s="851" t="str">
        <f>IF('Marks Entry'!AS182="","",IF(OR('Master Sheet'!$D$19="YES",'Marks Entry'!$BA$1=1),'Marks Entry'!AS182,""))</f>
        <v/>
      </c>
      <c r="DE182" s="851" t="str">
        <f>IF('Marks Entry'!AT182="","",IF(OR('Master Sheet'!$D$19="YES",'Marks Entry'!$BA$1=1),'Marks Entry'!AT182,""))</f>
        <v/>
      </c>
      <c r="DF182" s="851" t="str">
        <f>IF('Marks Entry'!AU182="","",IF(OR('Master Sheet'!$D$19="YES",'Marks Entry'!$BA$1=1),'Marks Entry'!AU182,""))</f>
        <v/>
      </c>
      <c r="DG182" s="851" t="str">
        <f>IF('Marks Entry'!AV182="","",IF(OR('Master Sheet'!$D$19="YES",'Marks Entry'!$BA$1=1),'Marks Entry'!AV182,""))</f>
        <v/>
      </c>
      <c r="DH182" s="852" t="str">
        <f t="shared" si="476"/>
        <v/>
      </c>
      <c r="DI182" s="851" t="str">
        <f>IF('Marks Entry'!AW182="","",IF(OR('Master Sheet'!$D$19="YES",'Marks Entry'!$BA$1=1),'Marks Entry'!AW182,""))</f>
        <v/>
      </c>
      <c r="DJ182" s="851" t="str">
        <f>IF('Marks Entry'!AX182="","",IF(OR('Master Sheet'!$D$19="YES",'Marks Entry'!$BA$1=1),'Marks Entry'!AX182,""))</f>
        <v/>
      </c>
      <c r="DK182" s="852" t="str">
        <f t="shared" si="477"/>
        <v/>
      </c>
      <c r="DL182" s="852" t="str">
        <f t="shared" si="478"/>
        <v/>
      </c>
      <c r="DM182" s="851" t="str">
        <f>IF('Marks Entry'!AY182="","",IF(OR('Master Sheet'!$D$19="YES",'Marks Entry'!$BA$1=1),'Marks Entry'!AY182,""))</f>
        <v/>
      </c>
      <c r="DN182" s="851" t="str">
        <f>IF('Marks Entry'!AZ182="","",IF(OR('Master Sheet'!$D$19="YES",'Marks Entry'!$BA$1=1),'Marks Entry'!AZ182,""))</f>
        <v/>
      </c>
      <c r="DO182" s="851" t="str">
        <f>IF('Marks Entry'!BA182="","",IF(OR('Master Sheet'!$D$19="YES",'Marks Entry'!$BA$1=1),'Marks Entry'!BA182,""))</f>
        <v/>
      </c>
      <c r="DP182" s="852" t="str">
        <f t="shared" si="479"/>
        <v/>
      </c>
      <c r="DQ182" s="156" t="str">
        <f t="shared" si="480"/>
        <v/>
      </c>
      <c r="DR182" s="156" t="str">
        <f t="shared" si="481"/>
        <v/>
      </c>
      <c r="DS182" s="156" t="str">
        <f t="shared" si="482"/>
        <v/>
      </c>
      <c r="DT182" s="191" t="str">
        <f t="shared" si="483"/>
        <v/>
      </c>
      <c r="DU182" s="152">
        <f t="shared" si="484"/>
        <v>0</v>
      </c>
      <c r="DV182" s="153">
        <f t="shared" si="485"/>
        <v>0</v>
      </c>
      <c r="DW182" s="153" t="str">
        <f t="shared" si="486"/>
        <v/>
      </c>
      <c r="DX182" s="153" t="str">
        <f>IF(OR($B182="NSO",$B182=0,DS182=""),"",IF(AND(DJ182="",DO182=""),"",IF('Master Sheet'!$D$19="YES",$DO$6-COUNTIF(DO182,"ML")*DO$6,DS$6-(COUNTIF(DJ182,"ML")*DJ$6)-(COUNTIF(DO182,"ML")*DO$6))))</f>
        <v/>
      </c>
      <c r="DY182" s="153" t="str">
        <f>IF(OR($B182="NSO",$B182=0),"",IF(AND(DH182="",DI182="",DM182=""),"",IF(AND('Master Sheet'!$D$19="YES",'Marks Entry'!$BA$1=1),100,IF(AND(DJ182="",DO182=""),SUM(($DQ$7+$DR$7)-(DU182+DV182)),SUM(($DQ$6+$DR$6)-(DU182+DV182))))))</f>
        <v/>
      </c>
      <c r="DZ182" s="152" t="str">
        <f t="shared" si="487"/>
        <v/>
      </c>
      <c r="EA182" s="153" t="str">
        <f t="shared" si="488"/>
        <v/>
      </c>
      <c r="EB182" s="152" t="str">
        <f t="shared" si="489"/>
        <v/>
      </c>
      <c r="EC182" s="584" t="str">
        <f>IF('Marks Entry'!BB182="","",'Marks Entry'!BB182)</f>
        <v/>
      </c>
      <c r="ED182" s="584" t="str">
        <f>IF('Marks Entry'!BC182="","",'Marks Entry'!BC182)</f>
        <v/>
      </c>
      <c r="EE182" s="584" t="str">
        <f>IF('Marks Entry'!BD182="","",'Marks Entry'!BD182)</f>
        <v/>
      </c>
      <c r="EF182" s="590" t="str">
        <f t="shared" si="490"/>
        <v/>
      </c>
      <c r="EG182" s="595">
        <f t="shared" si="491"/>
        <v>0</v>
      </c>
      <c r="EH182" s="595">
        <f t="shared" si="492"/>
        <v>0</v>
      </c>
      <c r="EI182" s="192" t="str">
        <f t="shared" si="493"/>
        <v/>
      </c>
      <c r="EJ182" s="595" t="str">
        <f t="shared" si="494"/>
        <v/>
      </c>
      <c r="EK182" s="595" t="str">
        <f t="shared" si="495"/>
        <v/>
      </c>
      <c r="EL182" s="193" t="str">
        <f t="shared" si="496"/>
        <v/>
      </c>
      <c r="EM182" s="193" t="str">
        <f t="shared" si="497"/>
        <v/>
      </c>
      <c r="EN182" s="193" t="str">
        <f t="shared" si="498"/>
        <v/>
      </c>
      <c r="EO182" s="193" t="str">
        <f t="shared" si="499"/>
        <v/>
      </c>
      <c r="EP182" s="193" t="str">
        <f t="shared" si="500"/>
        <v/>
      </c>
      <c r="EQ182" s="193" t="str">
        <f t="shared" si="501"/>
        <v/>
      </c>
      <c r="ER182" s="194">
        <f t="shared" si="502"/>
        <v>0</v>
      </c>
      <c r="ES182" s="194">
        <f t="shared" si="503"/>
        <v>0</v>
      </c>
      <c r="ET182" s="194">
        <f t="shared" si="504"/>
        <v>0</v>
      </c>
      <c r="EU182" s="194">
        <f t="shared" si="505"/>
        <v>0</v>
      </c>
      <c r="EV182" s="194">
        <f t="shared" si="506"/>
        <v>0</v>
      </c>
      <c r="EW182" s="194" t="str">
        <f t="shared" si="507"/>
        <v/>
      </c>
      <c r="EX182" s="195" t="str">
        <f t="shared" si="508"/>
        <v/>
      </c>
      <c r="EY182" s="196" t="str">
        <f>IF('Marks Entry'!BE182="","",'Marks Entry'!BE182)</f>
        <v/>
      </c>
      <c r="EZ182" s="196" t="str">
        <f>IF('Marks Entry'!BF182="","",'Marks Entry'!BF182)</f>
        <v/>
      </c>
      <c r="FA182" s="196" t="str">
        <f>IF('Marks Entry'!BG182="","",'Marks Entry'!BG182)</f>
        <v/>
      </c>
      <c r="FB182" s="596" t="str">
        <f t="shared" si="509"/>
        <v/>
      </c>
      <c r="FC182" s="196" t="str">
        <f>IF('Marks Entry'!BH182="","",'Marks Entry'!BH182)</f>
        <v/>
      </c>
      <c r="FD182" s="196" t="str">
        <f>IF('Marks Entry'!BI182="","",'Marks Entry'!BI182)</f>
        <v/>
      </c>
      <c r="FE182" s="197" t="str">
        <f t="shared" si="510"/>
        <v/>
      </c>
      <c r="FF182" s="198" t="str">
        <f t="shared" si="511"/>
        <v/>
      </c>
      <c r="FG182" s="199" t="str">
        <f>IF(AND(E182=""),"",IF('Student DATA Entry'!L178="","",'Student DATA Entry'!L178))</f>
        <v/>
      </c>
      <c r="FH182" s="200" t="str">
        <f>IF(AND(E182=""),"",IF('Student DATA Entry'!M178="","",'Student DATA Entry'!M178))</f>
        <v/>
      </c>
      <c r="FI182" s="201" t="str">
        <f t="shared" si="512"/>
        <v/>
      </c>
      <c r="FJ182" s="188" t="str">
        <f t="shared" si="513"/>
        <v/>
      </c>
      <c r="FK182" s="188" t="str">
        <f t="shared" si="514"/>
        <v/>
      </c>
      <c r="FL182" s="202" t="str">
        <f t="shared" si="542"/>
        <v/>
      </c>
      <c r="FM182" s="188" t="str">
        <f t="shared" si="515"/>
        <v/>
      </c>
      <c r="FN182" s="203" t="str">
        <f t="shared" si="516"/>
        <v/>
      </c>
      <c r="FO182" s="202" t="str">
        <f t="shared" si="543"/>
        <v/>
      </c>
      <c r="FP182" s="204" t="str">
        <f t="shared" si="517"/>
        <v/>
      </c>
      <c r="FQ182" s="188" t="str">
        <f t="shared" si="544"/>
        <v/>
      </c>
      <c r="FR182" s="188" t="str">
        <f t="shared" si="545"/>
        <v/>
      </c>
      <c r="FS182" s="188" t="str">
        <f t="shared" si="546"/>
        <v/>
      </c>
      <c r="FT182" s="188" t="str">
        <f t="shared" si="547"/>
        <v/>
      </c>
      <c r="FU182" s="188" t="str">
        <f t="shared" si="518"/>
        <v/>
      </c>
      <c r="FV182" s="205" t="str">
        <f t="shared" si="548"/>
        <v/>
      </c>
      <c r="FW182" s="204" t="str">
        <f t="shared" si="519"/>
        <v/>
      </c>
      <c r="FX182" s="188" t="str">
        <f t="shared" si="549"/>
        <v/>
      </c>
      <c r="FY182" s="188" t="str">
        <f t="shared" si="550"/>
        <v/>
      </c>
      <c r="FZ182" s="188" t="str">
        <f t="shared" si="551"/>
        <v/>
      </c>
      <c r="GA182" s="188" t="str">
        <f t="shared" si="552"/>
        <v/>
      </c>
      <c r="GB182" s="188" t="str">
        <f t="shared" si="520"/>
        <v/>
      </c>
      <c r="GC182" s="205" t="str">
        <f t="shared" si="553"/>
        <v/>
      </c>
      <c r="GD182" s="204" t="str">
        <f t="shared" si="521"/>
        <v/>
      </c>
      <c r="GE182" s="188" t="str">
        <f t="shared" si="554"/>
        <v/>
      </c>
      <c r="GF182" s="188" t="str">
        <f t="shared" si="555"/>
        <v/>
      </c>
      <c r="GG182" s="188" t="str">
        <f t="shared" si="556"/>
        <v/>
      </c>
      <c r="GH182" s="188" t="str">
        <f t="shared" si="557"/>
        <v/>
      </c>
      <c r="GI182" s="188" t="str">
        <f t="shared" si="522"/>
        <v/>
      </c>
      <c r="GJ182" s="205" t="str">
        <f t="shared" si="558"/>
        <v/>
      </c>
      <c r="GK182" s="204" t="str">
        <f t="shared" si="523"/>
        <v/>
      </c>
      <c r="GL182" s="188" t="str">
        <f t="shared" si="559"/>
        <v/>
      </c>
      <c r="GM182" s="188" t="str">
        <f t="shared" si="560"/>
        <v/>
      </c>
      <c r="GN182" s="188" t="str">
        <f t="shared" si="561"/>
        <v/>
      </c>
      <c r="GO182" s="188" t="str">
        <f t="shared" si="562"/>
        <v/>
      </c>
      <c r="GP182" s="188" t="str">
        <f t="shared" si="524"/>
        <v/>
      </c>
      <c r="GQ182" s="205" t="str">
        <f t="shared" si="563"/>
        <v/>
      </c>
      <c r="GR182" s="188" t="str">
        <f t="shared" si="525"/>
        <v/>
      </c>
      <c r="GS182" s="188" t="str">
        <f t="shared" si="526"/>
        <v/>
      </c>
      <c r="GT182" s="206" t="str">
        <f t="shared" si="527"/>
        <v xml:space="preserve">    </v>
      </c>
      <c r="GU182" s="206" t="str">
        <f t="shared" si="528"/>
        <v xml:space="preserve">    </v>
      </c>
      <c r="GV182" s="206" t="str">
        <f t="shared" si="529"/>
        <v xml:space="preserve">    </v>
      </c>
      <c r="GW182" s="206" t="str">
        <f t="shared" si="530"/>
        <v xml:space="preserve">       </v>
      </c>
      <c r="GX182" s="598" t="str">
        <f t="shared" si="531"/>
        <v xml:space="preserve">     </v>
      </c>
      <c r="GY182" s="207" t="str">
        <f t="shared" si="564"/>
        <v/>
      </c>
      <c r="GZ182" s="606" t="str">
        <f>IF(AND(Q182="",AE182="",AZ182="",BW182="",CT182=""),"",IF(AND('Master Sheet'!$D$19="YES",'Marks Entry'!$BA$1=1),SUM(Q182,AE182,AZ182,BW182,DT182),SUM(Q182,AE182,AZ182,BW182,CT182)))</f>
        <v/>
      </c>
      <c r="HA182" s="208" t="str">
        <f>IF(GZ182="","",IF(AND('Master Sheet'!$D$19="YES",'Marks Entry'!$BA$1=1),GZ182/((900)-DC182)*100,GZ182/((1000)-DC182)*100))</f>
        <v/>
      </c>
      <c r="HB182" s="611" t="str">
        <f t="shared" si="532"/>
        <v/>
      </c>
      <c r="HC182" s="609" t="str">
        <f t="shared" si="533"/>
        <v/>
      </c>
      <c r="HD182" s="610" t="str">
        <f t="shared" si="534"/>
        <v/>
      </c>
      <c r="HE182" s="209" t="str">
        <f>IFERROR(IF(OR(GY182="SUPPLEMENTARY",GY182="RE-EXAM"),'Supp. Result Entry'!AS181,""),"")</f>
        <v/>
      </c>
      <c r="HF182" s="613" t="str">
        <f t="shared" si="535"/>
        <v/>
      </c>
      <c r="HG182" s="598" t="str">
        <f t="shared" si="536"/>
        <v/>
      </c>
      <c r="HH182" s="598" t="str">
        <f>IF(AND(HE182="",HF182="",HG182=""),"",IF(OR(GY182="SUPPLEMENTARY",GY182="RE-EXAM"),'Supp. Result Entry'!AS181,GY182))</f>
        <v/>
      </c>
      <c r="HI182" s="179"/>
      <c r="HY182" s="211" t="str">
        <f>IF('Supp. Result Entry'!U181="","",'Supp. Result Entry'!$U$6)</f>
        <v/>
      </c>
      <c r="HZ182" s="212" t="str">
        <f>IF('Supp. Result Entry'!X181="","",'Supp. Result Entry'!$X$6)</f>
        <v/>
      </c>
      <c r="IA182" s="212" t="str">
        <f>IF('Supp. Result Entry'!AA181="","",'Supp. Result Entry'!$AA$6)</f>
        <v/>
      </c>
      <c r="IB182" s="212" t="str">
        <f>IF('Supp. Result Entry'!AD181="","",'Supp. Result Entry'!$AD$6)</f>
        <v/>
      </c>
      <c r="IC182" s="212" t="str">
        <f>IF('Supp. Result Entry'!AG181="","",'Supp. Result Entry'!$AG$6)</f>
        <v/>
      </c>
      <c r="ID182" s="212" t="str">
        <f>IF('Supp. Result Entry'!AJ181="","",'Supp. Result Entry'!$AJ$6)</f>
        <v/>
      </c>
      <c r="IE182" s="212" t="str">
        <f>IF('Supp. Result Entry'!V181="","",'Supp. Result Entry'!V181)</f>
        <v/>
      </c>
      <c r="IF182" s="212" t="str">
        <f>IF('Supp. Result Entry'!Y181="","",'Supp. Result Entry'!Y181)</f>
        <v/>
      </c>
      <c r="IG182" s="212" t="str">
        <f>IF('Supp. Result Entry'!AB181="","",'Supp. Result Entry'!AB181)</f>
        <v/>
      </c>
      <c r="IH182" s="212" t="str">
        <f>IF('Supp. Result Entry'!AE181="","",'Supp. Result Entry'!AE181)</f>
        <v/>
      </c>
      <c r="II182" s="212" t="str">
        <f>IF('Supp. Result Entry'!AH181="","",'Supp. Result Entry'!AH181)</f>
        <v/>
      </c>
      <c r="IJ182" s="212" t="str">
        <f>IF('Supp. Result Entry'!AK181="","",'Supp. Result Entry'!AK181)</f>
        <v/>
      </c>
      <c r="IK182" s="212" t="str">
        <f>IF('Supp. Result Entry'!W181="","",'Supp. Result Entry'!W181)</f>
        <v/>
      </c>
      <c r="IL182" s="212" t="str">
        <f>IF('Supp. Result Entry'!Z181="","",'Supp. Result Entry'!Z181)</f>
        <v/>
      </c>
      <c r="IM182" s="212" t="str">
        <f>IF('Supp. Result Entry'!AC181="","",'Supp. Result Entry'!AC181)</f>
        <v/>
      </c>
      <c r="IN182" s="212" t="str">
        <f>IF('Supp. Result Entry'!AF181="","",'Supp. Result Entry'!AF181)</f>
        <v/>
      </c>
      <c r="IO182" s="212" t="str">
        <f>IF('Supp. Result Entry'!AI181="","",'Supp. Result Entry'!AI181)</f>
        <v/>
      </c>
      <c r="IP182" s="212" t="str">
        <f>IF('Supp. Result Entry'!AL181="","",'Supp. Result Entry'!AL181)</f>
        <v/>
      </c>
      <c r="IQ182" s="212">
        <f>COUNTIF('Supp. Result Entry'!K181:Q181,"S")</f>
        <v>0</v>
      </c>
      <c r="IR182" s="212">
        <f t="shared" si="537"/>
        <v>0</v>
      </c>
      <c r="IS182" s="212">
        <f t="shared" si="538"/>
        <v>0</v>
      </c>
      <c r="IT182" s="212" t="str">
        <f t="shared" si="406"/>
        <v/>
      </c>
      <c r="IU182" s="212" t="str">
        <f t="shared" si="407"/>
        <v/>
      </c>
      <c r="IV182" s="212" t="str">
        <f t="shared" si="408"/>
        <v/>
      </c>
      <c r="IW182" s="212" t="str">
        <f t="shared" si="409"/>
        <v/>
      </c>
      <c r="IX182" s="212" t="str">
        <f t="shared" si="410"/>
        <v/>
      </c>
      <c r="IY182" s="212" t="str">
        <f t="shared" si="539"/>
        <v/>
      </c>
      <c r="IZ182" s="212" t="str">
        <f t="shared" si="540"/>
        <v/>
      </c>
      <c r="JA182" s="212" t="str">
        <f t="shared" si="411"/>
        <v/>
      </c>
      <c r="JB182" s="210" t="str">
        <f t="shared" si="541"/>
        <v/>
      </c>
    </row>
    <row r="183" spans="1:262" s="210" customFormat="1" ht="21" customHeight="1">
      <c r="A183" s="183">
        <v>176</v>
      </c>
      <c r="B183" s="184" t="str">
        <f>IF('Marks Entry'!B183="","",'Marks Entry'!B183)</f>
        <v/>
      </c>
      <c r="C183" s="185" t="str">
        <f>IF('Marks Entry'!D183="","",'Marks Entry'!D183)</f>
        <v/>
      </c>
      <c r="D183" s="186" t="str">
        <f>IF('Marks Entry'!E183="","",'Marks Entry'!E183)</f>
        <v/>
      </c>
      <c r="E183" s="187" t="str">
        <f>IF('Marks Entry'!F183="","",'Marks Entry'!F183)</f>
        <v/>
      </c>
      <c r="F183" s="187" t="str">
        <f>IF('Marks Entry'!G183="","",'Marks Entry'!G183)</f>
        <v/>
      </c>
      <c r="G183" s="187" t="str">
        <f>IF('Marks Entry'!H183="","",'Marks Entry'!H183)</f>
        <v/>
      </c>
      <c r="H183" s="188" t="str">
        <f>IF('Marks Entry'!I183="","",'Marks Entry'!I183)</f>
        <v/>
      </c>
      <c r="I183" s="189" t="str">
        <f>IF('Marks Entry'!J183="","",'Marks Entry'!J183)</f>
        <v/>
      </c>
      <c r="J183" s="545" t="str">
        <f>IF('Marks Entry'!K183="","",'Marks Entry'!K183)</f>
        <v/>
      </c>
      <c r="K183" s="545" t="str">
        <f>IF('Marks Entry'!L183="","",'Marks Entry'!L183)</f>
        <v/>
      </c>
      <c r="L183" s="545" t="str">
        <f>IF('Marks Entry'!M183="","",'Marks Entry'!M183)</f>
        <v/>
      </c>
      <c r="M183" s="546" t="str">
        <f t="shared" si="412"/>
        <v/>
      </c>
      <c r="N183" s="545" t="str">
        <f>IF('Marks Entry'!N183="","",'Marks Entry'!N183)</f>
        <v/>
      </c>
      <c r="O183" s="546" t="str">
        <f t="shared" si="413"/>
        <v/>
      </c>
      <c r="P183" s="545" t="str">
        <f>IF('Marks Entry'!O183="","",'Marks Entry'!O183)</f>
        <v/>
      </c>
      <c r="Q183" s="547" t="str">
        <f t="shared" si="414"/>
        <v/>
      </c>
      <c r="R183" s="152">
        <f t="shared" si="415"/>
        <v>0</v>
      </c>
      <c r="S183" s="152">
        <f t="shared" si="416"/>
        <v>0</v>
      </c>
      <c r="T183" s="153" t="str">
        <f t="shared" si="417"/>
        <v/>
      </c>
      <c r="U183" s="152" t="str">
        <f t="shared" si="418"/>
        <v/>
      </c>
      <c r="V183" s="152" t="str">
        <f t="shared" si="419"/>
        <v/>
      </c>
      <c r="W183" s="152" t="str">
        <f t="shared" si="420"/>
        <v/>
      </c>
      <c r="X183" s="545" t="str">
        <f>IF('Marks Entry'!P183="","",'Marks Entry'!P183)</f>
        <v/>
      </c>
      <c r="Y183" s="545" t="str">
        <f>IF('Marks Entry'!Q183="","",'Marks Entry'!Q183)</f>
        <v/>
      </c>
      <c r="Z183" s="545" t="str">
        <f>IF('Marks Entry'!R183="","",'Marks Entry'!R183)</f>
        <v/>
      </c>
      <c r="AA183" s="546" t="str">
        <f t="shared" si="421"/>
        <v/>
      </c>
      <c r="AB183" s="545" t="str">
        <f>IF('Marks Entry'!S183="","",'Marks Entry'!S183)</f>
        <v/>
      </c>
      <c r="AC183" s="546" t="str">
        <f t="shared" si="422"/>
        <v/>
      </c>
      <c r="AD183" s="545" t="str">
        <f>IF('Marks Entry'!T183="","",'Marks Entry'!T183)</f>
        <v/>
      </c>
      <c r="AE183" s="547" t="str">
        <f t="shared" si="423"/>
        <v/>
      </c>
      <c r="AF183" s="152">
        <f t="shared" si="424"/>
        <v>0</v>
      </c>
      <c r="AG183" s="152">
        <f t="shared" si="425"/>
        <v>0</v>
      </c>
      <c r="AH183" s="153" t="str">
        <f t="shared" si="426"/>
        <v/>
      </c>
      <c r="AI183" s="152" t="str">
        <f t="shared" si="427"/>
        <v/>
      </c>
      <c r="AJ183" s="152" t="str">
        <f t="shared" si="428"/>
        <v/>
      </c>
      <c r="AK183" s="152" t="str">
        <f t="shared" si="429"/>
        <v/>
      </c>
      <c r="AL183" s="573" t="str">
        <f>IF('Marks Entry'!U183="","",'Marks Entry'!U183)</f>
        <v/>
      </c>
      <c r="AM183" s="573" t="str">
        <f>IF('Marks Entry'!V183="","",'Marks Entry'!V183)</f>
        <v/>
      </c>
      <c r="AN183" s="573" t="str">
        <f>IF('Marks Entry'!W183="","",'Marks Entry'!W183)</f>
        <v/>
      </c>
      <c r="AO183" s="573" t="str">
        <f>IF('Marks Entry'!X183="","",'Marks Entry'!X183)</f>
        <v/>
      </c>
      <c r="AP183" s="572" t="str">
        <f t="shared" si="430"/>
        <v/>
      </c>
      <c r="AQ183" s="573" t="str">
        <f>IF('Marks Entry'!Y183="","",'Marks Entry'!Y183)</f>
        <v/>
      </c>
      <c r="AR183" s="573" t="str">
        <f>IF('Marks Entry'!Z183="","",'Marks Entry'!Z183)</f>
        <v/>
      </c>
      <c r="AS183" s="572" t="str">
        <f t="shared" si="431"/>
        <v/>
      </c>
      <c r="AT183" s="572" t="str">
        <f t="shared" si="432"/>
        <v/>
      </c>
      <c r="AU183" s="573" t="str">
        <f>IF('Marks Entry'!AA183="","",'Marks Entry'!AA183)</f>
        <v/>
      </c>
      <c r="AV183" s="573" t="str">
        <f>IF('Marks Entry'!AB183="","",'Marks Entry'!AB183)</f>
        <v/>
      </c>
      <c r="AW183" s="572" t="str">
        <f t="shared" si="433"/>
        <v/>
      </c>
      <c r="AX183" s="156" t="str">
        <f t="shared" si="434"/>
        <v/>
      </c>
      <c r="AY183" s="156" t="str">
        <f t="shared" si="435"/>
        <v/>
      </c>
      <c r="AZ183" s="191" t="str">
        <f t="shared" si="436"/>
        <v/>
      </c>
      <c r="BA183" s="152">
        <f t="shared" si="437"/>
        <v>0</v>
      </c>
      <c r="BB183" s="153">
        <f t="shared" si="438"/>
        <v>0</v>
      </c>
      <c r="BC183" s="153" t="str">
        <f t="shared" si="439"/>
        <v/>
      </c>
      <c r="BD183" s="153" t="str">
        <f t="shared" si="440"/>
        <v/>
      </c>
      <c r="BE183" s="153" t="str">
        <f t="shared" si="441"/>
        <v/>
      </c>
      <c r="BF183" s="152" t="str">
        <f t="shared" si="442"/>
        <v/>
      </c>
      <c r="BG183" s="153" t="str">
        <f t="shared" si="443"/>
        <v/>
      </c>
      <c r="BH183" s="152" t="str">
        <f t="shared" si="444"/>
        <v/>
      </c>
      <c r="BI183" s="580" t="str">
        <f>IF('Marks Entry'!AC183="","",'Marks Entry'!AC183)</f>
        <v/>
      </c>
      <c r="BJ183" s="580" t="str">
        <f>IF('Marks Entry'!AD183="","",'Marks Entry'!AD183)</f>
        <v/>
      </c>
      <c r="BK183" s="580" t="str">
        <f>IF('Marks Entry'!AE183="","",'Marks Entry'!AE183)</f>
        <v/>
      </c>
      <c r="BL183" s="580" t="str">
        <f>IF('Marks Entry'!AF183="","",'Marks Entry'!AF183)</f>
        <v/>
      </c>
      <c r="BM183" s="581" t="str">
        <f t="shared" si="445"/>
        <v/>
      </c>
      <c r="BN183" s="580" t="str">
        <f>IF('Marks Entry'!AG183="","",'Marks Entry'!AG183)</f>
        <v/>
      </c>
      <c r="BO183" s="580" t="str">
        <f>IF('Marks Entry'!AH183="","",'Marks Entry'!AH183)</f>
        <v/>
      </c>
      <c r="BP183" s="581" t="str">
        <f t="shared" si="446"/>
        <v/>
      </c>
      <c r="BQ183" s="581" t="str">
        <f t="shared" si="447"/>
        <v/>
      </c>
      <c r="BR183" s="580" t="str">
        <f>IF('Marks Entry'!AI183="","",'Marks Entry'!AI183)</f>
        <v/>
      </c>
      <c r="BS183" s="580" t="str">
        <f>IF('Marks Entry'!AJ183="","",'Marks Entry'!AJ183)</f>
        <v/>
      </c>
      <c r="BT183" s="581" t="str">
        <f t="shared" si="448"/>
        <v/>
      </c>
      <c r="BU183" s="156" t="str">
        <f t="shared" si="449"/>
        <v/>
      </c>
      <c r="BV183" s="156" t="str">
        <f t="shared" si="450"/>
        <v/>
      </c>
      <c r="BW183" s="191" t="str">
        <f t="shared" si="451"/>
        <v/>
      </c>
      <c r="BX183" s="152">
        <f t="shared" si="452"/>
        <v>0</v>
      </c>
      <c r="BY183" s="153">
        <f t="shared" si="453"/>
        <v>0</v>
      </c>
      <c r="BZ183" s="153" t="str">
        <f t="shared" si="454"/>
        <v/>
      </c>
      <c r="CA183" s="153" t="str">
        <f t="shared" si="455"/>
        <v/>
      </c>
      <c r="CB183" s="153" t="str">
        <f t="shared" si="456"/>
        <v/>
      </c>
      <c r="CC183" s="152" t="str">
        <f t="shared" si="457"/>
        <v/>
      </c>
      <c r="CD183" s="153" t="str">
        <f t="shared" si="458"/>
        <v/>
      </c>
      <c r="CE183" s="152" t="str">
        <f t="shared" si="459"/>
        <v/>
      </c>
      <c r="CF183" s="580" t="str">
        <f>IF('Marks Entry'!AK183="","",'Marks Entry'!AK183)</f>
        <v/>
      </c>
      <c r="CG183" s="580" t="str">
        <f>IF('Marks Entry'!AL183="","",'Marks Entry'!AL183)</f>
        <v/>
      </c>
      <c r="CH183" s="580" t="str">
        <f>IF('Marks Entry'!AM183="","",'Marks Entry'!AM183)</f>
        <v/>
      </c>
      <c r="CI183" s="580" t="str">
        <f>IF('Marks Entry'!AN183="","",'Marks Entry'!AN183)</f>
        <v/>
      </c>
      <c r="CJ183" s="581" t="str">
        <f t="shared" si="460"/>
        <v/>
      </c>
      <c r="CK183" s="580" t="str">
        <f>IF('Marks Entry'!AO183="","",'Marks Entry'!AO183)</f>
        <v/>
      </c>
      <c r="CL183" s="580" t="str">
        <f>IF('Marks Entry'!AP183="","",'Marks Entry'!AP183)</f>
        <v/>
      </c>
      <c r="CM183" s="581" t="str">
        <f t="shared" si="461"/>
        <v/>
      </c>
      <c r="CN183" s="581" t="str">
        <f t="shared" si="462"/>
        <v/>
      </c>
      <c r="CO183" s="580" t="str">
        <f>IF('Marks Entry'!AQ183="","",'Marks Entry'!AQ183)</f>
        <v/>
      </c>
      <c r="CP183" s="580" t="str">
        <f>IF('Marks Entry'!AR183="","",'Marks Entry'!AR183)</f>
        <v/>
      </c>
      <c r="CQ183" s="581" t="str">
        <f t="shared" si="463"/>
        <v/>
      </c>
      <c r="CR183" s="156" t="str">
        <f t="shared" si="464"/>
        <v/>
      </c>
      <c r="CS183" s="156" t="str">
        <f t="shared" si="465"/>
        <v/>
      </c>
      <c r="CT183" s="191" t="str">
        <f t="shared" si="466"/>
        <v/>
      </c>
      <c r="CU183" s="152">
        <f t="shared" si="467"/>
        <v>0</v>
      </c>
      <c r="CV183" s="153">
        <f t="shared" si="468"/>
        <v>0</v>
      </c>
      <c r="CW183" s="153" t="str">
        <f t="shared" si="469"/>
        <v/>
      </c>
      <c r="CX183" s="153" t="str">
        <f t="shared" si="470"/>
        <v/>
      </c>
      <c r="CY183" s="153" t="str">
        <f t="shared" si="471"/>
        <v/>
      </c>
      <c r="CZ183" s="152" t="str">
        <f t="shared" si="472"/>
        <v/>
      </c>
      <c r="DA183" s="153" t="str">
        <f t="shared" si="473"/>
        <v/>
      </c>
      <c r="DB183" s="152" t="str">
        <f t="shared" si="474"/>
        <v/>
      </c>
      <c r="DC183" s="153">
        <f t="shared" si="475"/>
        <v>0</v>
      </c>
      <c r="DD183" s="851" t="str">
        <f>IF('Marks Entry'!AS183="","",IF(OR('Master Sheet'!$D$19="YES",'Marks Entry'!$BA$1=1),'Marks Entry'!AS183,""))</f>
        <v/>
      </c>
      <c r="DE183" s="851" t="str">
        <f>IF('Marks Entry'!AT183="","",IF(OR('Master Sheet'!$D$19="YES",'Marks Entry'!$BA$1=1),'Marks Entry'!AT183,""))</f>
        <v/>
      </c>
      <c r="DF183" s="851" t="str">
        <f>IF('Marks Entry'!AU183="","",IF(OR('Master Sheet'!$D$19="YES",'Marks Entry'!$BA$1=1),'Marks Entry'!AU183,""))</f>
        <v/>
      </c>
      <c r="DG183" s="851" t="str">
        <f>IF('Marks Entry'!AV183="","",IF(OR('Master Sheet'!$D$19="YES",'Marks Entry'!$BA$1=1),'Marks Entry'!AV183,""))</f>
        <v/>
      </c>
      <c r="DH183" s="852" t="str">
        <f t="shared" si="476"/>
        <v/>
      </c>
      <c r="DI183" s="851" t="str">
        <f>IF('Marks Entry'!AW183="","",IF(OR('Master Sheet'!$D$19="YES",'Marks Entry'!$BA$1=1),'Marks Entry'!AW183,""))</f>
        <v/>
      </c>
      <c r="DJ183" s="851" t="str">
        <f>IF('Marks Entry'!AX183="","",IF(OR('Master Sheet'!$D$19="YES",'Marks Entry'!$BA$1=1),'Marks Entry'!AX183,""))</f>
        <v/>
      </c>
      <c r="DK183" s="852" t="str">
        <f t="shared" si="477"/>
        <v/>
      </c>
      <c r="DL183" s="852" t="str">
        <f t="shared" si="478"/>
        <v/>
      </c>
      <c r="DM183" s="851" t="str">
        <f>IF('Marks Entry'!AY183="","",IF(OR('Master Sheet'!$D$19="YES",'Marks Entry'!$BA$1=1),'Marks Entry'!AY183,""))</f>
        <v/>
      </c>
      <c r="DN183" s="851" t="str">
        <f>IF('Marks Entry'!AZ183="","",IF(OR('Master Sheet'!$D$19="YES",'Marks Entry'!$BA$1=1),'Marks Entry'!AZ183,""))</f>
        <v/>
      </c>
      <c r="DO183" s="851" t="str">
        <f>IF('Marks Entry'!BA183="","",IF(OR('Master Sheet'!$D$19="YES",'Marks Entry'!$BA$1=1),'Marks Entry'!BA183,""))</f>
        <v/>
      </c>
      <c r="DP183" s="852" t="str">
        <f t="shared" si="479"/>
        <v/>
      </c>
      <c r="DQ183" s="156" t="str">
        <f t="shared" si="480"/>
        <v/>
      </c>
      <c r="DR183" s="156" t="str">
        <f t="shared" si="481"/>
        <v/>
      </c>
      <c r="DS183" s="156" t="str">
        <f t="shared" si="482"/>
        <v/>
      </c>
      <c r="DT183" s="191" t="str">
        <f t="shared" si="483"/>
        <v/>
      </c>
      <c r="DU183" s="152">
        <f t="shared" si="484"/>
        <v>0</v>
      </c>
      <c r="DV183" s="153">
        <f t="shared" si="485"/>
        <v>0</v>
      </c>
      <c r="DW183" s="153" t="str">
        <f t="shared" si="486"/>
        <v/>
      </c>
      <c r="DX183" s="153" t="str">
        <f>IF(OR($B183="NSO",$B183=0,DS183=""),"",IF(AND(DJ183="",DO183=""),"",IF('Master Sheet'!$D$19="YES",$DO$6-COUNTIF(DO183,"ML")*DO$6,DS$6-(COUNTIF(DJ183,"ML")*DJ$6)-(COUNTIF(DO183,"ML")*DO$6))))</f>
        <v/>
      </c>
      <c r="DY183" s="153" t="str">
        <f>IF(OR($B183="NSO",$B183=0),"",IF(AND(DH183="",DI183="",DM183=""),"",IF(AND('Master Sheet'!$D$19="YES",'Marks Entry'!$BA$1=1),100,IF(AND(DJ183="",DO183=""),SUM(($DQ$7+$DR$7)-(DU183+DV183)),SUM(($DQ$6+$DR$6)-(DU183+DV183))))))</f>
        <v/>
      </c>
      <c r="DZ183" s="152" t="str">
        <f t="shared" si="487"/>
        <v/>
      </c>
      <c r="EA183" s="153" t="str">
        <f t="shared" si="488"/>
        <v/>
      </c>
      <c r="EB183" s="152" t="str">
        <f t="shared" si="489"/>
        <v/>
      </c>
      <c r="EC183" s="584" t="str">
        <f>IF('Marks Entry'!BB183="","",'Marks Entry'!BB183)</f>
        <v/>
      </c>
      <c r="ED183" s="584" t="str">
        <f>IF('Marks Entry'!BC183="","",'Marks Entry'!BC183)</f>
        <v/>
      </c>
      <c r="EE183" s="584" t="str">
        <f>IF('Marks Entry'!BD183="","",'Marks Entry'!BD183)</f>
        <v/>
      </c>
      <c r="EF183" s="590" t="str">
        <f t="shared" si="490"/>
        <v/>
      </c>
      <c r="EG183" s="595">
        <f t="shared" si="491"/>
        <v>0</v>
      </c>
      <c r="EH183" s="595">
        <f t="shared" si="492"/>
        <v>0</v>
      </c>
      <c r="EI183" s="192" t="str">
        <f t="shared" si="493"/>
        <v/>
      </c>
      <c r="EJ183" s="595" t="str">
        <f t="shared" si="494"/>
        <v/>
      </c>
      <c r="EK183" s="595" t="str">
        <f t="shared" si="495"/>
        <v/>
      </c>
      <c r="EL183" s="193" t="str">
        <f t="shared" si="496"/>
        <v/>
      </c>
      <c r="EM183" s="193" t="str">
        <f t="shared" si="497"/>
        <v/>
      </c>
      <c r="EN183" s="193" t="str">
        <f t="shared" si="498"/>
        <v/>
      </c>
      <c r="EO183" s="193" t="str">
        <f t="shared" si="499"/>
        <v/>
      </c>
      <c r="EP183" s="193" t="str">
        <f t="shared" si="500"/>
        <v/>
      </c>
      <c r="EQ183" s="193" t="str">
        <f t="shared" si="501"/>
        <v/>
      </c>
      <c r="ER183" s="194">
        <f t="shared" si="502"/>
        <v>0</v>
      </c>
      <c r="ES183" s="194">
        <f t="shared" si="503"/>
        <v>0</v>
      </c>
      <c r="ET183" s="194">
        <f t="shared" si="504"/>
        <v>0</v>
      </c>
      <c r="EU183" s="194">
        <f t="shared" si="505"/>
        <v>0</v>
      </c>
      <c r="EV183" s="194">
        <f t="shared" si="506"/>
        <v>0</v>
      </c>
      <c r="EW183" s="194" t="str">
        <f t="shared" si="507"/>
        <v/>
      </c>
      <c r="EX183" s="195" t="str">
        <f t="shared" si="508"/>
        <v/>
      </c>
      <c r="EY183" s="196" t="str">
        <f>IF('Marks Entry'!BE183="","",'Marks Entry'!BE183)</f>
        <v/>
      </c>
      <c r="EZ183" s="196" t="str">
        <f>IF('Marks Entry'!BF183="","",'Marks Entry'!BF183)</f>
        <v/>
      </c>
      <c r="FA183" s="196" t="str">
        <f>IF('Marks Entry'!BG183="","",'Marks Entry'!BG183)</f>
        <v/>
      </c>
      <c r="FB183" s="596" t="str">
        <f t="shared" si="509"/>
        <v/>
      </c>
      <c r="FC183" s="196" t="str">
        <f>IF('Marks Entry'!BH183="","",'Marks Entry'!BH183)</f>
        <v/>
      </c>
      <c r="FD183" s="196" t="str">
        <f>IF('Marks Entry'!BI183="","",'Marks Entry'!BI183)</f>
        <v/>
      </c>
      <c r="FE183" s="197" t="str">
        <f t="shared" si="510"/>
        <v/>
      </c>
      <c r="FF183" s="198" t="str">
        <f t="shared" si="511"/>
        <v/>
      </c>
      <c r="FG183" s="199" t="str">
        <f>IF(AND(E183=""),"",IF('Student DATA Entry'!L179="","",'Student DATA Entry'!L179))</f>
        <v/>
      </c>
      <c r="FH183" s="200" t="str">
        <f>IF(AND(E183=""),"",IF('Student DATA Entry'!M179="","",'Student DATA Entry'!M179))</f>
        <v/>
      </c>
      <c r="FI183" s="201" t="str">
        <f t="shared" si="512"/>
        <v/>
      </c>
      <c r="FJ183" s="188" t="str">
        <f t="shared" si="513"/>
        <v/>
      </c>
      <c r="FK183" s="188" t="str">
        <f t="shared" si="514"/>
        <v/>
      </c>
      <c r="FL183" s="202" t="str">
        <f t="shared" si="542"/>
        <v/>
      </c>
      <c r="FM183" s="188" t="str">
        <f t="shared" si="515"/>
        <v/>
      </c>
      <c r="FN183" s="203" t="str">
        <f t="shared" si="516"/>
        <v/>
      </c>
      <c r="FO183" s="202" t="str">
        <f t="shared" si="543"/>
        <v/>
      </c>
      <c r="FP183" s="204" t="str">
        <f t="shared" si="517"/>
        <v/>
      </c>
      <c r="FQ183" s="188" t="str">
        <f t="shared" si="544"/>
        <v/>
      </c>
      <c r="FR183" s="188" t="str">
        <f t="shared" si="545"/>
        <v/>
      </c>
      <c r="FS183" s="188" t="str">
        <f t="shared" si="546"/>
        <v/>
      </c>
      <c r="FT183" s="188" t="str">
        <f t="shared" si="547"/>
        <v/>
      </c>
      <c r="FU183" s="188" t="str">
        <f t="shared" si="518"/>
        <v/>
      </c>
      <c r="FV183" s="205" t="str">
        <f t="shared" si="548"/>
        <v/>
      </c>
      <c r="FW183" s="204" t="str">
        <f t="shared" si="519"/>
        <v/>
      </c>
      <c r="FX183" s="188" t="str">
        <f t="shared" si="549"/>
        <v/>
      </c>
      <c r="FY183" s="188" t="str">
        <f t="shared" si="550"/>
        <v/>
      </c>
      <c r="FZ183" s="188" t="str">
        <f t="shared" si="551"/>
        <v/>
      </c>
      <c r="GA183" s="188" t="str">
        <f t="shared" si="552"/>
        <v/>
      </c>
      <c r="GB183" s="188" t="str">
        <f t="shared" si="520"/>
        <v/>
      </c>
      <c r="GC183" s="205" t="str">
        <f t="shared" si="553"/>
        <v/>
      </c>
      <c r="GD183" s="204" t="str">
        <f t="shared" si="521"/>
        <v/>
      </c>
      <c r="GE183" s="188" t="str">
        <f t="shared" si="554"/>
        <v/>
      </c>
      <c r="GF183" s="188" t="str">
        <f t="shared" si="555"/>
        <v/>
      </c>
      <c r="GG183" s="188" t="str">
        <f t="shared" si="556"/>
        <v/>
      </c>
      <c r="GH183" s="188" t="str">
        <f t="shared" si="557"/>
        <v/>
      </c>
      <c r="GI183" s="188" t="str">
        <f t="shared" si="522"/>
        <v/>
      </c>
      <c r="GJ183" s="205" t="str">
        <f t="shared" si="558"/>
        <v/>
      </c>
      <c r="GK183" s="204" t="str">
        <f t="shared" si="523"/>
        <v/>
      </c>
      <c r="GL183" s="188" t="str">
        <f t="shared" si="559"/>
        <v/>
      </c>
      <c r="GM183" s="188" t="str">
        <f t="shared" si="560"/>
        <v/>
      </c>
      <c r="GN183" s="188" t="str">
        <f t="shared" si="561"/>
        <v/>
      </c>
      <c r="GO183" s="188" t="str">
        <f t="shared" si="562"/>
        <v/>
      </c>
      <c r="GP183" s="188" t="str">
        <f t="shared" si="524"/>
        <v/>
      </c>
      <c r="GQ183" s="205" t="str">
        <f t="shared" si="563"/>
        <v/>
      </c>
      <c r="GR183" s="188" t="str">
        <f t="shared" si="525"/>
        <v/>
      </c>
      <c r="GS183" s="188" t="str">
        <f t="shared" si="526"/>
        <v/>
      </c>
      <c r="GT183" s="206" t="str">
        <f t="shared" si="527"/>
        <v xml:space="preserve">    </v>
      </c>
      <c r="GU183" s="206" t="str">
        <f t="shared" si="528"/>
        <v xml:space="preserve">    </v>
      </c>
      <c r="GV183" s="206" t="str">
        <f t="shared" si="529"/>
        <v xml:space="preserve">    </v>
      </c>
      <c r="GW183" s="206" t="str">
        <f t="shared" si="530"/>
        <v xml:space="preserve">       </v>
      </c>
      <c r="GX183" s="598" t="str">
        <f t="shared" si="531"/>
        <v xml:space="preserve">     </v>
      </c>
      <c r="GY183" s="207" t="str">
        <f t="shared" si="564"/>
        <v/>
      </c>
      <c r="GZ183" s="606" t="str">
        <f>IF(AND(Q183="",AE183="",AZ183="",BW183="",CT183=""),"",IF(AND('Master Sheet'!$D$19="YES",'Marks Entry'!$BA$1=1),SUM(Q183,AE183,AZ183,BW183,DT183),SUM(Q183,AE183,AZ183,BW183,CT183)))</f>
        <v/>
      </c>
      <c r="HA183" s="208" t="str">
        <f>IF(GZ183="","",IF(AND('Master Sheet'!$D$19="YES",'Marks Entry'!$BA$1=1),GZ183/((900)-DC183)*100,GZ183/((1000)-DC183)*100))</f>
        <v/>
      </c>
      <c r="HB183" s="611" t="str">
        <f t="shared" si="532"/>
        <v/>
      </c>
      <c r="HC183" s="609" t="str">
        <f t="shared" si="533"/>
        <v/>
      </c>
      <c r="HD183" s="610" t="str">
        <f t="shared" si="534"/>
        <v/>
      </c>
      <c r="HE183" s="209" t="str">
        <f>IFERROR(IF(OR(GY183="SUPPLEMENTARY",GY183="RE-EXAM"),'Supp. Result Entry'!AS182,""),"")</f>
        <v/>
      </c>
      <c r="HF183" s="613" t="str">
        <f t="shared" si="535"/>
        <v/>
      </c>
      <c r="HG183" s="598" t="str">
        <f t="shared" si="536"/>
        <v/>
      </c>
      <c r="HH183" s="598" t="str">
        <f>IF(AND(HE183="",HF183="",HG183=""),"",IF(OR(GY183="SUPPLEMENTARY",GY183="RE-EXAM"),'Supp. Result Entry'!AS182,GY183))</f>
        <v/>
      </c>
      <c r="HI183" s="179"/>
      <c r="HY183" s="211" t="str">
        <f>IF('Supp. Result Entry'!U182="","",'Supp. Result Entry'!$U$6)</f>
        <v/>
      </c>
      <c r="HZ183" s="212" t="str">
        <f>IF('Supp. Result Entry'!X182="","",'Supp. Result Entry'!$X$6)</f>
        <v/>
      </c>
      <c r="IA183" s="212" t="str">
        <f>IF('Supp. Result Entry'!AA182="","",'Supp. Result Entry'!$AA$6)</f>
        <v/>
      </c>
      <c r="IB183" s="212" t="str">
        <f>IF('Supp. Result Entry'!AD182="","",'Supp. Result Entry'!$AD$6)</f>
        <v/>
      </c>
      <c r="IC183" s="212" t="str">
        <f>IF('Supp. Result Entry'!AG182="","",'Supp. Result Entry'!$AG$6)</f>
        <v/>
      </c>
      <c r="ID183" s="212" t="str">
        <f>IF('Supp. Result Entry'!AJ182="","",'Supp. Result Entry'!$AJ$6)</f>
        <v/>
      </c>
      <c r="IE183" s="212" t="str">
        <f>IF('Supp. Result Entry'!V182="","",'Supp. Result Entry'!V182)</f>
        <v/>
      </c>
      <c r="IF183" s="212" t="str">
        <f>IF('Supp. Result Entry'!Y182="","",'Supp. Result Entry'!Y182)</f>
        <v/>
      </c>
      <c r="IG183" s="212" t="str">
        <f>IF('Supp. Result Entry'!AB182="","",'Supp. Result Entry'!AB182)</f>
        <v/>
      </c>
      <c r="IH183" s="212" t="str">
        <f>IF('Supp. Result Entry'!AE182="","",'Supp. Result Entry'!AE182)</f>
        <v/>
      </c>
      <c r="II183" s="212" t="str">
        <f>IF('Supp. Result Entry'!AH182="","",'Supp. Result Entry'!AH182)</f>
        <v/>
      </c>
      <c r="IJ183" s="212" t="str">
        <f>IF('Supp. Result Entry'!AK182="","",'Supp. Result Entry'!AK182)</f>
        <v/>
      </c>
      <c r="IK183" s="212" t="str">
        <f>IF('Supp. Result Entry'!W182="","",'Supp. Result Entry'!W182)</f>
        <v/>
      </c>
      <c r="IL183" s="212" t="str">
        <f>IF('Supp. Result Entry'!Z182="","",'Supp. Result Entry'!Z182)</f>
        <v/>
      </c>
      <c r="IM183" s="212" t="str">
        <f>IF('Supp. Result Entry'!AC182="","",'Supp. Result Entry'!AC182)</f>
        <v/>
      </c>
      <c r="IN183" s="212" t="str">
        <f>IF('Supp. Result Entry'!AF182="","",'Supp. Result Entry'!AF182)</f>
        <v/>
      </c>
      <c r="IO183" s="212" t="str">
        <f>IF('Supp. Result Entry'!AI182="","",'Supp. Result Entry'!AI182)</f>
        <v/>
      </c>
      <c r="IP183" s="212" t="str">
        <f>IF('Supp. Result Entry'!AL182="","",'Supp. Result Entry'!AL182)</f>
        <v/>
      </c>
      <c r="IQ183" s="212">
        <f>COUNTIF('Supp. Result Entry'!K182:Q182,"S")</f>
        <v>0</v>
      </c>
      <c r="IR183" s="212">
        <f t="shared" si="537"/>
        <v>0</v>
      </c>
      <c r="IS183" s="212">
        <f t="shared" si="538"/>
        <v>0</v>
      </c>
      <c r="IT183" s="212" t="str">
        <f t="shared" si="406"/>
        <v/>
      </c>
      <c r="IU183" s="212" t="str">
        <f t="shared" si="407"/>
        <v/>
      </c>
      <c r="IV183" s="212" t="str">
        <f t="shared" si="408"/>
        <v/>
      </c>
      <c r="IW183" s="212" t="str">
        <f t="shared" si="409"/>
        <v/>
      </c>
      <c r="IX183" s="212" t="str">
        <f t="shared" si="410"/>
        <v/>
      </c>
      <c r="IY183" s="212" t="str">
        <f t="shared" si="539"/>
        <v/>
      </c>
      <c r="IZ183" s="212" t="str">
        <f t="shared" si="540"/>
        <v/>
      </c>
      <c r="JA183" s="212" t="str">
        <f t="shared" si="411"/>
        <v/>
      </c>
      <c r="JB183" s="210" t="str">
        <f t="shared" si="541"/>
        <v/>
      </c>
    </row>
    <row r="184" spans="1:262" s="210" customFormat="1" ht="21" customHeight="1">
      <c r="A184" s="183">
        <v>177</v>
      </c>
      <c r="B184" s="184" t="str">
        <f>IF('Marks Entry'!B184="","",'Marks Entry'!B184)</f>
        <v/>
      </c>
      <c r="C184" s="185" t="str">
        <f>IF('Marks Entry'!D184="","",'Marks Entry'!D184)</f>
        <v/>
      </c>
      <c r="D184" s="186" t="str">
        <f>IF('Marks Entry'!E184="","",'Marks Entry'!E184)</f>
        <v/>
      </c>
      <c r="E184" s="187" t="str">
        <f>IF('Marks Entry'!F184="","",'Marks Entry'!F184)</f>
        <v/>
      </c>
      <c r="F184" s="187" t="str">
        <f>IF('Marks Entry'!G184="","",'Marks Entry'!G184)</f>
        <v/>
      </c>
      <c r="G184" s="187" t="str">
        <f>IF('Marks Entry'!H184="","",'Marks Entry'!H184)</f>
        <v/>
      </c>
      <c r="H184" s="188" t="str">
        <f>IF('Marks Entry'!I184="","",'Marks Entry'!I184)</f>
        <v/>
      </c>
      <c r="I184" s="189" t="str">
        <f>IF('Marks Entry'!J184="","",'Marks Entry'!J184)</f>
        <v/>
      </c>
      <c r="J184" s="545" t="str">
        <f>IF('Marks Entry'!K184="","",'Marks Entry'!K184)</f>
        <v/>
      </c>
      <c r="K184" s="545" t="str">
        <f>IF('Marks Entry'!L184="","",'Marks Entry'!L184)</f>
        <v/>
      </c>
      <c r="L184" s="545" t="str">
        <f>IF('Marks Entry'!M184="","",'Marks Entry'!M184)</f>
        <v/>
      </c>
      <c r="M184" s="546" t="str">
        <f t="shared" si="412"/>
        <v/>
      </c>
      <c r="N184" s="545" t="str">
        <f>IF('Marks Entry'!N184="","",'Marks Entry'!N184)</f>
        <v/>
      </c>
      <c r="O184" s="546" t="str">
        <f t="shared" si="413"/>
        <v/>
      </c>
      <c r="P184" s="545" t="str">
        <f>IF('Marks Entry'!O184="","",'Marks Entry'!O184)</f>
        <v/>
      </c>
      <c r="Q184" s="547" t="str">
        <f t="shared" si="414"/>
        <v/>
      </c>
      <c r="R184" s="152">
        <f t="shared" si="415"/>
        <v>0</v>
      </c>
      <c r="S184" s="152">
        <f t="shared" si="416"/>
        <v>0</v>
      </c>
      <c r="T184" s="153" t="str">
        <f t="shared" si="417"/>
        <v/>
      </c>
      <c r="U184" s="152" t="str">
        <f t="shared" si="418"/>
        <v/>
      </c>
      <c r="V184" s="152" t="str">
        <f t="shared" si="419"/>
        <v/>
      </c>
      <c r="W184" s="152" t="str">
        <f t="shared" si="420"/>
        <v/>
      </c>
      <c r="X184" s="545" t="str">
        <f>IF('Marks Entry'!P184="","",'Marks Entry'!P184)</f>
        <v/>
      </c>
      <c r="Y184" s="545" t="str">
        <f>IF('Marks Entry'!Q184="","",'Marks Entry'!Q184)</f>
        <v/>
      </c>
      <c r="Z184" s="545" t="str">
        <f>IF('Marks Entry'!R184="","",'Marks Entry'!R184)</f>
        <v/>
      </c>
      <c r="AA184" s="546" t="str">
        <f t="shared" si="421"/>
        <v/>
      </c>
      <c r="AB184" s="545" t="str">
        <f>IF('Marks Entry'!S184="","",'Marks Entry'!S184)</f>
        <v/>
      </c>
      <c r="AC184" s="546" t="str">
        <f t="shared" si="422"/>
        <v/>
      </c>
      <c r="AD184" s="545" t="str">
        <f>IF('Marks Entry'!T184="","",'Marks Entry'!T184)</f>
        <v/>
      </c>
      <c r="AE184" s="547" t="str">
        <f t="shared" si="423"/>
        <v/>
      </c>
      <c r="AF184" s="152">
        <f t="shared" si="424"/>
        <v>0</v>
      </c>
      <c r="AG184" s="152">
        <f t="shared" si="425"/>
        <v>0</v>
      </c>
      <c r="AH184" s="153" t="str">
        <f t="shared" si="426"/>
        <v/>
      </c>
      <c r="AI184" s="152" t="str">
        <f t="shared" si="427"/>
        <v/>
      </c>
      <c r="AJ184" s="152" t="str">
        <f t="shared" si="428"/>
        <v/>
      </c>
      <c r="AK184" s="152" t="str">
        <f t="shared" si="429"/>
        <v/>
      </c>
      <c r="AL184" s="573" t="str">
        <f>IF('Marks Entry'!U184="","",'Marks Entry'!U184)</f>
        <v/>
      </c>
      <c r="AM184" s="573" t="str">
        <f>IF('Marks Entry'!V184="","",'Marks Entry'!V184)</f>
        <v/>
      </c>
      <c r="AN184" s="573" t="str">
        <f>IF('Marks Entry'!W184="","",'Marks Entry'!W184)</f>
        <v/>
      </c>
      <c r="AO184" s="573" t="str">
        <f>IF('Marks Entry'!X184="","",'Marks Entry'!X184)</f>
        <v/>
      </c>
      <c r="AP184" s="572" t="str">
        <f t="shared" si="430"/>
        <v/>
      </c>
      <c r="AQ184" s="573" t="str">
        <f>IF('Marks Entry'!Y184="","",'Marks Entry'!Y184)</f>
        <v/>
      </c>
      <c r="AR184" s="573" t="str">
        <f>IF('Marks Entry'!Z184="","",'Marks Entry'!Z184)</f>
        <v/>
      </c>
      <c r="AS184" s="572" t="str">
        <f t="shared" si="431"/>
        <v/>
      </c>
      <c r="AT184" s="572" t="str">
        <f t="shared" si="432"/>
        <v/>
      </c>
      <c r="AU184" s="573" t="str">
        <f>IF('Marks Entry'!AA184="","",'Marks Entry'!AA184)</f>
        <v/>
      </c>
      <c r="AV184" s="573" t="str">
        <f>IF('Marks Entry'!AB184="","",'Marks Entry'!AB184)</f>
        <v/>
      </c>
      <c r="AW184" s="572" t="str">
        <f t="shared" si="433"/>
        <v/>
      </c>
      <c r="AX184" s="156" t="str">
        <f t="shared" si="434"/>
        <v/>
      </c>
      <c r="AY184" s="156" t="str">
        <f t="shared" si="435"/>
        <v/>
      </c>
      <c r="AZ184" s="191" t="str">
        <f t="shared" si="436"/>
        <v/>
      </c>
      <c r="BA184" s="152">
        <f t="shared" si="437"/>
        <v>0</v>
      </c>
      <c r="BB184" s="153">
        <f t="shared" si="438"/>
        <v>0</v>
      </c>
      <c r="BC184" s="153" t="str">
        <f t="shared" si="439"/>
        <v/>
      </c>
      <c r="BD184" s="153" t="str">
        <f t="shared" si="440"/>
        <v/>
      </c>
      <c r="BE184" s="153" t="str">
        <f t="shared" si="441"/>
        <v/>
      </c>
      <c r="BF184" s="152" t="str">
        <f t="shared" si="442"/>
        <v/>
      </c>
      <c r="BG184" s="153" t="str">
        <f t="shared" si="443"/>
        <v/>
      </c>
      <c r="BH184" s="152" t="str">
        <f t="shared" si="444"/>
        <v/>
      </c>
      <c r="BI184" s="580" t="str">
        <f>IF('Marks Entry'!AC184="","",'Marks Entry'!AC184)</f>
        <v/>
      </c>
      <c r="BJ184" s="580" t="str">
        <f>IF('Marks Entry'!AD184="","",'Marks Entry'!AD184)</f>
        <v/>
      </c>
      <c r="BK184" s="580" t="str">
        <f>IF('Marks Entry'!AE184="","",'Marks Entry'!AE184)</f>
        <v/>
      </c>
      <c r="BL184" s="580" t="str">
        <f>IF('Marks Entry'!AF184="","",'Marks Entry'!AF184)</f>
        <v/>
      </c>
      <c r="BM184" s="581" t="str">
        <f t="shared" si="445"/>
        <v/>
      </c>
      <c r="BN184" s="580" t="str">
        <f>IF('Marks Entry'!AG184="","",'Marks Entry'!AG184)</f>
        <v/>
      </c>
      <c r="BO184" s="580" t="str">
        <f>IF('Marks Entry'!AH184="","",'Marks Entry'!AH184)</f>
        <v/>
      </c>
      <c r="BP184" s="581" t="str">
        <f t="shared" si="446"/>
        <v/>
      </c>
      <c r="BQ184" s="581" t="str">
        <f t="shared" si="447"/>
        <v/>
      </c>
      <c r="BR184" s="580" t="str">
        <f>IF('Marks Entry'!AI184="","",'Marks Entry'!AI184)</f>
        <v/>
      </c>
      <c r="BS184" s="580" t="str">
        <f>IF('Marks Entry'!AJ184="","",'Marks Entry'!AJ184)</f>
        <v/>
      </c>
      <c r="BT184" s="581" t="str">
        <f t="shared" si="448"/>
        <v/>
      </c>
      <c r="BU184" s="156" t="str">
        <f t="shared" si="449"/>
        <v/>
      </c>
      <c r="BV184" s="156" t="str">
        <f t="shared" si="450"/>
        <v/>
      </c>
      <c r="BW184" s="191" t="str">
        <f t="shared" si="451"/>
        <v/>
      </c>
      <c r="BX184" s="152">
        <f t="shared" si="452"/>
        <v>0</v>
      </c>
      <c r="BY184" s="153">
        <f t="shared" si="453"/>
        <v>0</v>
      </c>
      <c r="BZ184" s="153" t="str">
        <f t="shared" si="454"/>
        <v/>
      </c>
      <c r="CA184" s="153" t="str">
        <f t="shared" si="455"/>
        <v/>
      </c>
      <c r="CB184" s="153" t="str">
        <f t="shared" si="456"/>
        <v/>
      </c>
      <c r="CC184" s="152" t="str">
        <f t="shared" si="457"/>
        <v/>
      </c>
      <c r="CD184" s="153" t="str">
        <f t="shared" si="458"/>
        <v/>
      </c>
      <c r="CE184" s="152" t="str">
        <f t="shared" si="459"/>
        <v/>
      </c>
      <c r="CF184" s="580" t="str">
        <f>IF('Marks Entry'!AK184="","",'Marks Entry'!AK184)</f>
        <v/>
      </c>
      <c r="CG184" s="580" t="str">
        <f>IF('Marks Entry'!AL184="","",'Marks Entry'!AL184)</f>
        <v/>
      </c>
      <c r="CH184" s="580" t="str">
        <f>IF('Marks Entry'!AM184="","",'Marks Entry'!AM184)</f>
        <v/>
      </c>
      <c r="CI184" s="580" t="str">
        <f>IF('Marks Entry'!AN184="","",'Marks Entry'!AN184)</f>
        <v/>
      </c>
      <c r="CJ184" s="581" t="str">
        <f t="shared" si="460"/>
        <v/>
      </c>
      <c r="CK184" s="580" t="str">
        <f>IF('Marks Entry'!AO184="","",'Marks Entry'!AO184)</f>
        <v/>
      </c>
      <c r="CL184" s="580" t="str">
        <f>IF('Marks Entry'!AP184="","",'Marks Entry'!AP184)</f>
        <v/>
      </c>
      <c r="CM184" s="581" t="str">
        <f t="shared" si="461"/>
        <v/>
      </c>
      <c r="CN184" s="581" t="str">
        <f t="shared" si="462"/>
        <v/>
      </c>
      <c r="CO184" s="580" t="str">
        <f>IF('Marks Entry'!AQ184="","",'Marks Entry'!AQ184)</f>
        <v/>
      </c>
      <c r="CP184" s="580" t="str">
        <f>IF('Marks Entry'!AR184="","",'Marks Entry'!AR184)</f>
        <v/>
      </c>
      <c r="CQ184" s="581" t="str">
        <f t="shared" si="463"/>
        <v/>
      </c>
      <c r="CR184" s="156" t="str">
        <f t="shared" si="464"/>
        <v/>
      </c>
      <c r="CS184" s="156" t="str">
        <f t="shared" si="465"/>
        <v/>
      </c>
      <c r="CT184" s="191" t="str">
        <f t="shared" si="466"/>
        <v/>
      </c>
      <c r="CU184" s="152">
        <f t="shared" si="467"/>
        <v>0</v>
      </c>
      <c r="CV184" s="153">
        <f t="shared" si="468"/>
        <v>0</v>
      </c>
      <c r="CW184" s="153" t="str">
        <f t="shared" si="469"/>
        <v/>
      </c>
      <c r="CX184" s="153" t="str">
        <f t="shared" si="470"/>
        <v/>
      </c>
      <c r="CY184" s="153" t="str">
        <f t="shared" si="471"/>
        <v/>
      </c>
      <c r="CZ184" s="152" t="str">
        <f t="shared" si="472"/>
        <v/>
      </c>
      <c r="DA184" s="153" t="str">
        <f t="shared" si="473"/>
        <v/>
      </c>
      <c r="DB184" s="152" t="str">
        <f t="shared" si="474"/>
        <v/>
      </c>
      <c r="DC184" s="153">
        <f t="shared" si="475"/>
        <v>0</v>
      </c>
      <c r="DD184" s="851" t="str">
        <f>IF('Marks Entry'!AS184="","",IF(OR('Master Sheet'!$D$19="YES",'Marks Entry'!$BA$1=1),'Marks Entry'!AS184,""))</f>
        <v/>
      </c>
      <c r="DE184" s="851" t="str">
        <f>IF('Marks Entry'!AT184="","",IF(OR('Master Sheet'!$D$19="YES",'Marks Entry'!$BA$1=1),'Marks Entry'!AT184,""))</f>
        <v/>
      </c>
      <c r="DF184" s="851" t="str">
        <f>IF('Marks Entry'!AU184="","",IF(OR('Master Sheet'!$D$19="YES",'Marks Entry'!$BA$1=1),'Marks Entry'!AU184,""))</f>
        <v/>
      </c>
      <c r="DG184" s="851" t="str">
        <f>IF('Marks Entry'!AV184="","",IF(OR('Master Sheet'!$D$19="YES",'Marks Entry'!$BA$1=1),'Marks Entry'!AV184,""))</f>
        <v/>
      </c>
      <c r="DH184" s="852" t="str">
        <f t="shared" si="476"/>
        <v/>
      </c>
      <c r="DI184" s="851" t="str">
        <f>IF('Marks Entry'!AW184="","",IF(OR('Master Sheet'!$D$19="YES",'Marks Entry'!$BA$1=1),'Marks Entry'!AW184,""))</f>
        <v/>
      </c>
      <c r="DJ184" s="851" t="str">
        <f>IF('Marks Entry'!AX184="","",IF(OR('Master Sheet'!$D$19="YES",'Marks Entry'!$BA$1=1),'Marks Entry'!AX184,""))</f>
        <v/>
      </c>
      <c r="DK184" s="852" t="str">
        <f t="shared" si="477"/>
        <v/>
      </c>
      <c r="DL184" s="852" t="str">
        <f t="shared" si="478"/>
        <v/>
      </c>
      <c r="DM184" s="851" t="str">
        <f>IF('Marks Entry'!AY184="","",IF(OR('Master Sheet'!$D$19="YES",'Marks Entry'!$BA$1=1),'Marks Entry'!AY184,""))</f>
        <v/>
      </c>
      <c r="DN184" s="851" t="str">
        <f>IF('Marks Entry'!AZ184="","",IF(OR('Master Sheet'!$D$19="YES",'Marks Entry'!$BA$1=1),'Marks Entry'!AZ184,""))</f>
        <v/>
      </c>
      <c r="DO184" s="851" t="str">
        <f>IF('Marks Entry'!BA184="","",IF(OR('Master Sheet'!$D$19="YES",'Marks Entry'!$BA$1=1),'Marks Entry'!BA184,""))</f>
        <v/>
      </c>
      <c r="DP184" s="852" t="str">
        <f t="shared" si="479"/>
        <v/>
      </c>
      <c r="DQ184" s="156" t="str">
        <f t="shared" si="480"/>
        <v/>
      </c>
      <c r="DR184" s="156" t="str">
        <f t="shared" si="481"/>
        <v/>
      </c>
      <c r="DS184" s="156" t="str">
        <f t="shared" si="482"/>
        <v/>
      </c>
      <c r="DT184" s="191" t="str">
        <f t="shared" si="483"/>
        <v/>
      </c>
      <c r="DU184" s="152">
        <f t="shared" si="484"/>
        <v>0</v>
      </c>
      <c r="DV184" s="153">
        <f t="shared" si="485"/>
        <v>0</v>
      </c>
      <c r="DW184" s="153" t="str">
        <f t="shared" si="486"/>
        <v/>
      </c>
      <c r="DX184" s="153" t="str">
        <f>IF(OR($B184="NSO",$B184=0,DS184=""),"",IF(AND(DJ184="",DO184=""),"",IF('Master Sheet'!$D$19="YES",$DO$6-COUNTIF(DO184,"ML")*DO$6,DS$6-(COUNTIF(DJ184,"ML")*DJ$6)-(COUNTIF(DO184,"ML")*DO$6))))</f>
        <v/>
      </c>
      <c r="DY184" s="153" t="str">
        <f>IF(OR($B184="NSO",$B184=0),"",IF(AND(DH184="",DI184="",DM184=""),"",IF(AND('Master Sheet'!$D$19="YES",'Marks Entry'!$BA$1=1),100,IF(AND(DJ184="",DO184=""),SUM(($DQ$7+$DR$7)-(DU184+DV184)),SUM(($DQ$6+$DR$6)-(DU184+DV184))))))</f>
        <v/>
      </c>
      <c r="DZ184" s="152" t="str">
        <f t="shared" si="487"/>
        <v/>
      </c>
      <c r="EA184" s="153" t="str">
        <f t="shared" si="488"/>
        <v/>
      </c>
      <c r="EB184" s="152" t="str">
        <f t="shared" si="489"/>
        <v/>
      </c>
      <c r="EC184" s="584" t="str">
        <f>IF('Marks Entry'!BB184="","",'Marks Entry'!BB184)</f>
        <v/>
      </c>
      <c r="ED184" s="584" t="str">
        <f>IF('Marks Entry'!BC184="","",'Marks Entry'!BC184)</f>
        <v/>
      </c>
      <c r="EE184" s="584" t="str">
        <f>IF('Marks Entry'!BD184="","",'Marks Entry'!BD184)</f>
        <v/>
      </c>
      <c r="EF184" s="590" t="str">
        <f t="shared" si="490"/>
        <v/>
      </c>
      <c r="EG184" s="595">
        <f t="shared" si="491"/>
        <v>0</v>
      </c>
      <c r="EH184" s="595">
        <f t="shared" si="492"/>
        <v>0</v>
      </c>
      <c r="EI184" s="192" t="str">
        <f t="shared" si="493"/>
        <v/>
      </c>
      <c r="EJ184" s="595" t="str">
        <f t="shared" si="494"/>
        <v/>
      </c>
      <c r="EK184" s="595" t="str">
        <f t="shared" si="495"/>
        <v/>
      </c>
      <c r="EL184" s="193" t="str">
        <f t="shared" si="496"/>
        <v/>
      </c>
      <c r="EM184" s="193" t="str">
        <f t="shared" si="497"/>
        <v/>
      </c>
      <c r="EN184" s="193" t="str">
        <f t="shared" si="498"/>
        <v/>
      </c>
      <c r="EO184" s="193" t="str">
        <f t="shared" si="499"/>
        <v/>
      </c>
      <c r="EP184" s="193" t="str">
        <f t="shared" si="500"/>
        <v/>
      </c>
      <c r="EQ184" s="193" t="str">
        <f t="shared" si="501"/>
        <v/>
      </c>
      <c r="ER184" s="194">
        <f t="shared" si="502"/>
        <v>0</v>
      </c>
      <c r="ES184" s="194">
        <f t="shared" si="503"/>
        <v>0</v>
      </c>
      <c r="ET184" s="194">
        <f t="shared" si="504"/>
        <v>0</v>
      </c>
      <c r="EU184" s="194">
        <f t="shared" si="505"/>
        <v>0</v>
      </c>
      <c r="EV184" s="194">
        <f t="shared" si="506"/>
        <v>0</v>
      </c>
      <c r="EW184" s="194" t="str">
        <f t="shared" si="507"/>
        <v/>
      </c>
      <c r="EX184" s="195" t="str">
        <f t="shared" si="508"/>
        <v/>
      </c>
      <c r="EY184" s="196" t="str">
        <f>IF('Marks Entry'!BE184="","",'Marks Entry'!BE184)</f>
        <v/>
      </c>
      <c r="EZ184" s="196" t="str">
        <f>IF('Marks Entry'!BF184="","",'Marks Entry'!BF184)</f>
        <v/>
      </c>
      <c r="FA184" s="196" t="str">
        <f>IF('Marks Entry'!BG184="","",'Marks Entry'!BG184)</f>
        <v/>
      </c>
      <c r="FB184" s="596" t="str">
        <f t="shared" si="509"/>
        <v/>
      </c>
      <c r="FC184" s="196" t="str">
        <f>IF('Marks Entry'!BH184="","",'Marks Entry'!BH184)</f>
        <v/>
      </c>
      <c r="FD184" s="196" t="str">
        <f>IF('Marks Entry'!BI184="","",'Marks Entry'!BI184)</f>
        <v/>
      </c>
      <c r="FE184" s="197" t="str">
        <f t="shared" si="510"/>
        <v/>
      </c>
      <c r="FF184" s="198" t="str">
        <f t="shared" si="511"/>
        <v/>
      </c>
      <c r="FG184" s="199" t="str">
        <f>IF(AND(E184=""),"",IF('Student DATA Entry'!L180="","",'Student DATA Entry'!L180))</f>
        <v/>
      </c>
      <c r="FH184" s="200" t="str">
        <f>IF(AND(E184=""),"",IF('Student DATA Entry'!M180="","",'Student DATA Entry'!M180))</f>
        <v/>
      </c>
      <c r="FI184" s="201" t="str">
        <f t="shared" si="512"/>
        <v/>
      </c>
      <c r="FJ184" s="188" t="str">
        <f t="shared" si="513"/>
        <v/>
      </c>
      <c r="FK184" s="188" t="str">
        <f t="shared" si="514"/>
        <v/>
      </c>
      <c r="FL184" s="202" t="str">
        <f t="shared" si="542"/>
        <v/>
      </c>
      <c r="FM184" s="188" t="str">
        <f t="shared" si="515"/>
        <v/>
      </c>
      <c r="FN184" s="203" t="str">
        <f t="shared" si="516"/>
        <v/>
      </c>
      <c r="FO184" s="202" t="str">
        <f t="shared" si="543"/>
        <v/>
      </c>
      <c r="FP184" s="204" t="str">
        <f t="shared" si="517"/>
        <v/>
      </c>
      <c r="FQ184" s="188" t="str">
        <f t="shared" si="544"/>
        <v/>
      </c>
      <c r="FR184" s="188" t="str">
        <f t="shared" si="545"/>
        <v/>
      </c>
      <c r="FS184" s="188" t="str">
        <f t="shared" si="546"/>
        <v/>
      </c>
      <c r="FT184" s="188" t="str">
        <f t="shared" si="547"/>
        <v/>
      </c>
      <c r="FU184" s="188" t="str">
        <f t="shared" si="518"/>
        <v/>
      </c>
      <c r="FV184" s="205" t="str">
        <f t="shared" si="548"/>
        <v/>
      </c>
      <c r="FW184" s="204" t="str">
        <f t="shared" si="519"/>
        <v/>
      </c>
      <c r="FX184" s="188" t="str">
        <f t="shared" si="549"/>
        <v/>
      </c>
      <c r="FY184" s="188" t="str">
        <f t="shared" si="550"/>
        <v/>
      </c>
      <c r="FZ184" s="188" t="str">
        <f t="shared" si="551"/>
        <v/>
      </c>
      <c r="GA184" s="188" t="str">
        <f t="shared" si="552"/>
        <v/>
      </c>
      <c r="GB184" s="188" t="str">
        <f t="shared" si="520"/>
        <v/>
      </c>
      <c r="GC184" s="205" t="str">
        <f t="shared" si="553"/>
        <v/>
      </c>
      <c r="GD184" s="204" t="str">
        <f t="shared" si="521"/>
        <v/>
      </c>
      <c r="GE184" s="188" t="str">
        <f t="shared" si="554"/>
        <v/>
      </c>
      <c r="GF184" s="188" t="str">
        <f t="shared" si="555"/>
        <v/>
      </c>
      <c r="GG184" s="188" t="str">
        <f t="shared" si="556"/>
        <v/>
      </c>
      <c r="GH184" s="188" t="str">
        <f t="shared" si="557"/>
        <v/>
      </c>
      <c r="GI184" s="188" t="str">
        <f t="shared" si="522"/>
        <v/>
      </c>
      <c r="GJ184" s="205" t="str">
        <f t="shared" si="558"/>
        <v/>
      </c>
      <c r="GK184" s="204" t="str">
        <f t="shared" si="523"/>
        <v/>
      </c>
      <c r="GL184" s="188" t="str">
        <f t="shared" si="559"/>
        <v/>
      </c>
      <c r="GM184" s="188" t="str">
        <f t="shared" si="560"/>
        <v/>
      </c>
      <c r="GN184" s="188" t="str">
        <f t="shared" si="561"/>
        <v/>
      </c>
      <c r="GO184" s="188" t="str">
        <f t="shared" si="562"/>
        <v/>
      </c>
      <c r="GP184" s="188" t="str">
        <f t="shared" si="524"/>
        <v/>
      </c>
      <c r="GQ184" s="205" t="str">
        <f t="shared" si="563"/>
        <v/>
      </c>
      <c r="GR184" s="188" t="str">
        <f t="shared" si="525"/>
        <v/>
      </c>
      <c r="GS184" s="188" t="str">
        <f t="shared" si="526"/>
        <v/>
      </c>
      <c r="GT184" s="206" t="str">
        <f t="shared" si="527"/>
        <v xml:space="preserve">    </v>
      </c>
      <c r="GU184" s="206" t="str">
        <f t="shared" si="528"/>
        <v xml:space="preserve">    </v>
      </c>
      <c r="GV184" s="206" t="str">
        <f t="shared" si="529"/>
        <v xml:space="preserve">    </v>
      </c>
      <c r="GW184" s="206" t="str">
        <f t="shared" si="530"/>
        <v xml:space="preserve">       </v>
      </c>
      <c r="GX184" s="598" t="str">
        <f t="shared" si="531"/>
        <v xml:space="preserve">     </v>
      </c>
      <c r="GY184" s="207" t="str">
        <f t="shared" si="564"/>
        <v/>
      </c>
      <c r="GZ184" s="606" t="str">
        <f>IF(AND(Q184="",AE184="",AZ184="",BW184="",CT184=""),"",IF(AND('Master Sheet'!$D$19="YES",'Marks Entry'!$BA$1=1),SUM(Q184,AE184,AZ184,BW184,DT184),SUM(Q184,AE184,AZ184,BW184,CT184)))</f>
        <v/>
      </c>
      <c r="HA184" s="208" t="str">
        <f>IF(GZ184="","",IF(AND('Master Sheet'!$D$19="YES",'Marks Entry'!$BA$1=1),GZ184/((900)-DC184)*100,GZ184/((1000)-DC184)*100))</f>
        <v/>
      </c>
      <c r="HB184" s="611" t="str">
        <f t="shared" si="532"/>
        <v/>
      </c>
      <c r="HC184" s="609" t="str">
        <f t="shared" si="533"/>
        <v/>
      </c>
      <c r="HD184" s="610" t="str">
        <f t="shared" si="534"/>
        <v/>
      </c>
      <c r="HE184" s="209" t="str">
        <f>IFERROR(IF(OR(GY184="SUPPLEMENTARY",GY184="RE-EXAM"),'Supp. Result Entry'!AS183,""),"")</f>
        <v/>
      </c>
      <c r="HF184" s="613" t="str">
        <f t="shared" si="535"/>
        <v/>
      </c>
      <c r="HG184" s="598" t="str">
        <f t="shared" si="536"/>
        <v/>
      </c>
      <c r="HH184" s="598" t="str">
        <f>IF(AND(HE184="",HF184="",HG184=""),"",IF(OR(GY184="SUPPLEMENTARY",GY184="RE-EXAM"),'Supp. Result Entry'!AS183,GY184))</f>
        <v/>
      </c>
      <c r="HI184" s="179"/>
      <c r="HY184" s="211" t="str">
        <f>IF('Supp. Result Entry'!U183="","",'Supp. Result Entry'!$U$6)</f>
        <v/>
      </c>
      <c r="HZ184" s="212" t="str">
        <f>IF('Supp. Result Entry'!X183="","",'Supp. Result Entry'!$X$6)</f>
        <v/>
      </c>
      <c r="IA184" s="212" t="str">
        <f>IF('Supp. Result Entry'!AA183="","",'Supp. Result Entry'!$AA$6)</f>
        <v/>
      </c>
      <c r="IB184" s="212" t="str">
        <f>IF('Supp. Result Entry'!AD183="","",'Supp. Result Entry'!$AD$6)</f>
        <v/>
      </c>
      <c r="IC184" s="212" t="str">
        <f>IF('Supp. Result Entry'!AG183="","",'Supp. Result Entry'!$AG$6)</f>
        <v/>
      </c>
      <c r="ID184" s="212" t="str">
        <f>IF('Supp. Result Entry'!AJ183="","",'Supp. Result Entry'!$AJ$6)</f>
        <v/>
      </c>
      <c r="IE184" s="212" t="str">
        <f>IF('Supp. Result Entry'!V183="","",'Supp. Result Entry'!V183)</f>
        <v/>
      </c>
      <c r="IF184" s="212" t="str">
        <f>IF('Supp. Result Entry'!Y183="","",'Supp. Result Entry'!Y183)</f>
        <v/>
      </c>
      <c r="IG184" s="212" t="str">
        <f>IF('Supp. Result Entry'!AB183="","",'Supp. Result Entry'!AB183)</f>
        <v/>
      </c>
      <c r="IH184" s="212" t="str">
        <f>IF('Supp. Result Entry'!AE183="","",'Supp. Result Entry'!AE183)</f>
        <v/>
      </c>
      <c r="II184" s="212" t="str">
        <f>IF('Supp. Result Entry'!AH183="","",'Supp. Result Entry'!AH183)</f>
        <v/>
      </c>
      <c r="IJ184" s="212" t="str">
        <f>IF('Supp. Result Entry'!AK183="","",'Supp. Result Entry'!AK183)</f>
        <v/>
      </c>
      <c r="IK184" s="212" t="str">
        <f>IF('Supp. Result Entry'!W183="","",'Supp. Result Entry'!W183)</f>
        <v/>
      </c>
      <c r="IL184" s="212" t="str">
        <f>IF('Supp. Result Entry'!Z183="","",'Supp. Result Entry'!Z183)</f>
        <v/>
      </c>
      <c r="IM184" s="212" t="str">
        <f>IF('Supp. Result Entry'!AC183="","",'Supp. Result Entry'!AC183)</f>
        <v/>
      </c>
      <c r="IN184" s="212" t="str">
        <f>IF('Supp. Result Entry'!AF183="","",'Supp. Result Entry'!AF183)</f>
        <v/>
      </c>
      <c r="IO184" s="212" t="str">
        <f>IF('Supp. Result Entry'!AI183="","",'Supp. Result Entry'!AI183)</f>
        <v/>
      </c>
      <c r="IP184" s="212" t="str">
        <f>IF('Supp. Result Entry'!AL183="","",'Supp. Result Entry'!AL183)</f>
        <v/>
      </c>
      <c r="IQ184" s="212">
        <f>COUNTIF('Supp. Result Entry'!K183:Q183,"S")</f>
        <v>0</v>
      </c>
      <c r="IR184" s="212">
        <f t="shared" si="537"/>
        <v>0</v>
      </c>
      <c r="IS184" s="212">
        <f t="shared" si="538"/>
        <v>0</v>
      </c>
      <c r="IT184" s="212" t="str">
        <f t="shared" si="406"/>
        <v/>
      </c>
      <c r="IU184" s="212" t="str">
        <f t="shared" si="407"/>
        <v/>
      </c>
      <c r="IV184" s="212" t="str">
        <f t="shared" si="408"/>
        <v/>
      </c>
      <c r="IW184" s="212" t="str">
        <f t="shared" si="409"/>
        <v/>
      </c>
      <c r="IX184" s="212" t="str">
        <f t="shared" si="410"/>
        <v/>
      </c>
      <c r="IY184" s="212" t="str">
        <f t="shared" si="539"/>
        <v/>
      </c>
      <c r="IZ184" s="212" t="str">
        <f t="shared" si="540"/>
        <v/>
      </c>
      <c r="JA184" s="212" t="str">
        <f t="shared" si="411"/>
        <v/>
      </c>
      <c r="JB184" s="210" t="str">
        <f t="shared" si="541"/>
        <v/>
      </c>
    </row>
    <row r="185" spans="1:262" s="210" customFormat="1" ht="21" customHeight="1">
      <c r="A185" s="183">
        <v>178</v>
      </c>
      <c r="B185" s="184" t="str">
        <f>IF('Marks Entry'!B185="","",'Marks Entry'!B185)</f>
        <v/>
      </c>
      <c r="C185" s="185" t="str">
        <f>IF('Marks Entry'!D185="","",'Marks Entry'!D185)</f>
        <v/>
      </c>
      <c r="D185" s="186" t="str">
        <f>IF('Marks Entry'!E185="","",'Marks Entry'!E185)</f>
        <v/>
      </c>
      <c r="E185" s="187" t="str">
        <f>IF('Marks Entry'!F185="","",'Marks Entry'!F185)</f>
        <v/>
      </c>
      <c r="F185" s="187" t="str">
        <f>IF('Marks Entry'!G185="","",'Marks Entry'!G185)</f>
        <v/>
      </c>
      <c r="G185" s="187" t="str">
        <f>IF('Marks Entry'!H185="","",'Marks Entry'!H185)</f>
        <v/>
      </c>
      <c r="H185" s="188" t="str">
        <f>IF('Marks Entry'!I185="","",'Marks Entry'!I185)</f>
        <v/>
      </c>
      <c r="I185" s="189" t="str">
        <f>IF('Marks Entry'!J185="","",'Marks Entry'!J185)</f>
        <v/>
      </c>
      <c r="J185" s="545" t="str">
        <f>IF('Marks Entry'!K185="","",'Marks Entry'!K185)</f>
        <v/>
      </c>
      <c r="K185" s="545" t="str">
        <f>IF('Marks Entry'!L185="","",'Marks Entry'!L185)</f>
        <v/>
      </c>
      <c r="L185" s="545" t="str">
        <f>IF('Marks Entry'!M185="","",'Marks Entry'!M185)</f>
        <v/>
      </c>
      <c r="M185" s="546" t="str">
        <f t="shared" si="412"/>
        <v/>
      </c>
      <c r="N185" s="545" t="str">
        <f>IF('Marks Entry'!N185="","",'Marks Entry'!N185)</f>
        <v/>
      </c>
      <c r="O185" s="546" t="str">
        <f t="shared" si="413"/>
        <v/>
      </c>
      <c r="P185" s="545" t="str">
        <f>IF('Marks Entry'!O185="","",'Marks Entry'!O185)</f>
        <v/>
      </c>
      <c r="Q185" s="547" t="str">
        <f t="shared" si="414"/>
        <v/>
      </c>
      <c r="R185" s="152">
        <f t="shared" si="415"/>
        <v>0</v>
      </c>
      <c r="S185" s="152">
        <f t="shared" si="416"/>
        <v>0</v>
      </c>
      <c r="T185" s="153" t="str">
        <f t="shared" si="417"/>
        <v/>
      </c>
      <c r="U185" s="152" t="str">
        <f t="shared" si="418"/>
        <v/>
      </c>
      <c r="V185" s="152" t="str">
        <f t="shared" si="419"/>
        <v/>
      </c>
      <c r="W185" s="152" t="str">
        <f t="shared" si="420"/>
        <v/>
      </c>
      <c r="X185" s="545" t="str">
        <f>IF('Marks Entry'!P185="","",'Marks Entry'!P185)</f>
        <v/>
      </c>
      <c r="Y185" s="545" t="str">
        <f>IF('Marks Entry'!Q185="","",'Marks Entry'!Q185)</f>
        <v/>
      </c>
      <c r="Z185" s="545" t="str">
        <f>IF('Marks Entry'!R185="","",'Marks Entry'!R185)</f>
        <v/>
      </c>
      <c r="AA185" s="546" t="str">
        <f t="shared" si="421"/>
        <v/>
      </c>
      <c r="AB185" s="545" t="str">
        <f>IF('Marks Entry'!S185="","",'Marks Entry'!S185)</f>
        <v/>
      </c>
      <c r="AC185" s="546" t="str">
        <f t="shared" si="422"/>
        <v/>
      </c>
      <c r="AD185" s="545" t="str">
        <f>IF('Marks Entry'!T185="","",'Marks Entry'!T185)</f>
        <v/>
      </c>
      <c r="AE185" s="547" t="str">
        <f t="shared" si="423"/>
        <v/>
      </c>
      <c r="AF185" s="152">
        <f t="shared" si="424"/>
        <v>0</v>
      </c>
      <c r="AG185" s="152">
        <f t="shared" si="425"/>
        <v>0</v>
      </c>
      <c r="AH185" s="153" t="str">
        <f t="shared" si="426"/>
        <v/>
      </c>
      <c r="AI185" s="152" t="str">
        <f t="shared" si="427"/>
        <v/>
      </c>
      <c r="AJ185" s="152" t="str">
        <f t="shared" si="428"/>
        <v/>
      </c>
      <c r="AK185" s="152" t="str">
        <f t="shared" si="429"/>
        <v/>
      </c>
      <c r="AL185" s="573" t="str">
        <f>IF('Marks Entry'!U185="","",'Marks Entry'!U185)</f>
        <v/>
      </c>
      <c r="AM185" s="573" t="str">
        <f>IF('Marks Entry'!V185="","",'Marks Entry'!V185)</f>
        <v/>
      </c>
      <c r="AN185" s="573" t="str">
        <f>IF('Marks Entry'!W185="","",'Marks Entry'!W185)</f>
        <v/>
      </c>
      <c r="AO185" s="573" t="str">
        <f>IF('Marks Entry'!X185="","",'Marks Entry'!X185)</f>
        <v/>
      </c>
      <c r="AP185" s="572" t="str">
        <f t="shared" si="430"/>
        <v/>
      </c>
      <c r="AQ185" s="573" t="str">
        <f>IF('Marks Entry'!Y185="","",'Marks Entry'!Y185)</f>
        <v/>
      </c>
      <c r="AR185" s="573" t="str">
        <f>IF('Marks Entry'!Z185="","",'Marks Entry'!Z185)</f>
        <v/>
      </c>
      <c r="AS185" s="572" t="str">
        <f t="shared" si="431"/>
        <v/>
      </c>
      <c r="AT185" s="572" t="str">
        <f t="shared" si="432"/>
        <v/>
      </c>
      <c r="AU185" s="573" t="str">
        <f>IF('Marks Entry'!AA185="","",'Marks Entry'!AA185)</f>
        <v/>
      </c>
      <c r="AV185" s="573" t="str">
        <f>IF('Marks Entry'!AB185="","",'Marks Entry'!AB185)</f>
        <v/>
      </c>
      <c r="AW185" s="572" t="str">
        <f t="shared" si="433"/>
        <v/>
      </c>
      <c r="AX185" s="156" t="str">
        <f t="shared" si="434"/>
        <v/>
      </c>
      <c r="AY185" s="156" t="str">
        <f t="shared" si="435"/>
        <v/>
      </c>
      <c r="AZ185" s="191" t="str">
        <f t="shared" si="436"/>
        <v/>
      </c>
      <c r="BA185" s="152">
        <f t="shared" si="437"/>
        <v>0</v>
      </c>
      <c r="BB185" s="153">
        <f t="shared" si="438"/>
        <v>0</v>
      </c>
      <c r="BC185" s="153" t="str">
        <f t="shared" si="439"/>
        <v/>
      </c>
      <c r="BD185" s="153" t="str">
        <f t="shared" si="440"/>
        <v/>
      </c>
      <c r="BE185" s="153" t="str">
        <f t="shared" si="441"/>
        <v/>
      </c>
      <c r="BF185" s="152" t="str">
        <f t="shared" si="442"/>
        <v/>
      </c>
      <c r="BG185" s="153" t="str">
        <f t="shared" si="443"/>
        <v/>
      </c>
      <c r="BH185" s="152" t="str">
        <f t="shared" si="444"/>
        <v/>
      </c>
      <c r="BI185" s="580" t="str">
        <f>IF('Marks Entry'!AC185="","",'Marks Entry'!AC185)</f>
        <v/>
      </c>
      <c r="BJ185" s="580" t="str">
        <f>IF('Marks Entry'!AD185="","",'Marks Entry'!AD185)</f>
        <v/>
      </c>
      <c r="BK185" s="580" t="str">
        <f>IF('Marks Entry'!AE185="","",'Marks Entry'!AE185)</f>
        <v/>
      </c>
      <c r="BL185" s="580" t="str">
        <f>IF('Marks Entry'!AF185="","",'Marks Entry'!AF185)</f>
        <v/>
      </c>
      <c r="BM185" s="581" t="str">
        <f t="shared" si="445"/>
        <v/>
      </c>
      <c r="BN185" s="580" t="str">
        <f>IF('Marks Entry'!AG185="","",'Marks Entry'!AG185)</f>
        <v/>
      </c>
      <c r="BO185" s="580" t="str">
        <f>IF('Marks Entry'!AH185="","",'Marks Entry'!AH185)</f>
        <v/>
      </c>
      <c r="BP185" s="581" t="str">
        <f t="shared" si="446"/>
        <v/>
      </c>
      <c r="BQ185" s="581" t="str">
        <f t="shared" si="447"/>
        <v/>
      </c>
      <c r="BR185" s="580" t="str">
        <f>IF('Marks Entry'!AI185="","",'Marks Entry'!AI185)</f>
        <v/>
      </c>
      <c r="BS185" s="580" t="str">
        <f>IF('Marks Entry'!AJ185="","",'Marks Entry'!AJ185)</f>
        <v/>
      </c>
      <c r="BT185" s="581" t="str">
        <f t="shared" si="448"/>
        <v/>
      </c>
      <c r="BU185" s="156" t="str">
        <f t="shared" si="449"/>
        <v/>
      </c>
      <c r="BV185" s="156" t="str">
        <f t="shared" si="450"/>
        <v/>
      </c>
      <c r="BW185" s="191" t="str">
        <f t="shared" si="451"/>
        <v/>
      </c>
      <c r="BX185" s="152">
        <f t="shared" si="452"/>
        <v>0</v>
      </c>
      <c r="BY185" s="153">
        <f t="shared" si="453"/>
        <v>0</v>
      </c>
      <c r="BZ185" s="153" t="str">
        <f t="shared" si="454"/>
        <v/>
      </c>
      <c r="CA185" s="153" t="str">
        <f t="shared" si="455"/>
        <v/>
      </c>
      <c r="CB185" s="153" t="str">
        <f t="shared" si="456"/>
        <v/>
      </c>
      <c r="CC185" s="152" t="str">
        <f t="shared" si="457"/>
        <v/>
      </c>
      <c r="CD185" s="153" t="str">
        <f t="shared" si="458"/>
        <v/>
      </c>
      <c r="CE185" s="152" t="str">
        <f t="shared" si="459"/>
        <v/>
      </c>
      <c r="CF185" s="580" t="str">
        <f>IF('Marks Entry'!AK185="","",'Marks Entry'!AK185)</f>
        <v/>
      </c>
      <c r="CG185" s="580" t="str">
        <f>IF('Marks Entry'!AL185="","",'Marks Entry'!AL185)</f>
        <v/>
      </c>
      <c r="CH185" s="580" t="str">
        <f>IF('Marks Entry'!AM185="","",'Marks Entry'!AM185)</f>
        <v/>
      </c>
      <c r="CI185" s="580" t="str">
        <f>IF('Marks Entry'!AN185="","",'Marks Entry'!AN185)</f>
        <v/>
      </c>
      <c r="CJ185" s="581" t="str">
        <f t="shared" si="460"/>
        <v/>
      </c>
      <c r="CK185" s="580" t="str">
        <f>IF('Marks Entry'!AO185="","",'Marks Entry'!AO185)</f>
        <v/>
      </c>
      <c r="CL185" s="580" t="str">
        <f>IF('Marks Entry'!AP185="","",'Marks Entry'!AP185)</f>
        <v/>
      </c>
      <c r="CM185" s="581" t="str">
        <f t="shared" si="461"/>
        <v/>
      </c>
      <c r="CN185" s="581" t="str">
        <f t="shared" si="462"/>
        <v/>
      </c>
      <c r="CO185" s="580" t="str">
        <f>IF('Marks Entry'!AQ185="","",'Marks Entry'!AQ185)</f>
        <v/>
      </c>
      <c r="CP185" s="580" t="str">
        <f>IF('Marks Entry'!AR185="","",'Marks Entry'!AR185)</f>
        <v/>
      </c>
      <c r="CQ185" s="581" t="str">
        <f t="shared" si="463"/>
        <v/>
      </c>
      <c r="CR185" s="156" t="str">
        <f t="shared" si="464"/>
        <v/>
      </c>
      <c r="CS185" s="156" t="str">
        <f t="shared" si="465"/>
        <v/>
      </c>
      <c r="CT185" s="191" t="str">
        <f t="shared" si="466"/>
        <v/>
      </c>
      <c r="CU185" s="152">
        <f t="shared" si="467"/>
        <v>0</v>
      </c>
      <c r="CV185" s="153">
        <f t="shared" si="468"/>
        <v>0</v>
      </c>
      <c r="CW185" s="153" t="str">
        <f t="shared" si="469"/>
        <v/>
      </c>
      <c r="CX185" s="153" t="str">
        <f t="shared" si="470"/>
        <v/>
      </c>
      <c r="CY185" s="153" t="str">
        <f t="shared" si="471"/>
        <v/>
      </c>
      <c r="CZ185" s="152" t="str">
        <f t="shared" si="472"/>
        <v/>
      </c>
      <c r="DA185" s="153" t="str">
        <f t="shared" si="473"/>
        <v/>
      </c>
      <c r="DB185" s="152" t="str">
        <f t="shared" si="474"/>
        <v/>
      </c>
      <c r="DC185" s="153">
        <f t="shared" si="475"/>
        <v>0</v>
      </c>
      <c r="DD185" s="851" t="str">
        <f>IF('Marks Entry'!AS185="","",IF(OR('Master Sheet'!$D$19="YES",'Marks Entry'!$BA$1=1),'Marks Entry'!AS185,""))</f>
        <v/>
      </c>
      <c r="DE185" s="851" t="str">
        <f>IF('Marks Entry'!AT185="","",IF(OR('Master Sheet'!$D$19="YES",'Marks Entry'!$BA$1=1),'Marks Entry'!AT185,""))</f>
        <v/>
      </c>
      <c r="DF185" s="851" t="str">
        <f>IF('Marks Entry'!AU185="","",IF(OR('Master Sheet'!$D$19="YES",'Marks Entry'!$BA$1=1),'Marks Entry'!AU185,""))</f>
        <v/>
      </c>
      <c r="DG185" s="851" t="str">
        <f>IF('Marks Entry'!AV185="","",IF(OR('Master Sheet'!$D$19="YES",'Marks Entry'!$BA$1=1),'Marks Entry'!AV185,""))</f>
        <v/>
      </c>
      <c r="DH185" s="852" t="str">
        <f t="shared" si="476"/>
        <v/>
      </c>
      <c r="DI185" s="851" t="str">
        <f>IF('Marks Entry'!AW185="","",IF(OR('Master Sheet'!$D$19="YES",'Marks Entry'!$BA$1=1),'Marks Entry'!AW185,""))</f>
        <v/>
      </c>
      <c r="DJ185" s="851" t="str">
        <f>IF('Marks Entry'!AX185="","",IF(OR('Master Sheet'!$D$19="YES",'Marks Entry'!$BA$1=1),'Marks Entry'!AX185,""))</f>
        <v/>
      </c>
      <c r="DK185" s="852" t="str">
        <f t="shared" si="477"/>
        <v/>
      </c>
      <c r="DL185" s="852" t="str">
        <f t="shared" si="478"/>
        <v/>
      </c>
      <c r="DM185" s="851" t="str">
        <f>IF('Marks Entry'!AY185="","",IF(OR('Master Sheet'!$D$19="YES",'Marks Entry'!$BA$1=1),'Marks Entry'!AY185,""))</f>
        <v/>
      </c>
      <c r="DN185" s="851" t="str">
        <f>IF('Marks Entry'!AZ185="","",IF(OR('Master Sheet'!$D$19="YES",'Marks Entry'!$BA$1=1),'Marks Entry'!AZ185,""))</f>
        <v/>
      </c>
      <c r="DO185" s="851" t="str">
        <f>IF('Marks Entry'!BA185="","",IF(OR('Master Sheet'!$D$19="YES",'Marks Entry'!$BA$1=1),'Marks Entry'!BA185,""))</f>
        <v/>
      </c>
      <c r="DP185" s="852" t="str">
        <f t="shared" si="479"/>
        <v/>
      </c>
      <c r="DQ185" s="156" t="str">
        <f t="shared" si="480"/>
        <v/>
      </c>
      <c r="DR185" s="156" t="str">
        <f t="shared" si="481"/>
        <v/>
      </c>
      <c r="DS185" s="156" t="str">
        <f t="shared" si="482"/>
        <v/>
      </c>
      <c r="DT185" s="191" t="str">
        <f t="shared" si="483"/>
        <v/>
      </c>
      <c r="DU185" s="152">
        <f t="shared" si="484"/>
        <v>0</v>
      </c>
      <c r="DV185" s="153">
        <f t="shared" si="485"/>
        <v>0</v>
      </c>
      <c r="DW185" s="153" t="str">
        <f t="shared" si="486"/>
        <v/>
      </c>
      <c r="DX185" s="153" t="str">
        <f>IF(OR($B185="NSO",$B185=0,DS185=""),"",IF(AND(DJ185="",DO185=""),"",IF('Master Sheet'!$D$19="YES",$DO$6-COUNTIF(DO185,"ML")*DO$6,DS$6-(COUNTIF(DJ185,"ML")*DJ$6)-(COUNTIF(DO185,"ML")*DO$6))))</f>
        <v/>
      </c>
      <c r="DY185" s="153" t="str">
        <f>IF(OR($B185="NSO",$B185=0),"",IF(AND(DH185="",DI185="",DM185=""),"",IF(AND('Master Sheet'!$D$19="YES",'Marks Entry'!$BA$1=1),100,IF(AND(DJ185="",DO185=""),SUM(($DQ$7+$DR$7)-(DU185+DV185)),SUM(($DQ$6+$DR$6)-(DU185+DV185))))))</f>
        <v/>
      </c>
      <c r="DZ185" s="152" t="str">
        <f t="shared" si="487"/>
        <v/>
      </c>
      <c r="EA185" s="153" t="str">
        <f t="shared" si="488"/>
        <v/>
      </c>
      <c r="EB185" s="152" t="str">
        <f t="shared" si="489"/>
        <v/>
      </c>
      <c r="EC185" s="584" t="str">
        <f>IF('Marks Entry'!BB185="","",'Marks Entry'!BB185)</f>
        <v/>
      </c>
      <c r="ED185" s="584" t="str">
        <f>IF('Marks Entry'!BC185="","",'Marks Entry'!BC185)</f>
        <v/>
      </c>
      <c r="EE185" s="584" t="str">
        <f>IF('Marks Entry'!BD185="","",'Marks Entry'!BD185)</f>
        <v/>
      </c>
      <c r="EF185" s="590" t="str">
        <f t="shared" si="490"/>
        <v/>
      </c>
      <c r="EG185" s="595">
        <f t="shared" si="491"/>
        <v>0</v>
      </c>
      <c r="EH185" s="595">
        <f t="shared" si="492"/>
        <v>0</v>
      </c>
      <c r="EI185" s="192" t="str">
        <f t="shared" si="493"/>
        <v/>
      </c>
      <c r="EJ185" s="595" t="str">
        <f t="shared" si="494"/>
        <v/>
      </c>
      <c r="EK185" s="595" t="str">
        <f t="shared" si="495"/>
        <v/>
      </c>
      <c r="EL185" s="193" t="str">
        <f t="shared" si="496"/>
        <v/>
      </c>
      <c r="EM185" s="193" t="str">
        <f t="shared" si="497"/>
        <v/>
      </c>
      <c r="EN185" s="193" t="str">
        <f t="shared" si="498"/>
        <v/>
      </c>
      <c r="EO185" s="193" t="str">
        <f t="shared" si="499"/>
        <v/>
      </c>
      <c r="EP185" s="193" t="str">
        <f t="shared" si="500"/>
        <v/>
      </c>
      <c r="EQ185" s="193" t="str">
        <f t="shared" si="501"/>
        <v/>
      </c>
      <c r="ER185" s="194">
        <f t="shared" si="502"/>
        <v>0</v>
      </c>
      <c r="ES185" s="194">
        <f t="shared" si="503"/>
        <v>0</v>
      </c>
      <c r="ET185" s="194">
        <f t="shared" si="504"/>
        <v>0</v>
      </c>
      <c r="EU185" s="194">
        <f t="shared" si="505"/>
        <v>0</v>
      </c>
      <c r="EV185" s="194">
        <f t="shared" si="506"/>
        <v>0</v>
      </c>
      <c r="EW185" s="194" t="str">
        <f t="shared" si="507"/>
        <v/>
      </c>
      <c r="EX185" s="195" t="str">
        <f t="shared" si="508"/>
        <v/>
      </c>
      <c r="EY185" s="196" t="str">
        <f>IF('Marks Entry'!BE185="","",'Marks Entry'!BE185)</f>
        <v/>
      </c>
      <c r="EZ185" s="196" t="str">
        <f>IF('Marks Entry'!BF185="","",'Marks Entry'!BF185)</f>
        <v/>
      </c>
      <c r="FA185" s="196" t="str">
        <f>IF('Marks Entry'!BG185="","",'Marks Entry'!BG185)</f>
        <v/>
      </c>
      <c r="FB185" s="596" t="str">
        <f t="shared" si="509"/>
        <v/>
      </c>
      <c r="FC185" s="196" t="str">
        <f>IF('Marks Entry'!BH185="","",'Marks Entry'!BH185)</f>
        <v/>
      </c>
      <c r="FD185" s="196" t="str">
        <f>IF('Marks Entry'!BI185="","",'Marks Entry'!BI185)</f>
        <v/>
      </c>
      <c r="FE185" s="197" t="str">
        <f t="shared" si="510"/>
        <v/>
      </c>
      <c r="FF185" s="198" t="str">
        <f t="shared" si="511"/>
        <v/>
      </c>
      <c r="FG185" s="199" t="str">
        <f>IF(AND(E185=""),"",IF('Student DATA Entry'!L181="","",'Student DATA Entry'!L181))</f>
        <v/>
      </c>
      <c r="FH185" s="200" t="str">
        <f>IF(AND(E185=""),"",IF('Student DATA Entry'!M181="","",'Student DATA Entry'!M181))</f>
        <v/>
      </c>
      <c r="FI185" s="201" t="str">
        <f t="shared" si="512"/>
        <v/>
      </c>
      <c r="FJ185" s="188" t="str">
        <f t="shared" si="513"/>
        <v/>
      </c>
      <c r="FK185" s="188" t="str">
        <f t="shared" si="514"/>
        <v/>
      </c>
      <c r="FL185" s="202" t="str">
        <f t="shared" si="542"/>
        <v/>
      </c>
      <c r="FM185" s="188" t="str">
        <f t="shared" si="515"/>
        <v/>
      </c>
      <c r="FN185" s="203" t="str">
        <f t="shared" si="516"/>
        <v/>
      </c>
      <c r="FO185" s="202" t="str">
        <f t="shared" si="543"/>
        <v/>
      </c>
      <c r="FP185" s="204" t="str">
        <f t="shared" si="517"/>
        <v/>
      </c>
      <c r="FQ185" s="188" t="str">
        <f t="shared" si="544"/>
        <v/>
      </c>
      <c r="FR185" s="188" t="str">
        <f t="shared" si="545"/>
        <v/>
      </c>
      <c r="FS185" s="188" t="str">
        <f t="shared" si="546"/>
        <v/>
      </c>
      <c r="FT185" s="188" t="str">
        <f t="shared" si="547"/>
        <v/>
      </c>
      <c r="FU185" s="188" t="str">
        <f t="shared" si="518"/>
        <v/>
      </c>
      <c r="FV185" s="205" t="str">
        <f t="shared" si="548"/>
        <v/>
      </c>
      <c r="FW185" s="204" t="str">
        <f t="shared" si="519"/>
        <v/>
      </c>
      <c r="FX185" s="188" t="str">
        <f t="shared" si="549"/>
        <v/>
      </c>
      <c r="FY185" s="188" t="str">
        <f t="shared" si="550"/>
        <v/>
      </c>
      <c r="FZ185" s="188" t="str">
        <f t="shared" si="551"/>
        <v/>
      </c>
      <c r="GA185" s="188" t="str">
        <f t="shared" si="552"/>
        <v/>
      </c>
      <c r="GB185" s="188" t="str">
        <f t="shared" si="520"/>
        <v/>
      </c>
      <c r="GC185" s="205" t="str">
        <f t="shared" si="553"/>
        <v/>
      </c>
      <c r="GD185" s="204" t="str">
        <f t="shared" si="521"/>
        <v/>
      </c>
      <c r="GE185" s="188" t="str">
        <f t="shared" si="554"/>
        <v/>
      </c>
      <c r="GF185" s="188" t="str">
        <f t="shared" si="555"/>
        <v/>
      </c>
      <c r="GG185" s="188" t="str">
        <f t="shared" si="556"/>
        <v/>
      </c>
      <c r="GH185" s="188" t="str">
        <f t="shared" si="557"/>
        <v/>
      </c>
      <c r="GI185" s="188" t="str">
        <f t="shared" si="522"/>
        <v/>
      </c>
      <c r="GJ185" s="205" t="str">
        <f t="shared" si="558"/>
        <v/>
      </c>
      <c r="GK185" s="204" t="str">
        <f t="shared" si="523"/>
        <v/>
      </c>
      <c r="GL185" s="188" t="str">
        <f t="shared" si="559"/>
        <v/>
      </c>
      <c r="GM185" s="188" t="str">
        <f t="shared" si="560"/>
        <v/>
      </c>
      <c r="GN185" s="188" t="str">
        <f t="shared" si="561"/>
        <v/>
      </c>
      <c r="GO185" s="188" t="str">
        <f t="shared" si="562"/>
        <v/>
      </c>
      <c r="GP185" s="188" t="str">
        <f t="shared" si="524"/>
        <v/>
      </c>
      <c r="GQ185" s="205" t="str">
        <f t="shared" si="563"/>
        <v/>
      </c>
      <c r="GR185" s="188" t="str">
        <f t="shared" si="525"/>
        <v/>
      </c>
      <c r="GS185" s="188" t="str">
        <f t="shared" si="526"/>
        <v/>
      </c>
      <c r="GT185" s="206" t="str">
        <f t="shared" si="527"/>
        <v xml:space="preserve">    </v>
      </c>
      <c r="GU185" s="206" t="str">
        <f t="shared" si="528"/>
        <v xml:space="preserve">    </v>
      </c>
      <c r="GV185" s="206" t="str">
        <f t="shared" si="529"/>
        <v xml:space="preserve">    </v>
      </c>
      <c r="GW185" s="206" t="str">
        <f t="shared" si="530"/>
        <v xml:space="preserve">       </v>
      </c>
      <c r="GX185" s="598" t="str">
        <f t="shared" si="531"/>
        <v xml:space="preserve">     </v>
      </c>
      <c r="GY185" s="207" t="str">
        <f t="shared" si="564"/>
        <v/>
      </c>
      <c r="GZ185" s="606" t="str">
        <f>IF(AND(Q185="",AE185="",AZ185="",BW185="",CT185=""),"",IF(AND('Master Sheet'!$D$19="YES",'Marks Entry'!$BA$1=1),SUM(Q185,AE185,AZ185,BW185,DT185),SUM(Q185,AE185,AZ185,BW185,CT185)))</f>
        <v/>
      </c>
      <c r="HA185" s="208" t="str">
        <f>IF(GZ185="","",IF(AND('Master Sheet'!$D$19="YES",'Marks Entry'!$BA$1=1),GZ185/((900)-DC185)*100,GZ185/((1000)-DC185)*100))</f>
        <v/>
      </c>
      <c r="HB185" s="611" t="str">
        <f t="shared" si="532"/>
        <v/>
      </c>
      <c r="HC185" s="609" t="str">
        <f t="shared" si="533"/>
        <v/>
      </c>
      <c r="HD185" s="610" t="str">
        <f t="shared" si="534"/>
        <v/>
      </c>
      <c r="HE185" s="209" t="str">
        <f>IFERROR(IF(OR(GY185="SUPPLEMENTARY",GY185="RE-EXAM"),'Supp. Result Entry'!AS184,""),"")</f>
        <v/>
      </c>
      <c r="HF185" s="613" t="str">
        <f t="shared" si="535"/>
        <v/>
      </c>
      <c r="HG185" s="598" t="str">
        <f t="shared" si="536"/>
        <v/>
      </c>
      <c r="HH185" s="598" t="str">
        <f>IF(AND(HE185="",HF185="",HG185=""),"",IF(OR(GY185="SUPPLEMENTARY",GY185="RE-EXAM"),'Supp. Result Entry'!AS184,GY185))</f>
        <v/>
      </c>
      <c r="HI185" s="179"/>
      <c r="HY185" s="211" t="str">
        <f>IF('Supp. Result Entry'!U184="","",'Supp. Result Entry'!$U$6)</f>
        <v/>
      </c>
      <c r="HZ185" s="212" t="str">
        <f>IF('Supp. Result Entry'!X184="","",'Supp. Result Entry'!$X$6)</f>
        <v/>
      </c>
      <c r="IA185" s="212" t="str">
        <f>IF('Supp. Result Entry'!AA184="","",'Supp. Result Entry'!$AA$6)</f>
        <v/>
      </c>
      <c r="IB185" s="212" t="str">
        <f>IF('Supp. Result Entry'!AD184="","",'Supp. Result Entry'!$AD$6)</f>
        <v/>
      </c>
      <c r="IC185" s="212" t="str">
        <f>IF('Supp. Result Entry'!AG184="","",'Supp. Result Entry'!$AG$6)</f>
        <v/>
      </c>
      <c r="ID185" s="212" t="str">
        <f>IF('Supp. Result Entry'!AJ184="","",'Supp. Result Entry'!$AJ$6)</f>
        <v/>
      </c>
      <c r="IE185" s="212" t="str">
        <f>IF('Supp. Result Entry'!V184="","",'Supp. Result Entry'!V184)</f>
        <v/>
      </c>
      <c r="IF185" s="212" t="str">
        <f>IF('Supp. Result Entry'!Y184="","",'Supp. Result Entry'!Y184)</f>
        <v/>
      </c>
      <c r="IG185" s="212" t="str">
        <f>IF('Supp. Result Entry'!AB184="","",'Supp. Result Entry'!AB184)</f>
        <v/>
      </c>
      <c r="IH185" s="212" t="str">
        <f>IF('Supp. Result Entry'!AE184="","",'Supp. Result Entry'!AE184)</f>
        <v/>
      </c>
      <c r="II185" s="212" t="str">
        <f>IF('Supp. Result Entry'!AH184="","",'Supp. Result Entry'!AH184)</f>
        <v/>
      </c>
      <c r="IJ185" s="212" t="str">
        <f>IF('Supp. Result Entry'!AK184="","",'Supp. Result Entry'!AK184)</f>
        <v/>
      </c>
      <c r="IK185" s="212" t="str">
        <f>IF('Supp. Result Entry'!W184="","",'Supp. Result Entry'!W184)</f>
        <v/>
      </c>
      <c r="IL185" s="212" t="str">
        <f>IF('Supp. Result Entry'!Z184="","",'Supp. Result Entry'!Z184)</f>
        <v/>
      </c>
      <c r="IM185" s="212" t="str">
        <f>IF('Supp. Result Entry'!AC184="","",'Supp. Result Entry'!AC184)</f>
        <v/>
      </c>
      <c r="IN185" s="212" t="str">
        <f>IF('Supp. Result Entry'!AF184="","",'Supp. Result Entry'!AF184)</f>
        <v/>
      </c>
      <c r="IO185" s="212" t="str">
        <f>IF('Supp. Result Entry'!AI184="","",'Supp. Result Entry'!AI184)</f>
        <v/>
      </c>
      <c r="IP185" s="212" t="str">
        <f>IF('Supp. Result Entry'!AL184="","",'Supp. Result Entry'!AL184)</f>
        <v/>
      </c>
      <c r="IQ185" s="212">
        <f>COUNTIF('Supp. Result Entry'!K184:Q184,"S")</f>
        <v>0</v>
      </c>
      <c r="IR185" s="212">
        <f t="shared" si="537"/>
        <v>0</v>
      </c>
      <c r="IS185" s="212">
        <f t="shared" si="538"/>
        <v>0</v>
      </c>
      <c r="IT185" s="212" t="str">
        <f t="shared" si="406"/>
        <v/>
      </c>
      <c r="IU185" s="212" t="str">
        <f t="shared" si="407"/>
        <v/>
      </c>
      <c r="IV185" s="212" t="str">
        <f t="shared" si="408"/>
        <v/>
      </c>
      <c r="IW185" s="212" t="str">
        <f t="shared" si="409"/>
        <v/>
      </c>
      <c r="IX185" s="212" t="str">
        <f t="shared" si="410"/>
        <v/>
      </c>
      <c r="IY185" s="212" t="str">
        <f t="shared" si="539"/>
        <v/>
      </c>
      <c r="IZ185" s="212" t="str">
        <f t="shared" si="540"/>
        <v/>
      </c>
      <c r="JA185" s="212" t="str">
        <f t="shared" si="411"/>
        <v/>
      </c>
      <c r="JB185" s="210" t="str">
        <f t="shared" si="541"/>
        <v/>
      </c>
    </row>
    <row r="186" spans="1:262" s="210" customFormat="1" ht="21" customHeight="1">
      <c r="A186" s="183">
        <v>179</v>
      </c>
      <c r="B186" s="184" t="str">
        <f>IF('Marks Entry'!B186="","",'Marks Entry'!B186)</f>
        <v/>
      </c>
      <c r="C186" s="185" t="str">
        <f>IF('Marks Entry'!D186="","",'Marks Entry'!D186)</f>
        <v/>
      </c>
      <c r="D186" s="186" t="str">
        <f>IF('Marks Entry'!E186="","",'Marks Entry'!E186)</f>
        <v/>
      </c>
      <c r="E186" s="187" t="str">
        <f>IF('Marks Entry'!F186="","",'Marks Entry'!F186)</f>
        <v/>
      </c>
      <c r="F186" s="187" t="str">
        <f>IF('Marks Entry'!G186="","",'Marks Entry'!G186)</f>
        <v/>
      </c>
      <c r="G186" s="187" t="str">
        <f>IF('Marks Entry'!H186="","",'Marks Entry'!H186)</f>
        <v/>
      </c>
      <c r="H186" s="188" t="str">
        <f>IF('Marks Entry'!I186="","",'Marks Entry'!I186)</f>
        <v/>
      </c>
      <c r="I186" s="189" t="str">
        <f>IF('Marks Entry'!J186="","",'Marks Entry'!J186)</f>
        <v/>
      </c>
      <c r="J186" s="545" t="str">
        <f>IF('Marks Entry'!K186="","",'Marks Entry'!K186)</f>
        <v/>
      </c>
      <c r="K186" s="545" t="str">
        <f>IF('Marks Entry'!L186="","",'Marks Entry'!L186)</f>
        <v/>
      </c>
      <c r="L186" s="545" t="str">
        <f>IF('Marks Entry'!M186="","",'Marks Entry'!M186)</f>
        <v/>
      </c>
      <c r="M186" s="546" t="str">
        <f t="shared" si="412"/>
        <v/>
      </c>
      <c r="N186" s="545" t="str">
        <f>IF('Marks Entry'!N186="","",'Marks Entry'!N186)</f>
        <v/>
      </c>
      <c r="O186" s="546" t="str">
        <f t="shared" si="413"/>
        <v/>
      </c>
      <c r="P186" s="545" t="str">
        <f>IF('Marks Entry'!O186="","",'Marks Entry'!O186)</f>
        <v/>
      </c>
      <c r="Q186" s="547" t="str">
        <f t="shared" si="414"/>
        <v/>
      </c>
      <c r="R186" s="152">
        <f t="shared" si="415"/>
        <v>0</v>
      </c>
      <c r="S186" s="152">
        <f t="shared" si="416"/>
        <v>0</v>
      </c>
      <c r="T186" s="153" t="str">
        <f t="shared" si="417"/>
        <v/>
      </c>
      <c r="U186" s="152" t="str">
        <f t="shared" si="418"/>
        <v/>
      </c>
      <c r="V186" s="152" t="str">
        <f t="shared" si="419"/>
        <v/>
      </c>
      <c r="W186" s="152" t="str">
        <f t="shared" si="420"/>
        <v/>
      </c>
      <c r="X186" s="545" t="str">
        <f>IF('Marks Entry'!P186="","",'Marks Entry'!P186)</f>
        <v/>
      </c>
      <c r="Y186" s="545" t="str">
        <f>IF('Marks Entry'!Q186="","",'Marks Entry'!Q186)</f>
        <v/>
      </c>
      <c r="Z186" s="545" t="str">
        <f>IF('Marks Entry'!R186="","",'Marks Entry'!R186)</f>
        <v/>
      </c>
      <c r="AA186" s="546" t="str">
        <f t="shared" si="421"/>
        <v/>
      </c>
      <c r="AB186" s="545" t="str">
        <f>IF('Marks Entry'!S186="","",'Marks Entry'!S186)</f>
        <v/>
      </c>
      <c r="AC186" s="546" t="str">
        <f t="shared" si="422"/>
        <v/>
      </c>
      <c r="AD186" s="545" t="str">
        <f>IF('Marks Entry'!T186="","",'Marks Entry'!T186)</f>
        <v/>
      </c>
      <c r="AE186" s="547" t="str">
        <f t="shared" si="423"/>
        <v/>
      </c>
      <c r="AF186" s="152">
        <f t="shared" si="424"/>
        <v>0</v>
      </c>
      <c r="AG186" s="152">
        <f t="shared" si="425"/>
        <v>0</v>
      </c>
      <c r="AH186" s="153" t="str">
        <f t="shared" si="426"/>
        <v/>
      </c>
      <c r="AI186" s="152" t="str">
        <f t="shared" si="427"/>
        <v/>
      </c>
      <c r="AJ186" s="152" t="str">
        <f t="shared" si="428"/>
        <v/>
      </c>
      <c r="AK186" s="152" t="str">
        <f t="shared" si="429"/>
        <v/>
      </c>
      <c r="AL186" s="573" t="str">
        <f>IF('Marks Entry'!U186="","",'Marks Entry'!U186)</f>
        <v/>
      </c>
      <c r="AM186" s="573" t="str">
        <f>IF('Marks Entry'!V186="","",'Marks Entry'!V186)</f>
        <v/>
      </c>
      <c r="AN186" s="573" t="str">
        <f>IF('Marks Entry'!W186="","",'Marks Entry'!W186)</f>
        <v/>
      </c>
      <c r="AO186" s="573" t="str">
        <f>IF('Marks Entry'!X186="","",'Marks Entry'!X186)</f>
        <v/>
      </c>
      <c r="AP186" s="572" t="str">
        <f t="shared" si="430"/>
        <v/>
      </c>
      <c r="AQ186" s="573" t="str">
        <f>IF('Marks Entry'!Y186="","",'Marks Entry'!Y186)</f>
        <v/>
      </c>
      <c r="AR186" s="573" t="str">
        <f>IF('Marks Entry'!Z186="","",'Marks Entry'!Z186)</f>
        <v/>
      </c>
      <c r="AS186" s="572" t="str">
        <f t="shared" si="431"/>
        <v/>
      </c>
      <c r="AT186" s="572" t="str">
        <f t="shared" si="432"/>
        <v/>
      </c>
      <c r="AU186" s="573" t="str">
        <f>IF('Marks Entry'!AA186="","",'Marks Entry'!AA186)</f>
        <v/>
      </c>
      <c r="AV186" s="573" t="str">
        <f>IF('Marks Entry'!AB186="","",'Marks Entry'!AB186)</f>
        <v/>
      </c>
      <c r="AW186" s="572" t="str">
        <f t="shared" si="433"/>
        <v/>
      </c>
      <c r="AX186" s="156" t="str">
        <f t="shared" si="434"/>
        <v/>
      </c>
      <c r="AY186" s="156" t="str">
        <f t="shared" si="435"/>
        <v/>
      </c>
      <c r="AZ186" s="191" t="str">
        <f t="shared" si="436"/>
        <v/>
      </c>
      <c r="BA186" s="152">
        <f t="shared" si="437"/>
        <v>0</v>
      </c>
      <c r="BB186" s="153">
        <f t="shared" si="438"/>
        <v>0</v>
      </c>
      <c r="BC186" s="153" t="str">
        <f t="shared" si="439"/>
        <v/>
      </c>
      <c r="BD186" s="153" t="str">
        <f t="shared" si="440"/>
        <v/>
      </c>
      <c r="BE186" s="153" t="str">
        <f t="shared" si="441"/>
        <v/>
      </c>
      <c r="BF186" s="152" t="str">
        <f t="shared" si="442"/>
        <v/>
      </c>
      <c r="BG186" s="153" t="str">
        <f t="shared" si="443"/>
        <v/>
      </c>
      <c r="BH186" s="152" t="str">
        <f t="shared" si="444"/>
        <v/>
      </c>
      <c r="BI186" s="580" t="str">
        <f>IF('Marks Entry'!AC186="","",'Marks Entry'!AC186)</f>
        <v/>
      </c>
      <c r="BJ186" s="580" t="str">
        <f>IF('Marks Entry'!AD186="","",'Marks Entry'!AD186)</f>
        <v/>
      </c>
      <c r="BK186" s="580" t="str">
        <f>IF('Marks Entry'!AE186="","",'Marks Entry'!AE186)</f>
        <v/>
      </c>
      <c r="BL186" s="580" t="str">
        <f>IF('Marks Entry'!AF186="","",'Marks Entry'!AF186)</f>
        <v/>
      </c>
      <c r="BM186" s="581" t="str">
        <f t="shared" si="445"/>
        <v/>
      </c>
      <c r="BN186" s="580" t="str">
        <f>IF('Marks Entry'!AG186="","",'Marks Entry'!AG186)</f>
        <v/>
      </c>
      <c r="BO186" s="580" t="str">
        <f>IF('Marks Entry'!AH186="","",'Marks Entry'!AH186)</f>
        <v/>
      </c>
      <c r="BP186" s="581" t="str">
        <f t="shared" si="446"/>
        <v/>
      </c>
      <c r="BQ186" s="581" t="str">
        <f t="shared" si="447"/>
        <v/>
      </c>
      <c r="BR186" s="580" t="str">
        <f>IF('Marks Entry'!AI186="","",'Marks Entry'!AI186)</f>
        <v/>
      </c>
      <c r="BS186" s="580" t="str">
        <f>IF('Marks Entry'!AJ186="","",'Marks Entry'!AJ186)</f>
        <v/>
      </c>
      <c r="BT186" s="581" t="str">
        <f t="shared" si="448"/>
        <v/>
      </c>
      <c r="BU186" s="156" t="str">
        <f t="shared" si="449"/>
        <v/>
      </c>
      <c r="BV186" s="156" t="str">
        <f t="shared" si="450"/>
        <v/>
      </c>
      <c r="BW186" s="191" t="str">
        <f t="shared" si="451"/>
        <v/>
      </c>
      <c r="BX186" s="152">
        <f t="shared" si="452"/>
        <v>0</v>
      </c>
      <c r="BY186" s="153">
        <f t="shared" si="453"/>
        <v>0</v>
      </c>
      <c r="BZ186" s="153" t="str">
        <f t="shared" si="454"/>
        <v/>
      </c>
      <c r="CA186" s="153" t="str">
        <f t="shared" si="455"/>
        <v/>
      </c>
      <c r="CB186" s="153" t="str">
        <f t="shared" si="456"/>
        <v/>
      </c>
      <c r="CC186" s="152" t="str">
        <f t="shared" si="457"/>
        <v/>
      </c>
      <c r="CD186" s="153" t="str">
        <f t="shared" si="458"/>
        <v/>
      </c>
      <c r="CE186" s="152" t="str">
        <f t="shared" si="459"/>
        <v/>
      </c>
      <c r="CF186" s="580" t="str">
        <f>IF('Marks Entry'!AK186="","",'Marks Entry'!AK186)</f>
        <v/>
      </c>
      <c r="CG186" s="580" t="str">
        <f>IF('Marks Entry'!AL186="","",'Marks Entry'!AL186)</f>
        <v/>
      </c>
      <c r="CH186" s="580" t="str">
        <f>IF('Marks Entry'!AM186="","",'Marks Entry'!AM186)</f>
        <v/>
      </c>
      <c r="CI186" s="580" t="str">
        <f>IF('Marks Entry'!AN186="","",'Marks Entry'!AN186)</f>
        <v/>
      </c>
      <c r="CJ186" s="581" t="str">
        <f t="shared" si="460"/>
        <v/>
      </c>
      <c r="CK186" s="580" t="str">
        <f>IF('Marks Entry'!AO186="","",'Marks Entry'!AO186)</f>
        <v/>
      </c>
      <c r="CL186" s="580" t="str">
        <f>IF('Marks Entry'!AP186="","",'Marks Entry'!AP186)</f>
        <v/>
      </c>
      <c r="CM186" s="581" t="str">
        <f t="shared" si="461"/>
        <v/>
      </c>
      <c r="CN186" s="581" t="str">
        <f t="shared" si="462"/>
        <v/>
      </c>
      <c r="CO186" s="580" t="str">
        <f>IF('Marks Entry'!AQ186="","",'Marks Entry'!AQ186)</f>
        <v/>
      </c>
      <c r="CP186" s="580" t="str">
        <f>IF('Marks Entry'!AR186="","",'Marks Entry'!AR186)</f>
        <v/>
      </c>
      <c r="CQ186" s="581" t="str">
        <f t="shared" si="463"/>
        <v/>
      </c>
      <c r="CR186" s="156" t="str">
        <f t="shared" si="464"/>
        <v/>
      </c>
      <c r="CS186" s="156" t="str">
        <f t="shared" si="465"/>
        <v/>
      </c>
      <c r="CT186" s="191" t="str">
        <f t="shared" si="466"/>
        <v/>
      </c>
      <c r="CU186" s="152">
        <f t="shared" si="467"/>
        <v>0</v>
      </c>
      <c r="CV186" s="153">
        <f t="shared" si="468"/>
        <v>0</v>
      </c>
      <c r="CW186" s="153" t="str">
        <f t="shared" si="469"/>
        <v/>
      </c>
      <c r="CX186" s="153" t="str">
        <f t="shared" si="470"/>
        <v/>
      </c>
      <c r="CY186" s="153" t="str">
        <f t="shared" si="471"/>
        <v/>
      </c>
      <c r="CZ186" s="152" t="str">
        <f t="shared" si="472"/>
        <v/>
      </c>
      <c r="DA186" s="153" t="str">
        <f t="shared" si="473"/>
        <v/>
      </c>
      <c r="DB186" s="152" t="str">
        <f t="shared" si="474"/>
        <v/>
      </c>
      <c r="DC186" s="153">
        <f t="shared" si="475"/>
        <v>0</v>
      </c>
      <c r="DD186" s="851" t="str">
        <f>IF('Marks Entry'!AS186="","",IF(OR('Master Sheet'!$D$19="YES",'Marks Entry'!$BA$1=1),'Marks Entry'!AS186,""))</f>
        <v/>
      </c>
      <c r="DE186" s="851" t="str">
        <f>IF('Marks Entry'!AT186="","",IF(OR('Master Sheet'!$D$19="YES",'Marks Entry'!$BA$1=1),'Marks Entry'!AT186,""))</f>
        <v/>
      </c>
      <c r="DF186" s="851" t="str">
        <f>IF('Marks Entry'!AU186="","",IF(OR('Master Sheet'!$D$19="YES",'Marks Entry'!$BA$1=1),'Marks Entry'!AU186,""))</f>
        <v/>
      </c>
      <c r="DG186" s="851" t="str">
        <f>IF('Marks Entry'!AV186="","",IF(OR('Master Sheet'!$D$19="YES",'Marks Entry'!$BA$1=1),'Marks Entry'!AV186,""))</f>
        <v/>
      </c>
      <c r="DH186" s="852" t="str">
        <f t="shared" si="476"/>
        <v/>
      </c>
      <c r="DI186" s="851" t="str">
        <f>IF('Marks Entry'!AW186="","",IF(OR('Master Sheet'!$D$19="YES",'Marks Entry'!$BA$1=1),'Marks Entry'!AW186,""))</f>
        <v/>
      </c>
      <c r="DJ186" s="851" t="str">
        <f>IF('Marks Entry'!AX186="","",IF(OR('Master Sheet'!$D$19="YES",'Marks Entry'!$BA$1=1),'Marks Entry'!AX186,""))</f>
        <v/>
      </c>
      <c r="DK186" s="852" t="str">
        <f t="shared" si="477"/>
        <v/>
      </c>
      <c r="DL186" s="852" t="str">
        <f t="shared" si="478"/>
        <v/>
      </c>
      <c r="DM186" s="851" t="str">
        <f>IF('Marks Entry'!AY186="","",IF(OR('Master Sheet'!$D$19="YES",'Marks Entry'!$BA$1=1),'Marks Entry'!AY186,""))</f>
        <v/>
      </c>
      <c r="DN186" s="851" t="str">
        <f>IF('Marks Entry'!AZ186="","",IF(OR('Master Sheet'!$D$19="YES",'Marks Entry'!$BA$1=1),'Marks Entry'!AZ186,""))</f>
        <v/>
      </c>
      <c r="DO186" s="851" t="str">
        <f>IF('Marks Entry'!BA186="","",IF(OR('Master Sheet'!$D$19="YES",'Marks Entry'!$BA$1=1),'Marks Entry'!BA186,""))</f>
        <v/>
      </c>
      <c r="DP186" s="852" t="str">
        <f t="shared" si="479"/>
        <v/>
      </c>
      <c r="DQ186" s="156" t="str">
        <f t="shared" si="480"/>
        <v/>
      </c>
      <c r="DR186" s="156" t="str">
        <f t="shared" si="481"/>
        <v/>
      </c>
      <c r="DS186" s="156" t="str">
        <f t="shared" si="482"/>
        <v/>
      </c>
      <c r="DT186" s="191" t="str">
        <f t="shared" si="483"/>
        <v/>
      </c>
      <c r="DU186" s="152">
        <f t="shared" si="484"/>
        <v>0</v>
      </c>
      <c r="DV186" s="153">
        <f t="shared" si="485"/>
        <v>0</v>
      </c>
      <c r="DW186" s="153" t="str">
        <f t="shared" si="486"/>
        <v/>
      </c>
      <c r="DX186" s="153" t="str">
        <f>IF(OR($B186="NSO",$B186=0,DS186=""),"",IF(AND(DJ186="",DO186=""),"",IF('Master Sheet'!$D$19="YES",$DO$6-COUNTIF(DO186,"ML")*DO$6,DS$6-(COUNTIF(DJ186,"ML")*DJ$6)-(COUNTIF(DO186,"ML")*DO$6))))</f>
        <v/>
      </c>
      <c r="DY186" s="153" t="str">
        <f>IF(OR($B186="NSO",$B186=0),"",IF(AND(DH186="",DI186="",DM186=""),"",IF(AND('Master Sheet'!$D$19="YES",'Marks Entry'!$BA$1=1),100,IF(AND(DJ186="",DO186=""),SUM(($DQ$7+$DR$7)-(DU186+DV186)),SUM(($DQ$6+$DR$6)-(DU186+DV186))))))</f>
        <v/>
      </c>
      <c r="DZ186" s="152" t="str">
        <f t="shared" si="487"/>
        <v/>
      </c>
      <c r="EA186" s="153" t="str">
        <f t="shared" si="488"/>
        <v/>
      </c>
      <c r="EB186" s="152" t="str">
        <f t="shared" si="489"/>
        <v/>
      </c>
      <c r="EC186" s="584" t="str">
        <f>IF('Marks Entry'!BB186="","",'Marks Entry'!BB186)</f>
        <v/>
      </c>
      <c r="ED186" s="584" t="str">
        <f>IF('Marks Entry'!BC186="","",'Marks Entry'!BC186)</f>
        <v/>
      </c>
      <c r="EE186" s="584" t="str">
        <f>IF('Marks Entry'!BD186="","",'Marks Entry'!BD186)</f>
        <v/>
      </c>
      <c r="EF186" s="590" t="str">
        <f t="shared" si="490"/>
        <v/>
      </c>
      <c r="EG186" s="595">
        <f t="shared" si="491"/>
        <v>0</v>
      </c>
      <c r="EH186" s="595">
        <f t="shared" si="492"/>
        <v>0</v>
      </c>
      <c r="EI186" s="192" t="str">
        <f t="shared" si="493"/>
        <v/>
      </c>
      <c r="EJ186" s="595" t="str">
        <f t="shared" si="494"/>
        <v/>
      </c>
      <c r="EK186" s="595" t="str">
        <f t="shared" si="495"/>
        <v/>
      </c>
      <c r="EL186" s="193" t="str">
        <f t="shared" si="496"/>
        <v/>
      </c>
      <c r="EM186" s="193" t="str">
        <f t="shared" si="497"/>
        <v/>
      </c>
      <c r="EN186" s="193" t="str">
        <f t="shared" si="498"/>
        <v/>
      </c>
      <c r="EO186" s="193" t="str">
        <f t="shared" si="499"/>
        <v/>
      </c>
      <c r="EP186" s="193" t="str">
        <f t="shared" si="500"/>
        <v/>
      </c>
      <c r="EQ186" s="193" t="str">
        <f t="shared" si="501"/>
        <v/>
      </c>
      <c r="ER186" s="194">
        <f t="shared" si="502"/>
        <v>0</v>
      </c>
      <c r="ES186" s="194">
        <f t="shared" si="503"/>
        <v>0</v>
      </c>
      <c r="ET186" s="194">
        <f t="shared" si="504"/>
        <v>0</v>
      </c>
      <c r="EU186" s="194">
        <f t="shared" si="505"/>
        <v>0</v>
      </c>
      <c r="EV186" s="194">
        <f t="shared" si="506"/>
        <v>0</v>
      </c>
      <c r="EW186" s="194" t="str">
        <f t="shared" si="507"/>
        <v/>
      </c>
      <c r="EX186" s="195" t="str">
        <f t="shared" si="508"/>
        <v/>
      </c>
      <c r="EY186" s="196" t="str">
        <f>IF('Marks Entry'!BE186="","",'Marks Entry'!BE186)</f>
        <v/>
      </c>
      <c r="EZ186" s="196" t="str">
        <f>IF('Marks Entry'!BF186="","",'Marks Entry'!BF186)</f>
        <v/>
      </c>
      <c r="FA186" s="196" t="str">
        <f>IF('Marks Entry'!BG186="","",'Marks Entry'!BG186)</f>
        <v/>
      </c>
      <c r="FB186" s="596" t="str">
        <f t="shared" si="509"/>
        <v/>
      </c>
      <c r="FC186" s="196" t="str">
        <f>IF('Marks Entry'!BH186="","",'Marks Entry'!BH186)</f>
        <v/>
      </c>
      <c r="FD186" s="196" t="str">
        <f>IF('Marks Entry'!BI186="","",'Marks Entry'!BI186)</f>
        <v/>
      </c>
      <c r="FE186" s="197" t="str">
        <f t="shared" si="510"/>
        <v/>
      </c>
      <c r="FF186" s="198" t="str">
        <f t="shared" si="511"/>
        <v/>
      </c>
      <c r="FG186" s="199" t="str">
        <f>IF(AND(E186=""),"",IF('Student DATA Entry'!L182="","",'Student DATA Entry'!L182))</f>
        <v/>
      </c>
      <c r="FH186" s="200" t="str">
        <f>IF(AND(E186=""),"",IF('Student DATA Entry'!M182="","",'Student DATA Entry'!M182))</f>
        <v/>
      </c>
      <c r="FI186" s="201" t="str">
        <f t="shared" si="512"/>
        <v/>
      </c>
      <c r="FJ186" s="188" t="str">
        <f t="shared" si="513"/>
        <v/>
      </c>
      <c r="FK186" s="188" t="str">
        <f t="shared" si="514"/>
        <v/>
      </c>
      <c r="FL186" s="202" t="str">
        <f t="shared" si="542"/>
        <v/>
      </c>
      <c r="FM186" s="188" t="str">
        <f t="shared" si="515"/>
        <v/>
      </c>
      <c r="FN186" s="203" t="str">
        <f t="shared" si="516"/>
        <v/>
      </c>
      <c r="FO186" s="202" t="str">
        <f t="shared" si="543"/>
        <v/>
      </c>
      <c r="FP186" s="204" t="str">
        <f t="shared" si="517"/>
        <v/>
      </c>
      <c r="FQ186" s="188" t="str">
        <f t="shared" si="544"/>
        <v/>
      </c>
      <c r="FR186" s="188" t="str">
        <f t="shared" si="545"/>
        <v/>
      </c>
      <c r="FS186" s="188" t="str">
        <f t="shared" si="546"/>
        <v/>
      </c>
      <c r="FT186" s="188" t="str">
        <f t="shared" si="547"/>
        <v/>
      </c>
      <c r="FU186" s="188" t="str">
        <f t="shared" si="518"/>
        <v/>
      </c>
      <c r="FV186" s="205" t="str">
        <f t="shared" si="548"/>
        <v/>
      </c>
      <c r="FW186" s="204" t="str">
        <f t="shared" si="519"/>
        <v/>
      </c>
      <c r="FX186" s="188" t="str">
        <f t="shared" si="549"/>
        <v/>
      </c>
      <c r="FY186" s="188" t="str">
        <f t="shared" si="550"/>
        <v/>
      </c>
      <c r="FZ186" s="188" t="str">
        <f t="shared" si="551"/>
        <v/>
      </c>
      <c r="GA186" s="188" t="str">
        <f t="shared" si="552"/>
        <v/>
      </c>
      <c r="GB186" s="188" t="str">
        <f t="shared" si="520"/>
        <v/>
      </c>
      <c r="GC186" s="205" t="str">
        <f t="shared" si="553"/>
        <v/>
      </c>
      <c r="GD186" s="204" t="str">
        <f t="shared" si="521"/>
        <v/>
      </c>
      <c r="GE186" s="188" t="str">
        <f t="shared" si="554"/>
        <v/>
      </c>
      <c r="GF186" s="188" t="str">
        <f t="shared" si="555"/>
        <v/>
      </c>
      <c r="GG186" s="188" t="str">
        <f t="shared" si="556"/>
        <v/>
      </c>
      <c r="GH186" s="188" t="str">
        <f t="shared" si="557"/>
        <v/>
      </c>
      <c r="GI186" s="188" t="str">
        <f t="shared" si="522"/>
        <v/>
      </c>
      <c r="GJ186" s="205" t="str">
        <f t="shared" si="558"/>
        <v/>
      </c>
      <c r="GK186" s="204" t="str">
        <f t="shared" si="523"/>
        <v/>
      </c>
      <c r="GL186" s="188" t="str">
        <f t="shared" si="559"/>
        <v/>
      </c>
      <c r="GM186" s="188" t="str">
        <f t="shared" si="560"/>
        <v/>
      </c>
      <c r="GN186" s="188" t="str">
        <f t="shared" si="561"/>
        <v/>
      </c>
      <c r="GO186" s="188" t="str">
        <f t="shared" si="562"/>
        <v/>
      </c>
      <c r="GP186" s="188" t="str">
        <f t="shared" si="524"/>
        <v/>
      </c>
      <c r="GQ186" s="205" t="str">
        <f t="shared" si="563"/>
        <v/>
      </c>
      <c r="GR186" s="188" t="str">
        <f t="shared" si="525"/>
        <v/>
      </c>
      <c r="GS186" s="188" t="str">
        <f t="shared" si="526"/>
        <v/>
      </c>
      <c r="GT186" s="206" t="str">
        <f t="shared" si="527"/>
        <v xml:space="preserve">    </v>
      </c>
      <c r="GU186" s="206" t="str">
        <f t="shared" si="528"/>
        <v xml:space="preserve">    </v>
      </c>
      <c r="GV186" s="206" t="str">
        <f t="shared" si="529"/>
        <v xml:space="preserve">    </v>
      </c>
      <c r="GW186" s="206" t="str">
        <f t="shared" si="530"/>
        <v xml:space="preserve">       </v>
      </c>
      <c r="GX186" s="598" t="str">
        <f t="shared" si="531"/>
        <v xml:space="preserve">     </v>
      </c>
      <c r="GY186" s="207" t="str">
        <f t="shared" si="564"/>
        <v/>
      </c>
      <c r="GZ186" s="606" t="str">
        <f>IF(AND(Q186="",AE186="",AZ186="",BW186="",CT186=""),"",IF(AND('Master Sheet'!$D$19="YES",'Marks Entry'!$BA$1=1),SUM(Q186,AE186,AZ186,BW186,DT186),SUM(Q186,AE186,AZ186,BW186,CT186)))</f>
        <v/>
      </c>
      <c r="HA186" s="208" t="str">
        <f>IF(GZ186="","",IF(AND('Master Sheet'!$D$19="YES",'Marks Entry'!$BA$1=1),GZ186/((900)-DC186)*100,GZ186/((1000)-DC186)*100))</f>
        <v/>
      </c>
      <c r="HB186" s="611" t="str">
        <f t="shared" si="532"/>
        <v/>
      </c>
      <c r="HC186" s="609" t="str">
        <f t="shared" si="533"/>
        <v/>
      </c>
      <c r="HD186" s="610" t="str">
        <f t="shared" si="534"/>
        <v/>
      </c>
      <c r="HE186" s="209" t="str">
        <f>IFERROR(IF(OR(GY186="SUPPLEMENTARY",GY186="RE-EXAM"),'Supp. Result Entry'!AS185,""),"")</f>
        <v/>
      </c>
      <c r="HF186" s="613" t="str">
        <f t="shared" si="535"/>
        <v/>
      </c>
      <c r="HG186" s="598" t="str">
        <f t="shared" si="536"/>
        <v/>
      </c>
      <c r="HH186" s="598" t="str">
        <f>IF(AND(HE186="",HF186="",HG186=""),"",IF(OR(GY186="SUPPLEMENTARY",GY186="RE-EXAM"),'Supp. Result Entry'!AS185,GY186))</f>
        <v/>
      </c>
      <c r="HI186" s="179"/>
      <c r="HY186" s="211" t="str">
        <f>IF('Supp. Result Entry'!U185="","",'Supp. Result Entry'!$U$6)</f>
        <v/>
      </c>
      <c r="HZ186" s="212" t="str">
        <f>IF('Supp. Result Entry'!X185="","",'Supp. Result Entry'!$X$6)</f>
        <v/>
      </c>
      <c r="IA186" s="212" t="str">
        <f>IF('Supp. Result Entry'!AA185="","",'Supp. Result Entry'!$AA$6)</f>
        <v/>
      </c>
      <c r="IB186" s="212" t="str">
        <f>IF('Supp. Result Entry'!AD185="","",'Supp. Result Entry'!$AD$6)</f>
        <v/>
      </c>
      <c r="IC186" s="212" t="str">
        <f>IF('Supp. Result Entry'!AG185="","",'Supp. Result Entry'!$AG$6)</f>
        <v/>
      </c>
      <c r="ID186" s="212" t="str">
        <f>IF('Supp. Result Entry'!AJ185="","",'Supp. Result Entry'!$AJ$6)</f>
        <v/>
      </c>
      <c r="IE186" s="212" t="str">
        <f>IF('Supp. Result Entry'!V185="","",'Supp. Result Entry'!V185)</f>
        <v/>
      </c>
      <c r="IF186" s="212" t="str">
        <f>IF('Supp. Result Entry'!Y185="","",'Supp. Result Entry'!Y185)</f>
        <v/>
      </c>
      <c r="IG186" s="212" t="str">
        <f>IF('Supp. Result Entry'!AB185="","",'Supp. Result Entry'!AB185)</f>
        <v/>
      </c>
      <c r="IH186" s="212" t="str">
        <f>IF('Supp. Result Entry'!AE185="","",'Supp. Result Entry'!AE185)</f>
        <v/>
      </c>
      <c r="II186" s="212" t="str">
        <f>IF('Supp. Result Entry'!AH185="","",'Supp. Result Entry'!AH185)</f>
        <v/>
      </c>
      <c r="IJ186" s="212" t="str">
        <f>IF('Supp. Result Entry'!AK185="","",'Supp. Result Entry'!AK185)</f>
        <v/>
      </c>
      <c r="IK186" s="212" t="str">
        <f>IF('Supp. Result Entry'!W185="","",'Supp. Result Entry'!W185)</f>
        <v/>
      </c>
      <c r="IL186" s="212" t="str">
        <f>IF('Supp. Result Entry'!Z185="","",'Supp. Result Entry'!Z185)</f>
        <v/>
      </c>
      <c r="IM186" s="212" t="str">
        <f>IF('Supp. Result Entry'!AC185="","",'Supp. Result Entry'!AC185)</f>
        <v/>
      </c>
      <c r="IN186" s="212" t="str">
        <f>IF('Supp. Result Entry'!AF185="","",'Supp. Result Entry'!AF185)</f>
        <v/>
      </c>
      <c r="IO186" s="212" t="str">
        <f>IF('Supp. Result Entry'!AI185="","",'Supp. Result Entry'!AI185)</f>
        <v/>
      </c>
      <c r="IP186" s="212" t="str">
        <f>IF('Supp. Result Entry'!AL185="","",'Supp. Result Entry'!AL185)</f>
        <v/>
      </c>
      <c r="IQ186" s="212">
        <f>COUNTIF('Supp. Result Entry'!K185:Q185,"S")</f>
        <v>0</v>
      </c>
      <c r="IR186" s="212">
        <f t="shared" si="537"/>
        <v>0</v>
      </c>
      <c r="IS186" s="212">
        <f t="shared" si="538"/>
        <v>0</v>
      </c>
      <c r="IT186" s="212" t="str">
        <f t="shared" si="406"/>
        <v/>
      </c>
      <c r="IU186" s="212" t="str">
        <f t="shared" si="407"/>
        <v/>
      </c>
      <c r="IV186" s="212" t="str">
        <f t="shared" si="408"/>
        <v/>
      </c>
      <c r="IW186" s="212" t="str">
        <f t="shared" si="409"/>
        <v/>
      </c>
      <c r="IX186" s="212" t="str">
        <f t="shared" si="410"/>
        <v/>
      </c>
      <c r="IY186" s="212" t="str">
        <f t="shared" si="539"/>
        <v/>
      </c>
      <c r="IZ186" s="212" t="str">
        <f t="shared" si="540"/>
        <v/>
      </c>
      <c r="JA186" s="212" t="str">
        <f t="shared" si="411"/>
        <v/>
      </c>
      <c r="JB186" s="210" t="str">
        <f t="shared" si="541"/>
        <v/>
      </c>
    </row>
    <row r="187" spans="1:262" s="210" customFormat="1" ht="21" customHeight="1">
      <c r="A187" s="183">
        <v>180</v>
      </c>
      <c r="B187" s="184" t="str">
        <f>IF('Marks Entry'!B187="","",'Marks Entry'!B187)</f>
        <v/>
      </c>
      <c r="C187" s="185" t="str">
        <f>IF('Marks Entry'!D187="","",'Marks Entry'!D187)</f>
        <v/>
      </c>
      <c r="D187" s="186" t="str">
        <f>IF('Marks Entry'!E187="","",'Marks Entry'!E187)</f>
        <v/>
      </c>
      <c r="E187" s="187" t="str">
        <f>IF('Marks Entry'!F187="","",'Marks Entry'!F187)</f>
        <v/>
      </c>
      <c r="F187" s="187" t="str">
        <f>IF('Marks Entry'!G187="","",'Marks Entry'!G187)</f>
        <v/>
      </c>
      <c r="G187" s="187" t="str">
        <f>IF('Marks Entry'!H187="","",'Marks Entry'!H187)</f>
        <v/>
      </c>
      <c r="H187" s="188" t="str">
        <f>IF('Marks Entry'!I187="","",'Marks Entry'!I187)</f>
        <v/>
      </c>
      <c r="I187" s="189" t="str">
        <f>IF('Marks Entry'!J187="","",'Marks Entry'!J187)</f>
        <v/>
      </c>
      <c r="J187" s="545" t="str">
        <f>IF('Marks Entry'!K187="","",'Marks Entry'!K187)</f>
        <v/>
      </c>
      <c r="K187" s="545" t="str">
        <f>IF('Marks Entry'!L187="","",'Marks Entry'!L187)</f>
        <v/>
      </c>
      <c r="L187" s="545" t="str">
        <f>IF('Marks Entry'!M187="","",'Marks Entry'!M187)</f>
        <v/>
      </c>
      <c r="M187" s="546" t="str">
        <f t="shared" si="412"/>
        <v/>
      </c>
      <c r="N187" s="545" t="str">
        <f>IF('Marks Entry'!N187="","",'Marks Entry'!N187)</f>
        <v/>
      </c>
      <c r="O187" s="546" t="str">
        <f t="shared" si="413"/>
        <v/>
      </c>
      <c r="P187" s="545" t="str">
        <f>IF('Marks Entry'!O187="","",'Marks Entry'!O187)</f>
        <v/>
      </c>
      <c r="Q187" s="547" t="str">
        <f t="shared" si="414"/>
        <v/>
      </c>
      <c r="R187" s="152">
        <f t="shared" si="415"/>
        <v>0</v>
      </c>
      <c r="S187" s="152">
        <f t="shared" si="416"/>
        <v>0</v>
      </c>
      <c r="T187" s="153" t="str">
        <f t="shared" si="417"/>
        <v/>
      </c>
      <c r="U187" s="152" t="str">
        <f t="shared" si="418"/>
        <v/>
      </c>
      <c r="V187" s="152" t="str">
        <f t="shared" si="419"/>
        <v/>
      </c>
      <c r="W187" s="152" t="str">
        <f t="shared" si="420"/>
        <v/>
      </c>
      <c r="X187" s="545" t="str">
        <f>IF('Marks Entry'!P187="","",'Marks Entry'!P187)</f>
        <v/>
      </c>
      <c r="Y187" s="545" t="str">
        <f>IF('Marks Entry'!Q187="","",'Marks Entry'!Q187)</f>
        <v/>
      </c>
      <c r="Z187" s="545" t="str">
        <f>IF('Marks Entry'!R187="","",'Marks Entry'!R187)</f>
        <v/>
      </c>
      <c r="AA187" s="546" t="str">
        <f t="shared" si="421"/>
        <v/>
      </c>
      <c r="AB187" s="545" t="str">
        <f>IF('Marks Entry'!S187="","",'Marks Entry'!S187)</f>
        <v/>
      </c>
      <c r="AC187" s="546" t="str">
        <f t="shared" si="422"/>
        <v/>
      </c>
      <c r="AD187" s="545" t="str">
        <f>IF('Marks Entry'!T187="","",'Marks Entry'!T187)</f>
        <v/>
      </c>
      <c r="AE187" s="547" t="str">
        <f t="shared" si="423"/>
        <v/>
      </c>
      <c r="AF187" s="152">
        <f t="shared" si="424"/>
        <v>0</v>
      </c>
      <c r="AG187" s="152">
        <f t="shared" si="425"/>
        <v>0</v>
      </c>
      <c r="AH187" s="153" t="str">
        <f t="shared" si="426"/>
        <v/>
      </c>
      <c r="AI187" s="152" t="str">
        <f t="shared" si="427"/>
        <v/>
      </c>
      <c r="AJ187" s="152" t="str">
        <f t="shared" si="428"/>
        <v/>
      </c>
      <c r="AK187" s="152" t="str">
        <f t="shared" si="429"/>
        <v/>
      </c>
      <c r="AL187" s="573" t="str">
        <f>IF('Marks Entry'!U187="","",'Marks Entry'!U187)</f>
        <v/>
      </c>
      <c r="AM187" s="573" t="str">
        <f>IF('Marks Entry'!V187="","",'Marks Entry'!V187)</f>
        <v/>
      </c>
      <c r="AN187" s="573" t="str">
        <f>IF('Marks Entry'!W187="","",'Marks Entry'!W187)</f>
        <v/>
      </c>
      <c r="AO187" s="573" t="str">
        <f>IF('Marks Entry'!X187="","",'Marks Entry'!X187)</f>
        <v/>
      </c>
      <c r="AP187" s="572" t="str">
        <f t="shared" si="430"/>
        <v/>
      </c>
      <c r="AQ187" s="573" t="str">
        <f>IF('Marks Entry'!Y187="","",'Marks Entry'!Y187)</f>
        <v/>
      </c>
      <c r="AR187" s="573" t="str">
        <f>IF('Marks Entry'!Z187="","",'Marks Entry'!Z187)</f>
        <v/>
      </c>
      <c r="AS187" s="572" t="str">
        <f t="shared" si="431"/>
        <v/>
      </c>
      <c r="AT187" s="572" t="str">
        <f t="shared" si="432"/>
        <v/>
      </c>
      <c r="AU187" s="573" t="str">
        <f>IF('Marks Entry'!AA187="","",'Marks Entry'!AA187)</f>
        <v/>
      </c>
      <c r="AV187" s="573" t="str">
        <f>IF('Marks Entry'!AB187="","",'Marks Entry'!AB187)</f>
        <v/>
      </c>
      <c r="AW187" s="572" t="str">
        <f t="shared" si="433"/>
        <v/>
      </c>
      <c r="AX187" s="156" t="str">
        <f t="shared" si="434"/>
        <v/>
      </c>
      <c r="AY187" s="156" t="str">
        <f t="shared" si="435"/>
        <v/>
      </c>
      <c r="AZ187" s="191" t="str">
        <f t="shared" si="436"/>
        <v/>
      </c>
      <c r="BA187" s="152">
        <f t="shared" si="437"/>
        <v>0</v>
      </c>
      <c r="BB187" s="153">
        <f t="shared" si="438"/>
        <v>0</v>
      </c>
      <c r="BC187" s="153" t="str">
        <f t="shared" si="439"/>
        <v/>
      </c>
      <c r="BD187" s="153" t="str">
        <f t="shared" si="440"/>
        <v/>
      </c>
      <c r="BE187" s="153" t="str">
        <f t="shared" si="441"/>
        <v/>
      </c>
      <c r="BF187" s="152" t="str">
        <f t="shared" si="442"/>
        <v/>
      </c>
      <c r="BG187" s="153" t="str">
        <f t="shared" si="443"/>
        <v/>
      </c>
      <c r="BH187" s="152" t="str">
        <f t="shared" si="444"/>
        <v/>
      </c>
      <c r="BI187" s="580" t="str">
        <f>IF('Marks Entry'!AC187="","",'Marks Entry'!AC187)</f>
        <v/>
      </c>
      <c r="BJ187" s="580" t="str">
        <f>IF('Marks Entry'!AD187="","",'Marks Entry'!AD187)</f>
        <v/>
      </c>
      <c r="BK187" s="580" t="str">
        <f>IF('Marks Entry'!AE187="","",'Marks Entry'!AE187)</f>
        <v/>
      </c>
      <c r="BL187" s="580" t="str">
        <f>IF('Marks Entry'!AF187="","",'Marks Entry'!AF187)</f>
        <v/>
      </c>
      <c r="BM187" s="581" t="str">
        <f t="shared" si="445"/>
        <v/>
      </c>
      <c r="BN187" s="580" t="str">
        <f>IF('Marks Entry'!AG187="","",'Marks Entry'!AG187)</f>
        <v/>
      </c>
      <c r="BO187" s="580" t="str">
        <f>IF('Marks Entry'!AH187="","",'Marks Entry'!AH187)</f>
        <v/>
      </c>
      <c r="BP187" s="581" t="str">
        <f t="shared" si="446"/>
        <v/>
      </c>
      <c r="BQ187" s="581" t="str">
        <f t="shared" si="447"/>
        <v/>
      </c>
      <c r="BR187" s="580" t="str">
        <f>IF('Marks Entry'!AI187="","",'Marks Entry'!AI187)</f>
        <v/>
      </c>
      <c r="BS187" s="580" t="str">
        <f>IF('Marks Entry'!AJ187="","",'Marks Entry'!AJ187)</f>
        <v/>
      </c>
      <c r="BT187" s="581" t="str">
        <f t="shared" si="448"/>
        <v/>
      </c>
      <c r="BU187" s="156" t="str">
        <f t="shared" si="449"/>
        <v/>
      </c>
      <c r="BV187" s="156" t="str">
        <f t="shared" si="450"/>
        <v/>
      </c>
      <c r="BW187" s="191" t="str">
        <f t="shared" si="451"/>
        <v/>
      </c>
      <c r="BX187" s="152">
        <f t="shared" si="452"/>
        <v>0</v>
      </c>
      <c r="BY187" s="153">
        <f t="shared" si="453"/>
        <v>0</v>
      </c>
      <c r="BZ187" s="153" t="str">
        <f t="shared" si="454"/>
        <v/>
      </c>
      <c r="CA187" s="153" t="str">
        <f t="shared" si="455"/>
        <v/>
      </c>
      <c r="CB187" s="153" t="str">
        <f t="shared" si="456"/>
        <v/>
      </c>
      <c r="CC187" s="152" t="str">
        <f t="shared" si="457"/>
        <v/>
      </c>
      <c r="CD187" s="153" t="str">
        <f t="shared" si="458"/>
        <v/>
      </c>
      <c r="CE187" s="152" t="str">
        <f t="shared" si="459"/>
        <v/>
      </c>
      <c r="CF187" s="580" t="str">
        <f>IF('Marks Entry'!AK187="","",'Marks Entry'!AK187)</f>
        <v/>
      </c>
      <c r="CG187" s="580" t="str">
        <f>IF('Marks Entry'!AL187="","",'Marks Entry'!AL187)</f>
        <v/>
      </c>
      <c r="CH187" s="580" t="str">
        <f>IF('Marks Entry'!AM187="","",'Marks Entry'!AM187)</f>
        <v/>
      </c>
      <c r="CI187" s="580" t="str">
        <f>IF('Marks Entry'!AN187="","",'Marks Entry'!AN187)</f>
        <v/>
      </c>
      <c r="CJ187" s="581" t="str">
        <f t="shared" si="460"/>
        <v/>
      </c>
      <c r="CK187" s="580" t="str">
        <f>IF('Marks Entry'!AO187="","",'Marks Entry'!AO187)</f>
        <v/>
      </c>
      <c r="CL187" s="580" t="str">
        <f>IF('Marks Entry'!AP187="","",'Marks Entry'!AP187)</f>
        <v/>
      </c>
      <c r="CM187" s="581" t="str">
        <f t="shared" si="461"/>
        <v/>
      </c>
      <c r="CN187" s="581" t="str">
        <f t="shared" si="462"/>
        <v/>
      </c>
      <c r="CO187" s="580" t="str">
        <f>IF('Marks Entry'!AQ187="","",'Marks Entry'!AQ187)</f>
        <v/>
      </c>
      <c r="CP187" s="580" t="str">
        <f>IF('Marks Entry'!AR187="","",'Marks Entry'!AR187)</f>
        <v/>
      </c>
      <c r="CQ187" s="581" t="str">
        <f t="shared" si="463"/>
        <v/>
      </c>
      <c r="CR187" s="156" t="str">
        <f t="shared" si="464"/>
        <v/>
      </c>
      <c r="CS187" s="156" t="str">
        <f t="shared" si="465"/>
        <v/>
      </c>
      <c r="CT187" s="191" t="str">
        <f t="shared" si="466"/>
        <v/>
      </c>
      <c r="CU187" s="152">
        <f t="shared" si="467"/>
        <v>0</v>
      </c>
      <c r="CV187" s="153">
        <f t="shared" si="468"/>
        <v>0</v>
      </c>
      <c r="CW187" s="153" t="str">
        <f t="shared" si="469"/>
        <v/>
      </c>
      <c r="CX187" s="153" t="str">
        <f t="shared" si="470"/>
        <v/>
      </c>
      <c r="CY187" s="153" t="str">
        <f t="shared" si="471"/>
        <v/>
      </c>
      <c r="CZ187" s="152" t="str">
        <f t="shared" si="472"/>
        <v/>
      </c>
      <c r="DA187" s="153" t="str">
        <f t="shared" si="473"/>
        <v/>
      </c>
      <c r="DB187" s="152" t="str">
        <f t="shared" si="474"/>
        <v/>
      </c>
      <c r="DC187" s="153">
        <f t="shared" si="475"/>
        <v>0</v>
      </c>
      <c r="DD187" s="851" t="str">
        <f>IF('Marks Entry'!AS187="","",IF(OR('Master Sheet'!$D$19="YES",'Marks Entry'!$BA$1=1),'Marks Entry'!AS187,""))</f>
        <v/>
      </c>
      <c r="DE187" s="851" t="str">
        <f>IF('Marks Entry'!AT187="","",IF(OR('Master Sheet'!$D$19="YES",'Marks Entry'!$BA$1=1),'Marks Entry'!AT187,""))</f>
        <v/>
      </c>
      <c r="DF187" s="851" t="str">
        <f>IF('Marks Entry'!AU187="","",IF(OR('Master Sheet'!$D$19="YES",'Marks Entry'!$BA$1=1),'Marks Entry'!AU187,""))</f>
        <v/>
      </c>
      <c r="DG187" s="851" t="str">
        <f>IF('Marks Entry'!AV187="","",IF(OR('Master Sheet'!$D$19="YES",'Marks Entry'!$BA$1=1),'Marks Entry'!AV187,""))</f>
        <v/>
      </c>
      <c r="DH187" s="852" t="str">
        <f t="shared" si="476"/>
        <v/>
      </c>
      <c r="DI187" s="851" t="str">
        <f>IF('Marks Entry'!AW187="","",IF(OR('Master Sheet'!$D$19="YES",'Marks Entry'!$BA$1=1),'Marks Entry'!AW187,""))</f>
        <v/>
      </c>
      <c r="DJ187" s="851" t="str">
        <f>IF('Marks Entry'!AX187="","",IF(OR('Master Sheet'!$D$19="YES",'Marks Entry'!$BA$1=1),'Marks Entry'!AX187,""))</f>
        <v/>
      </c>
      <c r="DK187" s="852" t="str">
        <f t="shared" si="477"/>
        <v/>
      </c>
      <c r="DL187" s="852" t="str">
        <f t="shared" si="478"/>
        <v/>
      </c>
      <c r="DM187" s="851" t="str">
        <f>IF('Marks Entry'!AY187="","",IF(OR('Master Sheet'!$D$19="YES",'Marks Entry'!$BA$1=1),'Marks Entry'!AY187,""))</f>
        <v/>
      </c>
      <c r="DN187" s="851" t="str">
        <f>IF('Marks Entry'!AZ187="","",IF(OR('Master Sheet'!$D$19="YES",'Marks Entry'!$BA$1=1),'Marks Entry'!AZ187,""))</f>
        <v/>
      </c>
      <c r="DO187" s="851" t="str">
        <f>IF('Marks Entry'!BA187="","",IF(OR('Master Sheet'!$D$19="YES",'Marks Entry'!$BA$1=1),'Marks Entry'!BA187,""))</f>
        <v/>
      </c>
      <c r="DP187" s="852" t="str">
        <f t="shared" si="479"/>
        <v/>
      </c>
      <c r="DQ187" s="156" t="str">
        <f t="shared" si="480"/>
        <v/>
      </c>
      <c r="DR187" s="156" t="str">
        <f t="shared" si="481"/>
        <v/>
      </c>
      <c r="DS187" s="156" t="str">
        <f t="shared" si="482"/>
        <v/>
      </c>
      <c r="DT187" s="191" t="str">
        <f t="shared" si="483"/>
        <v/>
      </c>
      <c r="DU187" s="152">
        <f t="shared" si="484"/>
        <v>0</v>
      </c>
      <c r="DV187" s="153">
        <f t="shared" si="485"/>
        <v>0</v>
      </c>
      <c r="DW187" s="153" t="str">
        <f t="shared" si="486"/>
        <v/>
      </c>
      <c r="DX187" s="153" t="str">
        <f>IF(OR($B187="NSO",$B187=0,DS187=""),"",IF(AND(DJ187="",DO187=""),"",IF('Master Sheet'!$D$19="YES",$DO$6-COUNTIF(DO187,"ML")*DO$6,DS$6-(COUNTIF(DJ187,"ML")*DJ$6)-(COUNTIF(DO187,"ML")*DO$6))))</f>
        <v/>
      </c>
      <c r="DY187" s="153" t="str">
        <f>IF(OR($B187="NSO",$B187=0),"",IF(AND(DH187="",DI187="",DM187=""),"",IF(AND('Master Sheet'!$D$19="YES",'Marks Entry'!$BA$1=1),100,IF(AND(DJ187="",DO187=""),SUM(($DQ$7+$DR$7)-(DU187+DV187)),SUM(($DQ$6+$DR$6)-(DU187+DV187))))))</f>
        <v/>
      </c>
      <c r="DZ187" s="152" t="str">
        <f t="shared" si="487"/>
        <v/>
      </c>
      <c r="EA187" s="153" t="str">
        <f t="shared" si="488"/>
        <v/>
      </c>
      <c r="EB187" s="152" t="str">
        <f t="shared" si="489"/>
        <v/>
      </c>
      <c r="EC187" s="584" t="str">
        <f>IF('Marks Entry'!BB187="","",'Marks Entry'!BB187)</f>
        <v/>
      </c>
      <c r="ED187" s="584" t="str">
        <f>IF('Marks Entry'!BC187="","",'Marks Entry'!BC187)</f>
        <v/>
      </c>
      <c r="EE187" s="584" t="str">
        <f>IF('Marks Entry'!BD187="","",'Marks Entry'!BD187)</f>
        <v/>
      </c>
      <c r="EF187" s="590" t="str">
        <f t="shared" si="490"/>
        <v/>
      </c>
      <c r="EG187" s="595">
        <f t="shared" si="491"/>
        <v>0</v>
      </c>
      <c r="EH187" s="595">
        <f t="shared" si="492"/>
        <v>0</v>
      </c>
      <c r="EI187" s="192" t="str">
        <f t="shared" si="493"/>
        <v/>
      </c>
      <c r="EJ187" s="595" t="str">
        <f t="shared" si="494"/>
        <v/>
      </c>
      <c r="EK187" s="595" t="str">
        <f t="shared" si="495"/>
        <v/>
      </c>
      <c r="EL187" s="193" t="str">
        <f t="shared" si="496"/>
        <v/>
      </c>
      <c r="EM187" s="193" t="str">
        <f t="shared" si="497"/>
        <v/>
      </c>
      <c r="EN187" s="193" t="str">
        <f t="shared" si="498"/>
        <v/>
      </c>
      <c r="EO187" s="193" t="str">
        <f t="shared" si="499"/>
        <v/>
      </c>
      <c r="EP187" s="193" t="str">
        <f t="shared" si="500"/>
        <v/>
      </c>
      <c r="EQ187" s="193" t="str">
        <f t="shared" si="501"/>
        <v/>
      </c>
      <c r="ER187" s="194">
        <f t="shared" si="502"/>
        <v>0</v>
      </c>
      <c r="ES187" s="194">
        <f t="shared" si="503"/>
        <v>0</v>
      </c>
      <c r="ET187" s="194">
        <f t="shared" si="504"/>
        <v>0</v>
      </c>
      <c r="EU187" s="194">
        <f t="shared" si="505"/>
        <v>0</v>
      </c>
      <c r="EV187" s="194">
        <f t="shared" si="506"/>
        <v>0</v>
      </c>
      <c r="EW187" s="194" t="str">
        <f t="shared" si="507"/>
        <v/>
      </c>
      <c r="EX187" s="195" t="str">
        <f t="shared" si="508"/>
        <v/>
      </c>
      <c r="EY187" s="196" t="str">
        <f>IF('Marks Entry'!BE187="","",'Marks Entry'!BE187)</f>
        <v/>
      </c>
      <c r="EZ187" s="196" t="str">
        <f>IF('Marks Entry'!BF187="","",'Marks Entry'!BF187)</f>
        <v/>
      </c>
      <c r="FA187" s="196" t="str">
        <f>IF('Marks Entry'!BG187="","",'Marks Entry'!BG187)</f>
        <v/>
      </c>
      <c r="FB187" s="596" t="str">
        <f t="shared" si="509"/>
        <v/>
      </c>
      <c r="FC187" s="196" t="str">
        <f>IF('Marks Entry'!BH187="","",'Marks Entry'!BH187)</f>
        <v/>
      </c>
      <c r="FD187" s="196" t="str">
        <f>IF('Marks Entry'!BI187="","",'Marks Entry'!BI187)</f>
        <v/>
      </c>
      <c r="FE187" s="197" t="str">
        <f t="shared" si="510"/>
        <v/>
      </c>
      <c r="FF187" s="198" t="str">
        <f t="shared" si="511"/>
        <v/>
      </c>
      <c r="FG187" s="199" t="str">
        <f>IF(AND(E187=""),"",IF('Student DATA Entry'!L183="","",'Student DATA Entry'!L183))</f>
        <v/>
      </c>
      <c r="FH187" s="200" t="str">
        <f>IF(AND(E187=""),"",IF('Student DATA Entry'!M183="","",'Student DATA Entry'!M183))</f>
        <v/>
      </c>
      <c r="FI187" s="201" t="str">
        <f t="shared" si="512"/>
        <v/>
      </c>
      <c r="FJ187" s="188" t="str">
        <f t="shared" si="513"/>
        <v/>
      </c>
      <c r="FK187" s="188" t="str">
        <f t="shared" si="514"/>
        <v/>
      </c>
      <c r="FL187" s="202" t="str">
        <f t="shared" si="542"/>
        <v/>
      </c>
      <c r="FM187" s="188" t="str">
        <f t="shared" si="515"/>
        <v/>
      </c>
      <c r="FN187" s="203" t="str">
        <f t="shared" si="516"/>
        <v/>
      </c>
      <c r="FO187" s="202" t="str">
        <f t="shared" si="543"/>
        <v/>
      </c>
      <c r="FP187" s="204" t="str">
        <f t="shared" si="517"/>
        <v/>
      </c>
      <c r="FQ187" s="188" t="str">
        <f t="shared" si="544"/>
        <v/>
      </c>
      <c r="FR187" s="188" t="str">
        <f t="shared" si="545"/>
        <v/>
      </c>
      <c r="FS187" s="188" t="str">
        <f t="shared" si="546"/>
        <v/>
      </c>
      <c r="FT187" s="188" t="str">
        <f t="shared" si="547"/>
        <v/>
      </c>
      <c r="FU187" s="188" t="str">
        <f t="shared" si="518"/>
        <v/>
      </c>
      <c r="FV187" s="205" t="str">
        <f t="shared" si="548"/>
        <v/>
      </c>
      <c r="FW187" s="204" t="str">
        <f t="shared" si="519"/>
        <v/>
      </c>
      <c r="FX187" s="188" t="str">
        <f t="shared" si="549"/>
        <v/>
      </c>
      <c r="FY187" s="188" t="str">
        <f t="shared" si="550"/>
        <v/>
      </c>
      <c r="FZ187" s="188" t="str">
        <f t="shared" si="551"/>
        <v/>
      </c>
      <c r="GA187" s="188" t="str">
        <f t="shared" si="552"/>
        <v/>
      </c>
      <c r="GB187" s="188" t="str">
        <f t="shared" si="520"/>
        <v/>
      </c>
      <c r="GC187" s="205" t="str">
        <f t="shared" si="553"/>
        <v/>
      </c>
      <c r="GD187" s="204" t="str">
        <f t="shared" si="521"/>
        <v/>
      </c>
      <c r="GE187" s="188" t="str">
        <f t="shared" si="554"/>
        <v/>
      </c>
      <c r="GF187" s="188" t="str">
        <f t="shared" si="555"/>
        <v/>
      </c>
      <c r="GG187" s="188" t="str">
        <f t="shared" si="556"/>
        <v/>
      </c>
      <c r="GH187" s="188" t="str">
        <f t="shared" si="557"/>
        <v/>
      </c>
      <c r="GI187" s="188" t="str">
        <f t="shared" si="522"/>
        <v/>
      </c>
      <c r="GJ187" s="205" t="str">
        <f t="shared" si="558"/>
        <v/>
      </c>
      <c r="GK187" s="204" t="str">
        <f t="shared" si="523"/>
        <v/>
      </c>
      <c r="GL187" s="188" t="str">
        <f t="shared" si="559"/>
        <v/>
      </c>
      <c r="GM187" s="188" t="str">
        <f t="shared" si="560"/>
        <v/>
      </c>
      <c r="GN187" s="188" t="str">
        <f t="shared" si="561"/>
        <v/>
      </c>
      <c r="GO187" s="188" t="str">
        <f t="shared" si="562"/>
        <v/>
      </c>
      <c r="GP187" s="188" t="str">
        <f t="shared" si="524"/>
        <v/>
      </c>
      <c r="GQ187" s="205" t="str">
        <f t="shared" si="563"/>
        <v/>
      </c>
      <c r="GR187" s="188" t="str">
        <f t="shared" si="525"/>
        <v/>
      </c>
      <c r="GS187" s="188" t="str">
        <f t="shared" si="526"/>
        <v/>
      </c>
      <c r="GT187" s="206" t="str">
        <f t="shared" si="527"/>
        <v xml:space="preserve">    </v>
      </c>
      <c r="GU187" s="206" t="str">
        <f t="shared" si="528"/>
        <v xml:space="preserve">    </v>
      </c>
      <c r="GV187" s="206" t="str">
        <f t="shared" si="529"/>
        <v xml:space="preserve">    </v>
      </c>
      <c r="GW187" s="206" t="str">
        <f t="shared" si="530"/>
        <v xml:space="preserve">       </v>
      </c>
      <c r="GX187" s="598" t="str">
        <f t="shared" si="531"/>
        <v xml:space="preserve">     </v>
      </c>
      <c r="GY187" s="207" t="str">
        <f t="shared" si="564"/>
        <v/>
      </c>
      <c r="GZ187" s="606" t="str">
        <f>IF(AND(Q187="",AE187="",AZ187="",BW187="",CT187=""),"",IF(AND('Master Sheet'!$D$19="YES",'Marks Entry'!$BA$1=1),SUM(Q187,AE187,AZ187,BW187,DT187),SUM(Q187,AE187,AZ187,BW187,CT187)))</f>
        <v/>
      </c>
      <c r="HA187" s="208" t="str">
        <f>IF(GZ187="","",IF(AND('Master Sheet'!$D$19="YES",'Marks Entry'!$BA$1=1),GZ187/((900)-DC187)*100,GZ187/((1000)-DC187)*100))</f>
        <v/>
      </c>
      <c r="HB187" s="611" t="str">
        <f t="shared" si="532"/>
        <v/>
      </c>
      <c r="HC187" s="609" t="str">
        <f t="shared" si="533"/>
        <v/>
      </c>
      <c r="HD187" s="610" t="str">
        <f t="shared" si="534"/>
        <v/>
      </c>
      <c r="HE187" s="209" t="str">
        <f>IFERROR(IF(OR(GY187="SUPPLEMENTARY",GY187="RE-EXAM"),'Supp. Result Entry'!AS186,""),"")</f>
        <v/>
      </c>
      <c r="HF187" s="613" t="str">
        <f t="shared" si="535"/>
        <v/>
      </c>
      <c r="HG187" s="598" t="str">
        <f t="shared" si="536"/>
        <v/>
      </c>
      <c r="HH187" s="598" t="str">
        <f>IF(AND(HE187="",HF187="",HG187=""),"",IF(OR(GY187="SUPPLEMENTARY",GY187="RE-EXAM"),'Supp. Result Entry'!AS186,GY187))</f>
        <v/>
      </c>
      <c r="HI187" s="179"/>
      <c r="HY187" s="211" t="str">
        <f>IF('Supp. Result Entry'!U186="","",'Supp. Result Entry'!$U$6)</f>
        <v/>
      </c>
      <c r="HZ187" s="212" t="str">
        <f>IF('Supp. Result Entry'!X186="","",'Supp. Result Entry'!$X$6)</f>
        <v/>
      </c>
      <c r="IA187" s="212" t="str">
        <f>IF('Supp. Result Entry'!AA186="","",'Supp. Result Entry'!$AA$6)</f>
        <v/>
      </c>
      <c r="IB187" s="212" t="str">
        <f>IF('Supp. Result Entry'!AD186="","",'Supp. Result Entry'!$AD$6)</f>
        <v/>
      </c>
      <c r="IC187" s="212" t="str">
        <f>IF('Supp. Result Entry'!AG186="","",'Supp. Result Entry'!$AG$6)</f>
        <v/>
      </c>
      <c r="ID187" s="212" t="str">
        <f>IF('Supp. Result Entry'!AJ186="","",'Supp. Result Entry'!$AJ$6)</f>
        <v/>
      </c>
      <c r="IE187" s="212" t="str">
        <f>IF('Supp. Result Entry'!V186="","",'Supp. Result Entry'!V186)</f>
        <v/>
      </c>
      <c r="IF187" s="212" t="str">
        <f>IF('Supp. Result Entry'!Y186="","",'Supp. Result Entry'!Y186)</f>
        <v/>
      </c>
      <c r="IG187" s="212" t="str">
        <f>IF('Supp. Result Entry'!AB186="","",'Supp. Result Entry'!AB186)</f>
        <v/>
      </c>
      <c r="IH187" s="212" t="str">
        <f>IF('Supp. Result Entry'!AE186="","",'Supp. Result Entry'!AE186)</f>
        <v/>
      </c>
      <c r="II187" s="212" t="str">
        <f>IF('Supp. Result Entry'!AH186="","",'Supp. Result Entry'!AH186)</f>
        <v/>
      </c>
      <c r="IJ187" s="212" t="str">
        <f>IF('Supp. Result Entry'!AK186="","",'Supp. Result Entry'!AK186)</f>
        <v/>
      </c>
      <c r="IK187" s="212" t="str">
        <f>IF('Supp. Result Entry'!W186="","",'Supp. Result Entry'!W186)</f>
        <v/>
      </c>
      <c r="IL187" s="212" t="str">
        <f>IF('Supp. Result Entry'!Z186="","",'Supp. Result Entry'!Z186)</f>
        <v/>
      </c>
      <c r="IM187" s="212" t="str">
        <f>IF('Supp. Result Entry'!AC186="","",'Supp. Result Entry'!AC186)</f>
        <v/>
      </c>
      <c r="IN187" s="212" t="str">
        <f>IF('Supp. Result Entry'!AF186="","",'Supp. Result Entry'!AF186)</f>
        <v/>
      </c>
      <c r="IO187" s="212" t="str">
        <f>IF('Supp. Result Entry'!AI186="","",'Supp. Result Entry'!AI186)</f>
        <v/>
      </c>
      <c r="IP187" s="212" t="str">
        <f>IF('Supp. Result Entry'!AL186="","",'Supp. Result Entry'!AL186)</f>
        <v/>
      </c>
      <c r="IQ187" s="212">
        <f>COUNTIF('Supp. Result Entry'!K186:Q186,"S")</f>
        <v>0</v>
      </c>
      <c r="IR187" s="212">
        <f t="shared" si="537"/>
        <v>0</v>
      </c>
      <c r="IS187" s="212">
        <f t="shared" si="538"/>
        <v>0</v>
      </c>
      <c r="IT187" s="212" t="str">
        <f t="shared" si="406"/>
        <v/>
      </c>
      <c r="IU187" s="212" t="str">
        <f t="shared" si="407"/>
        <v/>
      </c>
      <c r="IV187" s="212" t="str">
        <f t="shared" si="408"/>
        <v/>
      </c>
      <c r="IW187" s="212" t="str">
        <f t="shared" si="409"/>
        <v/>
      </c>
      <c r="IX187" s="212" t="str">
        <f t="shared" si="410"/>
        <v/>
      </c>
      <c r="IY187" s="212" t="str">
        <f t="shared" si="539"/>
        <v/>
      </c>
      <c r="IZ187" s="212" t="str">
        <f t="shared" si="540"/>
        <v/>
      </c>
      <c r="JA187" s="212" t="str">
        <f t="shared" si="411"/>
        <v/>
      </c>
      <c r="JB187" s="210" t="str">
        <f t="shared" si="541"/>
        <v/>
      </c>
    </row>
    <row r="188" spans="1:262" s="210" customFormat="1" ht="21" customHeight="1">
      <c r="A188" s="183">
        <v>181</v>
      </c>
      <c r="B188" s="184" t="str">
        <f>IF('Marks Entry'!B188="","",'Marks Entry'!B188)</f>
        <v/>
      </c>
      <c r="C188" s="185" t="str">
        <f>IF('Marks Entry'!D188="","",'Marks Entry'!D188)</f>
        <v/>
      </c>
      <c r="D188" s="186" t="str">
        <f>IF('Marks Entry'!E188="","",'Marks Entry'!E188)</f>
        <v/>
      </c>
      <c r="E188" s="187" t="str">
        <f>IF('Marks Entry'!F188="","",'Marks Entry'!F188)</f>
        <v/>
      </c>
      <c r="F188" s="187" t="str">
        <f>IF('Marks Entry'!G188="","",'Marks Entry'!G188)</f>
        <v/>
      </c>
      <c r="G188" s="187" t="str">
        <f>IF('Marks Entry'!H188="","",'Marks Entry'!H188)</f>
        <v/>
      </c>
      <c r="H188" s="188" t="str">
        <f>IF('Marks Entry'!I188="","",'Marks Entry'!I188)</f>
        <v/>
      </c>
      <c r="I188" s="189" t="str">
        <f>IF('Marks Entry'!J188="","",'Marks Entry'!J188)</f>
        <v/>
      </c>
      <c r="J188" s="545" t="str">
        <f>IF('Marks Entry'!K188="","",'Marks Entry'!K188)</f>
        <v/>
      </c>
      <c r="K188" s="545" t="str">
        <f>IF('Marks Entry'!L188="","",'Marks Entry'!L188)</f>
        <v/>
      </c>
      <c r="L188" s="545" t="str">
        <f>IF('Marks Entry'!M188="","",'Marks Entry'!M188)</f>
        <v/>
      </c>
      <c r="M188" s="546" t="str">
        <f t="shared" si="412"/>
        <v/>
      </c>
      <c r="N188" s="545" t="str">
        <f>IF('Marks Entry'!N188="","",'Marks Entry'!N188)</f>
        <v/>
      </c>
      <c r="O188" s="546" t="str">
        <f t="shared" si="413"/>
        <v/>
      </c>
      <c r="P188" s="545" t="str">
        <f>IF('Marks Entry'!O188="","",'Marks Entry'!O188)</f>
        <v/>
      </c>
      <c r="Q188" s="547" t="str">
        <f t="shared" si="414"/>
        <v/>
      </c>
      <c r="R188" s="152">
        <f t="shared" si="415"/>
        <v>0</v>
      </c>
      <c r="S188" s="152">
        <f t="shared" si="416"/>
        <v>0</v>
      </c>
      <c r="T188" s="153" t="str">
        <f t="shared" si="417"/>
        <v/>
      </c>
      <c r="U188" s="152" t="str">
        <f t="shared" si="418"/>
        <v/>
      </c>
      <c r="V188" s="152" t="str">
        <f t="shared" si="419"/>
        <v/>
      </c>
      <c r="W188" s="152" t="str">
        <f t="shared" si="420"/>
        <v/>
      </c>
      <c r="X188" s="545" t="str">
        <f>IF('Marks Entry'!P188="","",'Marks Entry'!P188)</f>
        <v/>
      </c>
      <c r="Y188" s="545" t="str">
        <f>IF('Marks Entry'!Q188="","",'Marks Entry'!Q188)</f>
        <v/>
      </c>
      <c r="Z188" s="545" t="str">
        <f>IF('Marks Entry'!R188="","",'Marks Entry'!R188)</f>
        <v/>
      </c>
      <c r="AA188" s="546" t="str">
        <f t="shared" si="421"/>
        <v/>
      </c>
      <c r="AB188" s="545" t="str">
        <f>IF('Marks Entry'!S188="","",'Marks Entry'!S188)</f>
        <v/>
      </c>
      <c r="AC188" s="546" t="str">
        <f t="shared" si="422"/>
        <v/>
      </c>
      <c r="AD188" s="545" t="str">
        <f>IF('Marks Entry'!T188="","",'Marks Entry'!T188)</f>
        <v/>
      </c>
      <c r="AE188" s="547" t="str">
        <f t="shared" si="423"/>
        <v/>
      </c>
      <c r="AF188" s="152">
        <f t="shared" si="424"/>
        <v>0</v>
      </c>
      <c r="AG188" s="152">
        <f t="shared" si="425"/>
        <v>0</v>
      </c>
      <c r="AH188" s="153" t="str">
        <f t="shared" si="426"/>
        <v/>
      </c>
      <c r="AI188" s="152" t="str">
        <f t="shared" si="427"/>
        <v/>
      </c>
      <c r="AJ188" s="152" t="str">
        <f t="shared" si="428"/>
        <v/>
      </c>
      <c r="AK188" s="152" t="str">
        <f t="shared" si="429"/>
        <v/>
      </c>
      <c r="AL188" s="573" t="str">
        <f>IF('Marks Entry'!U188="","",'Marks Entry'!U188)</f>
        <v/>
      </c>
      <c r="AM188" s="573" t="str">
        <f>IF('Marks Entry'!V188="","",'Marks Entry'!V188)</f>
        <v/>
      </c>
      <c r="AN188" s="573" t="str">
        <f>IF('Marks Entry'!W188="","",'Marks Entry'!W188)</f>
        <v/>
      </c>
      <c r="AO188" s="573" t="str">
        <f>IF('Marks Entry'!X188="","",'Marks Entry'!X188)</f>
        <v/>
      </c>
      <c r="AP188" s="572" t="str">
        <f t="shared" si="430"/>
        <v/>
      </c>
      <c r="AQ188" s="573" t="str">
        <f>IF('Marks Entry'!Y188="","",'Marks Entry'!Y188)</f>
        <v/>
      </c>
      <c r="AR188" s="573" t="str">
        <f>IF('Marks Entry'!Z188="","",'Marks Entry'!Z188)</f>
        <v/>
      </c>
      <c r="AS188" s="572" t="str">
        <f t="shared" si="431"/>
        <v/>
      </c>
      <c r="AT188" s="572" t="str">
        <f t="shared" si="432"/>
        <v/>
      </c>
      <c r="AU188" s="573" t="str">
        <f>IF('Marks Entry'!AA188="","",'Marks Entry'!AA188)</f>
        <v/>
      </c>
      <c r="AV188" s="573" t="str">
        <f>IF('Marks Entry'!AB188="","",'Marks Entry'!AB188)</f>
        <v/>
      </c>
      <c r="AW188" s="572" t="str">
        <f t="shared" si="433"/>
        <v/>
      </c>
      <c r="AX188" s="156" t="str">
        <f t="shared" si="434"/>
        <v/>
      </c>
      <c r="AY188" s="156" t="str">
        <f t="shared" si="435"/>
        <v/>
      </c>
      <c r="AZ188" s="191" t="str">
        <f t="shared" si="436"/>
        <v/>
      </c>
      <c r="BA188" s="152">
        <f t="shared" si="437"/>
        <v>0</v>
      </c>
      <c r="BB188" s="153">
        <f t="shared" si="438"/>
        <v>0</v>
      </c>
      <c r="BC188" s="153" t="str">
        <f t="shared" si="439"/>
        <v/>
      </c>
      <c r="BD188" s="153" t="str">
        <f t="shared" si="440"/>
        <v/>
      </c>
      <c r="BE188" s="153" t="str">
        <f t="shared" si="441"/>
        <v/>
      </c>
      <c r="BF188" s="152" t="str">
        <f t="shared" si="442"/>
        <v/>
      </c>
      <c r="BG188" s="153" t="str">
        <f t="shared" si="443"/>
        <v/>
      </c>
      <c r="BH188" s="152" t="str">
        <f t="shared" si="444"/>
        <v/>
      </c>
      <c r="BI188" s="580" t="str">
        <f>IF('Marks Entry'!AC188="","",'Marks Entry'!AC188)</f>
        <v/>
      </c>
      <c r="BJ188" s="580" t="str">
        <f>IF('Marks Entry'!AD188="","",'Marks Entry'!AD188)</f>
        <v/>
      </c>
      <c r="BK188" s="580" t="str">
        <f>IF('Marks Entry'!AE188="","",'Marks Entry'!AE188)</f>
        <v/>
      </c>
      <c r="BL188" s="580" t="str">
        <f>IF('Marks Entry'!AF188="","",'Marks Entry'!AF188)</f>
        <v/>
      </c>
      <c r="BM188" s="581" t="str">
        <f t="shared" si="445"/>
        <v/>
      </c>
      <c r="BN188" s="580" t="str">
        <f>IF('Marks Entry'!AG188="","",'Marks Entry'!AG188)</f>
        <v/>
      </c>
      <c r="BO188" s="580" t="str">
        <f>IF('Marks Entry'!AH188="","",'Marks Entry'!AH188)</f>
        <v/>
      </c>
      <c r="BP188" s="581" t="str">
        <f t="shared" si="446"/>
        <v/>
      </c>
      <c r="BQ188" s="581" t="str">
        <f t="shared" si="447"/>
        <v/>
      </c>
      <c r="BR188" s="580" t="str">
        <f>IF('Marks Entry'!AI188="","",'Marks Entry'!AI188)</f>
        <v/>
      </c>
      <c r="BS188" s="580" t="str">
        <f>IF('Marks Entry'!AJ188="","",'Marks Entry'!AJ188)</f>
        <v/>
      </c>
      <c r="BT188" s="581" t="str">
        <f t="shared" si="448"/>
        <v/>
      </c>
      <c r="BU188" s="156" t="str">
        <f t="shared" si="449"/>
        <v/>
      </c>
      <c r="BV188" s="156" t="str">
        <f t="shared" si="450"/>
        <v/>
      </c>
      <c r="BW188" s="191" t="str">
        <f t="shared" si="451"/>
        <v/>
      </c>
      <c r="BX188" s="152">
        <f t="shared" si="452"/>
        <v>0</v>
      </c>
      <c r="BY188" s="153">
        <f t="shared" si="453"/>
        <v>0</v>
      </c>
      <c r="BZ188" s="153" t="str">
        <f t="shared" si="454"/>
        <v/>
      </c>
      <c r="CA188" s="153" t="str">
        <f t="shared" si="455"/>
        <v/>
      </c>
      <c r="CB188" s="153" t="str">
        <f t="shared" si="456"/>
        <v/>
      </c>
      <c r="CC188" s="152" t="str">
        <f t="shared" si="457"/>
        <v/>
      </c>
      <c r="CD188" s="153" t="str">
        <f t="shared" si="458"/>
        <v/>
      </c>
      <c r="CE188" s="152" t="str">
        <f t="shared" si="459"/>
        <v/>
      </c>
      <c r="CF188" s="580" t="str">
        <f>IF('Marks Entry'!AK188="","",'Marks Entry'!AK188)</f>
        <v/>
      </c>
      <c r="CG188" s="580" t="str">
        <f>IF('Marks Entry'!AL188="","",'Marks Entry'!AL188)</f>
        <v/>
      </c>
      <c r="CH188" s="580" t="str">
        <f>IF('Marks Entry'!AM188="","",'Marks Entry'!AM188)</f>
        <v/>
      </c>
      <c r="CI188" s="580" t="str">
        <f>IF('Marks Entry'!AN188="","",'Marks Entry'!AN188)</f>
        <v/>
      </c>
      <c r="CJ188" s="581" t="str">
        <f t="shared" si="460"/>
        <v/>
      </c>
      <c r="CK188" s="580" t="str">
        <f>IF('Marks Entry'!AO188="","",'Marks Entry'!AO188)</f>
        <v/>
      </c>
      <c r="CL188" s="580" t="str">
        <f>IF('Marks Entry'!AP188="","",'Marks Entry'!AP188)</f>
        <v/>
      </c>
      <c r="CM188" s="581" t="str">
        <f t="shared" si="461"/>
        <v/>
      </c>
      <c r="CN188" s="581" t="str">
        <f t="shared" si="462"/>
        <v/>
      </c>
      <c r="CO188" s="580" t="str">
        <f>IF('Marks Entry'!AQ188="","",'Marks Entry'!AQ188)</f>
        <v/>
      </c>
      <c r="CP188" s="580" t="str">
        <f>IF('Marks Entry'!AR188="","",'Marks Entry'!AR188)</f>
        <v/>
      </c>
      <c r="CQ188" s="581" t="str">
        <f t="shared" si="463"/>
        <v/>
      </c>
      <c r="CR188" s="156" t="str">
        <f t="shared" si="464"/>
        <v/>
      </c>
      <c r="CS188" s="156" t="str">
        <f t="shared" si="465"/>
        <v/>
      </c>
      <c r="CT188" s="191" t="str">
        <f t="shared" si="466"/>
        <v/>
      </c>
      <c r="CU188" s="152">
        <f t="shared" si="467"/>
        <v>0</v>
      </c>
      <c r="CV188" s="153">
        <f t="shared" si="468"/>
        <v>0</v>
      </c>
      <c r="CW188" s="153" t="str">
        <f t="shared" si="469"/>
        <v/>
      </c>
      <c r="CX188" s="153" t="str">
        <f t="shared" si="470"/>
        <v/>
      </c>
      <c r="CY188" s="153" t="str">
        <f t="shared" si="471"/>
        <v/>
      </c>
      <c r="CZ188" s="152" t="str">
        <f t="shared" si="472"/>
        <v/>
      </c>
      <c r="DA188" s="153" t="str">
        <f t="shared" si="473"/>
        <v/>
      </c>
      <c r="DB188" s="152" t="str">
        <f t="shared" si="474"/>
        <v/>
      </c>
      <c r="DC188" s="153">
        <f t="shared" si="475"/>
        <v>0</v>
      </c>
      <c r="DD188" s="851" t="str">
        <f>IF('Marks Entry'!AS188="","",IF(OR('Master Sheet'!$D$19="YES",'Marks Entry'!$BA$1=1),'Marks Entry'!AS188,""))</f>
        <v/>
      </c>
      <c r="DE188" s="851" t="str">
        <f>IF('Marks Entry'!AT188="","",IF(OR('Master Sheet'!$D$19="YES",'Marks Entry'!$BA$1=1),'Marks Entry'!AT188,""))</f>
        <v/>
      </c>
      <c r="DF188" s="851" t="str">
        <f>IF('Marks Entry'!AU188="","",IF(OR('Master Sheet'!$D$19="YES",'Marks Entry'!$BA$1=1),'Marks Entry'!AU188,""))</f>
        <v/>
      </c>
      <c r="DG188" s="851" t="str">
        <f>IF('Marks Entry'!AV188="","",IF(OR('Master Sheet'!$D$19="YES",'Marks Entry'!$BA$1=1),'Marks Entry'!AV188,""))</f>
        <v/>
      </c>
      <c r="DH188" s="852" t="str">
        <f t="shared" si="476"/>
        <v/>
      </c>
      <c r="DI188" s="851" t="str">
        <f>IF('Marks Entry'!AW188="","",IF(OR('Master Sheet'!$D$19="YES",'Marks Entry'!$BA$1=1),'Marks Entry'!AW188,""))</f>
        <v/>
      </c>
      <c r="DJ188" s="851" t="str">
        <f>IF('Marks Entry'!AX188="","",IF(OR('Master Sheet'!$D$19="YES",'Marks Entry'!$BA$1=1),'Marks Entry'!AX188,""))</f>
        <v/>
      </c>
      <c r="DK188" s="852" t="str">
        <f t="shared" si="477"/>
        <v/>
      </c>
      <c r="DL188" s="852" t="str">
        <f t="shared" si="478"/>
        <v/>
      </c>
      <c r="DM188" s="851" t="str">
        <f>IF('Marks Entry'!AY188="","",IF(OR('Master Sheet'!$D$19="YES",'Marks Entry'!$BA$1=1),'Marks Entry'!AY188,""))</f>
        <v/>
      </c>
      <c r="DN188" s="851" t="str">
        <f>IF('Marks Entry'!AZ188="","",IF(OR('Master Sheet'!$D$19="YES",'Marks Entry'!$BA$1=1),'Marks Entry'!AZ188,""))</f>
        <v/>
      </c>
      <c r="DO188" s="851" t="str">
        <f>IF('Marks Entry'!BA188="","",IF(OR('Master Sheet'!$D$19="YES",'Marks Entry'!$BA$1=1),'Marks Entry'!BA188,""))</f>
        <v/>
      </c>
      <c r="DP188" s="852" t="str">
        <f t="shared" si="479"/>
        <v/>
      </c>
      <c r="DQ188" s="156" t="str">
        <f t="shared" si="480"/>
        <v/>
      </c>
      <c r="DR188" s="156" t="str">
        <f t="shared" si="481"/>
        <v/>
      </c>
      <c r="DS188" s="156" t="str">
        <f t="shared" si="482"/>
        <v/>
      </c>
      <c r="DT188" s="191" t="str">
        <f t="shared" si="483"/>
        <v/>
      </c>
      <c r="DU188" s="152">
        <f t="shared" si="484"/>
        <v>0</v>
      </c>
      <c r="DV188" s="153">
        <f t="shared" si="485"/>
        <v>0</v>
      </c>
      <c r="DW188" s="153" t="str">
        <f t="shared" si="486"/>
        <v/>
      </c>
      <c r="DX188" s="153" t="str">
        <f>IF(OR($B188="NSO",$B188=0,DS188=""),"",IF(AND(DJ188="",DO188=""),"",IF('Master Sheet'!$D$19="YES",$DO$6-COUNTIF(DO188,"ML")*DO$6,DS$6-(COUNTIF(DJ188,"ML")*DJ$6)-(COUNTIF(DO188,"ML")*DO$6))))</f>
        <v/>
      </c>
      <c r="DY188" s="153" t="str">
        <f>IF(OR($B188="NSO",$B188=0),"",IF(AND(DH188="",DI188="",DM188=""),"",IF(AND('Master Sheet'!$D$19="YES",'Marks Entry'!$BA$1=1),100,IF(AND(DJ188="",DO188=""),SUM(($DQ$7+$DR$7)-(DU188+DV188)),SUM(($DQ$6+$DR$6)-(DU188+DV188))))))</f>
        <v/>
      </c>
      <c r="DZ188" s="152" t="str">
        <f t="shared" si="487"/>
        <v/>
      </c>
      <c r="EA188" s="153" t="str">
        <f t="shared" si="488"/>
        <v/>
      </c>
      <c r="EB188" s="152" t="str">
        <f t="shared" si="489"/>
        <v/>
      </c>
      <c r="EC188" s="584" t="str">
        <f>IF('Marks Entry'!BB188="","",'Marks Entry'!BB188)</f>
        <v/>
      </c>
      <c r="ED188" s="584" t="str">
        <f>IF('Marks Entry'!BC188="","",'Marks Entry'!BC188)</f>
        <v/>
      </c>
      <c r="EE188" s="584" t="str">
        <f>IF('Marks Entry'!BD188="","",'Marks Entry'!BD188)</f>
        <v/>
      </c>
      <c r="EF188" s="590" t="str">
        <f t="shared" si="490"/>
        <v/>
      </c>
      <c r="EG188" s="595">
        <f t="shared" si="491"/>
        <v>0</v>
      </c>
      <c r="EH188" s="595">
        <f t="shared" si="492"/>
        <v>0</v>
      </c>
      <c r="EI188" s="192" t="str">
        <f t="shared" si="493"/>
        <v/>
      </c>
      <c r="EJ188" s="595" t="str">
        <f t="shared" si="494"/>
        <v/>
      </c>
      <c r="EK188" s="595" t="str">
        <f t="shared" si="495"/>
        <v/>
      </c>
      <c r="EL188" s="193" t="str">
        <f t="shared" si="496"/>
        <v/>
      </c>
      <c r="EM188" s="193" t="str">
        <f t="shared" si="497"/>
        <v/>
      </c>
      <c r="EN188" s="193" t="str">
        <f t="shared" si="498"/>
        <v/>
      </c>
      <c r="EO188" s="193" t="str">
        <f t="shared" si="499"/>
        <v/>
      </c>
      <c r="EP188" s="193" t="str">
        <f t="shared" si="500"/>
        <v/>
      </c>
      <c r="EQ188" s="193" t="str">
        <f t="shared" si="501"/>
        <v/>
      </c>
      <c r="ER188" s="194">
        <f t="shared" si="502"/>
        <v>0</v>
      </c>
      <c r="ES188" s="194">
        <f t="shared" si="503"/>
        <v>0</v>
      </c>
      <c r="ET188" s="194">
        <f t="shared" si="504"/>
        <v>0</v>
      </c>
      <c r="EU188" s="194">
        <f t="shared" si="505"/>
        <v>0</v>
      </c>
      <c r="EV188" s="194">
        <f t="shared" si="506"/>
        <v>0</v>
      </c>
      <c r="EW188" s="194" t="str">
        <f t="shared" si="507"/>
        <v/>
      </c>
      <c r="EX188" s="195" t="str">
        <f t="shared" si="508"/>
        <v/>
      </c>
      <c r="EY188" s="196" t="str">
        <f>IF('Marks Entry'!BE188="","",'Marks Entry'!BE188)</f>
        <v/>
      </c>
      <c r="EZ188" s="196" t="str">
        <f>IF('Marks Entry'!BF188="","",'Marks Entry'!BF188)</f>
        <v/>
      </c>
      <c r="FA188" s="196" t="str">
        <f>IF('Marks Entry'!BG188="","",'Marks Entry'!BG188)</f>
        <v/>
      </c>
      <c r="FB188" s="596" t="str">
        <f t="shared" si="509"/>
        <v/>
      </c>
      <c r="FC188" s="196" t="str">
        <f>IF('Marks Entry'!BH188="","",'Marks Entry'!BH188)</f>
        <v/>
      </c>
      <c r="FD188" s="196" t="str">
        <f>IF('Marks Entry'!BI188="","",'Marks Entry'!BI188)</f>
        <v/>
      </c>
      <c r="FE188" s="197" t="str">
        <f t="shared" si="510"/>
        <v/>
      </c>
      <c r="FF188" s="198" t="str">
        <f t="shared" si="511"/>
        <v/>
      </c>
      <c r="FG188" s="199" t="str">
        <f>IF(AND(E188=""),"",IF('Student DATA Entry'!L184="","",'Student DATA Entry'!L184))</f>
        <v/>
      </c>
      <c r="FH188" s="200" t="str">
        <f>IF(AND(E188=""),"",IF('Student DATA Entry'!M184="","",'Student DATA Entry'!M184))</f>
        <v/>
      </c>
      <c r="FI188" s="201" t="str">
        <f t="shared" si="512"/>
        <v/>
      </c>
      <c r="FJ188" s="188" t="str">
        <f t="shared" si="513"/>
        <v/>
      </c>
      <c r="FK188" s="188" t="str">
        <f t="shared" si="514"/>
        <v/>
      </c>
      <c r="FL188" s="202" t="str">
        <f t="shared" si="542"/>
        <v/>
      </c>
      <c r="FM188" s="188" t="str">
        <f t="shared" si="515"/>
        <v/>
      </c>
      <c r="FN188" s="203" t="str">
        <f t="shared" si="516"/>
        <v/>
      </c>
      <c r="FO188" s="202" t="str">
        <f t="shared" si="543"/>
        <v/>
      </c>
      <c r="FP188" s="204" t="str">
        <f t="shared" si="517"/>
        <v/>
      </c>
      <c r="FQ188" s="188" t="str">
        <f t="shared" si="544"/>
        <v/>
      </c>
      <c r="FR188" s="188" t="str">
        <f t="shared" si="545"/>
        <v/>
      </c>
      <c r="FS188" s="188" t="str">
        <f t="shared" si="546"/>
        <v/>
      </c>
      <c r="FT188" s="188" t="str">
        <f t="shared" si="547"/>
        <v/>
      </c>
      <c r="FU188" s="188" t="str">
        <f t="shared" si="518"/>
        <v/>
      </c>
      <c r="FV188" s="205" t="str">
        <f t="shared" si="548"/>
        <v/>
      </c>
      <c r="FW188" s="204" t="str">
        <f t="shared" si="519"/>
        <v/>
      </c>
      <c r="FX188" s="188" t="str">
        <f t="shared" si="549"/>
        <v/>
      </c>
      <c r="FY188" s="188" t="str">
        <f t="shared" si="550"/>
        <v/>
      </c>
      <c r="FZ188" s="188" t="str">
        <f t="shared" si="551"/>
        <v/>
      </c>
      <c r="GA188" s="188" t="str">
        <f t="shared" si="552"/>
        <v/>
      </c>
      <c r="GB188" s="188" t="str">
        <f t="shared" si="520"/>
        <v/>
      </c>
      <c r="GC188" s="205" t="str">
        <f t="shared" si="553"/>
        <v/>
      </c>
      <c r="GD188" s="204" t="str">
        <f t="shared" si="521"/>
        <v/>
      </c>
      <c r="GE188" s="188" t="str">
        <f t="shared" si="554"/>
        <v/>
      </c>
      <c r="GF188" s="188" t="str">
        <f t="shared" si="555"/>
        <v/>
      </c>
      <c r="GG188" s="188" t="str">
        <f t="shared" si="556"/>
        <v/>
      </c>
      <c r="GH188" s="188" t="str">
        <f t="shared" si="557"/>
        <v/>
      </c>
      <c r="GI188" s="188" t="str">
        <f t="shared" si="522"/>
        <v/>
      </c>
      <c r="GJ188" s="205" t="str">
        <f t="shared" si="558"/>
        <v/>
      </c>
      <c r="GK188" s="204" t="str">
        <f t="shared" si="523"/>
        <v/>
      </c>
      <c r="GL188" s="188" t="str">
        <f t="shared" si="559"/>
        <v/>
      </c>
      <c r="GM188" s="188" t="str">
        <f t="shared" si="560"/>
        <v/>
      </c>
      <c r="GN188" s="188" t="str">
        <f t="shared" si="561"/>
        <v/>
      </c>
      <c r="GO188" s="188" t="str">
        <f t="shared" si="562"/>
        <v/>
      </c>
      <c r="GP188" s="188" t="str">
        <f t="shared" si="524"/>
        <v/>
      </c>
      <c r="GQ188" s="205" t="str">
        <f t="shared" si="563"/>
        <v/>
      </c>
      <c r="GR188" s="188" t="str">
        <f t="shared" si="525"/>
        <v/>
      </c>
      <c r="GS188" s="188" t="str">
        <f t="shared" si="526"/>
        <v/>
      </c>
      <c r="GT188" s="206" t="str">
        <f t="shared" si="527"/>
        <v xml:space="preserve">    </v>
      </c>
      <c r="GU188" s="206" t="str">
        <f t="shared" si="528"/>
        <v xml:space="preserve">    </v>
      </c>
      <c r="GV188" s="206" t="str">
        <f t="shared" si="529"/>
        <v xml:space="preserve">    </v>
      </c>
      <c r="GW188" s="206" t="str">
        <f t="shared" si="530"/>
        <v xml:space="preserve">       </v>
      </c>
      <c r="GX188" s="598" t="str">
        <f t="shared" si="531"/>
        <v xml:space="preserve">     </v>
      </c>
      <c r="GY188" s="207" t="str">
        <f t="shared" si="564"/>
        <v/>
      </c>
      <c r="GZ188" s="606" t="str">
        <f>IF(AND(Q188="",AE188="",AZ188="",BW188="",CT188=""),"",IF(AND('Master Sheet'!$D$19="YES",'Marks Entry'!$BA$1=1),SUM(Q188,AE188,AZ188,BW188,DT188),SUM(Q188,AE188,AZ188,BW188,CT188)))</f>
        <v/>
      </c>
      <c r="HA188" s="208" t="str">
        <f>IF(GZ188="","",IF(AND('Master Sheet'!$D$19="YES",'Marks Entry'!$BA$1=1),GZ188/((900)-DC188)*100,GZ188/((1000)-DC188)*100))</f>
        <v/>
      </c>
      <c r="HB188" s="611" t="str">
        <f t="shared" si="532"/>
        <v/>
      </c>
      <c r="HC188" s="609" t="str">
        <f t="shared" si="533"/>
        <v/>
      </c>
      <c r="HD188" s="610" t="str">
        <f t="shared" si="534"/>
        <v/>
      </c>
      <c r="HE188" s="209" t="str">
        <f>IFERROR(IF(OR(GY188="SUPPLEMENTARY",GY188="RE-EXAM"),'Supp. Result Entry'!AS187,""),"")</f>
        <v/>
      </c>
      <c r="HF188" s="613" t="str">
        <f t="shared" si="535"/>
        <v/>
      </c>
      <c r="HG188" s="598" t="str">
        <f t="shared" si="536"/>
        <v/>
      </c>
      <c r="HH188" s="598" t="str">
        <f>IF(AND(HE188="",HF188="",HG188=""),"",IF(OR(GY188="SUPPLEMENTARY",GY188="RE-EXAM"),'Supp. Result Entry'!AS187,GY188))</f>
        <v/>
      </c>
      <c r="HI188" s="179"/>
      <c r="HY188" s="211" t="str">
        <f>IF('Supp. Result Entry'!U187="","",'Supp. Result Entry'!$U$6)</f>
        <v/>
      </c>
      <c r="HZ188" s="212" t="str">
        <f>IF('Supp. Result Entry'!X187="","",'Supp. Result Entry'!$X$6)</f>
        <v/>
      </c>
      <c r="IA188" s="212" t="str">
        <f>IF('Supp. Result Entry'!AA187="","",'Supp. Result Entry'!$AA$6)</f>
        <v/>
      </c>
      <c r="IB188" s="212" t="str">
        <f>IF('Supp. Result Entry'!AD187="","",'Supp. Result Entry'!$AD$6)</f>
        <v/>
      </c>
      <c r="IC188" s="212" t="str">
        <f>IF('Supp. Result Entry'!AG187="","",'Supp. Result Entry'!$AG$6)</f>
        <v/>
      </c>
      <c r="ID188" s="212" t="str">
        <f>IF('Supp. Result Entry'!AJ187="","",'Supp. Result Entry'!$AJ$6)</f>
        <v/>
      </c>
      <c r="IE188" s="212" t="str">
        <f>IF('Supp. Result Entry'!V187="","",'Supp. Result Entry'!V187)</f>
        <v/>
      </c>
      <c r="IF188" s="212" t="str">
        <f>IF('Supp. Result Entry'!Y187="","",'Supp. Result Entry'!Y187)</f>
        <v/>
      </c>
      <c r="IG188" s="212" t="str">
        <f>IF('Supp. Result Entry'!AB187="","",'Supp. Result Entry'!AB187)</f>
        <v/>
      </c>
      <c r="IH188" s="212" t="str">
        <f>IF('Supp. Result Entry'!AE187="","",'Supp. Result Entry'!AE187)</f>
        <v/>
      </c>
      <c r="II188" s="212" t="str">
        <f>IF('Supp. Result Entry'!AH187="","",'Supp. Result Entry'!AH187)</f>
        <v/>
      </c>
      <c r="IJ188" s="212" t="str">
        <f>IF('Supp. Result Entry'!AK187="","",'Supp. Result Entry'!AK187)</f>
        <v/>
      </c>
      <c r="IK188" s="212" t="str">
        <f>IF('Supp. Result Entry'!W187="","",'Supp. Result Entry'!W187)</f>
        <v/>
      </c>
      <c r="IL188" s="212" t="str">
        <f>IF('Supp. Result Entry'!Z187="","",'Supp. Result Entry'!Z187)</f>
        <v/>
      </c>
      <c r="IM188" s="212" t="str">
        <f>IF('Supp. Result Entry'!AC187="","",'Supp. Result Entry'!AC187)</f>
        <v/>
      </c>
      <c r="IN188" s="212" t="str">
        <f>IF('Supp. Result Entry'!AF187="","",'Supp. Result Entry'!AF187)</f>
        <v/>
      </c>
      <c r="IO188" s="212" t="str">
        <f>IF('Supp. Result Entry'!AI187="","",'Supp. Result Entry'!AI187)</f>
        <v/>
      </c>
      <c r="IP188" s="212" t="str">
        <f>IF('Supp. Result Entry'!AL187="","",'Supp. Result Entry'!AL187)</f>
        <v/>
      </c>
      <c r="IQ188" s="212">
        <f>COUNTIF('Supp. Result Entry'!K187:Q187,"S")</f>
        <v>0</v>
      </c>
      <c r="IR188" s="212">
        <f t="shared" si="537"/>
        <v>0</v>
      </c>
      <c r="IS188" s="212">
        <f t="shared" si="538"/>
        <v>0</v>
      </c>
      <c r="IT188" s="212" t="str">
        <f t="shared" si="406"/>
        <v/>
      </c>
      <c r="IU188" s="212" t="str">
        <f t="shared" si="407"/>
        <v/>
      </c>
      <c r="IV188" s="212" t="str">
        <f t="shared" si="408"/>
        <v/>
      </c>
      <c r="IW188" s="212" t="str">
        <f t="shared" si="409"/>
        <v/>
      </c>
      <c r="IX188" s="212" t="str">
        <f t="shared" si="410"/>
        <v/>
      </c>
      <c r="IY188" s="212" t="str">
        <f t="shared" si="539"/>
        <v/>
      </c>
      <c r="IZ188" s="212" t="str">
        <f t="shared" si="540"/>
        <v/>
      </c>
      <c r="JA188" s="212" t="str">
        <f t="shared" si="411"/>
        <v/>
      </c>
      <c r="JB188" s="210" t="str">
        <f t="shared" si="541"/>
        <v/>
      </c>
    </row>
    <row r="189" spans="1:262" s="210" customFormat="1" ht="21" customHeight="1">
      <c r="A189" s="183">
        <v>182</v>
      </c>
      <c r="B189" s="184" t="str">
        <f>IF('Marks Entry'!B189="","",'Marks Entry'!B189)</f>
        <v/>
      </c>
      <c r="C189" s="185" t="str">
        <f>IF('Marks Entry'!D189="","",'Marks Entry'!D189)</f>
        <v/>
      </c>
      <c r="D189" s="186" t="str">
        <f>IF('Marks Entry'!E189="","",'Marks Entry'!E189)</f>
        <v/>
      </c>
      <c r="E189" s="187" t="str">
        <f>IF('Marks Entry'!F189="","",'Marks Entry'!F189)</f>
        <v/>
      </c>
      <c r="F189" s="187" t="str">
        <f>IF('Marks Entry'!G189="","",'Marks Entry'!G189)</f>
        <v/>
      </c>
      <c r="G189" s="187" t="str">
        <f>IF('Marks Entry'!H189="","",'Marks Entry'!H189)</f>
        <v/>
      </c>
      <c r="H189" s="188" t="str">
        <f>IF('Marks Entry'!I189="","",'Marks Entry'!I189)</f>
        <v/>
      </c>
      <c r="I189" s="189" t="str">
        <f>IF('Marks Entry'!J189="","",'Marks Entry'!J189)</f>
        <v/>
      </c>
      <c r="J189" s="545" t="str">
        <f>IF('Marks Entry'!K189="","",'Marks Entry'!K189)</f>
        <v/>
      </c>
      <c r="K189" s="545" t="str">
        <f>IF('Marks Entry'!L189="","",'Marks Entry'!L189)</f>
        <v/>
      </c>
      <c r="L189" s="545" t="str">
        <f>IF('Marks Entry'!M189="","",'Marks Entry'!M189)</f>
        <v/>
      </c>
      <c r="M189" s="546" t="str">
        <f t="shared" si="412"/>
        <v/>
      </c>
      <c r="N189" s="545" t="str">
        <f>IF('Marks Entry'!N189="","",'Marks Entry'!N189)</f>
        <v/>
      </c>
      <c r="O189" s="546" t="str">
        <f t="shared" si="413"/>
        <v/>
      </c>
      <c r="P189" s="545" t="str">
        <f>IF('Marks Entry'!O189="","",'Marks Entry'!O189)</f>
        <v/>
      </c>
      <c r="Q189" s="547" t="str">
        <f t="shared" si="414"/>
        <v/>
      </c>
      <c r="R189" s="152">
        <f t="shared" si="415"/>
        <v>0</v>
      </c>
      <c r="S189" s="152">
        <f t="shared" si="416"/>
        <v>0</v>
      </c>
      <c r="T189" s="153" t="str">
        <f t="shared" si="417"/>
        <v/>
      </c>
      <c r="U189" s="152" t="str">
        <f t="shared" si="418"/>
        <v/>
      </c>
      <c r="V189" s="152" t="str">
        <f t="shared" si="419"/>
        <v/>
      </c>
      <c r="W189" s="152" t="str">
        <f t="shared" si="420"/>
        <v/>
      </c>
      <c r="X189" s="545" t="str">
        <f>IF('Marks Entry'!P189="","",'Marks Entry'!P189)</f>
        <v/>
      </c>
      <c r="Y189" s="545" t="str">
        <f>IF('Marks Entry'!Q189="","",'Marks Entry'!Q189)</f>
        <v/>
      </c>
      <c r="Z189" s="545" t="str">
        <f>IF('Marks Entry'!R189="","",'Marks Entry'!R189)</f>
        <v/>
      </c>
      <c r="AA189" s="546" t="str">
        <f t="shared" si="421"/>
        <v/>
      </c>
      <c r="AB189" s="545" t="str">
        <f>IF('Marks Entry'!S189="","",'Marks Entry'!S189)</f>
        <v/>
      </c>
      <c r="AC189" s="546" t="str">
        <f t="shared" si="422"/>
        <v/>
      </c>
      <c r="AD189" s="545" t="str">
        <f>IF('Marks Entry'!T189="","",'Marks Entry'!T189)</f>
        <v/>
      </c>
      <c r="AE189" s="547" t="str">
        <f t="shared" si="423"/>
        <v/>
      </c>
      <c r="AF189" s="152">
        <f t="shared" si="424"/>
        <v>0</v>
      </c>
      <c r="AG189" s="152">
        <f t="shared" si="425"/>
        <v>0</v>
      </c>
      <c r="AH189" s="153" t="str">
        <f t="shared" si="426"/>
        <v/>
      </c>
      <c r="AI189" s="152" t="str">
        <f t="shared" si="427"/>
        <v/>
      </c>
      <c r="AJ189" s="152" t="str">
        <f t="shared" si="428"/>
        <v/>
      </c>
      <c r="AK189" s="152" t="str">
        <f t="shared" si="429"/>
        <v/>
      </c>
      <c r="AL189" s="573" t="str">
        <f>IF('Marks Entry'!U189="","",'Marks Entry'!U189)</f>
        <v/>
      </c>
      <c r="AM189" s="573" t="str">
        <f>IF('Marks Entry'!V189="","",'Marks Entry'!V189)</f>
        <v/>
      </c>
      <c r="AN189" s="573" t="str">
        <f>IF('Marks Entry'!W189="","",'Marks Entry'!W189)</f>
        <v/>
      </c>
      <c r="AO189" s="573" t="str">
        <f>IF('Marks Entry'!X189="","",'Marks Entry'!X189)</f>
        <v/>
      </c>
      <c r="AP189" s="572" t="str">
        <f t="shared" si="430"/>
        <v/>
      </c>
      <c r="AQ189" s="573" t="str">
        <f>IF('Marks Entry'!Y189="","",'Marks Entry'!Y189)</f>
        <v/>
      </c>
      <c r="AR189" s="573" t="str">
        <f>IF('Marks Entry'!Z189="","",'Marks Entry'!Z189)</f>
        <v/>
      </c>
      <c r="AS189" s="572" t="str">
        <f t="shared" si="431"/>
        <v/>
      </c>
      <c r="AT189" s="572" t="str">
        <f t="shared" si="432"/>
        <v/>
      </c>
      <c r="AU189" s="573" t="str">
        <f>IF('Marks Entry'!AA189="","",'Marks Entry'!AA189)</f>
        <v/>
      </c>
      <c r="AV189" s="573" t="str">
        <f>IF('Marks Entry'!AB189="","",'Marks Entry'!AB189)</f>
        <v/>
      </c>
      <c r="AW189" s="572" t="str">
        <f t="shared" si="433"/>
        <v/>
      </c>
      <c r="AX189" s="156" t="str">
        <f t="shared" si="434"/>
        <v/>
      </c>
      <c r="AY189" s="156" t="str">
        <f t="shared" si="435"/>
        <v/>
      </c>
      <c r="AZ189" s="191" t="str">
        <f t="shared" si="436"/>
        <v/>
      </c>
      <c r="BA189" s="152">
        <f t="shared" si="437"/>
        <v>0</v>
      </c>
      <c r="BB189" s="153">
        <f t="shared" si="438"/>
        <v>0</v>
      </c>
      <c r="BC189" s="153" t="str">
        <f t="shared" si="439"/>
        <v/>
      </c>
      <c r="BD189" s="153" t="str">
        <f t="shared" si="440"/>
        <v/>
      </c>
      <c r="BE189" s="153" t="str">
        <f t="shared" si="441"/>
        <v/>
      </c>
      <c r="BF189" s="152" t="str">
        <f t="shared" si="442"/>
        <v/>
      </c>
      <c r="BG189" s="153" t="str">
        <f t="shared" si="443"/>
        <v/>
      </c>
      <c r="BH189" s="152" t="str">
        <f t="shared" si="444"/>
        <v/>
      </c>
      <c r="BI189" s="580" t="str">
        <f>IF('Marks Entry'!AC189="","",'Marks Entry'!AC189)</f>
        <v/>
      </c>
      <c r="BJ189" s="580" t="str">
        <f>IF('Marks Entry'!AD189="","",'Marks Entry'!AD189)</f>
        <v/>
      </c>
      <c r="BK189" s="580" t="str">
        <f>IF('Marks Entry'!AE189="","",'Marks Entry'!AE189)</f>
        <v/>
      </c>
      <c r="BL189" s="580" t="str">
        <f>IF('Marks Entry'!AF189="","",'Marks Entry'!AF189)</f>
        <v/>
      </c>
      <c r="BM189" s="581" t="str">
        <f t="shared" si="445"/>
        <v/>
      </c>
      <c r="BN189" s="580" t="str">
        <f>IF('Marks Entry'!AG189="","",'Marks Entry'!AG189)</f>
        <v/>
      </c>
      <c r="BO189" s="580" t="str">
        <f>IF('Marks Entry'!AH189="","",'Marks Entry'!AH189)</f>
        <v/>
      </c>
      <c r="BP189" s="581" t="str">
        <f t="shared" si="446"/>
        <v/>
      </c>
      <c r="BQ189" s="581" t="str">
        <f t="shared" si="447"/>
        <v/>
      </c>
      <c r="BR189" s="580" t="str">
        <f>IF('Marks Entry'!AI189="","",'Marks Entry'!AI189)</f>
        <v/>
      </c>
      <c r="BS189" s="580" t="str">
        <f>IF('Marks Entry'!AJ189="","",'Marks Entry'!AJ189)</f>
        <v/>
      </c>
      <c r="BT189" s="581" t="str">
        <f t="shared" si="448"/>
        <v/>
      </c>
      <c r="BU189" s="156" t="str">
        <f t="shared" si="449"/>
        <v/>
      </c>
      <c r="BV189" s="156" t="str">
        <f t="shared" si="450"/>
        <v/>
      </c>
      <c r="BW189" s="191" t="str">
        <f t="shared" si="451"/>
        <v/>
      </c>
      <c r="BX189" s="152">
        <f t="shared" si="452"/>
        <v>0</v>
      </c>
      <c r="BY189" s="153">
        <f t="shared" si="453"/>
        <v>0</v>
      </c>
      <c r="BZ189" s="153" t="str">
        <f t="shared" si="454"/>
        <v/>
      </c>
      <c r="CA189" s="153" t="str">
        <f t="shared" si="455"/>
        <v/>
      </c>
      <c r="CB189" s="153" t="str">
        <f t="shared" si="456"/>
        <v/>
      </c>
      <c r="CC189" s="152" t="str">
        <f t="shared" si="457"/>
        <v/>
      </c>
      <c r="CD189" s="153" t="str">
        <f t="shared" si="458"/>
        <v/>
      </c>
      <c r="CE189" s="152" t="str">
        <f t="shared" si="459"/>
        <v/>
      </c>
      <c r="CF189" s="580" t="str">
        <f>IF('Marks Entry'!AK189="","",'Marks Entry'!AK189)</f>
        <v/>
      </c>
      <c r="CG189" s="580" t="str">
        <f>IF('Marks Entry'!AL189="","",'Marks Entry'!AL189)</f>
        <v/>
      </c>
      <c r="CH189" s="580" t="str">
        <f>IF('Marks Entry'!AM189="","",'Marks Entry'!AM189)</f>
        <v/>
      </c>
      <c r="CI189" s="580" t="str">
        <f>IF('Marks Entry'!AN189="","",'Marks Entry'!AN189)</f>
        <v/>
      </c>
      <c r="CJ189" s="581" t="str">
        <f t="shared" si="460"/>
        <v/>
      </c>
      <c r="CK189" s="580" t="str">
        <f>IF('Marks Entry'!AO189="","",'Marks Entry'!AO189)</f>
        <v/>
      </c>
      <c r="CL189" s="580" t="str">
        <f>IF('Marks Entry'!AP189="","",'Marks Entry'!AP189)</f>
        <v/>
      </c>
      <c r="CM189" s="581" t="str">
        <f t="shared" si="461"/>
        <v/>
      </c>
      <c r="CN189" s="581" t="str">
        <f t="shared" si="462"/>
        <v/>
      </c>
      <c r="CO189" s="580" t="str">
        <f>IF('Marks Entry'!AQ189="","",'Marks Entry'!AQ189)</f>
        <v/>
      </c>
      <c r="CP189" s="580" t="str">
        <f>IF('Marks Entry'!AR189="","",'Marks Entry'!AR189)</f>
        <v/>
      </c>
      <c r="CQ189" s="581" t="str">
        <f t="shared" si="463"/>
        <v/>
      </c>
      <c r="CR189" s="156" t="str">
        <f t="shared" si="464"/>
        <v/>
      </c>
      <c r="CS189" s="156" t="str">
        <f t="shared" si="465"/>
        <v/>
      </c>
      <c r="CT189" s="191" t="str">
        <f t="shared" si="466"/>
        <v/>
      </c>
      <c r="CU189" s="152">
        <f t="shared" si="467"/>
        <v>0</v>
      </c>
      <c r="CV189" s="153">
        <f t="shared" si="468"/>
        <v>0</v>
      </c>
      <c r="CW189" s="153" t="str">
        <f t="shared" si="469"/>
        <v/>
      </c>
      <c r="CX189" s="153" t="str">
        <f t="shared" si="470"/>
        <v/>
      </c>
      <c r="CY189" s="153" t="str">
        <f t="shared" si="471"/>
        <v/>
      </c>
      <c r="CZ189" s="152" t="str">
        <f t="shared" si="472"/>
        <v/>
      </c>
      <c r="DA189" s="153" t="str">
        <f t="shared" si="473"/>
        <v/>
      </c>
      <c r="DB189" s="152" t="str">
        <f t="shared" si="474"/>
        <v/>
      </c>
      <c r="DC189" s="153">
        <f t="shared" si="475"/>
        <v>0</v>
      </c>
      <c r="DD189" s="851" t="str">
        <f>IF('Marks Entry'!AS189="","",IF(OR('Master Sheet'!$D$19="YES",'Marks Entry'!$BA$1=1),'Marks Entry'!AS189,""))</f>
        <v/>
      </c>
      <c r="DE189" s="851" t="str">
        <f>IF('Marks Entry'!AT189="","",IF(OR('Master Sheet'!$D$19="YES",'Marks Entry'!$BA$1=1),'Marks Entry'!AT189,""))</f>
        <v/>
      </c>
      <c r="DF189" s="851" t="str">
        <f>IF('Marks Entry'!AU189="","",IF(OR('Master Sheet'!$D$19="YES",'Marks Entry'!$BA$1=1),'Marks Entry'!AU189,""))</f>
        <v/>
      </c>
      <c r="DG189" s="851" t="str">
        <f>IF('Marks Entry'!AV189="","",IF(OR('Master Sheet'!$D$19="YES",'Marks Entry'!$BA$1=1),'Marks Entry'!AV189,""))</f>
        <v/>
      </c>
      <c r="DH189" s="852" t="str">
        <f t="shared" si="476"/>
        <v/>
      </c>
      <c r="DI189" s="851" t="str">
        <f>IF('Marks Entry'!AW189="","",IF(OR('Master Sheet'!$D$19="YES",'Marks Entry'!$BA$1=1),'Marks Entry'!AW189,""))</f>
        <v/>
      </c>
      <c r="DJ189" s="851" t="str">
        <f>IF('Marks Entry'!AX189="","",IF(OR('Master Sheet'!$D$19="YES",'Marks Entry'!$BA$1=1),'Marks Entry'!AX189,""))</f>
        <v/>
      </c>
      <c r="DK189" s="852" t="str">
        <f t="shared" si="477"/>
        <v/>
      </c>
      <c r="DL189" s="852" t="str">
        <f t="shared" si="478"/>
        <v/>
      </c>
      <c r="DM189" s="851" t="str">
        <f>IF('Marks Entry'!AY189="","",IF(OR('Master Sheet'!$D$19="YES",'Marks Entry'!$BA$1=1),'Marks Entry'!AY189,""))</f>
        <v/>
      </c>
      <c r="DN189" s="851" t="str">
        <f>IF('Marks Entry'!AZ189="","",IF(OR('Master Sheet'!$D$19="YES",'Marks Entry'!$BA$1=1),'Marks Entry'!AZ189,""))</f>
        <v/>
      </c>
      <c r="DO189" s="851" t="str">
        <f>IF('Marks Entry'!BA189="","",IF(OR('Master Sheet'!$D$19="YES",'Marks Entry'!$BA$1=1),'Marks Entry'!BA189,""))</f>
        <v/>
      </c>
      <c r="DP189" s="852" t="str">
        <f t="shared" si="479"/>
        <v/>
      </c>
      <c r="DQ189" s="156" t="str">
        <f t="shared" si="480"/>
        <v/>
      </c>
      <c r="DR189" s="156" t="str">
        <f t="shared" si="481"/>
        <v/>
      </c>
      <c r="DS189" s="156" t="str">
        <f t="shared" si="482"/>
        <v/>
      </c>
      <c r="DT189" s="191" t="str">
        <f t="shared" si="483"/>
        <v/>
      </c>
      <c r="DU189" s="152">
        <f t="shared" si="484"/>
        <v>0</v>
      </c>
      <c r="DV189" s="153">
        <f t="shared" si="485"/>
        <v>0</v>
      </c>
      <c r="DW189" s="153" t="str">
        <f t="shared" si="486"/>
        <v/>
      </c>
      <c r="DX189" s="153" t="str">
        <f>IF(OR($B189="NSO",$B189=0,DS189=""),"",IF(AND(DJ189="",DO189=""),"",IF('Master Sheet'!$D$19="YES",$DO$6-COUNTIF(DO189,"ML")*DO$6,DS$6-(COUNTIF(DJ189,"ML")*DJ$6)-(COUNTIF(DO189,"ML")*DO$6))))</f>
        <v/>
      </c>
      <c r="DY189" s="153" t="str">
        <f>IF(OR($B189="NSO",$B189=0),"",IF(AND(DH189="",DI189="",DM189=""),"",IF(AND('Master Sheet'!$D$19="YES",'Marks Entry'!$BA$1=1),100,IF(AND(DJ189="",DO189=""),SUM(($DQ$7+$DR$7)-(DU189+DV189)),SUM(($DQ$6+$DR$6)-(DU189+DV189))))))</f>
        <v/>
      </c>
      <c r="DZ189" s="152" t="str">
        <f t="shared" si="487"/>
        <v/>
      </c>
      <c r="EA189" s="153" t="str">
        <f t="shared" si="488"/>
        <v/>
      </c>
      <c r="EB189" s="152" t="str">
        <f t="shared" si="489"/>
        <v/>
      </c>
      <c r="EC189" s="584" t="str">
        <f>IF('Marks Entry'!BB189="","",'Marks Entry'!BB189)</f>
        <v/>
      </c>
      <c r="ED189" s="584" t="str">
        <f>IF('Marks Entry'!BC189="","",'Marks Entry'!BC189)</f>
        <v/>
      </c>
      <c r="EE189" s="584" t="str">
        <f>IF('Marks Entry'!BD189="","",'Marks Entry'!BD189)</f>
        <v/>
      </c>
      <c r="EF189" s="590" t="str">
        <f t="shared" si="490"/>
        <v/>
      </c>
      <c r="EG189" s="595">
        <f t="shared" si="491"/>
        <v>0</v>
      </c>
      <c r="EH189" s="595">
        <f t="shared" si="492"/>
        <v>0</v>
      </c>
      <c r="EI189" s="192" t="str">
        <f t="shared" si="493"/>
        <v/>
      </c>
      <c r="EJ189" s="595" t="str">
        <f t="shared" si="494"/>
        <v/>
      </c>
      <c r="EK189" s="595" t="str">
        <f t="shared" si="495"/>
        <v/>
      </c>
      <c r="EL189" s="193" t="str">
        <f t="shared" si="496"/>
        <v/>
      </c>
      <c r="EM189" s="193" t="str">
        <f t="shared" si="497"/>
        <v/>
      </c>
      <c r="EN189" s="193" t="str">
        <f t="shared" si="498"/>
        <v/>
      </c>
      <c r="EO189" s="193" t="str">
        <f t="shared" si="499"/>
        <v/>
      </c>
      <c r="EP189" s="193" t="str">
        <f t="shared" si="500"/>
        <v/>
      </c>
      <c r="EQ189" s="193" t="str">
        <f t="shared" si="501"/>
        <v/>
      </c>
      <c r="ER189" s="194">
        <f t="shared" si="502"/>
        <v>0</v>
      </c>
      <c r="ES189" s="194">
        <f t="shared" si="503"/>
        <v>0</v>
      </c>
      <c r="ET189" s="194">
        <f t="shared" si="504"/>
        <v>0</v>
      </c>
      <c r="EU189" s="194">
        <f t="shared" si="505"/>
        <v>0</v>
      </c>
      <c r="EV189" s="194">
        <f t="shared" si="506"/>
        <v>0</v>
      </c>
      <c r="EW189" s="194" t="str">
        <f t="shared" si="507"/>
        <v/>
      </c>
      <c r="EX189" s="195" t="str">
        <f t="shared" si="508"/>
        <v/>
      </c>
      <c r="EY189" s="196" t="str">
        <f>IF('Marks Entry'!BE189="","",'Marks Entry'!BE189)</f>
        <v/>
      </c>
      <c r="EZ189" s="196" t="str">
        <f>IF('Marks Entry'!BF189="","",'Marks Entry'!BF189)</f>
        <v/>
      </c>
      <c r="FA189" s="196" t="str">
        <f>IF('Marks Entry'!BG189="","",'Marks Entry'!BG189)</f>
        <v/>
      </c>
      <c r="FB189" s="596" t="str">
        <f t="shared" si="509"/>
        <v/>
      </c>
      <c r="FC189" s="196" t="str">
        <f>IF('Marks Entry'!BH189="","",'Marks Entry'!BH189)</f>
        <v/>
      </c>
      <c r="FD189" s="196" t="str">
        <f>IF('Marks Entry'!BI189="","",'Marks Entry'!BI189)</f>
        <v/>
      </c>
      <c r="FE189" s="197" t="str">
        <f t="shared" si="510"/>
        <v/>
      </c>
      <c r="FF189" s="198" t="str">
        <f t="shared" si="511"/>
        <v/>
      </c>
      <c r="FG189" s="199" t="str">
        <f>IF(AND(E189=""),"",IF('Student DATA Entry'!L185="","",'Student DATA Entry'!L185))</f>
        <v/>
      </c>
      <c r="FH189" s="200" t="str">
        <f>IF(AND(E189=""),"",IF('Student DATA Entry'!M185="","",'Student DATA Entry'!M185))</f>
        <v/>
      </c>
      <c r="FI189" s="201" t="str">
        <f t="shared" si="512"/>
        <v/>
      </c>
      <c r="FJ189" s="188" t="str">
        <f t="shared" si="513"/>
        <v/>
      </c>
      <c r="FK189" s="188" t="str">
        <f t="shared" si="514"/>
        <v/>
      </c>
      <c r="FL189" s="202" t="str">
        <f t="shared" si="542"/>
        <v/>
      </c>
      <c r="FM189" s="188" t="str">
        <f t="shared" si="515"/>
        <v/>
      </c>
      <c r="FN189" s="203" t="str">
        <f t="shared" si="516"/>
        <v/>
      </c>
      <c r="FO189" s="202" t="str">
        <f t="shared" si="543"/>
        <v/>
      </c>
      <c r="FP189" s="204" t="str">
        <f t="shared" si="517"/>
        <v/>
      </c>
      <c r="FQ189" s="188" t="str">
        <f t="shared" si="544"/>
        <v/>
      </c>
      <c r="FR189" s="188" t="str">
        <f t="shared" si="545"/>
        <v/>
      </c>
      <c r="FS189" s="188" t="str">
        <f t="shared" si="546"/>
        <v/>
      </c>
      <c r="FT189" s="188" t="str">
        <f t="shared" si="547"/>
        <v/>
      </c>
      <c r="FU189" s="188" t="str">
        <f t="shared" si="518"/>
        <v/>
      </c>
      <c r="FV189" s="205" t="str">
        <f t="shared" si="548"/>
        <v/>
      </c>
      <c r="FW189" s="204" t="str">
        <f t="shared" si="519"/>
        <v/>
      </c>
      <c r="FX189" s="188" t="str">
        <f t="shared" si="549"/>
        <v/>
      </c>
      <c r="FY189" s="188" t="str">
        <f t="shared" si="550"/>
        <v/>
      </c>
      <c r="FZ189" s="188" t="str">
        <f t="shared" si="551"/>
        <v/>
      </c>
      <c r="GA189" s="188" t="str">
        <f t="shared" si="552"/>
        <v/>
      </c>
      <c r="GB189" s="188" t="str">
        <f t="shared" si="520"/>
        <v/>
      </c>
      <c r="GC189" s="205" t="str">
        <f t="shared" si="553"/>
        <v/>
      </c>
      <c r="GD189" s="204" t="str">
        <f t="shared" si="521"/>
        <v/>
      </c>
      <c r="GE189" s="188" t="str">
        <f t="shared" si="554"/>
        <v/>
      </c>
      <c r="GF189" s="188" t="str">
        <f t="shared" si="555"/>
        <v/>
      </c>
      <c r="GG189" s="188" t="str">
        <f t="shared" si="556"/>
        <v/>
      </c>
      <c r="GH189" s="188" t="str">
        <f t="shared" si="557"/>
        <v/>
      </c>
      <c r="GI189" s="188" t="str">
        <f t="shared" si="522"/>
        <v/>
      </c>
      <c r="GJ189" s="205" t="str">
        <f t="shared" si="558"/>
        <v/>
      </c>
      <c r="GK189" s="204" t="str">
        <f t="shared" si="523"/>
        <v/>
      </c>
      <c r="GL189" s="188" t="str">
        <f t="shared" si="559"/>
        <v/>
      </c>
      <c r="GM189" s="188" t="str">
        <f t="shared" si="560"/>
        <v/>
      </c>
      <c r="GN189" s="188" t="str">
        <f t="shared" si="561"/>
        <v/>
      </c>
      <c r="GO189" s="188" t="str">
        <f t="shared" si="562"/>
        <v/>
      </c>
      <c r="GP189" s="188" t="str">
        <f t="shared" si="524"/>
        <v/>
      </c>
      <c r="GQ189" s="205" t="str">
        <f t="shared" si="563"/>
        <v/>
      </c>
      <c r="GR189" s="188" t="str">
        <f t="shared" si="525"/>
        <v/>
      </c>
      <c r="GS189" s="188" t="str">
        <f t="shared" si="526"/>
        <v/>
      </c>
      <c r="GT189" s="206" t="str">
        <f t="shared" si="527"/>
        <v xml:space="preserve">    </v>
      </c>
      <c r="GU189" s="206" t="str">
        <f t="shared" si="528"/>
        <v xml:space="preserve">    </v>
      </c>
      <c r="GV189" s="206" t="str">
        <f t="shared" si="529"/>
        <v xml:space="preserve">    </v>
      </c>
      <c r="GW189" s="206" t="str">
        <f t="shared" si="530"/>
        <v xml:space="preserve">       </v>
      </c>
      <c r="GX189" s="598" t="str">
        <f t="shared" si="531"/>
        <v xml:space="preserve">     </v>
      </c>
      <c r="GY189" s="207" t="str">
        <f t="shared" si="564"/>
        <v/>
      </c>
      <c r="GZ189" s="606" t="str">
        <f>IF(AND(Q189="",AE189="",AZ189="",BW189="",CT189=""),"",IF(AND('Master Sheet'!$D$19="YES",'Marks Entry'!$BA$1=1),SUM(Q189,AE189,AZ189,BW189,DT189),SUM(Q189,AE189,AZ189,BW189,CT189)))</f>
        <v/>
      </c>
      <c r="HA189" s="208" t="str">
        <f>IF(GZ189="","",IF(AND('Master Sheet'!$D$19="YES",'Marks Entry'!$BA$1=1),GZ189/((900)-DC189)*100,GZ189/((1000)-DC189)*100))</f>
        <v/>
      </c>
      <c r="HB189" s="611" t="str">
        <f t="shared" si="532"/>
        <v/>
      </c>
      <c r="HC189" s="609" t="str">
        <f t="shared" si="533"/>
        <v/>
      </c>
      <c r="HD189" s="610" t="str">
        <f t="shared" si="534"/>
        <v/>
      </c>
      <c r="HE189" s="209" t="str">
        <f>IFERROR(IF(OR(GY189="SUPPLEMENTARY",GY189="RE-EXAM"),'Supp. Result Entry'!AS188,""),"")</f>
        <v/>
      </c>
      <c r="HF189" s="613" t="str">
        <f t="shared" si="535"/>
        <v/>
      </c>
      <c r="HG189" s="598" t="str">
        <f t="shared" si="536"/>
        <v/>
      </c>
      <c r="HH189" s="598" t="str">
        <f>IF(AND(HE189="",HF189="",HG189=""),"",IF(OR(GY189="SUPPLEMENTARY",GY189="RE-EXAM"),'Supp. Result Entry'!AS188,GY189))</f>
        <v/>
      </c>
      <c r="HI189" s="179"/>
      <c r="HY189" s="211" t="str">
        <f>IF('Supp. Result Entry'!U188="","",'Supp. Result Entry'!$U$6)</f>
        <v/>
      </c>
      <c r="HZ189" s="212" t="str">
        <f>IF('Supp. Result Entry'!X188="","",'Supp. Result Entry'!$X$6)</f>
        <v/>
      </c>
      <c r="IA189" s="212" t="str">
        <f>IF('Supp. Result Entry'!AA188="","",'Supp. Result Entry'!$AA$6)</f>
        <v/>
      </c>
      <c r="IB189" s="212" t="str">
        <f>IF('Supp. Result Entry'!AD188="","",'Supp. Result Entry'!$AD$6)</f>
        <v/>
      </c>
      <c r="IC189" s="212" t="str">
        <f>IF('Supp. Result Entry'!AG188="","",'Supp. Result Entry'!$AG$6)</f>
        <v/>
      </c>
      <c r="ID189" s="212" t="str">
        <f>IF('Supp. Result Entry'!AJ188="","",'Supp. Result Entry'!$AJ$6)</f>
        <v/>
      </c>
      <c r="IE189" s="212" t="str">
        <f>IF('Supp. Result Entry'!V188="","",'Supp. Result Entry'!V188)</f>
        <v/>
      </c>
      <c r="IF189" s="212" t="str">
        <f>IF('Supp. Result Entry'!Y188="","",'Supp. Result Entry'!Y188)</f>
        <v/>
      </c>
      <c r="IG189" s="212" t="str">
        <f>IF('Supp. Result Entry'!AB188="","",'Supp. Result Entry'!AB188)</f>
        <v/>
      </c>
      <c r="IH189" s="212" t="str">
        <f>IF('Supp. Result Entry'!AE188="","",'Supp. Result Entry'!AE188)</f>
        <v/>
      </c>
      <c r="II189" s="212" t="str">
        <f>IF('Supp. Result Entry'!AH188="","",'Supp. Result Entry'!AH188)</f>
        <v/>
      </c>
      <c r="IJ189" s="212" t="str">
        <f>IF('Supp. Result Entry'!AK188="","",'Supp. Result Entry'!AK188)</f>
        <v/>
      </c>
      <c r="IK189" s="212" t="str">
        <f>IF('Supp. Result Entry'!W188="","",'Supp. Result Entry'!W188)</f>
        <v/>
      </c>
      <c r="IL189" s="212" t="str">
        <f>IF('Supp. Result Entry'!Z188="","",'Supp. Result Entry'!Z188)</f>
        <v/>
      </c>
      <c r="IM189" s="212" t="str">
        <f>IF('Supp. Result Entry'!AC188="","",'Supp. Result Entry'!AC188)</f>
        <v/>
      </c>
      <c r="IN189" s="212" t="str">
        <f>IF('Supp. Result Entry'!AF188="","",'Supp. Result Entry'!AF188)</f>
        <v/>
      </c>
      <c r="IO189" s="212" t="str">
        <f>IF('Supp. Result Entry'!AI188="","",'Supp. Result Entry'!AI188)</f>
        <v/>
      </c>
      <c r="IP189" s="212" t="str">
        <f>IF('Supp. Result Entry'!AL188="","",'Supp. Result Entry'!AL188)</f>
        <v/>
      </c>
      <c r="IQ189" s="212">
        <f>COUNTIF('Supp. Result Entry'!K188:Q188,"S")</f>
        <v>0</v>
      </c>
      <c r="IR189" s="212">
        <f t="shared" si="537"/>
        <v>0</v>
      </c>
      <c r="IS189" s="212">
        <f t="shared" si="538"/>
        <v>0</v>
      </c>
      <c r="IT189" s="212" t="str">
        <f t="shared" si="406"/>
        <v/>
      </c>
      <c r="IU189" s="212" t="str">
        <f t="shared" si="407"/>
        <v/>
      </c>
      <c r="IV189" s="212" t="str">
        <f t="shared" si="408"/>
        <v/>
      </c>
      <c r="IW189" s="212" t="str">
        <f t="shared" si="409"/>
        <v/>
      </c>
      <c r="IX189" s="212" t="str">
        <f t="shared" si="410"/>
        <v/>
      </c>
      <c r="IY189" s="212" t="str">
        <f t="shared" si="539"/>
        <v/>
      </c>
      <c r="IZ189" s="212" t="str">
        <f t="shared" si="540"/>
        <v/>
      </c>
      <c r="JA189" s="212" t="str">
        <f t="shared" si="411"/>
        <v/>
      </c>
      <c r="JB189" s="210" t="str">
        <f t="shared" si="541"/>
        <v/>
      </c>
    </row>
    <row r="190" spans="1:262" s="210" customFormat="1" ht="21" customHeight="1">
      <c r="A190" s="183">
        <v>183</v>
      </c>
      <c r="B190" s="184" t="str">
        <f>IF('Marks Entry'!B190="","",'Marks Entry'!B190)</f>
        <v/>
      </c>
      <c r="C190" s="185" t="str">
        <f>IF('Marks Entry'!D190="","",'Marks Entry'!D190)</f>
        <v/>
      </c>
      <c r="D190" s="186" t="str">
        <f>IF('Marks Entry'!E190="","",'Marks Entry'!E190)</f>
        <v/>
      </c>
      <c r="E190" s="187" t="str">
        <f>IF('Marks Entry'!F190="","",'Marks Entry'!F190)</f>
        <v/>
      </c>
      <c r="F190" s="187" t="str">
        <f>IF('Marks Entry'!G190="","",'Marks Entry'!G190)</f>
        <v/>
      </c>
      <c r="G190" s="187" t="str">
        <f>IF('Marks Entry'!H190="","",'Marks Entry'!H190)</f>
        <v/>
      </c>
      <c r="H190" s="188" t="str">
        <f>IF('Marks Entry'!I190="","",'Marks Entry'!I190)</f>
        <v/>
      </c>
      <c r="I190" s="189" t="str">
        <f>IF('Marks Entry'!J190="","",'Marks Entry'!J190)</f>
        <v/>
      </c>
      <c r="J190" s="545" t="str">
        <f>IF('Marks Entry'!K190="","",'Marks Entry'!K190)</f>
        <v/>
      </c>
      <c r="K190" s="545" t="str">
        <f>IF('Marks Entry'!L190="","",'Marks Entry'!L190)</f>
        <v/>
      </c>
      <c r="L190" s="545" t="str">
        <f>IF('Marks Entry'!M190="","",'Marks Entry'!M190)</f>
        <v/>
      </c>
      <c r="M190" s="546" t="str">
        <f t="shared" si="412"/>
        <v/>
      </c>
      <c r="N190" s="545" t="str">
        <f>IF('Marks Entry'!N190="","",'Marks Entry'!N190)</f>
        <v/>
      </c>
      <c r="O190" s="546" t="str">
        <f t="shared" si="413"/>
        <v/>
      </c>
      <c r="P190" s="545" t="str">
        <f>IF('Marks Entry'!O190="","",'Marks Entry'!O190)</f>
        <v/>
      </c>
      <c r="Q190" s="547" t="str">
        <f t="shared" si="414"/>
        <v/>
      </c>
      <c r="R190" s="152">
        <f t="shared" si="415"/>
        <v>0</v>
      </c>
      <c r="S190" s="152">
        <f t="shared" si="416"/>
        <v>0</v>
      </c>
      <c r="T190" s="153" t="str">
        <f t="shared" si="417"/>
        <v/>
      </c>
      <c r="U190" s="152" t="str">
        <f t="shared" si="418"/>
        <v/>
      </c>
      <c r="V190" s="152" t="str">
        <f t="shared" si="419"/>
        <v/>
      </c>
      <c r="W190" s="152" t="str">
        <f t="shared" si="420"/>
        <v/>
      </c>
      <c r="X190" s="545" t="str">
        <f>IF('Marks Entry'!P190="","",'Marks Entry'!P190)</f>
        <v/>
      </c>
      <c r="Y190" s="545" t="str">
        <f>IF('Marks Entry'!Q190="","",'Marks Entry'!Q190)</f>
        <v/>
      </c>
      <c r="Z190" s="545" t="str">
        <f>IF('Marks Entry'!R190="","",'Marks Entry'!R190)</f>
        <v/>
      </c>
      <c r="AA190" s="546" t="str">
        <f t="shared" si="421"/>
        <v/>
      </c>
      <c r="AB190" s="545" t="str">
        <f>IF('Marks Entry'!S190="","",'Marks Entry'!S190)</f>
        <v/>
      </c>
      <c r="AC190" s="546" t="str">
        <f t="shared" si="422"/>
        <v/>
      </c>
      <c r="AD190" s="545" t="str">
        <f>IF('Marks Entry'!T190="","",'Marks Entry'!T190)</f>
        <v/>
      </c>
      <c r="AE190" s="547" t="str">
        <f t="shared" si="423"/>
        <v/>
      </c>
      <c r="AF190" s="152">
        <f t="shared" si="424"/>
        <v>0</v>
      </c>
      <c r="AG190" s="152">
        <f t="shared" si="425"/>
        <v>0</v>
      </c>
      <c r="AH190" s="153" t="str">
        <f t="shared" si="426"/>
        <v/>
      </c>
      <c r="AI190" s="152" t="str">
        <f t="shared" si="427"/>
        <v/>
      </c>
      <c r="AJ190" s="152" t="str">
        <f t="shared" si="428"/>
        <v/>
      </c>
      <c r="AK190" s="152" t="str">
        <f t="shared" si="429"/>
        <v/>
      </c>
      <c r="AL190" s="573" t="str">
        <f>IF('Marks Entry'!U190="","",'Marks Entry'!U190)</f>
        <v/>
      </c>
      <c r="AM190" s="573" t="str">
        <f>IF('Marks Entry'!V190="","",'Marks Entry'!V190)</f>
        <v/>
      </c>
      <c r="AN190" s="573" t="str">
        <f>IF('Marks Entry'!W190="","",'Marks Entry'!W190)</f>
        <v/>
      </c>
      <c r="AO190" s="573" t="str">
        <f>IF('Marks Entry'!X190="","",'Marks Entry'!X190)</f>
        <v/>
      </c>
      <c r="AP190" s="572" t="str">
        <f t="shared" si="430"/>
        <v/>
      </c>
      <c r="AQ190" s="573" t="str">
        <f>IF('Marks Entry'!Y190="","",'Marks Entry'!Y190)</f>
        <v/>
      </c>
      <c r="AR190" s="573" t="str">
        <f>IF('Marks Entry'!Z190="","",'Marks Entry'!Z190)</f>
        <v/>
      </c>
      <c r="AS190" s="572" t="str">
        <f t="shared" si="431"/>
        <v/>
      </c>
      <c r="AT190" s="572" t="str">
        <f t="shared" si="432"/>
        <v/>
      </c>
      <c r="AU190" s="573" t="str">
        <f>IF('Marks Entry'!AA190="","",'Marks Entry'!AA190)</f>
        <v/>
      </c>
      <c r="AV190" s="573" t="str">
        <f>IF('Marks Entry'!AB190="","",'Marks Entry'!AB190)</f>
        <v/>
      </c>
      <c r="AW190" s="572" t="str">
        <f t="shared" si="433"/>
        <v/>
      </c>
      <c r="AX190" s="156" t="str">
        <f t="shared" si="434"/>
        <v/>
      </c>
      <c r="AY190" s="156" t="str">
        <f t="shared" si="435"/>
        <v/>
      </c>
      <c r="AZ190" s="191" t="str">
        <f t="shared" si="436"/>
        <v/>
      </c>
      <c r="BA190" s="152">
        <f t="shared" si="437"/>
        <v>0</v>
      </c>
      <c r="BB190" s="153">
        <f t="shared" si="438"/>
        <v>0</v>
      </c>
      <c r="BC190" s="153" t="str">
        <f t="shared" si="439"/>
        <v/>
      </c>
      <c r="BD190" s="153" t="str">
        <f t="shared" si="440"/>
        <v/>
      </c>
      <c r="BE190" s="153" t="str">
        <f t="shared" si="441"/>
        <v/>
      </c>
      <c r="BF190" s="152" t="str">
        <f t="shared" si="442"/>
        <v/>
      </c>
      <c r="BG190" s="153" t="str">
        <f t="shared" si="443"/>
        <v/>
      </c>
      <c r="BH190" s="152" t="str">
        <f t="shared" si="444"/>
        <v/>
      </c>
      <c r="BI190" s="580" t="str">
        <f>IF('Marks Entry'!AC190="","",'Marks Entry'!AC190)</f>
        <v/>
      </c>
      <c r="BJ190" s="580" t="str">
        <f>IF('Marks Entry'!AD190="","",'Marks Entry'!AD190)</f>
        <v/>
      </c>
      <c r="BK190" s="580" t="str">
        <f>IF('Marks Entry'!AE190="","",'Marks Entry'!AE190)</f>
        <v/>
      </c>
      <c r="BL190" s="580" t="str">
        <f>IF('Marks Entry'!AF190="","",'Marks Entry'!AF190)</f>
        <v/>
      </c>
      <c r="BM190" s="581" t="str">
        <f t="shared" si="445"/>
        <v/>
      </c>
      <c r="BN190" s="580" t="str">
        <f>IF('Marks Entry'!AG190="","",'Marks Entry'!AG190)</f>
        <v/>
      </c>
      <c r="BO190" s="580" t="str">
        <f>IF('Marks Entry'!AH190="","",'Marks Entry'!AH190)</f>
        <v/>
      </c>
      <c r="BP190" s="581" t="str">
        <f t="shared" si="446"/>
        <v/>
      </c>
      <c r="BQ190" s="581" t="str">
        <f t="shared" si="447"/>
        <v/>
      </c>
      <c r="BR190" s="580" t="str">
        <f>IF('Marks Entry'!AI190="","",'Marks Entry'!AI190)</f>
        <v/>
      </c>
      <c r="BS190" s="580" t="str">
        <f>IF('Marks Entry'!AJ190="","",'Marks Entry'!AJ190)</f>
        <v/>
      </c>
      <c r="BT190" s="581" t="str">
        <f t="shared" si="448"/>
        <v/>
      </c>
      <c r="BU190" s="156" t="str">
        <f t="shared" si="449"/>
        <v/>
      </c>
      <c r="BV190" s="156" t="str">
        <f t="shared" si="450"/>
        <v/>
      </c>
      <c r="BW190" s="191" t="str">
        <f t="shared" si="451"/>
        <v/>
      </c>
      <c r="BX190" s="152">
        <f t="shared" si="452"/>
        <v>0</v>
      </c>
      <c r="BY190" s="153">
        <f t="shared" si="453"/>
        <v>0</v>
      </c>
      <c r="BZ190" s="153" t="str">
        <f t="shared" si="454"/>
        <v/>
      </c>
      <c r="CA190" s="153" t="str">
        <f t="shared" si="455"/>
        <v/>
      </c>
      <c r="CB190" s="153" t="str">
        <f t="shared" si="456"/>
        <v/>
      </c>
      <c r="CC190" s="152" t="str">
        <f t="shared" si="457"/>
        <v/>
      </c>
      <c r="CD190" s="153" t="str">
        <f t="shared" si="458"/>
        <v/>
      </c>
      <c r="CE190" s="152" t="str">
        <f t="shared" si="459"/>
        <v/>
      </c>
      <c r="CF190" s="580" t="str">
        <f>IF('Marks Entry'!AK190="","",'Marks Entry'!AK190)</f>
        <v/>
      </c>
      <c r="CG190" s="580" t="str">
        <f>IF('Marks Entry'!AL190="","",'Marks Entry'!AL190)</f>
        <v/>
      </c>
      <c r="CH190" s="580" t="str">
        <f>IF('Marks Entry'!AM190="","",'Marks Entry'!AM190)</f>
        <v/>
      </c>
      <c r="CI190" s="580" t="str">
        <f>IF('Marks Entry'!AN190="","",'Marks Entry'!AN190)</f>
        <v/>
      </c>
      <c r="CJ190" s="581" t="str">
        <f t="shared" si="460"/>
        <v/>
      </c>
      <c r="CK190" s="580" t="str">
        <f>IF('Marks Entry'!AO190="","",'Marks Entry'!AO190)</f>
        <v/>
      </c>
      <c r="CL190" s="580" t="str">
        <f>IF('Marks Entry'!AP190="","",'Marks Entry'!AP190)</f>
        <v/>
      </c>
      <c r="CM190" s="581" t="str">
        <f t="shared" si="461"/>
        <v/>
      </c>
      <c r="CN190" s="581" t="str">
        <f t="shared" si="462"/>
        <v/>
      </c>
      <c r="CO190" s="580" t="str">
        <f>IF('Marks Entry'!AQ190="","",'Marks Entry'!AQ190)</f>
        <v/>
      </c>
      <c r="CP190" s="580" t="str">
        <f>IF('Marks Entry'!AR190="","",'Marks Entry'!AR190)</f>
        <v/>
      </c>
      <c r="CQ190" s="581" t="str">
        <f t="shared" si="463"/>
        <v/>
      </c>
      <c r="CR190" s="156" t="str">
        <f t="shared" si="464"/>
        <v/>
      </c>
      <c r="CS190" s="156" t="str">
        <f t="shared" si="465"/>
        <v/>
      </c>
      <c r="CT190" s="191" t="str">
        <f t="shared" si="466"/>
        <v/>
      </c>
      <c r="CU190" s="152">
        <f t="shared" si="467"/>
        <v>0</v>
      </c>
      <c r="CV190" s="153">
        <f t="shared" si="468"/>
        <v>0</v>
      </c>
      <c r="CW190" s="153" t="str">
        <f t="shared" si="469"/>
        <v/>
      </c>
      <c r="CX190" s="153" t="str">
        <f t="shared" si="470"/>
        <v/>
      </c>
      <c r="CY190" s="153" t="str">
        <f t="shared" si="471"/>
        <v/>
      </c>
      <c r="CZ190" s="152" t="str">
        <f t="shared" si="472"/>
        <v/>
      </c>
      <c r="DA190" s="153" t="str">
        <f t="shared" si="473"/>
        <v/>
      </c>
      <c r="DB190" s="152" t="str">
        <f t="shared" si="474"/>
        <v/>
      </c>
      <c r="DC190" s="153">
        <f t="shared" si="475"/>
        <v>0</v>
      </c>
      <c r="DD190" s="851" t="str">
        <f>IF('Marks Entry'!AS190="","",IF(OR('Master Sheet'!$D$19="YES",'Marks Entry'!$BA$1=1),'Marks Entry'!AS190,""))</f>
        <v/>
      </c>
      <c r="DE190" s="851" t="str">
        <f>IF('Marks Entry'!AT190="","",IF(OR('Master Sheet'!$D$19="YES",'Marks Entry'!$BA$1=1),'Marks Entry'!AT190,""))</f>
        <v/>
      </c>
      <c r="DF190" s="851" t="str">
        <f>IF('Marks Entry'!AU190="","",IF(OR('Master Sheet'!$D$19="YES",'Marks Entry'!$BA$1=1),'Marks Entry'!AU190,""))</f>
        <v/>
      </c>
      <c r="DG190" s="851" t="str">
        <f>IF('Marks Entry'!AV190="","",IF(OR('Master Sheet'!$D$19="YES",'Marks Entry'!$BA$1=1),'Marks Entry'!AV190,""))</f>
        <v/>
      </c>
      <c r="DH190" s="852" t="str">
        <f t="shared" si="476"/>
        <v/>
      </c>
      <c r="DI190" s="851" t="str">
        <f>IF('Marks Entry'!AW190="","",IF(OR('Master Sheet'!$D$19="YES",'Marks Entry'!$BA$1=1),'Marks Entry'!AW190,""))</f>
        <v/>
      </c>
      <c r="DJ190" s="851" t="str">
        <f>IF('Marks Entry'!AX190="","",IF(OR('Master Sheet'!$D$19="YES",'Marks Entry'!$BA$1=1),'Marks Entry'!AX190,""))</f>
        <v/>
      </c>
      <c r="DK190" s="852" t="str">
        <f t="shared" si="477"/>
        <v/>
      </c>
      <c r="DL190" s="852" t="str">
        <f t="shared" si="478"/>
        <v/>
      </c>
      <c r="DM190" s="851" t="str">
        <f>IF('Marks Entry'!AY190="","",IF(OR('Master Sheet'!$D$19="YES",'Marks Entry'!$BA$1=1),'Marks Entry'!AY190,""))</f>
        <v/>
      </c>
      <c r="DN190" s="851" t="str">
        <f>IF('Marks Entry'!AZ190="","",IF(OR('Master Sheet'!$D$19="YES",'Marks Entry'!$BA$1=1),'Marks Entry'!AZ190,""))</f>
        <v/>
      </c>
      <c r="DO190" s="851" t="str">
        <f>IF('Marks Entry'!BA190="","",IF(OR('Master Sheet'!$D$19="YES",'Marks Entry'!$BA$1=1),'Marks Entry'!BA190,""))</f>
        <v/>
      </c>
      <c r="DP190" s="852" t="str">
        <f t="shared" si="479"/>
        <v/>
      </c>
      <c r="DQ190" s="156" t="str">
        <f t="shared" si="480"/>
        <v/>
      </c>
      <c r="DR190" s="156" t="str">
        <f t="shared" si="481"/>
        <v/>
      </c>
      <c r="DS190" s="156" t="str">
        <f t="shared" si="482"/>
        <v/>
      </c>
      <c r="DT190" s="191" t="str">
        <f t="shared" si="483"/>
        <v/>
      </c>
      <c r="DU190" s="152">
        <f t="shared" si="484"/>
        <v>0</v>
      </c>
      <c r="DV190" s="153">
        <f t="shared" si="485"/>
        <v>0</v>
      </c>
      <c r="DW190" s="153" t="str">
        <f t="shared" si="486"/>
        <v/>
      </c>
      <c r="DX190" s="153" t="str">
        <f>IF(OR($B190="NSO",$B190=0,DS190=""),"",IF(AND(DJ190="",DO190=""),"",IF('Master Sheet'!$D$19="YES",$DO$6-COUNTIF(DO190,"ML")*DO$6,DS$6-(COUNTIF(DJ190,"ML")*DJ$6)-(COUNTIF(DO190,"ML")*DO$6))))</f>
        <v/>
      </c>
      <c r="DY190" s="153" t="str">
        <f>IF(OR($B190="NSO",$B190=0),"",IF(AND(DH190="",DI190="",DM190=""),"",IF(AND('Master Sheet'!$D$19="YES",'Marks Entry'!$BA$1=1),100,IF(AND(DJ190="",DO190=""),SUM(($DQ$7+$DR$7)-(DU190+DV190)),SUM(($DQ$6+$DR$6)-(DU190+DV190))))))</f>
        <v/>
      </c>
      <c r="DZ190" s="152" t="str">
        <f t="shared" si="487"/>
        <v/>
      </c>
      <c r="EA190" s="153" t="str">
        <f t="shared" si="488"/>
        <v/>
      </c>
      <c r="EB190" s="152" t="str">
        <f t="shared" si="489"/>
        <v/>
      </c>
      <c r="EC190" s="584" t="str">
        <f>IF('Marks Entry'!BB190="","",'Marks Entry'!BB190)</f>
        <v/>
      </c>
      <c r="ED190" s="584" t="str">
        <f>IF('Marks Entry'!BC190="","",'Marks Entry'!BC190)</f>
        <v/>
      </c>
      <c r="EE190" s="584" t="str">
        <f>IF('Marks Entry'!BD190="","",'Marks Entry'!BD190)</f>
        <v/>
      </c>
      <c r="EF190" s="590" t="str">
        <f t="shared" si="490"/>
        <v/>
      </c>
      <c r="EG190" s="595">
        <f t="shared" si="491"/>
        <v>0</v>
      </c>
      <c r="EH190" s="595">
        <f t="shared" si="492"/>
        <v>0</v>
      </c>
      <c r="EI190" s="192" t="str">
        <f t="shared" si="493"/>
        <v/>
      </c>
      <c r="EJ190" s="595" t="str">
        <f t="shared" si="494"/>
        <v/>
      </c>
      <c r="EK190" s="595" t="str">
        <f t="shared" si="495"/>
        <v/>
      </c>
      <c r="EL190" s="193" t="str">
        <f t="shared" si="496"/>
        <v/>
      </c>
      <c r="EM190" s="193" t="str">
        <f t="shared" si="497"/>
        <v/>
      </c>
      <c r="EN190" s="193" t="str">
        <f t="shared" si="498"/>
        <v/>
      </c>
      <c r="EO190" s="193" t="str">
        <f t="shared" si="499"/>
        <v/>
      </c>
      <c r="EP190" s="193" t="str">
        <f t="shared" si="500"/>
        <v/>
      </c>
      <c r="EQ190" s="193" t="str">
        <f t="shared" si="501"/>
        <v/>
      </c>
      <c r="ER190" s="194">
        <f t="shared" si="502"/>
        <v>0</v>
      </c>
      <c r="ES190" s="194">
        <f t="shared" si="503"/>
        <v>0</v>
      </c>
      <c r="ET190" s="194">
        <f t="shared" si="504"/>
        <v>0</v>
      </c>
      <c r="EU190" s="194">
        <f t="shared" si="505"/>
        <v>0</v>
      </c>
      <c r="EV190" s="194">
        <f t="shared" si="506"/>
        <v>0</v>
      </c>
      <c r="EW190" s="194" t="str">
        <f t="shared" si="507"/>
        <v/>
      </c>
      <c r="EX190" s="195" t="str">
        <f t="shared" si="508"/>
        <v/>
      </c>
      <c r="EY190" s="196" t="str">
        <f>IF('Marks Entry'!BE190="","",'Marks Entry'!BE190)</f>
        <v/>
      </c>
      <c r="EZ190" s="196" t="str">
        <f>IF('Marks Entry'!BF190="","",'Marks Entry'!BF190)</f>
        <v/>
      </c>
      <c r="FA190" s="196" t="str">
        <f>IF('Marks Entry'!BG190="","",'Marks Entry'!BG190)</f>
        <v/>
      </c>
      <c r="FB190" s="596" t="str">
        <f t="shared" si="509"/>
        <v/>
      </c>
      <c r="FC190" s="196" t="str">
        <f>IF('Marks Entry'!BH190="","",'Marks Entry'!BH190)</f>
        <v/>
      </c>
      <c r="FD190" s="196" t="str">
        <f>IF('Marks Entry'!BI190="","",'Marks Entry'!BI190)</f>
        <v/>
      </c>
      <c r="FE190" s="197" t="str">
        <f t="shared" si="510"/>
        <v/>
      </c>
      <c r="FF190" s="198" t="str">
        <f t="shared" si="511"/>
        <v/>
      </c>
      <c r="FG190" s="199" t="str">
        <f>IF(AND(E190=""),"",IF('Student DATA Entry'!L186="","",'Student DATA Entry'!L186))</f>
        <v/>
      </c>
      <c r="FH190" s="200" t="str">
        <f>IF(AND(E190=""),"",IF('Student DATA Entry'!M186="","",'Student DATA Entry'!M186))</f>
        <v/>
      </c>
      <c r="FI190" s="201" t="str">
        <f t="shared" si="512"/>
        <v/>
      </c>
      <c r="FJ190" s="188" t="str">
        <f t="shared" si="513"/>
        <v/>
      </c>
      <c r="FK190" s="188" t="str">
        <f t="shared" si="514"/>
        <v/>
      </c>
      <c r="FL190" s="202" t="str">
        <f t="shared" si="542"/>
        <v/>
      </c>
      <c r="FM190" s="188" t="str">
        <f t="shared" si="515"/>
        <v/>
      </c>
      <c r="FN190" s="203" t="str">
        <f t="shared" si="516"/>
        <v/>
      </c>
      <c r="FO190" s="202" t="str">
        <f t="shared" si="543"/>
        <v/>
      </c>
      <c r="FP190" s="204" t="str">
        <f t="shared" si="517"/>
        <v/>
      </c>
      <c r="FQ190" s="188" t="str">
        <f t="shared" si="544"/>
        <v/>
      </c>
      <c r="FR190" s="188" t="str">
        <f t="shared" si="545"/>
        <v/>
      </c>
      <c r="FS190" s="188" t="str">
        <f t="shared" si="546"/>
        <v/>
      </c>
      <c r="FT190" s="188" t="str">
        <f t="shared" si="547"/>
        <v/>
      </c>
      <c r="FU190" s="188" t="str">
        <f t="shared" si="518"/>
        <v/>
      </c>
      <c r="FV190" s="205" t="str">
        <f t="shared" si="548"/>
        <v/>
      </c>
      <c r="FW190" s="204" t="str">
        <f t="shared" si="519"/>
        <v/>
      </c>
      <c r="FX190" s="188" t="str">
        <f t="shared" si="549"/>
        <v/>
      </c>
      <c r="FY190" s="188" t="str">
        <f t="shared" si="550"/>
        <v/>
      </c>
      <c r="FZ190" s="188" t="str">
        <f t="shared" si="551"/>
        <v/>
      </c>
      <c r="GA190" s="188" t="str">
        <f t="shared" si="552"/>
        <v/>
      </c>
      <c r="GB190" s="188" t="str">
        <f t="shared" si="520"/>
        <v/>
      </c>
      <c r="GC190" s="205" t="str">
        <f t="shared" si="553"/>
        <v/>
      </c>
      <c r="GD190" s="204" t="str">
        <f t="shared" si="521"/>
        <v/>
      </c>
      <c r="GE190" s="188" t="str">
        <f t="shared" si="554"/>
        <v/>
      </c>
      <c r="GF190" s="188" t="str">
        <f t="shared" si="555"/>
        <v/>
      </c>
      <c r="GG190" s="188" t="str">
        <f t="shared" si="556"/>
        <v/>
      </c>
      <c r="GH190" s="188" t="str">
        <f t="shared" si="557"/>
        <v/>
      </c>
      <c r="GI190" s="188" t="str">
        <f t="shared" si="522"/>
        <v/>
      </c>
      <c r="GJ190" s="205" t="str">
        <f t="shared" si="558"/>
        <v/>
      </c>
      <c r="GK190" s="204" t="str">
        <f t="shared" si="523"/>
        <v/>
      </c>
      <c r="GL190" s="188" t="str">
        <f t="shared" si="559"/>
        <v/>
      </c>
      <c r="GM190" s="188" t="str">
        <f t="shared" si="560"/>
        <v/>
      </c>
      <c r="GN190" s="188" t="str">
        <f t="shared" si="561"/>
        <v/>
      </c>
      <c r="GO190" s="188" t="str">
        <f t="shared" si="562"/>
        <v/>
      </c>
      <c r="GP190" s="188" t="str">
        <f t="shared" si="524"/>
        <v/>
      </c>
      <c r="GQ190" s="205" t="str">
        <f t="shared" si="563"/>
        <v/>
      </c>
      <c r="GR190" s="188" t="str">
        <f t="shared" si="525"/>
        <v/>
      </c>
      <c r="GS190" s="188" t="str">
        <f t="shared" si="526"/>
        <v/>
      </c>
      <c r="GT190" s="206" t="str">
        <f t="shared" si="527"/>
        <v xml:space="preserve">    </v>
      </c>
      <c r="GU190" s="206" t="str">
        <f t="shared" si="528"/>
        <v xml:space="preserve">    </v>
      </c>
      <c r="GV190" s="206" t="str">
        <f t="shared" si="529"/>
        <v xml:space="preserve">    </v>
      </c>
      <c r="GW190" s="206" t="str">
        <f t="shared" si="530"/>
        <v xml:space="preserve">       </v>
      </c>
      <c r="GX190" s="598" t="str">
        <f t="shared" si="531"/>
        <v xml:space="preserve">     </v>
      </c>
      <c r="GY190" s="207" t="str">
        <f t="shared" si="564"/>
        <v/>
      </c>
      <c r="GZ190" s="606" t="str">
        <f>IF(AND(Q190="",AE190="",AZ190="",BW190="",CT190=""),"",IF(AND('Master Sheet'!$D$19="YES",'Marks Entry'!$BA$1=1),SUM(Q190,AE190,AZ190,BW190,DT190),SUM(Q190,AE190,AZ190,BW190,CT190)))</f>
        <v/>
      </c>
      <c r="HA190" s="208" t="str">
        <f>IF(GZ190="","",IF(AND('Master Sheet'!$D$19="YES",'Marks Entry'!$BA$1=1),GZ190/((900)-DC190)*100,GZ190/((1000)-DC190)*100))</f>
        <v/>
      </c>
      <c r="HB190" s="611" t="str">
        <f t="shared" si="532"/>
        <v/>
      </c>
      <c r="HC190" s="609" t="str">
        <f t="shared" si="533"/>
        <v/>
      </c>
      <c r="HD190" s="610" t="str">
        <f t="shared" si="534"/>
        <v/>
      </c>
      <c r="HE190" s="209" t="str">
        <f>IFERROR(IF(OR(GY190="SUPPLEMENTARY",GY190="RE-EXAM"),'Supp. Result Entry'!AS189,""),"")</f>
        <v/>
      </c>
      <c r="HF190" s="613" t="str">
        <f t="shared" si="535"/>
        <v/>
      </c>
      <c r="HG190" s="598" t="str">
        <f t="shared" si="536"/>
        <v/>
      </c>
      <c r="HH190" s="598" t="str">
        <f>IF(AND(HE190="",HF190="",HG190=""),"",IF(OR(GY190="SUPPLEMENTARY",GY190="RE-EXAM"),'Supp. Result Entry'!AS189,GY190))</f>
        <v/>
      </c>
      <c r="HI190" s="179"/>
      <c r="HY190" s="211" t="str">
        <f>IF('Supp. Result Entry'!U189="","",'Supp. Result Entry'!$U$6)</f>
        <v/>
      </c>
      <c r="HZ190" s="212" t="str">
        <f>IF('Supp. Result Entry'!X189="","",'Supp. Result Entry'!$X$6)</f>
        <v/>
      </c>
      <c r="IA190" s="212" t="str">
        <f>IF('Supp. Result Entry'!AA189="","",'Supp. Result Entry'!$AA$6)</f>
        <v/>
      </c>
      <c r="IB190" s="212" t="str">
        <f>IF('Supp. Result Entry'!AD189="","",'Supp. Result Entry'!$AD$6)</f>
        <v/>
      </c>
      <c r="IC190" s="212" t="str">
        <f>IF('Supp. Result Entry'!AG189="","",'Supp. Result Entry'!$AG$6)</f>
        <v/>
      </c>
      <c r="ID190" s="212" t="str">
        <f>IF('Supp. Result Entry'!AJ189="","",'Supp. Result Entry'!$AJ$6)</f>
        <v/>
      </c>
      <c r="IE190" s="212" t="str">
        <f>IF('Supp. Result Entry'!V189="","",'Supp. Result Entry'!V189)</f>
        <v/>
      </c>
      <c r="IF190" s="212" t="str">
        <f>IF('Supp. Result Entry'!Y189="","",'Supp. Result Entry'!Y189)</f>
        <v/>
      </c>
      <c r="IG190" s="212" t="str">
        <f>IF('Supp. Result Entry'!AB189="","",'Supp. Result Entry'!AB189)</f>
        <v/>
      </c>
      <c r="IH190" s="212" t="str">
        <f>IF('Supp. Result Entry'!AE189="","",'Supp. Result Entry'!AE189)</f>
        <v/>
      </c>
      <c r="II190" s="212" t="str">
        <f>IF('Supp. Result Entry'!AH189="","",'Supp. Result Entry'!AH189)</f>
        <v/>
      </c>
      <c r="IJ190" s="212" t="str">
        <f>IF('Supp. Result Entry'!AK189="","",'Supp. Result Entry'!AK189)</f>
        <v/>
      </c>
      <c r="IK190" s="212" t="str">
        <f>IF('Supp. Result Entry'!W189="","",'Supp. Result Entry'!W189)</f>
        <v/>
      </c>
      <c r="IL190" s="212" t="str">
        <f>IF('Supp. Result Entry'!Z189="","",'Supp. Result Entry'!Z189)</f>
        <v/>
      </c>
      <c r="IM190" s="212" t="str">
        <f>IF('Supp. Result Entry'!AC189="","",'Supp. Result Entry'!AC189)</f>
        <v/>
      </c>
      <c r="IN190" s="212" t="str">
        <f>IF('Supp. Result Entry'!AF189="","",'Supp. Result Entry'!AF189)</f>
        <v/>
      </c>
      <c r="IO190" s="212" t="str">
        <f>IF('Supp. Result Entry'!AI189="","",'Supp. Result Entry'!AI189)</f>
        <v/>
      </c>
      <c r="IP190" s="212" t="str">
        <f>IF('Supp. Result Entry'!AL189="","",'Supp. Result Entry'!AL189)</f>
        <v/>
      </c>
      <c r="IQ190" s="212">
        <f>COUNTIF('Supp. Result Entry'!K189:Q189,"S")</f>
        <v>0</v>
      </c>
      <c r="IR190" s="212">
        <f t="shared" si="537"/>
        <v>0</v>
      </c>
      <c r="IS190" s="212">
        <f t="shared" si="538"/>
        <v>0</v>
      </c>
      <c r="IT190" s="212" t="str">
        <f t="shared" si="406"/>
        <v/>
      </c>
      <c r="IU190" s="212" t="str">
        <f t="shared" si="407"/>
        <v/>
      </c>
      <c r="IV190" s="212" t="str">
        <f t="shared" si="408"/>
        <v/>
      </c>
      <c r="IW190" s="212" t="str">
        <f t="shared" si="409"/>
        <v/>
      </c>
      <c r="IX190" s="212" t="str">
        <f t="shared" si="410"/>
        <v/>
      </c>
      <c r="IY190" s="212" t="str">
        <f t="shared" si="539"/>
        <v/>
      </c>
      <c r="IZ190" s="212" t="str">
        <f t="shared" si="540"/>
        <v/>
      </c>
      <c r="JA190" s="212" t="str">
        <f t="shared" si="411"/>
        <v/>
      </c>
      <c r="JB190" s="210" t="str">
        <f t="shared" si="541"/>
        <v/>
      </c>
    </row>
    <row r="191" spans="1:262" s="210" customFormat="1" ht="21" customHeight="1">
      <c r="A191" s="183">
        <v>184</v>
      </c>
      <c r="B191" s="184" t="str">
        <f>IF('Marks Entry'!B191="","",'Marks Entry'!B191)</f>
        <v/>
      </c>
      <c r="C191" s="185" t="str">
        <f>IF('Marks Entry'!D191="","",'Marks Entry'!D191)</f>
        <v/>
      </c>
      <c r="D191" s="186" t="str">
        <f>IF('Marks Entry'!E191="","",'Marks Entry'!E191)</f>
        <v/>
      </c>
      <c r="E191" s="187" t="str">
        <f>IF('Marks Entry'!F191="","",'Marks Entry'!F191)</f>
        <v/>
      </c>
      <c r="F191" s="187" t="str">
        <f>IF('Marks Entry'!G191="","",'Marks Entry'!G191)</f>
        <v/>
      </c>
      <c r="G191" s="187" t="str">
        <f>IF('Marks Entry'!H191="","",'Marks Entry'!H191)</f>
        <v/>
      </c>
      <c r="H191" s="188" t="str">
        <f>IF('Marks Entry'!I191="","",'Marks Entry'!I191)</f>
        <v/>
      </c>
      <c r="I191" s="189" t="str">
        <f>IF('Marks Entry'!J191="","",'Marks Entry'!J191)</f>
        <v/>
      </c>
      <c r="J191" s="545" t="str">
        <f>IF('Marks Entry'!K191="","",'Marks Entry'!K191)</f>
        <v/>
      </c>
      <c r="K191" s="545" t="str">
        <f>IF('Marks Entry'!L191="","",'Marks Entry'!L191)</f>
        <v/>
      </c>
      <c r="L191" s="545" t="str">
        <f>IF('Marks Entry'!M191="","",'Marks Entry'!M191)</f>
        <v/>
      </c>
      <c r="M191" s="546" t="str">
        <f t="shared" si="412"/>
        <v/>
      </c>
      <c r="N191" s="545" t="str">
        <f>IF('Marks Entry'!N191="","",'Marks Entry'!N191)</f>
        <v/>
      </c>
      <c r="O191" s="546" t="str">
        <f t="shared" si="413"/>
        <v/>
      </c>
      <c r="P191" s="545" t="str">
        <f>IF('Marks Entry'!O191="","",'Marks Entry'!O191)</f>
        <v/>
      </c>
      <c r="Q191" s="547" t="str">
        <f t="shared" si="414"/>
        <v/>
      </c>
      <c r="R191" s="152">
        <f t="shared" si="415"/>
        <v>0</v>
      </c>
      <c r="S191" s="152">
        <f t="shared" si="416"/>
        <v>0</v>
      </c>
      <c r="T191" s="153" t="str">
        <f t="shared" si="417"/>
        <v/>
      </c>
      <c r="U191" s="152" t="str">
        <f t="shared" si="418"/>
        <v/>
      </c>
      <c r="V191" s="152" t="str">
        <f t="shared" si="419"/>
        <v/>
      </c>
      <c r="W191" s="152" t="str">
        <f t="shared" si="420"/>
        <v/>
      </c>
      <c r="X191" s="545" t="str">
        <f>IF('Marks Entry'!P191="","",'Marks Entry'!P191)</f>
        <v/>
      </c>
      <c r="Y191" s="545" t="str">
        <f>IF('Marks Entry'!Q191="","",'Marks Entry'!Q191)</f>
        <v/>
      </c>
      <c r="Z191" s="545" t="str">
        <f>IF('Marks Entry'!R191="","",'Marks Entry'!R191)</f>
        <v/>
      </c>
      <c r="AA191" s="546" t="str">
        <f t="shared" si="421"/>
        <v/>
      </c>
      <c r="AB191" s="545" t="str">
        <f>IF('Marks Entry'!S191="","",'Marks Entry'!S191)</f>
        <v/>
      </c>
      <c r="AC191" s="546" t="str">
        <f t="shared" si="422"/>
        <v/>
      </c>
      <c r="AD191" s="545" t="str">
        <f>IF('Marks Entry'!T191="","",'Marks Entry'!T191)</f>
        <v/>
      </c>
      <c r="AE191" s="547" t="str">
        <f t="shared" si="423"/>
        <v/>
      </c>
      <c r="AF191" s="152">
        <f t="shared" si="424"/>
        <v>0</v>
      </c>
      <c r="AG191" s="152">
        <f t="shared" si="425"/>
        <v>0</v>
      </c>
      <c r="AH191" s="153" t="str">
        <f t="shared" si="426"/>
        <v/>
      </c>
      <c r="AI191" s="152" t="str">
        <f t="shared" si="427"/>
        <v/>
      </c>
      <c r="AJ191" s="152" t="str">
        <f t="shared" si="428"/>
        <v/>
      </c>
      <c r="AK191" s="152" t="str">
        <f t="shared" si="429"/>
        <v/>
      </c>
      <c r="AL191" s="573" t="str">
        <f>IF('Marks Entry'!U191="","",'Marks Entry'!U191)</f>
        <v/>
      </c>
      <c r="AM191" s="573" t="str">
        <f>IF('Marks Entry'!V191="","",'Marks Entry'!V191)</f>
        <v/>
      </c>
      <c r="AN191" s="573" t="str">
        <f>IF('Marks Entry'!W191="","",'Marks Entry'!W191)</f>
        <v/>
      </c>
      <c r="AO191" s="573" t="str">
        <f>IF('Marks Entry'!X191="","",'Marks Entry'!X191)</f>
        <v/>
      </c>
      <c r="AP191" s="572" t="str">
        <f t="shared" si="430"/>
        <v/>
      </c>
      <c r="AQ191" s="573" t="str">
        <f>IF('Marks Entry'!Y191="","",'Marks Entry'!Y191)</f>
        <v/>
      </c>
      <c r="AR191" s="573" t="str">
        <f>IF('Marks Entry'!Z191="","",'Marks Entry'!Z191)</f>
        <v/>
      </c>
      <c r="AS191" s="572" t="str">
        <f t="shared" si="431"/>
        <v/>
      </c>
      <c r="AT191" s="572" t="str">
        <f t="shared" si="432"/>
        <v/>
      </c>
      <c r="AU191" s="573" t="str">
        <f>IF('Marks Entry'!AA191="","",'Marks Entry'!AA191)</f>
        <v/>
      </c>
      <c r="AV191" s="573" t="str">
        <f>IF('Marks Entry'!AB191="","",'Marks Entry'!AB191)</f>
        <v/>
      </c>
      <c r="AW191" s="572" t="str">
        <f t="shared" si="433"/>
        <v/>
      </c>
      <c r="AX191" s="156" t="str">
        <f t="shared" si="434"/>
        <v/>
      </c>
      <c r="AY191" s="156" t="str">
        <f t="shared" si="435"/>
        <v/>
      </c>
      <c r="AZ191" s="191" t="str">
        <f t="shared" si="436"/>
        <v/>
      </c>
      <c r="BA191" s="152">
        <f t="shared" si="437"/>
        <v>0</v>
      </c>
      <c r="BB191" s="153">
        <f t="shared" si="438"/>
        <v>0</v>
      </c>
      <c r="BC191" s="153" t="str">
        <f t="shared" si="439"/>
        <v/>
      </c>
      <c r="BD191" s="153" t="str">
        <f t="shared" si="440"/>
        <v/>
      </c>
      <c r="BE191" s="153" t="str">
        <f t="shared" si="441"/>
        <v/>
      </c>
      <c r="BF191" s="152" t="str">
        <f t="shared" si="442"/>
        <v/>
      </c>
      <c r="BG191" s="153" t="str">
        <f t="shared" si="443"/>
        <v/>
      </c>
      <c r="BH191" s="152" t="str">
        <f t="shared" si="444"/>
        <v/>
      </c>
      <c r="BI191" s="580" t="str">
        <f>IF('Marks Entry'!AC191="","",'Marks Entry'!AC191)</f>
        <v/>
      </c>
      <c r="BJ191" s="580" t="str">
        <f>IF('Marks Entry'!AD191="","",'Marks Entry'!AD191)</f>
        <v/>
      </c>
      <c r="BK191" s="580" t="str">
        <f>IF('Marks Entry'!AE191="","",'Marks Entry'!AE191)</f>
        <v/>
      </c>
      <c r="BL191" s="580" t="str">
        <f>IF('Marks Entry'!AF191="","",'Marks Entry'!AF191)</f>
        <v/>
      </c>
      <c r="BM191" s="581" t="str">
        <f t="shared" si="445"/>
        <v/>
      </c>
      <c r="BN191" s="580" t="str">
        <f>IF('Marks Entry'!AG191="","",'Marks Entry'!AG191)</f>
        <v/>
      </c>
      <c r="BO191" s="580" t="str">
        <f>IF('Marks Entry'!AH191="","",'Marks Entry'!AH191)</f>
        <v/>
      </c>
      <c r="BP191" s="581" t="str">
        <f t="shared" si="446"/>
        <v/>
      </c>
      <c r="BQ191" s="581" t="str">
        <f t="shared" si="447"/>
        <v/>
      </c>
      <c r="BR191" s="580" t="str">
        <f>IF('Marks Entry'!AI191="","",'Marks Entry'!AI191)</f>
        <v/>
      </c>
      <c r="BS191" s="580" t="str">
        <f>IF('Marks Entry'!AJ191="","",'Marks Entry'!AJ191)</f>
        <v/>
      </c>
      <c r="BT191" s="581" t="str">
        <f t="shared" si="448"/>
        <v/>
      </c>
      <c r="BU191" s="156" t="str">
        <f t="shared" si="449"/>
        <v/>
      </c>
      <c r="BV191" s="156" t="str">
        <f t="shared" si="450"/>
        <v/>
      </c>
      <c r="BW191" s="191" t="str">
        <f t="shared" si="451"/>
        <v/>
      </c>
      <c r="BX191" s="152">
        <f t="shared" si="452"/>
        <v>0</v>
      </c>
      <c r="BY191" s="153">
        <f t="shared" si="453"/>
        <v>0</v>
      </c>
      <c r="BZ191" s="153" t="str">
        <f t="shared" si="454"/>
        <v/>
      </c>
      <c r="CA191" s="153" t="str">
        <f t="shared" si="455"/>
        <v/>
      </c>
      <c r="CB191" s="153" t="str">
        <f t="shared" si="456"/>
        <v/>
      </c>
      <c r="CC191" s="152" t="str">
        <f t="shared" si="457"/>
        <v/>
      </c>
      <c r="CD191" s="153" t="str">
        <f t="shared" si="458"/>
        <v/>
      </c>
      <c r="CE191" s="152" t="str">
        <f t="shared" si="459"/>
        <v/>
      </c>
      <c r="CF191" s="580" t="str">
        <f>IF('Marks Entry'!AK191="","",'Marks Entry'!AK191)</f>
        <v/>
      </c>
      <c r="CG191" s="580" t="str">
        <f>IF('Marks Entry'!AL191="","",'Marks Entry'!AL191)</f>
        <v/>
      </c>
      <c r="CH191" s="580" t="str">
        <f>IF('Marks Entry'!AM191="","",'Marks Entry'!AM191)</f>
        <v/>
      </c>
      <c r="CI191" s="580" t="str">
        <f>IF('Marks Entry'!AN191="","",'Marks Entry'!AN191)</f>
        <v/>
      </c>
      <c r="CJ191" s="581" t="str">
        <f t="shared" si="460"/>
        <v/>
      </c>
      <c r="CK191" s="580" t="str">
        <f>IF('Marks Entry'!AO191="","",'Marks Entry'!AO191)</f>
        <v/>
      </c>
      <c r="CL191" s="580" t="str">
        <f>IF('Marks Entry'!AP191="","",'Marks Entry'!AP191)</f>
        <v/>
      </c>
      <c r="CM191" s="581" t="str">
        <f t="shared" si="461"/>
        <v/>
      </c>
      <c r="CN191" s="581" t="str">
        <f t="shared" si="462"/>
        <v/>
      </c>
      <c r="CO191" s="580" t="str">
        <f>IF('Marks Entry'!AQ191="","",'Marks Entry'!AQ191)</f>
        <v/>
      </c>
      <c r="CP191" s="580" t="str">
        <f>IF('Marks Entry'!AR191="","",'Marks Entry'!AR191)</f>
        <v/>
      </c>
      <c r="CQ191" s="581" t="str">
        <f t="shared" si="463"/>
        <v/>
      </c>
      <c r="CR191" s="156" t="str">
        <f t="shared" si="464"/>
        <v/>
      </c>
      <c r="CS191" s="156" t="str">
        <f t="shared" si="465"/>
        <v/>
      </c>
      <c r="CT191" s="191" t="str">
        <f t="shared" si="466"/>
        <v/>
      </c>
      <c r="CU191" s="152">
        <f t="shared" si="467"/>
        <v>0</v>
      </c>
      <c r="CV191" s="153">
        <f t="shared" si="468"/>
        <v>0</v>
      </c>
      <c r="CW191" s="153" t="str">
        <f t="shared" si="469"/>
        <v/>
      </c>
      <c r="CX191" s="153" t="str">
        <f t="shared" si="470"/>
        <v/>
      </c>
      <c r="CY191" s="153" t="str">
        <f t="shared" si="471"/>
        <v/>
      </c>
      <c r="CZ191" s="152" t="str">
        <f t="shared" si="472"/>
        <v/>
      </c>
      <c r="DA191" s="153" t="str">
        <f t="shared" si="473"/>
        <v/>
      </c>
      <c r="DB191" s="152" t="str">
        <f t="shared" si="474"/>
        <v/>
      </c>
      <c r="DC191" s="153">
        <f t="shared" si="475"/>
        <v>0</v>
      </c>
      <c r="DD191" s="851" t="str">
        <f>IF('Marks Entry'!AS191="","",IF(OR('Master Sheet'!$D$19="YES",'Marks Entry'!$BA$1=1),'Marks Entry'!AS191,""))</f>
        <v/>
      </c>
      <c r="DE191" s="851" t="str">
        <f>IF('Marks Entry'!AT191="","",IF(OR('Master Sheet'!$D$19="YES",'Marks Entry'!$BA$1=1),'Marks Entry'!AT191,""))</f>
        <v/>
      </c>
      <c r="DF191" s="851" t="str">
        <f>IF('Marks Entry'!AU191="","",IF(OR('Master Sheet'!$D$19="YES",'Marks Entry'!$BA$1=1),'Marks Entry'!AU191,""))</f>
        <v/>
      </c>
      <c r="DG191" s="851" t="str">
        <f>IF('Marks Entry'!AV191="","",IF(OR('Master Sheet'!$D$19="YES",'Marks Entry'!$BA$1=1),'Marks Entry'!AV191,""))</f>
        <v/>
      </c>
      <c r="DH191" s="852" t="str">
        <f t="shared" si="476"/>
        <v/>
      </c>
      <c r="DI191" s="851" t="str">
        <f>IF('Marks Entry'!AW191="","",IF(OR('Master Sheet'!$D$19="YES",'Marks Entry'!$BA$1=1),'Marks Entry'!AW191,""))</f>
        <v/>
      </c>
      <c r="DJ191" s="851" t="str">
        <f>IF('Marks Entry'!AX191="","",IF(OR('Master Sheet'!$D$19="YES",'Marks Entry'!$BA$1=1),'Marks Entry'!AX191,""))</f>
        <v/>
      </c>
      <c r="DK191" s="852" t="str">
        <f t="shared" si="477"/>
        <v/>
      </c>
      <c r="DL191" s="852" t="str">
        <f t="shared" si="478"/>
        <v/>
      </c>
      <c r="DM191" s="851" t="str">
        <f>IF('Marks Entry'!AY191="","",IF(OR('Master Sheet'!$D$19="YES",'Marks Entry'!$BA$1=1),'Marks Entry'!AY191,""))</f>
        <v/>
      </c>
      <c r="DN191" s="851" t="str">
        <f>IF('Marks Entry'!AZ191="","",IF(OR('Master Sheet'!$D$19="YES",'Marks Entry'!$BA$1=1),'Marks Entry'!AZ191,""))</f>
        <v/>
      </c>
      <c r="DO191" s="851" t="str">
        <f>IF('Marks Entry'!BA191="","",IF(OR('Master Sheet'!$D$19="YES",'Marks Entry'!$BA$1=1),'Marks Entry'!BA191,""))</f>
        <v/>
      </c>
      <c r="DP191" s="852" t="str">
        <f t="shared" si="479"/>
        <v/>
      </c>
      <c r="DQ191" s="156" t="str">
        <f t="shared" si="480"/>
        <v/>
      </c>
      <c r="DR191" s="156" t="str">
        <f t="shared" si="481"/>
        <v/>
      </c>
      <c r="DS191" s="156" t="str">
        <f t="shared" si="482"/>
        <v/>
      </c>
      <c r="DT191" s="191" t="str">
        <f t="shared" si="483"/>
        <v/>
      </c>
      <c r="DU191" s="152">
        <f t="shared" si="484"/>
        <v>0</v>
      </c>
      <c r="DV191" s="153">
        <f t="shared" si="485"/>
        <v>0</v>
      </c>
      <c r="DW191" s="153" t="str">
        <f t="shared" si="486"/>
        <v/>
      </c>
      <c r="DX191" s="153" t="str">
        <f>IF(OR($B191="NSO",$B191=0,DS191=""),"",IF(AND(DJ191="",DO191=""),"",IF('Master Sheet'!$D$19="YES",$DO$6-COUNTIF(DO191,"ML")*DO$6,DS$6-(COUNTIF(DJ191,"ML")*DJ$6)-(COUNTIF(DO191,"ML")*DO$6))))</f>
        <v/>
      </c>
      <c r="DY191" s="153" t="str">
        <f>IF(OR($B191="NSO",$B191=0),"",IF(AND(DH191="",DI191="",DM191=""),"",IF(AND('Master Sheet'!$D$19="YES",'Marks Entry'!$BA$1=1),100,IF(AND(DJ191="",DO191=""),SUM(($DQ$7+$DR$7)-(DU191+DV191)),SUM(($DQ$6+$DR$6)-(DU191+DV191))))))</f>
        <v/>
      </c>
      <c r="DZ191" s="152" t="str">
        <f t="shared" si="487"/>
        <v/>
      </c>
      <c r="EA191" s="153" t="str">
        <f t="shared" si="488"/>
        <v/>
      </c>
      <c r="EB191" s="152" t="str">
        <f t="shared" si="489"/>
        <v/>
      </c>
      <c r="EC191" s="584" t="str">
        <f>IF('Marks Entry'!BB191="","",'Marks Entry'!BB191)</f>
        <v/>
      </c>
      <c r="ED191" s="584" t="str">
        <f>IF('Marks Entry'!BC191="","",'Marks Entry'!BC191)</f>
        <v/>
      </c>
      <c r="EE191" s="584" t="str">
        <f>IF('Marks Entry'!BD191="","",'Marks Entry'!BD191)</f>
        <v/>
      </c>
      <c r="EF191" s="590" t="str">
        <f t="shared" si="490"/>
        <v/>
      </c>
      <c r="EG191" s="595">
        <f t="shared" si="491"/>
        <v>0</v>
      </c>
      <c r="EH191" s="595">
        <f t="shared" si="492"/>
        <v>0</v>
      </c>
      <c r="EI191" s="192" t="str">
        <f t="shared" si="493"/>
        <v/>
      </c>
      <c r="EJ191" s="595" t="str">
        <f t="shared" si="494"/>
        <v/>
      </c>
      <c r="EK191" s="595" t="str">
        <f t="shared" si="495"/>
        <v/>
      </c>
      <c r="EL191" s="193" t="str">
        <f t="shared" si="496"/>
        <v/>
      </c>
      <c r="EM191" s="193" t="str">
        <f t="shared" si="497"/>
        <v/>
      </c>
      <c r="EN191" s="193" t="str">
        <f t="shared" si="498"/>
        <v/>
      </c>
      <c r="EO191" s="193" t="str">
        <f t="shared" si="499"/>
        <v/>
      </c>
      <c r="EP191" s="193" t="str">
        <f t="shared" si="500"/>
        <v/>
      </c>
      <c r="EQ191" s="193" t="str">
        <f t="shared" si="501"/>
        <v/>
      </c>
      <c r="ER191" s="194">
        <f t="shared" si="502"/>
        <v>0</v>
      </c>
      <c r="ES191" s="194">
        <f t="shared" si="503"/>
        <v>0</v>
      </c>
      <c r="ET191" s="194">
        <f t="shared" si="504"/>
        <v>0</v>
      </c>
      <c r="EU191" s="194">
        <f t="shared" si="505"/>
        <v>0</v>
      </c>
      <c r="EV191" s="194">
        <f t="shared" si="506"/>
        <v>0</v>
      </c>
      <c r="EW191" s="194" t="str">
        <f t="shared" si="507"/>
        <v/>
      </c>
      <c r="EX191" s="195" t="str">
        <f t="shared" si="508"/>
        <v/>
      </c>
      <c r="EY191" s="196" t="str">
        <f>IF('Marks Entry'!BE191="","",'Marks Entry'!BE191)</f>
        <v/>
      </c>
      <c r="EZ191" s="196" t="str">
        <f>IF('Marks Entry'!BF191="","",'Marks Entry'!BF191)</f>
        <v/>
      </c>
      <c r="FA191" s="196" t="str">
        <f>IF('Marks Entry'!BG191="","",'Marks Entry'!BG191)</f>
        <v/>
      </c>
      <c r="FB191" s="596" t="str">
        <f t="shared" si="509"/>
        <v/>
      </c>
      <c r="FC191" s="196" t="str">
        <f>IF('Marks Entry'!BH191="","",'Marks Entry'!BH191)</f>
        <v/>
      </c>
      <c r="FD191" s="196" t="str">
        <f>IF('Marks Entry'!BI191="","",'Marks Entry'!BI191)</f>
        <v/>
      </c>
      <c r="FE191" s="197" t="str">
        <f t="shared" si="510"/>
        <v/>
      </c>
      <c r="FF191" s="198" t="str">
        <f t="shared" si="511"/>
        <v/>
      </c>
      <c r="FG191" s="199" t="str">
        <f>IF(AND(E191=""),"",IF('Student DATA Entry'!L187="","",'Student DATA Entry'!L187))</f>
        <v/>
      </c>
      <c r="FH191" s="200" t="str">
        <f>IF(AND(E191=""),"",IF('Student DATA Entry'!M187="","",'Student DATA Entry'!M187))</f>
        <v/>
      </c>
      <c r="FI191" s="201" t="str">
        <f t="shared" si="512"/>
        <v/>
      </c>
      <c r="FJ191" s="188" t="str">
        <f t="shared" si="513"/>
        <v/>
      </c>
      <c r="FK191" s="188" t="str">
        <f t="shared" si="514"/>
        <v/>
      </c>
      <c r="FL191" s="202" t="str">
        <f t="shared" si="542"/>
        <v/>
      </c>
      <c r="FM191" s="188" t="str">
        <f t="shared" si="515"/>
        <v/>
      </c>
      <c r="FN191" s="203" t="str">
        <f t="shared" si="516"/>
        <v/>
      </c>
      <c r="FO191" s="202" t="str">
        <f t="shared" si="543"/>
        <v/>
      </c>
      <c r="FP191" s="204" t="str">
        <f t="shared" si="517"/>
        <v/>
      </c>
      <c r="FQ191" s="188" t="str">
        <f t="shared" si="544"/>
        <v/>
      </c>
      <c r="FR191" s="188" t="str">
        <f t="shared" si="545"/>
        <v/>
      </c>
      <c r="FS191" s="188" t="str">
        <f t="shared" si="546"/>
        <v/>
      </c>
      <c r="FT191" s="188" t="str">
        <f t="shared" si="547"/>
        <v/>
      </c>
      <c r="FU191" s="188" t="str">
        <f t="shared" si="518"/>
        <v/>
      </c>
      <c r="FV191" s="205" t="str">
        <f t="shared" si="548"/>
        <v/>
      </c>
      <c r="FW191" s="204" t="str">
        <f t="shared" si="519"/>
        <v/>
      </c>
      <c r="FX191" s="188" t="str">
        <f t="shared" si="549"/>
        <v/>
      </c>
      <c r="FY191" s="188" t="str">
        <f t="shared" si="550"/>
        <v/>
      </c>
      <c r="FZ191" s="188" t="str">
        <f t="shared" si="551"/>
        <v/>
      </c>
      <c r="GA191" s="188" t="str">
        <f t="shared" si="552"/>
        <v/>
      </c>
      <c r="GB191" s="188" t="str">
        <f t="shared" si="520"/>
        <v/>
      </c>
      <c r="GC191" s="205" t="str">
        <f t="shared" si="553"/>
        <v/>
      </c>
      <c r="GD191" s="204" t="str">
        <f t="shared" si="521"/>
        <v/>
      </c>
      <c r="GE191" s="188" t="str">
        <f t="shared" si="554"/>
        <v/>
      </c>
      <c r="GF191" s="188" t="str">
        <f t="shared" si="555"/>
        <v/>
      </c>
      <c r="GG191" s="188" t="str">
        <f t="shared" si="556"/>
        <v/>
      </c>
      <c r="GH191" s="188" t="str">
        <f t="shared" si="557"/>
        <v/>
      </c>
      <c r="GI191" s="188" t="str">
        <f t="shared" si="522"/>
        <v/>
      </c>
      <c r="GJ191" s="205" t="str">
        <f t="shared" si="558"/>
        <v/>
      </c>
      <c r="GK191" s="204" t="str">
        <f t="shared" si="523"/>
        <v/>
      </c>
      <c r="GL191" s="188" t="str">
        <f t="shared" si="559"/>
        <v/>
      </c>
      <c r="GM191" s="188" t="str">
        <f t="shared" si="560"/>
        <v/>
      </c>
      <c r="GN191" s="188" t="str">
        <f t="shared" si="561"/>
        <v/>
      </c>
      <c r="GO191" s="188" t="str">
        <f t="shared" si="562"/>
        <v/>
      </c>
      <c r="GP191" s="188" t="str">
        <f t="shared" si="524"/>
        <v/>
      </c>
      <c r="GQ191" s="205" t="str">
        <f t="shared" si="563"/>
        <v/>
      </c>
      <c r="GR191" s="188" t="str">
        <f t="shared" si="525"/>
        <v/>
      </c>
      <c r="GS191" s="188" t="str">
        <f t="shared" si="526"/>
        <v/>
      </c>
      <c r="GT191" s="206" t="str">
        <f t="shared" si="527"/>
        <v xml:space="preserve">    </v>
      </c>
      <c r="GU191" s="206" t="str">
        <f t="shared" si="528"/>
        <v xml:space="preserve">    </v>
      </c>
      <c r="GV191" s="206" t="str">
        <f t="shared" si="529"/>
        <v xml:space="preserve">    </v>
      </c>
      <c r="GW191" s="206" t="str">
        <f t="shared" si="530"/>
        <v xml:space="preserve">       </v>
      </c>
      <c r="GX191" s="598" t="str">
        <f t="shared" si="531"/>
        <v xml:space="preserve">     </v>
      </c>
      <c r="GY191" s="207" t="str">
        <f t="shared" si="564"/>
        <v/>
      </c>
      <c r="GZ191" s="606" t="str">
        <f>IF(AND(Q191="",AE191="",AZ191="",BW191="",CT191=""),"",IF(AND('Master Sheet'!$D$19="YES",'Marks Entry'!$BA$1=1),SUM(Q191,AE191,AZ191,BW191,DT191),SUM(Q191,AE191,AZ191,BW191,CT191)))</f>
        <v/>
      </c>
      <c r="HA191" s="208" t="str">
        <f>IF(GZ191="","",IF(AND('Master Sheet'!$D$19="YES",'Marks Entry'!$BA$1=1),GZ191/((900)-DC191)*100,GZ191/((1000)-DC191)*100))</f>
        <v/>
      </c>
      <c r="HB191" s="611" t="str">
        <f t="shared" si="532"/>
        <v/>
      </c>
      <c r="HC191" s="609" t="str">
        <f t="shared" si="533"/>
        <v/>
      </c>
      <c r="HD191" s="610" t="str">
        <f t="shared" si="534"/>
        <v/>
      </c>
      <c r="HE191" s="209" t="str">
        <f>IFERROR(IF(OR(GY191="SUPPLEMENTARY",GY191="RE-EXAM"),'Supp. Result Entry'!AS190,""),"")</f>
        <v/>
      </c>
      <c r="HF191" s="613" t="str">
        <f t="shared" si="535"/>
        <v/>
      </c>
      <c r="HG191" s="598" t="str">
        <f t="shared" si="536"/>
        <v/>
      </c>
      <c r="HH191" s="598" t="str">
        <f>IF(AND(HE191="",HF191="",HG191=""),"",IF(OR(GY191="SUPPLEMENTARY",GY191="RE-EXAM"),'Supp. Result Entry'!AS190,GY191))</f>
        <v/>
      </c>
      <c r="HI191" s="179"/>
      <c r="HY191" s="211" t="str">
        <f>IF('Supp. Result Entry'!U190="","",'Supp. Result Entry'!$U$6)</f>
        <v/>
      </c>
      <c r="HZ191" s="212" t="str">
        <f>IF('Supp. Result Entry'!X190="","",'Supp. Result Entry'!$X$6)</f>
        <v/>
      </c>
      <c r="IA191" s="212" t="str">
        <f>IF('Supp. Result Entry'!AA190="","",'Supp. Result Entry'!$AA$6)</f>
        <v/>
      </c>
      <c r="IB191" s="212" t="str">
        <f>IF('Supp. Result Entry'!AD190="","",'Supp. Result Entry'!$AD$6)</f>
        <v/>
      </c>
      <c r="IC191" s="212" t="str">
        <f>IF('Supp. Result Entry'!AG190="","",'Supp. Result Entry'!$AG$6)</f>
        <v/>
      </c>
      <c r="ID191" s="212" t="str">
        <f>IF('Supp. Result Entry'!AJ190="","",'Supp. Result Entry'!$AJ$6)</f>
        <v/>
      </c>
      <c r="IE191" s="212" t="str">
        <f>IF('Supp. Result Entry'!V190="","",'Supp. Result Entry'!V190)</f>
        <v/>
      </c>
      <c r="IF191" s="212" t="str">
        <f>IF('Supp. Result Entry'!Y190="","",'Supp. Result Entry'!Y190)</f>
        <v/>
      </c>
      <c r="IG191" s="212" t="str">
        <f>IF('Supp. Result Entry'!AB190="","",'Supp. Result Entry'!AB190)</f>
        <v/>
      </c>
      <c r="IH191" s="212" t="str">
        <f>IF('Supp. Result Entry'!AE190="","",'Supp. Result Entry'!AE190)</f>
        <v/>
      </c>
      <c r="II191" s="212" t="str">
        <f>IF('Supp. Result Entry'!AH190="","",'Supp. Result Entry'!AH190)</f>
        <v/>
      </c>
      <c r="IJ191" s="212" t="str">
        <f>IF('Supp. Result Entry'!AK190="","",'Supp. Result Entry'!AK190)</f>
        <v/>
      </c>
      <c r="IK191" s="212" t="str">
        <f>IF('Supp. Result Entry'!W190="","",'Supp. Result Entry'!W190)</f>
        <v/>
      </c>
      <c r="IL191" s="212" t="str">
        <f>IF('Supp. Result Entry'!Z190="","",'Supp. Result Entry'!Z190)</f>
        <v/>
      </c>
      <c r="IM191" s="212" t="str">
        <f>IF('Supp. Result Entry'!AC190="","",'Supp. Result Entry'!AC190)</f>
        <v/>
      </c>
      <c r="IN191" s="212" t="str">
        <f>IF('Supp. Result Entry'!AF190="","",'Supp. Result Entry'!AF190)</f>
        <v/>
      </c>
      <c r="IO191" s="212" t="str">
        <f>IF('Supp. Result Entry'!AI190="","",'Supp. Result Entry'!AI190)</f>
        <v/>
      </c>
      <c r="IP191" s="212" t="str">
        <f>IF('Supp. Result Entry'!AL190="","",'Supp. Result Entry'!AL190)</f>
        <v/>
      </c>
      <c r="IQ191" s="212">
        <f>COUNTIF('Supp. Result Entry'!K190:Q190,"S")</f>
        <v>0</v>
      </c>
      <c r="IR191" s="212">
        <f t="shared" si="537"/>
        <v>0</v>
      </c>
      <c r="IS191" s="212">
        <f t="shared" si="538"/>
        <v>0</v>
      </c>
      <c r="IT191" s="212" t="str">
        <f t="shared" si="406"/>
        <v/>
      </c>
      <c r="IU191" s="212" t="str">
        <f t="shared" si="407"/>
        <v/>
      </c>
      <c r="IV191" s="212" t="str">
        <f t="shared" si="408"/>
        <v/>
      </c>
      <c r="IW191" s="212" t="str">
        <f t="shared" si="409"/>
        <v/>
      </c>
      <c r="IX191" s="212" t="str">
        <f t="shared" si="410"/>
        <v/>
      </c>
      <c r="IY191" s="212" t="str">
        <f t="shared" si="539"/>
        <v/>
      </c>
      <c r="IZ191" s="212" t="str">
        <f t="shared" si="540"/>
        <v/>
      </c>
      <c r="JA191" s="212" t="str">
        <f t="shared" si="411"/>
        <v/>
      </c>
      <c r="JB191" s="210" t="str">
        <f t="shared" si="541"/>
        <v/>
      </c>
    </row>
    <row r="192" spans="1:262" s="210" customFormat="1" ht="21" customHeight="1">
      <c r="A192" s="183">
        <v>185</v>
      </c>
      <c r="B192" s="184" t="str">
        <f>IF('Marks Entry'!B192="","",'Marks Entry'!B192)</f>
        <v/>
      </c>
      <c r="C192" s="185" t="str">
        <f>IF('Marks Entry'!D192="","",'Marks Entry'!D192)</f>
        <v/>
      </c>
      <c r="D192" s="186" t="str">
        <f>IF('Marks Entry'!E192="","",'Marks Entry'!E192)</f>
        <v/>
      </c>
      <c r="E192" s="187" t="str">
        <f>IF('Marks Entry'!F192="","",'Marks Entry'!F192)</f>
        <v/>
      </c>
      <c r="F192" s="187" t="str">
        <f>IF('Marks Entry'!G192="","",'Marks Entry'!G192)</f>
        <v/>
      </c>
      <c r="G192" s="187" t="str">
        <f>IF('Marks Entry'!H192="","",'Marks Entry'!H192)</f>
        <v/>
      </c>
      <c r="H192" s="188" t="str">
        <f>IF('Marks Entry'!I192="","",'Marks Entry'!I192)</f>
        <v/>
      </c>
      <c r="I192" s="189" t="str">
        <f>IF('Marks Entry'!J192="","",'Marks Entry'!J192)</f>
        <v/>
      </c>
      <c r="J192" s="545" t="str">
        <f>IF('Marks Entry'!K192="","",'Marks Entry'!K192)</f>
        <v/>
      </c>
      <c r="K192" s="545" t="str">
        <f>IF('Marks Entry'!L192="","",'Marks Entry'!L192)</f>
        <v/>
      </c>
      <c r="L192" s="545" t="str">
        <f>IF('Marks Entry'!M192="","",'Marks Entry'!M192)</f>
        <v/>
      </c>
      <c r="M192" s="546" t="str">
        <f t="shared" si="412"/>
        <v/>
      </c>
      <c r="N192" s="545" t="str">
        <f>IF('Marks Entry'!N192="","",'Marks Entry'!N192)</f>
        <v/>
      </c>
      <c r="O192" s="546" t="str">
        <f t="shared" si="413"/>
        <v/>
      </c>
      <c r="P192" s="545" t="str">
        <f>IF('Marks Entry'!O192="","",'Marks Entry'!O192)</f>
        <v/>
      </c>
      <c r="Q192" s="547" t="str">
        <f t="shared" si="414"/>
        <v/>
      </c>
      <c r="R192" s="152">
        <f t="shared" si="415"/>
        <v>0</v>
      </c>
      <c r="S192" s="152">
        <f t="shared" si="416"/>
        <v>0</v>
      </c>
      <c r="T192" s="153" t="str">
        <f t="shared" si="417"/>
        <v/>
      </c>
      <c r="U192" s="152" t="str">
        <f t="shared" si="418"/>
        <v/>
      </c>
      <c r="V192" s="152" t="str">
        <f t="shared" si="419"/>
        <v/>
      </c>
      <c r="W192" s="152" t="str">
        <f t="shared" si="420"/>
        <v/>
      </c>
      <c r="X192" s="545" t="str">
        <f>IF('Marks Entry'!P192="","",'Marks Entry'!P192)</f>
        <v/>
      </c>
      <c r="Y192" s="545" t="str">
        <f>IF('Marks Entry'!Q192="","",'Marks Entry'!Q192)</f>
        <v/>
      </c>
      <c r="Z192" s="545" t="str">
        <f>IF('Marks Entry'!R192="","",'Marks Entry'!R192)</f>
        <v/>
      </c>
      <c r="AA192" s="546" t="str">
        <f t="shared" si="421"/>
        <v/>
      </c>
      <c r="AB192" s="545" t="str">
        <f>IF('Marks Entry'!S192="","",'Marks Entry'!S192)</f>
        <v/>
      </c>
      <c r="AC192" s="546" t="str">
        <f t="shared" si="422"/>
        <v/>
      </c>
      <c r="AD192" s="545" t="str">
        <f>IF('Marks Entry'!T192="","",'Marks Entry'!T192)</f>
        <v/>
      </c>
      <c r="AE192" s="547" t="str">
        <f t="shared" si="423"/>
        <v/>
      </c>
      <c r="AF192" s="152">
        <f t="shared" si="424"/>
        <v>0</v>
      </c>
      <c r="AG192" s="152">
        <f t="shared" si="425"/>
        <v>0</v>
      </c>
      <c r="AH192" s="153" t="str">
        <f t="shared" si="426"/>
        <v/>
      </c>
      <c r="AI192" s="152" t="str">
        <f t="shared" si="427"/>
        <v/>
      </c>
      <c r="AJ192" s="152" t="str">
        <f t="shared" si="428"/>
        <v/>
      </c>
      <c r="AK192" s="152" t="str">
        <f t="shared" si="429"/>
        <v/>
      </c>
      <c r="AL192" s="573" t="str">
        <f>IF('Marks Entry'!U192="","",'Marks Entry'!U192)</f>
        <v/>
      </c>
      <c r="AM192" s="573" t="str">
        <f>IF('Marks Entry'!V192="","",'Marks Entry'!V192)</f>
        <v/>
      </c>
      <c r="AN192" s="573" t="str">
        <f>IF('Marks Entry'!W192="","",'Marks Entry'!W192)</f>
        <v/>
      </c>
      <c r="AO192" s="573" t="str">
        <f>IF('Marks Entry'!X192="","",'Marks Entry'!X192)</f>
        <v/>
      </c>
      <c r="AP192" s="572" t="str">
        <f t="shared" si="430"/>
        <v/>
      </c>
      <c r="AQ192" s="573" t="str">
        <f>IF('Marks Entry'!Y192="","",'Marks Entry'!Y192)</f>
        <v/>
      </c>
      <c r="AR192" s="573" t="str">
        <f>IF('Marks Entry'!Z192="","",'Marks Entry'!Z192)</f>
        <v/>
      </c>
      <c r="AS192" s="572" t="str">
        <f t="shared" si="431"/>
        <v/>
      </c>
      <c r="AT192" s="572" t="str">
        <f t="shared" si="432"/>
        <v/>
      </c>
      <c r="AU192" s="573" t="str">
        <f>IF('Marks Entry'!AA192="","",'Marks Entry'!AA192)</f>
        <v/>
      </c>
      <c r="AV192" s="573" t="str">
        <f>IF('Marks Entry'!AB192="","",'Marks Entry'!AB192)</f>
        <v/>
      </c>
      <c r="AW192" s="572" t="str">
        <f t="shared" si="433"/>
        <v/>
      </c>
      <c r="AX192" s="156" t="str">
        <f t="shared" si="434"/>
        <v/>
      </c>
      <c r="AY192" s="156" t="str">
        <f t="shared" si="435"/>
        <v/>
      </c>
      <c r="AZ192" s="191" t="str">
        <f t="shared" si="436"/>
        <v/>
      </c>
      <c r="BA192" s="152">
        <f t="shared" si="437"/>
        <v>0</v>
      </c>
      <c r="BB192" s="153">
        <f t="shared" si="438"/>
        <v>0</v>
      </c>
      <c r="BC192" s="153" t="str">
        <f t="shared" si="439"/>
        <v/>
      </c>
      <c r="BD192" s="153" t="str">
        <f t="shared" si="440"/>
        <v/>
      </c>
      <c r="BE192" s="153" t="str">
        <f t="shared" si="441"/>
        <v/>
      </c>
      <c r="BF192" s="152" t="str">
        <f t="shared" si="442"/>
        <v/>
      </c>
      <c r="BG192" s="153" t="str">
        <f t="shared" si="443"/>
        <v/>
      </c>
      <c r="BH192" s="152" t="str">
        <f t="shared" si="444"/>
        <v/>
      </c>
      <c r="BI192" s="580" t="str">
        <f>IF('Marks Entry'!AC192="","",'Marks Entry'!AC192)</f>
        <v/>
      </c>
      <c r="BJ192" s="580" t="str">
        <f>IF('Marks Entry'!AD192="","",'Marks Entry'!AD192)</f>
        <v/>
      </c>
      <c r="BK192" s="580" t="str">
        <f>IF('Marks Entry'!AE192="","",'Marks Entry'!AE192)</f>
        <v/>
      </c>
      <c r="BL192" s="580" t="str">
        <f>IF('Marks Entry'!AF192="","",'Marks Entry'!AF192)</f>
        <v/>
      </c>
      <c r="BM192" s="581" t="str">
        <f t="shared" si="445"/>
        <v/>
      </c>
      <c r="BN192" s="580" t="str">
        <f>IF('Marks Entry'!AG192="","",'Marks Entry'!AG192)</f>
        <v/>
      </c>
      <c r="BO192" s="580" t="str">
        <f>IF('Marks Entry'!AH192="","",'Marks Entry'!AH192)</f>
        <v/>
      </c>
      <c r="BP192" s="581" t="str">
        <f t="shared" si="446"/>
        <v/>
      </c>
      <c r="BQ192" s="581" t="str">
        <f t="shared" si="447"/>
        <v/>
      </c>
      <c r="BR192" s="580" t="str">
        <f>IF('Marks Entry'!AI192="","",'Marks Entry'!AI192)</f>
        <v/>
      </c>
      <c r="BS192" s="580" t="str">
        <f>IF('Marks Entry'!AJ192="","",'Marks Entry'!AJ192)</f>
        <v/>
      </c>
      <c r="BT192" s="581" t="str">
        <f t="shared" si="448"/>
        <v/>
      </c>
      <c r="BU192" s="156" t="str">
        <f t="shared" si="449"/>
        <v/>
      </c>
      <c r="BV192" s="156" t="str">
        <f t="shared" si="450"/>
        <v/>
      </c>
      <c r="BW192" s="191" t="str">
        <f t="shared" si="451"/>
        <v/>
      </c>
      <c r="BX192" s="152">
        <f t="shared" si="452"/>
        <v>0</v>
      </c>
      <c r="BY192" s="153">
        <f t="shared" si="453"/>
        <v>0</v>
      </c>
      <c r="BZ192" s="153" t="str">
        <f t="shared" si="454"/>
        <v/>
      </c>
      <c r="CA192" s="153" t="str">
        <f t="shared" si="455"/>
        <v/>
      </c>
      <c r="CB192" s="153" t="str">
        <f t="shared" si="456"/>
        <v/>
      </c>
      <c r="CC192" s="152" t="str">
        <f t="shared" si="457"/>
        <v/>
      </c>
      <c r="CD192" s="153" t="str">
        <f t="shared" si="458"/>
        <v/>
      </c>
      <c r="CE192" s="152" t="str">
        <f t="shared" si="459"/>
        <v/>
      </c>
      <c r="CF192" s="580" t="str">
        <f>IF('Marks Entry'!AK192="","",'Marks Entry'!AK192)</f>
        <v/>
      </c>
      <c r="CG192" s="580" t="str">
        <f>IF('Marks Entry'!AL192="","",'Marks Entry'!AL192)</f>
        <v/>
      </c>
      <c r="CH192" s="580" t="str">
        <f>IF('Marks Entry'!AM192="","",'Marks Entry'!AM192)</f>
        <v/>
      </c>
      <c r="CI192" s="580" t="str">
        <f>IF('Marks Entry'!AN192="","",'Marks Entry'!AN192)</f>
        <v/>
      </c>
      <c r="CJ192" s="581" t="str">
        <f t="shared" si="460"/>
        <v/>
      </c>
      <c r="CK192" s="580" t="str">
        <f>IF('Marks Entry'!AO192="","",'Marks Entry'!AO192)</f>
        <v/>
      </c>
      <c r="CL192" s="580" t="str">
        <f>IF('Marks Entry'!AP192="","",'Marks Entry'!AP192)</f>
        <v/>
      </c>
      <c r="CM192" s="581" t="str">
        <f t="shared" si="461"/>
        <v/>
      </c>
      <c r="CN192" s="581" t="str">
        <f t="shared" si="462"/>
        <v/>
      </c>
      <c r="CO192" s="580" t="str">
        <f>IF('Marks Entry'!AQ192="","",'Marks Entry'!AQ192)</f>
        <v/>
      </c>
      <c r="CP192" s="580" t="str">
        <f>IF('Marks Entry'!AR192="","",'Marks Entry'!AR192)</f>
        <v/>
      </c>
      <c r="CQ192" s="581" t="str">
        <f t="shared" si="463"/>
        <v/>
      </c>
      <c r="CR192" s="156" t="str">
        <f t="shared" si="464"/>
        <v/>
      </c>
      <c r="CS192" s="156" t="str">
        <f t="shared" si="465"/>
        <v/>
      </c>
      <c r="CT192" s="191" t="str">
        <f t="shared" si="466"/>
        <v/>
      </c>
      <c r="CU192" s="152">
        <f t="shared" si="467"/>
        <v>0</v>
      </c>
      <c r="CV192" s="153">
        <f t="shared" si="468"/>
        <v>0</v>
      </c>
      <c r="CW192" s="153" t="str">
        <f t="shared" si="469"/>
        <v/>
      </c>
      <c r="CX192" s="153" t="str">
        <f t="shared" si="470"/>
        <v/>
      </c>
      <c r="CY192" s="153" t="str">
        <f t="shared" si="471"/>
        <v/>
      </c>
      <c r="CZ192" s="152" t="str">
        <f t="shared" si="472"/>
        <v/>
      </c>
      <c r="DA192" s="153" t="str">
        <f t="shared" si="473"/>
        <v/>
      </c>
      <c r="DB192" s="152" t="str">
        <f t="shared" si="474"/>
        <v/>
      </c>
      <c r="DC192" s="153">
        <f t="shared" si="475"/>
        <v>0</v>
      </c>
      <c r="DD192" s="851" t="str">
        <f>IF('Marks Entry'!AS192="","",IF(OR('Master Sheet'!$D$19="YES",'Marks Entry'!$BA$1=1),'Marks Entry'!AS192,""))</f>
        <v/>
      </c>
      <c r="DE192" s="851" t="str">
        <f>IF('Marks Entry'!AT192="","",IF(OR('Master Sheet'!$D$19="YES",'Marks Entry'!$BA$1=1),'Marks Entry'!AT192,""))</f>
        <v/>
      </c>
      <c r="DF192" s="851" t="str">
        <f>IF('Marks Entry'!AU192="","",IF(OR('Master Sheet'!$D$19="YES",'Marks Entry'!$BA$1=1),'Marks Entry'!AU192,""))</f>
        <v/>
      </c>
      <c r="DG192" s="851" t="str">
        <f>IF('Marks Entry'!AV192="","",IF(OR('Master Sheet'!$D$19="YES",'Marks Entry'!$BA$1=1),'Marks Entry'!AV192,""))</f>
        <v/>
      </c>
      <c r="DH192" s="852" t="str">
        <f t="shared" si="476"/>
        <v/>
      </c>
      <c r="DI192" s="851" t="str">
        <f>IF('Marks Entry'!AW192="","",IF(OR('Master Sheet'!$D$19="YES",'Marks Entry'!$BA$1=1),'Marks Entry'!AW192,""))</f>
        <v/>
      </c>
      <c r="DJ192" s="851" t="str">
        <f>IF('Marks Entry'!AX192="","",IF(OR('Master Sheet'!$D$19="YES",'Marks Entry'!$BA$1=1),'Marks Entry'!AX192,""))</f>
        <v/>
      </c>
      <c r="DK192" s="852" t="str">
        <f t="shared" si="477"/>
        <v/>
      </c>
      <c r="DL192" s="852" t="str">
        <f t="shared" si="478"/>
        <v/>
      </c>
      <c r="DM192" s="851" t="str">
        <f>IF('Marks Entry'!AY192="","",IF(OR('Master Sheet'!$D$19="YES",'Marks Entry'!$BA$1=1),'Marks Entry'!AY192,""))</f>
        <v/>
      </c>
      <c r="DN192" s="851" t="str">
        <f>IF('Marks Entry'!AZ192="","",IF(OR('Master Sheet'!$D$19="YES",'Marks Entry'!$BA$1=1),'Marks Entry'!AZ192,""))</f>
        <v/>
      </c>
      <c r="DO192" s="851" t="str">
        <f>IF('Marks Entry'!BA192="","",IF(OR('Master Sheet'!$D$19="YES",'Marks Entry'!$BA$1=1),'Marks Entry'!BA192,""))</f>
        <v/>
      </c>
      <c r="DP192" s="852" t="str">
        <f t="shared" si="479"/>
        <v/>
      </c>
      <c r="DQ192" s="156" t="str">
        <f t="shared" si="480"/>
        <v/>
      </c>
      <c r="DR192" s="156" t="str">
        <f t="shared" si="481"/>
        <v/>
      </c>
      <c r="DS192" s="156" t="str">
        <f t="shared" si="482"/>
        <v/>
      </c>
      <c r="DT192" s="191" t="str">
        <f t="shared" si="483"/>
        <v/>
      </c>
      <c r="DU192" s="152">
        <f t="shared" si="484"/>
        <v>0</v>
      </c>
      <c r="DV192" s="153">
        <f t="shared" si="485"/>
        <v>0</v>
      </c>
      <c r="DW192" s="153" t="str">
        <f t="shared" si="486"/>
        <v/>
      </c>
      <c r="DX192" s="153" t="str">
        <f>IF(OR($B192="NSO",$B192=0,DS192=""),"",IF(AND(DJ192="",DO192=""),"",IF('Master Sheet'!$D$19="YES",$DO$6-COUNTIF(DO192,"ML")*DO$6,DS$6-(COUNTIF(DJ192,"ML")*DJ$6)-(COUNTIF(DO192,"ML")*DO$6))))</f>
        <v/>
      </c>
      <c r="DY192" s="153" t="str">
        <f>IF(OR($B192="NSO",$B192=0),"",IF(AND(DH192="",DI192="",DM192=""),"",IF(AND('Master Sheet'!$D$19="YES",'Marks Entry'!$BA$1=1),100,IF(AND(DJ192="",DO192=""),SUM(($DQ$7+$DR$7)-(DU192+DV192)),SUM(($DQ$6+$DR$6)-(DU192+DV192))))))</f>
        <v/>
      </c>
      <c r="DZ192" s="152" t="str">
        <f t="shared" si="487"/>
        <v/>
      </c>
      <c r="EA192" s="153" t="str">
        <f t="shared" si="488"/>
        <v/>
      </c>
      <c r="EB192" s="152" t="str">
        <f t="shared" si="489"/>
        <v/>
      </c>
      <c r="EC192" s="584" t="str">
        <f>IF('Marks Entry'!BB192="","",'Marks Entry'!BB192)</f>
        <v/>
      </c>
      <c r="ED192" s="584" t="str">
        <f>IF('Marks Entry'!BC192="","",'Marks Entry'!BC192)</f>
        <v/>
      </c>
      <c r="EE192" s="584" t="str">
        <f>IF('Marks Entry'!BD192="","",'Marks Entry'!BD192)</f>
        <v/>
      </c>
      <c r="EF192" s="590" t="str">
        <f t="shared" si="490"/>
        <v/>
      </c>
      <c r="EG192" s="595">
        <f t="shared" si="491"/>
        <v>0</v>
      </c>
      <c r="EH192" s="595">
        <f t="shared" si="492"/>
        <v>0</v>
      </c>
      <c r="EI192" s="192" t="str">
        <f t="shared" si="493"/>
        <v/>
      </c>
      <c r="EJ192" s="595" t="str">
        <f t="shared" si="494"/>
        <v/>
      </c>
      <c r="EK192" s="595" t="str">
        <f t="shared" si="495"/>
        <v/>
      </c>
      <c r="EL192" s="193" t="str">
        <f t="shared" si="496"/>
        <v/>
      </c>
      <c r="EM192" s="193" t="str">
        <f t="shared" si="497"/>
        <v/>
      </c>
      <c r="EN192" s="193" t="str">
        <f t="shared" si="498"/>
        <v/>
      </c>
      <c r="EO192" s="193" t="str">
        <f t="shared" si="499"/>
        <v/>
      </c>
      <c r="EP192" s="193" t="str">
        <f t="shared" si="500"/>
        <v/>
      </c>
      <c r="EQ192" s="193" t="str">
        <f t="shared" si="501"/>
        <v/>
      </c>
      <c r="ER192" s="194">
        <f t="shared" si="502"/>
        <v>0</v>
      </c>
      <c r="ES192" s="194">
        <f t="shared" si="503"/>
        <v>0</v>
      </c>
      <c r="ET192" s="194">
        <f t="shared" si="504"/>
        <v>0</v>
      </c>
      <c r="EU192" s="194">
        <f t="shared" si="505"/>
        <v>0</v>
      </c>
      <c r="EV192" s="194">
        <f t="shared" si="506"/>
        <v>0</v>
      </c>
      <c r="EW192" s="194" t="str">
        <f t="shared" si="507"/>
        <v/>
      </c>
      <c r="EX192" s="195" t="str">
        <f t="shared" si="508"/>
        <v/>
      </c>
      <c r="EY192" s="196" t="str">
        <f>IF('Marks Entry'!BE192="","",'Marks Entry'!BE192)</f>
        <v/>
      </c>
      <c r="EZ192" s="196" t="str">
        <f>IF('Marks Entry'!BF192="","",'Marks Entry'!BF192)</f>
        <v/>
      </c>
      <c r="FA192" s="196" t="str">
        <f>IF('Marks Entry'!BG192="","",'Marks Entry'!BG192)</f>
        <v/>
      </c>
      <c r="FB192" s="596" t="str">
        <f t="shared" si="509"/>
        <v/>
      </c>
      <c r="FC192" s="196" t="str">
        <f>IF('Marks Entry'!BH192="","",'Marks Entry'!BH192)</f>
        <v/>
      </c>
      <c r="FD192" s="196" t="str">
        <f>IF('Marks Entry'!BI192="","",'Marks Entry'!BI192)</f>
        <v/>
      </c>
      <c r="FE192" s="197" t="str">
        <f t="shared" si="510"/>
        <v/>
      </c>
      <c r="FF192" s="198" t="str">
        <f t="shared" si="511"/>
        <v/>
      </c>
      <c r="FG192" s="199" t="str">
        <f>IF(AND(E192=""),"",IF('Student DATA Entry'!L188="","",'Student DATA Entry'!L188))</f>
        <v/>
      </c>
      <c r="FH192" s="200" t="str">
        <f>IF(AND(E192=""),"",IF('Student DATA Entry'!M188="","",'Student DATA Entry'!M188))</f>
        <v/>
      </c>
      <c r="FI192" s="201" t="str">
        <f t="shared" si="512"/>
        <v/>
      </c>
      <c r="FJ192" s="188" t="str">
        <f t="shared" si="513"/>
        <v/>
      </c>
      <c r="FK192" s="188" t="str">
        <f t="shared" si="514"/>
        <v/>
      </c>
      <c r="FL192" s="202" t="str">
        <f t="shared" si="542"/>
        <v/>
      </c>
      <c r="FM192" s="188" t="str">
        <f t="shared" si="515"/>
        <v/>
      </c>
      <c r="FN192" s="203" t="str">
        <f t="shared" si="516"/>
        <v/>
      </c>
      <c r="FO192" s="202" t="str">
        <f t="shared" si="543"/>
        <v/>
      </c>
      <c r="FP192" s="204" t="str">
        <f t="shared" si="517"/>
        <v/>
      </c>
      <c r="FQ192" s="188" t="str">
        <f t="shared" si="544"/>
        <v/>
      </c>
      <c r="FR192" s="188" t="str">
        <f t="shared" si="545"/>
        <v/>
      </c>
      <c r="FS192" s="188" t="str">
        <f t="shared" si="546"/>
        <v/>
      </c>
      <c r="FT192" s="188" t="str">
        <f t="shared" si="547"/>
        <v/>
      </c>
      <c r="FU192" s="188" t="str">
        <f t="shared" si="518"/>
        <v/>
      </c>
      <c r="FV192" s="205" t="str">
        <f t="shared" si="548"/>
        <v/>
      </c>
      <c r="FW192" s="204" t="str">
        <f t="shared" si="519"/>
        <v/>
      </c>
      <c r="FX192" s="188" t="str">
        <f t="shared" si="549"/>
        <v/>
      </c>
      <c r="FY192" s="188" t="str">
        <f t="shared" si="550"/>
        <v/>
      </c>
      <c r="FZ192" s="188" t="str">
        <f t="shared" si="551"/>
        <v/>
      </c>
      <c r="GA192" s="188" t="str">
        <f t="shared" si="552"/>
        <v/>
      </c>
      <c r="GB192" s="188" t="str">
        <f t="shared" si="520"/>
        <v/>
      </c>
      <c r="GC192" s="205" t="str">
        <f t="shared" si="553"/>
        <v/>
      </c>
      <c r="GD192" s="204" t="str">
        <f t="shared" si="521"/>
        <v/>
      </c>
      <c r="GE192" s="188" t="str">
        <f t="shared" si="554"/>
        <v/>
      </c>
      <c r="GF192" s="188" t="str">
        <f t="shared" si="555"/>
        <v/>
      </c>
      <c r="GG192" s="188" t="str">
        <f t="shared" si="556"/>
        <v/>
      </c>
      <c r="GH192" s="188" t="str">
        <f t="shared" si="557"/>
        <v/>
      </c>
      <c r="GI192" s="188" t="str">
        <f t="shared" si="522"/>
        <v/>
      </c>
      <c r="GJ192" s="205" t="str">
        <f t="shared" si="558"/>
        <v/>
      </c>
      <c r="GK192" s="204" t="str">
        <f t="shared" si="523"/>
        <v/>
      </c>
      <c r="GL192" s="188" t="str">
        <f t="shared" si="559"/>
        <v/>
      </c>
      <c r="GM192" s="188" t="str">
        <f t="shared" si="560"/>
        <v/>
      </c>
      <c r="GN192" s="188" t="str">
        <f t="shared" si="561"/>
        <v/>
      </c>
      <c r="GO192" s="188" t="str">
        <f t="shared" si="562"/>
        <v/>
      </c>
      <c r="GP192" s="188" t="str">
        <f t="shared" si="524"/>
        <v/>
      </c>
      <c r="GQ192" s="205" t="str">
        <f t="shared" si="563"/>
        <v/>
      </c>
      <c r="GR192" s="188" t="str">
        <f t="shared" si="525"/>
        <v/>
      </c>
      <c r="GS192" s="188" t="str">
        <f t="shared" si="526"/>
        <v/>
      </c>
      <c r="GT192" s="206" t="str">
        <f t="shared" si="527"/>
        <v xml:space="preserve">    </v>
      </c>
      <c r="GU192" s="206" t="str">
        <f t="shared" si="528"/>
        <v xml:space="preserve">    </v>
      </c>
      <c r="GV192" s="206" t="str">
        <f t="shared" si="529"/>
        <v xml:space="preserve">    </v>
      </c>
      <c r="GW192" s="206" t="str">
        <f t="shared" si="530"/>
        <v xml:space="preserve">       </v>
      </c>
      <c r="GX192" s="598" t="str">
        <f t="shared" si="531"/>
        <v xml:space="preserve">     </v>
      </c>
      <c r="GY192" s="207" t="str">
        <f t="shared" si="564"/>
        <v/>
      </c>
      <c r="GZ192" s="606" t="str">
        <f>IF(AND(Q192="",AE192="",AZ192="",BW192="",CT192=""),"",IF(AND('Master Sheet'!$D$19="YES",'Marks Entry'!$BA$1=1),SUM(Q192,AE192,AZ192,BW192,DT192),SUM(Q192,AE192,AZ192,BW192,CT192)))</f>
        <v/>
      </c>
      <c r="HA192" s="208" t="str">
        <f>IF(GZ192="","",IF(AND('Master Sheet'!$D$19="YES",'Marks Entry'!$BA$1=1),GZ192/((900)-DC192)*100,GZ192/((1000)-DC192)*100))</f>
        <v/>
      </c>
      <c r="HB192" s="611" t="str">
        <f t="shared" si="532"/>
        <v/>
      </c>
      <c r="HC192" s="609" t="str">
        <f t="shared" si="533"/>
        <v/>
      </c>
      <c r="HD192" s="610" t="str">
        <f t="shared" si="534"/>
        <v/>
      </c>
      <c r="HE192" s="209" t="str">
        <f>IFERROR(IF(OR(GY192="SUPPLEMENTARY",GY192="RE-EXAM"),'Supp. Result Entry'!AS191,""),"")</f>
        <v/>
      </c>
      <c r="HF192" s="613" t="str">
        <f t="shared" si="535"/>
        <v/>
      </c>
      <c r="HG192" s="598" t="str">
        <f t="shared" si="536"/>
        <v/>
      </c>
      <c r="HH192" s="598" t="str">
        <f>IF(AND(HE192="",HF192="",HG192=""),"",IF(OR(GY192="SUPPLEMENTARY",GY192="RE-EXAM"),'Supp. Result Entry'!AS191,GY192))</f>
        <v/>
      </c>
      <c r="HI192" s="179"/>
      <c r="HY192" s="211" t="str">
        <f>IF('Supp. Result Entry'!U191="","",'Supp. Result Entry'!$U$6)</f>
        <v/>
      </c>
      <c r="HZ192" s="212" t="str">
        <f>IF('Supp. Result Entry'!X191="","",'Supp. Result Entry'!$X$6)</f>
        <v/>
      </c>
      <c r="IA192" s="212" t="str">
        <f>IF('Supp. Result Entry'!AA191="","",'Supp. Result Entry'!$AA$6)</f>
        <v/>
      </c>
      <c r="IB192" s="212" t="str">
        <f>IF('Supp. Result Entry'!AD191="","",'Supp. Result Entry'!$AD$6)</f>
        <v/>
      </c>
      <c r="IC192" s="212" t="str">
        <f>IF('Supp. Result Entry'!AG191="","",'Supp. Result Entry'!$AG$6)</f>
        <v/>
      </c>
      <c r="ID192" s="212" t="str">
        <f>IF('Supp. Result Entry'!AJ191="","",'Supp. Result Entry'!$AJ$6)</f>
        <v/>
      </c>
      <c r="IE192" s="212" t="str">
        <f>IF('Supp. Result Entry'!V191="","",'Supp. Result Entry'!V191)</f>
        <v/>
      </c>
      <c r="IF192" s="212" t="str">
        <f>IF('Supp. Result Entry'!Y191="","",'Supp. Result Entry'!Y191)</f>
        <v/>
      </c>
      <c r="IG192" s="212" t="str">
        <f>IF('Supp. Result Entry'!AB191="","",'Supp. Result Entry'!AB191)</f>
        <v/>
      </c>
      <c r="IH192" s="212" t="str">
        <f>IF('Supp. Result Entry'!AE191="","",'Supp. Result Entry'!AE191)</f>
        <v/>
      </c>
      <c r="II192" s="212" t="str">
        <f>IF('Supp. Result Entry'!AH191="","",'Supp. Result Entry'!AH191)</f>
        <v/>
      </c>
      <c r="IJ192" s="212" t="str">
        <f>IF('Supp. Result Entry'!AK191="","",'Supp. Result Entry'!AK191)</f>
        <v/>
      </c>
      <c r="IK192" s="212" t="str">
        <f>IF('Supp. Result Entry'!W191="","",'Supp. Result Entry'!W191)</f>
        <v/>
      </c>
      <c r="IL192" s="212" t="str">
        <f>IF('Supp. Result Entry'!Z191="","",'Supp. Result Entry'!Z191)</f>
        <v/>
      </c>
      <c r="IM192" s="212" t="str">
        <f>IF('Supp. Result Entry'!AC191="","",'Supp. Result Entry'!AC191)</f>
        <v/>
      </c>
      <c r="IN192" s="212" t="str">
        <f>IF('Supp. Result Entry'!AF191="","",'Supp. Result Entry'!AF191)</f>
        <v/>
      </c>
      <c r="IO192" s="212" t="str">
        <f>IF('Supp. Result Entry'!AI191="","",'Supp. Result Entry'!AI191)</f>
        <v/>
      </c>
      <c r="IP192" s="212" t="str">
        <f>IF('Supp. Result Entry'!AL191="","",'Supp. Result Entry'!AL191)</f>
        <v/>
      </c>
      <c r="IQ192" s="212">
        <f>COUNTIF('Supp. Result Entry'!K191:Q191,"S")</f>
        <v>0</v>
      </c>
      <c r="IR192" s="212">
        <f t="shared" si="537"/>
        <v>0</v>
      </c>
      <c r="IS192" s="212">
        <f t="shared" si="538"/>
        <v>0</v>
      </c>
      <c r="IT192" s="212" t="str">
        <f t="shared" si="406"/>
        <v/>
      </c>
      <c r="IU192" s="212" t="str">
        <f t="shared" si="407"/>
        <v/>
      </c>
      <c r="IV192" s="212" t="str">
        <f t="shared" si="408"/>
        <v/>
      </c>
      <c r="IW192" s="212" t="str">
        <f t="shared" si="409"/>
        <v/>
      </c>
      <c r="IX192" s="212" t="str">
        <f t="shared" si="410"/>
        <v/>
      </c>
      <c r="IY192" s="212" t="str">
        <f t="shared" si="539"/>
        <v/>
      </c>
      <c r="IZ192" s="212" t="str">
        <f t="shared" si="540"/>
        <v/>
      </c>
      <c r="JA192" s="212" t="str">
        <f t="shared" si="411"/>
        <v/>
      </c>
      <c r="JB192" s="210" t="str">
        <f t="shared" si="541"/>
        <v/>
      </c>
    </row>
    <row r="193" spans="1:262" s="210" customFormat="1" ht="21" customHeight="1">
      <c r="A193" s="183">
        <v>186</v>
      </c>
      <c r="B193" s="184" t="str">
        <f>IF('Marks Entry'!B193="","",'Marks Entry'!B193)</f>
        <v/>
      </c>
      <c r="C193" s="185" t="str">
        <f>IF('Marks Entry'!D193="","",'Marks Entry'!D193)</f>
        <v/>
      </c>
      <c r="D193" s="186" t="str">
        <f>IF('Marks Entry'!E193="","",'Marks Entry'!E193)</f>
        <v/>
      </c>
      <c r="E193" s="187" t="str">
        <f>IF('Marks Entry'!F193="","",'Marks Entry'!F193)</f>
        <v/>
      </c>
      <c r="F193" s="187" t="str">
        <f>IF('Marks Entry'!G193="","",'Marks Entry'!G193)</f>
        <v/>
      </c>
      <c r="G193" s="187" t="str">
        <f>IF('Marks Entry'!H193="","",'Marks Entry'!H193)</f>
        <v/>
      </c>
      <c r="H193" s="188" t="str">
        <f>IF('Marks Entry'!I193="","",'Marks Entry'!I193)</f>
        <v/>
      </c>
      <c r="I193" s="189" t="str">
        <f>IF('Marks Entry'!J193="","",'Marks Entry'!J193)</f>
        <v/>
      </c>
      <c r="J193" s="545" t="str">
        <f>IF('Marks Entry'!K193="","",'Marks Entry'!K193)</f>
        <v/>
      </c>
      <c r="K193" s="545" t="str">
        <f>IF('Marks Entry'!L193="","",'Marks Entry'!L193)</f>
        <v/>
      </c>
      <c r="L193" s="545" t="str">
        <f>IF('Marks Entry'!M193="","",'Marks Entry'!M193)</f>
        <v/>
      </c>
      <c r="M193" s="546" t="str">
        <f t="shared" si="412"/>
        <v/>
      </c>
      <c r="N193" s="545" t="str">
        <f>IF('Marks Entry'!N193="","",'Marks Entry'!N193)</f>
        <v/>
      </c>
      <c r="O193" s="546" t="str">
        <f t="shared" si="413"/>
        <v/>
      </c>
      <c r="P193" s="545" t="str">
        <f>IF('Marks Entry'!O193="","",'Marks Entry'!O193)</f>
        <v/>
      </c>
      <c r="Q193" s="547" t="str">
        <f t="shared" si="414"/>
        <v/>
      </c>
      <c r="R193" s="152">
        <f t="shared" si="415"/>
        <v>0</v>
      </c>
      <c r="S193" s="152">
        <f t="shared" si="416"/>
        <v>0</v>
      </c>
      <c r="T193" s="153" t="str">
        <f t="shared" si="417"/>
        <v/>
      </c>
      <c r="U193" s="152" t="str">
        <f t="shared" si="418"/>
        <v/>
      </c>
      <c r="V193" s="152" t="str">
        <f t="shared" si="419"/>
        <v/>
      </c>
      <c r="W193" s="152" t="str">
        <f t="shared" si="420"/>
        <v/>
      </c>
      <c r="X193" s="545" t="str">
        <f>IF('Marks Entry'!P193="","",'Marks Entry'!P193)</f>
        <v/>
      </c>
      <c r="Y193" s="545" t="str">
        <f>IF('Marks Entry'!Q193="","",'Marks Entry'!Q193)</f>
        <v/>
      </c>
      <c r="Z193" s="545" t="str">
        <f>IF('Marks Entry'!R193="","",'Marks Entry'!R193)</f>
        <v/>
      </c>
      <c r="AA193" s="546" t="str">
        <f t="shared" si="421"/>
        <v/>
      </c>
      <c r="AB193" s="545" t="str">
        <f>IF('Marks Entry'!S193="","",'Marks Entry'!S193)</f>
        <v/>
      </c>
      <c r="AC193" s="546" t="str">
        <f t="shared" si="422"/>
        <v/>
      </c>
      <c r="AD193" s="545" t="str">
        <f>IF('Marks Entry'!T193="","",'Marks Entry'!T193)</f>
        <v/>
      </c>
      <c r="AE193" s="547" t="str">
        <f t="shared" si="423"/>
        <v/>
      </c>
      <c r="AF193" s="152">
        <f t="shared" si="424"/>
        <v>0</v>
      </c>
      <c r="AG193" s="152">
        <f t="shared" si="425"/>
        <v>0</v>
      </c>
      <c r="AH193" s="153" t="str">
        <f t="shared" si="426"/>
        <v/>
      </c>
      <c r="AI193" s="152" t="str">
        <f t="shared" si="427"/>
        <v/>
      </c>
      <c r="AJ193" s="152" t="str">
        <f t="shared" si="428"/>
        <v/>
      </c>
      <c r="AK193" s="152" t="str">
        <f t="shared" si="429"/>
        <v/>
      </c>
      <c r="AL193" s="573" t="str">
        <f>IF('Marks Entry'!U193="","",'Marks Entry'!U193)</f>
        <v/>
      </c>
      <c r="AM193" s="573" t="str">
        <f>IF('Marks Entry'!V193="","",'Marks Entry'!V193)</f>
        <v/>
      </c>
      <c r="AN193" s="573" t="str">
        <f>IF('Marks Entry'!W193="","",'Marks Entry'!W193)</f>
        <v/>
      </c>
      <c r="AO193" s="573" t="str">
        <f>IF('Marks Entry'!X193="","",'Marks Entry'!X193)</f>
        <v/>
      </c>
      <c r="AP193" s="572" t="str">
        <f t="shared" si="430"/>
        <v/>
      </c>
      <c r="AQ193" s="573" t="str">
        <f>IF('Marks Entry'!Y193="","",'Marks Entry'!Y193)</f>
        <v/>
      </c>
      <c r="AR193" s="573" t="str">
        <f>IF('Marks Entry'!Z193="","",'Marks Entry'!Z193)</f>
        <v/>
      </c>
      <c r="AS193" s="572" t="str">
        <f t="shared" si="431"/>
        <v/>
      </c>
      <c r="AT193" s="572" t="str">
        <f t="shared" si="432"/>
        <v/>
      </c>
      <c r="AU193" s="573" t="str">
        <f>IF('Marks Entry'!AA193="","",'Marks Entry'!AA193)</f>
        <v/>
      </c>
      <c r="AV193" s="573" t="str">
        <f>IF('Marks Entry'!AB193="","",'Marks Entry'!AB193)</f>
        <v/>
      </c>
      <c r="AW193" s="572" t="str">
        <f t="shared" si="433"/>
        <v/>
      </c>
      <c r="AX193" s="156" t="str">
        <f t="shared" si="434"/>
        <v/>
      </c>
      <c r="AY193" s="156" t="str">
        <f t="shared" si="435"/>
        <v/>
      </c>
      <c r="AZ193" s="191" t="str">
        <f t="shared" si="436"/>
        <v/>
      </c>
      <c r="BA193" s="152">
        <f t="shared" si="437"/>
        <v>0</v>
      </c>
      <c r="BB193" s="153">
        <f t="shared" si="438"/>
        <v>0</v>
      </c>
      <c r="BC193" s="153" t="str">
        <f t="shared" si="439"/>
        <v/>
      </c>
      <c r="BD193" s="153" t="str">
        <f t="shared" si="440"/>
        <v/>
      </c>
      <c r="BE193" s="153" t="str">
        <f t="shared" si="441"/>
        <v/>
      </c>
      <c r="BF193" s="152" t="str">
        <f t="shared" si="442"/>
        <v/>
      </c>
      <c r="BG193" s="153" t="str">
        <f t="shared" si="443"/>
        <v/>
      </c>
      <c r="BH193" s="152" t="str">
        <f t="shared" si="444"/>
        <v/>
      </c>
      <c r="BI193" s="580" t="str">
        <f>IF('Marks Entry'!AC193="","",'Marks Entry'!AC193)</f>
        <v/>
      </c>
      <c r="BJ193" s="580" t="str">
        <f>IF('Marks Entry'!AD193="","",'Marks Entry'!AD193)</f>
        <v/>
      </c>
      <c r="BK193" s="580" t="str">
        <f>IF('Marks Entry'!AE193="","",'Marks Entry'!AE193)</f>
        <v/>
      </c>
      <c r="BL193" s="580" t="str">
        <f>IF('Marks Entry'!AF193="","",'Marks Entry'!AF193)</f>
        <v/>
      </c>
      <c r="BM193" s="581" t="str">
        <f t="shared" si="445"/>
        <v/>
      </c>
      <c r="BN193" s="580" t="str">
        <f>IF('Marks Entry'!AG193="","",'Marks Entry'!AG193)</f>
        <v/>
      </c>
      <c r="BO193" s="580" t="str">
        <f>IF('Marks Entry'!AH193="","",'Marks Entry'!AH193)</f>
        <v/>
      </c>
      <c r="BP193" s="581" t="str">
        <f t="shared" si="446"/>
        <v/>
      </c>
      <c r="BQ193" s="581" t="str">
        <f t="shared" si="447"/>
        <v/>
      </c>
      <c r="BR193" s="580" t="str">
        <f>IF('Marks Entry'!AI193="","",'Marks Entry'!AI193)</f>
        <v/>
      </c>
      <c r="BS193" s="580" t="str">
        <f>IF('Marks Entry'!AJ193="","",'Marks Entry'!AJ193)</f>
        <v/>
      </c>
      <c r="BT193" s="581" t="str">
        <f t="shared" si="448"/>
        <v/>
      </c>
      <c r="BU193" s="156" t="str">
        <f t="shared" si="449"/>
        <v/>
      </c>
      <c r="BV193" s="156" t="str">
        <f t="shared" si="450"/>
        <v/>
      </c>
      <c r="BW193" s="191" t="str">
        <f t="shared" si="451"/>
        <v/>
      </c>
      <c r="BX193" s="152">
        <f t="shared" si="452"/>
        <v>0</v>
      </c>
      <c r="BY193" s="153">
        <f t="shared" si="453"/>
        <v>0</v>
      </c>
      <c r="BZ193" s="153" t="str">
        <f t="shared" si="454"/>
        <v/>
      </c>
      <c r="CA193" s="153" t="str">
        <f t="shared" si="455"/>
        <v/>
      </c>
      <c r="CB193" s="153" t="str">
        <f t="shared" si="456"/>
        <v/>
      </c>
      <c r="CC193" s="152" t="str">
        <f t="shared" si="457"/>
        <v/>
      </c>
      <c r="CD193" s="153" t="str">
        <f t="shared" si="458"/>
        <v/>
      </c>
      <c r="CE193" s="152" t="str">
        <f t="shared" si="459"/>
        <v/>
      </c>
      <c r="CF193" s="580" t="str">
        <f>IF('Marks Entry'!AK193="","",'Marks Entry'!AK193)</f>
        <v/>
      </c>
      <c r="CG193" s="580" t="str">
        <f>IF('Marks Entry'!AL193="","",'Marks Entry'!AL193)</f>
        <v/>
      </c>
      <c r="CH193" s="580" t="str">
        <f>IF('Marks Entry'!AM193="","",'Marks Entry'!AM193)</f>
        <v/>
      </c>
      <c r="CI193" s="580" t="str">
        <f>IF('Marks Entry'!AN193="","",'Marks Entry'!AN193)</f>
        <v/>
      </c>
      <c r="CJ193" s="581" t="str">
        <f t="shared" si="460"/>
        <v/>
      </c>
      <c r="CK193" s="580" t="str">
        <f>IF('Marks Entry'!AO193="","",'Marks Entry'!AO193)</f>
        <v/>
      </c>
      <c r="CL193" s="580" t="str">
        <f>IF('Marks Entry'!AP193="","",'Marks Entry'!AP193)</f>
        <v/>
      </c>
      <c r="CM193" s="581" t="str">
        <f t="shared" si="461"/>
        <v/>
      </c>
      <c r="CN193" s="581" t="str">
        <f t="shared" si="462"/>
        <v/>
      </c>
      <c r="CO193" s="580" t="str">
        <f>IF('Marks Entry'!AQ193="","",'Marks Entry'!AQ193)</f>
        <v/>
      </c>
      <c r="CP193" s="580" t="str">
        <f>IF('Marks Entry'!AR193="","",'Marks Entry'!AR193)</f>
        <v/>
      </c>
      <c r="CQ193" s="581" t="str">
        <f t="shared" si="463"/>
        <v/>
      </c>
      <c r="CR193" s="156" t="str">
        <f t="shared" si="464"/>
        <v/>
      </c>
      <c r="CS193" s="156" t="str">
        <f t="shared" si="465"/>
        <v/>
      </c>
      <c r="CT193" s="191" t="str">
        <f t="shared" si="466"/>
        <v/>
      </c>
      <c r="CU193" s="152">
        <f t="shared" si="467"/>
        <v>0</v>
      </c>
      <c r="CV193" s="153">
        <f t="shared" si="468"/>
        <v>0</v>
      </c>
      <c r="CW193" s="153" t="str">
        <f t="shared" si="469"/>
        <v/>
      </c>
      <c r="CX193" s="153" t="str">
        <f t="shared" si="470"/>
        <v/>
      </c>
      <c r="CY193" s="153" t="str">
        <f t="shared" si="471"/>
        <v/>
      </c>
      <c r="CZ193" s="152" t="str">
        <f t="shared" si="472"/>
        <v/>
      </c>
      <c r="DA193" s="153" t="str">
        <f t="shared" si="473"/>
        <v/>
      </c>
      <c r="DB193" s="152" t="str">
        <f t="shared" si="474"/>
        <v/>
      </c>
      <c r="DC193" s="153">
        <f t="shared" si="475"/>
        <v>0</v>
      </c>
      <c r="DD193" s="851" t="str">
        <f>IF('Marks Entry'!AS193="","",IF(OR('Master Sheet'!$D$19="YES",'Marks Entry'!$BA$1=1),'Marks Entry'!AS193,""))</f>
        <v/>
      </c>
      <c r="DE193" s="851" t="str">
        <f>IF('Marks Entry'!AT193="","",IF(OR('Master Sheet'!$D$19="YES",'Marks Entry'!$BA$1=1),'Marks Entry'!AT193,""))</f>
        <v/>
      </c>
      <c r="DF193" s="851" t="str">
        <f>IF('Marks Entry'!AU193="","",IF(OR('Master Sheet'!$D$19="YES",'Marks Entry'!$BA$1=1),'Marks Entry'!AU193,""))</f>
        <v/>
      </c>
      <c r="DG193" s="851" t="str">
        <f>IF('Marks Entry'!AV193="","",IF(OR('Master Sheet'!$D$19="YES",'Marks Entry'!$BA$1=1),'Marks Entry'!AV193,""))</f>
        <v/>
      </c>
      <c r="DH193" s="852" t="str">
        <f t="shared" si="476"/>
        <v/>
      </c>
      <c r="DI193" s="851" t="str">
        <f>IF('Marks Entry'!AW193="","",IF(OR('Master Sheet'!$D$19="YES",'Marks Entry'!$BA$1=1),'Marks Entry'!AW193,""))</f>
        <v/>
      </c>
      <c r="DJ193" s="851" t="str">
        <f>IF('Marks Entry'!AX193="","",IF(OR('Master Sheet'!$D$19="YES",'Marks Entry'!$BA$1=1),'Marks Entry'!AX193,""))</f>
        <v/>
      </c>
      <c r="DK193" s="852" t="str">
        <f t="shared" si="477"/>
        <v/>
      </c>
      <c r="DL193" s="852" t="str">
        <f t="shared" si="478"/>
        <v/>
      </c>
      <c r="DM193" s="851" t="str">
        <f>IF('Marks Entry'!AY193="","",IF(OR('Master Sheet'!$D$19="YES",'Marks Entry'!$BA$1=1),'Marks Entry'!AY193,""))</f>
        <v/>
      </c>
      <c r="DN193" s="851" t="str">
        <f>IF('Marks Entry'!AZ193="","",IF(OR('Master Sheet'!$D$19="YES",'Marks Entry'!$BA$1=1),'Marks Entry'!AZ193,""))</f>
        <v/>
      </c>
      <c r="DO193" s="851" t="str">
        <f>IF('Marks Entry'!BA193="","",IF(OR('Master Sheet'!$D$19="YES",'Marks Entry'!$BA$1=1),'Marks Entry'!BA193,""))</f>
        <v/>
      </c>
      <c r="DP193" s="852" t="str">
        <f t="shared" si="479"/>
        <v/>
      </c>
      <c r="DQ193" s="156" t="str">
        <f t="shared" si="480"/>
        <v/>
      </c>
      <c r="DR193" s="156" t="str">
        <f t="shared" si="481"/>
        <v/>
      </c>
      <c r="DS193" s="156" t="str">
        <f t="shared" si="482"/>
        <v/>
      </c>
      <c r="DT193" s="191" t="str">
        <f t="shared" si="483"/>
        <v/>
      </c>
      <c r="DU193" s="152">
        <f t="shared" si="484"/>
        <v>0</v>
      </c>
      <c r="DV193" s="153">
        <f t="shared" si="485"/>
        <v>0</v>
      </c>
      <c r="DW193" s="153" t="str">
        <f t="shared" si="486"/>
        <v/>
      </c>
      <c r="DX193" s="153" t="str">
        <f>IF(OR($B193="NSO",$B193=0,DS193=""),"",IF(AND(DJ193="",DO193=""),"",IF('Master Sheet'!$D$19="YES",$DO$6-COUNTIF(DO193,"ML")*DO$6,DS$6-(COUNTIF(DJ193,"ML")*DJ$6)-(COUNTIF(DO193,"ML")*DO$6))))</f>
        <v/>
      </c>
      <c r="DY193" s="153" t="str">
        <f>IF(OR($B193="NSO",$B193=0),"",IF(AND(DH193="",DI193="",DM193=""),"",IF(AND('Master Sheet'!$D$19="YES",'Marks Entry'!$BA$1=1),100,IF(AND(DJ193="",DO193=""),SUM(($DQ$7+$DR$7)-(DU193+DV193)),SUM(($DQ$6+$DR$6)-(DU193+DV193))))))</f>
        <v/>
      </c>
      <c r="DZ193" s="152" t="str">
        <f t="shared" si="487"/>
        <v/>
      </c>
      <c r="EA193" s="153" t="str">
        <f t="shared" si="488"/>
        <v/>
      </c>
      <c r="EB193" s="152" t="str">
        <f t="shared" si="489"/>
        <v/>
      </c>
      <c r="EC193" s="584" t="str">
        <f>IF('Marks Entry'!BB193="","",'Marks Entry'!BB193)</f>
        <v/>
      </c>
      <c r="ED193" s="584" t="str">
        <f>IF('Marks Entry'!BC193="","",'Marks Entry'!BC193)</f>
        <v/>
      </c>
      <c r="EE193" s="584" t="str">
        <f>IF('Marks Entry'!BD193="","",'Marks Entry'!BD193)</f>
        <v/>
      </c>
      <c r="EF193" s="590" t="str">
        <f t="shared" si="490"/>
        <v/>
      </c>
      <c r="EG193" s="595">
        <f t="shared" si="491"/>
        <v>0</v>
      </c>
      <c r="EH193" s="595">
        <f t="shared" si="492"/>
        <v>0</v>
      </c>
      <c r="EI193" s="192" t="str">
        <f t="shared" si="493"/>
        <v/>
      </c>
      <c r="EJ193" s="595" t="str">
        <f t="shared" si="494"/>
        <v/>
      </c>
      <c r="EK193" s="595" t="str">
        <f t="shared" si="495"/>
        <v/>
      </c>
      <c r="EL193" s="193" t="str">
        <f t="shared" si="496"/>
        <v/>
      </c>
      <c r="EM193" s="193" t="str">
        <f t="shared" si="497"/>
        <v/>
      </c>
      <c r="EN193" s="193" t="str">
        <f t="shared" si="498"/>
        <v/>
      </c>
      <c r="EO193" s="193" t="str">
        <f t="shared" si="499"/>
        <v/>
      </c>
      <c r="EP193" s="193" t="str">
        <f t="shared" si="500"/>
        <v/>
      </c>
      <c r="EQ193" s="193" t="str">
        <f t="shared" si="501"/>
        <v/>
      </c>
      <c r="ER193" s="194">
        <f t="shared" si="502"/>
        <v>0</v>
      </c>
      <c r="ES193" s="194">
        <f t="shared" si="503"/>
        <v>0</v>
      </c>
      <c r="ET193" s="194">
        <f t="shared" si="504"/>
        <v>0</v>
      </c>
      <c r="EU193" s="194">
        <f t="shared" si="505"/>
        <v>0</v>
      </c>
      <c r="EV193" s="194">
        <f t="shared" si="506"/>
        <v>0</v>
      </c>
      <c r="EW193" s="194" t="str">
        <f t="shared" si="507"/>
        <v/>
      </c>
      <c r="EX193" s="195" t="str">
        <f t="shared" si="508"/>
        <v/>
      </c>
      <c r="EY193" s="196" t="str">
        <f>IF('Marks Entry'!BE193="","",'Marks Entry'!BE193)</f>
        <v/>
      </c>
      <c r="EZ193" s="196" t="str">
        <f>IF('Marks Entry'!BF193="","",'Marks Entry'!BF193)</f>
        <v/>
      </c>
      <c r="FA193" s="196" t="str">
        <f>IF('Marks Entry'!BG193="","",'Marks Entry'!BG193)</f>
        <v/>
      </c>
      <c r="FB193" s="596" t="str">
        <f t="shared" si="509"/>
        <v/>
      </c>
      <c r="FC193" s="196" t="str">
        <f>IF('Marks Entry'!BH193="","",'Marks Entry'!BH193)</f>
        <v/>
      </c>
      <c r="FD193" s="196" t="str">
        <f>IF('Marks Entry'!BI193="","",'Marks Entry'!BI193)</f>
        <v/>
      </c>
      <c r="FE193" s="197" t="str">
        <f t="shared" si="510"/>
        <v/>
      </c>
      <c r="FF193" s="198" t="str">
        <f t="shared" si="511"/>
        <v/>
      </c>
      <c r="FG193" s="199" t="str">
        <f>IF(AND(E193=""),"",IF('Student DATA Entry'!L189="","",'Student DATA Entry'!L189))</f>
        <v/>
      </c>
      <c r="FH193" s="200" t="str">
        <f>IF(AND(E193=""),"",IF('Student DATA Entry'!M189="","",'Student DATA Entry'!M189))</f>
        <v/>
      </c>
      <c r="FI193" s="201" t="str">
        <f t="shared" si="512"/>
        <v/>
      </c>
      <c r="FJ193" s="188" t="str">
        <f t="shared" si="513"/>
        <v/>
      </c>
      <c r="FK193" s="188" t="str">
        <f t="shared" si="514"/>
        <v/>
      </c>
      <c r="FL193" s="202" t="str">
        <f t="shared" si="542"/>
        <v/>
      </c>
      <c r="FM193" s="188" t="str">
        <f t="shared" si="515"/>
        <v/>
      </c>
      <c r="FN193" s="203" t="str">
        <f t="shared" si="516"/>
        <v/>
      </c>
      <c r="FO193" s="202" t="str">
        <f t="shared" si="543"/>
        <v/>
      </c>
      <c r="FP193" s="204" t="str">
        <f t="shared" si="517"/>
        <v/>
      </c>
      <c r="FQ193" s="188" t="str">
        <f t="shared" si="544"/>
        <v/>
      </c>
      <c r="FR193" s="188" t="str">
        <f t="shared" si="545"/>
        <v/>
      </c>
      <c r="FS193" s="188" t="str">
        <f t="shared" si="546"/>
        <v/>
      </c>
      <c r="FT193" s="188" t="str">
        <f t="shared" si="547"/>
        <v/>
      </c>
      <c r="FU193" s="188" t="str">
        <f t="shared" si="518"/>
        <v/>
      </c>
      <c r="FV193" s="205" t="str">
        <f t="shared" si="548"/>
        <v/>
      </c>
      <c r="FW193" s="204" t="str">
        <f t="shared" si="519"/>
        <v/>
      </c>
      <c r="FX193" s="188" t="str">
        <f t="shared" si="549"/>
        <v/>
      </c>
      <c r="FY193" s="188" t="str">
        <f t="shared" si="550"/>
        <v/>
      </c>
      <c r="FZ193" s="188" t="str">
        <f t="shared" si="551"/>
        <v/>
      </c>
      <c r="GA193" s="188" t="str">
        <f t="shared" si="552"/>
        <v/>
      </c>
      <c r="GB193" s="188" t="str">
        <f t="shared" si="520"/>
        <v/>
      </c>
      <c r="GC193" s="205" t="str">
        <f t="shared" si="553"/>
        <v/>
      </c>
      <c r="GD193" s="204" t="str">
        <f t="shared" si="521"/>
        <v/>
      </c>
      <c r="GE193" s="188" t="str">
        <f t="shared" si="554"/>
        <v/>
      </c>
      <c r="GF193" s="188" t="str">
        <f t="shared" si="555"/>
        <v/>
      </c>
      <c r="GG193" s="188" t="str">
        <f t="shared" si="556"/>
        <v/>
      </c>
      <c r="GH193" s="188" t="str">
        <f t="shared" si="557"/>
        <v/>
      </c>
      <c r="GI193" s="188" t="str">
        <f t="shared" si="522"/>
        <v/>
      </c>
      <c r="GJ193" s="205" t="str">
        <f t="shared" si="558"/>
        <v/>
      </c>
      <c r="GK193" s="204" t="str">
        <f t="shared" si="523"/>
        <v/>
      </c>
      <c r="GL193" s="188" t="str">
        <f t="shared" si="559"/>
        <v/>
      </c>
      <c r="GM193" s="188" t="str">
        <f t="shared" si="560"/>
        <v/>
      </c>
      <c r="GN193" s="188" t="str">
        <f t="shared" si="561"/>
        <v/>
      </c>
      <c r="GO193" s="188" t="str">
        <f t="shared" si="562"/>
        <v/>
      </c>
      <c r="GP193" s="188" t="str">
        <f t="shared" si="524"/>
        <v/>
      </c>
      <c r="GQ193" s="205" t="str">
        <f t="shared" si="563"/>
        <v/>
      </c>
      <c r="GR193" s="188" t="str">
        <f t="shared" si="525"/>
        <v/>
      </c>
      <c r="GS193" s="188" t="str">
        <f t="shared" si="526"/>
        <v/>
      </c>
      <c r="GT193" s="206" t="str">
        <f t="shared" si="527"/>
        <v xml:space="preserve">    </v>
      </c>
      <c r="GU193" s="206" t="str">
        <f t="shared" si="528"/>
        <v xml:space="preserve">    </v>
      </c>
      <c r="GV193" s="206" t="str">
        <f t="shared" si="529"/>
        <v xml:space="preserve">    </v>
      </c>
      <c r="GW193" s="206" t="str">
        <f t="shared" si="530"/>
        <v xml:space="preserve">       </v>
      </c>
      <c r="GX193" s="598" t="str">
        <f t="shared" si="531"/>
        <v xml:space="preserve">     </v>
      </c>
      <c r="GY193" s="207" t="str">
        <f t="shared" si="564"/>
        <v/>
      </c>
      <c r="GZ193" s="606" t="str">
        <f>IF(AND(Q193="",AE193="",AZ193="",BW193="",CT193=""),"",IF(AND('Master Sheet'!$D$19="YES",'Marks Entry'!$BA$1=1),SUM(Q193,AE193,AZ193,BW193,DT193),SUM(Q193,AE193,AZ193,BW193,CT193)))</f>
        <v/>
      </c>
      <c r="HA193" s="208" t="str">
        <f>IF(GZ193="","",IF(AND('Master Sheet'!$D$19="YES",'Marks Entry'!$BA$1=1),GZ193/((900)-DC193)*100,GZ193/((1000)-DC193)*100))</f>
        <v/>
      </c>
      <c r="HB193" s="611" t="str">
        <f t="shared" si="532"/>
        <v/>
      </c>
      <c r="HC193" s="609" t="str">
        <f t="shared" si="533"/>
        <v/>
      </c>
      <c r="HD193" s="610" t="str">
        <f t="shared" si="534"/>
        <v/>
      </c>
      <c r="HE193" s="209" t="str">
        <f>IFERROR(IF(OR(GY193="SUPPLEMENTARY",GY193="RE-EXAM"),'Supp. Result Entry'!AS192,""),"")</f>
        <v/>
      </c>
      <c r="HF193" s="613" t="str">
        <f t="shared" si="535"/>
        <v/>
      </c>
      <c r="HG193" s="598" t="str">
        <f t="shared" si="536"/>
        <v/>
      </c>
      <c r="HH193" s="598" t="str">
        <f>IF(AND(HE193="",HF193="",HG193=""),"",IF(OR(GY193="SUPPLEMENTARY",GY193="RE-EXAM"),'Supp. Result Entry'!AS192,GY193))</f>
        <v/>
      </c>
      <c r="HI193" s="179"/>
      <c r="HY193" s="211" t="str">
        <f>IF('Supp. Result Entry'!U192="","",'Supp. Result Entry'!$U$6)</f>
        <v/>
      </c>
      <c r="HZ193" s="212" t="str">
        <f>IF('Supp. Result Entry'!X192="","",'Supp. Result Entry'!$X$6)</f>
        <v/>
      </c>
      <c r="IA193" s="212" t="str">
        <f>IF('Supp. Result Entry'!AA192="","",'Supp. Result Entry'!$AA$6)</f>
        <v/>
      </c>
      <c r="IB193" s="212" t="str">
        <f>IF('Supp. Result Entry'!AD192="","",'Supp. Result Entry'!$AD$6)</f>
        <v/>
      </c>
      <c r="IC193" s="212" t="str">
        <f>IF('Supp. Result Entry'!AG192="","",'Supp. Result Entry'!$AG$6)</f>
        <v/>
      </c>
      <c r="ID193" s="212" t="str">
        <f>IF('Supp. Result Entry'!AJ192="","",'Supp. Result Entry'!$AJ$6)</f>
        <v/>
      </c>
      <c r="IE193" s="212" t="str">
        <f>IF('Supp. Result Entry'!V192="","",'Supp. Result Entry'!V192)</f>
        <v/>
      </c>
      <c r="IF193" s="212" t="str">
        <f>IF('Supp. Result Entry'!Y192="","",'Supp. Result Entry'!Y192)</f>
        <v/>
      </c>
      <c r="IG193" s="212" t="str">
        <f>IF('Supp. Result Entry'!AB192="","",'Supp. Result Entry'!AB192)</f>
        <v/>
      </c>
      <c r="IH193" s="212" t="str">
        <f>IF('Supp. Result Entry'!AE192="","",'Supp. Result Entry'!AE192)</f>
        <v/>
      </c>
      <c r="II193" s="212" t="str">
        <f>IF('Supp. Result Entry'!AH192="","",'Supp. Result Entry'!AH192)</f>
        <v/>
      </c>
      <c r="IJ193" s="212" t="str">
        <f>IF('Supp. Result Entry'!AK192="","",'Supp. Result Entry'!AK192)</f>
        <v/>
      </c>
      <c r="IK193" s="212" t="str">
        <f>IF('Supp. Result Entry'!W192="","",'Supp. Result Entry'!W192)</f>
        <v/>
      </c>
      <c r="IL193" s="212" t="str">
        <f>IF('Supp. Result Entry'!Z192="","",'Supp. Result Entry'!Z192)</f>
        <v/>
      </c>
      <c r="IM193" s="212" t="str">
        <f>IF('Supp. Result Entry'!AC192="","",'Supp. Result Entry'!AC192)</f>
        <v/>
      </c>
      <c r="IN193" s="212" t="str">
        <f>IF('Supp. Result Entry'!AF192="","",'Supp. Result Entry'!AF192)</f>
        <v/>
      </c>
      <c r="IO193" s="212" t="str">
        <f>IF('Supp. Result Entry'!AI192="","",'Supp. Result Entry'!AI192)</f>
        <v/>
      </c>
      <c r="IP193" s="212" t="str">
        <f>IF('Supp. Result Entry'!AL192="","",'Supp. Result Entry'!AL192)</f>
        <v/>
      </c>
      <c r="IQ193" s="212">
        <f>COUNTIF('Supp. Result Entry'!K192:Q192,"S")</f>
        <v>0</v>
      </c>
      <c r="IR193" s="212">
        <f t="shared" si="537"/>
        <v>0</v>
      </c>
      <c r="IS193" s="212">
        <f t="shared" si="538"/>
        <v>0</v>
      </c>
      <c r="IT193" s="212" t="str">
        <f t="shared" si="406"/>
        <v/>
      </c>
      <c r="IU193" s="212" t="str">
        <f t="shared" si="407"/>
        <v/>
      </c>
      <c r="IV193" s="212" t="str">
        <f t="shared" si="408"/>
        <v/>
      </c>
      <c r="IW193" s="212" t="str">
        <f t="shared" si="409"/>
        <v/>
      </c>
      <c r="IX193" s="212" t="str">
        <f t="shared" si="410"/>
        <v/>
      </c>
      <c r="IY193" s="212" t="str">
        <f t="shared" si="539"/>
        <v/>
      </c>
      <c r="IZ193" s="212" t="str">
        <f t="shared" si="540"/>
        <v/>
      </c>
      <c r="JA193" s="212" t="str">
        <f t="shared" si="411"/>
        <v/>
      </c>
      <c r="JB193" s="210" t="str">
        <f t="shared" si="541"/>
        <v/>
      </c>
    </row>
    <row r="194" spans="1:262" s="210" customFormat="1" ht="21" customHeight="1">
      <c r="A194" s="183">
        <v>187</v>
      </c>
      <c r="B194" s="184" t="str">
        <f>IF('Marks Entry'!B194="","",'Marks Entry'!B194)</f>
        <v/>
      </c>
      <c r="C194" s="185" t="str">
        <f>IF('Marks Entry'!D194="","",'Marks Entry'!D194)</f>
        <v/>
      </c>
      <c r="D194" s="186" t="str">
        <f>IF('Marks Entry'!E194="","",'Marks Entry'!E194)</f>
        <v/>
      </c>
      <c r="E194" s="187" t="str">
        <f>IF('Marks Entry'!F194="","",'Marks Entry'!F194)</f>
        <v/>
      </c>
      <c r="F194" s="187" t="str">
        <f>IF('Marks Entry'!G194="","",'Marks Entry'!G194)</f>
        <v/>
      </c>
      <c r="G194" s="187" t="str">
        <f>IF('Marks Entry'!H194="","",'Marks Entry'!H194)</f>
        <v/>
      </c>
      <c r="H194" s="188" t="str">
        <f>IF('Marks Entry'!I194="","",'Marks Entry'!I194)</f>
        <v/>
      </c>
      <c r="I194" s="189" t="str">
        <f>IF('Marks Entry'!J194="","",'Marks Entry'!J194)</f>
        <v/>
      </c>
      <c r="J194" s="545" t="str">
        <f>IF('Marks Entry'!K194="","",'Marks Entry'!K194)</f>
        <v/>
      </c>
      <c r="K194" s="545" t="str">
        <f>IF('Marks Entry'!L194="","",'Marks Entry'!L194)</f>
        <v/>
      </c>
      <c r="L194" s="545" t="str">
        <f>IF('Marks Entry'!M194="","",'Marks Entry'!M194)</f>
        <v/>
      </c>
      <c r="M194" s="546" t="str">
        <f t="shared" si="412"/>
        <v/>
      </c>
      <c r="N194" s="545" t="str">
        <f>IF('Marks Entry'!N194="","",'Marks Entry'!N194)</f>
        <v/>
      </c>
      <c r="O194" s="546" t="str">
        <f t="shared" si="413"/>
        <v/>
      </c>
      <c r="P194" s="545" t="str">
        <f>IF('Marks Entry'!O194="","",'Marks Entry'!O194)</f>
        <v/>
      </c>
      <c r="Q194" s="547" t="str">
        <f t="shared" si="414"/>
        <v/>
      </c>
      <c r="R194" s="152">
        <f t="shared" si="415"/>
        <v>0</v>
      </c>
      <c r="S194" s="152">
        <f t="shared" si="416"/>
        <v>0</v>
      </c>
      <c r="T194" s="153" t="str">
        <f t="shared" si="417"/>
        <v/>
      </c>
      <c r="U194" s="152" t="str">
        <f t="shared" si="418"/>
        <v/>
      </c>
      <c r="V194" s="152" t="str">
        <f t="shared" si="419"/>
        <v/>
      </c>
      <c r="W194" s="152" t="str">
        <f t="shared" si="420"/>
        <v/>
      </c>
      <c r="X194" s="545" t="str">
        <f>IF('Marks Entry'!P194="","",'Marks Entry'!P194)</f>
        <v/>
      </c>
      <c r="Y194" s="545" t="str">
        <f>IF('Marks Entry'!Q194="","",'Marks Entry'!Q194)</f>
        <v/>
      </c>
      <c r="Z194" s="545" t="str">
        <f>IF('Marks Entry'!R194="","",'Marks Entry'!R194)</f>
        <v/>
      </c>
      <c r="AA194" s="546" t="str">
        <f t="shared" si="421"/>
        <v/>
      </c>
      <c r="AB194" s="545" t="str">
        <f>IF('Marks Entry'!S194="","",'Marks Entry'!S194)</f>
        <v/>
      </c>
      <c r="AC194" s="546" t="str">
        <f t="shared" si="422"/>
        <v/>
      </c>
      <c r="AD194" s="545" t="str">
        <f>IF('Marks Entry'!T194="","",'Marks Entry'!T194)</f>
        <v/>
      </c>
      <c r="AE194" s="547" t="str">
        <f t="shared" si="423"/>
        <v/>
      </c>
      <c r="AF194" s="152">
        <f t="shared" si="424"/>
        <v>0</v>
      </c>
      <c r="AG194" s="152">
        <f t="shared" si="425"/>
        <v>0</v>
      </c>
      <c r="AH194" s="153" t="str">
        <f t="shared" si="426"/>
        <v/>
      </c>
      <c r="AI194" s="152" t="str">
        <f t="shared" si="427"/>
        <v/>
      </c>
      <c r="AJ194" s="152" t="str">
        <f t="shared" si="428"/>
        <v/>
      </c>
      <c r="AK194" s="152" t="str">
        <f t="shared" si="429"/>
        <v/>
      </c>
      <c r="AL194" s="573" t="str">
        <f>IF('Marks Entry'!U194="","",'Marks Entry'!U194)</f>
        <v/>
      </c>
      <c r="AM194" s="573" t="str">
        <f>IF('Marks Entry'!V194="","",'Marks Entry'!V194)</f>
        <v/>
      </c>
      <c r="AN194" s="573" t="str">
        <f>IF('Marks Entry'!W194="","",'Marks Entry'!W194)</f>
        <v/>
      </c>
      <c r="AO194" s="573" t="str">
        <f>IF('Marks Entry'!X194="","",'Marks Entry'!X194)</f>
        <v/>
      </c>
      <c r="AP194" s="572" t="str">
        <f t="shared" si="430"/>
        <v/>
      </c>
      <c r="AQ194" s="573" t="str">
        <f>IF('Marks Entry'!Y194="","",'Marks Entry'!Y194)</f>
        <v/>
      </c>
      <c r="AR194" s="573" t="str">
        <f>IF('Marks Entry'!Z194="","",'Marks Entry'!Z194)</f>
        <v/>
      </c>
      <c r="AS194" s="572" t="str">
        <f t="shared" si="431"/>
        <v/>
      </c>
      <c r="AT194" s="572" t="str">
        <f t="shared" si="432"/>
        <v/>
      </c>
      <c r="AU194" s="573" t="str">
        <f>IF('Marks Entry'!AA194="","",'Marks Entry'!AA194)</f>
        <v/>
      </c>
      <c r="AV194" s="573" t="str">
        <f>IF('Marks Entry'!AB194="","",'Marks Entry'!AB194)</f>
        <v/>
      </c>
      <c r="AW194" s="572" t="str">
        <f t="shared" si="433"/>
        <v/>
      </c>
      <c r="AX194" s="156" t="str">
        <f t="shared" si="434"/>
        <v/>
      </c>
      <c r="AY194" s="156" t="str">
        <f t="shared" si="435"/>
        <v/>
      </c>
      <c r="AZ194" s="191" t="str">
        <f t="shared" si="436"/>
        <v/>
      </c>
      <c r="BA194" s="152">
        <f t="shared" si="437"/>
        <v>0</v>
      </c>
      <c r="BB194" s="153">
        <f t="shared" si="438"/>
        <v>0</v>
      </c>
      <c r="BC194" s="153" t="str">
        <f t="shared" si="439"/>
        <v/>
      </c>
      <c r="BD194" s="153" t="str">
        <f t="shared" si="440"/>
        <v/>
      </c>
      <c r="BE194" s="153" t="str">
        <f t="shared" si="441"/>
        <v/>
      </c>
      <c r="BF194" s="152" t="str">
        <f t="shared" si="442"/>
        <v/>
      </c>
      <c r="BG194" s="153" t="str">
        <f t="shared" si="443"/>
        <v/>
      </c>
      <c r="BH194" s="152" t="str">
        <f t="shared" si="444"/>
        <v/>
      </c>
      <c r="BI194" s="580" t="str">
        <f>IF('Marks Entry'!AC194="","",'Marks Entry'!AC194)</f>
        <v/>
      </c>
      <c r="BJ194" s="580" t="str">
        <f>IF('Marks Entry'!AD194="","",'Marks Entry'!AD194)</f>
        <v/>
      </c>
      <c r="BK194" s="580" t="str">
        <f>IF('Marks Entry'!AE194="","",'Marks Entry'!AE194)</f>
        <v/>
      </c>
      <c r="BL194" s="580" t="str">
        <f>IF('Marks Entry'!AF194="","",'Marks Entry'!AF194)</f>
        <v/>
      </c>
      <c r="BM194" s="581" t="str">
        <f t="shared" si="445"/>
        <v/>
      </c>
      <c r="BN194" s="580" t="str">
        <f>IF('Marks Entry'!AG194="","",'Marks Entry'!AG194)</f>
        <v/>
      </c>
      <c r="BO194" s="580" t="str">
        <f>IF('Marks Entry'!AH194="","",'Marks Entry'!AH194)</f>
        <v/>
      </c>
      <c r="BP194" s="581" t="str">
        <f t="shared" si="446"/>
        <v/>
      </c>
      <c r="BQ194" s="581" t="str">
        <f t="shared" si="447"/>
        <v/>
      </c>
      <c r="BR194" s="580" t="str">
        <f>IF('Marks Entry'!AI194="","",'Marks Entry'!AI194)</f>
        <v/>
      </c>
      <c r="BS194" s="580" t="str">
        <f>IF('Marks Entry'!AJ194="","",'Marks Entry'!AJ194)</f>
        <v/>
      </c>
      <c r="BT194" s="581" t="str">
        <f t="shared" si="448"/>
        <v/>
      </c>
      <c r="BU194" s="156" t="str">
        <f t="shared" si="449"/>
        <v/>
      </c>
      <c r="BV194" s="156" t="str">
        <f t="shared" si="450"/>
        <v/>
      </c>
      <c r="BW194" s="191" t="str">
        <f t="shared" si="451"/>
        <v/>
      </c>
      <c r="BX194" s="152">
        <f t="shared" si="452"/>
        <v>0</v>
      </c>
      <c r="BY194" s="153">
        <f t="shared" si="453"/>
        <v>0</v>
      </c>
      <c r="BZ194" s="153" t="str">
        <f t="shared" si="454"/>
        <v/>
      </c>
      <c r="CA194" s="153" t="str">
        <f t="shared" si="455"/>
        <v/>
      </c>
      <c r="CB194" s="153" t="str">
        <f t="shared" si="456"/>
        <v/>
      </c>
      <c r="CC194" s="152" t="str">
        <f t="shared" si="457"/>
        <v/>
      </c>
      <c r="CD194" s="153" t="str">
        <f t="shared" si="458"/>
        <v/>
      </c>
      <c r="CE194" s="152" t="str">
        <f t="shared" si="459"/>
        <v/>
      </c>
      <c r="CF194" s="580" t="str">
        <f>IF('Marks Entry'!AK194="","",'Marks Entry'!AK194)</f>
        <v/>
      </c>
      <c r="CG194" s="580" t="str">
        <f>IF('Marks Entry'!AL194="","",'Marks Entry'!AL194)</f>
        <v/>
      </c>
      <c r="CH194" s="580" t="str">
        <f>IF('Marks Entry'!AM194="","",'Marks Entry'!AM194)</f>
        <v/>
      </c>
      <c r="CI194" s="580" t="str">
        <f>IF('Marks Entry'!AN194="","",'Marks Entry'!AN194)</f>
        <v/>
      </c>
      <c r="CJ194" s="581" t="str">
        <f t="shared" si="460"/>
        <v/>
      </c>
      <c r="CK194" s="580" t="str">
        <f>IF('Marks Entry'!AO194="","",'Marks Entry'!AO194)</f>
        <v/>
      </c>
      <c r="CL194" s="580" t="str">
        <f>IF('Marks Entry'!AP194="","",'Marks Entry'!AP194)</f>
        <v/>
      </c>
      <c r="CM194" s="581" t="str">
        <f t="shared" si="461"/>
        <v/>
      </c>
      <c r="CN194" s="581" t="str">
        <f t="shared" si="462"/>
        <v/>
      </c>
      <c r="CO194" s="580" t="str">
        <f>IF('Marks Entry'!AQ194="","",'Marks Entry'!AQ194)</f>
        <v/>
      </c>
      <c r="CP194" s="580" t="str">
        <f>IF('Marks Entry'!AR194="","",'Marks Entry'!AR194)</f>
        <v/>
      </c>
      <c r="CQ194" s="581" t="str">
        <f t="shared" si="463"/>
        <v/>
      </c>
      <c r="CR194" s="156" t="str">
        <f t="shared" si="464"/>
        <v/>
      </c>
      <c r="CS194" s="156" t="str">
        <f t="shared" si="465"/>
        <v/>
      </c>
      <c r="CT194" s="191" t="str">
        <f t="shared" si="466"/>
        <v/>
      </c>
      <c r="CU194" s="152">
        <f t="shared" si="467"/>
        <v>0</v>
      </c>
      <c r="CV194" s="153">
        <f t="shared" si="468"/>
        <v>0</v>
      </c>
      <c r="CW194" s="153" t="str">
        <f t="shared" si="469"/>
        <v/>
      </c>
      <c r="CX194" s="153" t="str">
        <f t="shared" si="470"/>
        <v/>
      </c>
      <c r="CY194" s="153" t="str">
        <f t="shared" si="471"/>
        <v/>
      </c>
      <c r="CZ194" s="152" t="str">
        <f t="shared" si="472"/>
        <v/>
      </c>
      <c r="DA194" s="153" t="str">
        <f t="shared" si="473"/>
        <v/>
      </c>
      <c r="DB194" s="152" t="str">
        <f t="shared" si="474"/>
        <v/>
      </c>
      <c r="DC194" s="153">
        <f t="shared" si="475"/>
        <v>0</v>
      </c>
      <c r="DD194" s="851" t="str">
        <f>IF('Marks Entry'!AS194="","",IF(OR('Master Sheet'!$D$19="YES",'Marks Entry'!$BA$1=1),'Marks Entry'!AS194,""))</f>
        <v/>
      </c>
      <c r="DE194" s="851" t="str">
        <f>IF('Marks Entry'!AT194="","",IF(OR('Master Sheet'!$D$19="YES",'Marks Entry'!$BA$1=1),'Marks Entry'!AT194,""))</f>
        <v/>
      </c>
      <c r="DF194" s="851" t="str">
        <f>IF('Marks Entry'!AU194="","",IF(OR('Master Sheet'!$D$19="YES",'Marks Entry'!$BA$1=1),'Marks Entry'!AU194,""))</f>
        <v/>
      </c>
      <c r="DG194" s="851" t="str">
        <f>IF('Marks Entry'!AV194="","",IF(OR('Master Sheet'!$D$19="YES",'Marks Entry'!$BA$1=1),'Marks Entry'!AV194,""))</f>
        <v/>
      </c>
      <c r="DH194" s="852" t="str">
        <f t="shared" si="476"/>
        <v/>
      </c>
      <c r="DI194" s="851" t="str">
        <f>IF('Marks Entry'!AW194="","",IF(OR('Master Sheet'!$D$19="YES",'Marks Entry'!$BA$1=1),'Marks Entry'!AW194,""))</f>
        <v/>
      </c>
      <c r="DJ194" s="851" t="str">
        <f>IF('Marks Entry'!AX194="","",IF(OR('Master Sheet'!$D$19="YES",'Marks Entry'!$BA$1=1),'Marks Entry'!AX194,""))</f>
        <v/>
      </c>
      <c r="DK194" s="852" t="str">
        <f t="shared" si="477"/>
        <v/>
      </c>
      <c r="DL194" s="852" t="str">
        <f t="shared" si="478"/>
        <v/>
      </c>
      <c r="DM194" s="851" t="str">
        <f>IF('Marks Entry'!AY194="","",IF(OR('Master Sheet'!$D$19="YES",'Marks Entry'!$BA$1=1),'Marks Entry'!AY194,""))</f>
        <v/>
      </c>
      <c r="DN194" s="851" t="str">
        <f>IF('Marks Entry'!AZ194="","",IF(OR('Master Sheet'!$D$19="YES",'Marks Entry'!$BA$1=1),'Marks Entry'!AZ194,""))</f>
        <v/>
      </c>
      <c r="DO194" s="851" t="str">
        <f>IF('Marks Entry'!BA194="","",IF(OR('Master Sheet'!$D$19="YES",'Marks Entry'!$BA$1=1),'Marks Entry'!BA194,""))</f>
        <v/>
      </c>
      <c r="DP194" s="852" t="str">
        <f t="shared" si="479"/>
        <v/>
      </c>
      <c r="DQ194" s="156" t="str">
        <f t="shared" si="480"/>
        <v/>
      </c>
      <c r="DR194" s="156" t="str">
        <f t="shared" si="481"/>
        <v/>
      </c>
      <c r="DS194" s="156" t="str">
        <f t="shared" si="482"/>
        <v/>
      </c>
      <c r="DT194" s="191" t="str">
        <f t="shared" si="483"/>
        <v/>
      </c>
      <c r="DU194" s="152">
        <f t="shared" si="484"/>
        <v>0</v>
      </c>
      <c r="DV194" s="153">
        <f t="shared" si="485"/>
        <v>0</v>
      </c>
      <c r="DW194" s="153" t="str">
        <f t="shared" si="486"/>
        <v/>
      </c>
      <c r="DX194" s="153" t="str">
        <f>IF(OR($B194="NSO",$B194=0,DS194=""),"",IF(AND(DJ194="",DO194=""),"",IF('Master Sheet'!$D$19="YES",$DO$6-COUNTIF(DO194,"ML")*DO$6,DS$6-(COUNTIF(DJ194,"ML")*DJ$6)-(COUNTIF(DO194,"ML")*DO$6))))</f>
        <v/>
      </c>
      <c r="DY194" s="153" t="str">
        <f>IF(OR($B194="NSO",$B194=0),"",IF(AND(DH194="",DI194="",DM194=""),"",IF(AND('Master Sheet'!$D$19="YES",'Marks Entry'!$BA$1=1),100,IF(AND(DJ194="",DO194=""),SUM(($DQ$7+$DR$7)-(DU194+DV194)),SUM(($DQ$6+$DR$6)-(DU194+DV194))))))</f>
        <v/>
      </c>
      <c r="DZ194" s="152" t="str">
        <f t="shared" si="487"/>
        <v/>
      </c>
      <c r="EA194" s="153" t="str">
        <f t="shared" si="488"/>
        <v/>
      </c>
      <c r="EB194" s="152" t="str">
        <f t="shared" si="489"/>
        <v/>
      </c>
      <c r="EC194" s="584" t="str">
        <f>IF('Marks Entry'!BB194="","",'Marks Entry'!BB194)</f>
        <v/>
      </c>
      <c r="ED194" s="584" t="str">
        <f>IF('Marks Entry'!BC194="","",'Marks Entry'!BC194)</f>
        <v/>
      </c>
      <c r="EE194" s="584" t="str">
        <f>IF('Marks Entry'!BD194="","",'Marks Entry'!BD194)</f>
        <v/>
      </c>
      <c r="EF194" s="590" t="str">
        <f t="shared" si="490"/>
        <v/>
      </c>
      <c r="EG194" s="595">
        <f t="shared" si="491"/>
        <v>0</v>
      </c>
      <c r="EH194" s="595">
        <f t="shared" si="492"/>
        <v>0</v>
      </c>
      <c r="EI194" s="192" t="str">
        <f t="shared" si="493"/>
        <v/>
      </c>
      <c r="EJ194" s="595" t="str">
        <f t="shared" si="494"/>
        <v/>
      </c>
      <c r="EK194" s="595" t="str">
        <f t="shared" si="495"/>
        <v/>
      </c>
      <c r="EL194" s="193" t="str">
        <f t="shared" si="496"/>
        <v/>
      </c>
      <c r="EM194" s="193" t="str">
        <f t="shared" si="497"/>
        <v/>
      </c>
      <c r="EN194" s="193" t="str">
        <f t="shared" si="498"/>
        <v/>
      </c>
      <c r="EO194" s="193" t="str">
        <f t="shared" si="499"/>
        <v/>
      </c>
      <c r="EP194" s="193" t="str">
        <f t="shared" si="500"/>
        <v/>
      </c>
      <c r="EQ194" s="193" t="str">
        <f t="shared" si="501"/>
        <v/>
      </c>
      <c r="ER194" s="194">
        <f t="shared" si="502"/>
        <v>0</v>
      </c>
      <c r="ES194" s="194">
        <f t="shared" si="503"/>
        <v>0</v>
      </c>
      <c r="ET194" s="194">
        <f t="shared" si="504"/>
        <v>0</v>
      </c>
      <c r="EU194" s="194">
        <f t="shared" si="505"/>
        <v>0</v>
      </c>
      <c r="EV194" s="194">
        <f t="shared" si="506"/>
        <v>0</v>
      </c>
      <c r="EW194" s="194" t="str">
        <f t="shared" si="507"/>
        <v/>
      </c>
      <c r="EX194" s="195" t="str">
        <f t="shared" si="508"/>
        <v/>
      </c>
      <c r="EY194" s="196" t="str">
        <f>IF('Marks Entry'!BE194="","",'Marks Entry'!BE194)</f>
        <v/>
      </c>
      <c r="EZ194" s="196" t="str">
        <f>IF('Marks Entry'!BF194="","",'Marks Entry'!BF194)</f>
        <v/>
      </c>
      <c r="FA194" s="196" t="str">
        <f>IF('Marks Entry'!BG194="","",'Marks Entry'!BG194)</f>
        <v/>
      </c>
      <c r="FB194" s="596" t="str">
        <f t="shared" si="509"/>
        <v/>
      </c>
      <c r="FC194" s="196" t="str">
        <f>IF('Marks Entry'!BH194="","",'Marks Entry'!BH194)</f>
        <v/>
      </c>
      <c r="FD194" s="196" t="str">
        <f>IF('Marks Entry'!BI194="","",'Marks Entry'!BI194)</f>
        <v/>
      </c>
      <c r="FE194" s="197" t="str">
        <f t="shared" si="510"/>
        <v/>
      </c>
      <c r="FF194" s="198" t="str">
        <f t="shared" si="511"/>
        <v/>
      </c>
      <c r="FG194" s="199" t="str">
        <f>IF(AND(E194=""),"",IF('Student DATA Entry'!L190="","",'Student DATA Entry'!L190))</f>
        <v/>
      </c>
      <c r="FH194" s="200" t="str">
        <f>IF(AND(E194=""),"",IF('Student DATA Entry'!M190="","",'Student DATA Entry'!M190))</f>
        <v/>
      </c>
      <c r="FI194" s="201" t="str">
        <f t="shared" si="512"/>
        <v/>
      </c>
      <c r="FJ194" s="188" t="str">
        <f t="shared" si="513"/>
        <v/>
      </c>
      <c r="FK194" s="188" t="str">
        <f t="shared" si="514"/>
        <v/>
      </c>
      <c r="FL194" s="202" t="str">
        <f t="shared" si="542"/>
        <v/>
      </c>
      <c r="FM194" s="188" t="str">
        <f t="shared" si="515"/>
        <v/>
      </c>
      <c r="FN194" s="203" t="str">
        <f t="shared" si="516"/>
        <v/>
      </c>
      <c r="FO194" s="202" t="str">
        <f t="shared" si="543"/>
        <v/>
      </c>
      <c r="FP194" s="204" t="str">
        <f t="shared" si="517"/>
        <v/>
      </c>
      <c r="FQ194" s="188" t="str">
        <f t="shared" si="544"/>
        <v/>
      </c>
      <c r="FR194" s="188" t="str">
        <f t="shared" si="545"/>
        <v/>
      </c>
      <c r="FS194" s="188" t="str">
        <f t="shared" si="546"/>
        <v/>
      </c>
      <c r="FT194" s="188" t="str">
        <f t="shared" si="547"/>
        <v/>
      </c>
      <c r="FU194" s="188" t="str">
        <f t="shared" si="518"/>
        <v/>
      </c>
      <c r="FV194" s="205" t="str">
        <f t="shared" si="548"/>
        <v/>
      </c>
      <c r="FW194" s="204" t="str">
        <f t="shared" si="519"/>
        <v/>
      </c>
      <c r="FX194" s="188" t="str">
        <f t="shared" si="549"/>
        <v/>
      </c>
      <c r="FY194" s="188" t="str">
        <f t="shared" si="550"/>
        <v/>
      </c>
      <c r="FZ194" s="188" t="str">
        <f t="shared" si="551"/>
        <v/>
      </c>
      <c r="GA194" s="188" t="str">
        <f t="shared" si="552"/>
        <v/>
      </c>
      <c r="GB194" s="188" t="str">
        <f t="shared" si="520"/>
        <v/>
      </c>
      <c r="GC194" s="205" t="str">
        <f t="shared" si="553"/>
        <v/>
      </c>
      <c r="GD194" s="204" t="str">
        <f t="shared" si="521"/>
        <v/>
      </c>
      <c r="GE194" s="188" t="str">
        <f t="shared" si="554"/>
        <v/>
      </c>
      <c r="GF194" s="188" t="str">
        <f t="shared" si="555"/>
        <v/>
      </c>
      <c r="GG194" s="188" t="str">
        <f t="shared" si="556"/>
        <v/>
      </c>
      <c r="GH194" s="188" t="str">
        <f t="shared" si="557"/>
        <v/>
      </c>
      <c r="GI194" s="188" t="str">
        <f t="shared" si="522"/>
        <v/>
      </c>
      <c r="GJ194" s="205" t="str">
        <f t="shared" si="558"/>
        <v/>
      </c>
      <c r="GK194" s="204" t="str">
        <f t="shared" si="523"/>
        <v/>
      </c>
      <c r="GL194" s="188" t="str">
        <f t="shared" si="559"/>
        <v/>
      </c>
      <c r="GM194" s="188" t="str">
        <f t="shared" si="560"/>
        <v/>
      </c>
      <c r="GN194" s="188" t="str">
        <f t="shared" si="561"/>
        <v/>
      </c>
      <c r="GO194" s="188" t="str">
        <f t="shared" si="562"/>
        <v/>
      </c>
      <c r="GP194" s="188" t="str">
        <f t="shared" si="524"/>
        <v/>
      </c>
      <c r="GQ194" s="205" t="str">
        <f t="shared" si="563"/>
        <v/>
      </c>
      <c r="GR194" s="188" t="str">
        <f t="shared" si="525"/>
        <v/>
      </c>
      <c r="GS194" s="188" t="str">
        <f t="shared" si="526"/>
        <v/>
      </c>
      <c r="GT194" s="206" t="str">
        <f t="shared" si="527"/>
        <v xml:space="preserve">    </v>
      </c>
      <c r="GU194" s="206" t="str">
        <f t="shared" si="528"/>
        <v xml:space="preserve">    </v>
      </c>
      <c r="GV194" s="206" t="str">
        <f t="shared" si="529"/>
        <v xml:space="preserve">    </v>
      </c>
      <c r="GW194" s="206" t="str">
        <f t="shared" si="530"/>
        <v xml:space="preserve">       </v>
      </c>
      <c r="GX194" s="598" t="str">
        <f t="shared" si="531"/>
        <v xml:space="preserve">     </v>
      </c>
      <c r="GY194" s="207" t="str">
        <f t="shared" si="564"/>
        <v/>
      </c>
      <c r="GZ194" s="606" t="str">
        <f>IF(AND(Q194="",AE194="",AZ194="",BW194="",CT194=""),"",IF(AND('Master Sheet'!$D$19="YES",'Marks Entry'!$BA$1=1),SUM(Q194,AE194,AZ194,BW194,DT194),SUM(Q194,AE194,AZ194,BW194,CT194)))</f>
        <v/>
      </c>
      <c r="HA194" s="208" t="str">
        <f>IF(GZ194="","",IF(AND('Master Sheet'!$D$19="YES",'Marks Entry'!$BA$1=1),GZ194/((900)-DC194)*100,GZ194/((1000)-DC194)*100))</f>
        <v/>
      </c>
      <c r="HB194" s="611" t="str">
        <f t="shared" si="532"/>
        <v/>
      </c>
      <c r="HC194" s="609" t="str">
        <f t="shared" si="533"/>
        <v/>
      </c>
      <c r="HD194" s="610" t="str">
        <f t="shared" si="534"/>
        <v/>
      </c>
      <c r="HE194" s="209" t="str">
        <f>IFERROR(IF(OR(GY194="SUPPLEMENTARY",GY194="RE-EXAM"),'Supp. Result Entry'!AS193,""),"")</f>
        <v/>
      </c>
      <c r="HF194" s="613" t="str">
        <f t="shared" si="535"/>
        <v/>
      </c>
      <c r="HG194" s="598" t="str">
        <f t="shared" si="536"/>
        <v/>
      </c>
      <c r="HH194" s="598" t="str">
        <f>IF(AND(HE194="",HF194="",HG194=""),"",IF(OR(GY194="SUPPLEMENTARY",GY194="RE-EXAM"),'Supp. Result Entry'!AS193,GY194))</f>
        <v/>
      </c>
      <c r="HI194" s="179"/>
      <c r="HY194" s="211" t="str">
        <f>IF('Supp. Result Entry'!U193="","",'Supp. Result Entry'!$U$6)</f>
        <v/>
      </c>
      <c r="HZ194" s="212" t="str">
        <f>IF('Supp. Result Entry'!X193="","",'Supp. Result Entry'!$X$6)</f>
        <v/>
      </c>
      <c r="IA194" s="212" t="str">
        <f>IF('Supp. Result Entry'!AA193="","",'Supp. Result Entry'!$AA$6)</f>
        <v/>
      </c>
      <c r="IB194" s="212" t="str">
        <f>IF('Supp. Result Entry'!AD193="","",'Supp. Result Entry'!$AD$6)</f>
        <v/>
      </c>
      <c r="IC194" s="212" t="str">
        <f>IF('Supp. Result Entry'!AG193="","",'Supp. Result Entry'!$AG$6)</f>
        <v/>
      </c>
      <c r="ID194" s="212" t="str">
        <f>IF('Supp. Result Entry'!AJ193="","",'Supp. Result Entry'!$AJ$6)</f>
        <v/>
      </c>
      <c r="IE194" s="212" t="str">
        <f>IF('Supp. Result Entry'!V193="","",'Supp. Result Entry'!V193)</f>
        <v/>
      </c>
      <c r="IF194" s="212" t="str">
        <f>IF('Supp. Result Entry'!Y193="","",'Supp. Result Entry'!Y193)</f>
        <v/>
      </c>
      <c r="IG194" s="212" t="str">
        <f>IF('Supp. Result Entry'!AB193="","",'Supp. Result Entry'!AB193)</f>
        <v/>
      </c>
      <c r="IH194" s="212" t="str">
        <f>IF('Supp. Result Entry'!AE193="","",'Supp. Result Entry'!AE193)</f>
        <v/>
      </c>
      <c r="II194" s="212" t="str">
        <f>IF('Supp. Result Entry'!AH193="","",'Supp. Result Entry'!AH193)</f>
        <v/>
      </c>
      <c r="IJ194" s="212" t="str">
        <f>IF('Supp. Result Entry'!AK193="","",'Supp. Result Entry'!AK193)</f>
        <v/>
      </c>
      <c r="IK194" s="212" t="str">
        <f>IF('Supp. Result Entry'!W193="","",'Supp. Result Entry'!W193)</f>
        <v/>
      </c>
      <c r="IL194" s="212" t="str">
        <f>IF('Supp. Result Entry'!Z193="","",'Supp. Result Entry'!Z193)</f>
        <v/>
      </c>
      <c r="IM194" s="212" t="str">
        <f>IF('Supp. Result Entry'!AC193="","",'Supp. Result Entry'!AC193)</f>
        <v/>
      </c>
      <c r="IN194" s="212" t="str">
        <f>IF('Supp. Result Entry'!AF193="","",'Supp. Result Entry'!AF193)</f>
        <v/>
      </c>
      <c r="IO194" s="212" t="str">
        <f>IF('Supp. Result Entry'!AI193="","",'Supp. Result Entry'!AI193)</f>
        <v/>
      </c>
      <c r="IP194" s="212" t="str">
        <f>IF('Supp. Result Entry'!AL193="","",'Supp. Result Entry'!AL193)</f>
        <v/>
      </c>
      <c r="IQ194" s="212">
        <f>COUNTIF('Supp. Result Entry'!K193:Q193,"S")</f>
        <v>0</v>
      </c>
      <c r="IR194" s="212">
        <f t="shared" si="537"/>
        <v>0</v>
      </c>
      <c r="IS194" s="212">
        <f t="shared" si="538"/>
        <v>0</v>
      </c>
      <c r="IT194" s="212" t="str">
        <f t="shared" si="406"/>
        <v/>
      </c>
      <c r="IU194" s="212" t="str">
        <f t="shared" si="407"/>
        <v/>
      </c>
      <c r="IV194" s="212" t="str">
        <f t="shared" si="408"/>
        <v/>
      </c>
      <c r="IW194" s="212" t="str">
        <f t="shared" si="409"/>
        <v/>
      </c>
      <c r="IX194" s="212" t="str">
        <f t="shared" si="410"/>
        <v/>
      </c>
      <c r="IY194" s="212" t="str">
        <f t="shared" si="539"/>
        <v/>
      </c>
      <c r="IZ194" s="212" t="str">
        <f t="shared" si="540"/>
        <v/>
      </c>
      <c r="JA194" s="212" t="str">
        <f t="shared" si="411"/>
        <v/>
      </c>
      <c r="JB194" s="210" t="str">
        <f t="shared" si="541"/>
        <v/>
      </c>
    </row>
    <row r="195" spans="1:262" s="210" customFormat="1" ht="21" customHeight="1">
      <c r="A195" s="183">
        <v>188</v>
      </c>
      <c r="B195" s="184" t="str">
        <f>IF('Marks Entry'!B195="","",'Marks Entry'!B195)</f>
        <v/>
      </c>
      <c r="C195" s="185" t="str">
        <f>IF('Marks Entry'!D195="","",'Marks Entry'!D195)</f>
        <v/>
      </c>
      <c r="D195" s="186" t="str">
        <f>IF('Marks Entry'!E195="","",'Marks Entry'!E195)</f>
        <v/>
      </c>
      <c r="E195" s="187" t="str">
        <f>IF('Marks Entry'!F195="","",'Marks Entry'!F195)</f>
        <v/>
      </c>
      <c r="F195" s="187" t="str">
        <f>IF('Marks Entry'!G195="","",'Marks Entry'!G195)</f>
        <v/>
      </c>
      <c r="G195" s="187" t="str">
        <f>IF('Marks Entry'!H195="","",'Marks Entry'!H195)</f>
        <v/>
      </c>
      <c r="H195" s="188" t="str">
        <f>IF('Marks Entry'!I195="","",'Marks Entry'!I195)</f>
        <v/>
      </c>
      <c r="I195" s="189" t="str">
        <f>IF('Marks Entry'!J195="","",'Marks Entry'!J195)</f>
        <v/>
      </c>
      <c r="J195" s="545" t="str">
        <f>IF('Marks Entry'!K195="","",'Marks Entry'!K195)</f>
        <v/>
      </c>
      <c r="K195" s="545" t="str">
        <f>IF('Marks Entry'!L195="","",'Marks Entry'!L195)</f>
        <v/>
      </c>
      <c r="L195" s="545" t="str">
        <f>IF('Marks Entry'!M195="","",'Marks Entry'!M195)</f>
        <v/>
      </c>
      <c r="M195" s="546" t="str">
        <f t="shared" si="412"/>
        <v/>
      </c>
      <c r="N195" s="545" t="str">
        <f>IF('Marks Entry'!N195="","",'Marks Entry'!N195)</f>
        <v/>
      </c>
      <c r="O195" s="546" t="str">
        <f t="shared" si="413"/>
        <v/>
      </c>
      <c r="P195" s="545" t="str">
        <f>IF('Marks Entry'!O195="","",'Marks Entry'!O195)</f>
        <v/>
      </c>
      <c r="Q195" s="547" t="str">
        <f t="shared" si="414"/>
        <v/>
      </c>
      <c r="R195" s="152">
        <f t="shared" si="415"/>
        <v>0</v>
      </c>
      <c r="S195" s="152">
        <f t="shared" si="416"/>
        <v>0</v>
      </c>
      <c r="T195" s="153" t="str">
        <f t="shared" si="417"/>
        <v/>
      </c>
      <c r="U195" s="152" t="str">
        <f t="shared" si="418"/>
        <v/>
      </c>
      <c r="V195" s="152" t="str">
        <f t="shared" si="419"/>
        <v/>
      </c>
      <c r="W195" s="152" t="str">
        <f t="shared" si="420"/>
        <v/>
      </c>
      <c r="X195" s="545" t="str">
        <f>IF('Marks Entry'!P195="","",'Marks Entry'!P195)</f>
        <v/>
      </c>
      <c r="Y195" s="545" t="str">
        <f>IF('Marks Entry'!Q195="","",'Marks Entry'!Q195)</f>
        <v/>
      </c>
      <c r="Z195" s="545" t="str">
        <f>IF('Marks Entry'!R195="","",'Marks Entry'!R195)</f>
        <v/>
      </c>
      <c r="AA195" s="546" t="str">
        <f t="shared" si="421"/>
        <v/>
      </c>
      <c r="AB195" s="545" t="str">
        <f>IF('Marks Entry'!S195="","",'Marks Entry'!S195)</f>
        <v/>
      </c>
      <c r="AC195" s="546" t="str">
        <f t="shared" si="422"/>
        <v/>
      </c>
      <c r="AD195" s="545" t="str">
        <f>IF('Marks Entry'!T195="","",'Marks Entry'!T195)</f>
        <v/>
      </c>
      <c r="AE195" s="547" t="str">
        <f t="shared" si="423"/>
        <v/>
      </c>
      <c r="AF195" s="152">
        <f t="shared" si="424"/>
        <v>0</v>
      </c>
      <c r="AG195" s="152">
        <f t="shared" si="425"/>
        <v>0</v>
      </c>
      <c r="AH195" s="153" t="str">
        <f t="shared" si="426"/>
        <v/>
      </c>
      <c r="AI195" s="152" t="str">
        <f t="shared" si="427"/>
        <v/>
      </c>
      <c r="AJ195" s="152" t="str">
        <f t="shared" si="428"/>
        <v/>
      </c>
      <c r="AK195" s="152" t="str">
        <f t="shared" si="429"/>
        <v/>
      </c>
      <c r="AL195" s="573" t="str">
        <f>IF('Marks Entry'!U195="","",'Marks Entry'!U195)</f>
        <v/>
      </c>
      <c r="AM195" s="573" t="str">
        <f>IF('Marks Entry'!V195="","",'Marks Entry'!V195)</f>
        <v/>
      </c>
      <c r="AN195" s="573" t="str">
        <f>IF('Marks Entry'!W195="","",'Marks Entry'!W195)</f>
        <v/>
      </c>
      <c r="AO195" s="573" t="str">
        <f>IF('Marks Entry'!X195="","",'Marks Entry'!X195)</f>
        <v/>
      </c>
      <c r="AP195" s="572" t="str">
        <f t="shared" si="430"/>
        <v/>
      </c>
      <c r="AQ195" s="573" t="str">
        <f>IF('Marks Entry'!Y195="","",'Marks Entry'!Y195)</f>
        <v/>
      </c>
      <c r="AR195" s="573" t="str">
        <f>IF('Marks Entry'!Z195="","",'Marks Entry'!Z195)</f>
        <v/>
      </c>
      <c r="AS195" s="572" t="str">
        <f t="shared" si="431"/>
        <v/>
      </c>
      <c r="AT195" s="572" t="str">
        <f t="shared" si="432"/>
        <v/>
      </c>
      <c r="AU195" s="573" t="str">
        <f>IF('Marks Entry'!AA195="","",'Marks Entry'!AA195)</f>
        <v/>
      </c>
      <c r="AV195" s="573" t="str">
        <f>IF('Marks Entry'!AB195="","",'Marks Entry'!AB195)</f>
        <v/>
      </c>
      <c r="AW195" s="572" t="str">
        <f t="shared" si="433"/>
        <v/>
      </c>
      <c r="AX195" s="156" t="str">
        <f t="shared" si="434"/>
        <v/>
      </c>
      <c r="AY195" s="156" t="str">
        <f t="shared" si="435"/>
        <v/>
      </c>
      <c r="AZ195" s="191" t="str">
        <f t="shared" si="436"/>
        <v/>
      </c>
      <c r="BA195" s="152">
        <f t="shared" si="437"/>
        <v>0</v>
      </c>
      <c r="BB195" s="153">
        <f t="shared" si="438"/>
        <v>0</v>
      </c>
      <c r="BC195" s="153" t="str">
        <f t="shared" si="439"/>
        <v/>
      </c>
      <c r="BD195" s="153" t="str">
        <f t="shared" si="440"/>
        <v/>
      </c>
      <c r="BE195" s="153" t="str">
        <f t="shared" si="441"/>
        <v/>
      </c>
      <c r="BF195" s="152" t="str">
        <f t="shared" si="442"/>
        <v/>
      </c>
      <c r="BG195" s="153" t="str">
        <f t="shared" si="443"/>
        <v/>
      </c>
      <c r="BH195" s="152" t="str">
        <f t="shared" si="444"/>
        <v/>
      </c>
      <c r="BI195" s="580" t="str">
        <f>IF('Marks Entry'!AC195="","",'Marks Entry'!AC195)</f>
        <v/>
      </c>
      <c r="BJ195" s="580" t="str">
        <f>IF('Marks Entry'!AD195="","",'Marks Entry'!AD195)</f>
        <v/>
      </c>
      <c r="BK195" s="580" t="str">
        <f>IF('Marks Entry'!AE195="","",'Marks Entry'!AE195)</f>
        <v/>
      </c>
      <c r="BL195" s="580" t="str">
        <f>IF('Marks Entry'!AF195="","",'Marks Entry'!AF195)</f>
        <v/>
      </c>
      <c r="BM195" s="581" t="str">
        <f t="shared" si="445"/>
        <v/>
      </c>
      <c r="BN195" s="580" t="str">
        <f>IF('Marks Entry'!AG195="","",'Marks Entry'!AG195)</f>
        <v/>
      </c>
      <c r="BO195" s="580" t="str">
        <f>IF('Marks Entry'!AH195="","",'Marks Entry'!AH195)</f>
        <v/>
      </c>
      <c r="BP195" s="581" t="str">
        <f t="shared" si="446"/>
        <v/>
      </c>
      <c r="BQ195" s="581" t="str">
        <f t="shared" si="447"/>
        <v/>
      </c>
      <c r="BR195" s="580" t="str">
        <f>IF('Marks Entry'!AI195="","",'Marks Entry'!AI195)</f>
        <v/>
      </c>
      <c r="BS195" s="580" t="str">
        <f>IF('Marks Entry'!AJ195="","",'Marks Entry'!AJ195)</f>
        <v/>
      </c>
      <c r="BT195" s="581" t="str">
        <f t="shared" si="448"/>
        <v/>
      </c>
      <c r="BU195" s="156" t="str">
        <f t="shared" si="449"/>
        <v/>
      </c>
      <c r="BV195" s="156" t="str">
        <f t="shared" si="450"/>
        <v/>
      </c>
      <c r="BW195" s="191" t="str">
        <f t="shared" si="451"/>
        <v/>
      </c>
      <c r="BX195" s="152">
        <f t="shared" si="452"/>
        <v>0</v>
      </c>
      <c r="BY195" s="153">
        <f t="shared" si="453"/>
        <v>0</v>
      </c>
      <c r="BZ195" s="153" t="str">
        <f t="shared" si="454"/>
        <v/>
      </c>
      <c r="CA195" s="153" t="str">
        <f t="shared" si="455"/>
        <v/>
      </c>
      <c r="CB195" s="153" t="str">
        <f t="shared" si="456"/>
        <v/>
      </c>
      <c r="CC195" s="152" t="str">
        <f t="shared" si="457"/>
        <v/>
      </c>
      <c r="CD195" s="153" t="str">
        <f t="shared" si="458"/>
        <v/>
      </c>
      <c r="CE195" s="152" t="str">
        <f t="shared" si="459"/>
        <v/>
      </c>
      <c r="CF195" s="580" t="str">
        <f>IF('Marks Entry'!AK195="","",'Marks Entry'!AK195)</f>
        <v/>
      </c>
      <c r="CG195" s="580" t="str">
        <f>IF('Marks Entry'!AL195="","",'Marks Entry'!AL195)</f>
        <v/>
      </c>
      <c r="CH195" s="580" t="str">
        <f>IF('Marks Entry'!AM195="","",'Marks Entry'!AM195)</f>
        <v/>
      </c>
      <c r="CI195" s="580" t="str">
        <f>IF('Marks Entry'!AN195="","",'Marks Entry'!AN195)</f>
        <v/>
      </c>
      <c r="CJ195" s="581" t="str">
        <f t="shared" si="460"/>
        <v/>
      </c>
      <c r="CK195" s="580" t="str">
        <f>IF('Marks Entry'!AO195="","",'Marks Entry'!AO195)</f>
        <v/>
      </c>
      <c r="CL195" s="580" t="str">
        <f>IF('Marks Entry'!AP195="","",'Marks Entry'!AP195)</f>
        <v/>
      </c>
      <c r="CM195" s="581" t="str">
        <f t="shared" si="461"/>
        <v/>
      </c>
      <c r="CN195" s="581" t="str">
        <f t="shared" si="462"/>
        <v/>
      </c>
      <c r="CO195" s="580" t="str">
        <f>IF('Marks Entry'!AQ195="","",'Marks Entry'!AQ195)</f>
        <v/>
      </c>
      <c r="CP195" s="580" t="str">
        <f>IF('Marks Entry'!AR195="","",'Marks Entry'!AR195)</f>
        <v/>
      </c>
      <c r="CQ195" s="581" t="str">
        <f t="shared" si="463"/>
        <v/>
      </c>
      <c r="CR195" s="156" t="str">
        <f t="shared" si="464"/>
        <v/>
      </c>
      <c r="CS195" s="156" t="str">
        <f t="shared" si="465"/>
        <v/>
      </c>
      <c r="CT195" s="191" t="str">
        <f t="shared" si="466"/>
        <v/>
      </c>
      <c r="CU195" s="152">
        <f t="shared" si="467"/>
        <v>0</v>
      </c>
      <c r="CV195" s="153">
        <f t="shared" si="468"/>
        <v>0</v>
      </c>
      <c r="CW195" s="153" t="str">
        <f t="shared" si="469"/>
        <v/>
      </c>
      <c r="CX195" s="153" t="str">
        <f t="shared" si="470"/>
        <v/>
      </c>
      <c r="CY195" s="153" t="str">
        <f t="shared" si="471"/>
        <v/>
      </c>
      <c r="CZ195" s="152" t="str">
        <f t="shared" si="472"/>
        <v/>
      </c>
      <c r="DA195" s="153" t="str">
        <f t="shared" si="473"/>
        <v/>
      </c>
      <c r="DB195" s="152" t="str">
        <f t="shared" si="474"/>
        <v/>
      </c>
      <c r="DC195" s="153">
        <f t="shared" si="475"/>
        <v>0</v>
      </c>
      <c r="DD195" s="851" t="str">
        <f>IF('Marks Entry'!AS195="","",IF(OR('Master Sheet'!$D$19="YES",'Marks Entry'!$BA$1=1),'Marks Entry'!AS195,""))</f>
        <v/>
      </c>
      <c r="DE195" s="851" t="str">
        <f>IF('Marks Entry'!AT195="","",IF(OR('Master Sheet'!$D$19="YES",'Marks Entry'!$BA$1=1),'Marks Entry'!AT195,""))</f>
        <v/>
      </c>
      <c r="DF195" s="851" t="str">
        <f>IF('Marks Entry'!AU195="","",IF(OR('Master Sheet'!$D$19="YES",'Marks Entry'!$BA$1=1),'Marks Entry'!AU195,""))</f>
        <v/>
      </c>
      <c r="DG195" s="851" t="str">
        <f>IF('Marks Entry'!AV195="","",IF(OR('Master Sheet'!$D$19="YES",'Marks Entry'!$BA$1=1),'Marks Entry'!AV195,""))</f>
        <v/>
      </c>
      <c r="DH195" s="852" t="str">
        <f t="shared" si="476"/>
        <v/>
      </c>
      <c r="DI195" s="851" t="str">
        <f>IF('Marks Entry'!AW195="","",IF(OR('Master Sheet'!$D$19="YES",'Marks Entry'!$BA$1=1),'Marks Entry'!AW195,""))</f>
        <v/>
      </c>
      <c r="DJ195" s="851" t="str">
        <f>IF('Marks Entry'!AX195="","",IF(OR('Master Sheet'!$D$19="YES",'Marks Entry'!$BA$1=1),'Marks Entry'!AX195,""))</f>
        <v/>
      </c>
      <c r="DK195" s="852" t="str">
        <f t="shared" si="477"/>
        <v/>
      </c>
      <c r="DL195" s="852" t="str">
        <f t="shared" si="478"/>
        <v/>
      </c>
      <c r="DM195" s="851" t="str">
        <f>IF('Marks Entry'!AY195="","",IF(OR('Master Sheet'!$D$19="YES",'Marks Entry'!$BA$1=1),'Marks Entry'!AY195,""))</f>
        <v/>
      </c>
      <c r="DN195" s="851" t="str">
        <f>IF('Marks Entry'!AZ195="","",IF(OR('Master Sheet'!$D$19="YES",'Marks Entry'!$BA$1=1),'Marks Entry'!AZ195,""))</f>
        <v/>
      </c>
      <c r="DO195" s="851" t="str">
        <f>IF('Marks Entry'!BA195="","",IF(OR('Master Sheet'!$D$19="YES",'Marks Entry'!$BA$1=1),'Marks Entry'!BA195,""))</f>
        <v/>
      </c>
      <c r="DP195" s="852" t="str">
        <f t="shared" si="479"/>
        <v/>
      </c>
      <c r="DQ195" s="156" t="str">
        <f t="shared" si="480"/>
        <v/>
      </c>
      <c r="DR195" s="156" t="str">
        <f t="shared" si="481"/>
        <v/>
      </c>
      <c r="DS195" s="156" t="str">
        <f t="shared" si="482"/>
        <v/>
      </c>
      <c r="DT195" s="191" t="str">
        <f t="shared" si="483"/>
        <v/>
      </c>
      <c r="DU195" s="152">
        <f t="shared" si="484"/>
        <v>0</v>
      </c>
      <c r="DV195" s="153">
        <f t="shared" si="485"/>
        <v>0</v>
      </c>
      <c r="DW195" s="153" t="str">
        <f t="shared" si="486"/>
        <v/>
      </c>
      <c r="DX195" s="153" t="str">
        <f>IF(OR($B195="NSO",$B195=0,DS195=""),"",IF(AND(DJ195="",DO195=""),"",IF('Master Sheet'!$D$19="YES",$DO$6-COUNTIF(DO195,"ML")*DO$6,DS$6-(COUNTIF(DJ195,"ML")*DJ$6)-(COUNTIF(DO195,"ML")*DO$6))))</f>
        <v/>
      </c>
      <c r="DY195" s="153" t="str">
        <f>IF(OR($B195="NSO",$B195=0),"",IF(AND(DH195="",DI195="",DM195=""),"",IF(AND('Master Sheet'!$D$19="YES",'Marks Entry'!$BA$1=1),100,IF(AND(DJ195="",DO195=""),SUM(($DQ$7+$DR$7)-(DU195+DV195)),SUM(($DQ$6+$DR$6)-(DU195+DV195))))))</f>
        <v/>
      </c>
      <c r="DZ195" s="152" t="str">
        <f t="shared" si="487"/>
        <v/>
      </c>
      <c r="EA195" s="153" t="str">
        <f t="shared" si="488"/>
        <v/>
      </c>
      <c r="EB195" s="152" t="str">
        <f t="shared" si="489"/>
        <v/>
      </c>
      <c r="EC195" s="584" t="str">
        <f>IF('Marks Entry'!BB195="","",'Marks Entry'!BB195)</f>
        <v/>
      </c>
      <c r="ED195" s="584" t="str">
        <f>IF('Marks Entry'!BC195="","",'Marks Entry'!BC195)</f>
        <v/>
      </c>
      <c r="EE195" s="584" t="str">
        <f>IF('Marks Entry'!BD195="","",'Marks Entry'!BD195)</f>
        <v/>
      </c>
      <c r="EF195" s="590" t="str">
        <f t="shared" si="490"/>
        <v/>
      </c>
      <c r="EG195" s="595">
        <f t="shared" si="491"/>
        <v>0</v>
      </c>
      <c r="EH195" s="595">
        <f t="shared" si="492"/>
        <v>0</v>
      </c>
      <c r="EI195" s="192" t="str">
        <f t="shared" si="493"/>
        <v/>
      </c>
      <c r="EJ195" s="595" t="str">
        <f t="shared" si="494"/>
        <v/>
      </c>
      <c r="EK195" s="595" t="str">
        <f t="shared" si="495"/>
        <v/>
      </c>
      <c r="EL195" s="193" t="str">
        <f t="shared" si="496"/>
        <v/>
      </c>
      <c r="EM195" s="193" t="str">
        <f t="shared" si="497"/>
        <v/>
      </c>
      <c r="EN195" s="193" t="str">
        <f t="shared" si="498"/>
        <v/>
      </c>
      <c r="EO195" s="193" t="str">
        <f t="shared" si="499"/>
        <v/>
      </c>
      <c r="EP195" s="193" t="str">
        <f t="shared" si="500"/>
        <v/>
      </c>
      <c r="EQ195" s="193" t="str">
        <f t="shared" si="501"/>
        <v/>
      </c>
      <c r="ER195" s="194">
        <f t="shared" si="502"/>
        <v>0</v>
      </c>
      <c r="ES195" s="194">
        <f t="shared" si="503"/>
        <v>0</v>
      </c>
      <c r="ET195" s="194">
        <f t="shared" si="504"/>
        <v>0</v>
      </c>
      <c r="EU195" s="194">
        <f t="shared" si="505"/>
        <v>0</v>
      </c>
      <c r="EV195" s="194">
        <f t="shared" si="506"/>
        <v>0</v>
      </c>
      <c r="EW195" s="194" t="str">
        <f t="shared" si="507"/>
        <v/>
      </c>
      <c r="EX195" s="195" t="str">
        <f t="shared" si="508"/>
        <v/>
      </c>
      <c r="EY195" s="196" t="str">
        <f>IF('Marks Entry'!BE195="","",'Marks Entry'!BE195)</f>
        <v/>
      </c>
      <c r="EZ195" s="196" t="str">
        <f>IF('Marks Entry'!BF195="","",'Marks Entry'!BF195)</f>
        <v/>
      </c>
      <c r="FA195" s="196" t="str">
        <f>IF('Marks Entry'!BG195="","",'Marks Entry'!BG195)</f>
        <v/>
      </c>
      <c r="FB195" s="596" t="str">
        <f t="shared" si="509"/>
        <v/>
      </c>
      <c r="FC195" s="196" t="str">
        <f>IF('Marks Entry'!BH195="","",'Marks Entry'!BH195)</f>
        <v/>
      </c>
      <c r="FD195" s="196" t="str">
        <f>IF('Marks Entry'!BI195="","",'Marks Entry'!BI195)</f>
        <v/>
      </c>
      <c r="FE195" s="197" t="str">
        <f t="shared" si="510"/>
        <v/>
      </c>
      <c r="FF195" s="198" t="str">
        <f t="shared" si="511"/>
        <v/>
      </c>
      <c r="FG195" s="199" t="str">
        <f>IF(AND(E195=""),"",IF('Student DATA Entry'!L191="","",'Student DATA Entry'!L191))</f>
        <v/>
      </c>
      <c r="FH195" s="200" t="str">
        <f>IF(AND(E195=""),"",IF('Student DATA Entry'!M191="","",'Student DATA Entry'!M191))</f>
        <v/>
      </c>
      <c r="FI195" s="201" t="str">
        <f t="shared" si="512"/>
        <v/>
      </c>
      <c r="FJ195" s="188" t="str">
        <f t="shared" si="513"/>
        <v/>
      </c>
      <c r="FK195" s="188" t="str">
        <f t="shared" si="514"/>
        <v/>
      </c>
      <c r="FL195" s="202" t="str">
        <f t="shared" si="542"/>
        <v/>
      </c>
      <c r="FM195" s="188" t="str">
        <f t="shared" si="515"/>
        <v/>
      </c>
      <c r="FN195" s="203" t="str">
        <f t="shared" si="516"/>
        <v/>
      </c>
      <c r="FO195" s="202" t="str">
        <f t="shared" si="543"/>
        <v/>
      </c>
      <c r="FP195" s="204" t="str">
        <f t="shared" si="517"/>
        <v/>
      </c>
      <c r="FQ195" s="188" t="str">
        <f t="shared" si="544"/>
        <v/>
      </c>
      <c r="FR195" s="188" t="str">
        <f t="shared" si="545"/>
        <v/>
      </c>
      <c r="FS195" s="188" t="str">
        <f t="shared" si="546"/>
        <v/>
      </c>
      <c r="FT195" s="188" t="str">
        <f t="shared" si="547"/>
        <v/>
      </c>
      <c r="FU195" s="188" t="str">
        <f t="shared" si="518"/>
        <v/>
      </c>
      <c r="FV195" s="205" t="str">
        <f t="shared" si="548"/>
        <v/>
      </c>
      <c r="FW195" s="204" t="str">
        <f t="shared" si="519"/>
        <v/>
      </c>
      <c r="FX195" s="188" t="str">
        <f t="shared" si="549"/>
        <v/>
      </c>
      <c r="FY195" s="188" t="str">
        <f t="shared" si="550"/>
        <v/>
      </c>
      <c r="FZ195" s="188" t="str">
        <f t="shared" si="551"/>
        <v/>
      </c>
      <c r="GA195" s="188" t="str">
        <f t="shared" si="552"/>
        <v/>
      </c>
      <c r="GB195" s="188" t="str">
        <f t="shared" si="520"/>
        <v/>
      </c>
      <c r="GC195" s="205" t="str">
        <f t="shared" si="553"/>
        <v/>
      </c>
      <c r="GD195" s="204" t="str">
        <f t="shared" si="521"/>
        <v/>
      </c>
      <c r="GE195" s="188" t="str">
        <f t="shared" si="554"/>
        <v/>
      </c>
      <c r="GF195" s="188" t="str">
        <f t="shared" si="555"/>
        <v/>
      </c>
      <c r="GG195" s="188" t="str">
        <f t="shared" si="556"/>
        <v/>
      </c>
      <c r="GH195" s="188" t="str">
        <f t="shared" si="557"/>
        <v/>
      </c>
      <c r="GI195" s="188" t="str">
        <f t="shared" si="522"/>
        <v/>
      </c>
      <c r="GJ195" s="205" t="str">
        <f t="shared" si="558"/>
        <v/>
      </c>
      <c r="GK195" s="204" t="str">
        <f t="shared" si="523"/>
        <v/>
      </c>
      <c r="GL195" s="188" t="str">
        <f t="shared" si="559"/>
        <v/>
      </c>
      <c r="GM195" s="188" t="str">
        <f t="shared" si="560"/>
        <v/>
      </c>
      <c r="GN195" s="188" t="str">
        <f t="shared" si="561"/>
        <v/>
      </c>
      <c r="GO195" s="188" t="str">
        <f t="shared" si="562"/>
        <v/>
      </c>
      <c r="GP195" s="188" t="str">
        <f t="shared" si="524"/>
        <v/>
      </c>
      <c r="GQ195" s="205" t="str">
        <f t="shared" si="563"/>
        <v/>
      </c>
      <c r="GR195" s="188" t="str">
        <f t="shared" si="525"/>
        <v/>
      </c>
      <c r="GS195" s="188" t="str">
        <f t="shared" si="526"/>
        <v/>
      </c>
      <c r="GT195" s="206" t="str">
        <f t="shared" si="527"/>
        <v xml:space="preserve">    </v>
      </c>
      <c r="GU195" s="206" t="str">
        <f t="shared" si="528"/>
        <v xml:space="preserve">    </v>
      </c>
      <c r="GV195" s="206" t="str">
        <f t="shared" si="529"/>
        <v xml:space="preserve">    </v>
      </c>
      <c r="GW195" s="206" t="str">
        <f t="shared" si="530"/>
        <v xml:space="preserve">       </v>
      </c>
      <c r="GX195" s="598" t="str">
        <f t="shared" si="531"/>
        <v xml:space="preserve">     </v>
      </c>
      <c r="GY195" s="207" t="str">
        <f t="shared" si="564"/>
        <v/>
      </c>
      <c r="GZ195" s="606" t="str">
        <f>IF(AND(Q195="",AE195="",AZ195="",BW195="",CT195=""),"",IF(AND('Master Sheet'!$D$19="YES",'Marks Entry'!$BA$1=1),SUM(Q195,AE195,AZ195,BW195,DT195),SUM(Q195,AE195,AZ195,BW195,CT195)))</f>
        <v/>
      </c>
      <c r="HA195" s="208" t="str">
        <f>IF(GZ195="","",IF(AND('Master Sheet'!$D$19="YES",'Marks Entry'!$BA$1=1),GZ195/((900)-DC195)*100,GZ195/((1000)-DC195)*100))</f>
        <v/>
      </c>
      <c r="HB195" s="611" t="str">
        <f t="shared" si="532"/>
        <v/>
      </c>
      <c r="HC195" s="609" t="str">
        <f t="shared" si="533"/>
        <v/>
      </c>
      <c r="HD195" s="610" t="str">
        <f t="shared" si="534"/>
        <v/>
      </c>
      <c r="HE195" s="209" t="str">
        <f>IFERROR(IF(OR(GY195="SUPPLEMENTARY",GY195="RE-EXAM"),'Supp. Result Entry'!AS194,""),"")</f>
        <v/>
      </c>
      <c r="HF195" s="613" t="str">
        <f t="shared" si="535"/>
        <v/>
      </c>
      <c r="HG195" s="598" t="str">
        <f t="shared" si="536"/>
        <v/>
      </c>
      <c r="HH195" s="598" t="str">
        <f>IF(AND(HE195="",HF195="",HG195=""),"",IF(OR(GY195="SUPPLEMENTARY",GY195="RE-EXAM"),'Supp. Result Entry'!AS194,GY195))</f>
        <v/>
      </c>
      <c r="HI195" s="179"/>
      <c r="HY195" s="211" t="str">
        <f>IF('Supp. Result Entry'!U194="","",'Supp. Result Entry'!$U$6)</f>
        <v/>
      </c>
      <c r="HZ195" s="212" t="str">
        <f>IF('Supp. Result Entry'!X194="","",'Supp. Result Entry'!$X$6)</f>
        <v/>
      </c>
      <c r="IA195" s="212" t="str">
        <f>IF('Supp. Result Entry'!AA194="","",'Supp. Result Entry'!$AA$6)</f>
        <v/>
      </c>
      <c r="IB195" s="212" t="str">
        <f>IF('Supp. Result Entry'!AD194="","",'Supp. Result Entry'!$AD$6)</f>
        <v/>
      </c>
      <c r="IC195" s="212" t="str">
        <f>IF('Supp. Result Entry'!AG194="","",'Supp. Result Entry'!$AG$6)</f>
        <v/>
      </c>
      <c r="ID195" s="212" t="str">
        <f>IF('Supp. Result Entry'!AJ194="","",'Supp. Result Entry'!$AJ$6)</f>
        <v/>
      </c>
      <c r="IE195" s="212" t="str">
        <f>IF('Supp. Result Entry'!V194="","",'Supp. Result Entry'!V194)</f>
        <v/>
      </c>
      <c r="IF195" s="212" t="str">
        <f>IF('Supp. Result Entry'!Y194="","",'Supp. Result Entry'!Y194)</f>
        <v/>
      </c>
      <c r="IG195" s="212" t="str">
        <f>IF('Supp. Result Entry'!AB194="","",'Supp. Result Entry'!AB194)</f>
        <v/>
      </c>
      <c r="IH195" s="212" t="str">
        <f>IF('Supp. Result Entry'!AE194="","",'Supp. Result Entry'!AE194)</f>
        <v/>
      </c>
      <c r="II195" s="212" t="str">
        <f>IF('Supp. Result Entry'!AH194="","",'Supp. Result Entry'!AH194)</f>
        <v/>
      </c>
      <c r="IJ195" s="212" t="str">
        <f>IF('Supp. Result Entry'!AK194="","",'Supp. Result Entry'!AK194)</f>
        <v/>
      </c>
      <c r="IK195" s="212" t="str">
        <f>IF('Supp. Result Entry'!W194="","",'Supp. Result Entry'!W194)</f>
        <v/>
      </c>
      <c r="IL195" s="212" t="str">
        <f>IF('Supp. Result Entry'!Z194="","",'Supp. Result Entry'!Z194)</f>
        <v/>
      </c>
      <c r="IM195" s="212" t="str">
        <f>IF('Supp. Result Entry'!AC194="","",'Supp. Result Entry'!AC194)</f>
        <v/>
      </c>
      <c r="IN195" s="212" t="str">
        <f>IF('Supp. Result Entry'!AF194="","",'Supp. Result Entry'!AF194)</f>
        <v/>
      </c>
      <c r="IO195" s="212" t="str">
        <f>IF('Supp. Result Entry'!AI194="","",'Supp. Result Entry'!AI194)</f>
        <v/>
      </c>
      <c r="IP195" s="212" t="str">
        <f>IF('Supp. Result Entry'!AL194="","",'Supp. Result Entry'!AL194)</f>
        <v/>
      </c>
      <c r="IQ195" s="212">
        <f>COUNTIF('Supp. Result Entry'!K194:Q194,"S")</f>
        <v>0</v>
      </c>
      <c r="IR195" s="212">
        <f t="shared" si="537"/>
        <v>0</v>
      </c>
      <c r="IS195" s="212">
        <f t="shared" si="538"/>
        <v>0</v>
      </c>
      <c r="IT195" s="212" t="str">
        <f t="shared" si="406"/>
        <v/>
      </c>
      <c r="IU195" s="212" t="str">
        <f t="shared" si="407"/>
        <v/>
      </c>
      <c r="IV195" s="212" t="str">
        <f t="shared" si="408"/>
        <v/>
      </c>
      <c r="IW195" s="212" t="str">
        <f t="shared" si="409"/>
        <v/>
      </c>
      <c r="IX195" s="212" t="str">
        <f t="shared" si="410"/>
        <v/>
      </c>
      <c r="IY195" s="212" t="str">
        <f t="shared" si="539"/>
        <v/>
      </c>
      <c r="IZ195" s="212" t="str">
        <f t="shared" si="540"/>
        <v/>
      </c>
      <c r="JA195" s="212" t="str">
        <f t="shared" si="411"/>
        <v/>
      </c>
      <c r="JB195" s="210" t="str">
        <f t="shared" si="541"/>
        <v/>
      </c>
    </row>
    <row r="196" spans="1:262" s="210" customFormat="1" ht="21" customHeight="1">
      <c r="A196" s="183">
        <v>189</v>
      </c>
      <c r="B196" s="184" t="str">
        <f>IF('Marks Entry'!B196="","",'Marks Entry'!B196)</f>
        <v/>
      </c>
      <c r="C196" s="185" t="str">
        <f>IF('Marks Entry'!D196="","",'Marks Entry'!D196)</f>
        <v/>
      </c>
      <c r="D196" s="186" t="str">
        <f>IF('Marks Entry'!E196="","",'Marks Entry'!E196)</f>
        <v/>
      </c>
      <c r="E196" s="187" t="str">
        <f>IF('Marks Entry'!F196="","",'Marks Entry'!F196)</f>
        <v/>
      </c>
      <c r="F196" s="187" t="str">
        <f>IF('Marks Entry'!G196="","",'Marks Entry'!G196)</f>
        <v/>
      </c>
      <c r="G196" s="187" t="str">
        <f>IF('Marks Entry'!H196="","",'Marks Entry'!H196)</f>
        <v/>
      </c>
      <c r="H196" s="188" t="str">
        <f>IF('Marks Entry'!I196="","",'Marks Entry'!I196)</f>
        <v/>
      </c>
      <c r="I196" s="189" t="str">
        <f>IF('Marks Entry'!J196="","",'Marks Entry'!J196)</f>
        <v/>
      </c>
      <c r="J196" s="545" t="str">
        <f>IF('Marks Entry'!K196="","",'Marks Entry'!K196)</f>
        <v/>
      </c>
      <c r="K196" s="545" t="str">
        <f>IF('Marks Entry'!L196="","",'Marks Entry'!L196)</f>
        <v/>
      </c>
      <c r="L196" s="545" t="str">
        <f>IF('Marks Entry'!M196="","",'Marks Entry'!M196)</f>
        <v/>
      </c>
      <c r="M196" s="546" t="str">
        <f t="shared" si="412"/>
        <v/>
      </c>
      <c r="N196" s="545" t="str">
        <f>IF('Marks Entry'!N196="","",'Marks Entry'!N196)</f>
        <v/>
      </c>
      <c r="O196" s="546" t="str">
        <f t="shared" si="413"/>
        <v/>
      </c>
      <c r="P196" s="545" t="str">
        <f>IF('Marks Entry'!O196="","",'Marks Entry'!O196)</f>
        <v/>
      </c>
      <c r="Q196" s="547" t="str">
        <f t="shared" si="414"/>
        <v/>
      </c>
      <c r="R196" s="152">
        <f t="shared" si="415"/>
        <v>0</v>
      </c>
      <c r="S196" s="152">
        <f t="shared" si="416"/>
        <v>0</v>
      </c>
      <c r="T196" s="153" t="str">
        <f t="shared" si="417"/>
        <v/>
      </c>
      <c r="U196" s="152" t="str">
        <f t="shared" si="418"/>
        <v/>
      </c>
      <c r="V196" s="152" t="str">
        <f t="shared" si="419"/>
        <v/>
      </c>
      <c r="W196" s="152" t="str">
        <f t="shared" si="420"/>
        <v/>
      </c>
      <c r="X196" s="545" t="str">
        <f>IF('Marks Entry'!P196="","",'Marks Entry'!P196)</f>
        <v/>
      </c>
      <c r="Y196" s="545" t="str">
        <f>IF('Marks Entry'!Q196="","",'Marks Entry'!Q196)</f>
        <v/>
      </c>
      <c r="Z196" s="545" t="str">
        <f>IF('Marks Entry'!R196="","",'Marks Entry'!R196)</f>
        <v/>
      </c>
      <c r="AA196" s="546" t="str">
        <f t="shared" si="421"/>
        <v/>
      </c>
      <c r="AB196" s="545" t="str">
        <f>IF('Marks Entry'!S196="","",'Marks Entry'!S196)</f>
        <v/>
      </c>
      <c r="AC196" s="546" t="str">
        <f t="shared" si="422"/>
        <v/>
      </c>
      <c r="AD196" s="545" t="str">
        <f>IF('Marks Entry'!T196="","",'Marks Entry'!T196)</f>
        <v/>
      </c>
      <c r="AE196" s="547" t="str">
        <f t="shared" si="423"/>
        <v/>
      </c>
      <c r="AF196" s="152">
        <f t="shared" si="424"/>
        <v>0</v>
      </c>
      <c r="AG196" s="152">
        <f t="shared" si="425"/>
        <v>0</v>
      </c>
      <c r="AH196" s="153" t="str">
        <f t="shared" si="426"/>
        <v/>
      </c>
      <c r="AI196" s="152" t="str">
        <f t="shared" si="427"/>
        <v/>
      </c>
      <c r="AJ196" s="152" t="str">
        <f t="shared" si="428"/>
        <v/>
      </c>
      <c r="AK196" s="152" t="str">
        <f t="shared" si="429"/>
        <v/>
      </c>
      <c r="AL196" s="573" t="str">
        <f>IF('Marks Entry'!U196="","",'Marks Entry'!U196)</f>
        <v/>
      </c>
      <c r="AM196" s="573" t="str">
        <f>IF('Marks Entry'!V196="","",'Marks Entry'!V196)</f>
        <v/>
      </c>
      <c r="AN196" s="573" t="str">
        <f>IF('Marks Entry'!W196="","",'Marks Entry'!W196)</f>
        <v/>
      </c>
      <c r="AO196" s="573" t="str">
        <f>IF('Marks Entry'!X196="","",'Marks Entry'!X196)</f>
        <v/>
      </c>
      <c r="AP196" s="572" t="str">
        <f t="shared" si="430"/>
        <v/>
      </c>
      <c r="AQ196" s="573" t="str">
        <f>IF('Marks Entry'!Y196="","",'Marks Entry'!Y196)</f>
        <v/>
      </c>
      <c r="AR196" s="573" t="str">
        <f>IF('Marks Entry'!Z196="","",'Marks Entry'!Z196)</f>
        <v/>
      </c>
      <c r="AS196" s="572" t="str">
        <f t="shared" si="431"/>
        <v/>
      </c>
      <c r="AT196" s="572" t="str">
        <f t="shared" si="432"/>
        <v/>
      </c>
      <c r="AU196" s="573" t="str">
        <f>IF('Marks Entry'!AA196="","",'Marks Entry'!AA196)</f>
        <v/>
      </c>
      <c r="AV196" s="573" t="str">
        <f>IF('Marks Entry'!AB196="","",'Marks Entry'!AB196)</f>
        <v/>
      </c>
      <c r="AW196" s="572" t="str">
        <f t="shared" si="433"/>
        <v/>
      </c>
      <c r="AX196" s="156" t="str">
        <f t="shared" si="434"/>
        <v/>
      </c>
      <c r="AY196" s="156" t="str">
        <f t="shared" si="435"/>
        <v/>
      </c>
      <c r="AZ196" s="191" t="str">
        <f t="shared" si="436"/>
        <v/>
      </c>
      <c r="BA196" s="152">
        <f t="shared" si="437"/>
        <v>0</v>
      </c>
      <c r="BB196" s="153">
        <f t="shared" si="438"/>
        <v>0</v>
      </c>
      <c r="BC196" s="153" t="str">
        <f t="shared" si="439"/>
        <v/>
      </c>
      <c r="BD196" s="153" t="str">
        <f t="shared" si="440"/>
        <v/>
      </c>
      <c r="BE196" s="153" t="str">
        <f t="shared" si="441"/>
        <v/>
      </c>
      <c r="BF196" s="152" t="str">
        <f t="shared" si="442"/>
        <v/>
      </c>
      <c r="BG196" s="153" t="str">
        <f t="shared" si="443"/>
        <v/>
      </c>
      <c r="BH196" s="152" t="str">
        <f t="shared" si="444"/>
        <v/>
      </c>
      <c r="BI196" s="580" t="str">
        <f>IF('Marks Entry'!AC196="","",'Marks Entry'!AC196)</f>
        <v/>
      </c>
      <c r="BJ196" s="580" t="str">
        <f>IF('Marks Entry'!AD196="","",'Marks Entry'!AD196)</f>
        <v/>
      </c>
      <c r="BK196" s="580" t="str">
        <f>IF('Marks Entry'!AE196="","",'Marks Entry'!AE196)</f>
        <v/>
      </c>
      <c r="BL196" s="580" t="str">
        <f>IF('Marks Entry'!AF196="","",'Marks Entry'!AF196)</f>
        <v/>
      </c>
      <c r="BM196" s="581" t="str">
        <f t="shared" si="445"/>
        <v/>
      </c>
      <c r="BN196" s="580" t="str">
        <f>IF('Marks Entry'!AG196="","",'Marks Entry'!AG196)</f>
        <v/>
      </c>
      <c r="BO196" s="580" t="str">
        <f>IF('Marks Entry'!AH196="","",'Marks Entry'!AH196)</f>
        <v/>
      </c>
      <c r="BP196" s="581" t="str">
        <f t="shared" si="446"/>
        <v/>
      </c>
      <c r="BQ196" s="581" t="str">
        <f t="shared" si="447"/>
        <v/>
      </c>
      <c r="BR196" s="580" t="str">
        <f>IF('Marks Entry'!AI196="","",'Marks Entry'!AI196)</f>
        <v/>
      </c>
      <c r="BS196" s="580" t="str">
        <f>IF('Marks Entry'!AJ196="","",'Marks Entry'!AJ196)</f>
        <v/>
      </c>
      <c r="BT196" s="581" t="str">
        <f t="shared" si="448"/>
        <v/>
      </c>
      <c r="BU196" s="156" t="str">
        <f t="shared" si="449"/>
        <v/>
      </c>
      <c r="BV196" s="156" t="str">
        <f t="shared" si="450"/>
        <v/>
      </c>
      <c r="BW196" s="191" t="str">
        <f t="shared" si="451"/>
        <v/>
      </c>
      <c r="BX196" s="152">
        <f t="shared" si="452"/>
        <v>0</v>
      </c>
      <c r="BY196" s="153">
        <f t="shared" si="453"/>
        <v>0</v>
      </c>
      <c r="BZ196" s="153" t="str">
        <f t="shared" si="454"/>
        <v/>
      </c>
      <c r="CA196" s="153" t="str">
        <f t="shared" si="455"/>
        <v/>
      </c>
      <c r="CB196" s="153" t="str">
        <f t="shared" si="456"/>
        <v/>
      </c>
      <c r="CC196" s="152" t="str">
        <f t="shared" si="457"/>
        <v/>
      </c>
      <c r="CD196" s="153" t="str">
        <f t="shared" si="458"/>
        <v/>
      </c>
      <c r="CE196" s="152" t="str">
        <f t="shared" si="459"/>
        <v/>
      </c>
      <c r="CF196" s="580" t="str">
        <f>IF('Marks Entry'!AK196="","",'Marks Entry'!AK196)</f>
        <v/>
      </c>
      <c r="CG196" s="580" t="str">
        <f>IF('Marks Entry'!AL196="","",'Marks Entry'!AL196)</f>
        <v/>
      </c>
      <c r="CH196" s="580" t="str">
        <f>IF('Marks Entry'!AM196="","",'Marks Entry'!AM196)</f>
        <v/>
      </c>
      <c r="CI196" s="580" t="str">
        <f>IF('Marks Entry'!AN196="","",'Marks Entry'!AN196)</f>
        <v/>
      </c>
      <c r="CJ196" s="581" t="str">
        <f t="shared" si="460"/>
        <v/>
      </c>
      <c r="CK196" s="580" t="str">
        <f>IF('Marks Entry'!AO196="","",'Marks Entry'!AO196)</f>
        <v/>
      </c>
      <c r="CL196" s="580" t="str">
        <f>IF('Marks Entry'!AP196="","",'Marks Entry'!AP196)</f>
        <v/>
      </c>
      <c r="CM196" s="581" t="str">
        <f t="shared" si="461"/>
        <v/>
      </c>
      <c r="CN196" s="581" t="str">
        <f t="shared" si="462"/>
        <v/>
      </c>
      <c r="CO196" s="580" t="str">
        <f>IF('Marks Entry'!AQ196="","",'Marks Entry'!AQ196)</f>
        <v/>
      </c>
      <c r="CP196" s="580" t="str">
        <f>IF('Marks Entry'!AR196="","",'Marks Entry'!AR196)</f>
        <v/>
      </c>
      <c r="CQ196" s="581" t="str">
        <f t="shared" si="463"/>
        <v/>
      </c>
      <c r="CR196" s="156" t="str">
        <f t="shared" si="464"/>
        <v/>
      </c>
      <c r="CS196" s="156" t="str">
        <f t="shared" si="465"/>
        <v/>
      </c>
      <c r="CT196" s="191" t="str">
        <f t="shared" si="466"/>
        <v/>
      </c>
      <c r="CU196" s="152">
        <f t="shared" si="467"/>
        <v>0</v>
      </c>
      <c r="CV196" s="153">
        <f t="shared" si="468"/>
        <v>0</v>
      </c>
      <c r="CW196" s="153" t="str">
        <f t="shared" si="469"/>
        <v/>
      </c>
      <c r="CX196" s="153" t="str">
        <f t="shared" si="470"/>
        <v/>
      </c>
      <c r="CY196" s="153" t="str">
        <f t="shared" si="471"/>
        <v/>
      </c>
      <c r="CZ196" s="152" t="str">
        <f t="shared" si="472"/>
        <v/>
      </c>
      <c r="DA196" s="153" t="str">
        <f t="shared" si="473"/>
        <v/>
      </c>
      <c r="DB196" s="152" t="str">
        <f t="shared" si="474"/>
        <v/>
      </c>
      <c r="DC196" s="153">
        <f t="shared" si="475"/>
        <v>0</v>
      </c>
      <c r="DD196" s="851" t="str">
        <f>IF('Marks Entry'!AS196="","",IF(OR('Master Sheet'!$D$19="YES",'Marks Entry'!$BA$1=1),'Marks Entry'!AS196,""))</f>
        <v/>
      </c>
      <c r="DE196" s="851" t="str">
        <f>IF('Marks Entry'!AT196="","",IF(OR('Master Sheet'!$D$19="YES",'Marks Entry'!$BA$1=1),'Marks Entry'!AT196,""))</f>
        <v/>
      </c>
      <c r="DF196" s="851" t="str">
        <f>IF('Marks Entry'!AU196="","",IF(OR('Master Sheet'!$D$19="YES",'Marks Entry'!$BA$1=1),'Marks Entry'!AU196,""))</f>
        <v/>
      </c>
      <c r="DG196" s="851" t="str">
        <f>IF('Marks Entry'!AV196="","",IF(OR('Master Sheet'!$D$19="YES",'Marks Entry'!$BA$1=1),'Marks Entry'!AV196,""))</f>
        <v/>
      </c>
      <c r="DH196" s="852" t="str">
        <f t="shared" si="476"/>
        <v/>
      </c>
      <c r="DI196" s="851" t="str">
        <f>IF('Marks Entry'!AW196="","",IF(OR('Master Sheet'!$D$19="YES",'Marks Entry'!$BA$1=1),'Marks Entry'!AW196,""))</f>
        <v/>
      </c>
      <c r="DJ196" s="851" t="str">
        <f>IF('Marks Entry'!AX196="","",IF(OR('Master Sheet'!$D$19="YES",'Marks Entry'!$BA$1=1),'Marks Entry'!AX196,""))</f>
        <v/>
      </c>
      <c r="DK196" s="852" t="str">
        <f t="shared" si="477"/>
        <v/>
      </c>
      <c r="DL196" s="852" t="str">
        <f t="shared" si="478"/>
        <v/>
      </c>
      <c r="DM196" s="851" t="str">
        <f>IF('Marks Entry'!AY196="","",IF(OR('Master Sheet'!$D$19="YES",'Marks Entry'!$BA$1=1),'Marks Entry'!AY196,""))</f>
        <v/>
      </c>
      <c r="DN196" s="851" t="str">
        <f>IF('Marks Entry'!AZ196="","",IF(OR('Master Sheet'!$D$19="YES",'Marks Entry'!$BA$1=1),'Marks Entry'!AZ196,""))</f>
        <v/>
      </c>
      <c r="DO196" s="851" t="str">
        <f>IF('Marks Entry'!BA196="","",IF(OR('Master Sheet'!$D$19="YES",'Marks Entry'!$BA$1=1),'Marks Entry'!BA196,""))</f>
        <v/>
      </c>
      <c r="DP196" s="852" t="str">
        <f t="shared" si="479"/>
        <v/>
      </c>
      <c r="DQ196" s="156" t="str">
        <f t="shared" si="480"/>
        <v/>
      </c>
      <c r="DR196" s="156" t="str">
        <f t="shared" si="481"/>
        <v/>
      </c>
      <c r="DS196" s="156" t="str">
        <f t="shared" si="482"/>
        <v/>
      </c>
      <c r="DT196" s="191" t="str">
        <f t="shared" si="483"/>
        <v/>
      </c>
      <c r="DU196" s="152">
        <f t="shared" si="484"/>
        <v>0</v>
      </c>
      <c r="DV196" s="153">
        <f t="shared" si="485"/>
        <v>0</v>
      </c>
      <c r="DW196" s="153" t="str">
        <f t="shared" si="486"/>
        <v/>
      </c>
      <c r="DX196" s="153" t="str">
        <f>IF(OR($B196="NSO",$B196=0,DS196=""),"",IF(AND(DJ196="",DO196=""),"",IF('Master Sheet'!$D$19="YES",$DO$6-COUNTIF(DO196,"ML")*DO$6,DS$6-(COUNTIF(DJ196,"ML")*DJ$6)-(COUNTIF(DO196,"ML")*DO$6))))</f>
        <v/>
      </c>
      <c r="DY196" s="153" t="str">
        <f>IF(OR($B196="NSO",$B196=0),"",IF(AND(DH196="",DI196="",DM196=""),"",IF(AND('Master Sheet'!$D$19="YES",'Marks Entry'!$BA$1=1),100,IF(AND(DJ196="",DO196=""),SUM(($DQ$7+$DR$7)-(DU196+DV196)),SUM(($DQ$6+$DR$6)-(DU196+DV196))))))</f>
        <v/>
      </c>
      <c r="DZ196" s="152" t="str">
        <f t="shared" si="487"/>
        <v/>
      </c>
      <c r="EA196" s="153" t="str">
        <f t="shared" si="488"/>
        <v/>
      </c>
      <c r="EB196" s="152" t="str">
        <f t="shared" si="489"/>
        <v/>
      </c>
      <c r="EC196" s="584" t="str">
        <f>IF('Marks Entry'!BB196="","",'Marks Entry'!BB196)</f>
        <v/>
      </c>
      <c r="ED196" s="584" t="str">
        <f>IF('Marks Entry'!BC196="","",'Marks Entry'!BC196)</f>
        <v/>
      </c>
      <c r="EE196" s="584" t="str">
        <f>IF('Marks Entry'!BD196="","",'Marks Entry'!BD196)</f>
        <v/>
      </c>
      <c r="EF196" s="590" t="str">
        <f t="shared" si="490"/>
        <v/>
      </c>
      <c r="EG196" s="595">
        <f t="shared" si="491"/>
        <v>0</v>
      </c>
      <c r="EH196" s="595">
        <f t="shared" si="492"/>
        <v>0</v>
      </c>
      <c r="EI196" s="192" t="str">
        <f t="shared" si="493"/>
        <v/>
      </c>
      <c r="EJ196" s="595" t="str">
        <f t="shared" si="494"/>
        <v/>
      </c>
      <c r="EK196" s="595" t="str">
        <f t="shared" si="495"/>
        <v/>
      </c>
      <c r="EL196" s="193" t="str">
        <f t="shared" si="496"/>
        <v/>
      </c>
      <c r="EM196" s="193" t="str">
        <f t="shared" si="497"/>
        <v/>
      </c>
      <c r="EN196" s="193" t="str">
        <f t="shared" si="498"/>
        <v/>
      </c>
      <c r="EO196" s="193" t="str">
        <f t="shared" si="499"/>
        <v/>
      </c>
      <c r="EP196" s="193" t="str">
        <f t="shared" si="500"/>
        <v/>
      </c>
      <c r="EQ196" s="193" t="str">
        <f t="shared" si="501"/>
        <v/>
      </c>
      <c r="ER196" s="194">
        <f t="shared" si="502"/>
        <v>0</v>
      </c>
      <c r="ES196" s="194">
        <f t="shared" si="503"/>
        <v>0</v>
      </c>
      <c r="ET196" s="194">
        <f t="shared" si="504"/>
        <v>0</v>
      </c>
      <c r="EU196" s="194">
        <f t="shared" si="505"/>
        <v>0</v>
      </c>
      <c r="EV196" s="194">
        <f t="shared" si="506"/>
        <v>0</v>
      </c>
      <c r="EW196" s="194" t="str">
        <f t="shared" si="507"/>
        <v/>
      </c>
      <c r="EX196" s="195" t="str">
        <f t="shared" si="508"/>
        <v/>
      </c>
      <c r="EY196" s="196" t="str">
        <f>IF('Marks Entry'!BE196="","",'Marks Entry'!BE196)</f>
        <v/>
      </c>
      <c r="EZ196" s="196" t="str">
        <f>IF('Marks Entry'!BF196="","",'Marks Entry'!BF196)</f>
        <v/>
      </c>
      <c r="FA196" s="196" t="str">
        <f>IF('Marks Entry'!BG196="","",'Marks Entry'!BG196)</f>
        <v/>
      </c>
      <c r="FB196" s="596" t="str">
        <f t="shared" si="509"/>
        <v/>
      </c>
      <c r="FC196" s="196" t="str">
        <f>IF('Marks Entry'!BH196="","",'Marks Entry'!BH196)</f>
        <v/>
      </c>
      <c r="FD196" s="196" t="str">
        <f>IF('Marks Entry'!BI196="","",'Marks Entry'!BI196)</f>
        <v/>
      </c>
      <c r="FE196" s="197" t="str">
        <f t="shared" si="510"/>
        <v/>
      </c>
      <c r="FF196" s="198" t="str">
        <f t="shared" si="511"/>
        <v/>
      </c>
      <c r="FG196" s="199" t="str">
        <f>IF(AND(E196=""),"",IF('Student DATA Entry'!L192="","",'Student DATA Entry'!L192))</f>
        <v/>
      </c>
      <c r="FH196" s="200" t="str">
        <f>IF(AND(E196=""),"",IF('Student DATA Entry'!M192="","",'Student DATA Entry'!M192))</f>
        <v/>
      </c>
      <c r="FI196" s="201" t="str">
        <f t="shared" si="512"/>
        <v/>
      </c>
      <c r="FJ196" s="188" t="str">
        <f t="shared" si="513"/>
        <v/>
      </c>
      <c r="FK196" s="188" t="str">
        <f t="shared" si="514"/>
        <v/>
      </c>
      <c r="FL196" s="202" t="str">
        <f t="shared" si="542"/>
        <v/>
      </c>
      <c r="FM196" s="188" t="str">
        <f t="shared" si="515"/>
        <v/>
      </c>
      <c r="FN196" s="203" t="str">
        <f t="shared" si="516"/>
        <v/>
      </c>
      <c r="FO196" s="202" t="str">
        <f t="shared" si="543"/>
        <v/>
      </c>
      <c r="FP196" s="204" t="str">
        <f t="shared" si="517"/>
        <v/>
      </c>
      <c r="FQ196" s="188" t="str">
        <f t="shared" si="544"/>
        <v/>
      </c>
      <c r="FR196" s="188" t="str">
        <f t="shared" si="545"/>
        <v/>
      </c>
      <c r="FS196" s="188" t="str">
        <f t="shared" si="546"/>
        <v/>
      </c>
      <c r="FT196" s="188" t="str">
        <f t="shared" si="547"/>
        <v/>
      </c>
      <c r="FU196" s="188" t="str">
        <f t="shared" si="518"/>
        <v/>
      </c>
      <c r="FV196" s="205" t="str">
        <f t="shared" si="548"/>
        <v/>
      </c>
      <c r="FW196" s="204" t="str">
        <f t="shared" si="519"/>
        <v/>
      </c>
      <c r="FX196" s="188" t="str">
        <f t="shared" si="549"/>
        <v/>
      </c>
      <c r="FY196" s="188" t="str">
        <f t="shared" si="550"/>
        <v/>
      </c>
      <c r="FZ196" s="188" t="str">
        <f t="shared" si="551"/>
        <v/>
      </c>
      <c r="GA196" s="188" t="str">
        <f t="shared" si="552"/>
        <v/>
      </c>
      <c r="GB196" s="188" t="str">
        <f t="shared" si="520"/>
        <v/>
      </c>
      <c r="GC196" s="205" t="str">
        <f t="shared" si="553"/>
        <v/>
      </c>
      <c r="GD196" s="204" t="str">
        <f t="shared" si="521"/>
        <v/>
      </c>
      <c r="GE196" s="188" t="str">
        <f t="shared" si="554"/>
        <v/>
      </c>
      <c r="GF196" s="188" t="str">
        <f t="shared" si="555"/>
        <v/>
      </c>
      <c r="GG196" s="188" t="str">
        <f t="shared" si="556"/>
        <v/>
      </c>
      <c r="GH196" s="188" t="str">
        <f t="shared" si="557"/>
        <v/>
      </c>
      <c r="GI196" s="188" t="str">
        <f t="shared" si="522"/>
        <v/>
      </c>
      <c r="GJ196" s="205" t="str">
        <f t="shared" si="558"/>
        <v/>
      </c>
      <c r="GK196" s="204" t="str">
        <f t="shared" si="523"/>
        <v/>
      </c>
      <c r="GL196" s="188" t="str">
        <f t="shared" si="559"/>
        <v/>
      </c>
      <c r="GM196" s="188" t="str">
        <f t="shared" si="560"/>
        <v/>
      </c>
      <c r="GN196" s="188" t="str">
        <f t="shared" si="561"/>
        <v/>
      </c>
      <c r="GO196" s="188" t="str">
        <f t="shared" si="562"/>
        <v/>
      </c>
      <c r="GP196" s="188" t="str">
        <f t="shared" si="524"/>
        <v/>
      </c>
      <c r="GQ196" s="205" t="str">
        <f t="shared" si="563"/>
        <v/>
      </c>
      <c r="GR196" s="188" t="str">
        <f t="shared" si="525"/>
        <v/>
      </c>
      <c r="GS196" s="188" t="str">
        <f t="shared" si="526"/>
        <v/>
      </c>
      <c r="GT196" s="206" t="str">
        <f t="shared" si="527"/>
        <v xml:space="preserve">    </v>
      </c>
      <c r="GU196" s="206" t="str">
        <f t="shared" si="528"/>
        <v xml:space="preserve">    </v>
      </c>
      <c r="GV196" s="206" t="str">
        <f t="shared" si="529"/>
        <v xml:space="preserve">    </v>
      </c>
      <c r="GW196" s="206" t="str">
        <f t="shared" si="530"/>
        <v xml:space="preserve">       </v>
      </c>
      <c r="GX196" s="598" t="str">
        <f t="shared" si="531"/>
        <v xml:space="preserve">     </v>
      </c>
      <c r="GY196" s="207" t="str">
        <f t="shared" si="564"/>
        <v/>
      </c>
      <c r="GZ196" s="606" t="str">
        <f>IF(AND(Q196="",AE196="",AZ196="",BW196="",CT196=""),"",IF(AND('Master Sheet'!$D$19="YES",'Marks Entry'!$BA$1=1),SUM(Q196,AE196,AZ196,BW196,DT196),SUM(Q196,AE196,AZ196,BW196,CT196)))</f>
        <v/>
      </c>
      <c r="HA196" s="208" t="str">
        <f>IF(GZ196="","",IF(AND('Master Sheet'!$D$19="YES",'Marks Entry'!$BA$1=1),GZ196/((900)-DC196)*100,GZ196/((1000)-DC196)*100))</f>
        <v/>
      </c>
      <c r="HB196" s="611" t="str">
        <f t="shared" si="532"/>
        <v/>
      </c>
      <c r="HC196" s="609" t="str">
        <f t="shared" si="533"/>
        <v/>
      </c>
      <c r="HD196" s="610" t="str">
        <f t="shared" si="534"/>
        <v/>
      </c>
      <c r="HE196" s="209" t="str">
        <f>IFERROR(IF(OR(GY196="SUPPLEMENTARY",GY196="RE-EXAM"),'Supp. Result Entry'!AS195,""),"")</f>
        <v/>
      </c>
      <c r="HF196" s="613" t="str">
        <f t="shared" si="535"/>
        <v/>
      </c>
      <c r="HG196" s="598" t="str">
        <f t="shared" si="536"/>
        <v/>
      </c>
      <c r="HH196" s="598" t="str">
        <f>IF(AND(HE196="",HF196="",HG196=""),"",IF(OR(GY196="SUPPLEMENTARY",GY196="RE-EXAM"),'Supp. Result Entry'!AS195,GY196))</f>
        <v/>
      </c>
      <c r="HI196" s="179"/>
      <c r="HY196" s="211" t="str">
        <f>IF('Supp. Result Entry'!U195="","",'Supp. Result Entry'!$U$6)</f>
        <v/>
      </c>
      <c r="HZ196" s="212" t="str">
        <f>IF('Supp. Result Entry'!X195="","",'Supp. Result Entry'!$X$6)</f>
        <v/>
      </c>
      <c r="IA196" s="212" t="str">
        <f>IF('Supp. Result Entry'!AA195="","",'Supp. Result Entry'!$AA$6)</f>
        <v/>
      </c>
      <c r="IB196" s="212" t="str">
        <f>IF('Supp. Result Entry'!AD195="","",'Supp. Result Entry'!$AD$6)</f>
        <v/>
      </c>
      <c r="IC196" s="212" t="str">
        <f>IF('Supp. Result Entry'!AG195="","",'Supp. Result Entry'!$AG$6)</f>
        <v/>
      </c>
      <c r="ID196" s="212" t="str">
        <f>IF('Supp. Result Entry'!AJ195="","",'Supp. Result Entry'!$AJ$6)</f>
        <v/>
      </c>
      <c r="IE196" s="212" t="str">
        <f>IF('Supp. Result Entry'!V195="","",'Supp. Result Entry'!V195)</f>
        <v/>
      </c>
      <c r="IF196" s="212" t="str">
        <f>IF('Supp. Result Entry'!Y195="","",'Supp. Result Entry'!Y195)</f>
        <v/>
      </c>
      <c r="IG196" s="212" t="str">
        <f>IF('Supp. Result Entry'!AB195="","",'Supp. Result Entry'!AB195)</f>
        <v/>
      </c>
      <c r="IH196" s="212" t="str">
        <f>IF('Supp. Result Entry'!AE195="","",'Supp. Result Entry'!AE195)</f>
        <v/>
      </c>
      <c r="II196" s="212" t="str">
        <f>IF('Supp. Result Entry'!AH195="","",'Supp. Result Entry'!AH195)</f>
        <v/>
      </c>
      <c r="IJ196" s="212" t="str">
        <f>IF('Supp. Result Entry'!AK195="","",'Supp. Result Entry'!AK195)</f>
        <v/>
      </c>
      <c r="IK196" s="212" t="str">
        <f>IF('Supp. Result Entry'!W195="","",'Supp. Result Entry'!W195)</f>
        <v/>
      </c>
      <c r="IL196" s="212" t="str">
        <f>IF('Supp. Result Entry'!Z195="","",'Supp. Result Entry'!Z195)</f>
        <v/>
      </c>
      <c r="IM196" s="212" t="str">
        <f>IF('Supp. Result Entry'!AC195="","",'Supp. Result Entry'!AC195)</f>
        <v/>
      </c>
      <c r="IN196" s="212" t="str">
        <f>IF('Supp. Result Entry'!AF195="","",'Supp. Result Entry'!AF195)</f>
        <v/>
      </c>
      <c r="IO196" s="212" t="str">
        <f>IF('Supp. Result Entry'!AI195="","",'Supp. Result Entry'!AI195)</f>
        <v/>
      </c>
      <c r="IP196" s="212" t="str">
        <f>IF('Supp. Result Entry'!AL195="","",'Supp. Result Entry'!AL195)</f>
        <v/>
      </c>
      <c r="IQ196" s="212">
        <f>COUNTIF('Supp. Result Entry'!K195:Q195,"S")</f>
        <v>0</v>
      </c>
      <c r="IR196" s="212">
        <f t="shared" si="537"/>
        <v>0</v>
      </c>
      <c r="IS196" s="212">
        <f t="shared" si="538"/>
        <v>0</v>
      </c>
      <c r="IT196" s="212" t="str">
        <f t="shared" si="406"/>
        <v/>
      </c>
      <c r="IU196" s="212" t="str">
        <f t="shared" si="407"/>
        <v/>
      </c>
      <c r="IV196" s="212" t="str">
        <f t="shared" si="408"/>
        <v/>
      </c>
      <c r="IW196" s="212" t="str">
        <f t="shared" si="409"/>
        <v/>
      </c>
      <c r="IX196" s="212" t="str">
        <f t="shared" si="410"/>
        <v/>
      </c>
      <c r="IY196" s="212" t="str">
        <f t="shared" si="539"/>
        <v/>
      </c>
      <c r="IZ196" s="212" t="str">
        <f t="shared" si="540"/>
        <v/>
      </c>
      <c r="JA196" s="212" t="str">
        <f t="shared" si="411"/>
        <v/>
      </c>
      <c r="JB196" s="210" t="str">
        <f t="shared" si="541"/>
        <v/>
      </c>
    </row>
    <row r="197" spans="1:262" s="210" customFormat="1" ht="21" customHeight="1">
      <c r="A197" s="183">
        <v>190</v>
      </c>
      <c r="B197" s="184" t="str">
        <f>IF('Marks Entry'!B197="","",'Marks Entry'!B197)</f>
        <v/>
      </c>
      <c r="C197" s="185" t="str">
        <f>IF('Marks Entry'!D197="","",'Marks Entry'!D197)</f>
        <v/>
      </c>
      <c r="D197" s="186" t="str">
        <f>IF('Marks Entry'!E197="","",'Marks Entry'!E197)</f>
        <v/>
      </c>
      <c r="E197" s="187" t="str">
        <f>IF('Marks Entry'!F197="","",'Marks Entry'!F197)</f>
        <v/>
      </c>
      <c r="F197" s="187" t="str">
        <f>IF('Marks Entry'!G197="","",'Marks Entry'!G197)</f>
        <v/>
      </c>
      <c r="G197" s="187" t="str">
        <f>IF('Marks Entry'!H197="","",'Marks Entry'!H197)</f>
        <v/>
      </c>
      <c r="H197" s="188" t="str">
        <f>IF('Marks Entry'!I197="","",'Marks Entry'!I197)</f>
        <v/>
      </c>
      <c r="I197" s="189" t="str">
        <f>IF('Marks Entry'!J197="","",'Marks Entry'!J197)</f>
        <v/>
      </c>
      <c r="J197" s="545" t="str">
        <f>IF('Marks Entry'!K197="","",'Marks Entry'!K197)</f>
        <v/>
      </c>
      <c r="K197" s="545" t="str">
        <f>IF('Marks Entry'!L197="","",'Marks Entry'!L197)</f>
        <v/>
      </c>
      <c r="L197" s="545" t="str">
        <f>IF('Marks Entry'!M197="","",'Marks Entry'!M197)</f>
        <v/>
      </c>
      <c r="M197" s="546" t="str">
        <f t="shared" si="412"/>
        <v/>
      </c>
      <c r="N197" s="545" t="str">
        <f>IF('Marks Entry'!N197="","",'Marks Entry'!N197)</f>
        <v/>
      </c>
      <c r="O197" s="546" t="str">
        <f t="shared" si="413"/>
        <v/>
      </c>
      <c r="P197" s="545" t="str">
        <f>IF('Marks Entry'!O197="","",'Marks Entry'!O197)</f>
        <v/>
      </c>
      <c r="Q197" s="547" t="str">
        <f t="shared" si="414"/>
        <v/>
      </c>
      <c r="R197" s="152">
        <f t="shared" si="415"/>
        <v>0</v>
      </c>
      <c r="S197" s="152">
        <f t="shared" si="416"/>
        <v>0</v>
      </c>
      <c r="T197" s="153" t="str">
        <f t="shared" si="417"/>
        <v/>
      </c>
      <c r="U197" s="152" t="str">
        <f t="shared" si="418"/>
        <v/>
      </c>
      <c r="V197" s="152" t="str">
        <f t="shared" si="419"/>
        <v/>
      </c>
      <c r="W197" s="152" t="str">
        <f t="shared" si="420"/>
        <v/>
      </c>
      <c r="X197" s="545" t="str">
        <f>IF('Marks Entry'!P197="","",'Marks Entry'!P197)</f>
        <v/>
      </c>
      <c r="Y197" s="545" t="str">
        <f>IF('Marks Entry'!Q197="","",'Marks Entry'!Q197)</f>
        <v/>
      </c>
      <c r="Z197" s="545" t="str">
        <f>IF('Marks Entry'!R197="","",'Marks Entry'!R197)</f>
        <v/>
      </c>
      <c r="AA197" s="546" t="str">
        <f t="shared" si="421"/>
        <v/>
      </c>
      <c r="AB197" s="545" t="str">
        <f>IF('Marks Entry'!S197="","",'Marks Entry'!S197)</f>
        <v/>
      </c>
      <c r="AC197" s="546" t="str">
        <f t="shared" si="422"/>
        <v/>
      </c>
      <c r="AD197" s="545" t="str">
        <f>IF('Marks Entry'!T197="","",'Marks Entry'!T197)</f>
        <v/>
      </c>
      <c r="AE197" s="547" t="str">
        <f t="shared" si="423"/>
        <v/>
      </c>
      <c r="AF197" s="152">
        <f t="shared" si="424"/>
        <v>0</v>
      </c>
      <c r="AG197" s="152">
        <f t="shared" si="425"/>
        <v>0</v>
      </c>
      <c r="AH197" s="153" t="str">
        <f t="shared" si="426"/>
        <v/>
      </c>
      <c r="AI197" s="152" t="str">
        <f t="shared" si="427"/>
        <v/>
      </c>
      <c r="AJ197" s="152" t="str">
        <f t="shared" si="428"/>
        <v/>
      </c>
      <c r="AK197" s="152" t="str">
        <f t="shared" si="429"/>
        <v/>
      </c>
      <c r="AL197" s="573" t="str">
        <f>IF('Marks Entry'!U197="","",'Marks Entry'!U197)</f>
        <v/>
      </c>
      <c r="AM197" s="573" t="str">
        <f>IF('Marks Entry'!V197="","",'Marks Entry'!V197)</f>
        <v/>
      </c>
      <c r="AN197" s="573" t="str">
        <f>IF('Marks Entry'!W197="","",'Marks Entry'!W197)</f>
        <v/>
      </c>
      <c r="AO197" s="573" t="str">
        <f>IF('Marks Entry'!X197="","",'Marks Entry'!X197)</f>
        <v/>
      </c>
      <c r="AP197" s="572" t="str">
        <f t="shared" si="430"/>
        <v/>
      </c>
      <c r="AQ197" s="573" t="str">
        <f>IF('Marks Entry'!Y197="","",'Marks Entry'!Y197)</f>
        <v/>
      </c>
      <c r="AR197" s="573" t="str">
        <f>IF('Marks Entry'!Z197="","",'Marks Entry'!Z197)</f>
        <v/>
      </c>
      <c r="AS197" s="572" t="str">
        <f t="shared" si="431"/>
        <v/>
      </c>
      <c r="AT197" s="572" t="str">
        <f t="shared" si="432"/>
        <v/>
      </c>
      <c r="AU197" s="573" t="str">
        <f>IF('Marks Entry'!AA197="","",'Marks Entry'!AA197)</f>
        <v/>
      </c>
      <c r="AV197" s="573" t="str">
        <f>IF('Marks Entry'!AB197="","",'Marks Entry'!AB197)</f>
        <v/>
      </c>
      <c r="AW197" s="572" t="str">
        <f t="shared" si="433"/>
        <v/>
      </c>
      <c r="AX197" s="156" t="str">
        <f t="shared" si="434"/>
        <v/>
      </c>
      <c r="AY197" s="156" t="str">
        <f t="shared" si="435"/>
        <v/>
      </c>
      <c r="AZ197" s="191" t="str">
        <f t="shared" si="436"/>
        <v/>
      </c>
      <c r="BA197" s="152">
        <f t="shared" si="437"/>
        <v>0</v>
      </c>
      <c r="BB197" s="153">
        <f t="shared" si="438"/>
        <v>0</v>
      </c>
      <c r="BC197" s="153" t="str">
        <f t="shared" si="439"/>
        <v/>
      </c>
      <c r="BD197" s="153" t="str">
        <f t="shared" si="440"/>
        <v/>
      </c>
      <c r="BE197" s="153" t="str">
        <f t="shared" si="441"/>
        <v/>
      </c>
      <c r="BF197" s="152" t="str">
        <f t="shared" si="442"/>
        <v/>
      </c>
      <c r="BG197" s="153" t="str">
        <f t="shared" si="443"/>
        <v/>
      </c>
      <c r="BH197" s="152" t="str">
        <f t="shared" si="444"/>
        <v/>
      </c>
      <c r="BI197" s="580" t="str">
        <f>IF('Marks Entry'!AC197="","",'Marks Entry'!AC197)</f>
        <v/>
      </c>
      <c r="BJ197" s="580" t="str">
        <f>IF('Marks Entry'!AD197="","",'Marks Entry'!AD197)</f>
        <v/>
      </c>
      <c r="BK197" s="580" t="str">
        <f>IF('Marks Entry'!AE197="","",'Marks Entry'!AE197)</f>
        <v/>
      </c>
      <c r="BL197" s="580" t="str">
        <f>IF('Marks Entry'!AF197="","",'Marks Entry'!AF197)</f>
        <v/>
      </c>
      <c r="BM197" s="581" t="str">
        <f t="shared" si="445"/>
        <v/>
      </c>
      <c r="BN197" s="580" t="str">
        <f>IF('Marks Entry'!AG197="","",'Marks Entry'!AG197)</f>
        <v/>
      </c>
      <c r="BO197" s="580" t="str">
        <f>IF('Marks Entry'!AH197="","",'Marks Entry'!AH197)</f>
        <v/>
      </c>
      <c r="BP197" s="581" t="str">
        <f t="shared" si="446"/>
        <v/>
      </c>
      <c r="BQ197" s="581" t="str">
        <f t="shared" si="447"/>
        <v/>
      </c>
      <c r="BR197" s="580" t="str">
        <f>IF('Marks Entry'!AI197="","",'Marks Entry'!AI197)</f>
        <v/>
      </c>
      <c r="BS197" s="580" t="str">
        <f>IF('Marks Entry'!AJ197="","",'Marks Entry'!AJ197)</f>
        <v/>
      </c>
      <c r="BT197" s="581" t="str">
        <f t="shared" si="448"/>
        <v/>
      </c>
      <c r="BU197" s="156" t="str">
        <f t="shared" si="449"/>
        <v/>
      </c>
      <c r="BV197" s="156" t="str">
        <f t="shared" si="450"/>
        <v/>
      </c>
      <c r="BW197" s="191" t="str">
        <f t="shared" si="451"/>
        <v/>
      </c>
      <c r="BX197" s="152">
        <f t="shared" si="452"/>
        <v>0</v>
      </c>
      <c r="BY197" s="153">
        <f t="shared" si="453"/>
        <v>0</v>
      </c>
      <c r="BZ197" s="153" t="str">
        <f t="shared" si="454"/>
        <v/>
      </c>
      <c r="CA197" s="153" t="str">
        <f t="shared" si="455"/>
        <v/>
      </c>
      <c r="CB197" s="153" t="str">
        <f t="shared" si="456"/>
        <v/>
      </c>
      <c r="CC197" s="152" t="str">
        <f t="shared" si="457"/>
        <v/>
      </c>
      <c r="CD197" s="153" t="str">
        <f t="shared" si="458"/>
        <v/>
      </c>
      <c r="CE197" s="152" t="str">
        <f t="shared" si="459"/>
        <v/>
      </c>
      <c r="CF197" s="580" t="str">
        <f>IF('Marks Entry'!AK197="","",'Marks Entry'!AK197)</f>
        <v/>
      </c>
      <c r="CG197" s="580" t="str">
        <f>IF('Marks Entry'!AL197="","",'Marks Entry'!AL197)</f>
        <v/>
      </c>
      <c r="CH197" s="580" t="str">
        <f>IF('Marks Entry'!AM197="","",'Marks Entry'!AM197)</f>
        <v/>
      </c>
      <c r="CI197" s="580" t="str">
        <f>IF('Marks Entry'!AN197="","",'Marks Entry'!AN197)</f>
        <v/>
      </c>
      <c r="CJ197" s="581" t="str">
        <f t="shared" si="460"/>
        <v/>
      </c>
      <c r="CK197" s="580" t="str">
        <f>IF('Marks Entry'!AO197="","",'Marks Entry'!AO197)</f>
        <v/>
      </c>
      <c r="CL197" s="580" t="str">
        <f>IF('Marks Entry'!AP197="","",'Marks Entry'!AP197)</f>
        <v/>
      </c>
      <c r="CM197" s="581" t="str">
        <f t="shared" si="461"/>
        <v/>
      </c>
      <c r="CN197" s="581" t="str">
        <f t="shared" si="462"/>
        <v/>
      </c>
      <c r="CO197" s="580" t="str">
        <f>IF('Marks Entry'!AQ197="","",'Marks Entry'!AQ197)</f>
        <v/>
      </c>
      <c r="CP197" s="580" t="str">
        <f>IF('Marks Entry'!AR197="","",'Marks Entry'!AR197)</f>
        <v/>
      </c>
      <c r="CQ197" s="581" t="str">
        <f t="shared" si="463"/>
        <v/>
      </c>
      <c r="CR197" s="156" t="str">
        <f t="shared" si="464"/>
        <v/>
      </c>
      <c r="CS197" s="156" t="str">
        <f t="shared" si="465"/>
        <v/>
      </c>
      <c r="CT197" s="191" t="str">
        <f t="shared" si="466"/>
        <v/>
      </c>
      <c r="CU197" s="152">
        <f t="shared" si="467"/>
        <v>0</v>
      </c>
      <c r="CV197" s="153">
        <f t="shared" si="468"/>
        <v>0</v>
      </c>
      <c r="CW197" s="153" t="str">
        <f t="shared" si="469"/>
        <v/>
      </c>
      <c r="CX197" s="153" t="str">
        <f t="shared" si="470"/>
        <v/>
      </c>
      <c r="CY197" s="153" t="str">
        <f t="shared" si="471"/>
        <v/>
      </c>
      <c r="CZ197" s="152" t="str">
        <f t="shared" si="472"/>
        <v/>
      </c>
      <c r="DA197" s="153" t="str">
        <f t="shared" si="473"/>
        <v/>
      </c>
      <c r="DB197" s="152" t="str">
        <f t="shared" si="474"/>
        <v/>
      </c>
      <c r="DC197" s="153">
        <f t="shared" si="475"/>
        <v>0</v>
      </c>
      <c r="DD197" s="851" t="str">
        <f>IF('Marks Entry'!AS197="","",IF(OR('Master Sheet'!$D$19="YES",'Marks Entry'!$BA$1=1),'Marks Entry'!AS197,""))</f>
        <v/>
      </c>
      <c r="DE197" s="851" t="str">
        <f>IF('Marks Entry'!AT197="","",IF(OR('Master Sheet'!$D$19="YES",'Marks Entry'!$BA$1=1),'Marks Entry'!AT197,""))</f>
        <v/>
      </c>
      <c r="DF197" s="851" t="str">
        <f>IF('Marks Entry'!AU197="","",IF(OR('Master Sheet'!$D$19="YES",'Marks Entry'!$BA$1=1),'Marks Entry'!AU197,""))</f>
        <v/>
      </c>
      <c r="DG197" s="851" t="str">
        <f>IF('Marks Entry'!AV197="","",IF(OR('Master Sheet'!$D$19="YES",'Marks Entry'!$BA$1=1),'Marks Entry'!AV197,""))</f>
        <v/>
      </c>
      <c r="DH197" s="852" t="str">
        <f t="shared" si="476"/>
        <v/>
      </c>
      <c r="DI197" s="851" t="str">
        <f>IF('Marks Entry'!AW197="","",IF(OR('Master Sheet'!$D$19="YES",'Marks Entry'!$BA$1=1),'Marks Entry'!AW197,""))</f>
        <v/>
      </c>
      <c r="DJ197" s="851" t="str">
        <f>IF('Marks Entry'!AX197="","",IF(OR('Master Sheet'!$D$19="YES",'Marks Entry'!$BA$1=1),'Marks Entry'!AX197,""))</f>
        <v/>
      </c>
      <c r="DK197" s="852" t="str">
        <f t="shared" si="477"/>
        <v/>
      </c>
      <c r="DL197" s="852" t="str">
        <f t="shared" si="478"/>
        <v/>
      </c>
      <c r="DM197" s="851" t="str">
        <f>IF('Marks Entry'!AY197="","",IF(OR('Master Sheet'!$D$19="YES",'Marks Entry'!$BA$1=1),'Marks Entry'!AY197,""))</f>
        <v/>
      </c>
      <c r="DN197" s="851" t="str">
        <f>IF('Marks Entry'!AZ197="","",IF(OR('Master Sheet'!$D$19="YES",'Marks Entry'!$BA$1=1),'Marks Entry'!AZ197,""))</f>
        <v/>
      </c>
      <c r="DO197" s="851" t="str">
        <f>IF('Marks Entry'!BA197="","",IF(OR('Master Sheet'!$D$19="YES",'Marks Entry'!$BA$1=1),'Marks Entry'!BA197,""))</f>
        <v/>
      </c>
      <c r="DP197" s="852" t="str">
        <f t="shared" si="479"/>
        <v/>
      </c>
      <c r="DQ197" s="156" t="str">
        <f t="shared" si="480"/>
        <v/>
      </c>
      <c r="DR197" s="156" t="str">
        <f t="shared" si="481"/>
        <v/>
      </c>
      <c r="DS197" s="156" t="str">
        <f t="shared" si="482"/>
        <v/>
      </c>
      <c r="DT197" s="191" t="str">
        <f t="shared" si="483"/>
        <v/>
      </c>
      <c r="DU197" s="152">
        <f t="shared" si="484"/>
        <v>0</v>
      </c>
      <c r="DV197" s="153">
        <f t="shared" si="485"/>
        <v>0</v>
      </c>
      <c r="DW197" s="153" t="str">
        <f t="shared" si="486"/>
        <v/>
      </c>
      <c r="DX197" s="153" t="str">
        <f>IF(OR($B197="NSO",$B197=0,DS197=""),"",IF(AND(DJ197="",DO197=""),"",IF('Master Sheet'!$D$19="YES",$DO$6-COUNTIF(DO197,"ML")*DO$6,DS$6-(COUNTIF(DJ197,"ML")*DJ$6)-(COUNTIF(DO197,"ML")*DO$6))))</f>
        <v/>
      </c>
      <c r="DY197" s="153" t="str">
        <f>IF(OR($B197="NSO",$B197=0),"",IF(AND(DH197="",DI197="",DM197=""),"",IF(AND('Master Sheet'!$D$19="YES",'Marks Entry'!$BA$1=1),100,IF(AND(DJ197="",DO197=""),SUM(($DQ$7+$DR$7)-(DU197+DV197)),SUM(($DQ$6+$DR$6)-(DU197+DV197))))))</f>
        <v/>
      </c>
      <c r="DZ197" s="152" t="str">
        <f t="shared" si="487"/>
        <v/>
      </c>
      <c r="EA197" s="153" t="str">
        <f t="shared" si="488"/>
        <v/>
      </c>
      <c r="EB197" s="152" t="str">
        <f t="shared" si="489"/>
        <v/>
      </c>
      <c r="EC197" s="584" t="str">
        <f>IF('Marks Entry'!BB197="","",'Marks Entry'!BB197)</f>
        <v/>
      </c>
      <c r="ED197" s="584" t="str">
        <f>IF('Marks Entry'!BC197="","",'Marks Entry'!BC197)</f>
        <v/>
      </c>
      <c r="EE197" s="584" t="str">
        <f>IF('Marks Entry'!BD197="","",'Marks Entry'!BD197)</f>
        <v/>
      </c>
      <c r="EF197" s="590" t="str">
        <f t="shared" si="490"/>
        <v/>
      </c>
      <c r="EG197" s="595">
        <f t="shared" si="491"/>
        <v>0</v>
      </c>
      <c r="EH197" s="595">
        <f t="shared" si="492"/>
        <v>0</v>
      </c>
      <c r="EI197" s="192" t="str">
        <f t="shared" si="493"/>
        <v/>
      </c>
      <c r="EJ197" s="595" t="str">
        <f t="shared" si="494"/>
        <v/>
      </c>
      <c r="EK197" s="595" t="str">
        <f t="shared" si="495"/>
        <v/>
      </c>
      <c r="EL197" s="193" t="str">
        <f t="shared" si="496"/>
        <v/>
      </c>
      <c r="EM197" s="193" t="str">
        <f t="shared" si="497"/>
        <v/>
      </c>
      <c r="EN197" s="193" t="str">
        <f t="shared" si="498"/>
        <v/>
      </c>
      <c r="EO197" s="193" t="str">
        <f t="shared" si="499"/>
        <v/>
      </c>
      <c r="EP197" s="193" t="str">
        <f t="shared" si="500"/>
        <v/>
      </c>
      <c r="EQ197" s="193" t="str">
        <f t="shared" si="501"/>
        <v/>
      </c>
      <c r="ER197" s="194">
        <f t="shared" si="502"/>
        <v>0</v>
      </c>
      <c r="ES197" s="194">
        <f t="shared" si="503"/>
        <v>0</v>
      </c>
      <c r="ET197" s="194">
        <f t="shared" si="504"/>
        <v>0</v>
      </c>
      <c r="EU197" s="194">
        <f t="shared" si="505"/>
        <v>0</v>
      </c>
      <c r="EV197" s="194">
        <f t="shared" si="506"/>
        <v>0</v>
      </c>
      <c r="EW197" s="194" t="str">
        <f t="shared" si="507"/>
        <v/>
      </c>
      <c r="EX197" s="195" t="str">
        <f t="shared" si="508"/>
        <v/>
      </c>
      <c r="EY197" s="196" t="str">
        <f>IF('Marks Entry'!BE197="","",'Marks Entry'!BE197)</f>
        <v/>
      </c>
      <c r="EZ197" s="196" t="str">
        <f>IF('Marks Entry'!BF197="","",'Marks Entry'!BF197)</f>
        <v/>
      </c>
      <c r="FA197" s="196" t="str">
        <f>IF('Marks Entry'!BG197="","",'Marks Entry'!BG197)</f>
        <v/>
      </c>
      <c r="FB197" s="596" t="str">
        <f t="shared" si="509"/>
        <v/>
      </c>
      <c r="FC197" s="196" t="str">
        <f>IF('Marks Entry'!BH197="","",'Marks Entry'!BH197)</f>
        <v/>
      </c>
      <c r="FD197" s="196" t="str">
        <f>IF('Marks Entry'!BI197="","",'Marks Entry'!BI197)</f>
        <v/>
      </c>
      <c r="FE197" s="197" t="str">
        <f t="shared" si="510"/>
        <v/>
      </c>
      <c r="FF197" s="198" t="str">
        <f t="shared" si="511"/>
        <v/>
      </c>
      <c r="FG197" s="199" t="str">
        <f>IF(AND(E197=""),"",IF('Student DATA Entry'!L193="","",'Student DATA Entry'!L193))</f>
        <v/>
      </c>
      <c r="FH197" s="200" t="str">
        <f>IF(AND(E197=""),"",IF('Student DATA Entry'!M193="","",'Student DATA Entry'!M193))</f>
        <v/>
      </c>
      <c r="FI197" s="201" t="str">
        <f t="shared" si="512"/>
        <v/>
      </c>
      <c r="FJ197" s="188" t="str">
        <f t="shared" si="513"/>
        <v/>
      </c>
      <c r="FK197" s="188" t="str">
        <f t="shared" si="514"/>
        <v/>
      </c>
      <c r="FL197" s="202" t="str">
        <f t="shared" si="542"/>
        <v/>
      </c>
      <c r="FM197" s="188" t="str">
        <f t="shared" si="515"/>
        <v/>
      </c>
      <c r="FN197" s="203" t="str">
        <f t="shared" si="516"/>
        <v/>
      </c>
      <c r="FO197" s="202" t="str">
        <f t="shared" si="543"/>
        <v/>
      </c>
      <c r="FP197" s="204" t="str">
        <f t="shared" si="517"/>
        <v/>
      </c>
      <c r="FQ197" s="188" t="str">
        <f t="shared" si="544"/>
        <v/>
      </c>
      <c r="FR197" s="188" t="str">
        <f t="shared" si="545"/>
        <v/>
      </c>
      <c r="FS197" s="188" t="str">
        <f t="shared" si="546"/>
        <v/>
      </c>
      <c r="FT197" s="188" t="str">
        <f t="shared" si="547"/>
        <v/>
      </c>
      <c r="FU197" s="188" t="str">
        <f t="shared" si="518"/>
        <v/>
      </c>
      <c r="FV197" s="205" t="str">
        <f t="shared" si="548"/>
        <v/>
      </c>
      <c r="FW197" s="204" t="str">
        <f t="shared" si="519"/>
        <v/>
      </c>
      <c r="FX197" s="188" t="str">
        <f t="shared" si="549"/>
        <v/>
      </c>
      <c r="FY197" s="188" t="str">
        <f t="shared" si="550"/>
        <v/>
      </c>
      <c r="FZ197" s="188" t="str">
        <f t="shared" si="551"/>
        <v/>
      </c>
      <c r="GA197" s="188" t="str">
        <f t="shared" si="552"/>
        <v/>
      </c>
      <c r="GB197" s="188" t="str">
        <f t="shared" si="520"/>
        <v/>
      </c>
      <c r="GC197" s="205" t="str">
        <f t="shared" si="553"/>
        <v/>
      </c>
      <c r="GD197" s="204" t="str">
        <f t="shared" si="521"/>
        <v/>
      </c>
      <c r="GE197" s="188" t="str">
        <f t="shared" si="554"/>
        <v/>
      </c>
      <c r="GF197" s="188" t="str">
        <f t="shared" si="555"/>
        <v/>
      </c>
      <c r="GG197" s="188" t="str">
        <f t="shared" si="556"/>
        <v/>
      </c>
      <c r="GH197" s="188" t="str">
        <f t="shared" si="557"/>
        <v/>
      </c>
      <c r="GI197" s="188" t="str">
        <f t="shared" si="522"/>
        <v/>
      </c>
      <c r="GJ197" s="205" t="str">
        <f t="shared" si="558"/>
        <v/>
      </c>
      <c r="GK197" s="204" t="str">
        <f t="shared" si="523"/>
        <v/>
      </c>
      <c r="GL197" s="188" t="str">
        <f t="shared" si="559"/>
        <v/>
      </c>
      <c r="GM197" s="188" t="str">
        <f t="shared" si="560"/>
        <v/>
      </c>
      <c r="GN197" s="188" t="str">
        <f t="shared" si="561"/>
        <v/>
      </c>
      <c r="GO197" s="188" t="str">
        <f t="shared" si="562"/>
        <v/>
      </c>
      <c r="GP197" s="188" t="str">
        <f t="shared" si="524"/>
        <v/>
      </c>
      <c r="GQ197" s="205" t="str">
        <f t="shared" si="563"/>
        <v/>
      </c>
      <c r="GR197" s="188" t="str">
        <f t="shared" si="525"/>
        <v/>
      </c>
      <c r="GS197" s="188" t="str">
        <f t="shared" si="526"/>
        <v/>
      </c>
      <c r="GT197" s="206" t="str">
        <f t="shared" si="527"/>
        <v xml:space="preserve">    </v>
      </c>
      <c r="GU197" s="206" t="str">
        <f t="shared" si="528"/>
        <v xml:space="preserve">    </v>
      </c>
      <c r="GV197" s="206" t="str">
        <f t="shared" si="529"/>
        <v xml:space="preserve">    </v>
      </c>
      <c r="GW197" s="206" t="str">
        <f t="shared" si="530"/>
        <v xml:space="preserve">       </v>
      </c>
      <c r="GX197" s="598" t="str">
        <f t="shared" si="531"/>
        <v xml:space="preserve">     </v>
      </c>
      <c r="GY197" s="207" t="str">
        <f t="shared" si="564"/>
        <v/>
      </c>
      <c r="GZ197" s="606" t="str">
        <f>IF(AND(Q197="",AE197="",AZ197="",BW197="",CT197=""),"",IF(AND('Master Sheet'!$D$19="YES",'Marks Entry'!$BA$1=1),SUM(Q197,AE197,AZ197,BW197,DT197),SUM(Q197,AE197,AZ197,BW197,CT197)))</f>
        <v/>
      </c>
      <c r="HA197" s="208" t="str">
        <f>IF(GZ197="","",IF(AND('Master Sheet'!$D$19="YES",'Marks Entry'!$BA$1=1),GZ197/((900)-DC197)*100,GZ197/((1000)-DC197)*100))</f>
        <v/>
      </c>
      <c r="HB197" s="611" t="str">
        <f t="shared" si="532"/>
        <v/>
      </c>
      <c r="HC197" s="609" t="str">
        <f t="shared" si="533"/>
        <v/>
      </c>
      <c r="HD197" s="610" t="str">
        <f t="shared" si="534"/>
        <v/>
      </c>
      <c r="HE197" s="209" t="str">
        <f>IFERROR(IF(OR(GY197="SUPPLEMENTARY",GY197="RE-EXAM"),'Supp. Result Entry'!AS196,""),"")</f>
        <v/>
      </c>
      <c r="HF197" s="613" t="str">
        <f t="shared" si="535"/>
        <v/>
      </c>
      <c r="HG197" s="598" t="str">
        <f t="shared" si="536"/>
        <v/>
      </c>
      <c r="HH197" s="598" t="str">
        <f>IF(AND(HE197="",HF197="",HG197=""),"",IF(OR(GY197="SUPPLEMENTARY",GY197="RE-EXAM"),'Supp. Result Entry'!AS196,GY197))</f>
        <v/>
      </c>
      <c r="HI197" s="179"/>
      <c r="HY197" s="211" t="str">
        <f>IF('Supp. Result Entry'!U196="","",'Supp. Result Entry'!$U$6)</f>
        <v/>
      </c>
      <c r="HZ197" s="212" t="str">
        <f>IF('Supp. Result Entry'!X196="","",'Supp. Result Entry'!$X$6)</f>
        <v/>
      </c>
      <c r="IA197" s="212" t="str">
        <f>IF('Supp. Result Entry'!AA196="","",'Supp. Result Entry'!$AA$6)</f>
        <v/>
      </c>
      <c r="IB197" s="212" t="str">
        <f>IF('Supp. Result Entry'!AD196="","",'Supp. Result Entry'!$AD$6)</f>
        <v/>
      </c>
      <c r="IC197" s="212" t="str">
        <f>IF('Supp. Result Entry'!AG196="","",'Supp. Result Entry'!$AG$6)</f>
        <v/>
      </c>
      <c r="ID197" s="212" t="str">
        <f>IF('Supp. Result Entry'!AJ196="","",'Supp. Result Entry'!$AJ$6)</f>
        <v/>
      </c>
      <c r="IE197" s="212" t="str">
        <f>IF('Supp. Result Entry'!V196="","",'Supp. Result Entry'!V196)</f>
        <v/>
      </c>
      <c r="IF197" s="212" t="str">
        <f>IF('Supp. Result Entry'!Y196="","",'Supp. Result Entry'!Y196)</f>
        <v/>
      </c>
      <c r="IG197" s="212" t="str">
        <f>IF('Supp. Result Entry'!AB196="","",'Supp. Result Entry'!AB196)</f>
        <v/>
      </c>
      <c r="IH197" s="212" t="str">
        <f>IF('Supp. Result Entry'!AE196="","",'Supp. Result Entry'!AE196)</f>
        <v/>
      </c>
      <c r="II197" s="212" t="str">
        <f>IF('Supp. Result Entry'!AH196="","",'Supp. Result Entry'!AH196)</f>
        <v/>
      </c>
      <c r="IJ197" s="212" t="str">
        <f>IF('Supp. Result Entry'!AK196="","",'Supp. Result Entry'!AK196)</f>
        <v/>
      </c>
      <c r="IK197" s="212" t="str">
        <f>IF('Supp. Result Entry'!W196="","",'Supp. Result Entry'!W196)</f>
        <v/>
      </c>
      <c r="IL197" s="212" t="str">
        <f>IF('Supp. Result Entry'!Z196="","",'Supp. Result Entry'!Z196)</f>
        <v/>
      </c>
      <c r="IM197" s="212" t="str">
        <f>IF('Supp. Result Entry'!AC196="","",'Supp. Result Entry'!AC196)</f>
        <v/>
      </c>
      <c r="IN197" s="212" t="str">
        <f>IF('Supp. Result Entry'!AF196="","",'Supp. Result Entry'!AF196)</f>
        <v/>
      </c>
      <c r="IO197" s="212" t="str">
        <f>IF('Supp. Result Entry'!AI196="","",'Supp. Result Entry'!AI196)</f>
        <v/>
      </c>
      <c r="IP197" s="212" t="str">
        <f>IF('Supp. Result Entry'!AL196="","",'Supp. Result Entry'!AL196)</f>
        <v/>
      </c>
      <c r="IQ197" s="212">
        <f>COUNTIF('Supp. Result Entry'!K196:Q196,"S")</f>
        <v>0</v>
      </c>
      <c r="IR197" s="212">
        <f t="shared" si="537"/>
        <v>0</v>
      </c>
      <c r="IS197" s="212">
        <f t="shared" si="538"/>
        <v>0</v>
      </c>
      <c r="IT197" s="212" t="str">
        <f t="shared" si="406"/>
        <v/>
      </c>
      <c r="IU197" s="212" t="str">
        <f t="shared" si="407"/>
        <v/>
      </c>
      <c r="IV197" s="212" t="str">
        <f t="shared" si="408"/>
        <v/>
      </c>
      <c r="IW197" s="212" t="str">
        <f t="shared" si="409"/>
        <v/>
      </c>
      <c r="IX197" s="212" t="str">
        <f t="shared" si="410"/>
        <v/>
      </c>
      <c r="IY197" s="212" t="str">
        <f t="shared" si="539"/>
        <v/>
      </c>
      <c r="IZ197" s="212" t="str">
        <f t="shared" si="540"/>
        <v/>
      </c>
      <c r="JA197" s="212" t="str">
        <f t="shared" si="411"/>
        <v/>
      </c>
      <c r="JB197" s="210" t="str">
        <f t="shared" si="541"/>
        <v/>
      </c>
    </row>
    <row r="198" spans="1:262" s="210" customFormat="1" ht="21" customHeight="1">
      <c r="A198" s="183">
        <v>191</v>
      </c>
      <c r="B198" s="184" t="str">
        <f>IF('Marks Entry'!B198="","",'Marks Entry'!B198)</f>
        <v/>
      </c>
      <c r="C198" s="185" t="str">
        <f>IF('Marks Entry'!D198="","",'Marks Entry'!D198)</f>
        <v/>
      </c>
      <c r="D198" s="186" t="str">
        <f>IF('Marks Entry'!E198="","",'Marks Entry'!E198)</f>
        <v/>
      </c>
      <c r="E198" s="187" t="str">
        <f>IF('Marks Entry'!F198="","",'Marks Entry'!F198)</f>
        <v/>
      </c>
      <c r="F198" s="187" t="str">
        <f>IF('Marks Entry'!G198="","",'Marks Entry'!G198)</f>
        <v/>
      </c>
      <c r="G198" s="187" t="str">
        <f>IF('Marks Entry'!H198="","",'Marks Entry'!H198)</f>
        <v/>
      </c>
      <c r="H198" s="188" t="str">
        <f>IF('Marks Entry'!I198="","",'Marks Entry'!I198)</f>
        <v/>
      </c>
      <c r="I198" s="189" t="str">
        <f>IF('Marks Entry'!J198="","",'Marks Entry'!J198)</f>
        <v/>
      </c>
      <c r="J198" s="545" t="str">
        <f>IF('Marks Entry'!K198="","",'Marks Entry'!K198)</f>
        <v/>
      </c>
      <c r="K198" s="545" t="str">
        <f>IF('Marks Entry'!L198="","",'Marks Entry'!L198)</f>
        <v/>
      </c>
      <c r="L198" s="545" t="str">
        <f>IF('Marks Entry'!M198="","",'Marks Entry'!M198)</f>
        <v/>
      </c>
      <c r="M198" s="546" t="str">
        <f t="shared" si="412"/>
        <v/>
      </c>
      <c r="N198" s="545" t="str">
        <f>IF('Marks Entry'!N198="","",'Marks Entry'!N198)</f>
        <v/>
      </c>
      <c r="O198" s="546" t="str">
        <f t="shared" si="413"/>
        <v/>
      </c>
      <c r="P198" s="545" t="str">
        <f>IF('Marks Entry'!O198="","",'Marks Entry'!O198)</f>
        <v/>
      </c>
      <c r="Q198" s="547" t="str">
        <f t="shared" si="414"/>
        <v/>
      </c>
      <c r="R198" s="152">
        <f t="shared" si="415"/>
        <v>0</v>
      </c>
      <c r="S198" s="152">
        <f t="shared" si="416"/>
        <v>0</v>
      </c>
      <c r="T198" s="153" t="str">
        <f t="shared" si="417"/>
        <v/>
      </c>
      <c r="U198" s="152" t="str">
        <f t="shared" si="418"/>
        <v/>
      </c>
      <c r="V198" s="152" t="str">
        <f t="shared" si="419"/>
        <v/>
      </c>
      <c r="W198" s="152" t="str">
        <f t="shared" si="420"/>
        <v/>
      </c>
      <c r="X198" s="545" t="str">
        <f>IF('Marks Entry'!P198="","",'Marks Entry'!P198)</f>
        <v/>
      </c>
      <c r="Y198" s="545" t="str">
        <f>IF('Marks Entry'!Q198="","",'Marks Entry'!Q198)</f>
        <v/>
      </c>
      <c r="Z198" s="545" t="str">
        <f>IF('Marks Entry'!R198="","",'Marks Entry'!R198)</f>
        <v/>
      </c>
      <c r="AA198" s="546" t="str">
        <f t="shared" si="421"/>
        <v/>
      </c>
      <c r="AB198" s="545" t="str">
        <f>IF('Marks Entry'!S198="","",'Marks Entry'!S198)</f>
        <v/>
      </c>
      <c r="AC198" s="546" t="str">
        <f t="shared" si="422"/>
        <v/>
      </c>
      <c r="AD198" s="545" t="str">
        <f>IF('Marks Entry'!T198="","",'Marks Entry'!T198)</f>
        <v/>
      </c>
      <c r="AE198" s="547" t="str">
        <f t="shared" si="423"/>
        <v/>
      </c>
      <c r="AF198" s="152">
        <f t="shared" si="424"/>
        <v>0</v>
      </c>
      <c r="AG198" s="152">
        <f t="shared" si="425"/>
        <v>0</v>
      </c>
      <c r="AH198" s="153" t="str">
        <f t="shared" si="426"/>
        <v/>
      </c>
      <c r="AI198" s="152" t="str">
        <f t="shared" si="427"/>
        <v/>
      </c>
      <c r="AJ198" s="152" t="str">
        <f t="shared" si="428"/>
        <v/>
      </c>
      <c r="AK198" s="152" t="str">
        <f t="shared" si="429"/>
        <v/>
      </c>
      <c r="AL198" s="573" t="str">
        <f>IF('Marks Entry'!U198="","",'Marks Entry'!U198)</f>
        <v/>
      </c>
      <c r="AM198" s="573" t="str">
        <f>IF('Marks Entry'!V198="","",'Marks Entry'!V198)</f>
        <v/>
      </c>
      <c r="AN198" s="573" t="str">
        <f>IF('Marks Entry'!W198="","",'Marks Entry'!W198)</f>
        <v/>
      </c>
      <c r="AO198" s="573" t="str">
        <f>IF('Marks Entry'!X198="","",'Marks Entry'!X198)</f>
        <v/>
      </c>
      <c r="AP198" s="572" t="str">
        <f t="shared" si="430"/>
        <v/>
      </c>
      <c r="AQ198" s="573" t="str">
        <f>IF('Marks Entry'!Y198="","",'Marks Entry'!Y198)</f>
        <v/>
      </c>
      <c r="AR198" s="573" t="str">
        <f>IF('Marks Entry'!Z198="","",'Marks Entry'!Z198)</f>
        <v/>
      </c>
      <c r="AS198" s="572" t="str">
        <f t="shared" si="431"/>
        <v/>
      </c>
      <c r="AT198" s="572" t="str">
        <f t="shared" si="432"/>
        <v/>
      </c>
      <c r="AU198" s="573" t="str">
        <f>IF('Marks Entry'!AA198="","",'Marks Entry'!AA198)</f>
        <v/>
      </c>
      <c r="AV198" s="573" t="str">
        <f>IF('Marks Entry'!AB198="","",'Marks Entry'!AB198)</f>
        <v/>
      </c>
      <c r="AW198" s="572" t="str">
        <f t="shared" si="433"/>
        <v/>
      </c>
      <c r="AX198" s="156" t="str">
        <f t="shared" si="434"/>
        <v/>
      </c>
      <c r="AY198" s="156" t="str">
        <f t="shared" si="435"/>
        <v/>
      </c>
      <c r="AZ198" s="191" t="str">
        <f t="shared" si="436"/>
        <v/>
      </c>
      <c r="BA198" s="152">
        <f t="shared" si="437"/>
        <v>0</v>
      </c>
      <c r="BB198" s="153">
        <f t="shared" si="438"/>
        <v>0</v>
      </c>
      <c r="BC198" s="153" t="str">
        <f t="shared" si="439"/>
        <v/>
      </c>
      <c r="BD198" s="153" t="str">
        <f t="shared" si="440"/>
        <v/>
      </c>
      <c r="BE198" s="153" t="str">
        <f t="shared" si="441"/>
        <v/>
      </c>
      <c r="BF198" s="152" t="str">
        <f t="shared" si="442"/>
        <v/>
      </c>
      <c r="BG198" s="153" t="str">
        <f t="shared" si="443"/>
        <v/>
      </c>
      <c r="BH198" s="152" t="str">
        <f t="shared" si="444"/>
        <v/>
      </c>
      <c r="BI198" s="580" t="str">
        <f>IF('Marks Entry'!AC198="","",'Marks Entry'!AC198)</f>
        <v/>
      </c>
      <c r="BJ198" s="580" t="str">
        <f>IF('Marks Entry'!AD198="","",'Marks Entry'!AD198)</f>
        <v/>
      </c>
      <c r="BK198" s="580" t="str">
        <f>IF('Marks Entry'!AE198="","",'Marks Entry'!AE198)</f>
        <v/>
      </c>
      <c r="BL198" s="580" t="str">
        <f>IF('Marks Entry'!AF198="","",'Marks Entry'!AF198)</f>
        <v/>
      </c>
      <c r="BM198" s="581" t="str">
        <f t="shared" si="445"/>
        <v/>
      </c>
      <c r="BN198" s="580" t="str">
        <f>IF('Marks Entry'!AG198="","",'Marks Entry'!AG198)</f>
        <v/>
      </c>
      <c r="BO198" s="580" t="str">
        <f>IF('Marks Entry'!AH198="","",'Marks Entry'!AH198)</f>
        <v/>
      </c>
      <c r="BP198" s="581" t="str">
        <f t="shared" si="446"/>
        <v/>
      </c>
      <c r="BQ198" s="581" t="str">
        <f t="shared" si="447"/>
        <v/>
      </c>
      <c r="BR198" s="580" t="str">
        <f>IF('Marks Entry'!AI198="","",'Marks Entry'!AI198)</f>
        <v/>
      </c>
      <c r="BS198" s="580" t="str">
        <f>IF('Marks Entry'!AJ198="","",'Marks Entry'!AJ198)</f>
        <v/>
      </c>
      <c r="BT198" s="581" t="str">
        <f t="shared" si="448"/>
        <v/>
      </c>
      <c r="BU198" s="156" t="str">
        <f t="shared" si="449"/>
        <v/>
      </c>
      <c r="BV198" s="156" t="str">
        <f t="shared" si="450"/>
        <v/>
      </c>
      <c r="BW198" s="191" t="str">
        <f t="shared" si="451"/>
        <v/>
      </c>
      <c r="BX198" s="152">
        <f t="shared" si="452"/>
        <v>0</v>
      </c>
      <c r="BY198" s="153">
        <f t="shared" si="453"/>
        <v>0</v>
      </c>
      <c r="BZ198" s="153" t="str">
        <f t="shared" si="454"/>
        <v/>
      </c>
      <c r="CA198" s="153" t="str">
        <f t="shared" si="455"/>
        <v/>
      </c>
      <c r="CB198" s="153" t="str">
        <f t="shared" si="456"/>
        <v/>
      </c>
      <c r="CC198" s="152" t="str">
        <f t="shared" si="457"/>
        <v/>
      </c>
      <c r="CD198" s="153" t="str">
        <f t="shared" si="458"/>
        <v/>
      </c>
      <c r="CE198" s="152" t="str">
        <f t="shared" si="459"/>
        <v/>
      </c>
      <c r="CF198" s="580" t="str">
        <f>IF('Marks Entry'!AK198="","",'Marks Entry'!AK198)</f>
        <v/>
      </c>
      <c r="CG198" s="580" t="str">
        <f>IF('Marks Entry'!AL198="","",'Marks Entry'!AL198)</f>
        <v/>
      </c>
      <c r="CH198" s="580" t="str">
        <f>IF('Marks Entry'!AM198="","",'Marks Entry'!AM198)</f>
        <v/>
      </c>
      <c r="CI198" s="580" t="str">
        <f>IF('Marks Entry'!AN198="","",'Marks Entry'!AN198)</f>
        <v/>
      </c>
      <c r="CJ198" s="581" t="str">
        <f t="shared" si="460"/>
        <v/>
      </c>
      <c r="CK198" s="580" t="str">
        <f>IF('Marks Entry'!AO198="","",'Marks Entry'!AO198)</f>
        <v/>
      </c>
      <c r="CL198" s="580" t="str">
        <f>IF('Marks Entry'!AP198="","",'Marks Entry'!AP198)</f>
        <v/>
      </c>
      <c r="CM198" s="581" t="str">
        <f t="shared" si="461"/>
        <v/>
      </c>
      <c r="CN198" s="581" t="str">
        <f t="shared" si="462"/>
        <v/>
      </c>
      <c r="CO198" s="580" t="str">
        <f>IF('Marks Entry'!AQ198="","",'Marks Entry'!AQ198)</f>
        <v/>
      </c>
      <c r="CP198" s="580" t="str">
        <f>IF('Marks Entry'!AR198="","",'Marks Entry'!AR198)</f>
        <v/>
      </c>
      <c r="CQ198" s="581" t="str">
        <f t="shared" si="463"/>
        <v/>
      </c>
      <c r="CR198" s="156" t="str">
        <f t="shared" si="464"/>
        <v/>
      </c>
      <c r="CS198" s="156" t="str">
        <f t="shared" si="465"/>
        <v/>
      </c>
      <c r="CT198" s="191" t="str">
        <f t="shared" si="466"/>
        <v/>
      </c>
      <c r="CU198" s="152">
        <f t="shared" si="467"/>
        <v>0</v>
      </c>
      <c r="CV198" s="153">
        <f t="shared" si="468"/>
        <v>0</v>
      </c>
      <c r="CW198" s="153" t="str">
        <f t="shared" si="469"/>
        <v/>
      </c>
      <c r="CX198" s="153" t="str">
        <f t="shared" si="470"/>
        <v/>
      </c>
      <c r="CY198" s="153" t="str">
        <f t="shared" si="471"/>
        <v/>
      </c>
      <c r="CZ198" s="152" t="str">
        <f t="shared" si="472"/>
        <v/>
      </c>
      <c r="DA198" s="153" t="str">
        <f t="shared" si="473"/>
        <v/>
      </c>
      <c r="DB198" s="152" t="str">
        <f t="shared" si="474"/>
        <v/>
      </c>
      <c r="DC198" s="153">
        <f t="shared" si="475"/>
        <v>0</v>
      </c>
      <c r="DD198" s="851" t="str">
        <f>IF('Marks Entry'!AS198="","",IF(OR('Master Sheet'!$D$19="YES",'Marks Entry'!$BA$1=1),'Marks Entry'!AS198,""))</f>
        <v/>
      </c>
      <c r="DE198" s="851" t="str">
        <f>IF('Marks Entry'!AT198="","",IF(OR('Master Sheet'!$D$19="YES",'Marks Entry'!$BA$1=1),'Marks Entry'!AT198,""))</f>
        <v/>
      </c>
      <c r="DF198" s="851" t="str">
        <f>IF('Marks Entry'!AU198="","",IF(OR('Master Sheet'!$D$19="YES",'Marks Entry'!$BA$1=1),'Marks Entry'!AU198,""))</f>
        <v/>
      </c>
      <c r="DG198" s="851" t="str">
        <f>IF('Marks Entry'!AV198="","",IF(OR('Master Sheet'!$D$19="YES",'Marks Entry'!$BA$1=1),'Marks Entry'!AV198,""))</f>
        <v/>
      </c>
      <c r="DH198" s="852" t="str">
        <f t="shared" si="476"/>
        <v/>
      </c>
      <c r="DI198" s="851" t="str">
        <f>IF('Marks Entry'!AW198="","",IF(OR('Master Sheet'!$D$19="YES",'Marks Entry'!$BA$1=1),'Marks Entry'!AW198,""))</f>
        <v/>
      </c>
      <c r="DJ198" s="851" t="str">
        <f>IF('Marks Entry'!AX198="","",IF(OR('Master Sheet'!$D$19="YES",'Marks Entry'!$BA$1=1),'Marks Entry'!AX198,""))</f>
        <v/>
      </c>
      <c r="DK198" s="852" t="str">
        <f t="shared" si="477"/>
        <v/>
      </c>
      <c r="DL198" s="852" t="str">
        <f t="shared" si="478"/>
        <v/>
      </c>
      <c r="DM198" s="851" t="str">
        <f>IF('Marks Entry'!AY198="","",IF(OR('Master Sheet'!$D$19="YES",'Marks Entry'!$BA$1=1),'Marks Entry'!AY198,""))</f>
        <v/>
      </c>
      <c r="DN198" s="851" t="str">
        <f>IF('Marks Entry'!AZ198="","",IF(OR('Master Sheet'!$D$19="YES",'Marks Entry'!$BA$1=1),'Marks Entry'!AZ198,""))</f>
        <v/>
      </c>
      <c r="DO198" s="851" t="str">
        <f>IF('Marks Entry'!BA198="","",IF(OR('Master Sheet'!$D$19="YES",'Marks Entry'!$BA$1=1),'Marks Entry'!BA198,""))</f>
        <v/>
      </c>
      <c r="DP198" s="852" t="str">
        <f t="shared" si="479"/>
        <v/>
      </c>
      <c r="DQ198" s="156" t="str">
        <f t="shared" si="480"/>
        <v/>
      </c>
      <c r="DR198" s="156" t="str">
        <f t="shared" si="481"/>
        <v/>
      </c>
      <c r="DS198" s="156" t="str">
        <f t="shared" si="482"/>
        <v/>
      </c>
      <c r="DT198" s="191" t="str">
        <f t="shared" si="483"/>
        <v/>
      </c>
      <c r="DU198" s="152">
        <f t="shared" si="484"/>
        <v>0</v>
      </c>
      <c r="DV198" s="153">
        <f t="shared" si="485"/>
        <v>0</v>
      </c>
      <c r="DW198" s="153" t="str">
        <f t="shared" si="486"/>
        <v/>
      </c>
      <c r="DX198" s="153" t="str">
        <f>IF(OR($B198="NSO",$B198=0,DS198=""),"",IF(AND(DJ198="",DO198=""),"",IF('Master Sheet'!$D$19="YES",$DO$6-COUNTIF(DO198,"ML")*DO$6,DS$6-(COUNTIF(DJ198,"ML")*DJ$6)-(COUNTIF(DO198,"ML")*DO$6))))</f>
        <v/>
      </c>
      <c r="DY198" s="153" t="str">
        <f>IF(OR($B198="NSO",$B198=0),"",IF(AND(DH198="",DI198="",DM198=""),"",IF(AND('Master Sheet'!$D$19="YES",'Marks Entry'!$BA$1=1),100,IF(AND(DJ198="",DO198=""),SUM(($DQ$7+$DR$7)-(DU198+DV198)),SUM(($DQ$6+$DR$6)-(DU198+DV198))))))</f>
        <v/>
      </c>
      <c r="DZ198" s="152" t="str">
        <f t="shared" si="487"/>
        <v/>
      </c>
      <c r="EA198" s="153" t="str">
        <f t="shared" si="488"/>
        <v/>
      </c>
      <c r="EB198" s="152" t="str">
        <f t="shared" si="489"/>
        <v/>
      </c>
      <c r="EC198" s="584" t="str">
        <f>IF('Marks Entry'!BB198="","",'Marks Entry'!BB198)</f>
        <v/>
      </c>
      <c r="ED198" s="584" t="str">
        <f>IF('Marks Entry'!BC198="","",'Marks Entry'!BC198)</f>
        <v/>
      </c>
      <c r="EE198" s="584" t="str">
        <f>IF('Marks Entry'!BD198="","",'Marks Entry'!BD198)</f>
        <v/>
      </c>
      <c r="EF198" s="590" t="str">
        <f t="shared" si="490"/>
        <v/>
      </c>
      <c r="EG198" s="595">
        <f t="shared" si="491"/>
        <v>0</v>
      </c>
      <c r="EH198" s="595">
        <f t="shared" si="492"/>
        <v>0</v>
      </c>
      <c r="EI198" s="192" t="str">
        <f t="shared" si="493"/>
        <v/>
      </c>
      <c r="EJ198" s="595" t="str">
        <f t="shared" si="494"/>
        <v/>
      </c>
      <c r="EK198" s="595" t="str">
        <f t="shared" si="495"/>
        <v/>
      </c>
      <c r="EL198" s="193" t="str">
        <f t="shared" si="496"/>
        <v/>
      </c>
      <c r="EM198" s="193" t="str">
        <f t="shared" si="497"/>
        <v/>
      </c>
      <c r="EN198" s="193" t="str">
        <f t="shared" si="498"/>
        <v/>
      </c>
      <c r="EO198" s="193" t="str">
        <f t="shared" si="499"/>
        <v/>
      </c>
      <c r="EP198" s="193" t="str">
        <f t="shared" si="500"/>
        <v/>
      </c>
      <c r="EQ198" s="193" t="str">
        <f t="shared" si="501"/>
        <v/>
      </c>
      <c r="ER198" s="194">
        <f t="shared" si="502"/>
        <v>0</v>
      </c>
      <c r="ES198" s="194">
        <f t="shared" si="503"/>
        <v>0</v>
      </c>
      <c r="ET198" s="194">
        <f t="shared" si="504"/>
        <v>0</v>
      </c>
      <c r="EU198" s="194">
        <f t="shared" si="505"/>
        <v>0</v>
      </c>
      <c r="EV198" s="194">
        <f t="shared" si="506"/>
        <v>0</v>
      </c>
      <c r="EW198" s="194" t="str">
        <f t="shared" si="507"/>
        <v/>
      </c>
      <c r="EX198" s="195" t="str">
        <f t="shared" si="508"/>
        <v/>
      </c>
      <c r="EY198" s="196" t="str">
        <f>IF('Marks Entry'!BE198="","",'Marks Entry'!BE198)</f>
        <v/>
      </c>
      <c r="EZ198" s="196" t="str">
        <f>IF('Marks Entry'!BF198="","",'Marks Entry'!BF198)</f>
        <v/>
      </c>
      <c r="FA198" s="196" t="str">
        <f>IF('Marks Entry'!BG198="","",'Marks Entry'!BG198)</f>
        <v/>
      </c>
      <c r="FB198" s="596" t="str">
        <f t="shared" si="509"/>
        <v/>
      </c>
      <c r="FC198" s="196" t="str">
        <f>IF('Marks Entry'!BH198="","",'Marks Entry'!BH198)</f>
        <v/>
      </c>
      <c r="FD198" s="196" t="str">
        <f>IF('Marks Entry'!BI198="","",'Marks Entry'!BI198)</f>
        <v/>
      </c>
      <c r="FE198" s="197" t="str">
        <f t="shared" si="510"/>
        <v/>
      </c>
      <c r="FF198" s="198" t="str">
        <f t="shared" si="511"/>
        <v/>
      </c>
      <c r="FG198" s="199" t="str">
        <f>IF(AND(E198=""),"",IF('Student DATA Entry'!L194="","",'Student DATA Entry'!L194))</f>
        <v/>
      </c>
      <c r="FH198" s="200" t="str">
        <f>IF(AND(E198=""),"",IF('Student DATA Entry'!M194="","",'Student DATA Entry'!M194))</f>
        <v/>
      </c>
      <c r="FI198" s="201" t="str">
        <f t="shared" si="512"/>
        <v/>
      </c>
      <c r="FJ198" s="188" t="str">
        <f t="shared" si="513"/>
        <v/>
      </c>
      <c r="FK198" s="188" t="str">
        <f t="shared" si="514"/>
        <v/>
      </c>
      <c r="FL198" s="202" t="str">
        <f t="shared" si="542"/>
        <v/>
      </c>
      <c r="FM198" s="188" t="str">
        <f t="shared" si="515"/>
        <v/>
      </c>
      <c r="FN198" s="203" t="str">
        <f t="shared" si="516"/>
        <v/>
      </c>
      <c r="FO198" s="202" t="str">
        <f t="shared" si="543"/>
        <v/>
      </c>
      <c r="FP198" s="204" t="str">
        <f t="shared" si="517"/>
        <v/>
      </c>
      <c r="FQ198" s="188" t="str">
        <f t="shared" si="544"/>
        <v/>
      </c>
      <c r="FR198" s="188" t="str">
        <f t="shared" si="545"/>
        <v/>
      </c>
      <c r="FS198" s="188" t="str">
        <f t="shared" si="546"/>
        <v/>
      </c>
      <c r="FT198" s="188" t="str">
        <f t="shared" si="547"/>
        <v/>
      </c>
      <c r="FU198" s="188" t="str">
        <f t="shared" si="518"/>
        <v/>
      </c>
      <c r="FV198" s="205" t="str">
        <f t="shared" si="548"/>
        <v/>
      </c>
      <c r="FW198" s="204" t="str">
        <f t="shared" si="519"/>
        <v/>
      </c>
      <c r="FX198" s="188" t="str">
        <f t="shared" si="549"/>
        <v/>
      </c>
      <c r="FY198" s="188" t="str">
        <f t="shared" si="550"/>
        <v/>
      </c>
      <c r="FZ198" s="188" t="str">
        <f t="shared" si="551"/>
        <v/>
      </c>
      <c r="GA198" s="188" t="str">
        <f t="shared" si="552"/>
        <v/>
      </c>
      <c r="GB198" s="188" t="str">
        <f t="shared" si="520"/>
        <v/>
      </c>
      <c r="GC198" s="205" t="str">
        <f t="shared" si="553"/>
        <v/>
      </c>
      <c r="GD198" s="204" t="str">
        <f t="shared" si="521"/>
        <v/>
      </c>
      <c r="GE198" s="188" t="str">
        <f t="shared" si="554"/>
        <v/>
      </c>
      <c r="GF198" s="188" t="str">
        <f t="shared" si="555"/>
        <v/>
      </c>
      <c r="GG198" s="188" t="str">
        <f t="shared" si="556"/>
        <v/>
      </c>
      <c r="GH198" s="188" t="str">
        <f t="shared" si="557"/>
        <v/>
      </c>
      <c r="GI198" s="188" t="str">
        <f t="shared" si="522"/>
        <v/>
      </c>
      <c r="GJ198" s="205" t="str">
        <f t="shared" si="558"/>
        <v/>
      </c>
      <c r="GK198" s="204" t="str">
        <f t="shared" si="523"/>
        <v/>
      </c>
      <c r="GL198" s="188" t="str">
        <f t="shared" si="559"/>
        <v/>
      </c>
      <c r="GM198" s="188" t="str">
        <f t="shared" si="560"/>
        <v/>
      </c>
      <c r="GN198" s="188" t="str">
        <f t="shared" si="561"/>
        <v/>
      </c>
      <c r="GO198" s="188" t="str">
        <f t="shared" si="562"/>
        <v/>
      </c>
      <c r="GP198" s="188" t="str">
        <f t="shared" si="524"/>
        <v/>
      </c>
      <c r="GQ198" s="205" t="str">
        <f t="shared" si="563"/>
        <v/>
      </c>
      <c r="GR198" s="188" t="str">
        <f t="shared" si="525"/>
        <v/>
      </c>
      <c r="GS198" s="188" t="str">
        <f t="shared" si="526"/>
        <v/>
      </c>
      <c r="GT198" s="206" t="str">
        <f t="shared" si="527"/>
        <v xml:space="preserve">    </v>
      </c>
      <c r="GU198" s="206" t="str">
        <f t="shared" si="528"/>
        <v xml:space="preserve">    </v>
      </c>
      <c r="GV198" s="206" t="str">
        <f t="shared" si="529"/>
        <v xml:space="preserve">    </v>
      </c>
      <c r="GW198" s="206" t="str">
        <f t="shared" si="530"/>
        <v xml:space="preserve">       </v>
      </c>
      <c r="GX198" s="598" t="str">
        <f t="shared" si="531"/>
        <v xml:space="preserve">     </v>
      </c>
      <c r="GY198" s="207" t="str">
        <f t="shared" si="564"/>
        <v/>
      </c>
      <c r="GZ198" s="606" t="str">
        <f>IF(AND(Q198="",AE198="",AZ198="",BW198="",CT198=""),"",IF(AND('Master Sheet'!$D$19="YES",'Marks Entry'!$BA$1=1),SUM(Q198,AE198,AZ198,BW198,DT198),SUM(Q198,AE198,AZ198,BW198,CT198)))</f>
        <v/>
      </c>
      <c r="HA198" s="208" t="str">
        <f>IF(GZ198="","",IF(AND('Master Sheet'!$D$19="YES",'Marks Entry'!$BA$1=1),GZ198/((900)-DC198)*100,GZ198/((1000)-DC198)*100))</f>
        <v/>
      </c>
      <c r="HB198" s="611" t="str">
        <f t="shared" si="532"/>
        <v/>
      </c>
      <c r="HC198" s="609" t="str">
        <f t="shared" si="533"/>
        <v/>
      </c>
      <c r="HD198" s="610" t="str">
        <f t="shared" si="534"/>
        <v/>
      </c>
      <c r="HE198" s="209" t="str">
        <f>IFERROR(IF(OR(GY198="SUPPLEMENTARY",GY198="RE-EXAM"),'Supp. Result Entry'!AS197,""),"")</f>
        <v/>
      </c>
      <c r="HF198" s="613" t="str">
        <f t="shared" si="535"/>
        <v/>
      </c>
      <c r="HG198" s="598" t="str">
        <f t="shared" si="536"/>
        <v/>
      </c>
      <c r="HH198" s="598" t="str">
        <f>IF(AND(HE198="",HF198="",HG198=""),"",IF(OR(GY198="SUPPLEMENTARY",GY198="RE-EXAM"),'Supp. Result Entry'!AS197,GY198))</f>
        <v/>
      </c>
      <c r="HI198" s="179"/>
      <c r="HY198" s="211" t="str">
        <f>IF('Supp. Result Entry'!U197="","",'Supp. Result Entry'!$U$6)</f>
        <v/>
      </c>
      <c r="HZ198" s="212" t="str">
        <f>IF('Supp. Result Entry'!X197="","",'Supp. Result Entry'!$X$6)</f>
        <v/>
      </c>
      <c r="IA198" s="212" t="str">
        <f>IF('Supp. Result Entry'!AA197="","",'Supp. Result Entry'!$AA$6)</f>
        <v/>
      </c>
      <c r="IB198" s="212" t="str">
        <f>IF('Supp. Result Entry'!AD197="","",'Supp. Result Entry'!$AD$6)</f>
        <v/>
      </c>
      <c r="IC198" s="212" t="str">
        <f>IF('Supp. Result Entry'!AG197="","",'Supp. Result Entry'!$AG$6)</f>
        <v/>
      </c>
      <c r="ID198" s="212" t="str">
        <f>IF('Supp. Result Entry'!AJ197="","",'Supp. Result Entry'!$AJ$6)</f>
        <v/>
      </c>
      <c r="IE198" s="212" t="str">
        <f>IF('Supp. Result Entry'!V197="","",'Supp. Result Entry'!V197)</f>
        <v/>
      </c>
      <c r="IF198" s="212" t="str">
        <f>IF('Supp. Result Entry'!Y197="","",'Supp. Result Entry'!Y197)</f>
        <v/>
      </c>
      <c r="IG198" s="212" t="str">
        <f>IF('Supp. Result Entry'!AB197="","",'Supp. Result Entry'!AB197)</f>
        <v/>
      </c>
      <c r="IH198" s="212" t="str">
        <f>IF('Supp. Result Entry'!AE197="","",'Supp. Result Entry'!AE197)</f>
        <v/>
      </c>
      <c r="II198" s="212" t="str">
        <f>IF('Supp. Result Entry'!AH197="","",'Supp. Result Entry'!AH197)</f>
        <v/>
      </c>
      <c r="IJ198" s="212" t="str">
        <f>IF('Supp. Result Entry'!AK197="","",'Supp. Result Entry'!AK197)</f>
        <v/>
      </c>
      <c r="IK198" s="212" t="str">
        <f>IF('Supp. Result Entry'!W197="","",'Supp. Result Entry'!W197)</f>
        <v/>
      </c>
      <c r="IL198" s="212" t="str">
        <f>IF('Supp. Result Entry'!Z197="","",'Supp. Result Entry'!Z197)</f>
        <v/>
      </c>
      <c r="IM198" s="212" t="str">
        <f>IF('Supp. Result Entry'!AC197="","",'Supp. Result Entry'!AC197)</f>
        <v/>
      </c>
      <c r="IN198" s="212" t="str">
        <f>IF('Supp. Result Entry'!AF197="","",'Supp. Result Entry'!AF197)</f>
        <v/>
      </c>
      <c r="IO198" s="212" t="str">
        <f>IF('Supp. Result Entry'!AI197="","",'Supp. Result Entry'!AI197)</f>
        <v/>
      </c>
      <c r="IP198" s="212" t="str">
        <f>IF('Supp. Result Entry'!AL197="","",'Supp. Result Entry'!AL197)</f>
        <v/>
      </c>
      <c r="IQ198" s="212">
        <f>COUNTIF('Supp. Result Entry'!K197:Q197,"S")</f>
        <v>0</v>
      </c>
      <c r="IR198" s="212">
        <f t="shared" si="537"/>
        <v>0</v>
      </c>
      <c r="IS198" s="212">
        <f t="shared" si="538"/>
        <v>0</v>
      </c>
      <c r="IT198" s="212" t="str">
        <f t="shared" si="406"/>
        <v/>
      </c>
      <c r="IU198" s="212" t="str">
        <f t="shared" si="407"/>
        <v/>
      </c>
      <c r="IV198" s="212" t="str">
        <f t="shared" si="408"/>
        <v/>
      </c>
      <c r="IW198" s="212" t="str">
        <f t="shared" si="409"/>
        <v/>
      </c>
      <c r="IX198" s="212" t="str">
        <f t="shared" si="410"/>
        <v/>
      </c>
      <c r="IY198" s="212" t="str">
        <f t="shared" si="539"/>
        <v/>
      </c>
      <c r="IZ198" s="212" t="str">
        <f t="shared" si="540"/>
        <v/>
      </c>
      <c r="JA198" s="212" t="str">
        <f t="shared" si="411"/>
        <v/>
      </c>
      <c r="JB198" s="210" t="str">
        <f t="shared" si="541"/>
        <v/>
      </c>
    </row>
    <row r="199" spans="1:262" s="210" customFormat="1" ht="21" customHeight="1">
      <c r="A199" s="183">
        <v>192</v>
      </c>
      <c r="B199" s="184" t="str">
        <f>IF('Marks Entry'!B199="","",'Marks Entry'!B199)</f>
        <v/>
      </c>
      <c r="C199" s="185" t="str">
        <f>IF('Marks Entry'!D199="","",'Marks Entry'!D199)</f>
        <v/>
      </c>
      <c r="D199" s="186" t="str">
        <f>IF('Marks Entry'!E199="","",'Marks Entry'!E199)</f>
        <v/>
      </c>
      <c r="E199" s="187" t="str">
        <f>IF('Marks Entry'!F199="","",'Marks Entry'!F199)</f>
        <v/>
      </c>
      <c r="F199" s="187" t="str">
        <f>IF('Marks Entry'!G199="","",'Marks Entry'!G199)</f>
        <v/>
      </c>
      <c r="G199" s="187" t="str">
        <f>IF('Marks Entry'!H199="","",'Marks Entry'!H199)</f>
        <v/>
      </c>
      <c r="H199" s="188" t="str">
        <f>IF('Marks Entry'!I199="","",'Marks Entry'!I199)</f>
        <v/>
      </c>
      <c r="I199" s="189" t="str">
        <f>IF('Marks Entry'!J199="","",'Marks Entry'!J199)</f>
        <v/>
      </c>
      <c r="J199" s="545" t="str">
        <f>IF('Marks Entry'!K199="","",'Marks Entry'!K199)</f>
        <v/>
      </c>
      <c r="K199" s="545" t="str">
        <f>IF('Marks Entry'!L199="","",'Marks Entry'!L199)</f>
        <v/>
      </c>
      <c r="L199" s="545" t="str">
        <f>IF('Marks Entry'!M199="","",'Marks Entry'!M199)</f>
        <v/>
      </c>
      <c r="M199" s="546" t="str">
        <f t="shared" si="412"/>
        <v/>
      </c>
      <c r="N199" s="545" t="str">
        <f>IF('Marks Entry'!N199="","",'Marks Entry'!N199)</f>
        <v/>
      </c>
      <c r="O199" s="546" t="str">
        <f t="shared" si="413"/>
        <v/>
      </c>
      <c r="P199" s="545" t="str">
        <f>IF('Marks Entry'!O199="","",'Marks Entry'!O199)</f>
        <v/>
      </c>
      <c r="Q199" s="547" t="str">
        <f t="shared" si="414"/>
        <v/>
      </c>
      <c r="R199" s="152">
        <f t="shared" si="415"/>
        <v>0</v>
      </c>
      <c r="S199" s="152">
        <f t="shared" si="416"/>
        <v>0</v>
      </c>
      <c r="T199" s="153" t="str">
        <f t="shared" si="417"/>
        <v/>
      </c>
      <c r="U199" s="152" t="str">
        <f t="shared" si="418"/>
        <v/>
      </c>
      <c r="V199" s="152" t="str">
        <f t="shared" si="419"/>
        <v/>
      </c>
      <c r="W199" s="152" t="str">
        <f t="shared" si="420"/>
        <v/>
      </c>
      <c r="X199" s="545" t="str">
        <f>IF('Marks Entry'!P199="","",'Marks Entry'!P199)</f>
        <v/>
      </c>
      <c r="Y199" s="545" t="str">
        <f>IF('Marks Entry'!Q199="","",'Marks Entry'!Q199)</f>
        <v/>
      </c>
      <c r="Z199" s="545" t="str">
        <f>IF('Marks Entry'!R199="","",'Marks Entry'!R199)</f>
        <v/>
      </c>
      <c r="AA199" s="546" t="str">
        <f t="shared" si="421"/>
        <v/>
      </c>
      <c r="AB199" s="545" t="str">
        <f>IF('Marks Entry'!S199="","",'Marks Entry'!S199)</f>
        <v/>
      </c>
      <c r="AC199" s="546" t="str">
        <f t="shared" si="422"/>
        <v/>
      </c>
      <c r="AD199" s="545" t="str">
        <f>IF('Marks Entry'!T199="","",'Marks Entry'!T199)</f>
        <v/>
      </c>
      <c r="AE199" s="547" t="str">
        <f t="shared" si="423"/>
        <v/>
      </c>
      <c r="AF199" s="152">
        <f t="shared" si="424"/>
        <v>0</v>
      </c>
      <c r="AG199" s="152">
        <f t="shared" si="425"/>
        <v>0</v>
      </c>
      <c r="AH199" s="153" t="str">
        <f t="shared" si="426"/>
        <v/>
      </c>
      <c r="AI199" s="152" t="str">
        <f t="shared" si="427"/>
        <v/>
      </c>
      <c r="AJ199" s="152" t="str">
        <f t="shared" si="428"/>
        <v/>
      </c>
      <c r="AK199" s="152" t="str">
        <f t="shared" si="429"/>
        <v/>
      </c>
      <c r="AL199" s="573" t="str">
        <f>IF('Marks Entry'!U199="","",'Marks Entry'!U199)</f>
        <v/>
      </c>
      <c r="AM199" s="573" t="str">
        <f>IF('Marks Entry'!V199="","",'Marks Entry'!V199)</f>
        <v/>
      </c>
      <c r="AN199" s="573" t="str">
        <f>IF('Marks Entry'!W199="","",'Marks Entry'!W199)</f>
        <v/>
      </c>
      <c r="AO199" s="573" t="str">
        <f>IF('Marks Entry'!X199="","",'Marks Entry'!X199)</f>
        <v/>
      </c>
      <c r="AP199" s="572" t="str">
        <f t="shared" si="430"/>
        <v/>
      </c>
      <c r="AQ199" s="573" t="str">
        <f>IF('Marks Entry'!Y199="","",'Marks Entry'!Y199)</f>
        <v/>
      </c>
      <c r="AR199" s="573" t="str">
        <f>IF('Marks Entry'!Z199="","",'Marks Entry'!Z199)</f>
        <v/>
      </c>
      <c r="AS199" s="572" t="str">
        <f t="shared" si="431"/>
        <v/>
      </c>
      <c r="AT199" s="572" t="str">
        <f t="shared" si="432"/>
        <v/>
      </c>
      <c r="AU199" s="573" t="str">
        <f>IF('Marks Entry'!AA199="","",'Marks Entry'!AA199)</f>
        <v/>
      </c>
      <c r="AV199" s="573" t="str">
        <f>IF('Marks Entry'!AB199="","",'Marks Entry'!AB199)</f>
        <v/>
      </c>
      <c r="AW199" s="572" t="str">
        <f t="shared" si="433"/>
        <v/>
      </c>
      <c r="AX199" s="156" t="str">
        <f t="shared" si="434"/>
        <v/>
      </c>
      <c r="AY199" s="156" t="str">
        <f t="shared" si="435"/>
        <v/>
      </c>
      <c r="AZ199" s="191" t="str">
        <f t="shared" si="436"/>
        <v/>
      </c>
      <c r="BA199" s="152">
        <f t="shared" si="437"/>
        <v>0</v>
      </c>
      <c r="BB199" s="153">
        <f t="shared" si="438"/>
        <v>0</v>
      </c>
      <c r="BC199" s="153" t="str">
        <f t="shared" si="439"/>
        <v/>
      </c>
      <c r="BD199" s="153" t="str">
        <f t="shared" si="440"/>
        <v/>
      </c>
      <c r="BE199" s="153" t="str">
        <f t="shared" si="441"/>
        <v/>
      </c>
      <c r="BF199" s="152" t="str">
        <f t="shared" si="442"/>
        <v/>
      </c>
      <c r="BG199" s="153" t="str">
        <f t="shared" si="443"/>
        <v/>
      </c>
      <c r="BH199" s="152" t="str">
        <f t="shared" si="444"/>
        <v/>
      </c>
      <c r="BI199" s="580" t="str">
        <f>IF('Marks Entry'!AC199="","",'Marks Entry'!AC199)</f>
        <v/>
      </c>
      <c r="BJ199" s="580" t="str">
        <f>IF('Marks Entry'!AD199="","",'Marks Entry'!AD199)</f>
        <v/>
      </c>
      <c r="BK199" s="580" t="str">
        <f>IF('Marks Entry'!AE199="","",'Marks Entry'!AE199)</f>
        <v/>
      </c>
      <c r="BL199" s="580" t="str">
        <f>IF('Marks Entry'!AF199="","",'Marks Entry'!AF199)</f>
        <v/>
      </c>
      <c r="BM199" s="581" t="str">
        <f t="shared" si="445"/>
        <v/>
      </c>
      <c r="BN199" s="580" t="str">
        <f>IF('Marks Entry'!AG199="","",'Marks Entry'!AG199)</f>
        <v/>
      </c>
      <c r="BO199" s="580" t="str">
        <f>IF('Marks Entry'!AH199="","",'Marks Entry'!AH199)</f>
        <v/>
      </c>
      <c r="BP199" s="581" t="str">
        <f t="shared" si="446"/>
        <v/>
      </c>
      <c r="BQ199" s="581" t="str">
        <f t="shared" si="447"/>
        <v/>
      </c>
      <c r="BR199" s="580" t="str">
        <f>IF('Marks Entry'!AI199="","",'Marks Entry'!AI199)</f>
        <v/>
      </c>
      <c r="BS199" s="580" t="str">
        <f>IF('Marks Entry'!AJ199="","",'Marks Entry'!AJ199)</f>
        <v/>
      </c>
      <c r="BT199" s="581" t="str">
        <f t="shared" si="448"/>
        <v/>
      </c>
      <c r="BU199" s="156" t="str">
        <f t="shared" si="449"/>
        <v/>
      </c>
      <c r="BV199" s="156" t="str">
        <f t="shared" si="450"/>
        <v/>
      </c>
      <c r="BW199" s="191" t="str">
        <f t="shared" si="451"/>
        <v/>
      </c>
      <c r="BX199" s="152">
        <f t="shared" si="452"/>
        <v>0</v>
      </c>
      <c r="BY199" s="153">
        <f t="shared" si="453"/>
        <v>0</v>
      </c>
      <c r="BZ199" s="153" t="str">
        <f t="shared" si="454"/>
        <v/>
      </c>
      <c r="CA199" s="153" t="str">
        <f t="shared" si="455"/>
        <v/>
      </c>
      <c r="CB199" s="153" t="str">
        <f t="shared" si="456"/>
        <v/>
      </c>
      <c r="CC199" s="152" t="str">
        <f t="shared" si="457"/>
        <v/>
      </c>
      <c r="CD199" s="153" t="str">
        <f t="shared" si="458"/>
        <v/>
      </c>
      <c r="CE199" s="152" t="str">
        <f t="shared" si="459"/>
        <v/>
      </c>
      <c r="CF199" s="580" t="str">
        <f>IF('Marks Entry'!AK199="","",'Marks Entry'!AK199)</f>
        <v/>
      </c>
      <c r="CG199" s="580" t="str">
        <f>IF('Marks Entry'!AL199="","",'Marks Entry'!AL199)</f>
        <v/>
      </c>
      <c r="CH199" s="580" t="str">
        <f>IF('Marks Entry'!AM199="","",'Marks Entry'!AM199)</f>
        <v/>
      </c>
      <c r="CI199" s="580" t="str">
        <f>IF('Marks Entry'!AN199="","",'Marks Entry'!AN199)</f>
        <v/>
      </c>
      <c r="CJ199" s="581" t="str">
        <f t="shared" si="460"/>
        <v/>
      </c>
      <c r="CK199" s="580" t="str">
        <f>IF('Marks Entry'!AO199="","",'Marks Entry'!AO199)</f>
        <v/>
      </c>
      <c r="CL199" s="580" t="str">
        <f>IF('Marks Entry'!AP199="","",'Marks Entry'!AP199)</f>
        <v/>
      </c>
      <c r="CM199" s="581" t="str">
        <f t="shared" si="461"/>
        <v/>
      </c>
      <c r="CN199" s="581" t="str">
        <f t="shared" si="462"/>
        <v/>
      </c>
      <c r="CO199" s="580" t="str">
        <f>IF('Marks Entry'!AQ199="","",'Marks Entry'!AQ199)</f>
        <v/>
      </c>
      <c r="CP199" s="580" t="str">
        <f>IF('Marks Entry'!AR199="","",'Marks Entry'!AR199)</f>
        <v/>
      </c>
      <c r="CQ199" s="581" t="str">
        <f t="shared" si="463"/>
        <v/>
      </c>
      <c r="CR199" s="156" t="str">
        <f t="shared" si="464"/>
        <v/>
      </c>
      <c r="CS199" s="156" t="str">
        <f t="shared" si="465"/>
        <v/>
      </c>
      <c r="CT199" s="191" t="str">
        <f t="shared" si="466"/>
        <v/>
      </c>
      <c r="CU199" s="152">
        <f t="shared" si="467"/>
        <v>0</v>
      </c>
      <c r="CV199" s="153">
        <f t="shared" si="468"/>
        <v>0</v>
      </c>
      <c r="CW199" s="153" t="str">
        <f t="shared" si="469"/>
        <v/>
      </c>
      <c r="CX199" s="153" t="str">
        <f t="shared" si="470"/>
        <v/>
      </c>
      <c r="CY199" s="153" t="str">
        <f t="shared" si="471"/>
        <v/>
      </c>
      <c r="CZ199" s="152" t="str">
        <f t="shared" si="472"/>
        <v/>
      </c>
      <c r="DA199" s="153" t="str">
        <f t="shared" si="473"/>
        <v/>
      </c>
      <c r="DB199" s="152" t="str">
        <f t="shared" si="474"/>
        <v/>
      </c>
      <c r="DC199" s="153">
        <f t="shared" si="475"/>
        <v>0</v>
      </c>
      <c r="DD199" s="851" t="str">
        <f>IF('Marks Entry'!AS199="","",IF(OR('Master Sheet'!$D$19="YES",'Marks Entry'!$BA$1=1),'Marks Entry'!AS199,""))</f>
        <v/>
      </c>
      <c r="DE199" s="851" t="str">
        <f>IF('Marks Entry'!AT199="","",IF(OR('Master Sheet'!$D$19="YES",'Marks Entry'!$BA$1=1),'Marks Entry'!AT199,""))</f>
        <v/>
      </c>
      <c r="DF199" s="851" t="str">
        <f>IF('Marks Entry'!AU199="","",IF(OR('Master Sheet'!$D$19="YES",'Marks Entry'!$BA$1=1),'Marks Entry'!AU199,""))</f>
        <v/>
      </c>
      <c r="DG199" s="851" t="str">
        <f>IF('Marks Entry'!AV199="","",IF(OR('Master Sheet'!$D$19="YES",'Marks Entry'!$BA$1=1),'Marks Entry'!AV199,""))</f>
        <v/>
      </c>
      <c r="DH199" s="852" t="str">
        <f t="shared" si="476"/>
        <v/>
      </c>
      <c r="DI199" s="851" t="str">
        <f>IF('Marks Entry'!AW199="","",IF(OR('Master Sheet'!$D$19="YES",'Marks Entry'!$BA$1=1),'Marks Entry'!AW199,""))</f>
        <v/>
      </c>
      <c r="DJ199" s="851" t="str">
        <f>IF('Marks Entry'!AX199="","",IF(OR('Master Sheet'!$D$19="YES",'Marks Entry'!$BA$1=1),'Marks Entry'!AX199,""))</f>
        <v/>
      </c>
      <c r="DK199" s="852" t="str">
        <f t="shared" si="477"/>
        <v/>
      </c>
      <c r="DL199" s="852" t="str">
        <f t="shared" si="478"/>
        <v/>
      </c>
      <c r="DM199" s="851" t="str">
        <f>IF('Marks Entry'!AY199="","",IF(OR('Master Sheet'!$D$19="YES",'Marks Entry'!$BA$1=1),'Marks Entry'!AY199,""))</f>
        <v/>
      </c>
      <c r="DN199" s="851" t="str">
        <f>IF('Marks Entry'!AZ199="","",IF(OR('Master Sheet'!$D$19="YES",'Marks Entry'!$BA$1=1),'Marks Entry'!AZ199,""))</f>
        <v/>
      </c>
      <c r="DO199" s="851" t="str">
        <f>IF('Marks Entry'!BA199="","",IF(OR('Master Sheet'!$D$19="YES",'Marks Entry'!$BA$1=1),'Marks Entry'!BA199,""))</f>
        <v/>
      </c>
      <c r="DP199" s="852" t="str">
        <f t="shared" si="479"/>
        <v/>
      </c>
      <c r="DQ199" s="156" t="str">
        <f t="shared" si="480"/>
        <v/>
      </c>
      <c r="DR199" s="156" t="str">
        <f t="shared" si="481"/>
        <v/>
      </c>
      <c r="DS199" s="156" t="str">
        <f t="shared" si="482"/>
        <v/>
      </c>
      <c r="DT199" s="191" t="str">
        <f t="shared" si="483"/>
        <v/>
      </c>
      <c r="DU199" s="152">
        <f t="shared" si="484"/>
        <v>0</v>
      </c>
      <c r="DV199" s="153">
        <f t="shared" si="485"/>
        <v>0</v>
      </c>
      <c r="DW199" s="153" t="str">
        <f t="shared" si="486"/>
        <v/>
      </c>
      <c r="DX199" s="153" t="str">
        <f>IF(OR($B199="NSO",$B199=0,DS199=""),"",IF(AND(DJ199="",DO199=""),"",IF('Master Sheet'!$D$19="YES",$DO$6-COUNTIF(DO199,"ML")*DO$6,DS$6-(COUNTIF(DJ199,"ML")*DJ$6)-(COUNTIF(DO199,"ML")*DO$6))))</f>
        <v/>
      </c>
      <c r="DY199" s="153" t="str">
        <f>IF(OR($B199="NSO",$B199=0),"",IF(AND(DH199="",DI199="",DM199=""),"",IF(AND('Master Sheet'!$D$19="YES",'Marks Entry'!$BA$1=1),100,IF(AND(DJ199="",DO199=""),SUM(($DQ$7+$DR$7)-(DU199+DV199)),SUM(($DQ$6+$DR$6)-(DU199+DV199))))))</f>
        <v/>
      </c>
      <c r="DZ199" s="152" t="str">
        <f t="shared" si="487"/>
        <v/>
      </c>
      <c r="EA199" s="153" t="str">
        <f t="shared" si="488"/>
        <v/>
      </c>
      <c r="EB199" s="152" t="str">
        <f t="shared" si="489"/>
        <v/>
      </c>
      <c r="EC199" s="584" t="str">
        <f>IF('Marks Entry'!BB199="","",'Marks Entry'!BB199)</f>
        <v/>
      </c>
      <c r="ED199" s="584" t="str">
        <f>IF('Marks Entry'!BC199="","",'Marks Entry'!BC199)</f>
        <v/>
      </c>
      <c r="EE199" s="584" t="str">
        <f>IF('Marks Entry'!BD199="","",'Marks Entry'!BD199)</f>
        <v/>
      </c>
      <c r="EF199" s="590" t="str">
        <f t="shared" si="490"/>
        <v/>
      </c>
      <c r="EG199" s="595">
        <f t="shared" si="491"/>
        <v>0</v>
      </c>
      <c r="EH199" s="595">
        <f t="shared" si="492"/>
        <v>0</v>
      </c>
      <c r="EI199" s="192" t="str">
        <f t="shared" si="493"/>
        <v/>
      </c>
      <c r="EJ199" s="595" t="str">
        <f t="shared" si="494"/>
        <v/>
      </c>
      <c r="EK199" s="595" t="str">
        <f t="shared" si="495"/>
        <v/>
      </c>
      <c r="EL199" s="193" t="str">
        <f t="shared" si="496"/>
        <v/>
      </c>
      <c r="EM199" s="193" t="str">
        <f t="shared" si="497"/>
        <v/>
      </c>
      <c r="EN199" s="193" t="str">
        <f t="shared" si="498"/>
        <v/>
      </c>
      <c r="EO199" s="193" t="str">
        <f t="shared" si="499"/>
        <v/>
      </c>
      <c r="EP199" s="193" t="str">
        <f t="shared" si="500"/>
        <v/>
      </c>
      <c r="EQ199" s="193" t="str">
        <f t="shared" si="501"/>
        <v/>
      </c>
      <c r="ER199" s="194">
        <f t="shared" si="502"/>
        <v>0</v>
      </c>
      <c r="ES199" s="194">
        <f t="shared" si="503"/>
        <v>0</v>
      </c>
      <c r="ET199" s="194">
        <f t="shared" si="504"/>
        <v>0</v>
      </c>
      <c r="EU199" s="194">
        <f t="shared" si="505"/>
        <v>0</v>
      </c>
      <c r="EV199" s="194">
        <f t="shared" si="506"/>
        <v>0</v>
      </c>
      <c r="EW199" s="194" t="str">
        <f t="shared" si="507"/>
        <v/>
      </c>
      <c r="EX199" s="195" t="str">
        <f t="shared" si="508"/>
        <v/>
      </c>
      <c r="EY199" s="196" t="str">
        <f>IF('Marks Entry'!BE199="","",'Marks Entry'!BE199)</f>
        <v/>
      </c>
      <c r="EZ199" s="196" t="str">
        <f>IF('Marks Entry'!BF199="","",'Marks Entry'!BF199)</f>
        <v/>
      </c>
      <c r="FA199" s="196" t="str">
        <f>IF('Marks Entry'!BG199="","",'Marks Entry'!BG199)</f>
        <v/>
      </c>
      <c r="FB199" s="596" t="str">
        <f t="shared" si="509"/>
        <v/>
      </c>
      <c r="FC199" s="196" t="str">
        <f>IF('Marks Entry'!BH199="","",'Marks Entry'!BH199)</f>
        <v/>
      </c>
      <c r="FD199" s="196" t="str">
        <f>IF('Marks Entry'!BI199="","",'Marks Entry'!BI199)</f>
        <v/>
      </c>
      <c r="FE199" s="197" t="str">
        <f t="shared" si="510"/>
        <v/>
      </c>
      <c r="FF199" s="198" t="str">
        <f t="shared" si="511"/>
        <v/>
      </c>
      <c r="FG199" s="199" t="str">
        <f>IF(AND(E199=""),"",IF('Student DATA Entry'!L195="","",'Student DATA Entry'!L195))</f>
        <v/>
      </c>
      <c r="FH199" s="200" t="str">
        <f>IF(AND(E199=""),"",IF('Student DATA Entry'!M195="","",'Student DATA Entry'!M195))</f>
        <v/>
      </c>
      <c r="FI199" s="201" t="str">
        <f t="shared" si="512"/>
        <v/>
      </c>
      <c r="FJ199" s="188" t="str">
        <f t="shared" si="513"/>
        <v/>
      </c>
      <c r="FK199" s="188" t="str">
        <f t="shared" si="514"/>
        <v/>
      </c>
      <c r="FL199" s="202" t="str">
        <f t="shared" si="542"/>
        <v/>
      </c>
      <c r="FM199" s="188" t="str">
        <f t="shared" si="515"/>
        <v/>
      </c>
      <c r="FN199" s="203" t="str">
        <f t="shared" si="516"/>
        <v/>
      </c>
      <c r="FO199" s="202" t="str">
        <f t="shared" si="543"/>
        <v/>
      </c>
      <c r="FP199" s="204" t="str">
        <f t="shared" si="517"/>
        <v/>
      </c>
      <c r="FQ199" s="188" t="str">
        <f t="shared" si="544"/>
        <v/>
      </c>
      <c r="FR199" s="188" t="str">
        <f t="shared" si="545"/>
        <v/>
      </c>
      <c r="FS199" s="188" t="str">
        <f t="shared" si="546"/>
        <v/>
      </c>
      <c r="FT199" s="188" t="str">
        <f t="shared" si="547"/>
        <v/>
      </c>
      <c r="FU199" s="188" t="str">
        <f t="shared" si="518"/>
        <v/>
      </c>
      <c r="FV199" s="205" t="str">
        <f t="shared" si="548"/>
        <v/>
      </c>
      <c r="FW199" s="204" t="str">
        <f t="shared" si="519"/>
        <v/>
      </c>
      <c r="FX199" s="188" t="str">
        <f t="shared" si="549"/>
        <v/>
      </c>
      <c r="FY199" s="188" t="str">
        <f t="shared" si="550"/>
        <v/>
      </c>
      <c r="FZ199" s="188" t="str">
        <f t="shared" si="551"/>
        <v/>
      </c>
      <c r="GA199" s="188" t="str">
        <f t="shared" si="552"/>
        <v/>
      </c>
      <c r="GB199" s="188" t="str">
        <f t="shared" si="520"/>
        <v/>
      </c>
      <c r="GC199" s="205" t="str">
        <f t="shared" si="553"/>
        <v/>
      </c>
      <c r="GD199" s="204" t="str">
        <f t="shared" si="521"/>
        <v/>
      </c>
      <c r="GE199" s="188" t="str">
        <f t="shared" si="554"/>
        <v/>
      </c>
      <c r="GF199" s="188" t="str">
        <f t="shared" si="555"/>
        <v/>
      </c>
      <c r="GG199" s="188" t="str">
        <f t="shared" si="556"/>
        <v/>
      </c>
      <c r="GH199" s="188" t="str">
        <f t="shared" si="557"/>
        <v/>
      </c>
      <c r="GI199" s="188" t="str">
        <f t="shared" si="522"/>
        <v/>
      </c>
      <c r="GJ199" s="205" t="str">
        <f t="shared" si="558"/>
        <v/>
      </c>
      <c r="GK199" s="204" t="str">
        <f t="shared" si="523"/>
        <v/>
      </c>
      <c r="GL199" s="188" t="str">
        <f t="shared" si="559"/>
        <v/>
      </c>
      <c r="GM199" s="188" t="str">
        <f t="shared" si="560"/>
        <v/>
      </c>
      <c r="GN199" s="188" t="str">
        <f t="shared" si="561"/>
        <v/>
      </c>
      <c r="GO199" s="188" t="str">
        <f t="shared" si="562"/>
        <v/>
      </c>
      <c r="GP199" s="188" t="str">
        <f t="shared" si="524"/>
        <v/>
      </c>
      <c r="GQ199" s="205" t="str">
        <f t="shared" si="563"/>
        <v/>
      </c>
      <c r="GR199" s="188" t="str">
        <f t="shared" si="525"/>
        <v/>
      </c>
      <c r="GS199" s="188" t="str">
        <f t="shared" si="526"/>
        <v/>
      </c>
      <c r="GT199" s="206" t="str">
        <f t="shared" si="527"/>
        <v xml:space="preserve">    </v>
      </c>
      <c r="GU199" s="206" t="str">
        <f t="shared" si="528"/>
        <v xml:space="preserve">    </v>
      </c>
      <c r="GV199" s="206" t="str">
        <f t="shared" si="529"/>
        <v xml:space="preserve">    </v>
      </c>
      <c r="GW199" s="206" t="str">
        <f t="shared" si="530"/>
        <v xml:space="preserve">       </v>
      </c>
      <c r="GX199" s="598" t="str">
        <f t="shared" si="531"/>
        <v xml:space="preserve">     </v>
      </c>
      <c r="GY199" s="207" t="str">
        <f t="shared" si="564"/>
        <v/>
      </c>
      <c r="GZ199" s="606" t="str">
        <f>IF(AND(Q199="",AE199="",AZ199="",BW199="",CT199=""),"",IF(AND('Master Sheet'!$D$19="YES",'Marks Entry'!$BA$1=1),SUM(Q199,AE199,AZ199,BW199,DT199),SUM(Q199,AE199,AZ199,BW199,CT199)))</f>
        <v/>
      </c>
      <c r="HA199" s="208" t="str">
        <f>IF(GZ199="","",IF(AND('Master Sheet'!$D$19="YES",'Marks Entry'!$BA$1=1),GZ199/((900)-DC199)*100,GZ199/((1000)-DC199)*100))</f>
        <v/>
      </c>
      <c r="HB199" s="611" t="str">
        <f t="shared" si="532"/>
        <v/>
      </c>
      <c r="HC199" s="609" t="str">
        <f t="shared" si="533"/>
        <v/>
      </c>
      <c r="HD199" s="610" t="str">
        <f t="shared" si="534"/>
        <v/>
      </c>
      <c r="HE199" s="209" t="str">
        <f>IFERROR(IF(OR(GY199="SUPPLEMENTARY",GY199="RE-EXAM"),'Supp. Result Entry'!AS198,""),"")</f>
        <v/>
      </c>
      <c r="HF199" s="613" t="str">
        <f t="shared" si="535"/>
        <v/>
      </c>
      <c r="HG199" s="598" t="str">
        <f t="shared" si="536"/>
        <v/>
      </c>
      <c r="HH199" s="598" t="str">
        <f>IF(AND(HE199="",HF199="",HG199=""),"",IF(OR(GY199="SUPPLEMENTARY",GY199="RE-EXAM"),'Supp. Result Entry'!AS198,GY199))</f>
        <v/>
      </c>
      <c r="HI199" s="179"/>
      <c r="HY199" s="211" t="str">
        <f>IF('Supp. Result Entry'!U198="","",'Supp. Result Entry'!$U$6)</f>
        <v/>
      </c>
      <c r="HZ199" s="212" t="str">
        <f>IF('Supp. Result Entry'!X198="","",'Supp. Result Entry'!$X$6)</f>
        <v/>
      </c>
      <c r="IA199" s="212" t="str">
        <f>IF('Supp. Result Entry'!AA198="","",'Supp. Result Entry'!$AA$6)</f>
        <v/>
      </c>
      <c r="IB199" s="212" t="str">
        <f>IF('Supp. Result Entry'!AD198="","",'Supp. Result Entry'!$AD$6)</f>
        <v/>
      </c>
      <c r="IC199" s="212" t="str">
        <f>IF('Supp. Result Entry'!AG198="","",'Supp. Result Entry'!$AG$6)</f>
        <v/>
      </c>
      <c r="ID199" s="212" t="str">
        <f>IF('Supp. Result Entry'!AJ198="","",'Supp. Result Entry'!$AJ$6)</f>
        <v/>
      </c>
      <c r="IE199" s="212" t="str">
        <f>IF('Supp. Result Entry'!V198="","",'Supp. Result Entry'!V198)</f>
        <v/>
      </c>
      <c r="IF199" s="212" t="str">
        <f>IF('Supp. Result Entry'!Y198="","",'Supp. Result Entry'!Y198)</f>
        <v/>
      </c>
      <c r="IG199" s="212" t="str">
        <f>IF('Supp. Result Entry'!AB198="","",'Supp. Result Entry'!AB198)</f>
        <v/>
      </c>
      <c r="IH199" s="212" t="str">
        <f>IF('Supp. Result Entry'!AE198="","",'Supp. Result Entry'!AE198)</f>
        <v/>
      </c>
      <c r="II199" s="212" t="str">
        <f>IF('Supp. Result Entry'!AH198="","",'Supp. Result Entry'!AH198)</f>
        <v/>
      </c>
      <c r="IJ199" s="212" t="str">
        <f>IF('Supp. Result Entry'!AK198="","",'Supp. Result Entry'!AK198)</f>
        <v/>
      </c>
      <c r="IK199" s="212" t="str">
        <f>IF('Supp. Result Entry'!W198="","",'Supp. Result Entry'!W198)</f>
        <v/>
      </c>
      <c r="IL199" s="212" t="str">
        <f>IF('Supp. Result Entry'!Z198="","",'Supp. Result Entry'!Z198)</f>
        <v/>
      </c>
      <c r="IM199" s="212" t="str">
        <f>IF('Supp. Result Entry'!AC198="","",'Supp. Result Entry'!AC198)</f>
        <v/>
      </c>
      <c r="IN199" s="212" t="str">
        <f>IF('Supp. Result Entry'!AF198="","",'Supp. Result Entry'!AF198)</f>
        <v/>
      </c>
      <c r="IO199" s="212" t="str">
        <f>IF('Supp. Result Entry'!AI198="","",'Supp. Result Entry'!AI198)</f>
        <v/>
      </c>
      <c r="IP199" s="212" t="str">
        <f>IF('Supp. Result Entry'!AL198="","",'Supp. Result Entry'!AL198)</f>
        <v/>
      </c>
      <c r="IQ199" s="212">
        <f>COUNTIF('Supp. Result Entry'!K198:Q198,"S")</f>
        <v>0</v>
      </c>
      <c r="IR199" s="212">
        <f t="shared" si="537"/>
        <v>0</v>
      </c>
      <c r="IS199" s="212">
        <f t="shared" si="538"/>
        <v>0</v>
      </c>
      <c r="IT199" s="212" t="str">
        <f t="shared" si="406"/>
        <v/>
      </c>
      <c r="IU199" s="212" t="str">
        <f t="shared" si="407"/>
        <v/>
      </c>
      <c r="IV199" s="212" t="str">
        <f t="shared" si="408"/>
        <v/>
      </c>
      <c r="IW199" s="212" t="str">
        <f t="shared" si="409"/>
        <v/>
      </c>
      <c r="IX199" s="212" t="str">
        <f t="shared" si="410"/>
        <v/>
      </c>
      <c r="IY199" s="212" t="str">
        <f t="shared" si="539"/>
        <v/>
      </c>
      <c r="IZ199" s="212" t="str">
        <f t="shared" si="540"/>
        <v/>
      </c>
      <c r="JA199" s="212" t="str">
        <f t="shared" si="411"/>
        <v/>
      </c>
      <c r="JB199" s="210" t="str">
        <f t="shared" si="541"/>
        <v/>
      </c>
    </row>
    <row r="200" spans="1:262" s="210" customFormat="1" ht="21" customHeight="1">
      <c r="A200" s="183">
        <v>193</v>
      </c>
      <c r="B200" s="184" t="str">
        <f>IF('Marks Entry'!B200="","",'Marks Entry'!B200)</f>
        <v/>
      </c>
      <c r="C200" s="185" t="str">
        <f>IF('Marks Entry'!D200="","",'Marks Entry'!D200)</f>
        <v/>
      </c>
      <c r="D200" s="186" t="str">
        <f>IF('Marks Entry'!E200="","",'Marks Entry'!E200)</f>
        <v/>
      </c>
      <c r="E200" s="187" t="str">
        <f>IF('Marks Entry'!F200="","",'Marks Entry'!F200)</f>
        <v/>
      </c>
      <c r="F200" s="187" t="str">
        <f>IF('Marks Entry'!G200="","",'Marks Entry'!G200)</f>
        <v/>
      </c>
      <c r="G200" s="187" t="str">
        <f>IF('Marks Entry'!H200="","",'Marks Entry'!H200)</f>
        <v/>
      </c>
      <c r="H200" s="188" t="str">
        <f>IF('Marks Entry'!I200="","",'Marks Entry'!I200)</f>
        <v/>
      </c>
      <c r="I200" s="189" t="str">
        <f>IF('Marks Entry'!J200="","",'Marks Entry'!J200)</f>
        <v/>
      </c>
      <c r="J200" s="545" t="str">
        <f>IF('Marks Entry'!K200="","",'Marks Entry'!K200)</f>
        <v/>
      </c>
      <c r="K200" s="545" t="str">
        <f>IF('Marks Entry'!L200="","",'Marks Entry'!L200)</f>
        <v/>
      </c>
      <c r="L200" s="545" t="str">
        <f>IF('Marks Entry'!M200="","",'Marks Entry'!M200)</f>
        <v/>
      </c>
      <c r="M200" s="546" t="str">
        <f t="shared" si="412"/>
        <v/>
      </c>
      <c r="N200" s="545" t="str">
        <f>IF('Marks Entry'!N200="","",'Marks Entry'!N200)</f>
        <v/>
      </c>
      <c r="O200" s="546" t="str">
        <f t="shared" si="413"/>
        <v/>
      </c>
      <c r="P200" s="545" t="str">
        <f>IF('Marks Entry'!O200="","",'Marks Entry'!O200)</f>
        <v/>
      </c>
      <c r="Q200" s="547" t="str">
        <f t="shared" si="414"/>
        <v/>
      </c>
      <c r="R200" s="152">
        <f t="shared" si="415"/>
        <v>0</v>
      </c>
      <c r="S200" s="152">
        <f t="shared" si="416"/>
        <v>0</v>
      </c>
      <c r="T200" s="153" t="str">
        <f t="shared" si="417"/>
        <v/>
      </c>
      <c r="U200" s="152" t="str">
        <f t="shared" si="418"/>
        <v/>
      </c>
      <c r="V200" s="152" t="str">
        <f t="shared" si="419"/>
        <v/>
      </c>
      <c r="W200" s="152" t="str">
        <f t="shared" si="420"/>
        <v/>
      </c>
      <c r="X200" s="545" t="str">
        <f>IF('Marks Entry'!P200="","",'Marks Entry'!P200)</f>
        <v/>
      </c>
      <c r="Y200" s="545" t="str">
        <f>IF('Marks Entry'!Q200="","",'Marks Entry'!Q200)</f>
        <v/>
      </c>
      <c r="Z200" s="545" t="str">
        <f>IF('Marks Entry'!R200="","",'Marks Entry'!R200)</f>
        <v/>
      </c>
      <c r="AA200" s="546" t="str">
        <f t="shared" si="421"/>
        <v/>
      </c>
      <c r="AB200" s="545" t="str">
        <f>IF('Marks Entry'!S200="","",'Marks Entry'!S200)</f>
        <v/>
      </c>
      <c r="AC200" s="546" t="str">
        <f t="shared" si="422"/>
        <v/>
      </c>
      <c r="AD200" s="545" t="str">
        <f>IF('Marks Entry'!T200="","",'Marks Entry'!T200)</f>
        <v/>
      </c>
      <c r="AE200" s="547" t="str">
        <f t="shared" si="423"/>
        <v/>
      </c>
      <c r="AF200" s="152">
        <f t="shared" si="424"/>
        <v>0</v>
      </c>
      <c r="AG200" s="152">
        <f t="shared" si="425"/>
        <v>0</v>
      </c>
      <c r="AH200" s="153" t="str">
        <f t="shared" si="426"/>
        <v/>
      </c>
      <c r="AI200" s="152" t="str">
        <f t="shared" si="427"/>
        <v/>
      </c>
      <c r="AJ200" s="152" t="str">
        <f t="shared" si="428"/>
        <v/>
      </c>
      <c r="AK200" s="152" t="str">
        <f t="shared" si="429"/>
        <v/>
      </c>
      <c r="AL200" s="573" t="str">
        <f>IF('Marks Entry'!U200="","",'Marks Entry'!U200)</f>
        <v/>
      </c>
      <c r="AM200" s="573" t="str">
        <f>IF('Marks Entry'!V200="","",'Marks Entry'!V200)</f>
        <v/>
      </c>
      <c r="AN200" s="573" t="str">
        <f>IF('Marks Entry'!W200="","",'Marks Entry'!W200)</f>
        <v/>
      </c>
      <c r="AO200" s="573" t="str">
        <f>IF('Marks Entry'!X200="","",'Marks Entry'!X200)</f>
        <v/>
      </c>
      <c r="AP200" s="572" t="str">
        <f t="shared" si="430"/>
        <v/>
      </c>
      <c r="AQ200" s="573" t="str">
        <f>IF('Marks Entry'!Y200="","",'Marks Entry'!Y200)</f>
        <v/>
      </c>
      <c r="AR200" s="573" t="str">
        <f>IF('Marks Entry'!Z200="","",'Marks Entry'!Z200)</f>
        <v/>
      </c>
      <c r="AS200" s="572" t="str">
        <f t="shared" si="431"/>
        <v/>
      </c>
      <c r="AT200" s="572" t="str">
        <f t="shared" si="432"/>
        <v/>
      </c>
      <c r="AU200" s="573" t="str">
        <f>IF('Marks Entry'!AA200="","",'Marks Entry'!AA200)</f>
        <v/>
      </c>
      <c r="AV200" s="573" t="str">
        <f>IF('Marks Entry'!AB200="","",'Marks Entry'!AB200)</f>
        <v/>
      </c>
      <c r="AW200" s="572" t="str">
        <f t="shared" si="433"/>
        <v/>
      </c>
      <c r="AX200" s="156" t="str">
        <f t="shared" si="434"/>
        <v/>
      </c>
      <c r="AY200" s="156" t="str">
        <f t="shared" si="435"/>
        <v/>
      </c>
      <c r="AZ200" s="191" t="str">
        <f t="shared" si="436"/>
        <v/>
      </c>
      <c r="BA200" s="152">
        <f t="shared" si="437"/>
        <v>0</v>
      </c>
      <c r="BB200" s="153">
        <f t="shared" si="438"/>
        <v>0</v>
      </c>
      <c r="BC200" s="153" t="str">
        <f t="shared" si="439"/>
        <v/>
      </c>
      <c r="BD200" s="153" t="str">
        <f t="shared" si="440"/>
        <v/>
      </c>
      <c r="BE200" s="153" t="str">
        <f t="shared" si="441"/>
        <v/>
      </c>
      <c r="BF200" s="152" t="str">
        <f t="shared" si="442"/>
        <v/>
      </c>
      <c r="BG200" s="153" t="str">
        <f t="shared" si="443"/>
        <v/>
      </c>
      <c r="BH200" s="152" t="str">
        <f t="shared" si="444"/>
        <v/>
      </c>
      <c r="BI200" s="580" t="str">
        <f>IF('Marks Entry'!AC200="","",'Marks Entry'!AC200)</f>
        <v/>
      </c>
      <c r="BJ200" s="580" t="str">
        <f>IF('Marks Entry'!AD200="","",'Marks Entry'!AD200)</f>
        <v/>
      </c>
      <c r="BK200" s="580" t="str">
        <f>IF('Marks Entry'!AE200="","",'Marks Entry'!AE200)</f>
        <v/>
      </c>
      <c r="BL200" s="580" t="str">
        <f>IF('Marks Entry'!AF200="","",'Marks Entry'!AF200)</f>
        <v/>
      </c>
      <c r="BM200" s="581" t="str">
        <f t="shared" si="445"/>
        <v/>
      </c>
      <c r="BN200" s="580" t="str">
        <f>IF('Marks Entry'!AG200="","",'Marks Entry'!AG200)</f>
        <v/>
      </c>
      <c r="BO200" s="580" t="str">
        <f>IF('Marks Entry'!AH200="","",'Marks Entry'!AH200)</f>
        <v/>
      </c>
      <c r="BP200" s="581" t="str">
        <f t="shared" si="446"/>
        <v/>
      </c>
      <c r="BQ200" s="581" t="str">
        <f t="shared" si="447"/>
        <v/>
      </c>
      <c r="BR200" s="580" t="str">
        <f>IF('Marks Entry'!AI200="","",'Marks Entry'!AI200)</f>
        <v/>
      </c>
      <c r="BS200" s="580" t="str">
        <f>IF('Marks Entry'!AJ200="","",'Marks Entry'!AJ200)</f>
        <v/>
      </c>
      <c r="BT200" s="581" t="str">
        <f t="shared" si="448"/>
        <v/>
      </c>
      <c r="BU200" s="156" t="str">
        <f t="shared" si="449"/>
        <v/>
      </c>
      <c r="BV200" s="156" t="str">
        <f t="shared" si="450"/>
        <v/>
      </c>
      <c r="BW200" s="191" t="str">
        <f t="shared" si="451"/>
        <v/>
      </c>
      <c r="BX200" s="152">
        <f t="shared" si="452"/>
        <v>0</v>
      </c>
      <c r="BY200" s="153">
        <f t="shared" si="453"/>
        <v>0</v>
      </c>
      <c r="BZ200" s="153" t="str">
        <f t="shared" si="454"/>
        <v/>
      </c>
      <c r="CA200" s="153" t="str">
        <f t="shared" si="455"/>
        <v/>
      </c>
      <c r="CB200" s="153" t="str">
        <f t="shared" si="456"/>
        <v/>
      </c>
      <c r="CC200" s="152" t="str">
        <f t="shared" si="457"/>
        <v/>
      </c>
      <c r="CD200" s="153" t="str">
        <f t="shared" si="458"/>
        <v/>
      </c>
      <c r="CE200" s="152" t="str">
        <f t="shared" si="459"/>
        <v/>
      </c>
      <c r="CF200" s="580" t="str">
        <f>IF('Marks Entry'!AK200="","",'Marks Entry'!AK200)</f>
        <v/>
      </c>
      <c r="CG200" s="580" t="str">
        <f>IF('Marks Entry'!AL200="","",'Marks Entry'!AL200)</f>
        <v/>
      </c>
      <c r="CH200" s="580" t="str">
        <f>IF('Marks Entry'!AM200="","",'Marks Entry'!AM200)</f>
        <v/>
      </c>
      <c r="CI200" s="580" t="str">
        <f>IF('Marks Entry'!AN200="","",'Marks Entry'!AN200)</f>
        <v/>
      </c>
      <c r="CJ200" s="581" t="str">
        <f t="shared" si="460"/>
        <v/>
      </c>
      <c r="CK200" s="580" t="str">
        <f>IF('Marks Entry'!AO200="","",'Marks Entry'!AO200)</f>
        <v/>
      </c>
      <c r="CL200" s="580" t="str">
        <f>IF('Marks Entry'!AP200="","",'Marks Entry'!AP200)</f>
        <v/>
      </c>
      <c r="CM200" s="581" t="str">
        <f t="shared" si="461"/>
        <v/>
      </c>
      <c r="CN200" s="581" t="str">
        <f t="shared" si="462"/>
        <v/>
      </c>
      <c r="CO200" s="580" t="str">
        <f>IF('Marks Entry'!AQ200="","",'Marks Entry'!AQ200)</f>
        <v/>
      </c>
      <c r="CP200" s="580" t="str">
        <f>IF('Marks Entry'!AR200="","",'Marks Entry'!AR200)</f>
        <v/>
      </c>
      <c r="CQ200" s="581" t="str">
        <f t="shared" si="463"/>
        <v/>
      </c>
      <c r="CR200" s="156" t="str">
        <f t="shared" si="464"/>
        <v/>
      </c>
      <c r="CS200" s="156" t="str">
        <f t="shared" si="465"/>
        <v/>
      </c>
      <c r="CT200" s="191" t="str">
        <f t="shared" si="466"/>
        <v/>
      </c>
      <c r="CU200" s="152">
        <f t="shared" si="467"/>
        <v>0</v>
      </c>
      <c r="CV200" s="153">
        <f t="shared" si="468"/>
        <v>0</v>
      </c>
      <c r="CW200" s="153" t="str">
        <f t="shared" si="469"/>
        <v/>
      </c>
      <c r="CX200" s="153" t="str">
        <f t="shared" si="470"/>
        <v/>
      </c>
      <c r="CY200" s="153" t="str">
        <f t="shared" si="471"/>
        <v/>
      </c>
      <c r="CZ200" s="152" t="str">
        <f t="shared" si="472"/>
        <v/>
      </c>
      <c r="DA200" s="153" t="str">
        <f t="shared" si="473"/>
        <v/>
      </c>
      <c r="DB200" s="152" t="str">
        <f t="shared" si="474"/>
        <v/>
      </c>
      <c r="DC200" s="153">
        <f t="shared" si="475"/>
        <v>0</v>
      </c>
      <c r="DD200" s="851" t="str">
        <f>IF('Marks Entry'!AS200="","",IF(OR('Master Sheet'!$D$19="YES",'Marks Entry'!$BA$1=1),'Marks Entry'!AS200,""))</f>
        <v/>
      </c>
      <c r="DE200" s="851" t="str">
        <f>IF('Marks Entry'!AT200="","",IF(OR('Master Sheet'!$D$19="YES",'Marks Entry'!$BA$1=1),'Marks Entry'!AT200,""))</f>
        <v/>
      </c>
      <c r="DF200" s="851" t="str">
        <f>IF('Marks Entry'!AU200="","",IF(OR('Master Sheet'!$D$19="YES",'Marks Entry'!$BA$1=1),'Marks Entry'!AU200,""))</f>
        <v/>
      </c>
      <c r="DG200" s="851" t="str">
        <f>IF('Marks Entry'!AV200="","",IF(OR('Master Sheet'!$D$19="YES",'Marks Entry'!$BA$1=1),'Marks Entry'!AV200,""))</f>
        <v/>
      </c>
      <c r="DH200" s="852" t="str">
        <f t="shared" si="476"/>
        <v/>
      </c>
      <c r="DI200" s="851" t="str">
        <f>IF('Marks Entry'!AW200="","",IF(OR('Master Sheet'!$D$19="YES",'Marks Entry'!$BA$1=1),'Marks Entry'!AW200,""))</f>
        <v/>
      </c>
      <c r="DJ200" s="851" t="str">
        <f>IF('Marks Entry'!AX200="","",IF(OR('Master Sheet'!$D$19="YES",'Marks Entry'!$BA$1=1),'Marks Entry'!AX200,""))</f>
        <v/>
      </c>
      <c r="DK200" s="852" t="str">
        <f t="shared" si="477"/>
        <v/>
      </c>
      <c r="DL200" s="852" t="str">
        <f t="shared" si="478"/>
        <v/>
      </c>
      <c r="DM200" s="851" t="str">
        <f>IF('Marks Entry'!AY200="","",IF(OR('Master Sheet'!$D$19="YES",'Marks Entry'!$BA$1=1),'Marks Entry'!AY200,""))</f>
        <v/>
      </c>
      <c r="DN200" s="851" t="str">
        <f>IF('Marks Entry'!AZ200="","",IF(OR('Master Sheet'!$D$19="YES",'Marks Entry'!$BA$1=1),'Marks Entry'!AZ200,""))</f>
        <v/>
      </c>
      <c r="DO200" s="851" t="str">
        <f>IF('Marks Entry'!BA200="","",IF(OR('Master Sheet'!$D$19="YES",'Marks Entry'!$BA$1=1),'Marks Entry'!BA200,""))</f>
        <v/>
      </c>
      <c r="DP200" s="852" t="str">
        <f t="shared" si="479"/>
        <v/>
      </c>
      <c r="DQ200" s="156" t="str">
        <f t="shared" si="480"/>
        <v/>
      </c>
      <c r="DR200" s="156" t="str">
        <f t="shared" si="481"/>
        <v/>
      </c>
      <c r="DS200" s="156" t="str">
        <f t="shared" si="482"/>
        <v/>
      </c>
      <c r="DT200" s="191" t="str">
        <f t="shared" si="483"/>
        <v/>
      </c>
      <c r="DU200" s="152">
        <f t="shared" si="484"/>
        <v>0</v>
      </c>
      <c r="DV200" s="153">
        <f t="shared" si="485"/>
        <v>0</v>
      </c>
      <c r="DW200" s="153" t="str">
        <f t="shared" si="486"/>
        <v/>
      </c>
      <c r="DX200" s="153" t="str">
        <f>IF(OR($B200="NSO",$B200=0,DS200=""),"",IF(AND(DJ200="",DO200=""),"",IF('Master Sheet'!$D$19="YES",$DO$6-COUNTIF(DO200,"ML")*DO$6,DS$6-(COUNTIF(DJ200,"ML")*DJ$6)-(COUNTIF(DO200,"ML")*DO$6))))</f>
        <v/>
      </c>
      <c r="DY200" s="153" t="str">
        <f>IF(OR($B200="NSO",$B200=0),"",IF(AND(DH200="",DI200="",DM200=""),"",IF(AND('Master Sheet'!$D$19="YES",'Marks Entry'!$BA$1=1),100,IF(AND(DJ200="",DO200=""),SUM(($DQ$7+$DR$7)-(DU200+DV200)),SUM(($DQ$6+$DR$6)-(DU200+DV200))))))</f>
        <v/>
      </c>
      <c r="DZ200" s="152" t="str">
        <f t="shared" si="487"/>
        <v/>
      </c>
      <c r="EA200" s="153" t="str">
        <f t="shared" si="488"/>
        <v/>
      </c>
      <c r="EB200" s="152" t="str">
        <f t="shared" si="489"/>
        <v/>
      </c>
      <c r="EC200" s="584" t="str">
        <f>IF('Marks Entry'!BB200="","",'Marks Entry'!BB200)</f>
        <v/>
      </c>
      <c r="ED200" s="584" t="str">
        <f>IF('Marks Entry'!BC200="","",'Marks Entry'!BC200)</f>
        <v/>
      </c>
      <c r="EE200" s="584" t="str">
        <f>IF('Marks Entry'!BD200="","",'Marks Entry'!BD200)</f>
        <v/>
      </c>
      <c r="EF200" s="590" t="str">
        <f t="shared" si="490"/>
        <v/>
      </c>
      <c r="EG200" s="595">
        <f t="shared" si="491"/>
        <v>0</v>
      </c>
      <c r="EH200" s="595">
        <f t="shared" si="492"/>
        <v>0</v>
      </c>
      <c r="EI200" s="192" t="str">
        <f t="shared" si="493"/>
        <v/>
      </c>
      <c r="EJ200" s="595" t="str">
        <f t="shared" si="494"/>
        <v/>
      </c>
      <c r="EK200" s="595" t="str">
        <f t="shared" si="495"/>
        <v/>
      </c>
      <c r="EL200" s="193" t="str">
        <f t="shared" si="496"/>
        <v/>
      </c>
      <c r="EM200" s="193" t="str">
        <f t="shared" si="497"/>
        <v/>
      </c>
      <c r="EN200" s="193" t="str">
        <f t="shared" si="498"/>
        <v/>
      </c>
      <c r="EO200" s="193" t="str">
        <f t="shared" si="499"/>
        <v/>
      </c>
      <c r="EP200" s="193" t="str">
        <f t="shared" si="500"/>
        <v/>
      </c>
      <c r="EQ200" s="193" t="str">
        <f t="shared" si="501"/>
        <v/>
      </c>
      <c r="ER200" s="194">
        <f t="shared" si="502"/>
        <v>0</v>
      </c>
      <c r="ES200" s="194">
        <f t="shared" si="503"/>
        <v>0</v>
      </c>
      <c r="ET200" s="194">
        <f t="shared" si="504"/>
        <v>0</v>
      </c>
      <c r="EU200" s="194">
        <f t="shared" si="505"/>
        <v>0</v>
      </c>
      <c r="EV200" s="194">
        <f t="shared" si="506"/>
        <v>0</v>
      </c>
      <c r="EW200" s="194" t="str">
        <f t="shared" si="507"/>
        <v/>
      </c>
      <c r="EX200" s="195" t="str">
        <f t="shared" si="508"/>
        <v/>
      </c>
      <c r="EY200" s="196" t="str">
        <f>IF('Marks Entry'!BE200="","",'Marks Entry'!BE200)</f>
        <v/>
      </c>
      <c r="EZ200" s="196" t="str">
        <f>IF('Marks Entry'!BF200="","",'Marks Entry'!BF200)</f>
        <v/>
      </c>
      <c r="FA200" s="196" t="str">
        <f>IF('Marks Entry'!BG200="","",'Marks Entry'!BG200)</f>
        <v/>
      </c>
      <c r="FB200" s="596" t="str">
        <f t="shared" si="509"/>
        <v/>
      </c>
      <c r="FC200" s="196" t="str">
        <f>IF('Marks Entry'!BH200="","",'Marks Entry'!BH200)</f>
        <v/>
      </c>
      <c r="FD200" s="196" t="str">
        <f>IF('Marks Entry'!BI200="","",'Marks Entry'!BI200)</f>
        <v/>
      </c>
      <c r="FE200" s="197" t="str">
        <f t="shared" si="510"/>
        <v/>
      </c>
      <c r="FF200" s="198" t="str">
        <f t="shared" si="511"/>
        <v/>
      </c>
      <c r="FG200" s="199" t="str">
        <f>IF(AND(E200=""),"",IF('Student DATA Entry'!L196="","",'Student DATA Entry'!L196))</f>
        <v/>
      </c>
      <c r="FH200" s="200" t="str">
        <f>IF(AND(E200=""),"",IF('Student DATA Entry'!M196="","",'Student DATA Entry'!M196))</f>
        <v/>
      </c>
      <c r="FI200" s="201" t="str">
        <f t="shared" si="512"/>
        <v/>
      </c>
      <c r="FJ200" s="188" t="str">
        <f t="shared" si="513"/>
        <v/>
      </c>
      <c r="FK200" s="188" t="str">
        <f t="shared" si="514"/>
        <v/>
      </c>
      <c r="FL200" s="202" t="str">
        <f t="shared" ref="FL200:FL207" si="565">IF(FJ200="G",ROUNDUP(36%*T200-Q200,0),"")</f>
        <v/>
      </c>
      <c r="FM200" s="188" t="str">
        <f t="shared" si="515"/>
        <v/>
      </c>
      <c r="FN200" s="203" t="str">
        <f t="shared" si="516"/>
        <v/>
      </c>
      <c r="FO200" s="202" t="str">
        <f t="shared" ref="FO200:FO207" si="566">IF(FM200="G",ROUNDUP(36%*AH200-AE200,0),"")</f>
        <v/>
      </c>
      <c r="FP200" s="204" t="str">
        <f t="shared" si="517"/>
        <v/>
      </c>
      <c r="FQ200" s="188" t="str">
        <f t="shared" ref="FQ200:FQ207" si="567">IF(AL200="A",FP200,"")</f>
        <v/>
      </c>
      <c r="FR200" s="188" t="str">
        <f t="shared" ref="FR200:FR207" si="568">IF(AL200="B",FP200,"")</f>
        <v/>
      </c>
      <c r="FS200" s="188" t="str">
        <f t="shared" ref="FS200:FS207" si="569">IF(AL200="C",FP200,"")</f>
        <v/>
      </c>
      <c r="FT200" s="188" t="str">
        <f t="shared" ref="FT200:FT207" si="570">IF(AL200="D",FP200,"")</f>
        <v/>
      </c>
      <c r="FU200" s="188" t="str">
        <f t="shared" si="518"/>
        <v/>
      </c>
      <c r="FV200" s="205" t="str">
        <f t="shared" ref="FV200:FV207" si="571">IF(FP200="G",ROUNDUP(36%*BE200-AX200,0),"")</f>
        <v/>
      </c>
      <c r="FW200" s="204" t="str">
        <f t="shared" si="519"/>
        <v/>
      </c>
      <c r="FX200" s="188" t="str">
        <f t="shared" ref="FX200:FX207" si="572">IF(BI200="A",FW200,"")</f>
        <v/>
      </c>
      <c r="FY200" s="188" t="str">
        <f t="shared" ref="FY200:FY207" si="573">IF(BI200="B",FW200,"")</f>
        <v/>
      </c>
      <c r="FZ200" s="188" t="str">
        <f t="shared" ref="FZ200:FZ207" si="574">IF(BI200="C",FW200,"")</f>
        <v/>
      </c>
      <c r="GA200" s="188" t="str">
        <f t="shared" ref="GA200:GA207" si="575">IF(BI200="D",FW200,"")</f>
        <v/>
      </c>
      <c r="GB200" s="188" t="str">
        <f t="shared" si="520"/>
        <v/>
      </c>
      <c r="GC200" s="205" t="str">
        <f t="shared" ref="GC200:GC207" si="576">IF(FW200="G",ROUNDUP(36%*CB200-BU200,0),"")</f>
        <v/>
      </c>
      <c r="GD200" s="204" t="str">
        <f t="shared" si="521"/>
        <v/>
      </c>
      <c r="GE200" s="188" t="str">
        <f t="shared" ref="GE200:GE207" si="577">IF(CF200="A",GD200,"")</f>
        <v/>
      </c>
      <c r="GF200" s="188" t="str">
        <f t="shared" ref="GF200:GF207" si="578">IF(CF200="B",GD200,"")</f>
        <v/>
      </c>
      <c r="GG200" s="188" t="str">
        <f t="shared" ref="GG200:GG207" si="579">IF(CF200="C",GD200,"")</f>
        <v/>
      </c>
      <c r="GH200" s="188" t="str">
        <f t="shared" ref="GH200:GH207" si="580">IF(CF200="D",GD200,"")</f>
        <v/>
      </c>
      <c r="GI200" s="188" t="str">
        <f t="shared" si="522"/>
        <v/>
      </c>
      <c r="GJ200" s="205" t="str">
        <f t="shared" ref="GJ200:GJ207" si="581">IF(GD200="G",ROUNDUP(36%*CY200-CR200,0),"")</f>
        <v/>
      </c>
      <c r="GK200" s="204" t="str">
        <f t="shared" si="523"/>
        <v/>
      </c>
      <c r="GL200" s="188" t="str">
        <f t="shared" ref="GL200:GL207" si="582">IF(DD200="A",GK200,"")</f>
        <v/>
      </c>
      <c r="GM200" s="188" t="str">
        <f t="shared" ref="GM200:GM207" si="583">IF(DD200="B",GK200,"")</f>
        <v/>
      </c>
      <c r="GN200" s="188" t="str">
        <f t="shared" ref="GN200:GN207" si="584">IF(DD200="C",GK200,"")</f>
        <v/>
      </c>
      <c r="GO200" s="188" t="str">
        <f t="shared" ref="GO200:GO207" si="585">IF(DD200="D",GK200,"")</f>
        <v/>
      </c>
      <c r="GP200" s="188" t="str">
        <f t="shared" si="524"/>
        <v/>
      </c>
      <c r="GQ200" s="205" t="str">
        <f t="shared" ref="GQ200:GQ207" si="586">IF(GK200="G",ROUNDUP(36%*DY200-DQ200,0),"")</f>
        <v/>
      </c>
      <c r="GR200" s="188" t="str">
        <f t="shared" si="525"/>
        <v/>
      </c>
      <c r="GS200" s="188" t="str">
        <f t="shared" si="526"/>
        <v/>
      </c>
      <c r="GT200" s="206" t="str">
        <f t="shared" si="527"/>
        <v xml:space="preserve">    </v>
      </c>
      <c r="GU200" s="206" t="str">
        <f t="shared" si="528"/>
        <v xml:space="preserve">    </v>
      </c>
      <c r="GV200" s="206" t="str">
        <f t="shared" si="529"/>
        <v xml:space="preserve">    </v>
      </c>
      <c r="GW200" s="206" t="str">
        <f t="shared" si="530"/>
        <v xml:space="preserve">       </v>
      </c>
      <c r="GX200" s="598" t="str">
        <f t="shared" si="531"/>
        <v xml:space="preserve">     </v>
      </c>
      <c r="GY200" s="207" t="str">
        <f t="shared" ref="GY200:GY207" si="587">IF(B200="NSO","NSO",IF(AND(OR(EX200="PASS",EX200="BY GRACE PASS",EX200="RE-EXAM"),EW200="F"),"FAIL",IF(AND(OR(EX200="PASS",EX200="BY GRACE PASS"),EW200="RE"),"RE-EXAM",EX200)))</f>
        <v/>
      </c>
      <c r="GZ200" s="606" t="str">
        <f>IF(AND(Q200="",AE200="",AZ200="",BW200="",CT200=""),"",IF(AND('Master Sheet'!$D$19="YES",'Marks Entry'!$BA$1=1),SUM(Q200,AE200,AZ200,BW200,DT200),SUM(Q200,AE200,AZ200,BW200,CT200)))</f>
        <v/>
      </c>
      <c r="HA200" s="208" t="str">
        <f>IF(GZ200="","",IF(AND('Master Sheet'!$D$19="YES",'Marks Entry'!$BA$1=1),GZ200/((900)-DC200)*100,GZ200/((1000)-DC200)*100))</f>
        <v/>
      </c>
      <c r="HB200" s="611" t="str">
        <f t="shared" si="532"/>
        <v/>
      </c>
      <c r="HC200" s="609" t="str">
        <f t="shared" si="533"/>
        <v/>
      </c>
      <c r="HD200" s="610" t="str">
        <f t="shared" si="534"/>
        <v/>
      </c>
      <c r="HE200" s="209" t="str">
        <f>IFERROR(IF(OR(GY200="SUPPLEMENTARY",GY200="RE-EXAM"),'Supp. Result Entry'!AS199,""),"")</f>
        <v/>
      </c>
      <c r="HF200" s="613" t="str">
        <f t="shared" si="535"/>
        <v/>
      </c>
      <c r="HG200" s="598" t="str">
        <f t="shared" si="536"/>
        <v/>
      </c>
      <c r="HH200" s="598" t="str">
        <f>IF(AND(HE200="",HF200="",HG200=""),"",IF(OR(GY200="SUPPLEMENTARY",GY200="RE-EXAM"),'Supp. Result Entry'!AS199,GY200))</f>
        <v/>
      </c>
      <c r="HI200" s="179"/>
      <c r="HY200" s="211" t="str">
        <f>IF('Supp. Result Entry'!U199="","",'Supp. Result Entry'!$U$6)</f>
        <v/>
      </c>
      <c r="HZ200" s="212" t="str">
        <f>IF('Supp. Result Entry'!X199="","",'Supp. Result Entry'!$X$6)</f>
        <v/>
      </c>
      <c r="IA200" s="212" t="str">
        <f>IF('Supp. Result Entry'!AA199="","",'Supp. Result Entry'!$AA$6)</f>
        <v/>
      </c>
      <c r="IB200" s="212" t="str">
        <f>IF('Supp. Result Entry'!AD199="","",'Supp. Result Entry'!$AD$6)</f>
        <v/>
      </c>
      <c r="IC200" s="212" t="str">
        <f>IF('Supp. Result Entry'!AG199="","",'Supp. Result Entry'!$AG$6)</f>
        <v/>
      </c>
      <c r="ID200" s="212" t="str">
        <f>IF('Supp. Result Entry'!AJ199="","",'Supp. Result Entry'!$AJ$6)</f>
        <v/>
      </c>
      <c r="IE200" s="212" t="str">
        <f>IF('Supp. Result Entry'!V199="","",'Supp. Result Entry'!V199)</f>
        <v/>
      </c>
      <c r="IF200" s="212" t="str">
        <f>IF('Supp. Result Entry'!Y199="","",'Supp. Result Entry'!Y199)</f>
        <v/>
      </c>
      <c r="IG200" s="212" t="str">
        <f>IF('Supp. Result Entry'!AB199="","",'Supp. Result Entry'!AB199)</f>
        <v/>
      </c>
      <c r="IH200" s="212" t="str">
        <f>IF('Supp. Result Entry'!AE199="","",'Supp. Result Entry'!AE199)</f>
        <v/>
      </c>
      <c r="II200" s="212" t="str">
        <f>IF('Supp. Result Entry'!AH199="","",'Supp. Result Entry'!AH199)</f>
        <v/>
      </c>
      <c r="IJ200" s="212" t="str">
        <f>IF('Supp. Result Entry'!AK199="","",'Supp. Result Entry'!AK199)</f>
        <v/>
      </c>
      <c r="IK200" s="212" t="str">
        <f>IF('Supp. Result Entry'!W199="","",'Supp. Result Entry'!W199)</f>
        <v/>
      </c>
      <c r="IL200" s="212" t="str">
        <f>IF('Supp. Result Entry'!Z199="","",'Supp. Result Entry'!Z199)</f>
        <v/>
      </c>
      <c r="IM200" s="212" t="str">
        <f>IF('Supp. Result Entry'!AC199="","",'Supp. Result Entry'!AC199)</f>
        <v/>
      </c>
      <c r="IN200" s="212" t="str">
        <f>IF('Supp. Result Entry'!AF199="","",'Supp. Result Entry'!AF199)</f>
        <v/>
      </c>
      <c r="IO200" s="212" t="str">
        <f>IF('Supp. Result Entry'!AI199="","",'Supp. Result Entry'!AI199)</f>
        <v/>
      </c>
      <c r="IP200" s="212" t="str">
        <f>IF('Supp. Result Entry'!AL199="","",'Supp. Result Entry'!AL199)</f>
        <v/>
      </c>
      <c r="IQ200" s="212">
        <f>COUNTIF('Supp. Result Entry'!K199:Q199,"S")</f>
        <v>0</v>
      </c>
      <c r="IR200" s="212">
        <f t="shared" si="537"/>
        <v>0</v>
      </c>
      <c r="IS200" s="212">
        <f t="shared" si="538"/>
        <v>0</v>
      </c>
      <c r="IT200" s="212" t="str">
        <f t="shared" ref="IT200:IT219" si="588">IF(OR(IQ200=0,IQ200&lt;IS200),"",IF(OR(FJ200="RE",FJ200="REP"),SUM(Q200,IE200),IF(FJ200="S",IE200,Q200)))</f>
        <v/>
      </c>
      <c r="IU200" s="212" t="str">
        <f t="shared" ref="IU200:IU219" si="589">IF(OR(IQ200=0,IQ200&lt;IS200),"",IF(OR(FM200="RE",FM200="REP"),SUM(AE200,IF200),IF(FM200="S",IF200,AE200)))</f>
        <v/>
      </c>
      <c r="IV200" s="212" t="str">
        <f t="shared" ref="IV200:IV219" si="590">IF(OR(IQ200=0,IQ200&lt;IS200),"",IF(OR(FP200="RE",FP200="REP"),SUM(AZ200,IG200),IF(FP200="S",IG200,AZ200)))</f>
        <v/>
      </c>
      <c r="IW200" s="212" t="str">
        <f t="shared" ref="IW200:IW219" si="591">IF(OR(IQ200=0,IQ200&lt;IS200),"",IF(OR(FW200="RE",FW200="REP"),SUM(BW200,IH200),IF(FW200="S",IH200,BW200)))</f>
        <v/>
      </c>
      <c r="IX200" s="212" t="str">
        <f t="shared" ref="IX200:IX219" si="592">IF(OR(IQ200=0,IQ200&lt;IS200),"",IF(OR(GD200="RE",GD200="REP"),SUM(CT200,II200),IF(GD200="S",II200,CT200)))</f>
        <v/>
      </c>
      <c r="IY200" s="212" t="str">
        <f t="shared" si="539"/>
        <v/>
      </c>
      <c r="IZ200" s="212" t="str">
        <f t="shared" si="540"/>
        <v/>
      </c>
      <c r="JA200" s="212" t="str">
        <f t="shared" ref="JA200:JA219" si="593">IF(OR(IQ200=0,IQ200&lt;IS200),"",SUM(($Q$6+$AE$6+$AZ$6+$BW$6+$CT$6)))</f>
        <v/>
      </c>
      <c r="JB200" s="210" t="str">
        <f t="shared" si="541"/>
        <v/>
      </c>
    </row>
    <row r="201" spans="1:262" s="210" customFormat="1" ht="21" customHeight="1">
      <c r="A201" s="183">
        <v>194</v>
      </c>
      <c r="B201" s="184" t="str">
        <f>IF('Marks Entry'!B201="","",'Marks Entry'!B201)</f>
        <v/>
      </c>
      <c r="C201" s="185" t="str">
        <f>IF('Marks Entry'!D201="","",'Marks Entry'!D201)</f>
        <v/>
      </c>
      <c r="D201" s="186" t="str">
        <f>IF('Marks Entry'!E201="","",'Marks Entry'!E201)</f>
        <v/>
      </c>
      <c r="E201" s="187" t="str">
        <f>IF('Marks Entry'!F201="","",'Marks Entry'!F201)</f>
        <v/>
      </c>
      <c r="F201" s="187" t="str">
        <f>IF('Marks Entry'!G201="","",'Marks Entry'!G201)</f>
        <v/>
      </c>
      <c r="G201" s="187" t="str">
        <f>IF('Marks Entry'!H201="","",'Marks Entry'!H201)</f>
        <v/>
      </c>
      <c r="H201" s="188" t="str">
        <f>IF('Marks Entry'!I201="","",'Marks Entry'!I201)</f>
        <v/>
      </c>
      <c r="I201" s="189" t="str">
        <f>IF('Marks Entry'!J201="","",'Marks Entry'!J201)</f>
        <v/>
      </c>
      <c r="J201" s="545" t="str">
        <f>IF('Marks Entry'!K201="","",'Marks Entry'!K201)</f>
        <v/>
      </c>
      <c r="K201" s="545" t="str">
        <f>IF('Marks Entry'!L201="","",'Marks Entry'!L201)</f>
        <v/>
      </c>
      <c r="L201" s="545" t="str">
        <f>IF('Marks Entry'!M201="","",'Marks Entry'!M201)</f>
        <v/>
      </c>
      <c r="M201" s="546" t="str">
        <f t="shared" ref="M201:M207" si="594">IF(AND(J201="",K201="",L201=""),"",IF(AND(J201="AB",K201="AB",L201="AB"),"AB",IF(AND(J201="ML",K201="ML",L201="ML"),"ML",SUM(J201:L201))))</f>
        <v/>
      </c>
      <c r="N201" s="545" t="str">
        <f>IF('Marks Entry'!N201="","",'Marks Entry'!N201)</f>
        <v/>
      </c>
      <c r="O201" s="546" t="str">
        <f t="shared" ref="O201:O207" si="595">IF(AND(N201="",M201=""),"",IF(AND(N201="AB",M201="AB"),"AB",IF(AND(N201="ML",M201="ML"),"ML",SUM(M201,N201))))</f>
        <v/>
      </c>
      <c r="P201" s="545" t="str">
        <f>IF('Marks Entry'!O201="","",'Marks Entry'!O201)</f>
        <v/>
      </c>
      <c r="Q201" s="547" t="str">
        <f t="shared" ref="Q201:Q207" si="596">IF(AND(O201="",P201=""),"",IF(AND(O201="AB",P201="AB"),"AB",IF(AND(O201="ML",P201="ML"),"ML",SUM(O201,P201))))</f>
        <v/>
      </c>
      <c r="R201" s="152">
        <f t="shared" ref="R201:R207" si="597">COUNTIF(J201:L201,"NA")*10</f>
        <v>0</v>
      </c>
      <c r="S201" s="152">
        <f t="shared" ref="S201:S207" si="598">(COUNTIF(J201:L201,"ML")*10)+(COUNTIF(N201,"ML")*70)+(COUNTIF(P201,"ML")*100)</f>
        <v>0</v>
      </c>
      <c r="T201" s="153" t="str">
        <f t="shared" ref="T201:T207" si="599">IF(OR($B201="NSO",$B201=0),"",IF(AND(J201="",K201="",L201="",N201="",P201=""),"",IF(AND(K201="",J201="",O201="",N201=""),20-R201-S201,IF(AND(K201="",L201="",N201=""),20-R201-S201,IF(AND(N201="",P201=""),40-R201-S201,IF(P201="",100-R201-S201,200-R201-S201))))))</f>
        <v/>
      </c>
      <c r="U201" s="152" t="str">
        <f t="shared" ref="U201:U207" si="600">IF(OR($B201="",$C201="",$E201=""),"",IF(AND(OR(J201="ab",J201="ml",J201=""),OR(K201="ab",K201="ml",K201=""),OR(N201="ab",N201="ml",N201="")),"AB",IF(AND(OR(N201="ab",N201="ml",N201=""),OR(P201="ab",P201="ml",P201=""),OR(L201="ab",L201="ml")),"AB",IF(AND(OR(P201="ab",P201="ml",P201=""),OR(J201="ab",J201="ml",J201=""),OR(K201="ab",K201="ml",K201="")),"AB",""))))</f>
        <v/>
      </c>
      <c r="V201" s="152" t="str">
        <f t="shared" ref="V201:V207" si="601">IF(OR($B201="NSO",$B201="",Q201=""),"",IF(OR(U201="AB",P201="ab"),"AB",IF(P201="ML","RE",IF(AND(Q201&gt;=36%*T201,P201&gt;=20%*$P$6),"P",IF(AND(Q201&gt;=34%*T201,S201=0,P201&gt;=20%*$P$6),"G2",IF(AND(Q201&gt;=31%*T201,S201=0,P201&gt;=20%*$P$6),"G1",IF(Q201&gt;=25%*T201,"S","F")))))))</f>
        <v/>
      </c>
      <c r="W201" s="152" t="str">
        <f t="shared" ref="W201:W207" si="602">IF(OR(V201="",V201=0,V201="S",V201="RE",V201="F",V201="AB"),V201,IF(Q201&gt;=75%*T201,"D",IF(Q201&gt;=60%*T201,"I",IF(Q201&gt;=48%*T201,"II",IF(Q201&gt;=36%*T201,"III",V201)))))</f>
        <v/>
      </c>
      <c r="X201" s="545" t="str">
        <f>IF('Marks Entry'!P201="","",'Marks Entry'!P201)</f>
        <v/>
      </c>
      <c r="Y201" s="545" t="str">
        <f>IF('Marks Entry'!Q201="","",'Marks Entry'!Q201)</f>
        <v/>
      </c>
      <c r="Z201" s="545" t="str">
        <f>IF('Marks Entry'!R201="","",'Marks Entry'!R201)</f>
        <v/>
      </c>
      <c r="AA201" s="546" t="str">
        <f t="shared" ref="AA201:AA207" si="603">IF(AND(X201="",Y201="",Z201=""),"",IF(AND(X201="AB",Y201="AB",Z201="AB"),"AB",IF(AND(X201="ML",Y201="ML",Z201="ML"),"ML",SUM(X201:Z201))))</f>
        <v/>
      </c>
      <c r="AB201" s="545" t="str">
        <f>IF('Marks Entry'!S201="","",'Marks Entry'!S201)</f>
        <v/>
      </c>
      <c r="AC201" s="546" t="str">
        <f t="shared" ref="AC201:AC207" si="604">IF(AND(AB201="",AA201=""),"",IF(AND(AB201="AB",AA201="AB"),"AB",IF(AND(AB201="ML",AA201="ML"),"ML",SUM(AA201,AB201))))</f>
        <v/>
      </c>
      <c r="AD201" s="545" t="str">
        <f>IF('Marks Entry'!T201="","",'Marks Entry'!T201)</f>
        <v/>
      </c>
      <c r="AE201" s="547" t="str">
        <f t="shared" ref="AE201:AE207" si="605">IF(AND(AC201="",AD201=""),"",IF(AND(AC201="AB",AD201="AB"),"AB",IF(AND(AC201="ML",AD201="ML"),"ML",SUM(AC201,AD201))))</f>
        <v/>
      </c>
      <c r="AF201" s="152">
        <f t="shared" ref="AF201:AF207" si="606">COUNTIF(X201:Z201,"NA")*10</f>
        <v>0</v>
      </c>
      <c r="AG201" s="152">
        <f t="shared" ref="AG201:AG207" si="607">(COUNTIF(X201:Z201,"ML")*10)+(COUNTIF(AB201,"ML")*70)+(COUNTIF(AD201,"ML")*100)</f>
        <v>0</v>
      </c>
      <c r="AH201" s="153" t="str">
        <f t="shared" ref="AH201:AH207" si="608">IF(OR($B201="NSO",$B201=0),"",IF(AND(X201="",Y201="",Z201="",AB201="",AD201=""),"",IF(AND(Y201="",X201="",AC201="",AB201=""),20-AF201-AG201,IF(AND(Y201="",Z201="",AB201=""),20-AF201-AG201,IF(AND(AB201="",AD201=""),40-AF201-AG201,IF(AD201="",100-AF201-AG201,200-AF201-AG201))))))</f>
        <v/>
      </c>
      <c r="AI201" s="152" t="str">
        <f t="shared" ref="AI201:AI207" si="609">IF(OR($B201="",$C201="",$E201=""),"",IF(AND(OR(X201="ab",X201="ml",X201=""),OR(Y201="ab",Y201="ml",Y201=""),OR(AB201="ab",AB201="ml",AB201="")),"AB",IF(AND(OR(AB201="ab",AB201="ml",AB201=""),OR(AD201="ab",AD201="ml",AD201=""),OR(Z201="ab",Z201="ml")),"AB",IF(AND(OR(AD201="ab",AD201="ml",AD201=""),OR(X201="ab",X201="ml",X201=""),OR(Y201="ab",Y201="ml",Y201="")),"AB",""))))</f>
        <v/>
      </c>
      <c r="AJ201" s="152" t="str">
        <f t="shared" ref="AJ201:AJ207" si="610">IF(OR($B201="NSO",$B201="",AE201=""),"",IF(OR(AI201="AB",AD201="ab"),"AB",IF(AD201="ML","RE",IF(AND(AE201&gt;=36%*AH201,AD201&gt;=20%*$P$6),"P",IF(AND(AE201&gt;=34%*AH201,AG201=0,AD201&gt;=20%*$P$6),"G2",IF(AND(AE201&gt;=31%*AH201,AG201=0,AD201&gt;=20%*$P$6),"G1",IF(AE201&gt;=25%*AH201,"S","F")))))))</f>
        <v/>
      </c>
      <c r="AK201" s="152" t="str">
        <f t="shared" ref="AK201:AK207" si="611">IF(OR(AJ201="",AJ201=0,AJ201="S",AJ201="RE",AJ201="F",AJ201="AB"),AJ201,IF(AE201&gt;=75%*AH201,"D",IF(AE201&gt;=60%*AH201,"I",IF(AE201&gt;=48%*AH201,"II",IF(AE201&gt;=36%*AH201,"III",AJ201)))))</f>
        <v/>
      </c>
      <c r="AL201" s="573" t="str">
        <f>IF('Marks Entry'!U201="","",'Marks Entry'!U201)</f>
        <v/>
      </c>
      <c r="AM201" s="573" t="str">
        <f>IF('Marks Entry'!V201="","",'Marks Entry'!V201)</f>
        <v/>
      </c>
      <c r="AN201" s="573" t="str">
        <f>IF('Marks Entry'!W201="","",'Marks Entry'!W201)</f>
        <v/>
      </c>
      <c r="AO201" s="573" t="str">
        <f>IF('Marks Entry'!X201="","",'Marks Entry'!X201)</f>
        <v/>
      </c>
      <c r="AP201" s="572" t="str">
        <f t="shared" ref="AP201:AP207" si="612">IF(AND(AM201="",AN201="",AO201=""),"",IF(AND(AM201="AB",AN201="AB",AO201="AB"),"AB",IF(AND(AM201="ML",AN201="ML",AO201="ML"),"ML",SUM(AM201:AO201))))</f>
        <v/>
      </c>
      <c r="AQ201" s="573" t="str">
        <f>IF('Marks Entry'!Y201="","",'Marks Entry'!Y201)</f>
        <v/>
      </c>
      <c r="AR201" s="573" t="str">
        <f>IF('Marks Entry'!Z201="","",'Marks Entry'!Z201)</f>
        <v/>
      </c>
      <c r="AS201" s="572" t="str">
        <f t="shared" ref="AS201:AS207" si="613">IF(AND(AQ201="",AR201=""),"",IF(AND(AQ201="AB",AR201="AB"),"AB",IF(AND(AQ201="ML",AR201="ML"),"ML",SUM(AQ201:AR201))))</f>
        <v/>
      </c>
      <c r="AT201" s="572" t="str">
        <f t="shared" ref="AT201:AT207" si="614">IF(AND(AS201="",AP201=""),"",IF(AND(AS201="AB",AP201="AB"),"AB",IF(AND(AS201="ML",AP201="ML"),"ML",SUM(AP201,AS201))))</f>
        <v/>
      </c>
      <c r="AU201" s="573" t="str">
        <f>IF('Marks Entry'!AA201="","",'Marks Entry'!AA201)</f>
        <v/>
      </c>
      <c r="AV201" s="573" t="str">
        <f>IF('Marks Entry'!AB201="","",'Marks Entry'!AB201)</f>
        <v/>
      </c>
      <c r="AW201" s="572" t="str">
        <f t="shared" ref="AW201:AW207" si="615">IF(AND(AU201="",AV201=""),"",IF(AND(AU201="AB",AV201="AB"),"AB",IF(AND(AU201="ML",AV201="ML"),"ML",SUM(AU201:AV201))))</f>
        <v/>
      </c>
      <c r="AX201" s="156" t="str">
        <f t="shared" ref="AX201:AX207" si="616">IF(AND(AP201="",AQ201="",AU201=""),"",SUM(AP201,AQ201,AU201))</f>
        <v/>
      </c>
      <c r="AY201" s="156" t="str">
        <f t="shared" ref="AY201:AY207" si="617">IF(AND(AR201="",AV201=""),"",SUM(AR201,AV201))</f>
        <v/>
      </c>
      <c r="AZ201" s="191" t="str">
        <f t="shared" ref="AZ201:AZ207" si="618">IF(AND(AT201="",AW201=""),"",SUM(AT201,AW201))</f>
        <v/>
      </c>
      <c r="BA201" s="152">
        <f t="shared" ref="BA201:BA207" si="619">COUNTIF(AM201:AO201,"NA")*10</f>
        <v>0</v>
      </c>
      <c r="BB201" s="153">
        <f t="shared" ref="BB201:BB207" si="620">IF(AND(AQ201="",AU201=""),(COUNTIF(AM201:AO201,"ML")*10+(COUNTIF(AQ201,"ML"))*AQ$6+(COUNTIF(AU201,"ML"))*AU$6),(COUNTIF(AM201:AO201,"ML")*10+(COUNTIF(AQ201,"ML"))*AQ$6+(COUNTIF(AU201,"ML"))*AU$6))</f>
        <v>0</v>
      </c>
      <c r="BC201" s="153" t="str">
        <f t="shared" ref="BC201:BC207" si="621">IF(OR($B201="NSO",$B201=0,AX201=""),"",IF(AND(AR201="",AV201=""),SUM($AU$7),SUM($AU$6)))</f>
        <v/>
      </c>
      <c r="BD201" s="153" t="str">
        <f t="shared" ref="BD201:BD207" si="622">IF(OR($B201="NSO",$B201=0,AY201=""),"",IF(AND(AR201="",AV201=""),"",AY$6-(COUNTIF(AR201,"ML")*AR$6)-(COUNTIF(AV201,"ML")*AV$6)))</f>
        <v/>
      </c>
      <c r="BE201" s="153" t="str">
        <f t="shared" ref="BE201:BE207" si="623">IF(OR($B201="NSO",$B201=0),"",IF(AND(AP201="",AQ201="",AU201=""),"",IF(AND(AR201="",AV201=""),SUM(($AX$7)-(BA201+BB201)),SUM(($AX$6)-(BA201+BB201)))))</f>
        <v/>
      </c>
      <c r="BF201" s="152" t="str">
        <f t="shared" ref="BF201:BF207" si="624">IF(AND(OR(AM201="ab",AM201="ml"),OR(AQ201="ab",AQ201="ml"),OR(AN201="ab",AN201="ml")),"AB",IF(AND(OR(AM201="ab",AM201="ml"),OR(AQ201="ab",AQ201="ml"),OR(AU201="ab",AU201="ml")),"AB",IF(AND(OR(AQ201="ab",AQ201="ml"),OR(AO201="ab",AO201="ml"),OR(AN201="ab",AN201="ml")),"AB",IF(AND(OR(AQ201="ab",AQ201="ml"),OR(AU201="ab",AU201="ml"),OR(AN201="ab",AN201="ml")),"AB",IF(AND(OR(AQ201="ab",AQ201="ml"),OR(AU201="ab",AU201="ml")),"AB","")))))</f>
        <v/>
      </c>
      <c r="BG201" s="153" t="str">
        <f t="shared" ref="BG201:BG207" si="625">IF(OR($B201="NSO",$B201=0,AU201="",AW201="",AZ201=""),"",IF(OR(AU201="AB",AV201="AB",BF201="AB"),"AB",IF(OR(AU201="ML",AW201="ML"),"RE",IF(AV201="MLP","REP",IF(AV201&lt;33%*$AV$6,"FP",IF(AR201&lt;33%*$AR$6,"FP",IF(AND(AX201&gt;=36%*BE201,SUM(AU201)&gt;=20%*BC201,AY201&gt;=SUM(BD201)*36%),"P",IF(AND(AX201&gt;=34%*BE201,BB201=0,SUM(AU201)&gt;=20%*BC201,AY201&gt;=SUM(BD201)*36%),"G2",IF(AND(AX201&gt;=31%*BE201,BB201=0,SUM(AU201)&gt;=20%*BC201,AY201&gt;=SUM(BD201)*36%),"G1",IF(AND(AX201&gt;=25%*BE201,SUM(AU201)&gt;=20%*BC201),"S","F"))))))))))</f>
        <v/>
      </c>
      <c r="BH201" s="152" t="str">
        <f t="shared" ref="BH201:BH207" si="626">IF(OR(BG201="REP",BG201="RE",BG201=0,BG201="",BG201="F",BG201="AB"),BG201,IF(AND(AZ201&gt;=75%*($AZ$6-BA201-BB201),BG201="P"),"D",IF(AND(AZ201&gt;=60%*($AZ$6-BA201-BB201),BG201="P"),"I",IF(AND(AZ201&gt;=48%*($AZ$6-BA201-BB201),BG201="P"),"II",IF(AND(AZ201&gt;=36%*($AZ$6-BA201-BB201),BG201="P"),"III",BG201)))))</f>
        <v/>
      </c>
      <c r="BI201" s="580" t="str">
        <f>IF('Marks Entry'!AC201="","",'Marks Entry'!AC201)</f>
        <v/>
      </c>
      <c r="BJ201" s="580" t="str">
        <f>IF('Marks Entry'!AD201="","",'Marks Entry'!AD201)</f>
        <v/>
      </c>
      <c r="BK201" s="580" t="str">
        <f>IF('Marks Entry'!AE201="","",'Marks Entry'!AE201)</f>
        <v/>
      </c>
      <c r="BL201" s="580" t="str">
        <f>IF('Marks Entry'!AF201="","",'Marks Entry'!AF201)</f>
        <v/>
      </c>
      <c r="BM201" s="581" t="str">
        <f t="shared" ref="BM201:BM207" si="627">IF(AND(BJ201="",BK201="",BL201=""),"",IF(AND(BJ201="AB",BK201="AB",BL201="AB"),"AB",IF(AND(BJ201="ML",BK201="ML",BL201="ML"),"ML",SUM(BJ201:BL201))))</f>
        <v/>
      </c>
      <c r="BN201" s="580" t="str">
        <f>IF('Marks Entry'!AG201="","",'Marks Entry'!AG201)</f>
        <v/>
      </c>
      <c r="BO201" s="580" t="str">
        <f>IF('Marks Entry'!AH201="","",'Marks Entry'!AH201)</f>
        <v/>
      </c>
      <c r="BP201" s="581" t="str">
        <f t="shared" ref="BP201:BP207" si="628">IF(AND(BN201="",BO201=""),"",IF(AND(BN201="AB",BO201="AB"),"AB",IF(AND(BN201="ML",BO201="ML"),"ML",SUM(BN201:BO201))))</f>
        <v/>
      </c>
      <c r="BQ201" s="581" t="str">
        <f t="shared" ref="BQ201:BQ207" si="629">IF(AND(BP201="",BM201=""),"",IF(AND(BP201="AB",BM201="AB"),"AB",IF(AND(BP201="ML",BM201="ML"),"ML",SUM(BM201,BP201))))</f>
        <v/>
      </c>
      <c r="BR201" s="580" t="str">
        <f>IF('Marks Entry'!AI201="","",'Marks Entry'!AI201)</f>
        <v/>
      </c>
      <c r="BS201" s="580" t="str">
        <f>IF('Marks Entry'!AJ201="","",'Marks Entry'!AJ201)</f>
        <v/>
      </c>
      <c r="BT201" s="581" t="str">
        <f t="shared" ref="BT201:BT207" si="630">IF(AND(BR201="",BS201=""),"",IF(AND(BR201="AB",BS201="AB"),"AB",IF(AND(BR201="ML",BS201="ML"),"ML",SUM(BR201:BS201))))</f>
        <v/>
      </c>
      <c r="BU201" s="156" t="str">
        <f t="shared" ref="BU201:BU207" si="631">IF(AND(BM201="",BN201="",BR201=""),"",SUM(BM201,BN201,BR201))</f>
        <v/>
      </c>
      <c r="BV201" s="156" t="str">
        <f t="shared" ref="BV201:BV207" si="632">IF(AND(BO201="",BS201=""),"",SUM(BO201,BS201))</f>
        <v/>
      </c>
      <c r="BW201" s="191" t="str">
        <f t="shared" ref="BW201:BW207" si="633">IF(AND(BQ201="",BT201=""),"",SUM(BQ201,BT201))</f>
        <v/>
      </c>
      <c r="BX201" s="152">
        <f t="shared" ref="BX201:BX207" si="634">COUNTIF(BJ201:BL201,"NA")*10</f>
        <v>0</v>
      </c>
      <c r="BY201" s="153">
        <f t="shared" ref="BY201:BY207" si="635">IF(AND(BN201="",BR201=""),(COUNTIF(BJ201:BL201,"ML")*10+(COUNTIF(BN201,"ML"))*BN$6+(COUNTIF(BR201,"ML"))*BR$6),(COUNTIF(BJ201:BL201,"ML")*10+(COUNTIF(BN201,"ML"))*BN$6+(COUNTIF(BR201,"ML"))*BR$6))</f>
        <v>0</v>
      </c>
      <c r="BZ201" s="153" t="str">
        <f t="shared" ref="BZ201:BZ207" si="636">IF(OR($B201="NSO",$B201=0,BU201=""),"",IF(AND(BO201="",BS201=""),SUM($BR$7),SUM($BR$6)))</f>
        <v/>
      </c>
      <c r="CA201" s="153" t="str">
        <f t="shared" ref="CA201:CA207" si="637">IF(OR($B201="NSO",$B201=0,BV201=""),"",IF(AND(BO201="",BS201=""),"",BV$6-(COUNTIF(BO201,"ML")*BO$6)-(COUNTIF(BS201,"ML")*BS$6)))</f>
        <v/>
      </c>
      <c r="CB201" s="153" t="str">
        <f t="shared" ref="CB201:CB207" si="638">IF(OR($B201="NSO",$B201=0),"",IF(AND(BM201="",BN201="",BR201=""),"",IF(AND(BO201="",BS201=""),SUM(($BU$7)-(BX201+BY201)),SUM(($BU$6)-(BX201+BY201)))))</f>
        <v/>
      </c>
      <c r="CC201" s="152" t="str">
        <f t="shared" ref="CC201:CC207" si="639">IF(AND(OR(BJ201="ab",BJ201="ml"),OR(BN201="ab",BN201="ml"),OR(BK201="ab",BK201="ml")),"AB",IF(AND(OR(BJ201="ab",BJ201="ml"),OR(BN201="ab",BN201="ml"),OR(BR201="ab",BR201="ml")),"AB",IF(AND(OR(BN201="ab",BN201="ml"),OR(BL201="ab",BL201="ml"),OR(BK201="ab",BK201="ml")),"AB",IF(AND(OR(BN201="ab",BN201="ml"),OR(BR201="ab",BR201="ml"),OR(BK201="ab",BK201="ml")),"AB",IF(AND(OR(BN201="ab",BN201="ml"),OR(BR201="ab",BR201="ml")),"AB","")))))</f>
        <v/>
      </c>
      <c r="CD201" s="153" t="str">
        <f t="shared" ref="CD201:CD207" si="640">IF(OR($B201="NSO",$B201=0,BR201="",BT201="",BW201=""),"",IF(OR(BR201="AB",BS201="AB",CC201="AB"),"AB",IF(OR(BR201="ML",BT201="ML"),"RE",IF(BS201="MLP","REP",IF(BS201&lt;33%*$AV$6,"FP",IF(BO201&lt;33%*$AR$6,"FP",IF(AND(BU201&gt;=36%*CB201,SUM(BR201)&gt;=20%*BZ201,BV201&gt;=SUM(CA201)*36%),"P",IF(AND(BU201&gt;=34%*CB201,BY201=0,SUM(BR201)&gt;=20%*BZ201,BV201&gt;=SUM(CA201)*36%),"G2",IF(AND(BU201&gt;=31%*CB201,BY201=0,SUM(BR201)&gt;=20%*BZ201,BV201&gt;=SUM(CA201)*36%),"G1",IF(AND(BU201&gt;=25%*CB201,SUM(BR201)&gt;=20%*BZ201),"S","F"))))))))))</f>
        <v/>
      </c>
      <c r="CE201" s="152" t="str">
        <f t="shared" ref="CE201:CE207" si="641">IF(OR(CD201="REP",CD201="RE",CD201=0,CD201="",CD201="F",CD201="AB"),CD201,IF(AND(BW201&gt;=75%*($BW$6-BX201-BY201),CD201="P"),"D",IF(AND(BW201&gt;=60%*($BW$6-BX201-BY201),CD201="P"),"I",IF(AND(BW201&gt;=48%*($BW$6-BX201-BY201),CD201="P"),"II",IF(AND(BW201&gt;=36%*($BW$6-BX201-BY201),CD201="P"),"III",CD201)))))</f>
        <v/>
      </c>
      <c r="CF201" s="580" t="str">
        <f>IF('Marks Entry'!AK201="","",'Marks Entry'!AK201)</f>
        <v/>
      </c>
      <c r="CG201" s="580" t="str">
        <f>IF('Marks Entry'!AL201="","",'Marks Entry'!AL201)</f>
        <v/>
      </c>
      <c r="CH201" s="580" t="str">
        <f>IF('Marks Entry'!AM201="","",'Marks Entry'!AM201)</f>
        <v/>
      </c>
      <c r="CI201" s="580" t="str">
        <f>IF('Marks Entry'!AN201="","",'Marks Entry'!AN201)</f>
        <v/>
      </c>
      <c r="CJ201" s="581" t="str">
        <f t="shared" ref="CJ201:CJ206" si="642">IF(AND(CG201="",CH201="",CI201=""),"",IF(AND(CG201="AB",CH201="AB",CI201="AB"),"AB",IF(AND(CG201="ML",CH201="ML",CI201="ML"),"ML",SUM(CG201:CI201))))</f>
        <v/>
      </c>
      <c r="CK201" s="580" t="str">
        <f>IF('Marks Entry'!AO201="","",'Marks Entry'!AO201)</f>
        <v/>
      </c>
      <c r="CL201" s="580" t="str">
        <f>IF('Marks Entry'!AP201="","",'Marks Entry'!AP201)</f>
        <v/>
      </c>
      <c r="CM201" s="581" t="str">
        <f t="shared" ref="CM201:CM206" si="643">IF(AND(CK201="",CL201=""),"",IF(AND(CK201="AB",CL201="AB"),"AB",IF(AND(CK201="ML",CL201="ML"),"ML",SUM(CK201:CL201))))</f>
        <v/>
      </c>
      <c r="CN201" s="581" t="str">
        <f t="shared" ref="CN201:CN206" si="644">IF(AND(CM201="",CJ201=""),"",IF(AND(CM201="AB",CJ201="AB"),"AB",IF(AND(CM201="ML",CJ201="ML"),"ML",SUM(CJ201,CM201))))</f>
        <v/>
      </c>
      <c r="CO201" s="580" t="str">
        <f>IF('Marks Entry'!AQ201="","",'Marks Entry'!AQ201)</f>
        <v/>
      </c>
      <c r="CP201" s="580" t="str">
        <f>IF('Marks Entry'!AR201="","",'Marks Entry'!AR201)</f>
        <v/>
      </c>
      <c r="CQ201" s="581" t="str">
        <f t="shared" ref="CQ201:CQ206" si="645">IF(AND(CO201="",CP201=""),"",IF(AND(CO201="AB",CP201="AB"),"AB",IF(AND(CO201="ML",CP201="ML"),"ML",SUM(CO201:CP201))))</f>
        <v/>
      </c>
      <c r="CR201" s="156" t="str">
        <f t="shared" ref="CR201:CR206" si="646">IF(AND(CJ201="",CK201="",CO201=""),"",SUM(CJ201,CK201,CO201))</f>
        <v/>
      </c>
      <c r="CS201" s="156" t="str">
        <f t="shared" ref="CS201:CS206" si="647">IF(AND(CL201="",CP201=""),"",SUM(CL201,CP201))</f>
        <v/>
      </c>
      <c r="CT201" s="191" t="str">
        <f t="shared" ref="CT201:CT206" si="648">IF(AND(CN201="",CQ201=""),"",SUM(CN201,CQ201))</f>
        <v/>
      </c>
      <c r="CU201" s="152">
        <f t="shared" ref="CU201:CU207" si="649">COUNTIF(CG201:CI201,"NA")*10</f>
        <v>0</v>
      </c>
      <c r="CV201" s="153">
        <f t="shared" ref="CV201:CV207" si="650">IF(AND(CK201="",CO201=""),(COUNTIF(CG201:CI201,"ML")*10+(COUNTIF(CK201,"ML"))*CK$6+(COUNTIF(CO201,"ML"))*CO$6),(COUNTIF(CG201:CI201,"ML")*10+(COUNTIF(CK201,"ML"))*CK$6+(COUNTIF(CO201,"ML"))*CO$6))</f>
        <v>0</v>
      </c>
      <c r="CW201" s="153" t="str">
        <f t="shared" ref="CW201:CW207" si="651">IF(OR($B201="NSO",$B201=0,CR201=""),"",IF(AND(CL201="",CP201=""),SUM($CO$7),SUM($CO$6)))</f>
        <v/>
      </c>
      <c r="CX201" s="153" t="str">
        <f t="shared" ref="CX201:CX207" si="652">IF(OR($B201="NSO",$B201=0,CS201=""),"",IF(AND(CL201="",CP201=""),"",CS$6-(COUNTIF(CL201,"ML")*CL$6)-(COUNTIF(CP201,"ML")*CP$6)))</f>
        <v/>
      </c>
      <c r="CY201" s="153" t="str">
        <f t="shared" ref="CY201:CY207" si="653">IF(OR($B201="NSO",$B201=0),"",IF(AND(CJ201="",CK201="",CO201=""),"",IF(AND(CL201="",CP201=""),SUM((CR$7)-(CU201+CV201)),SUM((CR$6)-(CU201+CV201)))))</f>
        <v/>
      </c>
      <c r="CZ201" s="152" t="str">
        <f t="shared" ref="CZ201:CZ207" si="654">IF(AND(OR(CG201="ab",CG201="ml"),OR(CK201="ab",CK201="ml"),OR(CH201="ab",CH201="ml")),"AB",IF(AND(OR(CG201="ab",CG201="ml"),OR(CK201="ab",CK201="ml"),OR(CO201="ab",CO201="ml")),"AB",IF(AND(OR(CK201="ab",CK201="ml"),OR(CI201="ab",CI201="ml"),OR(CH201="ab",CH201="ml")),"AB",IF(AND(OR(CK201="ab",CK201="ml"),OR(CO201="ab",CO201="ml"),OR(CH201="ab",CH201="ml")),"AB",IF(AND(OR(CK201="ab",CK201="ml"),OR(CO201="ab",CO201="ml")),"AB","")))))</f>
        <v/>
      </c>
      <c r="DA201" s="153" t="str">
        <f t="shared" ref="DA201:DA207" si="655">IF(OR($B201="NSO",$B201=0,CO201="",CQ201="",CT201=""),"",IF(OR(CO201="AB",CP201="AB",CZ201="AB"),"AB",IF(OR(CO201="ML",CQ201="ML"),"RE",IF(CP201="MLP","REP",IF(CP201&lt;33%*$AV$6,"FP",IF(CL201&lt;33%*$AR$6,"FP",IF(AND(CR201&gt;=36%*CY201,SUM(CO201)&gt;=20%*CW201,CS201&gt;=SUM(CX201)*36%),"P",IF(AND(CR201&gt;=34%*CY201,CV201=0,SUM(CO201)&gt;=20%*CW201,CS201&gt;=SUM(CX201)*36%),"G2",IF(AND(CR201&gt;=31%*CY201,CV201=0,SUM(CO201)&gt;=20%*CW201,CS201&gt;=SUM(CX201)*36%),"G1",IF(AND(CR201&gt;=25%*CY201,SUM(CO201)&gt;=20%*CW201),"S","F"))))))))))</f>
        <v/>
      </c>
      <c r="DB201" s="152" t="str">
        <f t="shared" ref="DB201:DB207" si="656">IF(OR(DA201="REP",DA201="RE",DA201=0,DA201="",DA201="F",DA201="AB"),DA201,IF(AND(CT201&gt;=75%*($CT$6-CU201-CV201),DA201="P"),"D",IF(AND(CT201&gt;=60%*($CT$6-CU201-CV201),DA201="P"),"I",IF(AND(CT201&gt;=48%*($CT$6-CU201-CV201),DA201="P"),"II",IF(AND(CT201&gt;=36%*($CT$6-CU201-CV201),DA201="P"),"III",DA201)))))</f>
        <v/>
      </c>
      <c r="DC201" s="153">
        <f t="shared" ref="DC201:DC207" si="657">SUM(R201,S201,AF201,AG201,BA201,BB201,BX201,BY201,CU201,CV201)</f>
        <v>0</v>
      </c>
      <c r="DD201" s="851" t="str">
        <f>IF('Marks Entry'!AS201="","",IF(OR('Master Sheet'!$D$19="YES",'Marks Entry'!$BA$1=1),'Marks Entry'!AS201,""))</f>
        <v/>
      </c>
      <c r="DE201" s="851" t="str">
        <f>IF('Marks Entry'!AT201="","",IF(OR('Master Sheet'!$D$19="YES",'Marks Entry'!$BA$1=1),'Marks Entry'!AT201,""))</f>
        <v/>
      </c>
      <c r="DF201" s="851" t="str">
        <f>IF('Marks Entry'!AU201="","",IF(OR('Master Sheet'!$D$19="YES",'Marks Entry'!$BA$1=1),'Marks Entry'!AU201,""))</f>
        <v/>
      </c>
      <c r="DG201" s="851" t="str">
        <f>IF('Marks Entry'!AV201="","",IF(OR('Master Sheet'!$D$19="YES",'Marks Entry'!$BA$1=1),'Marks Entry'!AV201,""))</f>
        <v/>
      </c>
      <c r="DH201" s="852" t="str">
        <f t="shared" ref="DH201:DH207" si="658">IF(AND(DE201="",DF201="",DG201=""),"",IF(AND(DE201="AB",DF201="AB",DG201="AB"),"AB",IF(AND(DE201="ML",DF201="ML",DG201="ML"),"ML",SUM(DE201:DG201))))</f>
        <v/>
      </c>
      <c r="DI201" s="851" t="str">
        <f>IF('Marks Entry'!AW201="","",IF(OR('Master Sheet'!$D$19="YES",'Marks Entry'!$BA$1=1),'Marks Entry'!AW201,""))</f>
        <v/>
      </c>
      <c r="DJ201" s="851" t="str">
        <f>IF('Marks Entry'!AX201="","",IF(OR('Master Sheet'!$D$19="YES",'Marks Entry'!$BA$1=1),'Marks Entry'!AX201,""))</f>
        <v/>
      </c>
      <c r="DK201" s="852" t="str">
        <f t="shared" ref="DK201:DK207" si="659">IF(AND(DI201="",DJ201=""),"",IF(AND(DI201="AB",DJ201="AB"),"AB",IF(AND(DI201="ML",DJ201="ML"),"ML",SUM(DI201:DJ201))))</f>
        <v/>
      </c>
      <c r="DL201" s="852" t="str">
        <f t="shared" ref="DL201:DL207" si="660">IF(AND(DK201="",DH201=""),"",IF(AND(DK201="AB",DH201="AB"),"AB",IF(AND(DK201="ML",DH201="ML"),"ML",SUM(DH201,DK201))))</f>
        <v/>
      </c>
      <c r="DM201" s="851" t="str">
        <f>IF('Marks Entry'!AY201="","",IF(OR('Master Sheet'!$D$19="YES",'Marks Entry'!$BA$1=1),'Marks Entry'!AY201,""))</f>
        <v/>
      </c>
      <c r="DN201" s="851" t="str">
        <f>IF('Marks Entry'!AZ201="","",IF(OR('Master Sheet'!$D$19="YES",'Marks Entry'!$BA$1=1),'Marks Entry'!AZ201,""))</f>
        <v/>
      </c>
      <c r="DO201" s="851" t="str">
        <f>IF('Marks Entry'!BA201="","",IF(OR('Master Sheet'!$D$19="YES",'Marks Entry'!$BA$1=1),'Marks Entry'!BA201,""))</f>
        <v/>
      </c>
      <c r="DP201" s="852" t="str">
        <f t="shared" ref="DP201:DP207" si="661">IF(AND(DM201="",DN201="",DO201=""),"",IF(AND(DM201="AB",DN201="AB",DO201="AB"),"AB",IF(AND(DM201="ML",DN201="ML",DO201="ML"),"ML",SUM(DM201:DO201))))</f>
        <v/>
      </c>
      <c r="DQ201" s="156" t="str">
        <f t="shared" ref="DQ201:DQ207" si="662">IF(AND(DH201="",DI201="",DM201="",DN201=""),"",SUM(DH201,DI201,DM201))</f>
        <v/>
      </c>
      <c r="DR201" s="156" t="str">
        <f t="shared" ref="DR201:DR207" si="663">IF(AND(DN201=""),"",SUM(DN201))</f>
        <v/>
      </c>
      <c r="DS201" s="156" t="str">
        <f t="shared" ref="DS201:DS207" si="664">IF(AND(DJ201="",DO201=""),"",SUM(DJ201,DO201))</f>
        <v/>
      </c>
      <c r="DT201" s="191" t="str">
        <f t="shared" ref="DT201:DT207" si="665">IF(AND(DL201="",DP201=""),"",SUM(DL201,DP201))</f>
        <v/>
      </c>
      <c r="DU201" s="152">
        <f t="shared" ref="DU201:DU207" si="666">COUNTIF(DE201:DG201,"NA")*10</f>
        <v>0</v>
      </c>
      <c r="DV201" s="153">
        <f t="shared" ref="DV201:DV207" si="667">IF(AND(DI201="",DM201=""),(COUNTIF(DE201:DG201,"ML")*10+(COUNTIF(DI201,"ML"))*DI$6+(COUNTIF(DM201,"ML"))*DM$6),(COUNTIF(DE201:DG201,"ML")*10+(COUNTIF(DI201,"ML"))*DI$6+(COUNTIF(DM201,"ML"))*DM$6))</f>
        <v>0</v>
      </c>
      <c r="DW201" s="153" t="str">
        <f t="shared" ref="DW201:DW207" si="668">IF(OR($B201="NSO",$B201=0,DM201=""),"",IF(AND(DO201=""),SUM($DM$7,DN$7),SUM($DM$6,DN$6)))</f>
        <v/>
      </c>
      <c r="DX201" s="153" t="str">
        <f>IF(OR($B201="NSO",$B201=0,DS201=""),"",IF(AND(DJ201="",DO201=""),"",IF('Master Sheet'!$D$19="YES",$DO$6-COUNTIF(DO201,"ML")*DO$6,DS$6-(COUNTIF(DJ201,"ML")*DJ$6)-(COUNTIF(DO201,"ML")*DO$6))))</f>
        <v/>
      </c>
      <c r="DY201" s="153" t="str">
        <f>IF(OR($B201="NSO",$B201=0),"",IF(AND(DH201="",DI201="",DM201=""),"",IF(AND('Master Sheet'!$D$19="YES",'Marks Entry'!$BA$1=1),100,IF(AND(DJ201="",DO201=""),SUM(($DQ$7+$DR$7)-(DU201+DV201)),SUM(($DQ$6+$DR$6)-(DU201+DV201))))))</f>
        <v/>
      </c>
      <c r="DZ201" s="152" t="str">
        <f t="shared" ref="DZ201:DZ207" si="669">IF(AND(OR(DE201="ab",DF201="ml"),OR(DI201="ab",DI201="ml")),"AB",IF(AND(OR(DE201="ab",DE201="ml"),OR(DF201="ab",DF201="ml"),OR(DH201="ab",DH201="ml")),"AB",IF(AND(OR(DI201="ab",DI201="ml"),OR(DF201="ab",DF201="ml"),OR(DG201="ab",DG201="ml")),"AB",IF(AND(OR(DKJ201="ab",DI201="ml"),OR(DM201="ab",DM201="ml"),OR(DN201="ab",DN201="ml")),"AB",""))))</f>
        <v/>
      </c>
      <c r="EA201" s="153" t="str">
        <f t="shared" ref="EA201:EA207" si="670">IF(OR($B201="NSO",$B201=0,DM201="",DT201="",DQ201=""),"",IF(OR(DM201="AB",DO201="AB",DZ201="AB"),"AB",IF(OR(DM201="ML",DP201="ML"),"RE",IF(DO201="MLP","REP",IF(DO201&lt;33%*$DO$6,"FP",IF(DJ201&lt;33%*$DJ$6,"FP",IF(AND(DT201&gt;=36%*DY201,SUM(DM201)&gt;=20%*DW201,DS201&gt;=SUM(DX201)*36%),"P",IF(AND(DQ201&gt;=34%*DY201,DV201=0,SUM(DM201)&gt;=20%*DW201,DS201&gt;=SUM(DX201)*36%),"G2",IF(AND(DQ201&gt;=31%*DY201,DV201=0,SUM(DM201)&gt;=20%*DW201,DS201&gt;=SUM(DX201)*36%),"G1",IF(AND(DQ201&gt;=25%*DY201,SUM(DM201)&gt;=20%*DW201),"S","F"))))))))))</f>
        <v/>
      </c>
      <c r="EB201" s="152" t="str">
        <f t="shared" ref="EB201:EB207" si="671">IF(OR(EA201="REP",EA201="RE",EA201=0,EA201="",EA201="F",EA201="AB"),EA201,IF(AND(DT201&gt;=75%*($DT$6-DU201-DV201),EA201="P"),"D",IF(AND(DT201&gt;=60%*($DT$6-DU201-DV201),EA201="P"),"I",IF(AND(DT201&gt;=48%*($DT$6-DU201-DV201),EA201="P"),"II",IF(AND(DT201&gt;=36%*($DT$6-DU201-DV201),EA201="P"),"III",EA201)))))</f>
        <v/>
      </c>
      <c r="EC201" s="584" t="str">
        <f>IF('Marks Entry'!BB201="","",'Marks Entry'!BB201)</f>
        <v/>
      </c>
      <c r="ED201" s="584" t="str">
        <f>IF('Marks Entry'!BC201="","",'Marks Entry'!BC201)</f>
        <v/>
      </c>
      <c r="EE201" s="584" t="str">
        <f>IF('Marks Entry'!BD201="","",'Marks Entry'!BD201)</f>
        <v/>
      </c>
      <c r="EF201" s="590" t="str">
        <f t="shared" ref="EF201:EF207" si="672">IF(AND(EC201="",ED201="",EE201=""),"",SUM(EC201:EE201))</f>
        <v/>
      </c>
      <c r="EG201" s="595">
        <f t="shared" ref="EG201:EG207" si="673">COUNTIF(EC201,"NA")*$EC$6</f>
        <v>0</v>
      </c>
      <c r="EH201" s="595">
        <f t="shared" ref="EH201:EH207" si="674">(COUNTIF(EC201,"ML")*$EC$6)+(COUNTIF(ED201,"ML")*$ED$6)</f>
        <v>0</v>
      </c>
      <c r="EI201" s="192" t="str">
        <f t="shared" ref="EI201:EI207" si="675">IF(OR($B201="NSO",$B201=0),"",IF(AND(EC201="",ED201="",EE201=""),"",IF(AND(EC201="",ED201=""),30-EG201-EH201,IF(AND(ED201="",EE201=""),60-EG201-EH201,100-EG201-EH201))))</f>
        <v/>
      </c>
      <c r="EJ201" s="595" t="str">
        <f t="shared" ref="EJ201:EJ207" si="676">IF(OR(EE201="ab",EE201="ml"),EE201,"")</f>
        <v/>
      </c>
      <c r="EK201" s="595" t="str">
        <f t="shared" ref="EK201:EK207" si="677">IF(OR($B201="NSO",$B201=0,EF201=""),"",IF(OR(EJ201="AB",EE201="ab"),"AB",IF(AND(EX201="FAIL",(OR(EF201="ml",EF201&lt;20%*$EF$6,EF201&lt;36%*EI201))),"F",IF(OR(EE201="ML",EE201&lt;20%*$EE$6,EF201&lt;36%*EI201),"RE",IF(EF201&gt;80%*EI201,"A",IF(EF201&gt;60%*EI201,"B",IF(EF201&gt;40%*EI201,"C","D")))))))</f>
        <v/>
      </c>
      <c r="EL201" s="193" t="str">
        <f t="shared" ref="EL201:EL207" si="678">W201</f>
        <v/>
      </c>
      <c r="EM201" s="193" t="str">
        <f t="shared" ref="EM201:EM207" si="679">AK201</f>
        <v/>
      </c>
      <c r="EN201" s="193" t="str">
        <f t="shared" ref="EN201:EN207" si="680">BH201</f>
        <v/>
      </c>
      <c r="EO201" s="193" t="str">
        <f t="shared" ref="EO201:EO207" si="681">CE201</f>
        <v/>
      </c>
      <c r="EP201" s="193" t="str">
        <f t="shared" ref="EP201:EP207" si="682">DB201</f>
        <v/>
      </c>
      <c r="EQ201" s="193" t="str">
        <f t="shared" ref="EQ201:EQ207" si="683">EB201</f>
        <v/>
      </c>
      <c r="ER201" s="194">
        <f t="shared" ref="ER201:ER207" si="684">COUNTIF(EL201:EP201,"F")+COUNTIF(EL201:EP201,"AB")+COUNTIF(EN201:EP201,"FP")</f>
        <v>0</v>
      </c>
      <c r="ES201" s="194">
        <f t="shared" ref="ES201:ES207" si="685">COUNTIF(EL201:EP201,"S")</f>
        <v>0</v>
      </c>
      <c r="ET201" s="194">
        <f t="shared" ref="ET201:ET207" si="686">COUNTIF(EL201:EP201,"G1")</f>
        <v>0</v>
      </c>
      <c r="EU201" s="194">
        <f t="shared" ref="EU201:EU207" si="687">COUNTIF(EL201:EP201,"G2")</f>
        <v>0</v>
      </c>
      <c r="EV201" s="194">
        <f t="shared" ref="EV201:EV207" si="688">COUNTIF(EL201:EP201,"RE")+COUNTIF(EL201:EP201,"REP")</f>
        <v>0</v>
      </c>
      <c r="EW201" s="194" t="str">
        <f t="shared" ref="EW201:EW207" si="689">IF(OR(EK201="AB",EK201="F"),"D",IF(OR(EK201="RE"),"D",""))</f>
        <v/>
      </c>
      <c r="EX201" s="195" t="str">
        <f t="shared" ref="EX201:EX207" si="690">IF(B201="NSO","NSO",IF(OR(B201="",B201=0,P201="",AD201="",AW201="",BT201=""),"",IF(OR(ER201&gt;0,(ES201+ET201+EU201)&gt;2),"FAIL",IF(EV201&gt;0,"RE-EXAM",IF(OR(ES201&gt;0,ET201&gt;1),"SUPPLEMENTARY",IF(AND(ET201&gt;0,EU201&gt;0),"SUPPLEMENTARY",IF((ET201+EU201)&gt;0,"BY GRACE PASS","PASS")))))))</f>
        <v/>
      </c>
      <c r="EY201" s="196" t="str">
        <f>IF('Marks Entry'!BE201="","",'Marks Entry'!BE201)</f>
        <v/>
      </c>
      <c r="EZ201" s="196" t="str">
        <f>IF('Marks Entry'!BF201="","",'Marks Entry'!BF201)</f>
        <v/>
      </c>
      <c r="FA201" s="196" t="str">
        <f>IF('Marks Entry'!BG201="","",'Marks Entry'!BG201)</f>
        <v/>
      </c>
      <c r="FB201" s="596" t="str">
        <f t="shared" ref="FB201:FB207" si="691">IF(AND(EY201="",EZ201="",FA201=""),"",IF(AND(EY201="AB",EZ201="AB",FA201="AB"),"AB",IF(AND(EY201="ML",EZ201="ML",FA201="ML"),"ML",SUM(EY201:FA201))))</f>
        <v/>
      </c>
      <c r="FC201" s="196" t="str">
        <f>IF('Marks Entry'!BH201="","",'Marks Entry'!BH201)</f>
        <v/>
      </c>
      <c r="FD201" s="196" t="str">
        <f>IF('Marks Entry'!BI201="","",'Marks Entry'!BI201)</f>
        <v/>
      </c>
      <c r="FE201" s="197" t="str">
        <f t="shared" ref="FE201:FE207" si="692">IF(AND(EY201="",EZ201="",FA201="",FC201="",FD201=""),"",SUM(EY201,EZ201,FA201,FC201,FD201))</f>
        <v/>
      </c>
      <c r="FF201" s="198" t="str">
        <f t="shared" ref="FF201:FF207" si="693">IF(OR($B201="NSO",$B201=0,FE201=""),"",IF(OR(FE201="AB",FD201="ab"),"AB",IF(AND(EX201="FAIL",(OR(FE201&lt;36%*$FE$6))),"F",IF(OR(FD201="ML",FD201&lt;20%*$FD$6,FE201&lt;36%*$FE$6),"RE",IF(FE201&gt;80%*$FE$6,"A",IF(FE201&gt;60%*$FE$6,"B",IF(FE201&gt;40%*$FE$6,"C","D")))))))</f>
        <v/>
      </c>
      <c r="FG201" s="199" t="str">
        <f>IF(AND(E201=""),"",IF('Student DATA Entry'!L197="","",'Student DATA Entry'!L197))</f>
        <v/>
      </c>
      <c r="FH201" s="200" t="str">
        <f>IF(AND(E201=""),"",IF('Student DATA Entry'!M197="","",'Student DATA Entry'!M197))</f>
        <v/>
      </c>
      <c r="FI201" s="201" t="str">
        <f t="shared" ref="FI201:FI207" si="694">IF(OR(FG201=0,FH201=0,FG201="",FH201=""),"",FH201/FG201*100)</f>
        <v/>
      </c>
      <c r="FJ201" s="188" t="str">
        <f t="shared" ref="FJ201:FJ207" si="695">IF(AND(EX201="FAIL",(OR(EL201="G1",EL201="G2",EL201="S",EL201="RE"))),"F",IF(AND(EX201="RE-EXAM",(OR(EL201="G1",EL201="G2",EL201="S"))),"S",IF(AND(EX201="SUPPLEMENTARY",(OR(EL201="G1",EL201="G2"))),"S",IF(AND(EX201="BY GRACE PASS",(OR(EL201="G1",EL201="G2"))),"G",EL201))))</f>
        <v/>
      </c>
      <c r="FK201" s="188" t="str">
        <f t="shared" ref="FK201:FK207" si="696">IF(FJ201="G",",+","")</f>
        <v/>
      </c>
      <c r="FL201" s="202" t="str">
        <f t="shared" si="565"/>
        <v/>
      </c>
      <c r="FM201" s="188" t="str">
        <f t="shared" ref="FM201:FM207" si="697">IF(AND(EX201="vuqRrh.kZ",(OR(EM201="G1",EM201="G2",EM201="S",EM201="RE"))),"F",IF(AND(EX201="iqu% ijh{kk",(OR(EM201="G1",EM201="G2",EM201="S"))),"S",IF(AND(EX201="iwjd",(OR(EM201="G1",EM201="G2"))),"S",IF(AND(EX201="lk- mRrh.kZ",(OR(EM201="G1",EM201="G2"))),"G",EM201))))</f>
        <v/>
      </c>
      <c r="FN201" s="203" t="str">
        <f t="shared" ref="FN201:FN207" si="698">IF(FM201="G",",+","")</f>
        <v/>
      </c>
      <c r="FO201" s="202" t="str">
        <f t="shared" si="566"/>
        <v/>
      </c>
      <c r="FP201" s="204" t="str">
        <f t="shared" ref="FP201:FP207" si="699">IF(AND(EX201="FAIL",(OR(EN201="G1",EN201="G2",EN201="S",EN201="RE"))),"F",IF(AND(EX201="RE-EXAM",(OR(EN201="G1",EN201="G2",EN201="S"))),"S",IF(AND(EX201="SUPPLEMENTARY",(OR(EN201="G1",EN201="G2"))),"S",IF(AND(EX201="BY GRACE PASS",(OR(EN201="G1",EN201="G2"))),"G",EN201))))</f>
        <v/>
      </c>
      <c r="FQ201" s="188" t="str">
        <f t="shared" si="567"/>
        <v/>
      </c>
      <c r="FR201" s="188" t="str">
        <f t="shared" si="568"/>
        <v/>
      </c>
      <c r="FS201" s="188" t="str">
        <f t="shared" si="569"/>
        <v/>
      </c>
      <c r="FT201" s="188" t="str">
        <f t="shared" si="570"/>
        <v/>
      </c>
      <c r="FU201" s="188" t="str">
        <f t="shared" ref="FU201:FU207" si="700">IF(FP201="G",",+","")</f>
        <v/>
      </c>
      <c r="FV201" s="205" t="str">
        <f t="shared" si="571"/>
        <v/>
      </c>
      <c r="FW201" s="204" t="str">
        <f t="shared" ref="FW201:FW207" si="701">IF(AND(EX201="FAIL",(OR(EO201="G1",EO201="G2",EO201="S",EO201="RE",))),"F",IF(AND(EX201="RE-EXAM",(OR(EO201="G1",EO201="G2",EO201="S"))),"S",IF(AND(EX201="SUPPLEMENTARY",(OR(EO201="G1",EO201="G2"))),"S",IF(AND(EX201="BY GRACE PASS",(OR(EO201="G1",EO201="G2"))),"G",EO201))))</f>
        <v/>
      </c>
      <c r="FX201" s="188" t="str">
        <f t="shared" si="572"/>
        <v/>
      </c>
      <c r="FY201" s="188" t="str">
        <f t="shared" si="573"/>
        <v/>
      </c>
      <c r="FZ201" s="188" t="str">
        <f t="shared" si="574"/>
        <v/>
      </c>
      <c r="GA201" s="188" t="str">
        <f t="shared" si="575"/>
        <v/>
      </c>
      <c r="GB201" s="188" t="str">
        <f t="shared" ref="GB201:GB207" si="702">IF(FW201="G",",+","")</f>
        <v/>
      </c>
      <c r="GC201" s="205" t="str">
        <f t="shared" si="576"/>
        <v/>
      </c>
      <c r="GD201" s="204" t="str">
        <f t="shared" ref="GD201:GD207" si="703">IF(AND(EX201="FAIL",(OR(EP201="G1",EP201="G2",EP201="S",EP201="RE"))),"F",IF(AND(EX201="RE-EXAM",(OR(EP201="G1",EP201="G2",EP201="S"))),"S",IF(AND(EX201="SUPPLEMENTARY",(OR(EP201="G1",EP201="G2"))),"S",IF(AND(EX201="BY GRACE PASS",(OR(EP201="G1",EP201="G2"))),"G",EP201))))</f>
        <v/>
      </c>
      <c r="GE201" s="188" t="str">
        <f t="shared" si="577"/>
        <v/>
      </c>
      <c r="GF201" s="188" t="str">
        <f t="shared" si="578"/>
        <v/>
      </c>
      <c r="GG201" s="188" t="str">
        <f t="shared" si="579"/>
        <v/>
      </c>
      <c r="GH201" s="188" t="str">
        <f t="shared" si="580"/>
        <v/>
      </c>
      <c r="GI201" s="188" t="str">
        <f t="shared" ref="GI201:GI207" si="704">IF(GD201="G",",+","")</f>
        <v/>
      </c>
      <c r="GJ201" s="205" t="str">
        <f t="shared" si="581"/>
        <v/>
      </c>
      <c r="GK201" s="204" t="str">
        <f t="shared" ref="GK201:GK207" si="705">IF(AND(EX201="FAIL",(OR(EQ201="G1",EQ201="G2",EQ201="S",EQ201="RE"))),"F",IF(AND(EX201="RE-EXAM",(OR(EQ201="G1",EQ201="G2",EQ201="S"))),"S",IF(AND(EX201="SUPPLEMENTARY",(OR(EQ201="G1",EQ201="G2"))),"S",IF(AND(EX201="BY GRACE PASS",(OR(EQ201="G1",EQ201="G2"))),"G",EQ201))))</f>
        <v/>
      </c>
      <c r="GL201" s="188" t="str">
        <f t="shared" si="582"/>
        <v/>
      </c>
      <c r="GM201" s="188" t="str">
        <f t="shared" si="583"/>
        <v/>
      </c>
      <c r="GN201" s="188" t="str">
        <f t="shared" si="584"/>
        <v/>
      </c>
      <c r="GO201" s="188" t="str">
        <f t="shared" si="585"/>
        <v/>
      </c>
      <c r="GP201" s="188" t="str">
        <f t="shared" ref="GP201:GP207" si="706">IF(GK201="G",",+","")</f>
        <v/>
      </c>
      <c r="GQ201" s="205" t="str">
        <f t="shared" si="586"/>
        <v/>
      </c>
      <c r="GR201" s="188" t="str">
        <f t="shared" ref="GR201:GR207" si="707">IF(AND(EX201="FAIL",EK201="RE"),"F",EK201)</f>
        <v/>
      </c>
      <c r="GS201" s="188" t="str">
        <f t="shared" ref="GS201:GS207" si="708">IF(AND(EX201="FAIL",FF201="RE"),"F",FF201)</f>
        <v/>
      </c>
      <c r="GT201" s="206" t="str">
        <f t="shared" ref="GT201:GT207" si="709">CONCATENATE(IF(FJ201="F",$FJ$5,IF(FJ201="AB",$FJ$5,""))," ",IF(FM201="F",$FM$5,IF(FM201="AB",$FM$5,""))," ",IF(FQ201="F",$FQ$5,IF(FR201="F",$FR$5,IF(FS201="F",$FS$5,IF(FQ201="AB",$FQ$5,IF(FR201="AB",$FR$5,IF(FS201="AB",$FS$5,IF(FQ201="FP",$FQ$5,IF(FR201="FP",$FR$5,IF(FS201="FP",$FS$5,"")))))))))," ",IF(FX201="F",$FX$5,IF(FY201="F",$FY$5,IF(FZ201="F",$FZ$5,IF(FX201="AB",$FX$5,IF(FY201="AB",$FY$5,IF(FZ201="AB",$FZ$5,IF(FX201="FP",$FX$5,IF(FY201="FP",$FY$5,IF(FZ201="FP",$FZ$5,"")))))))))," ",IF(GE201="F",$GE$5,IF(GF201="F",$GF$5,IF(GG201="F",$GG$5,IF(GE201="AB",$GE$5,IF(GF201="AB",$GF$5,IF(GG201="AB",$GG$5,IF(GE201="FP",$GE$5,IF(GF201="FP",$GF$5,IF(GG201="FP",$GG$5,""))))))))),"",IF(GL201="F",$GL$5,IF(GM201="F",$GM$5,IF(GN201="F",$GN$5,IF(GL201="AB",$GL$5,IF(GM201="AB",$GM$5,IF(GN201="AB",$GN$5,IF(GL201="FP",$GL$5,IF(GM201="FP",$GM$5,IF(GN201="FP",$GN$5,""))))))))))</f>
        <v xml:space="preserve">    </v>
      </c>
      <c r="GU201" s="206" t="str">
        <f t="shared" ref="GU201:GU207" si="710">CONCATENATE(IF(FJ201="S",$FJ$5,"")," ",IF(FM201="S",$FM$5,"")," ",IF(FQ201="S",$FQ$5,IF(FR201="S",$FR$5,IF(FS201="S",$FS$5,IF(FT201="S",$FT$5,""))))," ",IF(FX201="S",$FX$5,IF(FY201="S",$FY$5,IF(FZ201="S",$FZ$5,IF(GA201="S",$GA$5,""))))," ",IF(GE201="S",$GE$5,IF(GF201="S",$GF$5,IF(GG201="S",$GG$5,IF(GH201="S",$GH$5,"")))))</f>
        <v xml:space="preserve">    </v>
      </c>
      <c r="GV201" s="206" t="str">
        <f t="shared" ref="GV201:GV207" si="711">CONCATENATE(IF(FJ201="G",$FJ$5,"")," ",IF(FM201="G",$FM$5,"")," ",IF(FQ201="G",$FQ$5,IF(FR201="G",$FR$5,IF(FS201="G",$FS$5,"")))," ",IF(FX201="G",$FX$5,IF(FY201="G",$FY$5,IF(FZ201="G",$FZ$5,"")))," ",IF(GE201="G",$GE$5,IF(GF201="G",$GF$5,IF(GG201="G",$GG$5,""))))</f>
        <v xml:space="preserve">    </v>
      </c>
      <c r="GW201" s="206" t="str">
        <f t="shared" ref="GW201:GW206" si="712">CONCATENATE(IF(FJ201="RE",$FJ$5,"")," ",IF(FM201="RE",$FM$5,"")," ",IF(OR(FQ201="RE",FQ201="REP"),$FQ$5,IF(OR(FR201="RE",FR201="REP"),$FR$5,IF(OR(FS201="RE",FS201="REP"),$FS$5,IF(OR(FT201="RE",FT201="REP"),$FT$5,""))))," ",IF(OR(FX201="RE",FX201="REP"),$FX$5,IF(OR(FY201="RE",FY201="REP"),$FY$5,IF(OR(FZ201="RE",FZ201="REP"),$FZ$5,IF(OR(GA201="RE",GA201="REP"),$GA$5,""))))," ",IF(OR(GE201="RE",GE201="REP"),$GE$5,IF(OR(GF201="RE",GF201="REP"),$GF$5,IF(OR(GG201="RE",GG201="REP"),$GG$5,IF(OR(GH201="RE",GH201="REP"),$GH$5,""))))," ",IF(GR201="RE",$GR$4," "),"",IF(GS201="RE",$GS$4," "),"",)</f>
        <v xml:space="preserve">       </v>
      </c>
      <c r="GX201" s="598" t="str">
        <f t="shared" ref="GX201:GX207" si="713">CONCATENATE(IF(FJ201="D",$FJ$5,"")," ",IF($FM201="D",$FM$5,"")," ",IF(FQ201="D",$FQ$5,IF(FR201="D",$FR$5,IF(FS201="D",$FS$5,IF(FT201="D",$FT$5,""))))," ",IF(FX201="D",$FX$5,IF(FY201="D",$FY$5,IF(FZ201="D",$FZ$5,IF(GA201="D",$GA$5,""))))," ",IF(GE201="D",$GE$5,IF(GF201="D",$GF$5,IF(GG201="D",$GG$5,IF(GH201="D",$GH$5,""))))," ",IF(GL201="D",$GL$5,IF(GM201="D",$GM$5,IF(GN201="D",$GN$5,IF(GO201="D",$GO$5,"")))))</f>
        <v xml:space="preserve">     </v>
      </c>
      <c r="GY201" s="207" t="str">
        <f t="shared" si="587"/>
        <v/>
      </c>
      <c r="GZ201" s="606" t="str">
        <f>IF(AND(Q201="",AE201="",AZ201="",BW201="",CT201=""),"",IF(AND('Master Sheet'!$D$19="YES",'Marks Entry'!$BA$1=1),SUM(Q201,AE201,AZ201,BW201,DT201),SUM(Q201,AE201,AZ201,BW201,CT201)))</f>
        <v/>
      </c>
      <c r="HA201" s="208" t="str">
        <f>IF(GZ201="","",IF(AND('Master Sheet'!$D$19="YES",'Marks Entry'!$BA$1=1),GZ201/((900)-DC201)*100,GZ201/((1000)-DC201)*100))</f>
        <v/>
      </c>
      <c r="HB201" s="611" t="str">
        <f t="shared" ref="HB201:HB207" si="714">IF(HA201="","",IF(AND(HA201&gt;=60,(GY201="PASS")),"I",IF(AND(HA201&gt;=60,(GY201="BY GRACE PASS")),"I",IF(AND(HA201&gt;=48,(GY201="PASS")),"II",IF(AND(HA201&gt;=48,(GY201="BY GRACE PASS")),"II",IF(AND(HA201&gt;=36,(GY201="PASS")),"III",IF(AND(HA201&gt;=36,(GY201="BY GRACE PASS")),"III","")))))))</f>
        <v/>
      </c>
      <c r="HC201" s="609" t="str">
        <f t="shared" ref="HC201:HC207" si="715">IF(OR(GY201="PASS",GY201="BY GRACE PASS"),HA201,"")</f>
        <v/>
      </c>
      <c r="HD201" s="610" t="str">
        <f t="shared" ref="HD201:HD207" si="716">IF(HC201="","",SUMPRODUCT((HC201&lt;HC$8:HC$207)/COUNTIF(HC$8:HC$207,HC$8:HC$207)))</f>
        <v/>
      </c>
      <c r="HE201" s="209" t="str">
        <f>IFERROR(IF(OR(GY201="SUPPLEMENTARY",GY201="RE-EXAM"),'Supp. Result Entry'!AS200,""),"")</f>
        <v/>
      </c>
      <c r="HF201" s="613" t="str">
        <f t="shared" ref="HF201:HF207" si="717">IF(OR(JB201="",IS201=0),"",IF(IZ201="","",IZ201))</f>
        <v/>
      </c>
      <c r="HG201" s="598" t="str">
        <f t="shared" ref="HG201:HG207" si="718">IF(AND(JB201=""),"",IF(HE201="","",IF(AND(JB201="FAIL"),"Failed",JB201)))</f>
        <v/>
      </c>
      <c r="HH201" s="598" t="str">
        <f>IF(AND(HE201="",HF201="",HG201=""),"",IF(OR(GY201="SUPPLEMENTARY",GY201="RE-EXAM"),'Supp. Result Entry'!AS200,GY201))</f>
        <v/>
      </c>
      <c r="HI201" s="179"/>
      <c r="HY201" s="211" t="str">
        <f>IF('Supp. Result Entry'!U200="","",'Supp. Result Entry'!$U$6)</f>
        <v/>
      </c>
      <c r="HZ201" s="212" t="str">
        <f>IF('Supp. Result Entry'!X200="","",'Supp. Result Entry'!$X$6)</f>
        <v/>
      </c>
      <c r="IA201" s="212" t="str">
        <f>IF('Supp. Result Entry'!AA200="","",'Supp. Result Entry'!$AA$6)</f>
        <v/>
      </c>
      <c r="IB201" s="212" t="str">
        <f>IF('Supp. Result Entry'!AD200="","",'Supp. Result Entry'!$AD$6)</f>
        <v/>
      </c>
      <c r="IC201" s="212" t="str">
        <f>IF('Supp. Result Entry'!AG200="","",'Supp. Result Entry'!$AG$6)</f>
        <v/>
      </c>
      <c r="ID201" s="212" t="str">
        <f>IF('Supp. Result Entry'!AJ200="","",'Supp. Result Entry'!$AJ$6)</f>
        <v/>
      </c>
      <c r="IE201" s="212" t="str">
        <f>IF('Supp. Result Entry'!V200="","",'Supp. Result Entry'!V200)</f>
        <v/>
      </c>
      <c r="IF201" s="212" t="str">
        <f>IF('Supp. Result Entry'!Y200="","",'Supp. Result Entry'!Y200)</f>
        <v/>
      </c>
      <c r="IG201" s="212" t="str">
        <f>IF('Supp. Result Entry'!AB200="","",'Supp. Result Entry'!AB200)</f>
        <v/>
      </c>
      <c r="IH201" s="212" t="str">
        <f>IF('Supp. Result Entry'!AE200="","",'Supp. Result Entry'!AE200)</f>
        <v/>
      </c>
      <c r="II201" s="212" t="str">
        <f>IF('Supp. Result Entry'!AH200="","",'Supp. Result Entry'!AH200)</f>
        <v/>
      </c>
      <c r="IJ201" s="212" t="str">
        <f>IF('Supp. Result Entry'!AK200="","",'Supp. Result Entry'!AK200)</f>
        <v/>
      </c>
      <c r="IK201" s="212" t="str">
        <f>IF('Supp. Result Entry'!W200="","",'Supp. Result Entry'!W200)</f>
        <v/>
      </c>
      <c r="IL201" s="212" t="str">
        <f>IF('Supp. Result Entry'!Z200="","",'Supp. Result Entry'!Z200)</f>
        <v/>
      </c>
      <c r="IM201" s="212" t="str">
        <f>IF('Supp. Result Entry'!AC200="","",'Supp. Result Entry'!AC200)</f>
        <v/>
      </c>
      <c r="IN201" s="212" t="str">
        <f>IF('Supp. Result Entry'!AF200="","",'Supp. Result Entry'!AF200)</f>
        <v/>
      </c>
      <c r="IO201" s="212" t="str">
        <f>IF('Supp. Result Entry'!AI200="","",'Supp. Result Entry'!AI200)</f>
        <v/>
      </c>
      <c r="IP201" s="212" t="str">
        <f>IF('Supp. Result Entry'!AL200="","",'Supp. Result Entry'!AL200)</f>
        <v/>
      </c>
      <c r="IQ201" s="212">
        <f>COUNTIF('Supp. Result Entry'!K200:Q200,"S")</f>
        <v>0</v>
      </c>
      <c r="IR201" s="212">
        <f t="shared" ref="IR201:IR219" si="719">COUNTIF(FJ201:GR201,"RE")+COUNTIF(FJ201:GR201,"REP")</f>
        <v>0</v>
      </c>
      <c r="IS201" s="212">
        <f t="shared" ref="IS201:IS219" si="720">COUNTIF(IK201:IP201,"P")</f>
        <v>0</v>
      </c>
      <c r="IT201" s="212" t="str">
        <f t="shared" si="588"/>
        <v/>
      </c>
      <c r="IU201" s="212" t="str">
        <f t="shared" si="589"/>
        <v/>
      </c>
      <c r="IV201" s="212" t="str">
        <f t="shared" si="590"/>
        <v/>
      </c>
      <c r="IW201" s="212" t="str">
        <f t="shared" si="591"/>
        <v/>
      </c>
      <c r="IX201" s="212" t="str">
        <f t="shared" si="592"/>
        <v/>
      </c>
      <c r="IY201" s="212" t="str">
        <f t="shared" ref="IY201:IY219" si="721">IF(OR(IQ201=0,IQ201&lt;IS201),"",SUM(IT201:IX201))</f>
        <v/>
      </c>
      <c r="IZ201" s="212" t="str">
        <f t="shared" ref="IZ201:IZ219" si="722">IF(OR(IQ201=0,IQ201&lt;IS201),"",IY201/JA201*100)</f>
        <v/>
      </c>
      <c r="JA201" s="212" t="str">
        <f t="shared" si="593"/>
        <v/>
      </c>
      <c r="JB201" s="210" t="str">
        <f t="shared" ref="JB201:JB219" si="723">IF(IZ201="","",IF(IZ201&gt;=60,"I",IF(IZ201&gt;=48,"II",IF(IZ201&gt;=36,"III",""))))</f>
        <v/>
      </c>
    </row>
    <row r="202" spans="1:262" s="210" customFormat="1" ht="21" customHeight="1">
      <c r="A202" s="183">
        <v>195</v>
      </c>
      <c r="B202" s="184" t="str">
        <f>IF('Marks Entry'!B202="","",'Marks Entry'!B202)</f>
        <v/>
      </c>
      <c r="C202" s="185" t="str">
        <f>IF('Marks Entry'!D202="","",'Marks Entry'!D202)</f>
        <v/>
      </c>
      <c r="D202" s="186" t="str">
        <f>IF('Marks Entry'!E202="","",'Marks Entry'!E202)</f>
        <v/>
      </c>
      <c r="E202" s="187" t="str">
        <f>IF('Marks Entry'!F202="","",'Marks Entry'!F202)</f>
        <v/>
      </c>
      <c r="F202" s="187" t="str">
        <f>IF('Marks Entry'!G202="","",'Marks Entry'!G202)</f>
        <v/>
      </c>
      <c r="G202" s="187" t="str">
        <f>IF('Marks Entry'!H202="","",'Marks Entry'!H202)</f>
        <v/>
      </c>
      <c r="H202" s="188" t="str">
        <f>IF('Marks Entry'!I202="","",'Marks Entry'!I202)</f>
        <v/>
      </c>
      <c r="I202" s="189" t="str">
        <f>IF('Marks Entry'!J202="","",'Marks Entry'!J202)</f>
        <v/>
      </c>
      <c r="J202" s="545" t="str">
        <f>IF('Marks Entry'!K202="","",'Marks Entry'!K202)</f>
        <v/>
      </c>
      <c r="K202" s="545" t="str">
        <f>IF('Marks Entry'!L202="","",'Marks Entry'!L202)</f>
        <v/>
      </c>
      <c r="L202" s="545" t="str">
        <f>IF('Marks Entry'!M202="","",'Marks Entry'!M202)</f>
        <v/>
      </c>
      <c r="M202" s="546" t="str">
        <f t="shared" si="594"/>
        <v/>
      </c>
      <c r="N202" s="545" t="str">
        <f>IF('Marks Entry'!N202="","",'Marks Entry'!N202)</f>
        <v/>
      </c>
      <c r="O202" s="546" t="str">
        <f t="shared" si="595"/>
        <v/>
      </c>
      <c r="P202" s="545" t="str">
        <f>IF('Marks Entry'!O202="","",'Marks Entry'!O202)</f>
        <v/>
      </c>
      <c r="Q202" s="547" t="str">
        <f t="shared" si="596"/>
        <v/>
      </c>
      <c r="R202" s="152">
        <f t="shared" si="597"/>
        <v>0</v>
      </c>
      <c r="S202" s="152">
        <f t="shared" si="598"/>
        <v>0</v>
      </c>
      <c r="T202" s="153" t="str">
        <f t="shared" si="599"/>
        <v/>
      </c>
      <c r="U202" s="152" t="str">
        <f t="shared" si="600"/>
        <v/>
      </c>
      <c r="V202" s="152" t="str">
        <f t="shared" si="601"/>
        <v/>
      </c>
      <c r="W202" s="152" t="str">
        <f t="shared" si="602"/>
        <v/>
      </c>
      <c r="X202" s="545" t="str">
        <f>IF('Marks Entry'!P202="","",'Marks Entry'!P202)</f>
        <v/>
      </c>
      <c r="Y202" s="545" t="str">
        <f>IF('Marks Entry'!Q202="","",'Marks Entry'!Q202)</f>
        <v/>
      </c>
      <c r="Z202" s="545" t="str">
        <f>IF('Marks Entry'!R202="","",'Marks Entry'!R202)</f>
        <v/>
      </c>
      <c r="AA202" s="546" t="str">
        <f t="shared" si="603"/>
        <v/>
      </c>
      <c r="AB202" s="545" t="str">
        <f>IF('Marks Entry'!S202="","",'Marks Entry'!S202)</f>
        <v/>
      </c>
      <c r="AC202" s="546" t="str">
        <f t="shared" si="604"/>
        <v/>
      </c>
      <c r="AD202" s="545" t="str">
        <f>IF('Marks Entry'!T202="","",'Marks Entry'!T202)</f>
        <v/>
      </c>
      <c r="AE202" s="547" t="str">
        <f t="shared" si="605"/>
        <v/>
      </c>
      <c r="AF202" s="152">
        <f t="shared" si="606"/>
        <v>0</v>
      </c>
      <c r="AG202" s="152">
        <f t="shared" si="607"/>
        <v>0</v>
      </c>
      <c r="AH202" s="153" t="str">
        <f t="shared" si="608"/>
        <v/>
      </c>
      <c r="AI202" s="152" t="str">
        <f t="shared" si="609"/>
        <v/>
      </c>
      <c r="AJ202" s="152" t="str">
        <f t="shared" si="610"/>
        <v/>
      </c>
      <c r="AK202" s="152" t="str">
        <f t="shared" si="611"/>
        <v/>
      </c>
      <c r="AL202" s="573" t="str">
        <f>IF('Marks Entry'!U202="","",'Marks Entry'!U202)</f>
        <v/>
      </c>
      <c r="AM202" s="573" t="str">
        <f>IF('Marks Entry'!V202="","",'Marks Entry'!V202)</f>
        <v/>
      </c>
      <c r="AN202" s="573" t="str">
        <f>IF('Marks Entry'!W202="","",'Marks Entry'!W202)</f>
        <v/>
      </c>
      <c r="AO202" s="573" t="str">
        <f>IF('Marks Entry'!X202="","",'Marks Entry'!X202)</f>
        <v/>
      </c>
      <c r="AP202" s="572" t="str">
        <f t="shared" si="612"/>
        <v/>
      </c>
      <c r="AQ202" s="573" t="str">
        <f>IF('Marks Entry'!Y202="","",'Marks Entry'!Y202)</f>
        <v/>
      </c>
      <c r="AR202" s="573" t="str">
        <f>IF('Marks Entry'!Z202="","",'Marks Entry'!Z202)</f>
        <v/>
      </c>
      <c r="AS202" s="572" t="str">
        <f t="shared" si="613"/>
        <v/>
      </c>
      <c r="AT202" s="572" t="str">
        <f t="shared" si="614"/>
        <v/>
      </c>
      <c r="AU202" s="573" t="str">
        <f>IF('Marks Entry'!AA202="","",'Marks Entry'!AA202)</f>
        <v/>
      </c>
      <c r="AV202" s="573" t="str">
        <f>IF('Marks Entry'!AB202="","",'Marks Entry'!AB202)</f>
        <v/>
      </c>
      <c r="AW202" s="572" t="str">
        <f t="shared" si="615"/>
        <v/>
      </c>
      <c r="AX202" s="156" t="str">
        <f t="shared" si="616"/>
        <v/>
      </c>
      <c r="AY202" s="156" t="str">
        <f t="shared" si="617"/>
        <v/>
      </c>
      <c r="AZ202" s="191" t="str">
        <f t="shared" si="618"/>
        <v/>
      </c>
      <c r="BA202" s="152">
        <f t="shared" si="619"/>
        <v>0</v>
      </c>
      <c r="BB202" s="153">
        <f t="shared" si="620"/>
        <v>0</v>
      </c>
      <c r="BC202" s="153" t="str">
        <f t="shared" si="621"/>
        <v/>
      </c>
      <c r="BD202" s="153" t="str">
        <f t="shared" si="622"/>
        <v/>
      </c>
      <c r="BE202" s="153" t="str">
        <f t="shared" si="623"/>
        <v/>
      </c>
      <c r="BF202" s="152" t="str">
        <f t="shared" si="624"/>
        <v/>
      </c>
      <c r="BG202" s="153" t="str">
        <f t="shared" si="625"/>
        <v/>
      </c>
      <c r="BH202" s="152" t="str">
        <f t="shared" si="626"/>
        <v/>
      </c>
      <c r="BI202" s="580" t="str">
        <f>IF('Marks Entry'!AC202="","",'Marks Entry'!AC202)</f>
        <v/>
      </c>
      <c r="BJ202" s="580" t="str">
        <f>IF('Marks Entry'!AD202="","",'Marks Entry'!AD202)</f>
        <v/>
      </c>
      <c r="BK202" s="580" t="str">
        <f>IF('Marks Entry'!AE202="","",'Marks Entry'!AE202)</f>
        <v/>
      </c>
      <c r="BL202" s="580" t="str">
        <f>IF('Marks Entry'!AF202="","",'Marks Entry'!AF202)</f>
        <v/>
      </c>
      <c r="BM202" s="581" t="str">
        <f t="shared" si="627"/>
        <v/>
      </c>
      <c r="BN202" s="580" t="str">
        <f>IF('Marks Entry'!AG202="","",'Marks Entry'!AG202)</f>
        <v/>
      </c>
      <c r="BO202" s="580" t="str">
        <f>IF('Marks Entry'!AH202="","",'Marks Entry'!AH202)</f>
        <v/>
      </c>
      <c r="BP202" s="581" t="str">
        <f t="shared" si="628"/>
        <v/>
      </c>
      <c r="BQ202" s="581" t="str">
        <f t="shared" si="629"/>
        <v/>
      </c>
      <c r="BR202" s="580" t="str">
        <f>IF('Marks Entry'!AI202="","",'Marks Entry'!AI202)</f>
        <v/>
      </c>
      <c r="BS202" s="580" t="str">
        <f>IF('Marks Entry'!AJ202="","",'Marks Entry'!AJ202)</f>
        <v/>
      </c>
      <c r="BT202" s="581" t="str">
        <f t="shared" si="630"/>
        <v/>
      </c>
      <c r="BU202" s="156" t="str">
        <f t="shared" si="631"/>
        <v/>
      </c>
      <c r="BV202" s="156" t="str">
        <f t="shared" si="632"/>
        <v/>
      </c>
      <c r="BW202" s="191" t="str">
        <f t="shared" si="633"/>
        <v/>
      </c>
      <c r="BX202" s="152">
        <f t="shared" si="634"/>
        <v>0</v>
      </c>
      <c r="BY202" s="153">
        <f t="shared" si="635"/>
        <v>0</v>
      </c>
      <c r="BZ202" s="153" t="str">
        <f t="shared" si="636"/>
        <v/>
      </c>
      <c r="CA202" s="153" t="str">
        <f t="shared" si="637"/>
        <v/>
      </c>
      <c r="CB202" s="153" t="str">
        <f t="shared" si="638"/>
        <v/>
      </c>
      <c r="CC202" s="152" t="str">
        <f t="shared" si="639"/>
        <v/>
      </c>
      <c r="CD202" s="153" t="str">
        <f t="shared" si="640"/>
        <v/>
      </c>
      <c r="CE202" s="152" t="str">
        <f t="shared" si="641"/>
        <v/>
      </c>
      <c r="CF202" s="580" t="str">
        <f>IF('Marks Entry'!AK202="","",'Marks Entry'!AK202)</f>
        <v/>
      </c>
      <c r="CG202" s="580" t="str">
        <f>IF('Marks Entry'!AL202="","",'Marks Entry'!AL202)</f>
        <v/>
      </c>
      <c r="CH202" s="580" t="str">
        <f>IF('Marks Entry'!AM202="","",'Marks Entry'!AM202)</f>
        <v/>
      </c>
      <c r="CI202" s="580" t="str">
        <f>IF('Marks Entry'!AN202="","",'Marks Entry'!AN202)</f>
        <v/>
      </c>
      <c r="CJ202" s="581" t="str">
        <f t="shared" si="642"/>
        <v/>
      </c>
      <c r="CK202" s="580" t="str">
        <f>IF('Marks Entry'!AO202="","",'Marks Entry'!AO202)</f>
        <v/>
      </c>
      <c r="CL202" s="580" t="str">
        <f>IF('Marks Entry'!AP202="","",'Marks Entry'!AP202)</f>
        <v/>
      </c>
      <c r="CM202" s="581" t="str">
        <f t="shared" si="643"/>
        <v/>
      </c>
      <c r="CN202" s="581" t="str">
        <f t="shared" si="644"/>
        <v/>
      </c>
      <c r="CO202" s="580" t="str">
        <f>IF('Marks Entry'!AQ202="","",'Marks Entry'!AQ202)</f>
        <v/>
      </c>
      <c r="CP202" s="580" t="str">
        <f>IF('Marks Entry'!AR202="","",'Marks Entry'!AR202)</f>
        <v/>
      </c>
      <c r="CQ202" s="581" t="str">
        <f t="shared" si="645"/>
        <v/>
      </c>
      <c r="CR202" s="156" t="str">
        <f t="shared" si="646"/>
        <v/>
      </c>
      <c r="CS202" s="156" t="str">
        <f t="shared" si="647"/>
        <v/>
      </c>
      <c r="CT202" s="191" t="str">
        <f t="shared" si="648"/>
        <v/>
      </c>
      <c r="CU202" s="152">
        <f t="shared" si="649"/>
        <v>0</v>
      </c>
      <c r="CV202" s="153">
        <f t="shared" si="650"/>
        <v>0</v>
      </c>
      <c r="CW202" s="153" t="str">
        <f t="shared" si="651"/>
        <v/>
      </c>
      <c r="CX202" s="153" t="str">
        <f t="shared" si="652"/>
        <v/>
      </c>
      <c r="CY202" s="153" t="str">
        <f t="shared" si="653"/>
        <v/>
      </c>
      <c r="CZ202" s="152" t="str">
        <f t="shared" si="654"/>
        <v/>
      </c>
      <c r="DA202" s="153" t="str">
        <f t="shared" si="655"/>
        <v/>
      </c>
      <c r="DB202" s="152" t="str">
        <f t="shared" si="656"/>
        <v/>
      </c>
      <c r="DC202" s="153">
        <f t="shared" si="657"/>
        <v>0</v>
      </c>
      <c r="DD202" s="851" t="str">
        <f>IF('Marks Entry'!AS202="","",IF(OR('Master Sheet'!$D$19="YES",'Marks Entry'!$BA$1=1),'Marks Entry'!AS202,""))</f>
        <v/>
      </c>
      <c r="DE202" s="851" t="str">
        <f>IF('Marks Entry'!AT202="","",IF(OR('Master Sheet'!$D$19="YES",'Marks Entry'!$BA$1=1),'Marks Entry'!AT202,""))</f>
        <v/>
      </c>
      <c r="DF202" s="851" t="str">
        <f>IF('Marks Entry'!AU202="","",IF(OR('Master Sheet'!$D$19="YES",'Marks Entry'!$BA$1=1),'Marks Entry'!AU202,""))</f>
        <v/>
      </c>
      <c r="DG202" s="851" t="str">
        <f>IF('Marks Entry'!AV202="","",IF(OR('Master Sheet'!$D$19="YES",'Marks Entry'!$BA$1=1),'Marks Entry'!AV202,""))</f>
        <v/>
      </c>
      <c r="DH202" s="852" t="str">
        <f t="shared" si="658"/>
        <v/>
      </c>
      <c r="DI202" s="851" t="str">
        <f>IF('Marks Entry'!AW202="","",IF(OR('Master Sheet'!$D$19="YES",'Marks Entry'!$BA$1=1),'Marks Entry'!AW202,""))</f>
        <v/>
      </c>
      <c r="DJ202" s="851" t="str">
        <f>IF('Marks Entry'!AX202="","",IF(OR('Master Sheet'!$D$19="YES",'Marks Entry'!$BA$1=1),'Marks Entry'!AX202,""))</f>
        <v/>
      </c>
      <c r="DK202" s="852" t="str">
        <f t="shared" si="659"/>
        <v/>
      </c>
      <c r="DL202" s="852" t="str">
        <f t="shared" si="660"/>
        <v/>
      </c>
      <c r="DM202" s="851" t="str">
        <f>IF('Marks Entry'!AY202="","",IF(OR('Master Sheet'!$D$19="YES",'Marks Entry'!$BA$1=1),'Marks Entry'!AY202,""))</f>
        <v/>
      </c>
      <c r="DN202" s="851" t="str">
        <f>IF('Marks Entry'!AZ202="","",IF(OR('Master Sheet'!$D$19="YES",'Marks Entry'!$BA$1=1),'Marks Entry'!AZ202,""))</f>
        <v/>
      </c>
      <c r="DO202" s="851" t="str">
        <f>IF('Marks Entry'!BA202="","",IF(OR('Master Sheet'!$D$19="YES",'Marks Entry'!$BA$1=1),'Marks Entry'!BA202,""))</f>
        <v/>
      </c>
      <c r="DP202" s="852" t="str">
        <f t="shared" si="661"/>
        <v/>
      </c>
      <c r="DQ202" s="156" t="str">
        <f t="shared" si="662"/>
        <v/>
      </c>
      <c r="DR202" s="156" t="str">
        <f t="shared" si="663"/>
        <v/>
      </c>
      <c r="DS202" s="156" t="str">
        <f t="shared" si="664"/>
        <v/>
      </c>
      <c r="DT202" s="191" t="str">
        <f t="shared" si="665"/>
        <v/>
      </c>
      <c r="DU202" s="152">
        <f t="shared" si="666"/>
        <v>0</v>
      </c>
      <c r="DV202" s="153">
        <f t="shared" si="667"/>
        <v>0</v>
      </c>
      <c r="DW202" s="153" t="str">
        <f t="shared" si="668"/>
        <v/>
      </c>
      <c r="DX202" s="153" t="str">
        <f>IF(OR($B202="NSO",$B202=0,DS202=""),"",IF(AND(DJ202="",DO202=""),"",IF('Master Sheet'!$D$19="YES",$DO$6-COUNTIF(DO202,"ML")*DO$6,DS$6-(COUNTIF(DJ202,"ML")*DJ$6)-(COUNTIF(DO202,"ML")*DO$6))))</f>
        <v/>
      </c>
      <c r="DY202" s="153" t="str">
        <f>IF(OR($B202="NSO",$B202=0),"",IF(AND(DH202="",DI202="",DM202=""),"",IF(AND('Master Sheet'!$D$19="YES",'Marks Entry'!$BA$1=1),100,IF(AND(DJ202="",DO202=""),SUM(($DQ$7+$DR$7)-(DU202+DV202)),SUM(($DQ$6+$DR$6)-(DU202+DV202))))))</f>
        <v/>
      </c>
      <c r="DZ202" s="152" t="str">
        <f t="shared" si="669"/>
        <v/>
      </c>
      <c r="EA202" s="153" t="str">
        <f t="shared" si="670"/>
        <v/>
      </c>
      <c r="EB202" s="152" t="str">
        <f t="shared" si="671"/>
        <v/>
      </c>
      <c r="EC202" s="584" t="str">
        <f>IF('Marks Entry'!BB202="","",'Marks Entry'!BB202)</f>
        <v/>
      </c>
      <c r="ED202" s="584" t="str">
        <f>IF('Marks Entry'!BC202="","",'Marks Entry'!BC202)</f>
        <v/>
      </c>
      <c r="EE202" s="584" t="str">
        <f>IF('Marks Entry'!BD202="","",'Marks Entry'!BD202)</f>
        <v/>
      </c>
      <c r="EF202" s="590" t="str">
        <f t="shared" si="672"/>
        <v/>
      </c>
      <c r="EG202" s="595">
        <f t="shared" si="673"/>
        <v>0</v>
      </c>
      <c r="EH202" s="595">
        <f t="shared" si="674"/>
        <v>0</v>
      </c>
      <c r="EI202" s="192" t="str">
        <f t="shared" si="675"/>
        <v/>
      </c>
      <c r="EJ202" s="595" t="str">
        <f t="shared" si="676"/>
        <v/>
      </c>
      <c r="EK202" s="595" t="str">
        <f t="shared" si="677"/>
        <v/>
      </c>
      <c r="EL202" s="193" t="str">
        <f t="shared" si="678"/>
        <v/>
      </c>
      <c r="EM202" s="193" t="str">
        <f t="shared" si="679"/>
        <v/>
      </c>
      <c r="EN202" s="193" t="str">
        <f t="shared" si="680"/>
        <v/>
      </c>
      <c r="EO202" s="193" t="str">
        <f t="shared" si="681"/>
        <v/>
      </c>
      <c r="EP202" s="193" t="str">
        <f t="shared" si="682"/>
        <v/>
      </c>
      <c r="EQ202" s="193" t="str">
        <f t="shared" si="683"/>
        <v/>
      </c>
      <c r="ER202" s="194">
        <f t="shared" si="684"/>
        <v>0</v>
      </c>
      <c r="ES202" s="194">
        <f t="shared" si="685"/>
        <v>0</v>
      </c>
      <c r="ET202" s="194">
        <f t="shared" si="686"/>
        <v>0</v>
      </c>
      <c r="EU202" s="194">
        <f t="shared" si="687"/>
        <v>0</v>
      </c>
      <c r="EV202" s="194">
        <f t="shared" si="688"/>
        <v>0</v>
      </c>
      <c r="EW202" s="194" t="str">
        <f t="shared" si="689"/>
        <v/>
      </c>
      <c r="EX202" s="195" t="str">
        <f t="shared" si="690"/>
        <v/>
      </c>
      <c r="EY202" s="196" t="str">
        <f>IF('Marks Entry'!BE202="","",'Marks Entry'!BE202)</f>
        <v/>
      </c>
      <c r="EZ202" s="196" t="str">
        <f>IF('Marks Entry'!BF202="","",'Marks Entry'!BF202)</f>
        <v/>
      </c>
      <c r="FA202" s="196" t="str">
        <f>IF('Marks Entry'!BG202="","",'Marks Entry'!BG202)</f>
        <v/>
      </c>
      <c r="FB202" s="596" t="str">
        <f t="shared" si="691"/>
        <v/>
      </c>
      <c r="FC202" s="196" t="str">
        <f>IF('Marks Entry'!BH202="","",'Marks Entry'!BH202)</f>
        <v/>
      </c>
      <c r="FD202" s="196" t="str">
        <f>IF('Marks Entry'!BI202="","",'Marks Entry'!BI202)</f>
        <v/>
      </c>
      <c r="FE202" s="197" t="str">
        <f t="shared" si="692"/>
        <v/>
      </c>
      <c r="FF202" s="198" t="str">
        <f t="shared" si="693"/>
        <v/>
      </c>
      <c r="FG202" s="199" t="str">
        <f>IF(AND(E202=""),"",IF('Student DATA Entry'!L198="","",'Student DATA Entry'!L198))</f>
        <v/>
      </c>
      <c r="FH202" s="200" t="str">
        <f>IF(AND(E202=""),"",IF('Student DATA Entry'!M198="","",'Student DATA Entry'!M198))</f>
        <v/>
      </c>
      <c r="FI202" s="201" t="str">
        <f t="shared" si="694"/>
        <v/>
      </c>
      <c r="FJ202" s="188" t="str">
        <f t="shared" si="695"/>
        <v/>
      </c>
      <c r="FK202" s="188" t="str">
        <f t="shared" si="696"/>
        <v/>
      </c>
      <c r="FL202" s="202" t="str">
        <f t="shared" si="565"/>
        <v/>
      </c>
      <c r="FM202" s="188" t="str">
        <f t="shared" si="697"/>
        <v/>
      </c>
      <c r="FN202" s="203" t="str">
        <f t="shared" si="698"/>
        <v/>
      </c>
      <c r="FO202" s="202" t="str">
        <f t="shared" si="566"/>
        <v/>
      </c>
      <c r="FP202" s="204" t="str">
        <f t="shared" si="699"/>
        <v/>
      </c>
      <c r="FQ202" s="188" t="str">
        <f t="shared" si="567"/>
        <v/>
      </c>
      <c r="FR202" s="188" t="str">
        <f t="shared" si="568"/>
        <v/>
      </c>
      <c r="FS202" s="188" t="str">
        <f t="shared" si="569"/>
        <v/>
      </c>
      <c r="FT202" s="188" t="str">
        <f t="shared" si="570"/>
        <v/>
      </c>
      <c r="FU202" s="188" t="str">
        <f t="shared" si="700"/>
        <v/>
      </c>
      <c r="FV202" s="205" t="str">
        <f t="shared" si="571"/>
        <v/>
      </c>
      <c r="FW202" s="204" t="str">
        <f t="shared" si="701"/>
        <v/>
      </c>
      <c r="FX202" s="188" t="str">
        <f t="shared" si="572"/>
        <v/>
      </c>
      <c r="FY202" s="188" t="str">
        <f t="shared" si="573"/>
        <v/>
      </c>
      <c r="FZ202" s="188" t="str">
        <f t="shared" si="574"/>
        <v/>
      </c>
      <c r="GA202" s="188" t="str">
        <f t="shared" si="575"/>
        <v/>
      </c>
      <c r="GB202" s="188" t="str">
        <f t="shared" si="702"/>
        <v/>
      </c>
      <c r="GC202" s="205" t="str">
        <f t="shared" si="576"/>
        <v/>
      </c>
      <c r="GD202" s="204" t="str">
        <f t="shared" si="703"/>
        <v/>
      </c>
      <c r="GE202" s="188" t="str">
        <f t="shared" si="577"/>
        <v/>
      </c>
      <c r="GF202" s="188" t="str">
        <f t="shared" si="578"/>
        <v/>
      </c>
      <c r="GG202" s="188" t="str">
        <f t="shared" si="579"/>
        <v/>
      </c>
      <c r="GH202" s="188" t="str">
        <f t="shared" si="580"/>
        <v/>
      </c>
      <c r="GI202" s="188" t="str">
        <f t="shared" si="704"/>
        <v/>
      </c>
      <c r="GJ202" s="205" t="str">
        <f t="shared" si="581"/>
        <v/>
      </c>
      <c r="GK202" s="204" t="str">
        <f t="shared" si="705"/>
        <v/>
      </c>
      <c r="GL202" s="188" t="str">
        <f t="shared" si="582"/>
        <v/>
      </c>
      <c r="GM202" s="188" t="str">
        <f t="shared" si="583"/>
        <v/>
      </c>
      <c r="GN202" s="188" t="str">
        <f t="shared" si="584"/>
        <v/>
      </c>
      <c r="GO202" s="188" t="str">
        <f t="shared" si="585"/>
        <v/>
      </c>
      <c r="GP202" s="188" t="str">
        <f t="shared" si="706"/>
        <v/>
      </c>
      <c r="GQ202" s="205" t="str">
        <f t="shared" si="586"/>
        <v/>
      </c>
      <c r="GR202" s="188" t="str">
        <f t="shared" si="707"/>
        <v/>
      </c>
      <c r="GS202" s="188" t="str">
        <f t="shared" si="708"/>
        <v/>
      </c>
      <c r="GT202" s="206" t="str">
        <f t="shared" si="709"/>
        <v xml:space="preserve">    </v>
      </c>
      <c r="GU202" s="206" t="str">
        <f t="shared" si="710"/>
        <v xml:space="preserve">    </v>
      </c>
      <c r="GV202" s="206" t="str">
        <f t="shared" si="711"/>
        <v xml:space="preserve">    </v>
      </c>
      <c r="GW202" s="206" t="str">
        <f t="shared" si="712"/>
        <v xml:space="preserve">       </v>
      </c>
      <c r="GX202" s="598" t="str">
        <f t="shared" si="713"/>
        <v xml:space="preserve">     </v>
      </c>
      <c r="GY202" s="207" t="str">
        <f t="shared" si="587"/>
        <v/>
      </c>
      <c r="GZ202" s="606" t="str">
        <f>IF(AND(Q202="",AE202="",AZ202="",BW202="",CT202=""),"",IF(AND('Master Sheet'!$D$19="YES",'Marks Entry'!$BA$1=1),SUM(Q202,AE202,AZ202,BW202,DT202),SUM(Q202,AE202,AZ202,BW202,CT202)))</f>
        <v/>
      </c>
      <c r="HA202" s="208" t="str">
        <f>IF(GZ202="","",IF(AND('Master Sheet'!$D$19="YES",'Marks Entry'!$BA$1=1),GZ202/((900)-DC202)*100,GZ202/((1000)-DC202)*100))</f>
        <v/>
      </c>
      <c r="HB202" s="611" t="str">
        <f t="shared" si="714"/>
        <v/>
      </c>
      <c r="HC202" s="609" t="str">
        <f t="shared" si="715"/>
        <v/>
      </c>
      <c r="HD202" s="610" t="str">
        <f t="shared" si="716"/>
        <v/>
      </c>
      <c r="HE202" s="209" t="str">
        <f>IFERROR(IF(OR(GY202="SUPPLEMENTARY",GY202="RE-EXAM"),'Supp. Result Entry'!AS201,""),"")</f>
        <v/>
      </c>
      <c r="HF202" s="613" t="str">
        <f t="shared" si="717"/>
        <v/>
      </c>
      <c r="HG202" s="598" t="str">
        <f t="shared" si="718"/>
        <v/>
      </c>
      <c r="HH202" s="598" t="str">
        <f>IF(AND(HE202="",HF202="",HG202=""),"",IF(OR(GY202="SUPPLEMENTARY",GY202="RE-EXAM"),'Supp. Result Entry'!AS201,GY202))</f>
        <v/>
      </c>
      <c r="HI202" s="179"/>
      <c r="HY202" s="211" t="str">
        <f>IF('Supp. Result Entry'!U201="","",'Supp. Result Entry'!$U$6)</f>
        <v/>
      </c>
      <c r="HZ202" s="212" t="str">
        <f>IF('Supp. Result Entry'!X201="","",'Supp. Result Entry'!$X$6)</f>
        <v/>
      </c>
      <c r="IA202" s="212" t="str">
        <f>IF('Supp. Result Entry'!AA201="","",'Supp. Result Entry'!$AA$6)</f>
        <v/>
      </c>
      <c r="IB202" s="212" t="str">
        <f>IF('Supp. Result Entry'!AD201="","",'Supp. Result Entry'!$AD$6)</f>
        <v/>
      </c>
      <c r="IC202" s="212" t="str">
        <f>IF('Supp. Result Entry'!AG201="","",'Supp. Result Entry'!$AG$6)</f>
        <v/>
      </c>
      <c r="ID202" s="212" t="str">
        <f>IF('Supp. Result Entry'!AJ201="","",'Supp. Result Entry'!$AJ$6)</f>
        <v/>
      </c>
      <c r="IE202" s="212" t="str">
        <f>IF('Supp. Result Entry'!V201="","",'Supp. Result Entry'!V201)</f>
        <v/>
      </c>
      <c r="IF202" s="212" t="str">
        <f>IF('Supp. Result Entry'!Y201="","",'Supp. Result Entry'!Y201)</f>
        <v/>
      </c>
      <c r="IG202" s="212" t="str">
        <f>IF('Supp. Result Entry'!AB201="","",'Supp. Result Entry'!AB201)</f>
        <v/>
      </c>
      <c r="IH202" s="212" t="str">
        <f>IF('Supp. Result Entry'!AE201="","",'Supp. Result Entry'!AE201)</f>
        <v/>
      </c>
      <c r="II202" s="212" t="str">
        <f>IF('Supp. Result Entry'!AH201="","",'Supp. Result Entry'!AH201)</f>
        <v/>
      </c>
      <c r="IJ202" s="212" t="str">
        <f>IF('Supp. Result Entry'!AK201="","",'Supp. Result Entry'!AK201)</f>
        <v/>
      </c>
      <c r="IK202" s="212" t="str">
        <f>IF('Supp. Result Entry'!W201="","",'Supp. Result Entry'!W201)</f>
        <v/>
      </c>
      <c r="IL202" s="212" t="str">
        <f>IF('Supp. Result Entry'!Z201="","",'Supp. Result Entry'!Z201)</f>
        <v/>
      </c>
      <c r="IM202" s="212" t="str">
        <f>IF('Supp. Result Entry'!AC201="","",'Supp. Result Entry'!AC201)</f>
        <v/>
      </c>
      <c r="IN202" s="212" t="str">
        <f>IF('Supp. Result Entry'!AF201="","",'Supp. Result Entry'!AF201)</f>
        <v/>
      </c>
      <c r="IO202" s="212" t="str">
        <f>IF('Supp. Result Entry'!AI201="","",'Supp. Result Entry'!AI201)</f>
        <v/>
      </c>
      <c r="IP202" s="212" t="str">
        <f>IF('Supp. Result Entry'!AL201="","",'Supp. Result Entry'!AL201)</f>
        <v/>
      </c>
      <c r="IQ202" s="212">
        <f>COUNTIF('Supp. Result Entry'!K201:Q201,"S")</f>
        <v>0</v>
      </c>
      <c r="IR202" s="212">
        <f t="shared" si="719"/>
        <v>0</v>
      </c>
      <c r="IS202" s="212">
        <f t="shared" si="720"/>
        <v>0</v>
      </c>
      <c r="IT202" s="212" t="str">
        <f t="shared" si="588"/>
        <v/>
      </c>
      <c r="IU202" s="212" t="str">
        <f t="shared" si="589"/>
        <v/>
      </c>
      <c r="IV202" s="212" t="str">
        <f t="shared" si="590"/>
        <v/>
      </c>
      <c r="IW202" s="212" t="str">
        <f t="shared" si="591"/>
        <v/>
      </c>
      <c r="IX202" s="212" t="str">
        <f t="shared" si="592"/>
        <v/>
      </c>
      <c r="IY202" s="212" t="str">
        <f t="shared" si="721"/>
        <v/>
      </c>
      <c r="IZ202" s="212" t="str">
        <f t="shared" si="722"/>
        <v/>
      </c>
      <c r="JA202" s="212" t="str">
        <f t="shared" si="593"/>
        <v/>
      </c>
      <c r="JB202" s="210" t="str">
        <f t="shared" si="723"/>
        <v/>
      </c>
    </row>
    <row r="203" spans="1:262" s="210" customFormat="1" ht="21" customHeight="1">
      <c r="A203" s="183">
        <v>196</v>
      </c>
      <c r="B203" s="184" t="str">
        <f>IF('Marks Entry'!B203="","",'Marks Entry'!B203)</f>
        <v/>
      </c>
      <c r="C203" s="185" t="str">
        <f>IF('Marks Entry'!D203="","",'Marks Entry'!D203)</f>
        <v/>
      </c>
      <c r="D203" s="186" t="str">
        <f>IF('Marks Entry'!E203="","",'Marks Entry'!E203)</f>
        <v/>
      </c>
      <c r="E203" s="187" t="str">
        <f>IF('Marks Entry'!F203="","",'Marks Entry'!F203)</f>
        <v/>
      </c>
      <c r="F203" s="187" t="str">
        <f>IF('Marks Entry'!G203="","",'Marks Entry'!G203)</f>
        <v/>
      </c>
      <c r="G203" s="187" t="str">
        <f>IF('Marks Entry'!H203="","",'Marks Entry'!H203)</f>
        <v/>
      </c>
      <c r="H203" s="188" t="str">
        <f>IF('Marks Entry'!I203="","",'Marks Entry'!I203)</f>
        <v/>
      </c>
      <c r="I203" s="189" t="str">
        <f>IF('Marks Entry'!J203="","",'Marks Entry'!J203)</f>
        <v/>
      </c>
      <c r="J203" s="545" t="str">
        <f>IF('Marks Entry'!K203="","",'Marks Entry'!K203)</f>
        <v/>
      </c>
      <c r="K203" s="545" t="str">
        <f>IF('Marks Entry'!L203="","",'Marks Entry'!L203)</f>
        <v/>
      </c>
      <c r="L203" s="545" t="str">
        <f>IF('Marks Entry'!M203="","",'Marks Entry'!M203)</f>
        <v/>
      </c>
      <c r="M203" s="546" t="str">
        <f t="shared" si="594"/>
        <v/>
      </c>
      <c r="N203" s="545" t="str">
        <f>IF('Marks Entry'!N203="","",'Marks Entry'!N203)</f>
        <v/>
      </c>
      <c r="O203" s="546" t="str">
        <f t="shared" si="595"/>
        <v/>
      </c>
      <c r="P203" s="545" t="str">
        <f>IF('Marks Entry'!O203="","",'Marks Entry'!O203)</f>
        <v/>
      </c>
      <c r="Q203" s="547" t="str">
        <f t="shared" si="596"/>
        <v/>
      </c>
      <c r="R203" s="152">
        <f t="shared" si="597"/>
        <v>0</v>
      </c>
      <c r="S203" s="152">
        <f t="shared" si="598"/>
        <v>0</v>
      </c>
      <c r="T203" s="153" t="str">
        <f t="shared" si="599"/>
        <v/>
      </c>
      <c r="U203" s="152" t="str">
        <f t="shared" si="600"/>
        <v/>
      </c>
      <c r="V203" s="152" t="str">
        <f t="shared" si="601"/>
        <v/>
      </c>
      <c r="W203" s="152" t="str">
        <f t="shared" si="602"/>
        <v/>
      </c>
      <c r="X203" s="545" t="str">
        <f>IF('Marks Entry'!P203="","",'Marks Entry'!P203)</f>
        <v/>
      </c>
      <c r="Y203" s="545" t="str">
        <f>IF('Marks Entry'!Q203="","",'Marks Entry'!Q203)</f>
        <v/>
      </c>
      <c r="Z203" s="545" t="str">
        <f>IF('Marks Entry'!R203="","",'Marks Entry'!R203)</f>
        <v/>
      </c>
      <c r="AA203" s="546" t="str">
        <f t="shared" si="603"/>
        <v/>
      </c>
      <c r="AB203" s="545" t="str">
        <f>IF('Marks Entry'!S203="","",'Marks Entry'!S203)</f>
        <v/>
      </c>
      <c r="AC203" s="546" t="str">
        <f t="shared" si="604"/>
        <v/>
      </c>
      <c r="AD203" s="545" t="str">
        <f>IF('Marks Entry'!T203="","",'Marks Entry'!T203)</f>
        <v/>
      </c>
      <c r="AE203" s="547" t="str">
        <f t="shared" si="605"/>
        <v/>
      </c>
      <c r="AF203" s="152">
        <f t="shared" si="606"/>
        <v>0</v>
      </c>
      <c r="AG203" s="152">
        <f t="shared" si="607"/>
        <v>0</v>
      </c>
      <c r="AH203" s="153" t="str">
        <f t="shared" si="608"/>
        <v/>
      </c>
      <c r="AI203" s="152" t="str">
        <f t="shared" si="609"/>
        <v/>
      </c>
      <c r="AJ203" s="152" t="str">
        <f t="shared" si="610"/>
        <v/>
      </c>
      <c r="AK203" s="152" t="str">
        <f t="shared" si="611"/>
        <v/>
      </c>
      <c r="AL203" s="573" t="str">
        <f>IF('Marks Entry'!U203="","",'Marks Entry'!U203)</f>
        <v/>
      </c>
      <c r="AM203" s="573" t="str">
        <f>IF('Marks Entry'!V203="","",'Marks Entry'!V203)</f>
        <v/>
      </c>
      <c r="AN203" s="573" t="str">
        <f>IF('Marks Entry'!W203="","",'Marks Entry'!W203)</f>
        <v/>
      </c>
      <c r="AO203" s="573" t="str">
        <f>IF('Marks Entry'!X203="","",'Marks Entry'!X203)</f>
        <v/>
      </c>
      <c r="AP203" s="572" t="str">
        <f t="shared" si="612"/>
        <v/>
      </c>
      <c r="AQ203" s="573" t="str">
        <f>IF('Marks Entry'!Y203="","",'Marks Entry'!Y203)</f>
        <v/>
      </c>
      <c r="AR203" s="573" t="str">
        <f>IF('Marks Entry'!Z203="","",'Marks Entry'!Z203)</f>
        <v/>
      </c>
      <c r="AS203" s="572" t="str">
        <f t="shared" si="613"/>
        <v/>
      </c>
      <c r="AT203" s="572" t="str">
        <f t="shared" si="614"/>
        <v/>
      </c>
      <c r="AU203" s="573" t="str">
        <f>IF('Marks Entry'!AA203="","",'Marks Entry'!AA203)</f>
        <v/>
      </c>
      <c r="AV203" s="573" t="str">
        <f>IF('Marks Entry'!AB203="","",'Marks Entry'!AB203)</f>
        <v/>
      </c>
      <c r="AW203" s="572" t="str">
        <f t="shared" si="615"/>
        <v/>
      </c>
      <c r="AX203" s="156" t="str">
        <f t="shared" si="616"/>
        <v/>
      </c>
      <c r="AY203" s="156" t="str">
        <f t="shared" si="617"/>
        <v/>
      </c>
      <c r="AZ203" s="191" t="str">
        <f t="shared" si="618"/>
        <v/>
      </c>
      <c r="BA203" s="152">
        <f t="shared" si="619"/>
        <v>0</v>
      </c>
      <c r="BB203" s="153">
        <f t="shared" si="620"/>
        <v>0</v>
      </c>
      <c r="BC203" s="153" t="str">
        <f t="shared" si="621"/>
        <v/>
      </c>
      <c r="BD203" s="153" t="str">
        <f t="shared" si="622"/>
        <v/>
      </c>
      <c r="BE203" s="153" t="str">
        <f t="shared" si="623"/>
        <v/>
      </c>
      <c r="BF203" s="152" t="str">
        <f t="shared" si="624"/>
        <v/>
      </c>
      <c r="BG203" s="153" t="str">
        <f t="shared" si="625"/>
        <v/>
      </c>
      <c r="BH203" s="152" t="str">
        <f t="shared" si="626"/>
        <v/>
      </c>
      <c r="BI203" s="580" t="str">
        <f>IF('Marks Entry'!AC203="","",'Marks Entry'!AC203)</f>
        <v/>
      </c>
      <c r="BJ203" s="580" t="str">
        <f>IF('Marks Entry'!AD203="","",'Marks Entry'!AD203)</f>
        <v/>
      </c>
      <c r="BK203" s="580" t="str">
        <f>IF('Marks Entry'!AE203="","",'Marks Entry'!AE203)</f>
        <v/>
      </c>
      <c r="BL203" s="580" t="str">
        <f>IF('Marks Entry'!AF203="","",'Marks Entry'!AF203)</f>
        <v/>
      </c>
      <c r="BM203" s="581" t="str">
        <f t="shared" si="627"/>
        <v/>
      </c>
      <c r="BN203" s="580" t="str">
        <f>IF('Marks Entry'!AG203="","",'Marks Entry'!AG203)</f>
        <v/>
      </c>
      <c r="BO203" s="580" t="str">
        <f>IF('Marks Entry'!AH203="","",'Marks Entry'!AH203)</f>
        <v/>
      </c>
      <c r="BP203" s="581" t="str">
        <f t="shared" si="628"/>
        <v/>
      </c>
      <c r="BQ203" s="581" t="str">
        <f t="shared" si="629"/>
        <v/>
      </c>
      <c r="BR203" s="580" t="str">
        <f>IF('Marks Entry'!AI203="","",'Marks Entry'!AI203)</f>
        <v/>
      </c>
      <c r="BS203" s="580" t="str">
        <f>IF('Marks Entry'!AJ203="","",'Marks Entry'!AJ203)</f>
        <v/>
      </c>
      <c r="BT203" s="581" t="str">
        <f t="shared" si="630"/>
        <v/>
      </c>
      <c r="BU203" s="156" t="str">
        <f t="shared" si="631"/>
        <v/>
      </c>
      <c r="BV203" s="156" t="str">
        <f t="shared" si="632"/>
        <v/>
      </c>
      <c r="BW203" s="191" t="str">
        <f t="shared" si="633"/>
        <v/>
      </c>
      <c r="BX203" s="152">
        <f t="shared" si="634"/>
        <v>0</v>
      </c>
      <c r="BY203" s="153">
        <f t="shared" si="635"/>
        <v>0</v>
      </c>
      <c r="BZ203" s="153" t="str">
        <f t="shared" si="636"/>
        <v/>
      </c>
      <c r="CA203" s="153" t="str">
        <f t="shared" si="637"/>
        <v/>
      </c>
      <c r="CB203" s="153" t="str">
        <f t="shared" si="638"/>
        <v/>
      </c>
      <c r="CC203" s="152" t="str">
        <f t="shared" si="639"/>
        <v/>
      </c>
      <c r="CD203" s="153" t="str">
        <f t="shared" si="640"/>
        <v/>
      </c>
      <c r="CE203" s="152" t="str">
        <f t="shared" si="641"/>
        <v/>
      </c>
      <c r="CF203" s="580" t="str">
        <f>IF('Marks Entry'!AK203="","",'Marks Entry'!AK203)</f>
        <v/>
      </c>
      <c r="CG203" s="580" t="str">
        <f>IF('Marks Entry'!AL203="","",'Marks Entry'!AL203)</f>
        <v/>
      </c>
      <c r="CH203" s="580" t="str">
        <f>IF('Marks Entry'!AM203="","",'Marks Entry'!AM203)</f>
        <v/>
      </c>
      <c r="CI203" s="580" t="str">
        <f>IF('Marks Entry'!AN203="","",'Marks Entry'!AN203)</f>
        <v/>
      </c>
      <c r="CJ203" s="581" t="str">
        <f t="shared" si="642"/>
        <v/>
      </c>
      <c r="CK203" s="580" t="str">
        <f>IF('Marks Entry'!AO203="","",'Marks Entry'!AO203)</f>
        <v/>
      </c>
      <c r="CL203" s="580" t="str">
        <f>IF('Marks Entry'!AP203="","",'Marks Entry'!AP203)</f>
        <v/>
      </c>
      <c r="CM203" s="581" t="str">
        <f t="shared" si="643"/>
        <v/>
      </c>
      <c r="CN203" s="581" t="str">
        <f t="shared" si="644"/>
        <v/>
      </c>
      <c r="CO203" s="580" t="str">
        <f>IF('Marks Entry'!AQ203="","",'Marks Entry'!AQ203)</f>
        <v/>
      </c>
      <c r="CP203" s="580" t="str">
        <f>IF('Marks Entry'!AR203="","",'Marks Entry'!AR203)</f>
        <v/>
      </c>
      <c r="CQ203" s="581" t="str">
        <f t="shared" si="645"/>
        <v/>
      </c>
      <c r="CR203" s="156" t="str">
        <f t="shared" si="646"/>
        <v/>
      </c>
      <c r="CS203" s="156" t="str">
        <f t="shared" si="647"/>
        <v/>
      </c>
      <c r="CT203" s="191" t="str">
        <f t="shared" si="648"/>
        <v/>
      </c>
      <c r="CU203" s="152">
        <f t="shared" si="649"/>
        <v>0</v>
      </c>
      <c r="CV203" s="153">
        <f t="shared" si="650"/>
        <v>0</v>
      </c>
      <c r="CW203" s="153" t="str">
        <f t="shared" si="651"/>
        <v/>
      </c>
      <c r="CX203" s="153" t="str">
        <f t="shared" si="652"/>
        <v/>
      </c>
      <c r="CY203" s="153" t="str">
        <f t="shared" si="653"/>
        <v/>
      </c>
      <c r="CZ203" s="152" t="str">
        <f t="shared" si="654"/>
        <v/>
      </c>
      <c r="DA203" s="153" t="str">
        <f t="shared" si="655"/>
        <v/>
      </c>
      <c r="DB203" s="152" t="str">
        <f t="shared" si="656"/>
        <v/>
      </c>
      <c r="DC203" s="153">
        <f t="shared" si="657"/>
        <v>0</v>
      </c>
      <c r="DD203" s="851" t="str">
        <f>IF('Marks Entry'!AS203="","",IF(OR('Master Sheet'!$D$19="YES",'Marks Entry'!$BA$1=1),'Marks Entry'!AS203,""))</f>
        <v/>
      </c>
      <c r="DE203" s="851" t="str">
        <f>IF('Marks Entry'!AT203="","",IF(OR('Master Sheet'!$D$19="YES",'Marks Entry'!$BA$1=1),'Marks Entry'!AT203,""))</f>
        <v/>
      </c>
      <c r="DF203" s="851" t="str">
        <f>IF('Marks Entry'!AU203="","",IF(OR('Master Sheet'!$D$19="YES",'Marks Entry'!$BA$1=1),'Marks Entry'!AU203,""))</f>
        <v/>
      </c>
      <c r="DG203" s="851" t="str">
        <f>IF('Marks Entry'!AV203="","",IF(OR('Master Sheet'!$D$19="YES",'Marks Entry'!$BA$1=1),'Marks Entry'!AV203,""))</f>
        <v/>
      </c>
      <c r="DH203" s="852" t="str">
        <f t="shared" si="658"/>
        <v/>
      </c>
      <c r="DI203" s="851" t="str">
        <f>IF('Marks Entry'!AW203="","",IF(OR('Master Sheet'!$D$19="YES",'Marks Entry'!$BA$1=1),'Marks Entry'!AW203,""))</f>
        <v/>
      </c>
      <c r="DJ203" s="851" t="str">
        <f>IF('Marks Entry'!AX203="","",IF(OR('Master Sheet'!$D$19="YES",'Marks Entry'!$BA$1=1),'Marks Entry'!AX203,""))</f>
        <v/>
      </c>
      <c r="DK203" s="852" t="str">
        <f t="shared" si="659"/>
        <v/>
      </c>
      <c r="DL203" s="852" t="str">
        <f t="shared" si="660"/>
        <v/>
      </c>
      <c r="DM203" s="851" t="str">
        <f>IF('Marks Entry'!AY203="","",IF(OR('Master Sheet'!$D$19="YES",'Marks Entry'!$BA$1=1),'Marks Entry'!AY203,""))</f>
        <v/>
      </c>
      <c r="DN203" s="851" t="str">
        <f>IF('Marks Entry'!AZ203="","",IF(OR('Master Sheet'!$D$19="YES",'Marks Entry'!$BA$1=1),'Marks Entry'!AZ203,""))</f>
        <v/>
      </c>
      <c r="DO203" s="851" t="str">
        <f>IF('Marks Entry'!BA203="","",IF(OR('Master Sheet'!$D$19="YES",'Marks Entry'!$BA$1=1),'Marks Entry'!BA203,""))</f>
        <v/>
      </c>
      <c r="DP203" s="852" t="str">
        <f t="shared" si="661"/>
        <v/>
      </c>
      <c r="DQ203" s="156" t="str">
        <f t="shared" si="662"/>
        <v/>
      </c>
      <c r="DR203" s="156" t="str">
        <f t="shared" si="663"/>
        <v/>
      </c>
      <c r="DS203" s="156" t="str">
        <f t="shared" si="664"/>
        <v/>
      </c>
      <c r="DT203" s="191" t="str">
        <f t="shared" si="665"/>
        <v/>
      </c>
      <c r="DU203" s="152">
        <f t="shared" si="666"/>
        <v>0</v>
      </c>
      <c r="DV203" s="153">
        <f t="shared" si="667"/>
        <v>0</v>
      </c>
      <c r="DW203" s="153" t="str">
        <f t="shared" si="668"/>
        <v/>
      </c>
      <c r="DX203" s="153" t="str">
        <f>IF(OR($B203="NSO",$B203=0,DS203=""),"",IF(AND(DJ203="",DO203=""),"",IF('Master Sheet'!$D$19="YES",$DO$6-COUNTIF(DO203,"ML")*DO$6,DS$6-(COUNTIF(DJ203,"ML")*DJ$6)-(COUNTIF(DO203,"ML")*DO$6))))</f>
        <v/>
      </c>
      <c r="DY203" s="153" t="str">
        <f>IF(OR($B203="NSO",$B203=0),"",IF(AND(DH203="",DI203="",DM203=""),"",IF(AND('Master Sheet'!$D$19="YES",'Marks Entry'!$BA$1=1),100,IF(AND(DJ203="",DO203=""),SUM(($DQ$7+$DR$7)-(DU203+DV203)),SUM(($DQ$6+$DR$6)-(DU203+DV203))))))</f>
        <v/>
      </c>
      <c r="DZ203" s="152" t="str">
        <f t="shared" si="669"/>
        <v/>
      </c>
      <c r="EA203" s="153" t="str">
        <f t="shared" si="670"/>
        <v/>
      </c>
      <c r="EB203" s="152" t="str">
        <f t="shared" si="671"/>
        <v/>
      </c>
      <c r="EC203" s="584" t="str">
        <f>IF('Marks Entry'!BB203="","",'Marks Entry'!BB203)</f>
        <v/>
      </c>
      <c r="ED203" s="584" t="str">
        <f>IF('Marks Entry'!BC203="","",'Marks Entry'!BC203)</f>
        <v/>
      </c>
      <c r="EE203" s="584" t="str">
        <f>IF('Marks Entry'!BD203="","",'Marks Entry'!BD203)</f>
        <v/>
      </c>
      <c r="EF203" s="590" t="str">
        <f t="shared" si="672"/>
        <v/>
      </c>
      <c r="EG203" s="595">
        <f t="shared" si="673"/>
        <v>0</v>
      </c>
      <c r="EH203" s="595">
        <f t="shared" si="674"/>
        <v>0</v>
      </c>
      <c r="EI203" s="192" t="str">
        <f t="shared" si="675"/>
        <v/>
      </c>
      <c r="EJ203" s="595" t="str">
        <f t="shared" si="676"/>
        <v/>
      </c>
      <c r="EK203" s="595" t="str">
        <f t="shared" si="677"/>
        <v/>
      </c>
      <c r="EL203" s="193" t="str">
        <f t="shared" si="678"/>
        <v/>
      </c>
      <c r="EM203" s="193" t="str">
        <f t="shared" si="679"/>
        <v/>
      </c>
      <c r="EN203" s="193" t="str">
        <f t="shared" si="680"/>
        <v/>
      </c>
      <c r="EO203" s="193" t="str">
        <f t="shared" si="681"/>
        <v/>
      </c>
      <c r="EP203" s="193" t="str">
        <f t="shared" si="682"/>
        <v/>
      </c>
      <c r="EQ203" s="193" t="str">
        <f t="shared" si="683"/>
        <v/>
      </c>
      <c r="ER203" s="194">
        <f t="shared" si="684"/>
        <v>0</v>
      </c>
      <c r="ES203" s="194">
        <f t="shared" si="685"/>
        <v>0</v>
      </c>
      <c r="ET203" s="194">
        <f t="shared" si="686"/>
        <v>0</v>
      </c>
      <c r="EU203" s="194">
        <f t="shared" si="687"/>
        <v>0</v>
      </c>
      <c r="EV203" s="194">
        <f t="shared" si="688"/>
        <v>0</v>
      </c>
      <c r="EW203" s="194" t="str">
        <f t="shared" si="689"/>
        <v/>
      </c>
      <c r="EX203" s="195" t="str">
        <f t="shared" si="690"/>
        <v/>
      </c>
      <c r="EY203" s="196" t="str">
        <f>IF('Marks Entry'!BE203="","",'Marks Entry'!BE203)</f>
        <v/>
      </c>
      <c r="EZ203" s="196" t="str">
        <f>IF('Marks Entry'!BF203="","",'Marks Entry'!BF203)</f>
        <v/>
      </c>
      <c r="FA203" s="196" t="str">
        <f>IF('Marks Entry'!BG203="","",'Marks Entry'!BG203)</f>
        <v/>
      </c>
      <c r="FB203" s="596" t="str">
        <f t="shared" si="691"/>
        <v/>
      </c>
      <c r="FC203" s="196" t="str">
        <f>IF('Marks Entry'!BH203="","",'Marks Entry'!BH203)</f>
        <v/>
      </c>
      <c r="FD203" s="196" t="str">
        <f>IF('Marks Entry'!BI203="","",'Marks Entry'!BI203)</f>
        <v/>
      </c>
      <c r="FE203" s="197" t="str">
        <f t="shared" si="692"/>
        <v/>
      </c>
      <c r="FF203" s="198" t="str">
        <f t="shared" si="693"/>
        <v/>
      </c>
      <c r="FG203" s="199" t="str">
        <f>IF(AND(E203=""),"",IF('Student DATA Entry'!L199="","",'Student DATA Entry'!L199))</f>
        <v/>
      </c>
      <c r="FH203" s="200" t="str">
        <f>IF(AND(E203=""),"",IF('Student DATA Entry'!M199="","",'Student DATA Entry'!M199))</f>
        <v/>
      </c>
      <c r="FI203" s="201" t="str">
        <f t="shared" si="694"/>
        <v/>
      </c>
      <c r="FJ203" s="188" t="str">
        <f t="shared" si="695"/>
        <v/>
      </c>
      <c r="FK203" s="188" t="str">
        <f t="shared" si="696"/>
        <v/>
      </c>
      <c r="FL203" s="202" t="str">
        <f t="shared" si="565"/>
        <v/>
      </c>
      <c r="FM203" s="188" t="str">
        <f t="shared" si="697"/>
        <v/>
      </c>
      <c r="FN203" s="203" t="str">
        <f t="shared" si="698"/>
        <v/>
      </c>
      <c r="FO203" s="202" t="str">
        <f t="shared" si="566"/>
        <v/>
      </c>
      <c r="FP203" s="204" t="str">
        <f t="shared" si="699"/>
        <v/>
      </c>
      <c r="FQ203" s="188" t="str">
        <f t="shared" si="567"/>
        <v/>
      </c>
      <c r="FR203" s="188" t="str">
        <f t="shared" si="568"/>
        <v/>
      </c>
      <c r="FS203" s="188" t="str">
        <f t="shared" si="569"/>
        <v/>
      </c>
      <c r="FT203" s="188" t="str">
        <f t="shared" si="570"/>
        <v/>
      </c>
      <c r="FU203" s="188" t="str">
        <f t="shared" si="700"/>
        <v/>
      </c>
      <c r="FV203" s="205" t="str">
        <f t="shared" si="571"/>
        <v/>
      </c>
      <c r="FW203" s="204" t="str">
        <f t="shared" si="701"/>
        <v/>
      </c>
      <c r="FX203" s="188" t="str">
        <f t="shared" si="572"/>
        <v/>
      </c>
      <c r="FY203" s="188" t="str">
        <f t="shared" si="573"/>
        <v/>
      </c>
      <c r="FZ203" s="188" t="str">
        <f t="shared" si="574"/>
        <v/>
      </c>
      <c r="GA203" s="188" t="str">
        <f t="shared" si="575"/>
        <v/>
      </c>
      <c r="GB203" s="188" t="str">
        <f t="shared" si="702"/>
        <v/>
      </c>
      <c r="GC203" s="205" t="str">
        <f t="shared" si="576"/>
        <v/>
      </c>
      <c r="GD203" s="204" t="str">
        <f t="shared" si="703"/>
        <v/>
      </c>
      <c r="GE203" s="188" t="str">
        <f t="shared" si="577"/>
        <v/>
      </c>
      <c r="GF203" s="188" t="str">
        <f t="shared" si="578"/>
        <v/>
      </c>
      <c r="GG203" s="188" t="str">
        <f t="shared" si="579"/>
        <v/>
      </c>
      <c r="GH203" s="188" t="str">
        <f t="shared" si="580"/>
        <v/>
      </c>
      <c r="GI203" s="188" t="str">
        <f t="shared" si="704"/>
        <v/>
      </c>
      <c r="GJ203" s="205" t="str">
        <f t="shared" si="581"/>
        <v/>
      </c>
      <c r="GK203" s="204" t="str">
        <f t="shared" si="705"/>
        <v/>
      </c>
      <c r="GL203" s="188" t="str">
        <f t="shared" si="582"/>
        <v/>
      </c>
      <c r="GM203" s="188" t="str">
        <f t="shared" si="583"/>
        <v/>
      </c>
      <c r="GN203" s="188" t="str">
        <f t="shared" si="584"/>
        <v/>
      </c>
      <c r="GO203" s="188" t="str">
        <f t="shared" si="585"/>
        <v/>
      </c>
      <c r="GP203" s="188" t="str">
        <f t="shared" si="706"/>
        <v/>
      </c>
      <c r="GQ203" s="205" t="str">
        <f t="shared" si="586"/>
        <v/>
      </c>
      <c r="GR203" s="188" t="str">
        <f t="shared" si="707"/>
        <v/>
      </c>
      <c r="GS203" s="188" t="str">
        <f t="shared" si="708"/>
        <v/>
      </c>
      <c r="GT203" s="206" t="str">
        <f t="shared" si="709"/>
        <v xml:space="preserve">    </v>
      </c>
      <c r="GU203" s="206" t="str">
        <f t="shared" si="710"/>
        <v xml:space="preserve">    </v>
      </c>
      <c r="GV203" s="206" t="str">
        <f t="shared" si="711"/>
        <v xml:space="preserve">    </v>
      </c>
      <c r="GW203" s="206" t="str">
        <f t="shared" si="712"/>
        <v xml:space="preserve">       </v>
      </c>
      <c r="GX203" s="598" t="str">
        <f t="shared" si="713"/>
        <v xml:space="preserve">     </v>
      </c>
      <c r="GY203" s="207" t="str">
        <f t="shared" si="587"/>
        <v/>
      </c>
      <c r="GZ203" s="606" t="str">
        <f>IF(AND(Q203="",AE203="",AZ203="",BW203="",CT203=""),"",IF(AND('Master Sheet'!$D$19="YES",'Marks Entry'!$BA$1=1),SUM(Q203,AE203,AZ203,BW203,DT203),SUM(Q203,AE203,AZ203,BW203,CT203)))</f>
        <v/>
      </c>
      <c r="HA203" s="208" t="str">
        <f>IF(GZ203="","",IF(AND('Master Sheet'!$D$19="YES",'Marks Entry'!$BA$1=1),GZ203/((900)-DC203)*100,GZ203/((1000)-DC203)*100))</f>
        <v/>
      </c>
      <c r="HB203" s="611" t="str">
        <f t="shared" si="714"/>
        <v/>
      </c>
      <c r="HC203" s="609" t="str">
        <f t="shared" si="715"/>
        <v/>
      </c>
      <c r="HD203" s="610" t="str">
        <f t="shared" si="716"/>
        <v/>
      </c>
      <c r="HE203" s="209" t="str">
        <f>IFERROR(IF(OR(GY203="SUPPLEMENTARY",GY203="RE-EXAM"),'Supp. Result Entry'!AS202,""),"")</f>
        <v/>
      </c>
      <c r="HF203" s="613" t="str">
        <f t="shared" si="717"/>
        <v/>
      </c>
      <c r="HG203" s="598" t="str">
        <f t="shared" si="718"/>
        <v/>
      </c>
      <c r="HH203" s="598" t="str">
        <f>IF(AND(HE203="",HF203="",HG203=""),"",IF(OR(GY203="SUPPLEMENTARY",GY203="RE-EXAM"),'Supp. Result Entry'!AS202,GY203))</f>
        <v/>
      </c>
      <c r="HI203" s="179"/>
      <c r="HY203" s="211" t="str">
        <f>IF('Supp. Result Entry'!U202="","",'Supp. Result Entry'!$U$6)</f>
        <v/>
      </c>
      <c r="HZ203" s="212" t="str">
        <f>IF('Supp. Result Entry'!X202="","",'Supp. Result Entry'!$X$6)</f>
        <v/>
      </c>
      <c r="IA203" s="212" t="str">
        <f>IF('Supp. Result Entry'!AA202="","",'Supp. Result Entry'!$AA$6)</f>
        <v/>
      </c>
      <c r="IB203" s="212" t="str">
        <f>IF('Supp. Result Entry'!AD202="","",'Supp. Result Entry'!$AD$6)</f>
        <v/>
      </c>
      <c r="IC203" s="212" t="str">
        <f>IF('Supp. Result Entry'!AG202="","",'Supp. Result Entry'!$AG$6)</f>
        <v/>
      </c>
      <c r="ID203" s="212" t="str">
        <f>IF('Supp. Result Entry'!AJ202="","",'Supp. Result Entry'!$AJ$6)</f>
        <v/>
      </c>
      <c r="IE203" s="212" t="str">
        <f>IF('Supp. Result Entry'!V202="","",'Supp. Result Entry'!V202)</f>
        <v/>
      </c>
      <c r="IF203" s="212" t="str">
        <f>IF('Supp. Result Entry'!Y202="","",'Supp. Result Entry'!Y202)</f>
        <v/>
      </c>
      <c r="IG203" s="212" t="str">
        <f>IF('Supp. Result Entry'!AB202="","",'Supp. Result Entry'!AB202)</f>
        <v/>
      </c>
      <c r="IH203" s="212" t="str">
        <f>IF('Supp. Result Entry'!AE202="","",'Supp. Result Entry'!AE202)</f>
        <v/>
      </c>
      <c r="II203" s="212" t="str">
        <f>IF('Supp. Result Entry'!AH202="","",'Supp. Result Entry'!AH202)</f>
        <v/>
      </c>
      <c r="IJ203" s="212" t="str">
        <f>IF('Supp. Result Entry'!AK202="","",'Supp. Result Entry'!AK202)</f>
        <v/>
      </c>
      <c r="IK203" s="212" t="str">
        <f>IF('Supp. Result Entry'!W202="","",'Supp. Result Entry'!W202)</f>
        <v/>
      </c>
      <c r="IL203" s="212" t="str">
        <f>IF('Supp. Result Entry'!Z202="","",'Supp. Result Entry'!Z202)</f>
        <v/>
      </c>
      <c r="IM203" s="212" t="str">
        <f>IF('Supp. Result Entry'!AC202="","",'Supp. Result Entry'!AC202)</f>
        <v/>
      </c>
      <c r="IN203" s="212" t="str">
        <f>IF('Supp. Result Entry'!AF202="","",'Supp. Result Entry'!AF202)</f>
        <v/>
      </c>
      <c r="IO203" s="212" t="str">
        <f>IF('Supp. Result Entry'!AI202="","",'Supp. Result Entry'!AI202)</f>
        <v/>
      </c>
      <c r="IP203" s="212" t="str">
        <f>IF('Supp. Result Entry'!AL202="","",'Supp. Result Entry'!AL202)</f>
        <v/>
      </c>
      <c r="IQ203" s="212">
        <f>COUNTIF('Supp. Result Entry'!K202:Q202,"S")</f>
        <v>0</v>
      </c>
      <c r="IR203" s="212">
        <f t="shared" si="719"/>
        <v>0</v>
      </c>
      <c r="IS203" s="212">
        <f t="shared" si="720"/>
        <v>0</v>
      </c>
      <c r="IT203" s="212" t="str">
        <f t="shared" si="588"/>
        <v/>
      </c>
      <c r="IU203" s="212" t="str">
        <f t="shared" si="589"/>
        <v/>
      </c>
      <c r="IV203" s="212" t="str">
        <f t="shared" si="590"/>
        <v/>
      </c>
      <c r="IW203" s="212" t="str">
        <f t="shared" si="591"/>
        <v/>
      </c>
      <c r="IX203" s="212" t="str">
        <f t="shared" si="592"/>
        <v/>
      </c>
      <c r="IY203" s="212" t="str">
        <f t="shared" si="721"/>
        <v/>
      </c>
      <c r="IZ203" s="212" t="str">
        <f t="shared" si="722"/>
        <v/>
      </c>
      <c r="JA203" s="212" t="str">
        <f t="shared" si="593"/>
        <v/>
      </c>
      <c r="JB203" s="210" t="str">
        <f t="shared" si="723"/>
        <v/>
      </c>
    </row>
    <row r="204" spans="1:262" s="210" customFormat="1" ht="21" customHeight="1">
      <c r="A204" s="183">
        <v>197</v>
      </c>
      <c r="B204" s="184" t="str">
        <f>IF('Marks Entry'!B204="","",'Marks Entry'!B204)</f>
        <v/>
      </c>
      <c r="C204" s="185" t="str">
        <f>IF('Marks Entry'!D204="","",'Marks Entry'!D204)</f>
        <v/>
      </c>
      <c r="D204" s="186" t="str">
        <f>IF('Marks Entry'!E204="","",'Marks Entry'!E204)</f>
        <v/>
      </c>
      <c r="E204" s="187" t="str">
        <f>IF('Marks Entry'!F204="","",'Marks Entry'!F204)</f>
        <v/>
      </c>
      <c r="F204" s="187" t="str">
        <f>IF('Marks Entry'!G204="","",'Marks Entry'!G204)</f>
        <v/>
      </c>
      <c r="G204" s="187" t="str">
        <f>IF('Marks Entry'!H204="","",'Marks Entry'!H204)</f>
        <v/>
      </c>
      <c r="H204" s="188" t="str">
        <f>IF('Marks Entry'!I204="","",'Marks Entry'!I204)</f>
        <v/>
      </c>
      <c r="I204" s="189" t="str">
        <f>IF('Marks Entry'!J204="","",'Marks Entry'!J204)</f>
        <v/>
      </c>
      <c r="J204" s="545" t="str">
        <f>IF('Marks Entry'!K204="","",'Marks Entry'!K204)</f>
        <v/>
      </c>
      <c r="K204" s="545" t="str">
        <f>IF('Marks Entry'!L204="","",'Marks Entry'!L204)</f>
        <v/>
      </c>
      <c r="L204" s="545" t="str">
        <f>IF('Marks Entry'!M204="","",'Marks Entry'!M204)</f>
        <v/>
      </c>
      <c r="M204" s="546" t="str">
        <f t="shared" si="594"/>
        <v/>
      </c>
      <c r="N204" s="545" t="str">
        <f>IF('Marks Entry'!N204="","",'Marks Entry'!N204)</f>
        <v/>
      </c>
      <c r="O204" s="546" t="str">
        <f t="shared" si="595"/>
        <v/>
      </c>
      <c r="P204" s="545" t="str">
        <f>IF('Marks Entry'!O204="","",'Marks Entry'!O204)</f>
        <v/>
      </c>
      <c r="Q204" s="547" t="str">
        <f t="shared" si="596"/>
        <v/>
      </c>
      <c r="R204" s="152">
        <f t="shared" si="597"/>
        <v>0</v>
      </c>
      <c r="S204" s="152">
        <f t="shared" si="598"/>
        <v>0</v>
      </c>
      <c r="T204" s="153" t="str">
        <f t="shared" si="599"/>
        <v/>
      </c>
      <c r="U204" s="152" t="str">
        <f t="shared" si="600"/>
        <v/>
      </c>
      <c r="V204" s="152" t="str">
        <f t="shared" si="601"/>
        <v/>
      </c>
      <c r="W204" s="152" t="str">
        <f t="shared" si="602"/>
        <v/>
      </c>
      <c r="X204" s="545" t="str">
        <f>IF('Marks Entry'!P204="","",'Marks Entry'!P204)</f>
        <v/>
      </c>
      <c r="Y204" s="545" t="str">
        <f>IF('Marks Entry'!Q204="","",'Marks Entry'!Q204)</f>
        <v/>
      </c>
      <c r="Z204" s="545" t="str">
        <f>IF('Marks Entry'!R204="","",'Marks Entry'!R204)</f>
        <v/>
      </c>
      <c r="AA204" s="546" t="str">
        <f t="shared" si="603"/>
        <v/>
      </c>
      <c r="AB204" s="545" t="str">
        <f>IF('Marks Entry'!S204="","",'Marks Entry'!S204)</f>
        <v/>
      </c>
      <c r="AC204" s="546" t="str">
        <f t="shared" si="604"/>
        <v/>
      </c>
      <c r="AD204" s="545" t="str">
        <f>IF('Marks Entry'!T204="","",'Marks Entry'!T204)</f>
        <v/>
      </c>
      <c r="AE204" s="547" t="str">
        <f t="shared" si="605"/>
        <v/>
      </c>
      <c r="AF204" s="152">
        <f t="shared" si="606"/>
        <v>0</v>
      </c>
      <c r="AG204" s="152">
        <f t="shared" si="607"/>
        <v>0</v>
      </c>
      <c r="AH204" s="153" t="str">
        <f t="shared" si="608"/>
        <v/>
      </c>
      <c r="AI204" s="152" t="str">
        <f t="shared" si="609"/>
        <v/>
      </c>
      <c r="AJ204" s="152" t="str">
        <f t="shared" si="610"/>
        <v/>
      </c>
      <c r="AK204" s="152" t="str">
        <f t="shared" si="611"/>
        <v/>
      </c>
      <c r="AL204" s="573" t="str">
        <f>IF('Marks Entry'!U204="","",'Marks Entry'!U204)</f>
        <v/>
      </c>
      <c r="AM204" s="573" t="str">
        <f>IF('Marks Entry'!V204="","",'Marks Entry'!V204)</f>
        <v/>
      </c>
      <c r="AN204" s="573" t="str">
        <f>IF('Marks Entry'!W204="","",'Marks Entry'!W204)</f>
        <v/>
      </c>
      <c r="AO204" s="573" t="str">
        <f>IF('Marks Entry'!X204="","",'Marks Entry'!X204)</f>
        <v/>
      </c>
      <c r="AP204" s="572" t="str">
        <f t="shared" si="612"/>
        <v/>
      </c>
      <c r="AQ204" s="573" t="str">
        <f>IF('Marks Entry'!Y204="","",'Marks Entry'!Y204)</f>
        <v/>
      </c>
      <c r="AR204" s="573" t="str">
        <f>IF('Marks Entry'!Z204="","",'Marks Entry'!Z204)</f>
        <v/>
      </c>
      <c r="AS204" s="572" t="str">
        <f t="shared" si="613"/>
        <v/>
      </c>
      <c r="AT204" s="572" t="str">
        <f t="shared" si="614"/>
        <v/>
      </c>
      <c r="AU204" s="573" t="str">
        <f>IF('Marks Entry'!AA204="","",'Marks Entry'!AA204)</f>
        <v/>
      </c>
      <c r="AV204" s="573" t="str">
        <f>IF('Marks Entry'!AB204="","",'Marks Entry'!AB204)</f>
        <v/>
      </c>
      <c r="AW204" s="572" t="str">
        <f t="shared" si="615"/>
        <v/>
      </c>
      <c r="AX204" s="156" t="str">
        <f t="shared" si="616"/>
        <v/>
      </c>
      <c r="AY204" s="156" t="str">
        <f t="shared" si="617"/>
        <v/>
      </c>
      <c r="AZ204" s="191" t="str">
        <f t="shared" si="618"/>
        <v/>
      </c>
      <c r="BA204" s="152">
        <f t="shared" si="619"/>
        <v>0</v>
      </c>
      <c r="BB204" s="153">
        <f t="shared" si="620"/>
        <v>0</v>
      </c>
      <c r="BC204" s="153" t="str">
        <f t="shared" si="621"/>
        <v/>
      </c>
      <c r="BD204" s="153" t="str">
        <f t="shared" si="622"/>
        <v/>
      </c>
      <c r="BE204" s="153" t="str">
        <f t="shared" si="623"/>
        <v/>
      </c>
      <c r="BF204" s="152" t="str">
        <f t="shared" si="624"/>
        <v/>
      </c>
      <c r="BG204" s="153" t="str">
        <f t="shared" si="625"/>
        <v/>
      </c>
      <c r="BH204" s="152" t="str">
        <f t="shared" si="626"/>
        <v/>
      </c>
      <c r="BI204" s="580" t="str">
        <f>IF('Marks Entry'!AC204="","",'Marks Entry'!AC204)</f>
        <v/>
      </c>
      <c r="BJ204" s="580" t="str">
        <f>IF('Marks Entry'!AD204="","",'Marks Entry'!AD204)</f>
        <v/>
      </c>
      <c r="BK204" s="580" t="str">
        <f>IF('Marks Entry'!AE204="","",'Marks Entry'!AE204)</f>
        <v/>
      </c>
      <c r="BL204" s="580" t="str">
        <f>IF('Marks Entry'!AF204="","",'Marks Entry'!AF204)</f>
        <v/>
      </c>
      <c r="BM204" s="581" t="str">
        <f t="shared" si="627"/>
        <v/>
      </c>
      <c r="BN204" s="580" t="str">
        <f>IF('Marks Entry'!AG204="","",'Marks Entry'!AG204)</f>
        <v/>
      </c>
      <c r="BO204" s="580" t="str">
        <f>IF('Marks Entry'!AH204="","",'Marks Entry'!AH204)</f>
        <v/>
      </c>
      <c r="BP204" s="581" t="str">
        <f t="shared" si="628"/>
        <v/>
      </c>
      <c r="BQ204" s="581" t="str">
        <f t="shared" si="629"/>
        <v/>
      </c>
      <c r="BR204" s="580" t="str">
        <f>IF('Marks Entry'!AI204="","",'Marks Entry'!AI204)</f>
        <v/>
      </c>
      <c r="BS204" s="580" t="str">
        <f>IF('Marks Entry'!AJ204="","",'Marks Entry'!AJ204)</f>
        <v/>
      </c>
      <c r="BT204" s="581" t="str">
        <f t="shared" si="630"/>
        <v/>
      </c>
      <c r="BU204" s="156" t="str">
        <f t="shared" si="631"/>
        <v/>
      </c>
      <c r="BV204" s="156" t="str">
        <f t="shared" si="632"/>
        <v/>
      </c>
      <c r="BW204" s="191" t="str">
        <f t="shared" si="633"/>
        <v/>
      </c>
      <c r="BX204" s="152">
        <f t="shared" si="634"/>
        <v>0</v>
      </c>
      <c r="BY204" s="153">
        <f t="shared" si="635"/>
        <v>0</v>
      </c>
      <c r="BZ204" s="153" t="str">
        <f t="shared" si="636"/>
        <v/>
      </c>
      <c r="CA204" s="153" t="str">
        <f t="shared" si="637"/>
        <v/>
      </c>
      <c r="CB204" s="153" t="str">
        <f t="shared" si="638"/>
        <v/>
      </c>
      <c r="CC204" s="152" t="str">
        <f t="shared" si="639"/>
        <v/>
      </c>
      <c r="CD204" s="153" t="str">
        <f t="shared" si="640"/>
        <v/>
      </c>
      <c r="CE204" s="152" t="str">
        <f t="shared" si="641"/>
        <v/>
      </c>
      <c r="CF204" s="580" t="str">
        <f>IF('Marks Entry'!AK204="","",'Marks Entry'!AK204)</f>
        <v/>
      </c>
      <c r="CG204" s="580" t="str">
        <f>IF('Marks Entry'!AL204="","",'Marks Entry'!AL204)</f>
        <v/>
      </c>
      <c r="CH204" s="580" t="str">
        <f>IF('Marks Entry'!AM204="","",'Marks Entry'!AM204)</f>
        <v/>
      </c>
      <c r="CI204" s="580" t="str">
        <f>IF('Marks Entry'!AN204="","",'Marks Entry'!AN204)</f>
        <v/>
      </c>
      <c r="CJ204" s="581" t="str">
        <f t="shared" si="642"/>
        <v/>
      </c>
      <c r="CK204" s="580" t="str">
        <f>IF('Marks Entry'!AO204="","",'Marks Entry'!AO204)</f>
        <v/>
      </c>
      <c r="CL204" s="580" t="str">
        <f>IF('Marks Entry'!AP204="","",'Marks Entry'!AP204)</f>
        <v/>
      </c>
      <c r="CM204" s="581" t="str">
        <f t="shared" si="643"/>
        <v/>
      </c>
      <c r="CN204" s="581" t="str">
        <f t="shared" si="644"/>
        <v/>
      </c>
      <c r="CO204" s="580" t="str">
        <f>IF('Marks Entry'!AQ204="","",'Marks Entry'!AQ204)</f>
        <v/>
      </c>
      <c r="CP204" s="580" t="str">
        <f>IF('Marks Entry'!AR204="","",'Marks Entry'!AR204)</f>
        <v/>
      </c>
      <c r="CQ204" s="581" t="str">
        <f t="shared" si="645"/>
        <v/>
      </c>
      <c r="CR204" s="156" t="str">
        <f t="shared" si="646"/>
        <v/>
      </c>
      <c r="CS204" s="156" t="str">
        <f t="shared" si="647"/>
        <v/>
      </c>
      <c r="CT204" s="191" t="str">
        <f t="shared" si="648"/>
        <v/>
      </c>
      <c r="CU204" s="152">
        <f t="shared" si="649"/>
        <v>0</v>
      </c>
      <c r="CV204" s="153">
        <f t="shared" si="650"/>
        <v>0</v>
      </c>
      <c r="CW204" s="153" t="str">
        <f t="shared" si="651"/>
        <v/>
      </c>
      <c r="CX204" s="153" t="str">
        <f t="shared" si="652"/>
        <v/>
      </c>
      <c r="CY204" s="153" t="str">
        <f t="shared" si="653"/>
        <v/>
      </c>
      <c r="CZ204" s="152" t="str">
        <f t="shared" si="654"/>
        <v/>
      </c>
      <c r="DA204" s="153" t="str">
        <f t="shared" si="655"/>
        <v/>
      </c>
      <c r="DB204" s="152" t="str">
        <f t="shared" si="656"/>
        <v/>
      </c>
      <c r="DC204" s="153">
        <f t="shared" si="657"/>
        <v>0</v>
      </c>
      <c r="DD204" s="851" t="str">
        <f>IF('Marks Entry'!AS204="","",IF(OR('Master Sheet'!$D$19="YES",'Marks Entry'!$BA$1=1),'Marks Entry'!AS204,""))</f>
        <v/>
      </c>
      <c r="DE204" s="851" t="str">
        <f>IF('Marks Entry'!AT204="","",IF(OR('Master Sheet'!$D$19="YES",'Marks Entry'!$BA$1=1),'Marks Entry'!AT204,""))</f>
        <v/>
      </c>
      <c r="DF204" s="851" t="str">
        <f>IF('Marks Entry'!AU204="","",IF(OR('Master Sheet'!$D$19="YES",'Marks Entry'!$BA$1=1),'Marks Entry'!AU204,""))</f>
        <v/>
      </c>
      <c r="DG204" s="851" t="str">
        <f>IF('Marks Entry'!AV204="","",IF(OR('Master Sheet'!$D$19="YES",'Marks Entry'!$BA$1=1),'Marks Entry'!AV204,""))</f>
        <v/>
      </c>
      <c r="DH204" s="852" t="str">
        <f t="shared" si="658"/>
        <v/>
      </c>
      <c r="DI204" s="851" t="str">
        <f>IF('Marks Entry'!AW204="","",IF(OR('Master Sheet'!$D$19="YES",'Marks Entry'!$BA$1=1),'Marks Entry'!AW204,""))</f>
        <v/>
      </c>
      <c r="DJ204" s="851" t="str">
        <f>IF('Marks Entry'!AX204="","",IF(OR('Master Sheet'!$D$19="YES",'Marks Entry'!$BA$1=1),'Marks Entry'!AX204,""))</f>
        <v/>
      </c>
      <c r="DK204" s="852" t="str">
        <f t="shared" si="659"/>
        <v/>
      </c>
      <c r="DL204" s="852" t="str">
        <f t="shared" si="660"/>
        <v/>
      </c>
      <c r="DM204" s="851" t="str">
        <f>IF('Marks Entry'!AY204="","",IF(OR('Master Sheet'!$D$19="YES",'Marks Entry'!$BA$1=1),'Marks Entry'!AY204,""))</f>
        <v/>
      </c>
      <c r="DN204" s="851" t="str">
        <f>IF('Marks Entry'!AZ204="","",IF(OR('Master Sheet'!$D$19="YES",'Marks Entry'!$BA$1=1),'Marks Entry'!AZ204,""))</f>
        <v/>
      </c>
      <c r="DO204" s="851" t="str">
        <f>IF('Marks Entry'!BA204="","",IF(OR('Master Sheet'!$D$19="YES",'Marks Entry'!$BA$1=1),'Marks Entry'!BA204,""))</f>
        <v/>
      </c>
      <c r="DP204" s="852" t="str">
        <f t="shared" si="661"/>
        <v/>
      </c>
      <c r="DQ204" s="156" t="str">
        <f t="shared" si="662"/>
        <v/>
      </c>
      <c r="DR204" s="156" t="str">
        <f t="shared" si="663"/>
        <v/>
      </c>
      <c r="DS204" s="156" t="str">
        <f t="shared" si="664"/>
        <v/>
      </c>
      <c r="DT204" s="191" t="str">
        <f t="shared" si="665"/>
        <v/>
      </c>
      <c r="DU204" s="152">
        <f t="shared" si="666"/>
        <v>0</v>
      </c>
      <c r="DV204" s="153">
        <f t="shared" si="667"/>
        <v>0</v>
      </c>
      <c r="DW204" s="153" t="str">
        <f t="shared" si="668"/>
        <v/>
      </c>
      <c r="DX204" s="153" t="str">
        <f>IF(OR($B204="NSO",$B204=0,DS204=""),"",IF(AND(DJ204="",DO204=""),"",IF('Master Sheet'!$D$19="YES",$DO$6-COUNTIF(DO204,"ML")*DO$6,DS$6-(COUNTIF(DJ204,"ML")*DJ$6)-(COUNTIF(DO204,"ML")*DO$6))))</f>
        <v/>
      </c>
      <c r="DY204" s="153" t="str">
        <f>IF(OR($B204="NSO",$B204=0),"",IF(AND(DH204="",DI204="",DM204=""),"",IF(AND('Master Sheet'!$D$19="YES",'Marks Entry'!$BA$1=1),100,IF(AND(DJ204="",DO204=""),SUM(($DQ$7+$DR$7)-(DU204+DV204)),SUM(($DQ$6+$DR$6)-(DU204+DV204))))))</f>
        <v/>
      </c>
      <c r="DZ204" s="152" t="str">
        <f t="shared" si="669"/>
        <v/>
      </c>
      <c r="EA204" s="153" t="str">
        <f t="shared" si="670"/>
        <v/>
      </c>
      <c r="EB204" s="152" t="str">
        <f t="shared" si="671"/>
        <v/>
      </c>
      <c r="EC204" s="584" t="str">
        <f>IF('Marks Entry'!BB204="","",'Marks Entry'!BB204)</f>
        <v/>
      </c>
      <c r="ED204" s="584" t="str">
        <f>IF('Marks Entry'!BC204="","",'Marks Entry'!BC204)</f>
        <v/>
      </c>
      <c r="EE204" s="584" t="str">
        <f>IF('Marks Entry'!BD204="","",'Marks Entry'!BD204)</f>
        <v/>
      </c>
      <c r="EF204" s="590" t="str">
        <f t="shared" si="672"/>
        <v/>
      </c>
      <c r="EG204" s="595">
        <f t="shared" si="673"/>
        <v>0</v>
      </c>
      <c r="EH204" s="595">
        <f t="shared" si="674"/>
        <v>0</v>
      </c>
      <c r="EI204" s="192" t="str">
        <f t="shared" si="675"/>
        <v/>
      </c>
      <c r="EJ204" s="595" t="str">
        <f t="shared" si="676"/>
        <v/>
      </c>
      <c r="EK204" s="595" t="str">
        <f t="shared" si="677"/>
        <v/>
      </c>
      <c r="EL204" s="193" t="str">
        <f t="shared" si="678"/>
        <v/>
      </c>
      <c r="EM204" s="193" t="str">
        <f t="shared" si="679"/>
        <v/>
      </c>
      <c r="EN204" s="193" t="str">
        <f t="shared" si="680"/>
        <v/>
      </c>
      <c r="EO204" s="193" t="str">
        <f t="shared" si="681"/>
        <v/>
      </c>
      <c r="EP204" s="193" t="str">
        <f t="shared" si="682"/>
        <v/>
      </c>
      <c r="EQ204" s="193" t="str">
        <f t="shared" si="683"/>
        <v/>
      </c>
      <c r="ER204" s="194">
        <f t="shared" si="684"/>
        <v>0</v>
      </c>
      <c r="ES204" s="194">
        <f t="shared" si="685"/>
        <v>0</v>
      </c>
      <c r="ET204" s="194">
        <f t="shared" si="686"/>
        <v>0</v>
      </c>
      <c r="EU204" s="194">
        <f t="shared" si="687"/>
        <v>0</v>
      </c>
      <c r="EV204" s="194">
        <f t="shared" si="688"/>
        <v>0</v>
      </c>
      <c r="EW204" s="194" t="str">
        <f t="shared" si="689"/>
        <v/>
      </c>
      <c r="EX204" s="195" t="str">
        <f t="shared" si="690"/>
        <v/>
      </c>
      <c r="EY204" s="196" t="str">
        <f>IF('Marks Entry'!BE204="","",'Marks Entry'!BE204)</f>
        <v/>
      </c>
      <c r="EZ204" s="196" t="str">
        <f>IF('Marks Entry'!BF204="","",'Marks Entry'!BF204)</f>
        <v/>
      </c>
      <c r="FA204" s="196" t="str">
        <f>IF('Marks Entry'!BG204="","",'Marks Entry'!BG204)</f>
        <v/>
      </c>
      <c r="FB204" s="596" t="str">
        <f t="shared" si="691"/>
        <v/>
      </c>
      <c r="FC204" s="196" t="str">
        <f>IF('Marks Entry'!BH204="","",'Marks Entry'!BH204)</f>
        <v/>
      </c>
      <c r="FD204" s="196" t="str">
        <f>IF('Marks Entry'!BI204="","",'Marks Entry'!BI204)</f>
        <v/>
      </c>
      <c r="FE204" s="197" t="str">
        <f t="shared" si="692"/>
        <v/>
      </c>
      <c r="FF204" s="198" t="str">
        <f t="shared" si="693"/>
        <v/>
      </c>
      <c r="FG204" s="199" t="str">
        <f>IF(AND(E204=""),"",IF('Student DATA Entry'!L200="","",'Student DATA Entry'!L200))</f>
        <v/>
      </c>
      <c r="FH204" s="200" t="str">
        <f>IF(AND(E204=""),"",IF('Student DATA Entry'!M200="","",'Student DATA Entry'!M200))</f>
        <v/>
      </c>
      <c r="FI204" s="201" t="str">
        <f t="shared" si="694"/>
        <v/>
      </c>
      <c r="FJ204" s="188" t="str">
        <f t="shared" si="695"/>
        <v/>
      </c>
      <c r="FK204" s="188" t="str">
        <f t="shared" si="696"/>
        <v/>
      </c>
      <c r="FL204" s="202" t="str">
        <f t="shared" si="565"/>
        <v/>
      </c>
      <c r="FM204" s="188" t="str">
        <f t="shared" si="697"/>
        <v/>
      </c>
      <c r="FN204" s="203" t="str">
        <f t="shared" si="698"/>
        <v/>
      </c>
      <c r="FO204" s="202" t="str">
        <f t="shared" si="566"/>
        <v/>
      </c>
      <c r="FP204" s="204" t="str">
        <f t="shared" si="699"/>
        <v/>
      </c>
      <c r="FQ204" s="188" t="str">
        <f t="shared" si="567"/>
        <v/>
      </c>
      <c r="FR204" s="188" t="str">
        <f t="shared" si="568"/>
        <v/>
      </c>
      <c r="FS204" s="188" t="str">
        <f t="shared" si="569"/>
        <v/>
      </c>
      <c r="FT204" s="188" t="str">
        <f t="shared" si="570"/>
        <v/>
      </c>
      <c r="FU204" s="188" t="str">
        <f t="shared" si="700"/>
        <v/>
      </c>
      <c r="FV204" s="205" t="str">
        <f t="shared" si="571"/>
        <v/>
      </c>
      <c r="FW204" s="204" t="str">
        <f t="shared" si="701"/>
        <v/>
      </c>
      <c r="FX204" s="188" t="str">
        <f t="shared" si="572"/>
        <v/>
      </c>
      <c r="FY204" s="188" t="str">
        <f t="shared" si="573"/>
        <v/>
      </c>
      <c r="FZ204" s="188" t="str">
        <f t="shared" si="574"/>
        <v/>
      </c>
      <c r="GA204" s="188" t="str">
        <f t="shared" si="575"/>
        <v/>
      </c>
      <c r="GB204" s="188" t="str">
        <f t="shared" si="702"/>
        <v/>
      </c>
      <c r="GC204" s="205" t="str">
        <f t="shared" si="576"/>
        <v/>
      </c>
      <c r="GD204" s="204" t="str">
        <f t="shared" si="703"/>
        <v/>
      </c>
      <c r="GE204" s="188" t="str">
        <f t="shared" si="577"/>
        <v/>
      </c>
      <c r="GF204" s="188" t="str">
        <f t="shared" si="578"/>
        <v/>
      </c>
      <c r="GG204" s="188" t="str">
        <f t="shared" si="579"/>
        <v/>
      </c>
      <c r="GH204" s="188" t="str">
        <f t="shared" si="580"/>
        <v/>
      </c>
      <c r="GI204" s="188" t="str">
        <f t="shared" si="704"/>
        <v/>
      </c>
      <c r="GJ204" s="205" t="str">
        <f t="shared" si="581"/>
        <v/>
      </c>
      <c r="GK204" s="204" t="str">
        <f t="shared" si="705"/>
        <v/>
      </c>
      <c r="GL204" s="188" t="str">
        <f t="shared" si="582"/>
        <v/>
      </c>
      <c r="GM204" s="188" t="str">
        <f t="shared" si="583"/>
        <v/>
      </c>
      <c r="GN204" s="188" t="str">
        <f t="shared" si="584"/>
        <v/>
      </c>
      <c r="GO204" s="188" t="str">
        <f t="shared" si="585"/>
        <v/>
      </c>
      <c r="GP204" s="188" t="str">
        <f t="shared" si="706"/>
        <v/>
      </c>
      <c r="GQ204" s="205" t="str">
        <f t="shared" si="586"/>
        <v/>
      </c>
      <c r="GR204" s="188" t="str">
        <f t="shared" si="707"/>
        <v/>
      </c>
      <c r="GS204" s="188" t="str">
        <f t="shared" si="708"/>
        <v/>
      </c>
      <c r="GT204" s="206" t="str">
        <f t="shared" si="709"/>
        <v xml:space="preserve">    </v>
      </c>
      <c r="GU204" s="206" t="str">
        <f t="shared" si="710"/>
        <v xml:space="preserve">    </v>
      </c>
      <c r="GV204" s="206" t="str">
        <f t="shared" si="711"/>
        <v xml:space="preserve">    </v>
      </c>
      <c r="GW204" s="206" t="str">
        <f t="shared" si="712"/>
        <v xml:space="preserve">       </v>
      </c>
      <c r="GX204" s="598" t="str">
        <f t="shared" si="713"/>
        <v xml:space="preserve">     </v>
      </c>
      <c r="GY204" s="207" t="str">
        <f t="shared" si="587"/>
        <v/>
      </c>
      <c r="GZ204" s="606" t="str">
        <f>IF(AND(Q204="",AE204="",AZ204="",BW204="",CT204=""),"",IF(AND('Master Sheet'!$D$19="YES",'Marks Entry'!$BA$1=1),SUM(Q204,AE204,AZ204,BW204,DT204),SUM(Q204,AE204,AZ204,BW204,CT204)))</f>
        <v/>
      </c>
      <c r="HA204" s="208" t="str">
        <f>IF(GZ204="","",IF(AND('Master Sheet'!$D$19="YES",'Marks Entry'!$BA$1=1),GZ204/((900)-DC204)*100,GZ204/((1000)-DC204)*100))</f>
        <v/>
      </c>
      <c r="HB204" s="611" t="str">
        <f t="shared" si="714"/>
        <v/>
      </c>
      <c r="HC204" s="609" t="str">
        <f t="shared" si="715"/>
        <v/>
      </c>
      <c r="HD204" s="610" t="str">
        <f t="shared" si="716"/>
        <v/>
      </c>
      <c r="HE204" s="209" t="str">
        <f>IFERROR(IF(OR(GY204="SUPPLEMENTARY",GY204="RE-EXAM"),'Supp. Result Entry'!AS203,""),"")</f>
        <v/>
      </c>
      <c r="HF204" s="613" t="str">
        <f t="shared" si="717"/>
        <v/>
      </c>
      <c r="HG204" s="598" t="str">
        <f t="shared" si="718"/>
        <v/>
      </c>
      <c r="HH204" s="598" t="str">
        <f>IF(AND(HE204="",HF204="",HG204=""),"",IF(OR(GY204="SUPPLEMENTARY",GY204="RE-EXAM"),'Supp. Result Entry'!AS203,GY204))</f>
        <v/>
      </c>
      <c r="HI204" s="179"/>
      <c r="HY204" s="211" t="str">
        <f>IF('Supp. Result Entry'!U203="","",'Supp. Result Entry'!$U$6)</f>
        <v/>
      </c>
      <c r="HZ204" s="212" t="str">
        <f>IF('Supp. Result Entry'!X203="","",'Supp. Result Entry'!$X$6)</f>
        <v/>
      </c>
      <c r="IA204" s="212" t="str">
        <f>IF('Supp. Result Entry'!AA203="","",'Supp. Result Entry'!$AA$6)</f>
        <v/>
      </c>
      <c r="IB204" s="212" t="str">
        <f>IF('Supp. Result Entry'!AD203="","",'Supp. Result Entry'!$AD$6)</f>
        <v/>
      </c>
      <c r="IC204" s="212" t="str">
        <f>IF('Supp. Result Entry'!AG203="","",'Supp. Result Entry'!$AG$6)</f>
        <v/>
      </c>
      <c r="ID204" s="212" t="str">
        <f>IF('Supp. Result Entry'!AJ203="","",'Supp. Result Entry'!$AJ$6)</f>
        <v/>
      </c>
      <c r="IE204" s="212" t="str">
        <f>IF('Supp. Result Entry'!V203="","",'Supp. Result Entry'!V203)</f>
        <v/>
      </c>
      <c r="IF204" s="212" t="str">
        <f>IF('Supp. Result Entry'!Y203="","",'Supp. Result Entry'!Y203)</f>
        <v/>
      </c>
      <c r="IG204" s="212" t="str">
        <f>IF('Supp. Result Entry'!AB203="","",'Supp. Result Entry'!AB203)</f>
        <v/>
      </c>
      <c r="IH204" s="212" t="str">
        <f>IF('Supp. Result Entry'!AE203="","",'Supp. Result Entry'!AE203)</f>
        <v/>
      </c>
      <c r="II204" s="212" t="str">
        <f>IF('Supp. Result Entry'!AH203="","",'Supp. Result Entry'!AH203)</f>
        <v/>
      </c>
      <c r="IJ204" s="212" t="str">
        <f>IF('Supp. Result Entry'!AK203="","",'Supp. Result Entry'!AK203)</f>
        <v/>
      </c>
      <c r="IK204" s="212" t="str">
        <f>IF('Supp. Result Entry'!W203="","",'Supp. Result Entry'!W203)</f>
        <v/>
      </c>
      <c r="IL204" s="212" t="str">
        <f>IF('Supp. Result Entry'!Z203="","",'Supp. Result Entry'!Z203)</f>
        <v/>
      </c>
      <c r="IM204" s="212" t="str">
        <f>IF('Supp. Result Entry'!AC203="","",'Supp. Result Entry'!AC203)</f>
        <v/>
      </c>
      <c r="IN204" s="212" t="str">
        <f>IF('Supp. Result Entry'!AF203="","",'Supp. Result Entry'!AF203)</f>
        <v/>
      </c>
      <c r="IO204" s="212" t="str">
        <f>IF('Supp. Result Entry'!AI203="","",'Supp. Result Entry'!AI203)</f>
        <v/>
      </c>
      <c r="IP204" s="212" t="str">
        <f>IF('Supp. Result Entry'!AL203="","",'Supp. Result Entry'!AL203)</f>
        <v/>
      </c>
      <c r="IQ204" s="212">
        <f>COUNTIF('Supp. Result Entry'!K203:Q203,"S")</f>
        <v>0</v>
      </c>
      <c r="IR204" s="212">
        <f t="shared" si="719"/>
        <v>0</v>
      </c>
      <c r="IS204" s="212">
        <f t="shared" si="720"/>
        <v>0</v>
      </c>
      <c r="IT204" s="212" t="str">
        <f t="shared" si="588"/>
        <v/>
      </c>
      <c r="IU204" s="212" t="str">
        <f t="shared" si="589"/>
        <v/>
      </c>
      <c r="IV204" s="212" t="str">
        <f t="shared" si="590"/>
        <v/>
      </c>
      <c r="IW204" s="212" t="str">
        <f t="shared" si="591"/>
        <v/>
      </c>
      <c r="IX204" s="212" t="str">
        <f t="shared" si="592"/>
        <v/>
      </c>
      <c r="IY204" s="212" t="str">
        <f t="shared" si="721"/>
        <v/>
      </c>
      <c r="IZ204" s="212" t="str">
        <f t="shared" si="722"/>
        <v/>
      </c>
      <c r="JA204" s="212" t="str">
        <f t="shared" si="593"/>
        <v/>
      </c>
      <c r="JB204" s="210" t="str">
        <f t="shared" si="723"/>
        <v/>
      </c>
    </row>
    <row r="205" spans="1:262" s="210" customFormat="1" ht="21" customHeight="1">
      <c r="A205" s="183">
        <v>198</v>
      </c>
      <c r="B205" s="184" t="str">
        <f>IF('Marks Entry'!B205="","",'Marks Entry'!B205)</f>
        <v/>
      </c>
      <c r="C205" s="185" t="str">
        <f>IF('Marks Entry'!D205="","",'Marks Entry'!D205)</f>
        <v/>
      </c>
      <c r="D205" s="186" t="str">
        <f>IF('Marks Entry'!E205="","",'Marks Entry'!E205)</f>
        <v/>
      </c>
      <c r="E205" s="187" t="str">
        <f>IF('Marks Entry'!F205="","",'Marks Entry'!F205)</f>
        <v/>
      </c>
      <c r="F205" s="187" t="str">
        <f>IF('Marks Entry'!G205="","",'Marks Entry'!G205)</f>
        <v/>
      </c>
      <c r="G205" s="187" t="str">
        <f>IF('Marks Entry'!H205="","",'Marks Entry'!H205)</f>
        <v/>
      </c>
      <c r="H205" s="188" t="str">
        <f>IF('Marks Entry'!I205="","",'Marks Entry'!I205)</f>
        <v/>
      </c>
      <c r="I205" s="189" t="str">
        <f>IF('Marks Entry'!J205="","",'Marks Entry'!J205)</f>
        <v/>
      </c>
      <c r="J205" s="545" t="str">
        <f>IF('Marks Entry'!K205="","",'Marks Entry'!K205)</f>
        <v/>
      </c>
      <c r="K205" s="545" t="str">
        <f>IF('Marks Entry'!L205="","",'Marks Entry'!L205)</f>
        <v/>
      </c>
      <c r="L205" s="545" t="str">
        <f>IF('Marks Entry'!M205="","",'Marks Entry'!M205)</f>
        <v/>
      </c>
      <c r="M205" s="546" t="str">
        <f t="shared" si="594"/>
        <v/>
      </c>
      <c r="N205" s="545" t="str">
        <f>IF('Marks Entry'!N205="","",'Marks Entry'!N205)</f>
        <v/>
      </c>
      <c r="O205" s="546" t="str">
        <f t="shared" si="595"/>
        <v/>
      </c>
      <c r="P205" s="545" t="str">
        <f>IF('Marks Entry'!O205="","",'Marks Entry'!O205)</f>
        <v/>
      </c>
      <c r="Q205" s="547" t="str">
        <f t="shared" si="596"/>
        <v/>
      </c>
      <c r="R205" s="152">
        <f t="shared" si="597"/>
        <v>0</v>
      </c>
      <c r="S205" s="152">
        <f t="shared" si="598"/>
        <v>0</v>
      </c>
      <c r="T205" s="153" t="str">
        <f t="shared" si="599"/>
        <v/>
      </c>
      <c r="U205" s="152" t="str">
        <f t="shared" si="600"/>
        <v/>
      </c>
      <c r="V205" s="152" t="str">
        <f t="shared" si="601"/>
        <v/>
      </c>
      <c r="W205" s="152" t="str">
        <f t="shared" si="602"/>
        <v/>
      </c>
      <c r="X205" s="545" t="str">
        <f>IF('Marks Entry'!P205="","",'Marks Entry'!P205)</f>
        <v/>
      </c>
      <c r="Y205" s="545" t="str">
        <f>IF('Marks Entry'!Q205="","",'Marks Entry'!Q205)</f>
        <v/>
      </c>
      <c r="Z205" s="545" t="str">
        <f>IF('Marks Entry'!R205="","",'Marks Entry'!R205)</f>
        <v/>
      </c>
      <c r="AA205" s="546" t="str">
        <f t="shared" si="603"/>
        <v/>
      </c>
      <c r="AB205" s="545" t="str">
        <f>IF('Marks Entry'!S205="","",'Marks Entry'!S205)</f>
        <v/>
      </c>
      <c r="AC205" s="546" t="str">
        <f t="shared" si="604"/>
        <v/>
      </c>
      <c r="AD205" s="545" t="str">
        <f>IF('Marks Entry'!T205="","",'Marks Entry'!T205)</f>
        <v/>
      </c>
      <c r="AE205" s="547" t="str">
        <f t="shared" si="605"/>
        <v/>
      </c>
      <c r="AF205" s="152">
        <f t="shared" si="606"/>
        <v>0</v>
      </c>
      <c r="AG205" s="152">
        <f t="shared" si="607"/>
        <v>0</v>
      </c>
      <c r="AH205" s="153" t="str">
        <f t="shared" si="608"/>
        <v/>
      </c>
      <c r="AI205" s="152" t="str">
        <f t="shared" si="609"/>
        <v/>
      </c>
      <c r="AJ205" s="152" t="str">
        <f t="shared" si="610"/>
        <v/>
      </c>
      <c r="AK205" s="152" t="str">
        <f t="shared" si="611"/>
        <v/>
      </c>
      <c r="AL205" s="573" t="str">
        <f>IF('Marks Entry'!U205="","",'Marks Entry'!U205)</f>
        <v/>
      </c>
      <c r="AM205" s="573" t="str">
        <f>IF('Marks Entry'!V205="","",'Marks Entry'!V205)</f>
        <v/>
      </c>
      <c r="AN205" s="573" t="str">
        <f>IF('Marks Entry'!W205="","",'Marks Entry'!W205)</f>
        <v/>
      </c>
      <c r="AO205" s="573" t="str">
        <f>IF('Marks Entry'!X205="","",'Marks Entry'!X205)</f>
        <v/>
      </c>
      <c r="AP205" s="572" t="str">
        <f t="shared" si="612"/>
        <v/>
      </c>
      <c r="AQ205" s="573" t="str">
        <f>IF('Marks Entry'!Y205="","",'Marks Entry'!Y205)</f>
        <v/>
      </c>
      <c r="AR205" s="573" t="str">
        <f>IF('Marks Entry'!Z205="","",'Marks Entry'!Z205)</f>
        <v/>
      </c>
      <c r="AS205" s="572" t="str">
        <f t="shared" si="613"/>
        <v/>
      </c>
      <c r="AT205" s="572" t="str">
        <f t="shared" si="614"/>
        <v/>
      </c>
      <c r="AU205" s="573" t="str">
        <f>IF('Marks Entry'!AA205="","",'Marks Entry'!AA205)</f>
        <v/>
      </c>
      <c r="AV205" s="573" t="str">
        <f>IF('Marks Entry'!AB205="","",'Marks Entry'!AB205)</f>
        <v/>
      </c>
      <c r="AW205" s="572" t="str">
        <f t="shared" si="615"/>
        <v/>
      </c>
      <c r="AX205" s="156" t="str">
        <f t="shared" si="616"/>
        <v/>
      </c>
      <c r="AY205" s="156" t="str">
        <f t="shared" si="617"/>
        <v/>
      </c>
      <c r="AZ205" s="191" t="str">
        <f t="shared" si="618"/>
        <v/>
      </c>
      <c r="BA205" s="152">
        <f t="shared" si="619"/>
        <v>0</v>
      </c>
      <c r="BB205" s="153">
        <f t="shared" si="620"/>
        <v>0</v>
      </c>
      <c r="BC205" s="153" t="str">
        <f t="shared" si="621"/>
        <v/>
      </c>
      <c r="BD205" s="153" t="str">
        <f t="shared" si="622"/>
        <v/>
      </c>
      <c r="BE205" s="153" t="str">
        <f t="shared" si="623"/>
        <v/>
      </c>
      <c r="BF205" s="152" t="str">
        <f t="shared" si="624"/>
        <v/>
      </c>
      <c r="BG205" s="153" t="str">
        <f t="shared" si="625"/>
        <v/>
      </c>
      <c r="BH205" s="152" t="str">
        <f t="shared" si="626"/>
        <v/>
      </c>
      <c r="BI205" s="580" t="str">
        <f>IF('Marks Entry'!AC205="","",'Marks Entry'!AC205)</f>
        <v/>
      </c>
      <c r="BJ205" s="580" t="str">
        <f>IF('Marks Entry'!AD205="","",'Marks Entry'!AD205)</f>
        <v/>
      </c>
      <c r="BK205" s="580" t="str">
        <f>IF('Marks Entry'!AE205="","",'Marks Entry'!AE205)</f>
        <v/>
      </c>
      <c r="BL205" s="580" t="str">
        <f>IF('Marks Entry'!AF205="","",'Marks Entry'!AF205)</f>
        <v/>
      </c>
      <c r="BM205" s="581" t="str">
        <f t="shared" si="627"/>
        <v/>
      </c>
      <c r="BN205" s="580" t="str">
        <f>IF('Marks Entry'!AG205="","",'Marks Entry'!AG205)</f>
        <v/>
      </c>
      <c r="BO205" s="580" t="str">
        <f>IF('Marks Entry'!AH205="","",'Marks Entry'!AH205)</f>
        <v/>
      </c>
      <c r="BP205" s="581" t="str">
        <f t="shared" si="628"/>
        <v/>
      </c>
      <c r="BQ205" s="581" t="str">
        <f t="shared" si="629"/>
        <v/>
      </c>
      <c r="BR205" s="580" t="str">
        <f>IF('Marks Entry'!AI205="","",'Marks Entry'!AI205)</f>
        <v/>
      </c>
      <c r="BS205" s="580" t="str">
        <f>IF('Marks Entry'!AJ205="","",'Marks Entry'!AJ205)</f>
        <v/>
      </c>
      <c r="BT205" s="581" t="str">
        <f t="shared" si="630"/>
        <v/>
      </c>
      <c r="BU205" s="156" t="str">
        <f t="shared" si="631"/>
        <v/>
      </c>
      <c r="BV205" s="156" t="str">
        <f t="shared" si="632"/>
        <v/>
      </c>
      <c r="BW205" s="191" t="str">
        <f t="shared" si="633"/>
        <v/>
      </c>
      <c r="BX205" s="152">
        <f t="shared" si="634"/>
        <v>0</v>
      </c>
      <c r="BY205" s="153">
        <f t="shared" si="635"/>
        <v>0</v>
      </c>
      <c r="BZ205" s="153" t="str">
        <f t="shared" si="636"/>
        <v/>
      </c>
      <c r="CA205" s="153" t="str">
        <f t="shared" si="637"/>
        <v/>
      </c>
      <c r="CB205" s="153" t="str">
        <f t="shared" si="638"/>
        <v/>
      </c>
      <c r="CC205" s="152" t="str">
        <f t="shared" si="639"/>
        <v/>
      </c>
      <c r="CD205" s="153" t="str">
        <f t="shared" si="640"/>
        <v/>
      </c>
      <c r="CE205" s="152" t="str">
        <f t="shared" si="641"/>
        <v/>
      </c>
      <c r="CF205" s="580" t="str">
        <f>IF('Marks Entry'!AK205="","",'Marks Entry'!AK205)</f>
        <v/>
      </c>
      <c r="CG205" s="580" t="str">
        <f>IF('Marks Entry'!AL205="","",'Marks Entry'!AL205)</f>
        <v/>
      </c>
      <c r="CH205" s="580" t="str">
        <f>IF('Marks Entry'!AM205="","",'Marks Entry'!AM205)</f>
        <v/>
      </c>
      <c r="CI205" s="580" t="str">
        <f>IF('Marks Entry'!AN205="","",'Marks Entry'!AN205)</f>
        <v/>
      </c>
      <c r="CJ205" s="581" t="str">
        <f t="shared" si="642"/>
        <v/>
      </c>
      <c r="CK205" s="580" t="str">
        <f>IF('Marks Entry'!AO205="","",'Marks Entry'!AO205)</f>
        <v/>
      </c>
      <c r="CL205" s="580" t="str">
        <f>IF('Marks Entry'!AP205="","",'Marks Entry'!AP205)</f>
        <v/>
      </c>
      <c r="CM205" s="581" t="str">
        <f t="shared" si="643"/>
        <v/>
      </c>
      <c r="CN205" s="581" t="str">
        <f t="shared" si="644"/>
        <v/>
      </c>
      <c r="CO205" s="580" t="str">
        <f>IF('Marks Entry'!AQ205="","",'Marks Entry'!AQ205)</f>
        <v/>
      </c>
      <c r="CP205" s="580" t="str">
        <f>IF('Marks Entry'!AR205="","",'Marks Entry'!AR205)</f>
        <v/>
      </c>
      <c r="CQ205" s="581" t="str">
        <f t="shared" si="645"/>
        <v/>
      </c>
      <c r="CR205" s="156" t="str">
        <f t="shared" si="646"/>
        <v/>
      </c>
      <c r="CS205" s="156" t="str">
        <f t="shared" si="647"/>
        <v/>
      </c>
      <c r="CT205" s="191" t="str">
        <f t="shared" si="648"/>
        <v/>
      </c>
      <c r="CU205" s="152">
        <f t="shared" si="649"/>
        <v>0</v>
      </c>
      <c r="CV205" s="153">
        <f t="shared" si="650"/>
        <v>0</v>
      </c>
      <c r="CW205" s="153" t="str">
        <f t="shared" si="651"/>
        <v/>
      </c>
      <c r="CX205" s="153" t="str">
        <f t="shared" si="652"/>
        <v/>
      </c>
      <c r="CY205" s="153" t="str">
        <f t="shared" si="653"/>
        <v/>
      </c>
      <c r="CZ205" s="152" t="str">
        <f t="shared" si="654"/>
        <v/>
      </c>
      <c r="DA205" s="153" t="str">
        <f t="shared" si="655"/>
        <v/>
      </c>
      <c r="DB205" s="152" t="str">
        <f t="shared" si="656"/>
        <v/>
      </c>
      <c r="DC205" s="153">
        <f t="shared" si="657"/>
        <v>0</v>
      </c>
      <c r="DD205" s="851" t="str">
        <f>IF('Marks Entry'!AS205="","",IF(OR('Master Sheet'!$D$19="YES",'Marks Entry'!$BA$1=1),'Marks Entry'!AS205,""))</f>
        <v/>
      </c>
      <c r="DE205" s="851" t="str">
        <f>IF('Marks Entry'!AT205="","",IF(OR('Master Sheet'!$D$19="YES",'Marks Entry'!$BA$1=1),'Marks Entry'!AT205,""))</f>
        <v/>
      </c>
      <c r="DF205" s="851" t="str">
        <f>IF('Marks Entry'!AU205="","",IF(OR('Master Sheet'!$D$19="YES",'Marks Entry'!$BA$1=1),'Marks Entry'!AU205,""))</f>
        <v/>
      </c>
      <c r="DG205" s="851" t="str">
        <f>IF('Marks Entry'!AV205="","",IF(OR('Master Sheet'!$D$19="YES",'Marks Entry'!$BA$1=1),'Marks Entry'!AV205,""))</f>
        <v/>
      </c>
      <c r="DH205" s="852" t="str">
        <f t="shared" si="658"/>
        <v/>
      </c>
      <c r="DI205" s="851" t="str">
        <f>IF('Marks Entry'!AW205="","",IF(OR('Master Sheet'!$D$19="YES",'Marks Entry'!$BA$1=1),'Marks Entry'!AW205,""))</f>
        <v/>
      </c>
      <c r="DJ205" s="851" t="str">
        <f>IF('Marks Entry'!AX205="","",IF(OR('Master Sheet'!$D$19="YES",'Marks Entry'!$BA$1=1),'Marks Entry'!AX205,""))</f>
        <v/>
      </c>
      <c r="DK205" s="852" t="str">
        <f t="shared" si="659"/>
        <v/>
      </c>
      <c r="DL205" s="852" t="str">
        <f t="shared" si="660"/>
        <v/>
      </c>
      <c r="DM205" s="851" t="str">
        <f>IF('Marks Entry'!AY205="","",IF(OR('Master Sheet'!$D$19="YES",'Marks Entry'!$BA$1=1),'Marks Entry'!AY205,""))</f>
        <v/>
      </c>
      <c r="DN205" s="851" t="str">
        <f>IF('Marks Entry'!AZ205="","",IF(OR('Master Sheet'!$D$19="YES",'Marks Entry'!$BA$1=1),'Marks Entry'!AZ205,""))</f>
        <v/>
      </c>
      <c r="DO205" s="851" t="str">
        <f>IF('Marks Entry'!BA205="","",IF(OR('Master Sheet'!$D$19="YES",'Marks Entry'!$BA$1=1),'Marks Entry'!BA205,""))</f>
        <v/>
      </c>
      <c r="DP205" s="852" t="str">
        <f t="shared" si="661"/>
        <v/>
      </c>
      <c r="DQ205" s="156" t="str">
        <f t="shared" si="662"/>
        <v/>
      </c>
      <c r="DR205" s="156" t="str">
        <f t="shared" si="663"/>
        <v/>
      </c>
      <c r="DS205" s="156" t="str">
        <f t="shared" si="664"/>
        <v/>
      </c>
      <c r="DT205" s="191" t="str">
        <f t="shared" si="665"/>
        <v/>
      </c>
      <c r="DU205" s="152">
        <f t="shared" si="666"/>
        <v>0</v>
      </c>
      <c r="DV205" s="153">
        <f t="shared" si="667"/>
        <v>0</v>
      </c>
      <c r="DW205" s="153" t="str">
        <f t="shared" si="668"/>
        <v/>
      </c>
      <c r="DX205" s="153" t="str">
        <f>IF(OR($B205="NSO",$B205=0,DS205=""),"",IF(AND(DJ205="",DO205=""),"",IF('Master Sheet'!$D$19="YES",$DO$6-COUNTIF(DO205,"ML")*DO$6,DS$6-(COUNTIF(DJ205,"ML")*DJ$6)-(COUNTIF(DO205,"ML")*DO$6))))</f>
        <v/>
      </c>
      <c r="DY205" s="153" t="str">
        <f>IF(OR($B205="NSO",$B205=0),"",IF(AND(DH205="",DI205="",DM205=""),"",IF(AND('Master Sheet'!$D$19="YES",'Marks Entry'!$BA$1=1),100,IF(AND(DJ205="",DO205=""),SUM(($DQ$7+$DR$7)-(DU205+DV205)),SUM(($DQ$6+$DR$6)-(DU205+DV205))))))</f>
        <v/>
      </c>
      <c r="DZ205" s="152" t="str">
        <f t="shared" si="669"/>
        <v/>
      </c>
      <c r="EA205" s="153" t="str">
        <f t="shared" si="670"/>
        <v/>
      </c>
      <c r="EB205" s="152" t="str">
        <f t="shared" si="671"/>
        <v/>
      </c>
      <c r="EC205" s="584" t="str">
        <f>IF('Marks Entry'!BB205="","",'Marks Entry'!BB205)</f>
        <v/>
      </c>
      <c r="ED205" s="584" t="str">
        <f>IF('Marks Entry'!BC205="","",'Marks Entry'!BC205)</f>
        <v/>
      </c>
      <c r="EE205" s="584" t="str">
        <f>IF('Marks Entry'!BD205="","",'Marks Entry'!BD205)</f>
        <v/>
      </c>
      <c r="EF205" s="590" t="str">
        <f t="shared" si="672"/>
        <v/>
      </c>
      <c r="EG205" s="595">
        <f t="shared" si="673"/>
        <v>0</v>
      </c>
      <c r="EH205" s="595">
        <f t="shared" si="674"/>
        <v>0</v>
      </c>
      <c r="EI205" s="192" t="str">
        <f t="shared" si="675"/>
        <v/>
      </c>
      <c r="EJ205" s="595" t="str">
        <f t="shared" si="676"/>
        <v/>
      </c>
      <c r="EK205" s="595" t="str">
        <f t="shared" si="677"/>
        <v/>
      </c>
      <c r="EL205" s="193" t="str">
        <f t="shared" si="678"/>
        <v/>
      </c>
      <c r="EM205" s="193" t="str">
        <f t="shared" si="679"/>
        <v/>
      </c>
      <c r="EN205" s="193" t="str">
        <f t="shared" si="680"/>
        <v/>
      </c>
      <c r="EO205" s="193" t="str">
        <f t="shared" si="681"/>
        <v/>
      </c>
      <c r="EP205" s="193" t="str">
        <f t="shared" si="682"/>
        <v/>
      </c>
      <c r="EQ205" s="193" t="str">
        <f t="shared" si="683"/>
        <v/>
      </c>
      <c r="ER205" s="194">
        <f t="shared" si="684"/>
        <v>0</v>
      </c>
      <c r="ES205" s="194">
        <f t="shared" si="685"/>
        <v>0</v>
      </c>
      <c r="ET205" s="194">
        <f t="shared" si="686"/>
        <v>0</v>
      </c>
      <c r="EU205" s="194">
        <f t="shared" si="687"/>
        <v>0</v>
      </c>
      <c r="EV205" s="194">
        <f t="shared" si="688"/>
        <v>0</v>
      </c>
      <c r="EW205" s="194" t="str">
        <f t="shared" si="689"/>
        <v/>
      </c>
      <c r="EX205" s="195" t="str">
        <f t="shared" si="690"/>
        <v/>
      </c>
      <c r="EY205" s="196" t="str">
        <f>IF('Marks Entry'!BE205="","",'Marks Entry'!BE205)</f>
        <v/>
      </c>
      <c r="EZ205" s="196" t="str">
        <f>IF('Marks Entry'!BF205="","",'Marks Entry'!BF205)</f>
        <v/>
      </c>
      <c r="FA205" s="196" t="str">
        <f>IF('Marks Entry'!BG205="","",'Marks Entry'!BG205)</f>
        <v/>
      </c>
      <c r="FB205" s="596" t="str">
        <f t="shared" si="691"/>
        <v/>
      </c>
      <c r="FC205" s="196" t="str">
        <f>IF('Marks Entry'!BH205="","",'Marks Entry'!BH205)</f>
        <v/>
      </c>
      <c r="FD205" s="196" t="str">
        <f>IF('Marks Entry'!BI205="","",'Marks Entry'!BI205)</f>
        <v/>
      </c>
      <c r="FE205" s="197" t="str">
        <f t="shared" si="692"/>
        <v/>
      </c>
      <c r="FF205" s="198" t="str">
        <f t="shared" si="693"/>
        <v/>
      </c>
      <c r="FG205" s="199" t="str">
        <f>IF(AND(E205=""),"",IF('Student DATA Entry'!L201="","",'Student DATA Entry'!L201))</f>
        <v/>
      </c>
      <c r="FH205" s="200" t="str">
        <f>IF(AND(E205=""),"",IF('Student DATA Entry'!M201="","",'Student DATA Entry'!M201))</f>
        <v/>
      </c>
      <c r="FI205" s="201" t="str">
        <f t="shared" si="694"/>
        <v/>
      </c>
      <c r="FJ205" s="188" t="str">
        <f t="shared" si="695"/>
        <v/>
      </c>
      <c r="FK205" s="188" t="str">
        <f t="shared" si="696"/>
        <v/>
      </c>
      <c r="FL205" s="202" t="str">
        <f t="shared" si="565"/>
        <v/>
      </c>
      <c r="FM205" s="188" t="str">
        <f t="shared" si="697"/>
        <v/>
      </c>
      <c r="FN205" s="203" t="str">
        <f t="shared" si="698"/>
        <v/>
      </c>
      <c r="FO205" s="202" t="str">
        <f t="shared" si="566"/>
        <v/>
      </c>
      <c r="FP205" s="204" t="str">
        <f t="shared" si="699"/>
        <v/>
      </c>
      <c r="FQ205" s="188" t="str">
        <f t="shared" si="567"/>
        <v/>
      </c>
      <c r="FR205" s="188" t="str">
        <f t="shared" si="568"/>
        <v/>
      </c>
      <c r="FS205" s="188" t="str">
        <f t="shared" si="569"/>
        <v/>
      </c>
      <c r="FT205" s="188" t="str">
        <f t="shared" si="570"/>
        <v/>
      </c>
      <c r="FU205" s="188" t="str">
        <f t="shared" si="700"/>
        <v/>
      </c>
      <c r="FV205" s="205" t="str">
        <f t="shared" si="571"/>
        <v/>
      </c>
      <c r="FW205" s="204" t="str">
        <f t="shared" si="701"/>
        <v/>
      </c>
      <c r="FX205" s="188" t="str">
        <f t="shared" si="572"/>
        <v/>
      </c>
      <c r="FY205" s="188" t="str">
        <f t="shared" si="573"/>
        <v/>
      </c>
      <c r="FZ205" s="188" t="str">
        <f t="shared" si="574"/>
        <v/>
      </c>
      <c r="GA205" s="188" t="str">
        <f t="shared" si="575"/>
        <v/>
      </c>
      <c r="GB205" s="188" t="str">
        <f t="shared" si="702"/>
        <v/>
      </c>
      <c r="GC205" s="205" t="str">
        <f t="shared" si="576"/>
        <v/>
      </c>
      <c r="GD205" s="204" t="str">
        <f t="shared" si="703"/>
        <v/>
      </c>
      <c r="GE205" s="188" t="str">
        <f t="shared" si="577"/>
        <v/>
      </c>
      <c r="GF205" s="188" t="str">
        <f t="shared" si="578"/>
        <v/>
      </c>
      <c r="GG205" s="188" t="str">
        <f t="shared" si="579"/>
        <v/>
      </c>
      <c r="GH205" s="188" t="str">
        <f t="shared" si="580"/>
        <v/>
      </c>
      <c r="GI205" s="188" t="str">
        <f t="shared" si="704"/>
        <v/>
      </c>
      <c r="GJ205" s="205" t="str">
        <f t="shared" si="581"/>
        <v/>
      </c>
      <c r="GK205" s="204" t="str">
        <f t="shared" si="705"/>
        <v/>
      </c>
      <c r="GL205" s="188" t="str">
        <f t="shared" si="582"/>
        <v/>
      </c>
      <c r="GM205" s="188" t="str">
        <f t="shared" si="583"/>
        <v/>
      </c>
      <c r="GN205" s="188" t="str">
        <f t="shared" si="584"/>
        <v/>
      </c>
      <c r="GO205" s="188" t="str">
        <f t="shared" si="585"/>
        <v/>
      </c>
      <c r="GP205" s="188" t="str">
        <f t="shared" si="706"/>
        <v/>
      </c>
      <c r="GQ205" s="205" t="str">
        <f t="shared" si="586"/>
        <v/>
      </c>
      <c r="GR205" s="188" t="str">
        <f t="shared" si="707"/>
        <v/>
      </c>
      <c r="GS205" s="188" t="str">
        <f t="shared" si="708"/>
        <v/>
      </c>
      <c r="GT205" s="206" t="str">
        <f t="shared" si="709"/>
        <v xml:space="preserve">    </v>
      </c>
      <c r="GU205" s="206" t="str">
        <f t="shared" si="710"/>
        <v xml:space="preserve">    </v>
      </c>
      <c r="GV205" s="206" t="str">
        <f t="shared" si="711"/>
        <v xml:space="preserve">    </v>
      </c>
      <c r="GW205" s="206" t="str">
        <f t="shared" si="712"/>
        <v xml:space="preserve">       </v>
      </c>
      <c r="GX205" s="598" t="str">
        <f t="shared" si="713"/>
        <v xml:space="preserve">     </v>
      </c>
      <c r="GY205" s="207" t="str">
        <f t="shared" si="587"/>
        <v/>
      </c>
      <c r="GZ205" s="606" t="str">
        <f>IF(AND(Q205="",AE205="",AZ205="",BW205="",CT205=""),"",IF(AND('Master Sheet'!$D$19="YES",'Marks Entry'!$BA$1=1),SUM(Q205,AE205,AZ205,BW205,DT205),SUM(Q205,AE205,AZ205,BW205,CT205)))</f>
        <v/>
      </c>
      <c r="HA205" s="208" t="str">
        <f>IF(GZ205="","",IF(AND('Master Sheet'!$D$19="YES",'Marks Entry'!$BA$1=1),GZ205/((900)-DC205)*100,GZ205/((1000)-DC205)*100))</f>
        <v/>
      </c>
      <c r="HB205" s="611" t="str">
        <f t="shared" si="714"/>
        <v/>
      </c>
      <c r="HC205" s="609" t="str">
        <f t="shared" si="715"/>
        <v/>
      </c>
      <c r="HD205" s="610" t="str">
        <f t="shared" si="716"/>
        <v/>
      </c>
      <c r="HE205" s="209" t="str">
        <f>IFERROR(IF(OR(GY205="SUPPLEMENTARY",GY205="RE-EXAM"),'Supp. Result Entry'!AS204,""),"")</f>
        <v/>
      </c>
      <c r="HF205" s="613" t="str">
        <f t="shared" si="717"/>
        <v/>
      </c>
      <c r="HG205" s="598" t="str">
        <f t="shared" si="718"/>
        <v/>
      </c>
      <c r="HH205" s="598" t="str">
        <f>IF(AND(HE205="",HF205="",HG205=""),"",IF(OR(GY205="SUPPLEMENTARY",GY205="RE-EXAM"),'Supp. Result Entry'!AS204,GY205))</f>
        <v/>
      </c>
      <c r="HI205" s="179"/>
      <c r="HY205" s="211" t="str">
        <f>IF('Supp. Result Entry'!U204="","",'Supp. Result Entry'!$U$6)</f>
        <v/>
      </c>
      <c r="HZ205" s="212" t="str">
        <f>IF('Supp. Result Entry'!X204="","",'Supp. Result Entry'!$X$6)</f>
        <v/>
      </c>
      <c r="IA205" s="212" t="str">
        <f>IF('Supp. Result Entry'!AA204="","",'Supp. Result Entry'!$AA$6)</f>
        <v/>
      </c>
      <c r="IB205" s="212" t="str">
        <f>IF('Supp. Result Entry'!AD204="","",'Supp. Result Entry'!$AD$6)</f>
        <v/>
      </c>
      <c r="IC205" s="212" t="str">
        <f>IF('Supp. Result Entry'!AG204="","",'Supp. Result Entry'!$AG$6)</f>
        <v/>
      </c>
      <c r="ID205" s="212" t="str">
        <f>IF('Supp. Result Entry'!AJ204="","",'Supp. Result Entry'!$AJ$6)</f>
        <v/>
      </c>
      <c r="IE205" s="212" t="str">
        <f>IF('Supp. Result Entry'!V204="","",'Supp. Result Entry'!V204)</f>
        <v/>
      </c>
      <c r="IF205" s="212" t="str">
        <f>IF('Supp. Result Entry'!Y204="","",'Supp. Result Entry'!Y204)</f>
        <v/>
      </c>
      <c r="IG205" s="212" t="str">
        <f>IF('Supp. Result Entry'!AB204="","",'Supp. Result Entry'!AB204)</f>
        <v/>
      </c>
      <c r="IH205" s="212" t="str">
        <f>IF('Supp. Result Entry'!AE204="","",'Supp. Result Entry'!AE204)</f>
        <v/>
      </c>
      <c r="II205" s="212" t="str">
        <f>IF('Supp. Result Entry'!AH204="","",'Supp. Result Entry'!AH204)</f>
        <v/>
      </c>
      <c r="IJ205" s="212" t="str">
        <f>IF('Supp. Result Entry'!AK204="","",'Supp. Result Entry'!AK204)</f>
        <v/>
      </c>
      <c r="IK205" s="212" t="str">
        <f>IF('Supp. Result Entry'!W204="","",'Supp. Result Entry'!W204)</f>
        <v/>
      </c>
      <c r="IL205" s="212" t="str">
        <f>IF('Supp. Result Entry'!Z204="","",'Supp. Result Entry'!Z204)</f>
        <v/>
      </c>
      <c r="IM205" s="212" t="str">
        <f>IF('Supp. Result Entry'!AC204="","",'Supp. Result Entry'!AC204)</f>
        <v/>
      </c>
      <c r="IN205" s="212" t="str">
        <f>IF('Supp. Result Entry'!AF204="","",'Supp. Result Entry'!AF204)</f>
        <v/>
      </c>
      <c r="IO205" s="212" t="str">
        <f>IF('Supp. Result Entry'!AI204="","",'Supp. Result Entry'!AI204)</f>
        <v/>
      </c>
      <c r="IP205" s="212" t="str">
        <f>IF('Supp. Result Entry'!AL204="","",'Supp. Result Entry'!AL204)</f>
        <v/>
      </c>
      <c r="IQ205" s="212">
        <f>COUNTIF('Supp. Result Entry'!K204:Q204,"S")</f>
        <v>0</v>
      </c>
      <c r="IR205" s="212">
        <f t="shared" si="719"/>
        <v>0</v>
      </c>
      <c r="IS205" s="212">
        <f t="shared" si="720"/>
        <v>0</v>
      </c>
      <c r="IT205" s="212" t="str">
        <f t="shared" si="588"/>
        <v/>
      </c>
      <c r="IU205" s="212" t="str">
        <f t="shared" si="589"/>
        <v/>
      </c>
      <c r="IV205" s="212" t="str">
        <f t="shared" si="590"/>
        <v/>
      </c>
      <c r="IW205" s="212" t="str">
        <f t="shared" si="591"/>
        <v/>
      </c>
      <c r="IX205" s="212" t="str">
        <f t="shared" si="592"/>
        <v/>
      </c>
      <c r="IY205" s="212" t="str">
        <f t="shared" si="721"/>
        <v/>
      </c>
      <c r="IZ205" s="212" t="str">
        <f t="shared" si="722"/>
        <v/>
      </c>
      <c r="JA205" s="212" t="str">
        <f t="shared" si="593"/>
        <v/>
      </c>
      <c r="JB205" s="210" t="str">
        <f t="shared" si="723"/>
        <v/>
      </c>
    </row>
    <row r="206" spans="1:262" s="210" customFormat="1" ht="21" customHeight="1">
      <c r="A206" s="183">
        <v>199</v>
      </c>
      <c r="B206" s="184" t="str">
        <f>IF('Marks Entry'!B206="","",'Marks Entry'!B206)</f>
        <v/>
      </c>
      <c r="C206" s="185" t="str">
        <f>IF('Marks Entry'!D206="","",'Marks Entry'!D206)</f>
        <v/>
      </c>
      <c r="D206" s="186" t="str">
        <f>IF('Marks Entry'!E206="","",'Marks Entry'!E206)</f>
        <v/>
      </c>
      <c r="E206" s="187" t="str">
        <f>IF('Marks Entry'!F206="","",'Marks Entry'!F206)</f>
        <v/>
      </c>
      <c r="F206" s="187" t="str">
        <f>IF('Marks Entry'!G206="","",'Marks Entry'!G206)</f>
        <v/>
      </c>
      <c r="G206" s="187" t="str">
        <f>IF('Marks Entry'!H206="","",'Marks Entry'!H206)</f>
        <v/>
      </c>
      <c r="H206" s="188" t="str">
        <f>IF('Marks Entry'!I206="","",'Marks Entry'!I206)</f>
        <v/>
      </c>
      <c r="I206" s="189" t="str">
        <f>IF('Marks Entry'!J206="","",'Marks Entry'!J206)</f>
        <v/>
      </c>
      <c r="J206" s="545" t="str">
        <f>IF('Marks Entry'!K206="","",'Marks Entry'!K206)</f>
        <v/>
      </c>
      <c r="K206" s="545" t="str">
        <f>IF('Marks Entry'!L206="","",'Marks Entry'!L206)</f>
        <v/>
      </c>
      <c r="L206" s="545" t="str">
        <f>IF('Marks Entry'!M206="","",'Marks Entry'!M206)</f>
        <v/>
      </c>
      <c r="M206" s="546" t="str">
        <f t="shared" si="594"/>
        <v/>
      </c>
      <c r="N206" s="545" t="str">
        <f>IF('Marks Entry'!N206="","",'Marks Entry'!N206)</f>
        <v/>
      </c>
      <c r="O206" s="546" t="str">
        <f t="shared" si="595"/>
        <v/>
      </c>
      <c r="P206" s="545" t="str">
        <f>IF('Marks Entry'!O206="","",'Marks Entry'!O206)</f>
        <v/>
      </c>
      <c r="Q206" s="547" t="str">
        <f t="shared" si="596"/>
        <v/>
      </c>
      <c r="R206" s="152">
        <f t="shared" si="597"/>
        <v>0</v>
      </c>
      <c r="S206" s="152">
        <f t="shared" si="598"/>
        <v>0</v>
      </c>
      <c r="T206" s="153" t="str">
        <f t="shared" si="599"/>
        <v/>
      </c>
      <c r="U206" s="152" t="str">
        <f t="shared" si="600"/>
        <v/>
      </c>
      <c r="V206" s="152" t="str">
        <f t="shared" si="601"/>
        <v/>
      </c>
      <c r="W206" s="152" t="str">
        <f t="shared" si="602"/>
        <v/>
      </c>
      <c r="X206" s="545" t="str">
        <f>IF('Marks Entry'!P206="","",'Marks Entry'!P206)</f>
        <v/>
      </c>
      <c r="Y206" s="545" t="str">
        <f>IF('Marks Entry'!Q206="","",'Marks Entry'!Q206)</f>
        <v/>
      </c>
      <c r="Z206" s="545" t="str">
        <f>IF('Marks Entry'!R206="","",'Marks Entry'!R206)</f>
        <v/>
      </c>
      <c r="AA206" s="546" t="str">
        <f t="shared" si="603"/>
        <v/>
      </c>
      <c r="AB206" s="545" t="str">
        <f>IF('Marks Entry'!S206="","",'Marks Entry'!S206)</f>
        <v/>
      </c>
      <c r="AC206" s="546" t="str">
        <f t="shared" si="604"/>
        <v/>
      </c>
      <c r="AD206" s="545" t="str">
        <f>IF('Marks Entry'!T206="","",'Marks Entry'!T206)</f>
        <v/>
      </c>
      <c r="AE206" s="547" t="str">
        <f t="shared" si="605"/>
        <v/>
      </c>
      <c r="AF206" s="152">
        <f t="shared" si="606"/>
        <v>0</v>
      </c>
      <c r="AG206" s="152">
        <f t="shared" si="607"/>
        <v>0</v>
      </c>
      <c r="AH206" s="153" t="str">
        <f t="shared" si="608"/>
        <v/>
      </c>
      <c r="AI206" s="152" t="str">
        <f t="shared" si="609"/>
        <v/>
      </c>
      <c r="AJ206" s="152" t="str">
        <f t="shared" si="610"/>
        <v/>
      </c>
      <c r="AK206" s="152" t="str">
        <f t="shared" si="611"/>
        <v/>
      </c>
      <c r="AL206" s="573" t="str">
        <f>IF('Marks Entry'!U206="","",'Marks Entry'!U206)</f>
        <v/>
      </c>
      <c r="AM206" s="573" t="str">
        <f>IF('Marks Entry'!V206="","",'Marks Entry'!V206)</f>
        <v/>
      </c>
      <c r="AN206" s="573" t="str">
        <f>IF('Marks Entry'!W206="","",'Marks Entry'!W206)</f>
        <v/>
      </c>
      <c r="AO206" s="573" t="str">
        <f>IF('Marks Entry'!X206="","",'Marks Entry'!X206)</f>
        <v/>
      </c>
      <c r="AP206" s="572" t="str">
        <f t="shared" si="612"/>
        <v/>
      </c>
      <c r="AQ206" s="573" t="str">
        <f>IF('Marks Entry'!Y206="","",'Marks Entry'!Y206)</f>
        <v/>
      </c>
      <c r="AR206" s="573" t="str">
        <f>IF('Marks Entry'!Z206="","",'Marks Entry'!Z206)</f>
        <v/>
      </c>
      <c r="AS206" s="572" t="str">
        <f t="shared" si="613"/>
        <v/>
      </c>
      <c r="AT206" s="572" t="str">
        <f t="shared" si="614"/>
        <v/>
      </c>
      <c r="AU206" s="573" t="str">
        <f>IF('Marks Entry'!AA206="","",'Marks Entry'!AA206)</f>
        <v/>
      </c>
      <c r="AV206" s="573" t="str">
        <f>IF('Marks Entry'!AB206="","",'Marks Entry'!AB206)</f>
        <v/>
      </c>
      <c r="AW206" s="572" t="str">
        <f t="shared" si="615"/>
        <v/>
      </c>
      <c r="AX206" s="156" t="str">
        <f t="shared" si="616"/>
        <v/>
      </c>
      <c r="AY206" s="156" t="str">
        <f t="shared" si="617"/>
        <v/>
      </c>
      <c r="AZ206" s="191" t="str">
        <f t="shared" si="618"/>
        <v/>
      </c>
      <c r="BA206" s="152">
        <f t="shared" si="619"/>
        <v>0</v>
      </c>
      <c r="BB206" s="153">
        <f t="shared" si="620"/>
        <v>0</v>
      </c>
      <c r="BC206" s="153" t="str">
        <f t="shared" si="621"/>
        <v/>
      </c>
      <c r="BD206" s="153" t="str">
        <f t="shared" si="622"/>
        <v/>
      </c>
      <c r="BE206" s="153" t="str">
        <f t="shared" si="623"/>
        <v/>
      </c>
      <c r="BF206" s="152" t="str">
        <f t="shared" si="624"/>
        <v/>
      </c>
      <c r="BG206" s="153" t="str">
        <f t="shared" si="625"/>
        <v/>
      </c>
      <c r="BH206" s="152" t="str">
        <f t="shared" si="626"/>
        <v/>
      </c>
      <c r="BI206" s="580" t="str">
        <f>IF('Marks Entry'!AC206="","",'Marks Entry'!AC206)</f>
        <v/>
      </c>
      <c r="BJ206" s="580" t="str">
        <f>IF('Marks Entry'!AD206="","",'Marks Entry'!AD206)</f>
        <v/>
      </c>
      <c r="BK206" s="580" t="str">
        <f>IF('Marks Entry'!AE206="","",'Marks Entry'!AE206)</f>
        <v/>
      </c>
      <c r="BL206" s="580" t="str">
        <f>IF('Marks Entry'!AF206="","",'Marks Entry'!AF206)</f>
        <v/>
      </c>
      <c r="BM206" s="581" t="str">
        <f t="shared" si="627"/>
        <v/>
      </c>
      <c r="BN206" s="580" t="str">
        <f>IF('Marks Entry'!AG206="","",'Marks Entry'!AG206)</f>
        <v/>
      </c>
      <c r="BO206" s="580" t="str">
        <f>IF('Marks Entry'!AH206="","",'Marks Entry'!AH206)</f>
        <v/>
      </c>
      <c r="BP206" s="581" t="str">
        <f t="shared" si="628"/>
        <v/>
      </c>
      <c r="BQ206" s="581" t="str">
        <f t="shared" si="629"/>
        <v/>
      </c>
      <c r="BR206" s="580" t="str">
        <f>IF('Marks Entry'!AI206="","",'Marks Entry'!AI206)</f>
        <v/>
      </c>
      <c r="BS206" s="580" t="str">
        <f>IF('Marks Entry'!AJ206="","",'Marks Entry'!AJ206)</f>
        <v/>
      </c>
      <c r="BT206" s="581" t="str">
        <f t="shared" si="630"/>
        <v/>
      </c>
      <c r="BU206" s="156" t="str">
        <f t="shared" si="631"/>
        <v/>
      </c>
      <c r="BV206" s="156" t="str">
        <f t="shared" si="632"/>
        <v/>
      </c>
      <c r="BW206" s="191" t="str">
        <f t="shared" si="633"/>
        <v/>
      </c>
      <c r="BX206" s="152">
        <f t="shared" si="634"/>
        <v>0</v>
      </c>
      <c r="BY206" s="153">
        <f t="shared" si="635"/>
        <v>0</v>
      </c>
      <c r="BZ206" s="153" t="str">
        <f t="shared" si="636"/>
        <v/>
      </c>
      <c r="CA206" s="153" t="str">
        <f t="shared" si="637"/>
        <v/>
      </c>
      <c r="CB206" s="153" t="str">
        <f t="shared" si="638"/>
        <v/>
      </c>
      <c r="CC206" s="152" t="str">
        <f t="shared" si="639"/>
        <v/>
      </c>
      <c r="CD206" s="153" t="str">
        <f t="shared" si="640"/>
        <v/>
      </c>
      <c r="CE206" s="152" t="str">
        <f t="shared" si="641"/>
        <v/>
      </c>
      <c r="CF206" s="580" t="str">
        <f>IF('Marks Entry'!AK206="","",'Marks Entry'!AK206)</f>
        <v/>
      </c>
      <c r="CG206" s="580" t="str">
        <f>IF('Marks Entry'!AL206="","",'Marks Entry'!AL206)</f>
        <v/>
      </c>
      <c r="CH206" s="580" t="str">
        <f>IF('Marks Entry'!AM206="","",'Marks Entry'!AM206)</f>
        <v/>
      </c>
      <c r="CI206" s="580" t="str">
        <f>IF('Marks Entry'!AN206="","",'Marks Entry'!AN206)</f>
        <v/>
      </c>
      <c r="CJ206" s="581" t="str">
        <f t="shared" si="642"/>
        <v/>
      </c>
      <c r="CK206" s="580" t="str">
        <f>IF('Marks Entry'!AO206="","",'Marks Entry'!AO206)</f>
        <v/>
      </c>
      <c r="CL206" s="580" t="str">
        <f>IF('Marks Entry'!AP206="","",'Marks Entry'!AP206)</f>
        <v/>
      </c>
      <c r="CM206" s="581" t="str">
        <f t="shared" si="643"/>
        <v/>
      </c>
      <c r="CN206" s="581" t="str">
        <f t="shared" si="644"/>
        <v/>
      </c>
      <c r="CO206" s="580" t="str">
        <f>IF('Marks Entry'!AQ206="","",'Marks Entry'!AQ206)</f>
        <v/>
      </c>
      <c r="CP206" s="580" t="str">
        <f>IF('Marks Entry'!AR206="","",'Marks Entry'!AR206)</f>
        <v/>
      </c>
      <c r="CQ206" s="581" t="str">
        <f t="shared" si="645"/>
        <v/>
      </c>
      <c r="CR206" s="156" t="str">
        <f t="shared" si="646"/>
        <v/>
      </c>
      <c r="CS206" s="156" t="str">
        <f t="shared" si="647"/>
        <v/>
      </c>
      <c r="CT206" s="191" t="str">
        <f t="shared" si="648"/>
        <v/>
      </c>
      <c r="CU206" s="152">
        <f t="shared" si="649"/>
        <v>0</v>
      </c>
      <c r="CV206" s="153">
        <f t="shared" si="650"/>
        <v>0</v>
      </c>
      <c r="CW206" s="153" t="str">
        <f t="shared" si="651"/>
        <v/>
      </c>
      <c r="CX206" s="153" t="str">
        <f t="shared" si="652"/>
        <v/>
      </c>
      <c r="CY206" s="153" t="str">
        <f t="shared" si="653"/>
        <v/>
      </c>
      <c r="CZ206" s="152" t="str">
        <f t="shared" si="654"/>
        <v/>
      </c>
      <c r="DA206" s="153" t="str">
        <f t="shared" si="655"/>
        <v/>
      </c>
      <c r="DB206" s="152" t="str">
        <f t="shared" si="656"/>
        <v/>
      </c>
      <c r="DC206" s="153">
        <f t="shared" si="657"/>
        <v>0</v>
      </c>
      <c r="DD206" s="851" t="str">
        <f>IF('Marks Entry'!AS206="","",IF(OR('Master Sheet'!$D$19="YES",'Marks Entry'!$BA$1=1),'Marks Entry'!AS206,""))</f>
        <v/>
      </c>
      <c r="DE206" s="851" t="str">
        <f>IF('Marks Entry'!AT206="","",IF(OR('Master Sheet'!$D$19="YES",'Marks Entry'!$BA$1=1),'Marks Entry'!AT206,""))</f>
        <v/>
      </c>
      <c r="DF206" s="851" t="str">
        <f>IF('Marks Entry'!AU206="","",IF(OR('Master Sheet'!$D$19="YES",'Marks Entry'!$BA$1=1),'Marks Entry'!AU206,""))</f>
        <v/>
      </c>
      <c r="DG206" s="851" t="str">
        <f>IF('Marks Entry'!AV206="","",IF(OR('Master Sheet'!$D$19="YES",'Marks Entry'!$BA$1=1),'Marks Entry'!AV206,""))</f>
        <v/>
      </c>
      <c r="DH206" s="852" t="str">
        <f t="shared" si="658"/>
        <v/>
      </c>
      <c r="DI206" s="851" t="str">
        <f>IF('Marks Entry'!AW206="","",IF(OR('Master Sheet'!$D$19="YES",'Marks Entry'!$BA$1=1),'Marks Entry'!AW206,""))</f>
        <v/>
      </c>
      <c r="DJ206" s="851" t="str">
        <f>IF('Marks Entry'!AX206="","",IF(OR('Master Sheet'!$D$19="YES",'Marks Entry'!$BA$1=1),'Marks Entry'!AX206,""))</f>
        <v/>
      </c>
      <c r="DK206" s="852" t="str">
        <f t="shared" si="659"/>
        <v/>
      </c>
      <c r="DL206" s="852" t="str">
        <f t="shared" si="660"/>
        <v/>
      </c>
      <c r="DM206" s="851" t="str">
        <f>IF('Marks Entry'!AY206="","",IF(OR('Master Sheet'!$D$19="YES",'Marks Entry'!$BA$1=1),'Marks Entry'!AY206,""))</f>
        <v/>
      </c>
      <c r="DN206" s="851" t="str">
        <f>IF('Marks Entry'!AZ206="","",IF(OR('Master Sheet'!$D$19="YES",'Marks Entry'!$BA$1=1),'Marks Entry'!AZ206,""))</f>
        <v/>
      </c>
      <c r="DO206" s="851" t="str">
        <f>IF('Marks Entry'!BA206="","",IF(OR('Master Sheet'!$D$19="YES",'Marks Entry'!$BA$1=1),'Marks Entry'!BA206,""))</f>
        <v/>
      </c>
      <c r="DP206" s="852" t="str">
        <f t="shared" si="661"/>
        <v/>
      </c>
      <c r="DQ206" s="156" t="str">
        <f t="shared" si="662"/>
        <v/>
      </c>
      <c r="DR206" s="156" t="str">
        <f t="shared" si="663"/>
        <v/>
      </c>
      <c r="DS206" s="156" t="str">
        <f t="shared" si="664"/>
        <v/>
      </c>
      <c r="DT206" s="191" t="str">
        <f t="shared" si="665"/>
        <v/>
      </c>
      <c r="DU206" s="152">
        <f t="shared" si="666"/>
        <v>0</v>
      </c>
      <c r="DV206" s="153">
        <f t="shared" si="667"/>
        <v>0</v>
      </c>
      <c r="DW206" s="153" t="str">
        <f t="shared" si="668"/>
        <v/>
      </c>
      <c r="DX206" s="153" t="str">
        <f>IF(OR($B206="NSO",$B206=0,DS206=""),"",IF(AND(DJ206="",DO206=""),"",IF('Master Sheet'!$D$19="YES",$DO$6-COUNTIF(DO206,"ML")*DO$6,DS$6-(COUNTIF(DJ206,"ML")*DJ$6)-(COUNTIF(DO206,"ML")*DO$6))))</f>
        <v/>
      </c>
      <c r="DY206" s="153" t="str">
        <f>IF(OR($B206="NSO",$B206=0),"",IF(AND(DH206="",DI206="",DM206=""),"",IF(AND('Master Sheet'!$D$19="YES",'Marks Entry'!$BA$1=1),100,IF(AND(DJ206="",DO206=""),SUM(($DQ$7+$DR$7)-(DU206+DV206)),SUM(($DQ$6+$DR$6)-(DU206+DV206))))))</f>
        <v/>
      </c>
      <c r="DZ206" s="152" t="str">
        <f t="shared" si="669"/>
        <v/>
      </c>
      <c r="EA206" s="153" t="str">
        <f t="shared" si="670"/>
        <v/>
      </c>
      <c r="EB206" s="152" t="str">
        <f t="shared" si="671"/>
        <v/>
      </c>
      <c r="EC206" s="584" t="str">
        <f>IF('Marks Entry'!BB206="","",'Marks Entry'!BB206)</f>
        <v/>
      </c>
      <c r="ED206" s="584" t="str">
        <f>IF('Marks Entry'!BC206="","",'Marks Entry'!BC206)</f>
        <v/>
      </c>
      <c r="EE206" s="584" t="str">
        <f>IF('Marks Entry'!BD206="","",'Marks Entry'!BD206)</f>
        <v/>
      </c>
      <c r="EF206" s="590" t="str">
        <f t="shared" si="672"/>
        <v/>
      </c>
      <c r="EG206" s="595">
        <f t="shared" si="673"/>
        <v>0</v>
      </c>
      <c r="EH206" s="595">
        <f t="shared" si="674"/>
        <v>0</v>
      </c>
      <c r="EI206" s="192" t="str">
        <f t="shared" si="675"/>
        <v/>
      </c>
      <c r="EJ206" s="595" t="str">
        <f t="shared" si="676"/>
        <v/>
      </c>
      <c r="EK206" s="595" t="str">
        <f t="shared" si="677"/>
        <v/>
      </c>
      <c r="EL206" s="193" t="str">
        <f t="shared" si="678"/>
        <v/>
      </c>
      <c r="EM206" s="193" t="str">
        <f t="shared" si="679"/>
        <v/>
      </c>
      <c r="EN206" s="193" t="str">
        <f t="shared" si="680"/>
        <v/>
      </c>
      <c r="EO206" s="193" t="str">
        <f t="shared" si="681"/>
        <v/>
      </c>
      <c r="EP206" s="193" t="str">
        <f t="shared" si="682"/>
        <v/>
      </c>
      <c r="EQ206" s="193" t="str">
        <f t="shared" si="683"/>
        <v/>
      </c>
      <c r="ER206" s="194">
        <f t="shared" si="684"/>
        <v>0</v>
      </c>
      <c r="ES206" s="194">
        <f t="shared" si="685"/>
        <v>0</v>
      </c>
      <c r="ET206" s="194">
        <f t="shared" si="686"/>
        <v>0</v>
      </c>
      <c r="EU206" s="194">
        <f t="shared" si="687"/>
        <v>0</v>
      </c>
      <c r="EV206" s="194">
        <f t="shared" si="688"/>
        <v>0</v>
      </c>
      <c r="EW206" s="194" t="str">
        <f t="shared" si="689"/>
        <v/>
      </c>
      <c r="EX206" s="195" t="str">
        <f t="shared" si="690"/>
        <v/>
      </c>
      <c r="EY206" s="196" t="str">
        <f>IF('Marks Entry'!BE206="","",'Marks Entry'!BE206)</f>
        <v/>
      </c>
      <c r="EZ206" s="196" t="str">
        <f>IF('Marks Entry'!BF206="","",'Marks Entry'!BF206)</f>
        <v/>
      </c>
      <c r="FA206" s="196" t="str">
        <f>IF('Marks Entry'!BG206="","",'Marks Entry'!BG206)</f>
        <v/>
      </c>
      <c r="FB206" s="596" t="str">
        <f t="shared" si="691"/>
        <v/>
      </c>
      <c r="FC206" s="196" t="str">
        <f>IF('Marks Entry'!BH206="","",'Marks Entry'!BH206)</f>
        <v/>
      </c>
      <c r="FD206" s="196" t="str">
        <f>IF('Marks Entry'!BI206="","",'Marks Entry'!BI206)</f>
        <v/>
      </c>
      <c r="FE206" s="197" t="str">
        <f t="shared" si="692"/>
        <v/>
      </c>
      <c r="FF206" s="198" t="str">
        <f t="shared" si="693"/>
        <v/>
      </c>
      <c r="FG206" s="199" t="str">
        <f>IF(AND(E206=""),"",IF('Student DATA Entry'!L202="","",'Student DATA Entry'!L202))</f>
        <v/>
      </c>
      <c r="FH206" s="200" t="str">
        <f>IF(AND(E206=""),"",IF('Student DATA Entry'!M202="","",'Student DATA Entry'!M202))</f>
        <v/>
      </c>
      <c r="FI206" s="201" t="str">
        <f t="shared" si="694"/>
        <v/>
      </c>
      <c r="FJ206" s="188" t="str">
        <f t="shared" si="695"/>
        <v/>
      </c>
      <c r="FK206" s="188" t="str">
        <f t="shared" si="696"/>
        <v/>
      </c>
      <c r="FL206" s="202" t="str">
        <f t="shared" si="565"/>
        <v/>
      </c>
      <c r="FM206" s="188" t="str">
        <f t="shared" si="697"/>
        <v/>
      </c>
      <c r="FN206" s="203" t="str">
        <f t="shared" si="698"/>
        <v/>
      </c>
      <c r="FO206" s="202" t="str">
        <f t="shared" si="566"/>
        <v/>
      </c>
      <c r="FP206" s="204" t="str">
        <f t="shared" si="699"/>
        <v/>
      </c>
      <c r="FQ206" s="188" t="str">
        <f t="shared" si="567"/>
        <v/>
      </c>
      <c r="FR206" s="188" t="str">
        <f t="shared" si="568"/>
        <v/>
      </c>
      <c r="FS206" s="188" t="str">
        <f t="shared" si="569"/>
        <v/>
      </c>
      <c r="FT206" s="188" t="str">
        <f t="shared" si="570"/>
        <v/>
      </c>
      <c r="FU206" s="188" t="str">
        <f t="shared" si="700"/>
        <v/>
      </c>
      <c r="FV206" s="205" t="str">
        <f t="shared" si="571"/>
        <v/>
      </c>
      <c r="FW206" s="204" t="str">
        <f t="shared" si="701"/>
        <v/>
      </c>
      <c r="FX206" s="188" t="str">
        <f t="shared" si="572"/>
        <v/>
      </c>
      <c r="FY206" s="188" t="str">
        <f t="shared" si="573"/>
        <v/>
      </c>
      <c r="FZ206" s="188" t="str">
        <f t="shared" si="574"/>
        <v/>
      </c>
      <c r="GA206" s="188" t="str">
        <f t="shared" si="575"/>
        <v/>
      </c>
      <c r="GB206" s="188" t="str">
        <f t="shared" si="702"/>
        <v/>
      </c>
      <c r="GC206" s="205" t="str">
        <f t="shared" si="576"/>
        <v/>
      </c>
      <c r="GD206" s="204" t="str">
        <f t="shared" si="703"/>
        <v/>
      </c>
      <c r="GE206" s="188" t="str">
        <f t="shared" si="577"/>
        <v/>
      </c>
      <c r="GF206" s="188" t="str">
        <f t="shared" si="578"/>
        <v/>
      </c>
      <c r="GG206" s="188" t="str">
        <f t="shared" si="579"/>
        <v/>
      </c>
      <c r="GH206" s="188" t="str">
        <f t="shared" si="580"/>
        <v/>
      </c>
      <c r="GI206" s="188" t="str">
        <f t="shared" si="704"/>
        <v/>
      </c>
      <c r="GJ206" s="205" t="str">
        <f t="shared" si="581"/>
        <v/>
      </c>
      <c r="GK206" s="204" t="str">
        <f t="shared" si="705"/>
        <v/>
      </c>
      <c r="GL206" s="188" t="str">
        <f t="shared" si="582"/>
        <v/>
      </c>
      <c r="GM206" s="188" t="str">
        <f t="shared" si="583"/>
        <v/>
      </c>
      <c r="GN206" s="188" t="str">
        <f t="shared" si="584"/>
        <v/>
      </c>
      <c r="GO206" s="188" t="str">
        <f t="shared" si="585"/>
        <v/>
      </c>
      <c r="GP206" s="188" t="str">
        <f t="shared" si="706"/>
        <v/>
      </c>
      <c r="GQ206" s="205" t="str">
        <f t="shared" si="586"/>
        <v/>
      </c>
      <c r="GR206" s="188" t="str">
        <f t="shared" si="707"/>
        <v/>
      </c>
      <c r="GS206" s="188" t="str">
        <f t="shared" si="708"/>
        <v/>
      </c>
      <c r="GT206" s="206" t="str">
        <f t="shared" si="709"/>
        <v xml:space="preserve">    </v>
      </c>
      <c r="GU206" s="206" t="str">
        <f t="shared" si="710"/>
        <v xml:space="preserve">    </v>
      </c>
      <c r="GV206" s="206" t="str">
        <f t="shared" si="711"/>
        <v xml:space="preserve">    </v>
      </c>
      <c r="GW206" s="206" t="str">
        <f t="shared" si="712"/>
        <v xml:space="preserve">       </v>
      </c>
      <c r="GX206" s="598" t="str">
        <f t="shared" si="713"/>
        <v xml:space="preserve">     </v>
      </c>
      <c r="GY206" s="207" t="str">
        <f t="shared" si="587"/>
        <v/>
      </c>
      <c r="GZ206" s="606" t="str">
        <f>IF(AND(Q206="",AE206="",AZ206="",BW206="",CT206=""),"",IF(AND('Master Sheet'!$D$19="YES",'Marks Entry'!$BA$1=1),SUM(Q206,AE206,AZ206,BW206,DT206),SUM(Q206,AE206,AZ206,BW206,CT206)))</f>
        <v/>
      </c>
      <c r="HA206" s="208" t="str">
        <f>IF(GZ206="","",IF(AND('Master Sheet'!$D$19="YES",'Marks Entry'!$BA$1=1),GZ206/((900)-DC206)*100,GZ206/((1000)-DC206)*100))</f>
        <v/>
      </c>
      <c r="HB206" s="611" t="str">
        <f t="shared" si="714"/>
        <v/>
      </c>
      <c r="HC206" s="609" t="str">
        <f t="shared" si="715"/>
        <v/>
      </c>
      <c r="HD206" s="610" t="str">
        <f t="shared" si="716"/>
        <v/>
      </c>
      <c r="HE206" s="209" t="str">
        <f>IFERROR(IF(OR(GY206="SUPPLEMENTARY",GY206="RE-EXAM"),'Supp. Result Entry'!AS205,""),"")</f>
        <v/>
      </c>
      <c r="HF206" s="613" t="str">
        <f t="shared" si="717"/>
        <v/>
      </c>
      <c r="HG206" s="598" t="str">
        <f t="shared" si="718"/>
        <v/>
      </c>
      <c r="HH206" s="598" t="str">
        <f>IF(AND(HE206="",HF206="",HG206=""),"",IF(OR(GY206="SUPPLEMENTARY",GY206="RE-EXAM"),'Supp. Result Entry'!AS205,GY206))</f>
        <v/>
      </c>
      <c r="HI206" s="179"/>
      <c r="HY206" s="211" t="str">
        <f>IF('Supp. Result Entry'!U205="","",'Supp. Result Entry'!$U$6)</f>
        <v/>
      </c>
      <c r="HZ206" s="212" t="str">
        <f>IF('Supp. Result Entry'!X205="","",'Supp. Result Entry'!$X$6)</f>
        <v/>
      </c>
      <c r="IA206" s="212" t="str">
        <f>IF('Supp. Result Entry'!AA205="","",'Supp. Result Entry'!$AA$6)</f>
        <v/>
      </c>
      <c r="IB206" s="212" t="str">
        <f>IF('Supp. Result Entry'!AD205="","",'Supp. Result Entry'!$AD$6)</f>
        <v/>
      </c>
      <c r="IC206" s="212" t="str">
        <f>IF('Supp. Result Entry'!AG205="","",'Supp. Result Entry'!$AG$6)</f>
        <v/>
      </c>
      <c r="ID206" s="212" t="str">
        <f>IF('Supp. Result Entry'!AJ205="","",'Supp. Result Entry'!$AJ$6)</f>
        <v/>
      </c>
      <c r="IE206" s="212" t="str">
        <f>IF('Supp. Result Entry'!V205="","",'Supp. Result Entry'!V205)</f>
        <v/>
      </c>
      <c r="IF206" s="212" t="str">
        <f>IF('Supp. Result Entry'!Y205="","",'Supp. Result Entry'!Y205)</f>
        <v/>
      </c>
      <c r="IG206" s="212" t="str">
        <f>IF('Supp. Result Entry'!AB205="","",'Supp. Result Entry'!AB205)</f>
        <v/>
      </c>
      <c r="IH206" s="212" t="str">
        <f>IF('Supp. Result Entry'!AE205="","",'Supp. Result Entry'!AE205)</f>
        <v/>
      </c>
      <c r="II206" s="212" t="str">
        <f>IF('Supp. Result Entry'!AH205="","",'Supp. Result Entry'!AH205)</f>
        <v/>
      </c>
      <c r="IJ206" s="212" t="str">
        <f>IF('Supp. Result Entry'!AK205="","",'Supp. Result Entry'!AK205)</f>
        <v/>
      </c>
      <c r="IK206" s="212" t="str">
        <f>IF('Supp. Result Entry'!W205="","",'Supp. Result Entry'!W205)</f>
        <v/>
      </c>
      <c r="IL206" s="212" t="str">
        <f>IF('Supp. Result Entry'!Z205="","",'Supp. Result Entry'!Z205)</f>
        <v/>
      </c>
      <c r="IM206" s="212" t="str">
        <f>IF('Supp. Result Entry'!AC205="","",'Supp. Result Entry'!AC205)</f>
        <v/>
      </c>
      <c r="IN206" s="212" t="str">
        <f>IF('Supp. Result Entry'!AF205="","",'Supp. Result Entry'!AF205)</f>
        <v/>
      </c>
      <c r="IO206" s="212" t="str">
        <f>IF('Supp. Result Entry'!AI205="","",'Supp. Result Entry'!AI205)</f>
        <v/>
      </c>
      <c r="IP206" s="212" t="str">
        <f>IF('Supp. Result Entry'!AL205="","",'Supp. Result Entry'!AL205)</f>
        <v/>
      </c>
      <c r="IQ206" s="212">
        <f>COUNTIF('Supp. Result Entry'!K205:Q205,"S")</f>
        <v>0</v>
      </c>
      <c r="IR206" s="212">
        <f t="shared" si="719"/>
        <v>0</v>
      </c>
      <c r="IS206" s="212">
        <f t="shared" si="720"/>
        <v>0</v>
      </c>
      <c r="IT206" s="212" t="str">
        <f t="shared" si="588"/>
        <v/>
      </c>
      <c r="IU206" s="212" t="str">
        <f t="shared" si="589"/>
        <v/>
      </c>
      <c r="IV206" s="212" t="str">
        <f t="shared" si="590"/>
        <v/>
      </c>
      <c r="IW206" s="212" t="str">
        <f t="shared" si="591"/>
        <v/>
      </c>
      <c r="IX206" s="212" t="str">
        <f t="shared" si="592"/>
        <v/>
      </c>
      <c r="IY206" s="212" t="str">
        <f t="shared" si="721"/>
        <v/>
      </c>
      <c r="IZ206" s="212" t="str">
        <f t="shared" si="722"/>
        <v/>
      </c>
      <c r="JA206" s="212" t="str">
        <f t="shared" si="593"/>
        <v/>
      </c>
      <c r="JB206" s="210" t="str">
        <f t="shared" si="723"/>
        <v/>
      </c>
    </row>
    <row r="207" spans="1:262" s="210" customFormat="1" ht="21" customHeight="1" thickBot="1">
      <c r="A207" s="183">
        <v>200</v>
      </c>
      <c r="B207" s="184" t="str">
        <f>IF('Marks Entry'!B207="","",'Marks Entry'!B207)</f>
        <v/>
      </c>
      <c r="C207" s="185" t="str">
        <f>IF('Marks Entry'!D207="","",'Marks Entry'!D207)</f>
        <v/>
      </c>
      <c r="D207" s="186" t="str">
        <f>IF('Marks Entry'!E207="","",'Marks Entry'!E207)</f>
        <v/>
      </c>
      <c r="E207" s="187" t="str">
        <f>IF('Marks Entry'!F207="","",'Marks Entry'!F207)</f>
        <v/>
      </c>
      <c r="F207" s="187" t="str">
        <f>IF('Marks Entry'!G207="","",'Marks Entry'!G207)</f>
        <v/>
      </c>
      <c r="G207" s="187" t="str">
        <f>IF('Marks Entry'!H207="","",'Marks Entry'!H207)</f>
        <v/>
      </c>
      <c r="H207" s="188" t="str">
        <f>IF('Marks Entry'!I207="","",'Marks Entry'!I207)</f>
        <v/>
      </c>
      <c r="I207" s="189" t="str">
        <f>IF('Marks Entry'!J207="","",'Marks Entry'!J207)</f>
        <v/>
      </c>
      <c r="J207" s="545" t="str">
        <f>IF('Marks Entry'!K207="","",'Marks Entry'!K207)</f>
        <v/>
      </c>
      <c r="K207" s="545" t="str">
        <f>IF('Marks Entry'!L207="","",'Marks Entry'!L207)</f>
        <v/>
      </c>
      <c r="L207" s="545" t="str">
        <f>IF('Marks Entry'!M207="","",'Marks Entry'!M207)</f>
        <v/>
      </c>
      <c r="M207" s="546" t="str">
        <f t="shared" si="594"/>
        <v/>
      </c>
      <c r="N207" s="545" t="str">
        <f>IF('Marks Entry'!N207="","",'Marks Entry'!N207)</f>
        <v/>
      </c>
      <c r="O207" s="546" t="str">
        <f t="shared" si="595"/>
        <v/>
      </c>
      <c r="P207" s="545" t="str">
        <f>IF('Marks Entry'!O207="","",'Marks Entry'!O207)</f>
        <v/>
      </c>
      <c r="Q207" s="547" t="str">
        <f t="shared" si="596"/>
        <v/>
      </c>
      <c r="R207" s="152">
        <f t="shared" si="597"/>
        <v>0</v>
      </c>
      <c r="S207" s="152">
        <f t="shared" si="598"/>
        <v>0</v>
      </c>
      <c r="T207" s="153" t="str">
        <f t="shared" si="599"/>
        <v/>
      </c>
      <c r="U207" s="152" t="str">
        <f t="shared" si="600"/>
        <v/>
      </c>
      <c r="V207" s="152" t="str">
        <f t="shared" si="601"/>
        <v/>
      </c>
      <c r="W207" s="152" t="str">
        <f t="shared" si="602"/>
        <v/>
      </c>
      <c r="X207" s="545" t="str">
        <f>IF('Marks Entry'!P207="","",'Marks Entry'!P207)</f>
        <v/>
      </c>
      <c r="Y207" s="545" t="str">
        <f>IF('Marks Entry'!Q207="","",'Marks Entry'!Q207)</f>
        <v/>
      </c>
      <c r="Z207" s="545" t="str">
        <f>IF('Marks Entry'!R207="","",'Marks Entry'!R207)</f>
        <v/>
      </c>
      <c r="AA207" s="546" t="str">
        <f t="shared" si="603"/>
        <v/>
      </c>
      <c r="AB207" s="545" t="str">
        <f>IF('Marks Entry'!S207="","",'Marks Entry'!S207)</f>
        <v/>
      </c>
      <c r="AC207" s="546" t="str">
        <f t="shared" si="604"/>
        <v/>
      </c>
      <c r="AD207" s="545" t="str">
        <f>IF('Marks Entry'!T207="","",'Marks Entry'!T207)</f>
        <v/>
      </c>
      <c r="AE207" s="547" t="str">
        <f t="shared" si="605"/>
        <v/>
      </c>
      <c r="AF207" s="152">
        <f t="shared" si="606"/>
        <v>0</v>
      </c>
      <c r="AG207" s="152">
        <f t="shared" si="607"/>
        <v>0</v>
      </c>
      <c r="AH207" s="153" t="str">
        <f t="shared" si="608"/>
        <v/>
      </c>
      <c r="AI207" s="152" t="str">
        <f t="shared" si="609"/>
        <v/>
      </c>
      <c r="AJ207" s="152" t="str">
        <f t="shared" si="610"/>
        <v/>
      </c>
      <c r="AK207" s="152" t="str">
        <f t="shared" si="611"/>
        <v/>
      </c>
      <c r="AL207" s="573" t="str">
        <f>IF('Marks Entry'!U207="","",'Marks Entry'!U207)</f>
        <v/>
      </c>
      <c r="AM207" s="573" t="str">
        <f>IF('Marks Entry'!V207="","",'Marks Entry'!V207)</f>
        <v/>
      </c>
      <c r="AN207" s="573" t="str">
        <f>IF('Marks Entry'!W207="","",'Marks Entry'!W207)</f>
        <v/>
      </c>
      <c r="AO207" s="573" t="str">
        <f>IF('Marks Entry'!X207="","",'Marks Entry'!X207)</f>
        <v/>
      </c>
      <c r="AP207" s="572" t="str">
        <f t="shared" si="612"/>
        <v/>
      </c>
      <c r="AQ207" s="573" t="str">
        <f>IF('Marks Entry'!Y207="","",'Marks Entry'!Y207)</f>
        <v/>
      </c>
      <c r="AR207" s="573" t="str">
        <f>IF('Marks Entry'!Z207="","",'Marks Entry'!Z207)</f>
        <v/>
      </c>
      <c r="AS207" s="572" t="str">
        <f t="shared" si="613"/>
        <v/>
      </c>
      <c r="AT207" s="572" t="str">
        <f t="shared" si="614"/>
        <v/>
      </c>
      <c r="AU207" s="573" t="str">
        <f>IF('Marks Entry'!AA207="","",'Marks Entry'!AA207)</f>
        <v/>
      </c>
      <c r="AV207" s="573" t="str">
        <f>IF('Marks Entry'!AB207="","",'Marks Entry'!AB207)</f>
        <v/>
      </c>
      <c r="AW207" s="572" t="str">
        <f t="shared" si="615"/>
        <v/>
      </c>
      <c r="AX207" s="156" t="str">
        <f t="shared" si="616"/>
        <v/>
      </c>
      <c r="AY207" s="156" t="str">
        <f t="shared" si="617"/>
        <v/>
      </c>
      <c r="AZ207" s="191" t="str">
        <f t="shared" si="618"/>
        <v/>
      </c>
      <c r="BA207" s="152">
        <f t="shared" si="619"/>
        <v>0</v>
      </c>
      <c r="BB207" s="153">
        <f t="shared" si="620"/>
        <v>0</v>
      </c>
      <c r="BC207" s="153" t="str">
        <f t="shared" si="621"/>
        <v/>
      </c>
      <c r="BD207" s="153" t="str">
        <f t="shared" si="622"/>
        <v/>
      </c>
      <c r="BE207" s="153" t="str">
        <f t="shared" si="623"/>
        <v/>
      </c>
      <c r="BF207" s="152" t="str">
        <f t="shared" si="624"/>
        <v/>
      </c>
      <c r="BG207" s="153" t="str">
        <f t="shared" si="625"/>
        <v/>
      </c>
      <c r="BH207" s="152" t="str">
        <f t="shared" si="626"/>
        <v/>
      </c>
      <c r="BI207" s="580" t="str">
        <f>IF('Marks Entry'!AC207="","",'Marks Entry'!AC207)</f>
        <v/>
      </c>
      <c r="BJ207" s="580" t="str">
        <f>IF('Marks Entry'!AD207="","",'Marks Entry'!AD207)</f>
        <v/>
      </c>
      <c r="BK207" s="580" t="str">
        <f>IF('Marks Entry'!AE207="","",'Marks Entry'!AE207)</f>
        <v/>
      </c>
      <c r="BL207" s="580" t="str">
        <f>IF('Marks Entry'!AF207="","",'Marks Entry'!AF207)</f>
        <v/>
      </c>
      <c r="BM207" s="581" t="str">
        <f t="shared" si="627"/>
        <v/>
      </c>
      <c r="BN207" s="580" t="str">
        <f>IF('Marks Entry'!AG207="","",'Marks Entry'!AG207)</f>
        <v/>
      </c>
      <c r="BO207" s="580" t="str">
        <f>IF('Marks Entry'!AH207="","",'Marks Entry'!AH207)</f>
        <v/>
      </c>
      <c r="BP207" s="581" t="str">
        <f t="shared" si="628"/>
        <v/>
      </c>
      <c r="BQ207" s="581" t="str">
        <f t="shared" si="629"/>
        <v/>
      </c>
      <c r="BR207" s="580" t="str">
        <f>IF('Marks Entry'!AI207="","",'Marks Entry'!AI207)</f>
        <v/>
      </c>
      <c r="BS207" s="580" t="str">
        <f>IF('Marks Entry'!AJ207="","",'Marks Entry'!AJ207)</f>
        <v/>
      </c>
      <c r="BT207" s="581" t="str">
        <f t="shared" si="630"/>
        <v/>
      </c>
      <c r="BU207" s="156" t="str">
        <f t="shared" si="631"/>
        <v/>
      </c>
      <c r="BV207" s="156" t="str">
        <f t="shared" si="632"/>
        <v/>
      </c>
      <c r="BW207" s="191" t="str">
        <f t="shared" si="633"/>
        <v/>
      </c>
      <c r="BX207" s="152">
        <f t="shared" si="634"/>
        <v>0</v>
      </c>
      <c r="BY207" s="153">
        <f t="shared" si="635"/>
        <v>0</v>
      </c>
      <c r="BZ207" s="153" t="str">
        <f t="shared" si="636"/>
        <v/>
      </c>
      <c r="CA207" s="153" t="str">
        <f t="shared" si="637"/>
        <v/>
      </c>
      <c r="CB207" s="153" t="str">
        <f t="shared" si="638"/>
        <v/>
      </c>
      <c r="CC207" s="152" t="str">
        <f t="shared" si="639"/>
        <v/>
      </c>
      <c r="CD207" s="153" t="str">
        <f t="shared" si="640"/>
        <v/>
      </c>
      <c r="CE207" s="152" t="str">
        <f t="shared" si="641"/>
        <v/>
      </c>
      <c r="CF207" s="580" t="str">
        <f>IF('Marks Entry'!AK207="","",'Marks Entry'!AK207)</f>
        <v/>
      </c>
      <c r="CG207" s="580" t="str">
        <f>IF('Marks Entry'!AL207="","",'Marks Entry'!AL207)</f>
        <v/>
      </c>
      <c r="CH207" s="580" t="str">
        <f>IF('Marks Entry'!AM207="","",'Marks Entry'!AM207)</f>
        <v/>
      </c>
      <c r="CI207" s="580" t="str">
        <f>IF('Marks Entry'!AN207="","",'Marks Entry'!AN207)</f>
        <v/>
      </c>
      <c r="CJ207" s="581" t="str">
        <f>IF(AND(CG207="",CH207="",CI207=""),"",IF(AND(CG207="AB",CH207="AB",CI207="AB"),"AB",IF(AND(CG207="ML",CH207="ML",CI207="ML"),"ML",SUM(CG207:CI207))))</f>
        <v/>
      </c>
      <c r="CK207" s="580" t="str">
        <f>IF('Marks Entry'!AO207="","",'Marks Entry'!AO207)</f>
        <v/>
      </c>
      <c r="CL207" s="580" t="str">
        <f>IF('Marks Entry'!AP207="","",'Marks Entry'!AP207)</f>
        <v/>
      </c>
      <c r="CM207" s="581" t="str">
        <f>IF(AND(CK207="",CL207=""),"",IF(AND(CK207="AB",CL207="AB"),"AB",IF(AND(CK207="ML",CL207="ML"),"ML",SUM(CK207:CL207))))</f>
        <v/>
      </c>
      <c r="CN207" s="581" t="str">
        <f>IF(AND(CM207="",CJ207=""),"",IF(AND(CM207="AB",CJ207="AB"),"AB",IF(AND(CM207="ML",CJ207="ML"),"ML",SUM(CJ207,CM207))))</f>
        <v/>
      </c>
      <c r="CO207" s="580" t="str">
        <f>IF('Marks Entry'!AQ207="","",'Marks Entry'!AQ207)</f>
        <v/>
      </c>
      <c r="CP207" s="580" t="str">
        <f>IF('Marks Entry'!AR207="","",'Marks Entry'!AR207)</f>
        <v/>
      </c>
      <c r="CQ207" s="581" t="str">
        <f>IF(AND(CO207="",CP207=""),"",IF(AND(CO207="AB",CP207="AB"),"AB",IF(AND(CO207="ML",CP207="ML"),"ML",SUM(CO207:CP207))))</f>
        <v/>
      </c>
      <c r="CR207" s="156" t="str">
        <f>IF(AND(CJ207="",CK207="",CO207=""),"",SUM(CJ207,CK207,CO207))</f>
        <v/>
      </c>
      <c r="CS207" s="156" t="str">
        <f>IF(AND(CL207="",CP207=""),"",SUM(CL207,CP207))</f>
        <v/>
      </c>
      <c r="CT207" s="191" t="str">
        <f>IF(AND(CN207="",CQ207=""),"",SUM(CN207,CQ207))</f>
        <v/>
      </c>
      <c r="CU207" s="152">
        <f t="shared" si="649"/>
        <v>0</v>
      </c>
      <c r="CV207" s="153">
        <f t="shared" si="650"/>
        <v>0</v>
      </c>
      <c r="CW207" s="153" t="str">
        <f t="shared" si="651"/>
        <v/>
      </c>
      <c r="CX207" s="153" t="str">
        <f t="shared" si="652"/>
        <v/>
      </c>
      <c r="CY207" s="153" t="str">
        <f t="shared" si="653"/>
        <v/>
      </c>
      <c r="CZ207" s="152" t="str">
        <f t="shared" si="654"/>
        <v/>
      </c>
      <c r="DA207" s="153" t="str">
        <f t="shared" si="655"/>
        <v/>
      </c>
      <c r="DB207" s="152" t="str">
        <f t="shared" si="656"/>
        <v/>
      </c>
      <c r="DC207" s="153">
        <f t="shared" si="657"/>
        <v>0</v>
      </c>
      <c r="DD207" s="851" t="str">
        <f>IF('Marks Entry'!AS207="","",IF(OR('Master Sheet'!$D$19="YES",'Marks Entry'!$BA$1=1),'Marks Entry'!AS207,""))</f>
        <v/>
      </c>
      <c r="DE207" s="851" t="str">
        <f>IF('Marks Entry'!AT207="","",IF(OR('Master Sheet'!$D$19="YES",'Marks Entry'!$BA$1=1),'Marks Entry'!AT207,""))</f>
        <v/>
      </c>
      <c r="DF207" s="851" t="str">
        <f>IF('Marks Entry'!AU207="","",IF(OR('Master Sheet'!$D$19="YES",'Marks Entry'!$BA$1=1),'Marks Entry'!AU207,""))</f>
        <v/>
      </c>
      <c r="DG207" s="851" t="str">
        <f>IF('Marks Entry'!AV207="","",IF(OR('Master Sheet'!$D$19="YES",'Marks Entry'!$BA$1=1),'Marks Entry'!AV207,""))</f>
        <v/>
      </c>
      <c r="DH207" s="852" t="str">
        <f t="shared" si="658"/>
        <v/>
      </c>
      <c r="DI207" s="851" t="str">
        <f>IF('Marks Entry'!AW207="","",IF(OR('Master Sheet'!$D$19="YES",'Marks Entry'!$BA$1=1),'Marks Entry'!AW207,""))</f>
        <v/>
      </c>
      <c r="DJ207" s="851" t="str">
        <f>IF('Marks Entry'!AX207="","",IF(OR('Master Sheet'!$D$19="YES",'Marks Entry'!$BA$1=1),'Marks Entry'!AX207,""))</f>
        <v/>
      </c>
      <c r="DK207" s="852" t="str">
        <f t="shared" si="659"/>
        <v/>
      </c>
      <c r="DL207" s="852" t="str">
        <f t="shared" si="660"/>
        <v/>
      </c>
      <c r="DM207" s="851" t="str">
        <f>IF('Marks Entry'!AY207="","",IF(OR('Master Sheet'!$D$19="YES",'Marks Entry'!$BA$1=1),'Marks Entry'!AY207,""))</f>
        <v/>
      </c>
      <c r="DN207" s="851" t="str">
        <f>IF('Marks Entry'!AZ207="","",IF(OR('Master Sheet'!$D$19="YES",'Marks Entry'!$BA$1=1),'Marks Entry'!AZ207,""))</f>
        <v/>
      </c>
      <c r="DO207" s="851" t="str">
        <f>IF('Marks Entry'!BA207="","",IF(OR('Master Sheet'!$D$19="YES",'Marks Entry'!$BA$1=1),'Marks Entry'!BA207,""))</f>
        <v/>
      </c>
      <c r="DP207" s="852" t="str">
        <f t="shared" si="661"/>
        <v/>
      </c>
      <c r="DQ207" s="156" t="str">
        <f t="shared" si="662"/>
        <v/>
      </c>
      <c r="DR207" s="156" t="str">
        <f t="shared" si="663"/>
        <v/>
      </c>
      <c r="DS207" s="156" t="str">
        <f t="shared" si="664"/>
        <v/>
      </c>
      <c r="DT207" s="191" t="str">
        <f t="shared" si="665"/>
        <v/>
      </c>
      <c r="DU207" s="152">
        <f t="shared" si="666"/>
        <v>0</v>
      </c>
      <c r="DV207" s="153">
        <f t="shared" si="667"/>
        <v>0</v>
      </c>
      <c r="DW207" s="153" t="str">
        <f t="shared" si="668"/>
        <v/>
      </c>
      <c r="DX207" s="153" t="str">
        <f>IF(OR($B207="NSO",$B207=0,DS207=""),"",IF(AND(DJ207="",DO207=""),"",IF('Master Sheet'!$D$19="YES",$DO$6-COUNTIF(DO207,"ML")*DO$6,DS$6-(COUNTIF(DJ207,"ML")*DJ$6)-(COUNTIF(DO207,"ML")*DO$6))))</f>
        <v/>
      </c>
      <c r="DY207" s="153" t="str">
        <f>IF(OR($B207="NSO",$B207=0),"",IF(AND(DH207="",DI207="",DM207=""),"",IF(AND('Master Sheet'!$D$19="YES",'Marks Entry'!$BA$1=1),100,IF(AND(DJ207="",DO207=""),SUM(($DQ$7+$DR$7)-(DU207+DV207)),SUM(($DQ$6+$DR$6)-(DU207+DV207))))))</f>
        <v/>
      </c>
      <c r="DZ207" s="152" t="str">
        <f t="shared" si="669"/>
        <v/>
      </c>
      <c r="EA207" s="153" t="str">
        <f t="shared" si="670"/>
        <v/>
      </c>
      <c r="EB207" s="152" t="str">
        <f t="shared" si="671"/>
        <v/>
      </c>
      <c r="EC207" s="584" t="str">
        <f>IF('Marks Entry'!BB207="","",'Marks Entry'!BB207)</f>
        <v/>
      </c>
      <c r="ED207" s="584" t="str">
        <f>IF('Marks Entry'!BC207="","",'Marks Entry'!BC207)</f>
        <v/>
      </c>
      <c r="EE207" s="584" t="str">
        <f>IF('Marks Entry'!BD207="","",'Marks Entry'!BD207)</f>
        <v/>
      </c>
      <c r="EF207" s="590" t="str">
        <f t="shared" si="672"/>
        <v/>
      </c>
      <c r="EG207" s="595">
        <f t="shared" si="673"/>
        <v>0</v>
      </c>
      <c r="EH207" s="595">
        <f t="shared" si="674"/>
        <v>0</v>
      </c>
      <c r="EI207" s="192" t="str">
        <f t="shared" si="675"/>
        <v/>
      </c>
      <c r="EJ207" s="595" t="str">
        <f t="shared" si="676"/>
        <v/>
      </c>
      <c r="EK207" s="595" t="str">
        <f t="shared" si="677"/>
        <v/>
      </c>
      <c r="EL207" s="193" t="str">
        <f t="shared" si="678"/>
        <v/>
      </c>
      <c r="EM207" s="193" t="str">
        <f t="shared" si="679"/>
        <v/>
      </c>
      <c r="EN207" s="193" t="str">
        <f t="shared" si="680"/>
        <v/>
      </c>
      <c r="EO207" s="193" t="str">
        <f t="shared" si="681"/>
        <v/>
      </c>
      <c r="EP207" s="193" t="str">
        <f t="shared" si="682"/>
        <v/>
      </c>
      <c r="EQ207" s="193" t="str">
        <f t="shared" si="683"/>
        <v/>
      </c>
      <c r="ER207" s="194">
        <f t="shared" si="684"/>
        <v>0</v>
      </c>
      <c r="ES207" s="194">
        <f t="shared" si="685"/>
        <v>0</v>
      </c>
      <c r="ET207" s="194">
        <f t="shared" si="686"/>
        <v>0</v>
      </c>
      <c r="EU207" s="194">
        <f t="shared" si="687"/>
        <v>0</v>
      </c>
      <c r="EV207" s="194">
        <f t="shared" si="688"/>
        <v>0</v>
      </c>
      <c r="EW207" s="194" t="str">
        <f t="shared" si="689"/>
        <v/>
      </c>
      <c r="EX207" s="195" t="str">
        <f t="shared" si="690"/>
        <v/>
      </c>
      <c r="EY207" s="196" t="str">
        <f>IF('Marks Entry'!BE207="","",'Marks Entry'!BE207)</f>
        <v/>
      </c>
      <c r="EZ207" s="196" t="str">
        <f>IF('Marks Entry'!BF207="","",'Marks Entry'!BF207)</f>
        <v/>
      </c>
      <c r="FA207" s="196" t="str">
        <f>IF('Marks Entry'!BG207="","",'Marks Entry'!BG207)</f>
        <v/>
      </c>
      <c r="FB207" s="596" t="str">
        <f t="shared" si="691"/>
        <v/>
      </c>
      <c r="FC207" s="196" t="str">
        <f>IF('Marks Entry'!BH207="","",'Marks Entry'!BH207)</f>
        <v/>
      </c>
      <c r="FD207" s="196" t="str">
        <f>IF('Marks Entry'!BI207="","",'Marks Entry'!BI207)</f>
        <v/>
      </c>
      <c r="FE207" s="197" t="str">
        <f t="shared" si="692"/>
        <v/>
      </c>
      <c r="FF207" s="198" t="str">
        <f t="shared" si="693"/>
        <v/>
      </c>
      <c r="FG207" s="199" t="str">
        <f>IF(AND(E207=""),"",IF('Student DATA Entry'!L203="","",'Student DATA Entry'!L203))</f>
        <v/>
      </c>
      <c r="FH207" s="200" t="str">
        <f>IF(AND(E207=""),"",IF('Student DATA Entry'!M203="","",'Student DATA Entry'!M203))</f>
        <v/>
      </c>
      <c r="FI207" s="201" t="str">
        <f t="shared" si="694"/>
        <v/>
      </c>
      <c r="FJ207" s="188" t="str">
        <f t="shared" si="695"/>
        <v/>
      </c>
      <c r="FK207" s="188" t="str">
        <f t="shared" si="696"/>
        <v/>
      </c>
      <c r="FL207" s="202" t="str">
        <f t="shared" si="565"/>
        <v/>
      </c>
      <c r="FM207" s="188" t="str">
        <f t="shared" si="697"/>
        <v/>
      </c>
      <c r="FN207" s="203" t="str">
        <f t="shared" si="698"/>
        <v/>
      </c>
      <c r="FO207" s="202" t="str">
        <f t="shared" si="566"/>
        <v/>
      </c>
      <c r="FP207" s="204" t="str">
        <f t="shared" si="699"/>
        <v/>
      </c>
      <c r="FQ207" s="188" t="str">
        <f t="shared" si="567"/>
        <v/>
      </c>
      <c r="FR207" s="188" t="str">
        <f t="shared" si="568"/>
        <v/>
      </c>
      <c r="FS207" s="188" t="str">
        <f t="shared" si="569"/>
        <v/>
      </c>
      <c r="FT207" s="188" t="str">
        <f t="shared" si="570"/>
        <v/>
      </c>
      <c r="FU207" s="188" t="str">
        <f t="shared" si="700"/>
        <v/>
      </c>
      <c r="FV207" s="205" t="str">
        <f t="shared" si="571"/>
        <v/>
      </c>
      <c r="FW207" s="204" t="str">
        <f t="shared" si="701"/>
        <v/>
      </c>
      <c r="FX207" s="188" t="str">
        <f t="shared" si="572"/>
        <v/>
      </c>
      <c r="FY207" s="188" t="str">
        <f t="shared" si="573"/>
        <v/>
      </c>
      <c r="FZ207" s="188" t="str">
        <f t="shared" si="574"/>
        <v/>
      </c>
      <c r="GA207" s="188" t="str">
        <f t="shared" si="575"/>
        <v/>
      </c>
      <c r="GB207" s="188" t="str">
        <f t="shared" si="702"/>
        <v/>
      </c>
      <c r="GC207" s="205" t="str">
        <f t="shared" si="576"/>
        <v/>
      </c>
      <c r="GD207" s="204" t="str">
        <f t="shared" si="703"/>
        <v/>
      </c>
      <c r="GE207" s="188" t="str">
        <f t="shared" si="577"/>
        <v/>
      </c>
      <c r="GF207" s="188" t="str">
        <f t="shared" si="578"/>
        <v/>
      </c>
      <c r="GG207" s="188" t="str">
        <f t="shared" si="579"/>
        <v/>
      </c>
      <c r="GH207" s="188" t="str">
        <f t="shared" si="580"/>
        <v/>
      </c>
      <c r="GI207" s="188" t="str">
        <f t="shared" si="704"/>
        <v/>
      </c>
      <c r="GJ207" s="205" t="str">
        <f t="shared" si="581"/>
        <v/>
      </c>
      <c r="GK207" s="204" t="str">
        <f t="shared" si="705"/>
        <v/>
      </c>
      <c r="GL207" s="188" t="str">
        <f t="shared" si="582"/>
        <v/>
      </c>
      <c r="GM207" s="188" t="str">
        <f t="shared" si="583"/>
        <v/>
      </c>
      <c r="GN207" s="188" t="str">
        <f t="shared" si="584"/>
        <v/>
      </c>
      <c r="GO207" s="188" t="str">
        <f t="shared" si="585"/>
        <v/>
      </c>
      <c r="GP207" s="188" t="str">
        <f t="shared" si="706"/>
        <v/>
      </c>
      <c r="GQ207" s="205" t="str">
        <f t="shared" si="586"/>
        <v/>
      </c>
      <c r="GR207" s="188" t="str">
        <f t="shared" si="707"/>
        <v/>
      </c>
      <c r="GS207" s="188" t="str">
        <f t="shared" si="708"/>
        <v/>
      </c>
      <c r="GT207" s="206" t="str">
        <f t="shared" si="709"/>
        <v xml:space="preserve">    </v>
      </c>
      <c r="GU207" s="206" t="str">
        <f t="shared" si="710"/>
        <v xml:space="preserve">    </v>
      </c>
      <c r="GV207" s="206" t="str">
        <f t="shared" si="711"/>
        <v xml:space="preserve">    </v>
      </c>
      <c r="GW207" s="206" t="str">
        <f>CONCATENATE(IF(FJ207="RE",$FJ$5,"")," ",IF(FM207="RE",$FM$5,"")," ",IF(OR(FQ207="RE",FQ207="REP"),$FQ$5,IF(OR(FR207="RE",FR207="REP"),$FR$5,IF(OR(FS207="RE",FS207="REP"),$FS$5,IF(OR(FT207="RE",FT207="REP"),$FT$5,""))))," ",IF(OR(FX207="RE",FX207="REP"),$FX$5,IF(OR(FY207="RE",FY207="REP"),$FY$5,IF(OR(FZ207="RE",FZ207="REP"),$FZ$5,IF(OR(GA207="RE",GA207="REP"),$GA$5,""))))," ",IF(OR(GE207="RE",GE207="REP"),$GE$5,IF(OR(GF207="RE",GF207="REP"),$GF$5,IF(OR(GG207="RE",GG207="REP"),$GG$5,IF(OR(GH207="RE",GH207="REP"),$GH$5,""))))," ",IF(GR207="RE",$GR$4," "),"",IF(GS207="RE",$GS$4," "),"",)</f>
        <v xml:space="preserve">       </v>
      </c>
      <c r="GX207" s="598" t="str">
        <f t="shared" si="713"/>
        <v xml:space="preserve">     </v>
      </c>
      <c r="GY207" s="207" t="str">
        <f t="shared" si="587"/>
        <v/>
      </c>
      <c r="GZ207" s="606" t="str">
        <f>IF(AND(Q207="",AE207="",AZ207="",BW207="",CT207=""),"",IF(AND('Master Sheet'!$D$19="YES",'Marks Entry'!$BA$1=1),SUM(Q207,AE207,AZ207,BW207,DT207),SUM(Q207,AE207,AZ207,BW207,CT207)))</f>
        <v/>
      </c>
      <c r="HA207" s="208" t="str">
        <f>IF(GZ207="","",IF(AND('Master Sheet'!$D$19="YES",'Marks Entry'!$BA$1=1),GZ207/((900)-DC207)*100,GZ207/((1000)-DC207)*100))</f>
        <v/>
      </c>
      <c r="HB207" s="611" t="str">
        <f t="shared" si="714"/>
        <v/>
      </c>
      <c r="HC207" s="609" t="str">
        <f t="shared" si="715"/>
        <v/>
      </c>
      <c r="HD207" s="610" t="str">
        <f t="shared" si="716"/>
        <v/>
      </c>
      <c r="HE207" s="209" t="str">
        <f>IFERROR(IF(OR(GY207="SUPPLEMENTARY",GY207="RE-EXAM"),'Supp. Result Entry'!AS206,""),"")</f>
        <v/>
      </c>
      <c r="HF207" s="613" t="str">
        <f t="shared" si="717"/>
        <v/>
      </c>
      <c r="HG207" s="598" t="str">
        <f t="shared" si="718"/>
        <v/>
      </c>
      <c r="HH207" s="598" t="str">
        <f>IF(AND(HE207="",HF207="",HG207=""),"",IF(OR(GY207="SUPPLEMENTARY",GY207="RE-EXAM"),'Supp. Result Entry'!AS206,GY207))</f>
        <v/>
      </c>
      <c r="HI207" s="179"/>
      <c r="HY207" s="211" t="str">
        <f>IF('Supp. Result Entry'!U206="","",'Supp. Result Entry'!$U$6)</f>
        <v/>
      </c>
      <c r="HZ207" s="212" t="str">
        <f>IF('Supp. Result Entry'!X206="","",'Supp. Result Entry'!$X$6)</f>
        <v/>
      </c>
      <c r="IA207" s="212" t="str">
        <f>IF('Supp. Result Entry'!AA206="","",'Supp. Result Entry'!$AA$6)</f>
        <v/>
      </c>
      <c r="IB207" s="212" t="str">
        <f>IF('Supp. Result Entry'!AD206="","",'Supp. Result Entry'!$AD$6)</f>
        <v/>
      </c>
      <c r="IC207" s="212" t="str">
        <f>IF('Supp. Result Entry'!AG206="","",'Supp. Result Entry'!$AG$6)</f>
        <v/>
      </c>
      <c r="ID207" s="212" t="str">
        <f>IF('Supp. Result Entry'!AJ206="","",'Supp. Result Entry'!$AJ$6)</f>
        <v/>
      </c>
      <c r="IE207" s="212" t="str">
        <f>IF('Supp. Result Entry'!V206="","",'Supp. Result Entry'!V206)</f>
        <v/>
      </c>
      <c r="IF207" s="212" t="str">
        <f>IF('Supp. Result Entry'!Y206="","",'Supp. Result Entry'!Y206)</f>
        <v/>
      </c>
      <c r="IG207" s="212" t="str">
        <f>IF('Supp. Result Entry'!AB206="","",'Supp. Result Entry'!AB206)</f>
        <v/>
      </c>
      <c r="IH207" s="212" t="str">
        <f>IF('Supp. Result Entry'!AE206="","",'Supp. Result Entry'!AE206)</f>
        <v/>
      </c>
      <c r="II207" s="212" t="str">
        <f>IF('Supp. Result Entry'!AH206="","",'Supp. Result Entry'!AH206)</f>
        <v/>
      </c>
      <c r="IJ207" s="212" t="str">
        <f>IF('Supp. Result Entry'!AK206="","",'Supp. Result Entry'!AK206)</f>
        <v/>
      </c>
      <c r="IK207" s="212" t="str">
        <f>IF('Supp. Result Entry'!W206="","",'Supp. Result Entry'!W206)</f>
        <v/>
      </c>
      <c r="IL207" s="212" t="str">
        <f>IF('Supp. Result Entry'!Z206="","",'Supp. Result Entry'!Z206)</f>
        <v/>
      </c>
      <c r="IM207" s="212" t="str">
        <f>IF('Supp. Result Entry'!AC206="","",'Supp. Result Entry'!AC206)</f>
        <v/>
      </c>
      <c r="IN207" s="212" t="str">
        <f>IF('Supp. Result Entry'!AF206="","",'Supp. Result Entry'!AF206)</f>
        <v/>
      </c>
      <c r="IO207" s="212" t="str">
        <f>IF('Supp. Result Entry'!AI206="","",'Supp. Result Entry'!AI206)</f>
        <v/>
      </c>
      <c r="IP207" s="212" t="str">
        <f>IF('Supp. Result Entry'!AL206="","",'Supp. Result Entry'!AL206)</f>
        <v/>
      </c>
      <c r="IQ207" s="212">
        <f>COUNTIF('Supp. Result Entry'!K206:Q206,"S")</f>
        <v>0</v>
      </c>
      <c r="IR207" s="212">
        <f t="shared" si="719"/>
        <v>0</v>
      </c>
      <c r="IS207" s="212">
        <f t="shared" si="720"/>
        <v>0</v>
      </c>
      <c r="IT207" s="212" t="str">
        <f t="shared" si="588"/>
        <v/>
      </c>
      <c r="IU207" s="212" t="str">
        <f t="shared" si="589"/>
        <v/>
      </c>
      <c r="IV207" s="212" t="str">
        <f t="shared" si="590"/>
        <v/>
      </c>
      <c r="IW207" s="212" t="str">
        <f t="shared" si="591"/>
        <v/>
      </c>
      <c r="IX207" s="212" t="str">
        <f t="shared" si="592"/>
        <v/>
      </c>
      <c r="IY207" s="212" t="str">
        <f t="shared" si="721"/>
        <v/>
      </c>
      <c r="IZ207" s="212" t="str">
        <f t="shared" si="722"/>
        <v/>
      </c>
      <c r="JA207" s="212" t="str">
        <f t="shared" si="593"/>
        <v/>
      </c>
      <c r="JB207" s="210" t="str">
        <f t="shared" si="723"/>
        <v/>
      </c>
    </row>
    <row r="208" spans="1:262" s="210" customFormat="1" ht="20.25" customHeight="1" thickBot="1">
      <c r="A208" s="1235"/>
      <c r="B208" s="1236"/>
      <c r="C208" s="1236"/>
      <c r="D208" s="1236"/>
      <c r="E208" s="1236"/>
      <c r="F208" s="1237"/>
      <c r="G208" s="1237"/>
      <c r="H208" s="1237"/>
      <c r="I208" s="1237"/>
      <c r="J208" s="1237"/>
      <c r="K208" s="1237"/>
      <c r="L208" s="1237"/>
      <c r="M208" s="1237"/>
      <c r="N208" s="1237"/>
      <c r="O208" s="1237"/>
      <c r="P208" s="1237"/>
      <c r="Q208" s="1237"/>
      <c r="R208" s="1237"/>
      <c r="S208" s="1237"/>
      <c r="T208" s="1237"/>
      <c r="U208" s="1237"/>
      <c r="V208" s="1237"/>
      <c r="W208" s="1237"/>
      <c r="X208" s="1237"/>
      <c r="Y208" s="1237"/>
      <c r="Z208" s="1237"/>
      <c r="AA208" s="1237"/>
      <c r="AB208" s="1237"/>
      <c r="AC208" s="1237"/>
      <c r="AD208" s="1237"/>
      <c r="AE208" s="1237"/>
      <c r="AF208" s="1237"/>
      <c r="AG208" s="1237"/>
      <c r="AH208" s="1237"/>
      <c r="AI208" s="1237"/>
      <c r="AJ208" s="1237"/>
      <c r="AK208" s="1237"/>
      <c r="AL208" s="1237"/>
      <c r="AM208" s="1237"/>
      <c r="AN208" s="1237"/>
      <c r="AO208" s="1237"/>
      <c r="AP208" s="1237"/>
      <c r="AQ208" s="1237"/>
      <c r="AR208" s="1237"/>
      <c r="AS208" s="1237"/>
      <c r="AT208" s="1237"/>
      <c r="AU208" s="1237"/>
      <c r="AV208" s="1236"/>
      <c r="AW208" s="1236"/>
      <c r="AX208" s="1236"/>
      <c r="AY208" s="1236"/>
      <c r="AZ208" s="1236"/>
      <c r="BA208" s="1237"/>
      <c r="BB208" s="1237"/>
      <c r="BC208" s="1237"/>
      <c r="BD208" s="1237"/>
      <c r="BE208" s="1237"/>
      <c r="BF208" s="1237"/>
      <c r="BG208" s="1237"/>
      <c r="BH208" s="1237"/>
      <c r="BI208" s="1237"/>
      <c r="BJ208" s="1237"/>
      <c r="BK208" s="1237"/>
      <c r="BL208" s="1237"/>
      <c r="BM208" s="1237"/>
      <c r="BN208" s="1237"/>
      <c r="BO208" s="1237"/>
      <c r="BP208" s="1237"/>
      <c r="BQ208" s="1237"/>
      <c r="BR208" s="1237"/>
      <c r="BS208" s="1237"/>
      <c r="BT208" s="1237"/>
      <c r="BU208" s="1237"/>
      <c r="BV208" s="1237"/>
      <c r="BW208" s="1237"/>
      <c r="BX208" s="1237"/>
      <c r="BY208" s="1237"/>
      <c r="BZ208" s="1237"/>
      <c r="CA208" s="1237"/>
      <c r="CB208" s="1237"/>
      <c r="CC208" s="1237"/>
      <c r="CD208" s="1237"/>
      <c r="CE208" s="1237"/>
      <c r="CF208" s="1237"/>
      <c r="CG208" s="1237"/>
      <c r="CH208" s="1237"/>
      <c r="CI208" s="1237"/>
      <c r="CJ208" s="1237"/>
      <c r="CK208" s="1237"/>
      <c r="CL208" s="1237"/>
      <c r="CM208" s="1237"/>
      <c r="CN208" s="1237"/>
      <c r="CO208" s="1237"/>
      <c r="CP208" s="1237"/>
      <c r="CQ208" s="1237"/>
      <c r="CR208" s="1237"/>
      <c r="CS208" s="1237"/>
      <c r="CT208" s="1237"/>
      <c r="CU208" s="1237"/>
      <c r="CV208" s="1237"/>
      <c r="CW208" s="1237"/>
      <c r="CX208" s="1237"/>
      <c r="CY208" s="1237"/>
      <c r="CZ208" s="1237"/>
      <c r="DA208" s="1237"/>
      <c r="DB208" s="1237"/>
      <c r="DC208" s="1237"/>
      <c r="DD208" s="1237"/>
      <c r="DE208" s="1237"/>
      <c r="DF208" s="1237"/>
      <c r="DG208" s="1237"/>
      <c r="DH208" s="1237"/>
      <c r="DI208" s="1237"/>
      <c r="DJ208" s="1237"/>
      <c r="DK208" s="1237"/>
      <c r="DL208" s="1237"/>
      <c r="DM208" s="1237"/>
      <c r="DN208" s="1237"/>
      <c r="DO208" s="1237"/>
      <c r="DP208" s="1237"/>
      <c r="DQ208" s="1237"/>
      <c r="DR208" s="1237"/>
      <c r="DS208" s="1237"/>
      <c r="DT208" s="1237"/>
      <c r="DU208" s="1237"/>
      <c r="DV208" s="1237"/>
      <c r="DW208" s="1237"/>
      <c r="DX208" s="1237"/>
      <c r="DY208" s="1237"/>
      <c r="DZ208" s="1237"/>
      <c r="EA208" s="1237"/>
      <c r="EB208" s="1237"/>
      <c r="EC208" s="1237"/>
      <c r="ED208" s="1237"/>
      <c r="EE208" s="1237"/>
      <c r="EF208" s="1237"/>
      <c r="EG208" s="1237"/>
      <c r="EH208" s="1237"/>
      <c r="EI208" s="1237"/>
      <c r="EJ208" s="1237"/>
      <c r="EK208" s="1237"/>
      <c r="EL208" s="1237"/>
      <c r="EM208" s="1237"/>
      <c r="EN208" s="1237"/>
      <c r="EO208" s="1237"/>
      <c r="EP208" s="1237"/>
      <c r="EQ208" s="1237"/>
      <c r="ER208" s="1237"/>
      <c r="ES208" s="1237"/>
      <c r="ET208" s="1237"/>
      <c r="EU208" s="1237"/>
      <c r="EV208" s="1237"/>
      <c r="EW208" s="1237"/>
      <c r="EX208" s="1237"/>
      <c r="EY208" s="1237"/>
      <c r="EZ208" s="1237"/>
      <c r="FA208" s="1237"/>
      <c r="FB208" s="1237"/>
      <c r="FC208" s="1237"/>
      <c r="FD208" s="1237"/>
      <c r="FE208" s="1237"/>
      <c r="FF208" s="1237"/>
      <c r="FG208" s="1236"/>
      <c r="FH208" s="1237"/>
      <c r="FI208" s="1237"/>
      <c r="FJ208" s="1237"/>
      <c r="FK208" s="1237"/>
      <c r="FL208" s="1237"/>
      <c r="FM208" s="1237"/>
      <c r="FN208" s="1237"/>
      <c r="FO208" s="1237"/>
      <c r="FP208" s="1237"/>
      <c r="FQ208" s="1237"/>
      <c r="FR208" s="1237"/>
      <c r="FS208" s="1237"/>
      <c r="FT208" s="1237"/>
      <c r="FU208" s="1237"/>
      <c r="FV208" s="1237"/>
      <c r="FW208" s="1237"/>
      <c r="FX208" s="1237"/>
      <c r="FY208" s="1237"/>
      <c r="FZ208" s="1237"/>
      <c r="GA208" s="1237"/>
      <c r="GB208" s="1237"/>
      <c r="GC208" s="1237"/>
      <c r="GD208" s="1237"/>
      <c r="GE208" s="1237"/>
      <c r="GF208" s="1237"/>
      <c r="GG208" s="1237"/>
      <c r="GH208" s="1237"/>
      <c r="GI208" s="1237"/>
      <c r="GJ208" s="1237"/>
      <c r="GK208" s="1237"/>
      <c r="GL208" s="1237"/>
      <c r="GM208" s="1237"/>
      <c r="GN208" s="1237"/>
      <c r="GO208" s="1237"/>
      <c r="GP208" s="1237"/>
      <c r="GQ208" s="1237"/>
      <c r="GR208" s="1237"/>
      <c r="GS208" s="1237"/>
      <c r="GT208" s="1237"/>
      <c r="GU208" s="1237"/>
      <c r="GV208" s="1229" t="str">
        <f>IF('Master Sheet'!D11="Hindi","मुख्य परीक्षा परिणाम - 2023","Main Exam Result - 2023")</f>
        <v>मुख्य परीक्षा परिणाम - 2023</v>
      </c>
      <c r="GW208" s="1230"/>
      <c r="GX208" s="1230"/>
      <c r="GY208" s="1230"/>
      <c r="GZ208" s="1230"/>
      <c r="HA208" s="1230"/>
      <c r="HB208" s="1230"/>
      <c r="HC208" s="1231"/>
      <c r="HD208" s="630"/>
      <c r="HE208" s="1151" t="str">
        <f>IF('Master Sheet'!D11="Hindi","पूरक परीक्षा के पश्चात् अंतिम परिणाम- 2023","Final Result after Supplementary Exam Result 2023")</f>
        <v>पूरक परीक्षा के पश्चात् अंतिम परिणाम- 2023</v>
      </c>
      <c r="HF208" s="1152"/>
      <c r="HG208" s="1152"/>
      <c r="HH208" s="1152"/>
      <c r="HI208" s="1153"/>
      <c r="HY208" s="211" t="str">
        <f>IF('Supp. Result Entry'!U207="","",'Supp. Result Entry'!$U$6)</f>
        <v/>
      </c>
      <c r="HZ208" s="212" t="str">
        <f>IF('Supp. Result Entry'!X207="","",'Supp. Result Entry'!$X$6)</f>
        <v/>
      </c>
      <c r="IA208" s="212" t="str">
        <f>IF('Supp. Result Entry'!AA207="","",'Supp. Result Entry'!$AA$6)</f>
        <v/>
      </c>
      <c r="IB208" s="212" t="str">
        <f>IF('Supp. Result Entry'!AD207="","",'Supp. Result Entry'!$AD$6)</f>
        <v/>
      </c>
      <c r="IC208" s="212" t="str">
        <f>IF('Supp. Result Entry'!AG207="","",'Supp. Result Entry'!$AG$6)</f>
        <v/>
      </c>
      <c r="ID208" s="212" t="str">
        <f>IF('Supp. Result Entry'!AJ207="","",'Supp. Result Entry'!$AJ$6)</f>
        <v/>
      </c>
      <c r="IE208" s="212" t="str">
        <f>IF('Supp. Result Entry'!V207="","",'Supp. Result Entry'!V207)</f>
        <v/>
      </c>
      <c r="IF208" s="212" t="str">
        <f>IF('Supp. Result Entry'!Y207="","",'Supp. Result Entry'!Y207)</f>
        <v/>
      </c>
      <c r="IG208" s="212" t="str">
        <f>IF('Supp. Result Entry'!AB207="","",'Supp. Result Entry'!AB207)</f>
        <v/>
      </c>
      <c r="IH208" s="212" t="str">
        <f>IF('Supp. Result Entry'!AE207="","",'Supp. Result Entry'!AE207)</f>
        <v/>
      </c>
      <c r="II208" s="212" t="str">
        <f>IF('Supp. Result Entry'!AH207="","",'Supp. Result Entry'!AH207)</f>
        <v/>
      </c>
      <c r="IJ208" s="212" t="str">
        <f>IF('Supp. Result Entry'!AK207="","",'Supp. Result Entry'!AK207)</f>
        <v/>
      </c>
      <c r="IK208" s="212" t="str">
        <f>IF('Supp. Result Entry'!W207="","",'Supp. Result Entry'!W207)</f>
        <v/>
      </c>
      <c r="IL208" s="212" t="str">
        <f>IF('Supp. Result Entry'!Z207="","",'Supp. Result Entry'!Z207)</f>
        <v/>
      </c>
      <c r="IM208" s="212" t="str">
        <f>IF('Supp. Result Entry'!AC207="","",'Supp. Result Entry'!AC207)</f>
        <v/>
      </c>
      <c r="IN208" s="212" t="str">
        <f>IF('Supp. Result Entry'!AF207="","",'Supp. Result Entry'!AF207)</f>
        <v/>
      </c>
      <c r="IO208" s="212" t="str">
        <f>IF('Supp. Result Entry'!AI207="","",'Supp. Result Entry'!AI207)</f>
        <v/>
      </c>
      <c r="IP208" s="212" t="str">
        <f>IF('Supp. Result Entry'!AL207="","",'Supp. Result Entry'!AL207)</f>
        <v/>
      </c>
      <c r="IQ208" s="212">
        <f>COUNTIF('Supp. Result Entry'!K207:Q207,"S")</f>
        <v>0</v>
      </c>
      <c r="IR208" s="212">
        <f t="shared" si="719"/>
        <v>0</v>
      </c>
      <c r="IS208" s="212">
        <f t="shared" si="720"/>
        <v>0</v>
      </c>
      <c r="IT208" s="212" t="str">
        <f t="shared" si="588"/>
        <v/>
      </c>
      <c r="IU208" s="212" t="str">
        <f t="shared" si="589"/>
        <v/>
      </c>
      <c r="IV208" s="212" t="str">
        <f t="shared" si="590"/>
        <v/>
      </c>
      <c r="IW208" s="212" t="str">
        <f t="shared" si="591"/>
        <v/>
      </c>
      <c r="IX208" s="212" t="str">
        <f t="shared" si="592"/>
        <v/>
      </c>
      <c r="IY208" s="212" t="str">
        <f t="shared" si="721"/>
        <v/>
      </c>
      <c r="IZ208" s="212" t="str">
        <f t="shared" si="722"/>
        <v/>
      </c>
      <c r="JA208" s="212" t="str">
        <f t="shared" si="593"/>
        <v/>
      </c>
      <c r="JB208" s="210" t="str">
        <f t="shared" si="723"/>
        <v/>
      </c>
    </row>
    <row r="209" spans="1:262" s="222" customFormat="1" ht="30.75" customHeight="1">
      <c r="A209" s="1238" t="str">
        <f>IF('Master Sheet'!D11="Hindi","विषयवार सांख्यिकी सूचना","Subject-Wise Result Statistics")</f>
        <v>विषयवार सांख्यिकी सूचना</v>
      </c>
      <c r="B209" s="1239"/>
      <c r="C209" s="1239"/>
      <c r="D209" s="1239"/>
      <c r="E209" s="1240"/>
      <c r="F209" s="1247" t="str">
        <f>IF('Master Sheet'!D11="Hindi","विषय का नाम :","Subject Name :")</f>
        <v>विषय का नाम :</v>
      </c>
      <c r="G209" s="1247"/>
      <c r="H209" s="1249" t="s">
        <v>77</v>
      </c>
      <c r="I209" s="1249"/>
      <c r="J209" s="1250" t="str">
        <f>J3</f>
        <v>Com. Hindi</v>
      </c>
      <c r="K209" s="1250"/>
      <c r="L209" s="1250"/>
      <c r="M209" s="1250"/>
      <c r="N209" s="1250"/>
      <c r="O209" s="1250"/>
      <c r="P209" s="1250"/>
      <c r="Q209" s="1250"/>
      <c r="R209" s="1250"/>
      <c r="S209" s="1250"/>
      <c r="T209" s="1250"/>
      <c r="U209" s="1250"/>
      <c r="V209" s="1250"/>
      <c r="W209" s="1250"/>
      <c r="X209" s="1250" t="str">
        <f>X3</f>
        <v>Com. English</v>
      </c>
      <c r="Y209" s="1250"/>
      <c r="Z209" s="1250"/>
      <c r="AA209" s="1250"/>
      <c r="AB209" s="1250"/>
      <c r="AC209" s="1250"/>
      <c r="AD209" s="1250"/>
      <c r="AE209" s="1250"/>
      <c r="AF209" s="1250"/>
      <c r="AG209" s="1250"/>
      <c r="AH209" s="1250"/>
      <c r="AI209" s="1250"/>
      <c r="AJ209" s="1250"/>
      <c r="AK209" s="1250"/>
      <c r="AL209" s="1228" t="str">
        <f>AL3</f>
        <v>POLITICAL SCIENCE</v>
      </c>
      <c r="AM209" s="1228"/>
      <c r="AN209" s="1228"/>
      <c r="AO209" s="1228"/>
      <c r="AP209" s="1228"/>
      <c r="AQ209" s="1228" t="str">
        <f>AR3</f>
        <v>BIOLOGY</v>
      </c>
      <c r="AR209" s="1228"/>
      <c r="AS209" s="1228"/>
      <c r="AT209" s="1228"/>
      <c r="AU209" s="1228"/>
      <c r="AV209" s="1228" t="str">
        <f>AW3</f>
        <v/>
      </c>
      <c r="AW209" s="1228"/>
      <c r="AX209" s="1228"/>
      <c r="AY209" s="1228"/>
      <c r="AZ209" s="1228"/>
      <c r="BA209" s="214"/>
      <c r="BB209" s="215"/>
      <c r="BC209" s="215"/>
      <c r="BD209" s="215"/>
      <c r="BE209" s="1251"/>
      <c r="BF209" s="1251"/>
      <c r="BG209" s="1251"/>
      <c r="BH209" s="1251"/>
      <c r="BI209" s="1228" t="str">
        <f>BI3</f>
        <v>HISTORY</v>
      </c>
      <c r="BJ209" s="1228"/>
      <c r="BK209" s="1228"/>
      <c r="BL209" s="1228"/>
      <c r="BM209" s="1228"/>
      <c r="BN209" s="1228" t="str">
        <f>BO3</f>
        <v>ACCOUNTANCY</v>
      </c>
      <c r="BO209" s="1228" t="str">
        <f>BO3</f>
        <v>ACCOUNTANCY</v>
      </c>
      <c r="BP209" s="1228"/>
      <c r="BQ209" s="1228"/>
      <c r="BR209" s="1228"/>
      <c r="BS209" s="1228" t="str">
        <f>BT3</f>
        <v>ECONOMICS</v>
      </c>
      <c r="BT209" s="1228"/>
      <c r="BU209" s="1228"/>
      <c r="BV209" s="1228"/>
      <c r="BW209" s="1228"/>
      <c r="BX209" s="214"/>
      <c r="BY209" s="215"/>
      <c r="BZ209" s="215"/>
      <c r="CA209" s="215"/>
      <c r="CB209" s="1251"/>
      <c r="CC209" s="1251"/>
      <c r="CD209" s="1251"/>
      <c r="CE209" s="1251"/>
      <c r="CF209" s="1228" t="str">
        <f>CF3</f>
        <v>GEOGRAPHY</v>
      </c>
      <c r="CG209" s="1228"/>
      <c r="CH209" s="1228"/>
      <c r="CI209" s="1228"/>
      <c r="CJ209" s="1228"/>
      <c r="CK209" s="1228" t="str">
        <f>CL3</f>
        <v>HOME SCIENCE</v>
      </c>
      <c r="CL209" s="1228" t="str">
        <f>CL3</f>
        <v>HOME SCIENCE</v>
      </c>
      <c r="CM209" s="1228"/>
      <c r="CN209" s="1228"/>
      <c r="CO209" s="1228"/>
      <c r="CP209" s="1228" t="str">
        <f>CQ3</f>
        <v>TYPING</v>
      </c>
      <c r="CQ209" s="1228"/>
      <c r="CR209" s="1228"/>
      <c r="CS209" s="1228"/>
      <c r="CT209" s="1228"/>
      <c r="CU209" s="214"/>
      <c r="CV209" s="215"/>
      <c r="CW209" s="215"/>
      <c r="CX209" s="215"/>
      <c r="CY209" s="1232"/>
      <c r="CZ209" s="1232"/>
      <c r="DA209" s="1232"/>
      <c r="DB209" s="1232"/>
      <c r="DC209" s="216"/>
      <c r="DD209" s="1228" t="str">
        <f>DD3</f>
        <v/>
      </c>
      <c r="DE209" s="1228"/>
      <c r="DF209" s="1228"/>
      <c r="DG209" s="1228"/>
      <c r="DH209" s="1228"/>
      <c r="DI209" s="1228" t="str">
        <f>DK3</f>
        <v/>
      </c>
      <c r="DJ209" s="1228" t="e">
        <f>#REF!</f>
        <v>#REF!</v>
      </c>
      <c r="DK209" s="1228"/>
      <c r="DL209" s="1228"/>
      <c r="DM209" s="1228"/>
      <c r="DN209" s="1228" t="str">
        <f>DP3</f>
        <v/>
      </c>
      <c r="DO209" s="1228"/>
      <c r="DP209" s="1228"/>
      <c r="DQ209" s="1228"/>
      <c r="DR209" s="1228"/>
      <c r="DS209" s="1232" t="str">
        <f>EC4</f>
        <v>जीवन कौशल</v>
      </c>
      <c r="DT209" s="1232"/>
      <c r="DU209" s="1232"/>
      <c r="DV209" s="1232"/>
      <c r="DW209" s="1232"/>
      <c r="DX209" s="1232"/>
      <c r="DY209" s="1232"/>
      <c r="DZ209" s="1232"/>
      <c r="EA209" s="1232"/>
      <c r="EB209" s="1232"/>
      <c r="EC209" s="1232"/>
      <c r="ED209" s="1232"/>
      <c r="EE209" s="1232"/>
      <c r="EF209" s="1232"/>
      <c r="EG209" s="1232"/>
      <c r="EH209" s="1232"/>
      <c r="EI209" s="217"/>
      <c r="EJ209" s="217"/>
      <c r="EK209" s="217"/>
      <c r="EL209" s="218"/>
      <c r="EM209" s="218"/>
      <c r="EN209" s="218"/>
      <c r="EO209" s="218"/>
      <c r="EP209" s="218"/>
      <c r="EQ209" s="218"/>
      <c r="ER209" s="218"/>
      <c r="ES209" s="218"/>
      <c r="ET209" s="218"/>
      <c r="EU209" s="218"/>
      <c r="EV209" s="218"/>
      <c r="EW209" s="218"/>
      <c r="EX209" s="218"/>
      <c r="EY209" s="1267" t="str">
        <f>EY3</f>
        <v xml:space="preserve">आजादी के बाद का स्वर्णिम भारत </v>
      </c>
      <c r="EZ209" s="1268"/>
      <c r="FA209" s="1268"/>
      <c r="FB209" s="1268"/>
      <c r="FC209" s="1268"/>
      <c r="FD209" s="1268"/>
      <c r="FE209" s="1273"/>
      <c r="FF209" s="1274"/>
      <c r="FG209" s="219"/>
      <c r="FH209" s="219"/>
      <c r="FI209" s="219"/>
      <c r="FJ209" s="219"/>
      <c r="FK209" s="219"/>
      <c r="FL209" s="219"/>
      <c r="FM209" s="219"/>
      <c r="FN209" s="219"/>
      <c r="FO209" s="219"/>
      <c r="FP209" s="219"/>
      <c r="FQ209" s="219"/>
      <c r="FR209" s="219"/>
      <c r="FS209" s="219"/>
      <c r="FT209" s="219"/>
      <c r="FU209" s="219"/>
      <c r="FV209" s="219"/>
      <c r="FW209" s="219"/>
      <c r="FX209" s="219"/>
      <c r="FY209" s="219"/>
      <c r="FZ209" s="219"/>
      <c r="GA209" s="219"/>
      <c r="GB209" s="219"/>
      <c r="GC209" s="219"/>
      <c r="GD209" s="219"/>
      <c r="GE209" s="219"/>
      <c r="GF209" s="219"/>
      <c r="GG209" s="219"/>
      <c r="GH209" s="219"/>
      <c r="GI209" s="219"/>
      <c r="GJ209" s="219"/>
      <c r="GK209" s="219"/>
      <c r="GL209" s="219"/>
      <c r="GM209" s="219"/>
      <c r="GN209" s="219"/>
      <c r="GO209" s="219"/>
      <c r="GP209" s="219"/>
      <c r="GQ209" s="219"/>
      <c r="GR209" s="219"/>
      <c r="GS209" s="219"/>
      <c r="GT209" s="219"/>
      <c r="GU209" s="220"/>
      <c r="GV209" s="1226" t="str">
        <f>IF('Master Sheet'!D11="Hindi","परिणाम घोषित दिनांक","Date of result declaration")</f>
        <v>परिणाम घोषित दिनांक</v>
      </c>
      <c r="GW209" s="1227"/>
      <c r="GX209" s="221">
        <f>IF('Master Sheet'!D10="","",'Master Sheet'!D10)</f>
        <v>45419</v>
      </c>
      <c r="GY209" s="1206" t="str">
        <f>IF('Master Sheet'!D11="Hindi","कुल प्रविष्ट","Total appeared")</f>
        <v>कुल प्रविष्ट</v>
      </c>
      <c r="GZ209" s="1206"/>
      <c r="HA209" s="1206"/>
      <c r="HB209" s="1263">
        <f>COUNTA(GY8:GY207)-COUNTIF(GY8:GY207,"0")-COUNTIF(GY8:GY207,"blank")-COUNTIF(GY8:GY207,"")-COUNTIF(GY8:GY207,"NSO")</f>
        <v>11</v>
      </c>
      <c r="HC209" s="1264"/>
      <c r="HD209" s="631"/>
      <c r="HE209" s="1154" t="str">
        <f>IF('Master Sheet'!D11="Hindi","कुल प्रविष्ट","Total appeared")</f>
        <v>कुल प्रविष्ट</v>
      </c>
      <c r="HF209" s="1155"/>
      <c r="HG209" s="1155"/>
      <c r="HH209" s="601">
        <f>COUNTA(HH8:HH207)-COUNTIF(HH8:HH207,"0")-COUNTIF(HH8:HH207,"blank")-COUNTIF(HH8:HH207,"")-COUNTIF(HH8:HH207,"NSO")</f>
        <v>1</v>
      </c>
      <c r="HI209" s="645" t="s">
        <v>227</v>
      </c>
      <c r="HJ209" s="637"/>
      <c r="HY209" s="211" t="str">
        <f>IF('Supp. Result Entry'!U208="","",'Supp. Result Entry'!$U$6)</f>
        <v/>
      </c>
      <c r="HZ209" s="212" t="str">
        <f>IF('Supp. Result Entry'!X208="","",'Supp. Result Entry'!$X$6)</f>
        <v/>
      </c>
      <c r="IA209" s="212" t="str">
        <f>IF('Supp. Result Entry'!AA208="","",'Supp. Result Entry'!$AA$6)</f>
        <v/>
      </c>
      <c r="IB209" s="212" t="str">
        <f>IF('Supp. Result Entry'!AD208="","",'Supp. Result Entry'!$AD$6)</f>
        <v/>
      </c>
      <c r="IC209" s="212" t="str">
        <f>IF('Supp. Result Entry'!AG208="","",'Supp. Result Entry'!$AG$6)</f>
        <v/>
      </c>
      <c r="ID209" s="212" t="str">
        <f>IF('Supp. Result Entry'!AJ208="","",'Supp. Result Entry'!$AJ$6)</f>
        <v/>
      </c>
      <c r="IE209" s="212" t="str">
        <f>IF('Supp. Result Entry'!V208="","",'Supp. Result Entry'!V208)</f>
        <v/>
      </c>
      <c r="IF209" s="212" t="str">
        <f>IF('Supp. Result Entry'!Y208="","",'Supp. Result Entry'!Y208)</f>
        <v/>
      </c>
      <c r="IG209" s="212" t="str">
        <f>IF('Supp. Result Entry'!AB208="","",'Supp. Result Entry'!AB208)</f>
        <v/>
      </c>
      <c r="IH209" s="212" t="str">
        <f>IF('Supp. Result Entry'!AE208="","",'Supp. Result Entry'!AE208)</f>
        <v/>
      </c>
      <c r="II209" s="212" t="str">
        <f>IF('Supp. Result Entry'!AH208="","",'Supp. Result Entry'!AH208)</f>
        <v/>
      </c>
      <c r="IJ209" s="212" t="str">
        <f>IF('Supp. Result Entry'!AK208="","",'Supp. Result Entry'!AK208)</f>
        <v/>
      </c>
      <c r="IK209" s="212" t="str">
        <f>IF('Supp. Result Entry'!W208="","",'Supp. Result Entry'!W208)</f>
        <v/>
      </c>
      <c r="IL209" s="212" t="str">
        <f>IF('Supp. Result Entry'!Z208="","",'Supp. Result Entry'!Z208)</f>
        <v/>
      </c>
      <c r="IM209" s="212" t="str">
        <f>IF('Supp. Result Entry'!AC208="","",'Supp. Result Entry'!AC208)</f>
        <v/>
      </c>
      <c r="IN209" s="212" t="str">
        <f>IF('Supp. Result Entry'!AF208="","",'Supp. Result Entry'!AF208)</f>
        <v/>
      </c>
      <c r="IO209" s="212" t="str">
        <f>IF('Supp. Result Entry'!AI208="","",'Supp. Result Entry'!AI208)</f>
        <v/>
      </c>
      <c r="IP209" s="212" t="str">
        <f>IF('Supp. Result Entry'!AL208="","",'Supp. Result Entry'!AL208)</f>
        <v/>
      </c>
      <c r="IQ209" s="212">
        <f>COUNTIF('Supp. Result Entry'!K208:Q208,"S")</f>
        <v>0</v>
      </c>
      <c r="IR209" s="212">
        <f t="shared" si="719"/>
        <v>0</v>
      </c>
      <c r="IS209" s="212">
        <f t="shared" si="720"/>
        <v>0</v>
      </c>
      <c r="IT209" s="212" t="str">
        <f t="shared" si="588"/>
        <v/>
      </c>
      <c r="IU209" s="212" t="str">
        <f t="shared" si="589"/>
        <v/>
      </c>
      <c r="IV209" s="212" t="str">
        <f t="shared" si="590"/>
        <v/>
      </c>
      <c r="IW209" s="212" t="str">
        <f t="shared" si="591"/>
        <v/>
      </c>
      <c r="IX209" s="212" t="str">
        <f t="shared" si="592"/>
        <v/>
      </c>
      <c r="IY209" s="212" t="str">
        <f t="shared" si="721"/>
        <v/>
      </c>
      <c r="IZ209" s="212" t="str">
        <f t="shared" si="722"/>
        <v/>
      </c>
      <c r="JA209" s="212" t="str">
        <f t="shared" si="593"/>
        <v/>
      </c>
      <c r="JB209" s="210" t="str">
        <f t="shared" si="723"/>
        <v/>
      </c>
    </row>
    <row r="210" spans="1:262" s="229" customFormat="1" ht="24" customHeight="1">
      <c r="A210" s="1241"/>
      <c r="B210" s="1242"/>
      <c r="C210" s="1242"/>
      <c r="D210" s="1242"/>
      <c r="E210" s="1243"/>
      <c r="F210" s="1247" t="str">
        <f>IF('Master Sheet'!D11="Hindi","विषयाध्यापक का नाम :","Name Of Subject Teacher :")</f>
        <v>विषयाध्यापक का नाम :</v>
      </c>
      <c r="G210" s="1247"/>
      <c r="H210" s="1249" t="s">
        <v>77</v>
      </c>
      <c r="I210" s="1249"/>
      <c r="J210" s="1250" t="str">
        <f>IFERROR(IF('Marks Entry'!K3="","",UPPER('Marks Entry'!K3)),"")</f>
        <v>RADHESHYAM</v>
      </c>
      <c r="K210" s="1250"/>
      <c r="L210" s="1250"/>
      <c r="M210" s="1250"/>
      <c r="N210" s="1250"/>
      <c r="O210" s="1250"/>
      <c r="P210" s="1250"/>
      <c r="Q210" s="1250"/>
      <c r="R210" s="1250"/>
      <c r="S210" s="1250"/>
      <c r="T210" s="1250"/>
      <c r="U210" s="1250"/>
      <c r="V210" s="1250"/>
      <c r="W210" s="1250"/>
      <c r="X210" s="1250" t="str">
        <f>IFERROR(IF('Marks Entry'!P3="","",UPPER('Marks Entry'!P3)),"")</f>
        <v>HEERALAL JAT</v>
      </c>
      <c r="Y210" s="1250"/>
      <c r="Z210" s="1250"/>
      <c r="AA210" s="1250"/>
      <c r="AB210" s="1250"/>
      <c r="AC210" s="1250"/>
      <c r="AD210" s="1250"/>
      <c r="AE210" s="1250"/>
      <c r="AF210" s="1250"/>
      <c r="AG210" s="1250"/>
      <c r="AH210" s="1250"/>
      <c r="AI210" s="1250"/>
      <c r="AJ210" s="1250"/>
      <c r="AK210" s="1250"/>
      <c r="AL210" s="1228" t="str">
        <f>IFERROR(IF(AL209="","",VLOOKUP(AL209,'Master Sheet'!$G$6:$H$20,2,0)),"")</f>
        <v>Heeralal Jat</v>
      </c>
      <c r="AM210" s="1228"/>
      <c r="AN210" s="1228"/>
      <c r="AO210" s="1228"/>
      <c r="AP210" s="1228"/>
      <c r="AQ210" s="1228" t="str">
        <f>IFERROR(IF(AQ209="","",VLOOKUP(AQ209,'Master Sheet'!$G$6:$H$20,2,0)),"")</f>
        <v/>
      </c>
      <c r="AR210" s="1228"/>
      <c r="AS210" s="1228"/>
      <c r="AT210" s="1228"/>
      <c r="AU210" s="1228"/>
      <c r="AV210" s="1228" t="str">
        <f>IFERROR(IF(AV209="","",VLOOKUP(AV209,'Master Sheet'!$G$6:$H$20,2,0)),"")</f>
        <v/>
      </c>
      <c r="AW210" s="1228"/>
      <c r="AX210" s="1228"/>
      <c r="AY210" s="1228"/>
      <c r="AZ210" s="1228"/>
      <c r="BA210" s="223"/>
      <c r="BB210" s="224"/>
      <c r="BC210" s="224"/>
      <c r="BD210" s="224"/>
      <c r="BE210" s="225"/>
      <c r="BF210" s="225"/>
      <c r="BG210" s="225"/>
      <c r="BH210" s="226"/>
      <c r="BI210" s="1228" t="str">
        <f>IFERROR(IF(BI209="","",VLOOKUP(BI209,'Master Sheet'!$G$6:$H$20,2,0)),"")</f>
        <v>Rakesh Kumar</v>
      </c>
      <c r="BJ210" s="1228"/>
      <c r="BK210" s="1228"/>
      <c r="BL210" s="1228"/>
      <c r="BM210" s="1228"/>
      <c r="BN210" s="1228" t="str">
        <f>IFERROR(IF(BN209="","",VLOOKUP(BN209,'Master Sheet'!$G$6:$H$20,2,0)),"")</f>
        <v/>
      </c>
      <c r="BO210" s="1228"/>
      <c r="BP210" s="1228"/>
      <c r="BQ210" s="1228"/>
      <c r="BR210" s="1228"/>
      <c r="BS210" s="1228" t="str">
        <f>IFERROR(IF(BS209="","",VLOOKUP(BS209,'Master Sheet'!$G$6:$H$20,2,0)),"")</f>
        <v/>
      </c>
      <c r="BT210" s="1228"/>
      <c r="BU210" s="1228"/>
      <c r="BV210" s="1228"/>
      <c r="BW210" s="1228"/>
      <c r="BX210" s="223"/>
      <c r="BY210" s="224"/>
      <c r="BZ210" s="224"/>
      <c r="CA210" s="224"/>
      <c r="CB210" s="225"/>
      <c r="CC210" s="225"/>
      <c r="CD210" s="225"/>
      <c r="CE210" s="226"/>
      <c r="CF210" s="1228" t="str">
        <f>IFERROR(IF(CF209="","",VLOOKUP(CF209,'Master Sheet'!$G$6:$H$20,2,0)),"")</f>
        <v>Yogendra</v>
      </c>
      <c r="CG210" s="1228"/>
      <c r="CH210" s="1228"/>
      <c r="CI210" s="1228"/>
      <c r="CJ210" s="1228"/>
      <c r="CK210" s="1228" t="str">
        <f>IFERROR(IF(CK209="","",VLOOKUP(CK209,'Master Sheet'!$G$6:$H$20,2,0)),"")</f>
        <v/>
      </c>
      <c r="CL210" s="1228"/>
      <c r="CM210" s="1228"/>
      <c r="CN210" s="1228"/>
      <c r="CO210" s="1228"/>
      <c r="CP210" s="1228" t="str">
        <f>IFERROR(IF(CP209="","",VLOOKUP(CP209,'Master Sheet'!$G$6:$H$20,2,0)),"")</f>
        <v/>
      </c>
      <c r="CQ210" s="1228"/>
      <c r="CR210" s="1228"/>
      <c r="CS210" s="1228"/>
      <c r="CT210" s="1228"/>
      <c r="CU210" s="223"/>
      <c r="CV210" s="224"/>
      <c r="CW210" s="224"/>
      <c r="CX210" s="224"/>
      <c r="CY210" s="225"/>
      <c r="CZ210" s="225"/>
      <c r="DA210" s="225"/>
      <c r="DB210" s="226"/>
      <c r="DC210" s="225"/>
      <c r="DD210" s="1228" t="str">
        <f>IFERROR(IF(DD209="","",VLOOKUP(DD209,'Master Sheet'!$G$6:$H$20,2,0)),"")</f>
        <v/>
      </c>
      <c r="DE210" s="1228"/>
      <c r="DF210" s="1228"/>
      <c r="DG210" s="1228"/>
      <c r="DH210" s="1228"/>
      <c r="DI210" s="1228" t="str">
        <f>IFERROR(IF(DI209="","",VLOOKUP(DI209,'Master Sheet'!$G$6:$H$20,2,0)),"")</f>
        <v/>
      </c>
      <c r="DJ210" s="1228"/>
      <c r="DK210" s="1228"/>
      <c r="DL210" s="1228"/>
      <c r="DM210" s="1228"/>
      <c r="DN210" s="1228" t="str">
        <f>IFERROR(IF(DN209="","",VLOOKUP(DN209,'Master Sheet'!$G$6:$H$20,2,0)),"")</f>
        <v/>
      </c>
      <c r="DO210" s="1228"/>
      <c r="DP210" s="1228"/>
      <c r="DQ210" s="1228"/>
      <c r="DR210" s="1228"/>
      <c r="DS210" s="1252" t="str">
        <f>IFERROR(IF('Marks Entry'!BB3="","",'Marks Entry'!BB3),"")</f>
        <v>Lalit Kumar</v>
      </c>
      <c r="DT210" s="1252"/>
      <c r="DU210" s="1252"/>
      <c r="DV210" s="1252"/>
      <c r="DW210" s="1252"/>
      <c r="DX210" s="1252"/>
      <c r="DY210" s="1252"/>
      <c r="DZ210" s="1252"/>
      <c r="EA210" s="1252"/>
      <c r="EB210" s="1252"/>
      <c r="EC210" s="1252"/>
      <c r="ED210" s="1252"/>
      <c r="EE210" s="1252"/>
      <c r="EF210" s="1252"/>
      <c r="EG210" s="1252"/>
      <c r="EH210" s="1252"/>
      <c r="EI210" s="218"/>
      <c r="EJ210" s="218"/>
      <c r="EK210" s="218"/>
      <c r="EL210" s="218"/>
      <c r="EM210" s="218"/>
      <c r="EN210" s="218"/>
      <c r="EO210" s="218"/>
      <c r="EP210" s="218"/>
      <c r="EQ210" s="218"/>
      <c r="ER210" s="218"/>
      <c r="ES210" s="218"/>
      <c r="ET210" s="218"/>
      <c r="EU210" s="218"/>
      <c r="EV210" s="218"/>
      <c r="EW210" s="218"/>
      <c r="EX210" s="218"/>
      <c r="EY210" s="1269" t="str">
        <f>IFERROR(IF('Marks Entry'!BE2="","",'Marks Entry'!BE2),"")</f>
        <v>Pravin Kumar</v>
      </c>
      <c r="EZ210" s="1270"/>
      <c r="FA210" s="1270"/>
      <c r="FB210" s="1270"/>
      <c r="FC210" s="1270"/>
      <c r="FD210" s="1270"/>
      <c r="FE210" s="1275"/>
      <c r="FF210" s="1276"/>
      <c r="FG210" s="227"/>
      <c r="FH210" s="227"/>
      <c r="FI210" s="227"/>
      <c r="FJ210" s="227"/>
      <c r="FK210" s="227"/>
      <c r="FL210" s="227"/>
      <c r="FM210" s="227"/>
      <c r="FN210" s="227"/>
      <c r="FO210" s="227"/>
      <c r="FP210" s="227"/>
      <c r="FQ210" s="227"/>
      <c r="FR210" s="227"/>
      <c r="FS210" s="227"/>
      <c r="FT210" s="227"/>
      <c r="FU210" s="227"/>
      <c r="FV210" s="227"/>
      <c r="FW210" s="227"/>
      <c r="FX210" s="227"/>
      <c r="FY210" s="227"/>
      <c r="FZ210" s="227"/>
      <c r="GA210" s="227"/>
      <c r="GB210" s="227"/>
      <c r="GC210" s="227"/>
      <c r="GD210" s="227"/>
      <c r="GE210" s="227"/>
      <c r="GF210" s="227"/>
      <c r="GG210" s="227"/>
      <c r="GH210" s="227"/>
      <c r="GI210" s="227"/>
      <c r="GJ210" s="227"/>
      <c r="GK210" s="227"/>
      <c r="GL210" s="227"/>
      <c r="GM210" s="227"/>
      <c r="GN210" s="227"/>
      <c r="GO210" s="227"/>
      <c r="GP210" s="227"/>
      <c r="GQ210" s="227"/>
      <c r="GR210" s="227"/>
      <c r="GS210" s="227"/>
      <c r="GT210" s="227"/>
      <c r="GU210" s="228"/>
      <c r="GV210" s="1166" t="str">
        <f>IF('Master Sheet'!D11="Hindi","परिणाम तैयारकर्ता","Signature of the maker")</f>
        <v>परिणाम तैयारकर्ता</v>
      </c>
      <c r="GW210" s="1167"/>
      <c r="GX210" s="1208" t="str">
        <f>CONCATENATE("( ",UPPER('Master Sheet'!D16)," )")</f>
        <v>( SURESH KUMAR )</v>
      </c>
      <c r="GY210" s="1131" t="str">
        <f>IF('Master Sheet'!D11="Hindi","प्रथम श्रेणी","1st Div.")</f>
        <v>प्रथम श्रेणी</v>
      </c>
      <c r="GZ210" s="1131"/>
      <c r="HA210" s="1131"/>
      <c r="HB210" s="1174">
        <f>COUNTIF(HB8:HB207,"I")</f>
        <v>5</v>
      </c>
      <c r="HC210" s="1175"/>
      <c r="HD210" s="632"/>
      <c r="HE210" s="1161" t="str">
        <f>IF('Master Sheet'!D11="Hindi","प्रथम श्रेणी","1st Div.")</f>
        <v>प्रथम श्रेणी</v>
      </c>
      <c r="HF210" s="1131"/>
      <c r="HG210" s="1131"/>
      <c r="HH210" s="604">
        <f>COUNTIF(HG8:HG207,"I")</f>
        <v>0</v>
      </c>
      <c r="HI210" s="639">
        <f>SUM(HB210,HH210)</f>
        <v>5</v>
      </c>
      <c r="HY210" s="211" t="str">
        <f>IF('Supp. Result Entry'!U209="","",'Supp. Result Entry'!$U$6)</f>
        <v/>
      </c>
      <c r="HZ210" s="212" t="str">
        <f>IF('Supp. Result Entry'!X209="","",'Supp. Result Entry'!$X$6)</f>
        <v/>
      </c>
      <c r="IA210" s="212" t="str">
        <f>IF('Supp. Result Entry'!AA209="","",'Supp. Result Entry'!$AA$6)</f>
        <v/>
      </c>
      <c r="IB210" s="212" t="str">
        <f>IF('Supp. Result Entry'!AD209="","",'Supp. Result Entry'!$AD$6)</f>
        <v/>
      </c>
      <c r="IC210" s="212" t="str">
        <f>IF('Supp. Result Entry'!AG209="","",'Supp. Result Entry'!$AG$6)</f>
        <v/>
      </c>
      <c r="ID210" s="212" t="str">
        <f>IF('Supp. Result Entry'!AJ209="","",'Supp. Result Entry'!$AJ$6)</f>
        <v/>
      </c>
      <c r="IE210" s="212" t="str">
        <f>IF('Supp. Result Entry'!V209="","",'Supp. Result Entry'!V209)</f>
        <v/>
      </c>
      <c r="IF210" s="212" t="str">
        <f>IF('Supp. Result Entry'!Y209="","",'Supp. Result Entry'!Y209)</f>
        <v/>
      </c>
      <c r="IG210" s="212" t="str">
        <f>IF('Supp. Result Entry'!AB209="","",'Supp. Result Entry'!AB209)</f>
        <v/>
      </c>
      <c r="IH210" s="212" t="str">
        <f>IF('Supp. Result Entry'!AE209="","",'Supp. Result Entry'!AE209)</f>
        <v/>
      </c>
      <c r="II210" s="212" t="str">
        <f>IF('Supp. Result Entry'!AH209="","",'Supp. Result Entry'!AH209)</f>
        <v/>
      </c>
      <c r="IJ210" s="212" t="str">
        <f>IF('Supp. Result Entry'!AK209="","",'Supp. Result Entry'!AK209)</f>
        <v/>
      </c>
      <c r="IK210" s="212" t="str">
        <f>IF('Supp. Result Entry'!W209="","",'Supp. Result Entry'!W209)</f>
        <v/>
      </c>
      <c r="IL210" s="212" t="str">
        <f>IF('Supp. Result Entry'!Z209="","",'Supp. Result Entry'!Z209)</f>
        <v/>
      </c>
      <c r="IM210" s="212" t="str">
        <f>IF('Supp. Result Entry'!AC209="","",'Supp. Result Entry'!AC209)</f>
        <v/>
      </c>
      <c r="IN210" s="212" t="str">
        <f>IF('Supp. Result Entry'!AF209="","",'Supp. Result Entry'!AF209)</f>
        <v/>
      </c>
      <c r="IO210" s="212" t="str">
        <f>IF('Supp. Result Entry'!AI209="","",'Supp. Result Entry'!AI209)</f>
        <v/>
      </c>
      <c r="IP210" s="212" t="str">
        <f>IF('Supp. Result Entry'!AL209="","",'Supp. Result Entry'!AL209)</f>
        <v/>
      </c>
      <c r="IQ210" s="212">
        <f>COUNTIF('Supp. Result Entry'!K209:Q209,"S")</f>
        <v>0</v>
      </c>
      <c r="IR210" s="212">
        <f t="shared" si="719"/>
        <v>0</v>
      </c>
      <c r="IS210" s="212">
        <f t="shared" si="720"/>
        <v>0</v>
      </c>
      <c r="IT210" s="212" t="str">
        <f t="shared" si="588"/>
        <v/>
      </c>
      <c r="IU210" s="212" t="str">
        <f t="shared" si="589"/>
        <v/>
      </c>
      <c r="IV210" s="212" t="str">
        <f t="shared" si="590"/>
        <v/>
      </c>
      <c r="IW210" s="212" t="str">
        <f t="shared" si="591"/>
        <v/>
      </c>
      <c r="IX210" s="212" t="str">
        <f t="shared" si="592"/>
        <v/>
      </c>
      <c r="IY210" s="212" t="str">
        <f t="shared" si="721"/>
        <v/>
      </c>
      <c r="IZ210" s="212" t="str">
        <f t="shared" si="722"/>
        <v/>
      </c>
      <c r="JA210" s="212" t="str">
        <f t="shared" si="593"/>
        <v/>
      </c>
      <c r="JB210" s="210" t="str">
        <f t="shared" si="723"/>
        <v/>
      </c>
    </row>
    <row r="211" spans="1:262" s="235" customFormat="1" ht="21" customHeight="1">
      <c r="A211" s="1241"/>
      <c r="B211" s="1242"/>
      <c r="C211" s="1242"/>
      <c r="D211" s="1242"/>
      <c r="E211" s="1243"/>
      <c r="F211" s="1247" t="str">
        <f>IF('Master Sheet'!D11="Hindi","परीक्षा में बैठने वाले विद्यार्थियों की संख्या :","No. of students appeared :")</f>
        <v>परीक्षा में बैठने वाले विद्यार्थियों की संख्या :</v>
      </c>
      <c r="G211" s="1247"/>
      <c r="H211" s="1249" t="s">
        <v>77</v>
      </c>
      <c r="I211" s="1249"/>
      <c r="J211" s="1248">
        <f>IF(AND(J209="",J210=""),"",COUNTA(FJ8:FJ207)-COUNTIF(FJ8:FJ207,"RE")-COUNTIF(FJ8:FJ207,"AB")-COUNTIF(FJ8:FJ207,""))</f>
        <v>11</v>
      </c>
      <c r="K211" s="1248"/>
      <c r="L211" s="1248"/>
      <c r="M211" s="1248"/>
      <c r="N211" s="1248"/>
      <c r="O211" s="1248"/>
      <c r="P211" s="1248"/>
      <c r="Q211" s="1248"/>
      <c r="R211" s="1248"/>
      <c r="S211" s="1248"/>
      <c r="T211" s="1248"/>
      <c r="U211" s="1248"/>
      <c r="V211" s="1248"/>
      <c r="W211" s="1248"/>
      <c r="X211" s="1248">
        <f>IF(AND(X209="",X210=""),"",COUNTA(FM8:FM207)-COUNTIF(FM8:FM207,"RE")-COUNTIF(FM8:FM207,"AB")-COUNTIF(FM8:FM207,""))</f>
        <v>11</v>
      </c>
      <c r="Y211" s="1248"/>
      <c r="Z211" s="1248"/>
      <c r="AA211" s="1248"/>
      <c r="AB211" s="1248"/>
      <c r="AC211" s="1248"/>
      <c r="AD211" s="1248"/>
      <c r="AE211" s="1248"/>
      <c r="AF211" s="1248"/>
      <c r="AG211" s="1248"/>
      <c r="AH211" s="1248"/>
      <c r="AI211" s="1248"/>
      <c r="AJ211" s="1248"/>
      <c r="AK211" s="1248"/>
      <c r="AL211" s="1248">
        <f>IF(AND(AL209="",AL210=""),"",COUNTA(FQ8:FQ207)-COUNTIF(FQ8:FQ207,"RE")-COUNTIF(FQ8:FQ207,"AB")-COUNTIF(FQ8:FQ207,""))</f>
        <v>20</v>
      </c>
      <c r="AM211" s="1248"/>
      <c r="AN211" s="1248"/>
      <c r="AO211" s="1248"/>
      <c r="AP211" s="1248"/>
      <c r="AQ211" s="1248">
        <f>IF(AND(AQ209="",AQ210=""),"",COUNTA(FR8:FR207)-COUNTIF(FR8:FR207,"RE")-COUNTIF(FR8:FR207,"AB")-COUNTIF(FR8:FR207,""))</f>
        <v>10</v>
      </c>
      <c r="AR211" s="1248"/>
      <c r="AS211" s="1248"/>
      <c r="AT211" s="1248"/>
      <c r="AU211" s="1248"/>
      <c r="AV211" s="1248" t="str">
        <f>IF(AND(AV209="",AV210=""),"",COUNTA(FS8:FS207)-COUNTIF(FS8:FS207,"RE")-COUNTIF(FS8:FS207,"AB")-COUNTIF(FS8:FS207,""))</f>
        <v/>
      </c>
      <c r="AW211" s="1248"/>
      <c r="AX211" s="1248"/>
      <c r="AY211" s="1248"/>
      <c r="AZ211" s="1248"/>
      <c r="BA211" s="230"/>
      <c r="BB211" s="231"/>
      <c r="BC211" s="231"/>
      <c r="BD211" s="231"/>
      <c r="BE211" s="232"/>
      <c r="BF211" s="232"/>
      <c r="BG211" s="232"/>
      <c r="BH211" s="233"/>
      <c r="BI211" s="1248">
        <f>IF(AND(BI209="",BI210=""),"",COUNTA(FX8:FX207)-COUNTIF(FX8:FX207,"RE")-COUNTIF(FX8:FX207,"AB")-COUNTIF(FX8:FX207,""))</f>
        <v>15</v>
      </c>
      <c r="BJ211" s="1248"/>
      <c r="BK211" s="1248"/>
      <c r="BL211" s="1248"/>
      <c r="BM211" s="1248"/>
      <c r="BN211" s="1248">
        <f>IF(AND(BN209="",BN210=""),"",COUNTA(FY8:FY207)-COUNTIF(FY8:FY207,"RE")-COUNTIF(FY8:FY207,"AB")-COUNTIF(FY8:FY207,""))</f>
        <v>14</v>
      </c>
      <c r="BO211" s="1248"/>
      <c r="BP211" s="1248"/>
      <c r="BQ211" s="1248"/>
      <c r="BR211" s="1248"/>
      <c r="BS211" s="1248">
        <f>IF(AND(BS209="",BS210=""),"",COUNTA(FZ8:FZ207)-COUNTIF(FZ8:FZ207,"RE")-COUNTIF(FZ8:FZ207,"AB")-COUNTIF(FZ8:FZ207,""))</f>
        <v>1</v>
      </c>
      <c r="BT211" s="1248"/>
      <c r="BU211" s="1248"/>
      <c r="BV211" s="1248"/>
      <c r="BW211" s="1248"/>
      <c r="BX211" s="230"/>
      <c r="BY211" s="231"/>
      <c r="BZ211" s="231"/>
      <c r="CA211" s="231"/>
      <c r="CB211" s="232"/>
      <c r="CC211" s="232"/>
      <c r="CD211" s="232"/>
      <c r="CE211" s="233"/>
      <c r="CF211" s="1248">
        <f>IF(AND(CF209="",CF210=""),"",COUNTA(GE8:GE207)-COUNTIF(GE8:GE207,"RE")-COUNTIF(GE8:GE207,"AB")-COUNTIF(GE8:GE207,""))</f>
        <v>20</v>
      </c>
      <c r="CG211" s="1248"/>
      <c r="CH211" s="1248"/>
      <c r="CI211" s="1248"/>
      <c r="CJ211" s="1248"/>
      <c r="CK211" s="1248">
        <f>IF(AND(CK209="",CK210=""),"",COUNTA(GF8:GF207)-COUNTIF(GF8:GF207,"RE")-COUNTIF(GF8:GF207,"AB")-COUNTIF(GF8:GF207,""))</f>
        <v>1</v>
      </c>
      <c r="CL211" s="1248"/>
      <c r="CM211" s="1248"/>
      <c r="CN211" s="1248"/>
      <c r="CO211" s="1248"/>
      <c r="CP211" s="1248">
        <f>IF(AND(CP209="",CP210=""),"",COUNTA(GG8:GG207)-COUNTIF(GG8:GG207,"RE")-COUNTIF(GG8:GG207,"AB")-COUNTIF(GG8:GG207,""))</f>
        <v>0</v>
      </c>
      <c r="CQ211" s="1248"/>
      <c r="CR211" s="1248"/>
      <c r="CS211" s="1248"/>
      <c r="CT211" s="1248"/>
      <c r="CU211" s="230"/>
      <c r="CV211" s="231"/>
      <c r="CW211" s="231"/>
      <c r="CX211" s="231"/>
      <c r="CY211" s="232"/>
      <c r="CZ211" s="232"/>
      <c r="DA211" s="232"/>
      <c r="DB211" s="233"/>
      <c r="DC211" s="232"/>
      <c r="DD211" s="1248" t="str">
        <f>IF(AND(DD209="",DD210=""),"",COUNTA(GL8:GL207)-COUNTIF(GL8:GL207,"RE")-COUNTIF(GL8:GL207,"AB")-COUNTIF(GL8:GL207,""))</f>
        <v/>
      </c>
      <c r="DE211" s="1248"/>
      <c r="DF211" s="1248"/>
      <c r="DG211" s="1248"/>
      <c r="DH211" s="1248"/>
      <c r="DI211" s="1248" t="str">
        <f>IF(AND(DI209="",DI210=""),"",COUNTA(GM8:GM207)-COUNTIF(GM8:GM207,"RE")-COUNTIF(GM8:GM207,"AB")-COUNTIF(GM8:GM207,""))</f>
        <v/>
      </c>
      <c r="DJ211" s="1248"/>
      <c r="DK211" s="1248"/>
      <c r="DL211" s="1248"/>
      <c r="DM211" s="1248"/>
      <c r="DN211" s="1248" t="str">
        <f>IF(AND(DN209="",DN210=""),"",COUNTA(GN8:GN207)-COUNTIF(GN8:GN207,"RE")-COUNTIF(GN8:GN207,"AB")-COUNTIF(GN8:GN207,""))</f>
        <v/>
      </c>
      <c r="DO211" s="1248"/>
      <c r="DP211" s="1248"/>
      <c r="DQ211" s="1248"/>
      <c r="DR211" s="1248"/>
      <c r="DS211" s="1248">
        <f>IF(AND(DS209="",DS210=""),"",COUNTA(GR8:GR207)-COUNTIF(GR8:GR207,"RE")-COUNTIF(GR8:GR207,"AB")-COUNTIF(GR8:GR207,""))</f>
        <v>30</v>
      </c>
      <c r="DT211" s="1248"/>
      <c r="DU211" s="1248"/>
      <c r="DV211" s="1248"/>
      <c r="DW211" s="1248"/>
      <c r="DX211" s="1248"/>
      <c r="DY211" s="1248"/>
      <c r="DZ211" s="1248"/>
      <c r="EA211" s="1248"/>
      <c r="EB211" s="1248"/>
      <c r="EC211" s="1248"/>
      <c r="ED211" s="1248"/>
      <c r="EE211" s="1248"/>
      <c r="EF211" s="1248"/>
      <c r="EG211" s="1248"/>
      <c r="EH211" s="1248"/>
      <c r="EI211" s="234"/>
      <c r="EJ211" s="234"/>
      <c r="EK211" s="234"/>
      <c r="EL211" s="218"/>
      <c r="EM211" s="218"/>
      <c r="EN211" s="218"/>
      <c r="EO211" s="218"/>
      <c r="EP211" s="218"/>
      <c r="EQ211" s="218"/>
      <c r="ER211" s="218"/>
      <c r="ES211" s="218"/>
      <c r="ET211" s="218"/>
      <c r="EU211" s="218"/>
      <c r="EV211" s="218"/>
      <c r="EW211" s="218"/>
      <c r="EX211" s="218"/>
      <c r="EY211" s="1271">
        <f>IF(AND(EY209="",EY210=""),"",COUNTA(FF8:FF207)-COUNTIF(FF8:FF207,"RE")-COUNTIF(FF8:FF207,"AB")-COUNTIF(FF8:FF207,""))</f>
        <v>31</v>
      </c>
      <c r="EZ211" s="1272"/>
      <c r="FA211" s="1272"/>
      <c r="FB211" s="1272"/>
      <c r="FC211" s="1272"/>
      <c r="FD211" s="1272"/>
      <c r="FE211" s="1275"/>
      <c r="FF211" s="1276"/>
      <c r="FG211" s="227"/>
      <c r="FH211" s="227"/>
      <c r="FI211" s="227"/>
      <c r="FJ211" s="227"/>
      <c r="FK211" s="227"/>
      <c r="FL211" s="227"/>
      <c r="FM211" s="227"/>
      <c r="FN211" s="227"/>
      <c r="FO211" s="227"/>
      <c r="FP211" s="227"/>
      <c r="FQ211" s="227"/>
      <c r="FR211" s="227"/>
      <c r="FS211" s="227"/>
      <c r="FT211" s="227"/>
      <c r="FU211" s="227"/>
      <c r="FV211" s="227"/>
      <c r="FW211" s="227"/>
      <c r="FX211" s="227"/>
      <c r="FY211" s="227"/>
      <c r="FZ211" s="227"/>
      <c r="GA211" s="227"/>
      <c r="GB211" s="227"/>
      <c r="GC211" s="227"/>
      <c r="GD211" s="227"/>
      <c r="GE211" s="227"/>
      <c r="GF211" s="227"/>
      <c r="GG211" s="227"/>
      <c r="GH211" s="227"/>
      <c r="GI211" s="227"/>
      <c r="GJ211" s="227"/>
      <c r="GK211" s="227"/>
      <c r="GL211" s="227"/>
      <c r="GM211" s="227"/>
      <c r="GN211" s="227"/>
      <c r="GO211" s="227"/>
      <c r="GP211" s="227"/>
      <c r="GQ211" s="227"/>
      <c r="GR211" s="227"/>
      <c r="GS211" s="227"/>
      <c r="GT211" s="227"/>
      <c r="GU211" s="228"/>
      <c r="GV211" s="1166"/>
      <c r="GW211" s="1167"/>
      <c r="GX211" s="1209"/>
      <c r="GY211" s="1131" t="str">
        <f>IF('Master Sheet'!D11="Hindi","द्वितीय श्रेणी","2nd Div.")</f>
        <v>द्वितीय श्रेणी</v>
      </c>
      <c r="GZ211" s="1131"/>
      <c r="HA211" s="1131"/>
      <c r="HB211" s="1174">
        <f>COUNTIF(HB8:HB207,"II")</f>
        <v>1</v>
      </c>
      <c r="HC211" s="1175"/>
      <c r="HD211" s="632"/>
      <c r="HE211" s="1161" t="str">
        <f>IF('Master Sheet'!D11="Hindi","द्वितीय श्रेणी","2nd Div.")</f>
        <v>द्वितीय श्रेणी</v>
      </c>
      <c r="HF211" s="1131"/>
      <c r="HG211" s="1131"/>
      <c r="HH211" s="604">
        <f>COUNTIF(HG8:HG207,"II")</f>
        <v>0</v>
      </c>
      <c r="HI211" s="639">
        <f t="shared" ref="HI211:HI213" si="724">SUM(HB211,HH211)</f>
        <v>1</v>
      </c>
      <c r="HY211" s="211" t="str">
        <f>IF('Supp. Result Entry'!U210="","",'Supp. Result Entry'!$U$6)</f>
        <v/>
      </c>
      <c r="HZ211" s="212" t="str">
        <f>IF('Supp. Result Entry'!X210="","",'Supp. Result Entry'!$X$6)</f>
        <v/>
      </c>
      <c r="IA211" s="212" t="str">
        <f>IF('Supp. Result Entry'!AA210="","",'Supp. Result Entry'!$AA$6)</f>
        <v/>
      </c>
      <c r="IB211" s="212" t="str">
        <f>IF('Supp. Result Entry'!AD210="","",'Supp. Result Entry'!$AD$6)</f>
        <v/>
      </c>
      <c r="IC211" s="212" t="str">
        <f>IF('Supp. Result Entry'!AG210="","",'Supp. Result Entry'!$AG$6)</f>
        <v/>
      </c>
      <c r="ID211" s="212" t="str">
        <f>IF('Supp. Result Entry'!AJ210="","",'Supp. Result Entry'!$AJ$6)</f>
        <v/>
      </c>
      <c r="IE211" s="212" t="str">
        <f>IF('Supp. Result Entry'!V210="","",'Supp. Result Entry'!V210)</f>
        <v/>
      </c>
      <c r="IF211" s="212" t="str">
        <f>IF('Supp. Result Entry'!Y210="","",'Supp. Result Entry'!Y210)</f>
        <v/>
      </c>
      <c r="IG211" s="212" t="str">
        <f>IF('Supp. Result Entry'!AB210="","",'Supp. Result Entry'!AB210)</f>
        <v/>
      </c>
      <c r="IH211" s="212" t="str">
        <f>IF('Supp. Result Entry'!AE210="","",'Supp. Result Entry'!AE210)</f>
        <v/>
      </c>
      <c r="II211" s="212" t="str">
        <f>IF('Supp. Result Entry'!AH210="","",'Supp. Result Entry'!AH210)</f>
        <v/>
      </c>
      <c r="IJ211" s="212" t="str">
        <f>IF('Supp. Result Entry'!AK210="","",'Supp. Result Entry'!AK210)</f>
        <v/>
      </c>
      <c r="IK211" s="212" t="str">
        <f>IF('Supp. Result Entry'!W210="","",'Supp. Result Entry'!W210)</f>
        <v/>
      </c>
      <c r="IL211" s="212" t="str">
        <f>IF('Supp. Result Entry'!Z210="","",'Supp. Result Entry'!Z210)</f>
        <v/>
      </c>
      <c r="IM211" s="212" t="str">
        <f>IF('Supp. Result Entry'!AC210="","",'Supp. Result Entry'!AC210)</f>
        <v/>
      </c>
      <c r="IN211" s="212" t="str">
        <f>IF('Supp. Result Entry'!AF210="","",'Supp. Result Entry'!AF210)</f>
        <v/>
      </c>
      <c r="IO211" s="212" t="str">
        <f>IF('Supp. Result Entry'!AI210="","",'Supp. Result Entry'!AI210)</f>
        <v/>
      </c>
      <c r="IP211" s="212" t="str">
        <f>IF('Supp. Result Entry'!AL210="","",'Supp. Result Entry'!AL210)</f>
        <v/>
      </c>
      <c r="IQ211" s="212">
        <f>COUNTIF('Supp. Result Entry'!K210:Q210,"S")</f>
        <v>0</v>
      </c>
      <c r="IR211" s="212">
        <f t="shared" si="719"/>
        <v>0</v>
      </c>
      <c r="IS211" s="212">
        <f t="shared" si="720"/>
        <v>0</v>
      </c>
      <c r="IT211" s="212" t="str">
        <f t="shared" si="588"/>
        <v/>
      </c>
      <c r="IU211" s="212" t="str">
        <f t="shared" si="589"/>
        <v/>
      </c>
      <c r="IV211" s="212" t="str">
        <f t="shared" si="590"/>
        <v/>
      </c>
      <c r="IW211" s="212" t="str">
        <f t="shared" si="591"/>
        <v/>
      </c>
      <c r="IX211" s="212" t="str">
        <f t="shared" si="592"/>
        <v/>
      </c>
      <c r="IY211" s="212" t="str">
        <f t="shared" si="721"/>
        <v/>
      </c>
      <c r="IZ211" s="212" t="str">
        <f t="shared" si="722"/>
        <v/>
      </c>
      <c r="JA211" s="212" t="str">
        <f t="shared" si="593"/>
        <v/>
      </c>
      <c r="JB211" s="210" t="str">
        <f t="shared" si="723"/>
        <v/>
      </c>
    </row>
    <row r="212" spans="1:262" s="229" customFormat="1" ht="18.75" customHeight="1">
      <c r="A212" s="1241"/>
      <c r="B212" s="1242"/>
      <c r="C212" s="1242"/>
      <c r="D212" s="1242"/>
      <c r="E212" s="1243"/>
      <c r="F212" s="1247" t="str">
        <f>IF('Master Sheet'!D11="Hindi","ग्रेड :","Grade :")</f>
        <v>ग्रेड :</v>
      </c>
      <c r="G212" s="1247"/>
      <c r="H212" s="1249" t="s">
        <v>77</v>
      </c>
      <c r="I212" s="1249"/>
      <c r="J212" s="1258" t="s">
        <v>73</v>
      </c>
      <c r="K212" s="1258"/>
      <c r="L212" s="1258" t="s">
        <v>74</v>
      </c>
      <c r="M212" s="1258"/>
      <c r="N212" s="1258" t="s">
        <v>75</v>
      </c>
      <c r="O212" s="1258"/>
      <c r="P212" s="1254" t="s">
        <v>46</v>
      </c>
      <c r="Q212" s="1255"/>
      <c r="R212" s="1285"/>
      <c r="S212" s="1285"/>
      <c r="T212" s="1285"/>
      <c r="U212" s="1285"/>
      <c r="V212" s="236"/>
      <c r="W212" s="237"/>
      <c r="X212" s="1258" t="s">
        <v>73</v>
      </c>
      <c r="Y212" s="1258"/>
      <c r="Z212" s="1258" t="s">
        <v>74</v>
      </c>
      <c r="AA212" s="1258"/>
      <c r="AB212" s="1258" t="s">
        <v>75</v>
      </c>
      <c r="AC212" s="1258"/>
      <c r="AD212" s="1258" t="s">
        <v>46</v>
      </c>
      <c r="AE212" s="1258"/>
      <c r="AF212" s="1261"/>
      <c r="AG212" s="1261"/>
      <c r="AH212" s="1261"/>
      <c r="AI212" s="1261"/>
      <c r="AJ212" s="1261"/>
      <c r="AK212" s="1261"/>
      <c r="AL212" s="619" t="s">
        <v>73</v>
      </c>
      <c r="AM212" s="619" t="s">
        <v>74</v>
      </c>
      <c r="AN212" s="619" t="s">
        <v>75</v>
      </c>
      <c r="AO212" s="619" t="s">
        <v>111</v>
      </c>
      <c r="AP212" s="618" t="s">
        <v>46</v>
      </c>
      <c r="AQ212" s="619" t="s">
        <v>73</v>
      </c>
      <c r="AR212" s="619" t="s">
        <v>74</v>
      </c>
      <c r="AS212" s="619" t="s">
        <v>75</v>
      </c>
      <c r="AT212" s="619" t="s">
        <v>111</v>
      </c>
      <c r="AU212" s="618" t="s">
        <v>46</v>
      </c>
      <c r="AV212" s="619" t="s">
        <v>73</v>
      </c>
      <c r="AW212" s="619" t="s">
        <v>74</v>
      </c>
      <c r="AX212" s="619" t="s">
        <v>75</v>
      </c>
      <c r="AY212" s="619" t="s">
        <v>111</v>
      </c>
      <c r="AZ212" s="618" t="s">
        <v>46</v>
      </c>
      <c r="BA212" s="239" t="s">
        <v>73</v>
      </c>
      <c r="BB212" s="240" t="s">
        <v>74</v>
      </c>
      <c r="BC212" s="240" t="s">
        <v>75</v>
      </c>
      <c r="BD212" s="241" t="s">
        <v>64</v>
      </c>
      <c r="BE212" s="238"/>
      <c r="BF212" s="238"/>
      <c r="BG212" s="238"/>
      <c r="BH212" s="242"/>
      <c r="BI212" s="619" t="s">
        <v>73</v>
      </c>
      <c r="BJ212" s="619" t="s">
        <v>74</v>
      </c>
      <c r="BK212" s="619" t="s">
        <v>75</v>
      </c>
      <c r="BL212" s="619" t="s">
        <v>111</v>
      </c>
      <c r="BM212" s="618" t="s">
        <v>46</v>
      </c>
      <c r="BN212" s="619" t="s">
        <v>73</v>
      </c>
      <c r="BO212" s="619" t="s">
        <v>74</v>
      </c>
      <c r="BP212" s="619" t="s">
        <v>75</v>
      </c>
      <c r="BQ212" s="619" t="s">
        <v>111</v>
      </c>
      <c r="BR212" s="618" t="s">
        <v>46</v>
      </c>
      <c r="BS212" s="619" t="s">
        <v>73</v>
      </c>
      <c r="BT212" s="619" t="s">
        <v>74</v>
      </c>
      <c r="BU212" s="619" t="s">
        <v>75</v>
      </c>
      <c r="BV212" s="619" t="s">
        <v>111</v>
      </c>
      <c r="BW212" s="618" t="s">
        <v>46</v>
      </c>
      <c r="BX212" s="239" t="s">
        <v>73</v>
      </c>
      <c r="BY212" s="240" t="s">
        <v>74</v>
      </c>
      <c r="BZ212" s="240" t="s">
        <v>75</v>
      </c>
      <c r="CA212" s="241" t="s">
        <v>64</v>
      </c>
      <c r="CB212" s="238"/>
      <c r="CC212" s="238"/>
      <c r="CD212" s="238"/>
      <c r="CE212" s="242"/>
      <c r="CF212" s="619" t="s">
        <v>73</v>
      </c>
      <c r="CG212" s="619" t="s">
        <v>74</v>
      </c>
      <c r="CH212" s="619" t="s">
        <v>75</v>
      </c>
      <c r="CI212" s="619" t="s">
        <v>111</v>
      </c>
      <c r="CJ212" s="618" t="s">
        <v>46</v>
      </c>
      <c r="CK212" s="619" t="s">
        <v>46</v>
      </c>
      <c r="CL212" s="619" t="s">
        <v>73</v>
      </c>
      <c r="CM212" s="619" t="s">
        <v>75</v>
      </c>
      <c r="CN212" s="619" t="s">
        <v>111</v>
      </c>
      <c r="CO212" s="618" t="s">
        <v>46</v>
      </c>
      <c r="CP212" s="619" t="s">
        <v>73</v>
      </c>
      <c r="CQ212" s="619" t="s">
        <v>74</v>
      </c>
      <c r="CR212" s="619" t="s">
        <v>75</v>
      </c>
      <c r="CS212" s="619" t="s">
        <v>111</v>
      </c>
      <c r="CT212" s="629" t="s">
        <v>46</v>
      </c>
      <c r="CU212" s="239" t="s">
        <v>73</v>
      </c>
      <c r="CV212" s="240" t="s">
        <v>74</v>
      </c>
      <c r="CW212" s="240" t="s">
        <v>75</v>
      </c>
      <c r="CX212" s="241" t="s">
        <v>64</v>
      </c>
      <c r="CY212" s="238"/>
      <c r="CZ212" s="238"/>
      <c r="DA212" s="238"/>
      <c r="DB212" s="242"/>
      <c r="DC212" s="238"/>
      <c r="DD212" s="619" t="s">
        <v>73</v>
      </c>
      <c r="DE212" s="619" t="s">
        <v>74</v>
      </c>
      <c r="DF212" s="619" t="s">
        <v>75</v>
      </c>
      <c r="DG212" s="619" t="s">
        <v>111</v>
      </c>
      <c r="DH212" s="629" t="s">
        <v>46</v>
      </c>
      <c r="DI212" s="619" t="s">
        <v>73</v>
      </c>
      <c r="DJ212" s="619" t="s">
        <v>74</v>
      </c>
      <c r="DK212" s="619" t="s">
        <v>75</v>
      </c>
      <c r="DL212" s="619" t="s">
        <v>111</v>
      </c>
      <c r="DM212" s="629" t="s">
        <v>46</v>
      </c>
      <c r="DN212" s="619" t="s">
        <v>73</v>
      </c>
      <c r="DO212" s="619" t="s">
        <v>74</v>
      </c>
      <c r="DP212" s="619" t="s">
        <v>75</v>
      </c>
      <c r="DQ212" s="619" t="s">
        <v>111</v>
      </c>
      <c r="DR212" s="629" t="s">
        <v>46</v>
      </c>
      <c r="DS212" s="238" t="s">
        <v>6</v>
      </c>
      <c r="DT212" s="238" t="s">
        <v>44</v>
      </c>
      <c r="DU212" s="238"/>
      <c r="DV212" s="238"/>
      <c r="DW212" s="238"/>
      <c r="DX212" s="238"/>
      <c r="DY212" s="238"/>
      <c r="DZ212" s="238"/>
      <c r="EA212" s="238"/>
      <c r="EB212" s="238"/>
      <c r="EC212" s="238" t="s">
        <v>76</v>
      </c>
      <c r="ED212" s="238" t="s">
        <v>72</v>
      </c>
      <c r="EE212" s="238" t="s">
        <v>216</v>
      </c>
      <c r="EF212" s="238" t="s">
        <v>46</v>
      </c>
      <c r="EG212" s="238"/>
      <c r="EH212" s="243"/>
      <c r="EI212" s="244"/>
      <c r="EJ212" s="244"/>
      <c r="EK212" s="244"/>
      <c r="EL212" s="218"/>
      <c r="EM212" s="218"/>
      <c r="EN212" s="218"/>
      <c r="EO212" s="218"/>
      <c r="EP212" s="218"/>
      <c r="EQ212" s="218"/>
      <c r="ER212" s="218"/>
      <c r="ES212" s="218"/>
      <c r="ET212" s="218"/>
      <c r="EU212" s="218"/>
      <c r="EV212" s="218"/>
      <c r="EW212" s="218"/>
      <c r="EX212" s="218"/>
      <c r="EY212" s="245" t="s">
        <v>6</v>
      </c>
      <c r="EZ212" s="245" t="s">
        <v>44</v>
      </c>
      <c r="FA212" s="245" t="s">
        <v>76</v>
      </c>
      <c r="FB212" s="245" t="s">
        <v>72</v>
      </c>
      <c r="FC212" s="245" t="s">
        <v>76</v>
      </c>
      <c r="FD212" s="594" t="s">
        <v>46</v>
      </c>
      <c r="FE212" s="1275"/>
      <c r="FF212" s="1276"/>
      <c r="FG212" s="227"/>
      <c r="FH212" s="227"/>
      <c r="FI212" s="227"/>
      <c r="FJ212" s="227"/>
      <c r="FK212" s="227"/>
      <c r="FL212" s="227"/>
      <c r="FM212" s="227"/>
      <c r="FN212" s="227"/>
      <c r="FO212" s="227"/>
      <c r="FP212" s="227"/>
      <c r="FQ212" s="227"/>
      <c r="FR212" s="227"/>
      <c r="FS212" s="227"/>
      <c r="FT212" s="227"/>
      <c r="FU212" s="227"/>
      <c r="FV212" s="227"/>
      <c r="FW212" s="227"/>
      <c r="FX212" s="227"/>
      <c r="FY212" s="227"/>
      <c r="FZ212" s="227"/>
      <c r="GA212" s="227"/>
      <c r="GB212" s="227"/>
      <c r="GC212" s="227"/>
      <c r="GD212" s="227"/>
      <c r="GE212" s="227"/>
      <c r="GF212" s="227"/>
      <c r="GG212" s="227"/>
      <c r="GH212" s="227"/>
      <c r="GI212" s="227"/>
      <c r="GJ212" s="227"/>
      <c r="GK212" s="227"/>
      <c r="GL212" s="227"/>
      <c r="GM212" s="227"/>
      <c r="GN212" s="227"/>
      <c r="GO212" s="227"/>
      <c r="GP212" s="227"/>
      <c r="GQ212" s="227"/>
      <c r="GR212" s="227"/>
      <c r="GS212" s="227"/>
      <c r="GT212" s="227"/>
      <c r="GU212" s="228"/>
      <c r="GV212" s="1166" t="str">
        <f>IF('Master Sheet'!D11="Hindi","हस्ताक्षर कक्षाध्यापक","Signature of the class teacher")</f>
        <v>हस्ताक्षर कक्षाध्यापक</v>
      </c>
      <c r="GW212" s="1167"/>
      <c r="GX212" s="1176" t="str">
        <f>CONCATENATE("( ",UPPER('Master Sheet'!D17)," )")</f>
        <v>( YOGESH )</v>
      </c>
      <c r="GY212" s="1131" t="str">
        <f>IF('Master Sheet'!D11="Hindi","तृतीय श्रेणी","3rd Div.")</f>
        <v>तृतीय श्रेणी</v>
      </c>
      <c r="GZ212" s="1131"/>
      <c r="HA212" s="1131"/>
      <c r="HB212" s="1174">
        <f>COUNTIF(HB8:HB207,"III")</f>
        <v>3</v>
      </c>
      <c r="HC212" s="1175"/>
      <c r="HD212" s="633"/>
      <c r="HE212" s="1161" t="str">
        <f>IF('Master Sheet'!D11="Hindi","तृतीय श्रेणी","3rd Div.")</f>
        <v>तृतीय श्रेणी</v>
      </c>
      <c r="HF212" s="1131"/>
      <c r="HG212" s="1131"/>
      <c r="HH212" s="604">
        <f>COUNTIF(HG8:HG207,"III")</f>
        <v>1</v>
      </c>
      <c r="HI212" s="639">
        <f t="shared" si="724"/>
        <v>4</v>
      </c>
      <c r="HY212" s="211" t="str">
        <f>IF('Supp. Result Entry'!U211="","",'Supp. Result Entry'!$U$6)</f>
        <v/>
      </c>
      <c r="HZ212" s="212" t="str">
        <f>IF('Supp. Result Entry'!X211="","",'Supp. Result Entry'!$X$6)</f>
        <v/>
      </c>
      <c r="IA212" s="212" t="str">
        <f>IF('Supp. Result Entry'!AA211="","",'Supp. Result Entry'!$AA$6)</f>
        <v/>
      </c>
      <c r="IB212" s="212" t="str">
        <f>IF('Supp. Result Entry'!AD211="","",'Supp. Result Entry'!$AD$6)</f>
        <v/>
      </c>
      <c r="IC212" s="212" t="str">
        <f>IF('Supp. Result Entry'!AG211="","",'Supp. Result Entry'!$AG$6)</f>
        <v/>
      </c>
      <c r="ID212" s="212" t="str">
        <f>IF('Supp. Result Entry'!AJ211="","",'Supp. Result Entry'!$AJ$6)</f>
        <v/>
      </c>
      <c r="IE212" s="212" t="str">
        <f>IF('Supp. Result Entry'!V211="","",'Supp. Result Entry'!V211)</f>
        <v/>
      </c>
      <c r="IF212" s="212" t="str">
        <f>IF('Supp. Result Entry'!Y211="","",'Supp. Result Entry'!Y211)</f>
        <v/>
      </c>
      <c r="IG212" s="212" t="str">
        <f>IF('Supp. Result Entry'!AB211="","",'Supp. Result Entry'!AB211)</f>
        <v/>
      </c>
      <c r="IH212" s="212" t="str">
        <f>IF('Supp. Result Entry'!AE211="","",'Supp. Result Entry'!AE211)</f>
        <v/>
      </c>
      <c r="II212" s="212" t="str">
        <f>IF('Supp. Result Entry'!AH211="","",'Supp. Result Entry'!AH211)</f>
        <v/>
      </c>
      <c r="IJ212" s="212" t="str">
        <f>IF('Supp. Result Entry'!AK211="","",'Supp. Result Entry'!AK211)</f>
        <v/>
      </c>
      <c r="IK212" s="212" t="str">
        <f>IF('Supp. Result Entry'!W211="","",'Supp. Result Entry'!W211)</f>
        <v/>
      </c>
      <c r="IL212" s="212" t="str">
        <f>IF('Supp. Result Entry'!Z211="","",'Supp. Result Entry'!Z211)</f>
        <v/>
      </c>
      <c r="IM212" s="212" t="str">
        <f>IF('Supp. Result Entry'!AC211="","",'Supp. Result Entry'!AC211)</f>
        <v/>
      </c>
      <c r="IN212" s="212" t="str">
        <f>IF('Supp. Result Entry'!AF211="","",'Supp. Result Entry'!AF211)</f>
        <v/>
      </c>
      <c r="IO212" s="212" t="str">
        <f>IF('Supp. Result Entry'!AI211="","",'Supp. Result Entry'!AI211)</f>
        <v/>
      </c>
      <c r="IP212" s="212" t="str">
        <f>IF('Supp. Result Entry'!AL211="","",'Supp. Result Entry'!AL211)</f>
        <v/>
      </c>
      <c r="IQ212" s="212">
        <f>COUNTIF('Supp. Result Entry'!K211:Q211,"S")</f>
        <v>0</v>
      </c>
      <c r="IR212" s="212">
        <f t="shared" si="719"/>
        <v>0</v>
      </c>
      <c r="IS212" s="212">
        <f t="shared" si="720"/>
        <v>0</v>
      </c>
      <c r="IT212" s="212" t="str">
        <f t="shared" si="588"/>
        <v/>
      </c>
      <c r="IU212" s="212" t="str">
        <f t="shared" si="589"/>
        <v/>
      </c>
      <c r="IV212" s="212" t="str">
        <f t="shared" si="590"/>
        <v/>
      </c>
      <c r="IW212" s="212" t="str">
        <f t="shared" si="591"/>
        <v/>
      </c>
      <c r="IX212" s="212" t="str">
        <f t="shared" si="592"/>
        <v/>
      </c>
      <c r="IY212" s="212" t="str">
        <f t="shared" si="721"/>
        <v/>
      </c>
      <c r="IZ212" s="212" t="str">
        <f t="shared" si="722"/>
        <v/>
      </c>
      <c r="JA212" s="212" t="str">
        <f t="shared" si="593"/>
        <v/>
      </c>
      <c r="JB212" s="210" t="str">
        <f t="shared" si="723"/>
        <v/>
      </c>
    </row>
    <row r="213" spans="1:262" s="229" customFormat="1" ht="18.75" customHeight="1">
      <c r="A213" s="1241"/>
      <c r="B213" s="1242"/>
      <c r="C213" s="1242"/>
      <c r="D213" s="1242"/>
      <c r="E213" s="1243"/>
      <c r="F213" s="1247" t="str">
        <f>IF('Master Sheet'!D11="Hindi","ग्रेडवार उत्तीर्ण विद्यार्थी :","Total Passed Grade wise :")</f>
        <v>ग्रेडवार उत्तीर्ण विद्यार्थी :</v>
      </c>
      <c r="G213" s="1247"/>
      <c r="H213" s="1249" t="s">
        <v>77</v>
      </c>
      <c r="I213" s="1249"/>
      <c r="J213" s="1259">
        <f>IF(AND(J209="",J210=""),"",COUNTIF(FJ8:FJ207,"D")+COUNTIF(FJ8:FJ207,"I"))</f>
        <v>3</v>
      </c>
      <c r="K213" s="1259"/>
      <c r="L213" s="1259">
        <f>IF(AND(J209="",J210=""),"",COUNTIF(FJ8:FJ207,"II"))</f>
        <v>7</v>
      </c>
      <c r="M213" s="1259"/>
      <c r="N213" s="1259">
        <f>IF(AND(J209="",J210=""),"",COUNTIF(FJ8:FJ207,"III"))+IF(AND(J209="",J210=""),"",COUNTIF(FJ8:FJ207,"G"))</f>
        <v>1</v>
      </c>
      <c r="O213" s="1259"/>
      <c r="P213" s="1256">
        <f>IF(AND(J209="",J210=""),"",SUM(J213,L213,N213))</f>
        <v>11</v>
      </c>
      <c r="Q213" s="1257"/>
      <c r="R213" s="1286"/>
      <c r="S213" s="1286"/>
      <c r="T213" s="1286"/>
      <c r="U213" s="1286"/>
      <c r="V213" s="627"/>
      <c r="W213" s="628"/>
      <c r="X213" s="1259">
        <f>IF(AND(X209="",X210=""),"",COUNTIF(FM8:FM207,"D")+COUNTIF(FM8:FM207,"I"))</f>
        <v>8</v>
      </c>
      <c r="Y213" s="1259"/>
      <c r="Z213" s="1259">
        <f>IF(AND(X209="",X210=""),"",COUNTIF(FM8:FM207,"II"))</f>
        <v>3</v>
      </c>
      <c r="AA213" s="1259"/>
      <c r="AB213" s="1259">
        <f>IF(AND(X209="",X210=""),"",COUNTIF(FM8:FM207,"III"))+IF(AND(X209="",X210=""),"",COUNTIF(FM8:FM207,"G"))</f>
        <v>0</v>
      </c>
      <c r="AC213" s="1259"/>
      <c r="AD213" s="1260">
        <f>IF(AND(X209="",X210=""),"",SUM(X213,Z213,AB213))</f>
        <v>11</v>
      </c>
      <c r="AE213" s="1260"/>
      <c r="AF213" s="1228"/>
      <c r="AG213" s="1228"/>
      <c r="AH213" s="1228"/>
      <c r="AI213" s="1228"/>
      <c r="AJ213" s="1228"/>
      <c r="AK213" s="1228"/>
      <c r="AL213" s="620">
        <f>IF(AND(AL209="",AL210=""),"",COUNTIF(FQ8:FQ207,"I")+COUNTIF(FQ8:FQ207,"D"))</f>
        <v>4</v>
      </c>
      <c r="AM213" s="620">
        <f>IF(AND(AL209="",AL210=""),"",COUNTIF(FQ8:FQ207,"II"))</f>
        <v>9</v>
      </c>
      <c r="AN213" s="620">
        <f>IF(AND(AL209="",AL210=""),"",COUNTIF(FQ8:FQ207,"III"))</f>
        <v>3</v>
      </c>
      <c r="AO213" s="620">
        <f>IF(AND(AL209="",AL210=""),"",COUNTIF(FQ8:FQ207,"G"))</f>
        <v>2</v>
      </c>
      <c r="AP213" s="623">
        <f>IF(AND(AL210="",AL211=""),"",SUM(AL213,AM213,AN213,AO213))</f>
        <v>18</v>
      </c>
      <c r="AQ213" s="620">
        <f>IF(AND(AQ209="",AQ210=""),"",COUNTIF(FR8:FR207,"I")+COUNTIF(FR8:FR207,"D"))</f>
        <v>6</v>
      </c>
      <c r="AR213" s="620">
        <f>IF(AND(AQ209="",AQ210=""),"",COUNTIF(FR8:FR207,"II"))</f>
        <v>3</v>
      </c>
      <c r="AS213" s="620">
        <f>IF(AND(AQ209="",AQ210=""),"",COUNTIF(FR8:FR207,"III"))</f>
        <v>0</v>
      </c>
      <c r="AT213" s="620">
        <f>IF(AND(AQ209="",AQ210=""),"",COUNTIF(FR8:FR207,"G"))</f>
        <v>0</v>
      </c>
      <c r="AU213" s="623">
        <f>IF(AND(AQ210="",AQ211=""),"",SUM(AQ213,AR213,AS213,AT213))</f>
        <v>9</v>
      </c>
      <c r="AV213" s="621" t="str">
        <f>IF(AND(AV209="",AV210=""),"",COUNTIF(FS8:FS207,"I")+COUNTIF(FS8:FS207,"D"))</f>
        <v/>
      </c>
      <c r="AW213" s="621" t="str">
        <f>IF(AND(AV209="",AV210=""),"",COUNTIF(FS8:FS207,"II"))</f>
        <v/>
      </c>
      <c r="AX213" s="621" t="str">
        <f>IF(AND(AV209="",AV210=""),"",COUNTIF(FS8:FS207,"III"))</f>
        <v/>
      </c>
      <c r="AY213" s="622" t="str">
        <f>IF(AND(AV209="",AV210=""),"",COUNTIF(FS8:FS207,"G"))</f>
        <v/>
      </c>
      <c r="AZ213" s="623" t="str">
        <f>IF(AND(AV210="",AV211=""),"",SUM(AV213,AW213,AX213,AY213))</f>
        <v/>
      </c>
      <c r="BA213" s="624">
        <f>COUNTIF(FT8:FT207,"I")</f>
        <v>0</v>
      </c>
      <c r="BB213" s="625">
        <f>COUNTIF(FT8:FT207,"II")</f>
        <v>0</v>
      </c>
      <c r="BC213" s="625">
        <f>COUNTIF(FT8:FT207,"III")+COUNTIF(FT8:FT207,"G")</f>
        <v>0</v>
      </c>
      <c r="BD213" s="625">
        <f>SUM(AZ213,BA213,BB213,BC213)</f>
        <v>0</v>
      </c>
      <c r="BE213" s="620"/>
      <c r="BF213" s="620"/>
      <c r="BG213" s="620"/>
      <c r="BH213" s="626"/>
      <c r="BI213" s="620">
        <f>IF(AND(BI209="",BI210=""),"",COUNTIF(FX8:FX207,"I")+COUNTIF(FX8:FX207,"D"))</f>
        <v>4</v>
      </c>
      <c r="BJ213" s="620">
        <f>IF(AND(BI209="",BI210=""),"",COUNTIF(FX8:FX207,"II"))</f>
        <v>8</v>
      </c>
      <c r="BK213" s="620">
        <f>IF(AND(BI209="",BI210=""),"",COUNTIF(FX8:FX207,"III"))</f>
        <v>2</v>
      </c>
      <c r="BL213" s="620">
        <f>IF(AND(BI209="",BI210=""),"",COUNTIF(FX8:FX207,"G"))</f>
        <v>0</v>
      </c>
      <c r="BM213" s="623">
        <f>IF(AND(BI210="",BI211=""),"",SUM(BI213,BJ213,BK213,BL213))</f>
        <v>14</v>
      </c>
      <c r="BN213" s="620">
        <f>IF(AND(BN209="",BN210=""),"",COUNTIF(FY8:FY207,"I")+COUNTIF(FY8:FY207,"D"))</f>
        <v>8</v>
      </c>
      <c r="BO213" s="620">
        <f>IF(AND(BN209="",BN210=""),"",COUNTIF(FY8:FY207,"II"))</f>
        <v>6</v>
      </c>
      <c r="BP213" s="620">
        <f>IF(AND(BN209="",BN210=""),"",COUNTIF(FY8:FY207,"III"))</f>
        <v>0</v>
      </c>
      <c r="BQ213" s="620">
        <f>IF(AND(BN209="",BN210=""),"",COUNTIF(FY8:FY207,"G"))</f>
        <v>0</v>
      </c>
      <c r="BR213" s="623">
        <f>IF(AND(BN210="",BN211=""),"",SUM(BN213,BO213,BP213,BQ213))</f>
        <v>14</v>
      </c>
      <c r="BS213" s="621">
        <f>IF(AND(BS209="",BS210=""),"",COUNTIF(FZ8:FZ207,"I")+COUNTIF(FZ8:FZ207,"D"))</f>
        <v>1</v>
      </c>
      <c r="BT213" s="621">
        <f>IF(AND(BS209="",BS210=""),"",COUNTIF(FZ8:FZ207,"II"))</f>
        <v>0</v>
      </c>
      <c r="BU213" s="621">
        <f>IF(AND(BS209="",BS210=""),"",COUNTIF(FZ8:FZ207,"III"))</f>
        <v>0</v>
      </c>
      <c r="BV213" s="622">
        <f>IF(AND(BS209="",BS210=""),"",COUNTIF(FZ8:FZ207,"G"))</f>
        <v>0</v>
      </c>
      <c r="BW213" s="623">
        <f>IF(AND(BS210="",BS211=""),"",SUM(BS213,BT213,BU213,BV213))</f>
        <v>1</v>
      </c>
      <c r="BX213" s="624">
        <f>COUNTIF(GA8:GA207,"I")</f>
        <v>0</v>
      </c>
      <c r="BY213" s="625">
        <f>COUNTIF(GA8:GA207,"II")</f>
        <v>0</v>
      </c>
      <c r="BZ213" s="625">
        <f>COUNTIF(GA8:GA207,"III")+COUNTIF(GA8:GA207,"G")</f>
        <v>0</v>
      </c>
      <c r="CA213" s="625">
        <f>SUM(BW213,BX213,BY213,BZ213)</f>
        <v>1</v>
      </c>
      <c r="CB213" s="620"/>
      <c r="CC213" s="620"/>
      <c r="CD213" s="620"/>
      <c r="CE213" s="626"/>
      <c r="CF213" s="620">
        <f>IF(AND(CF209="",CF210=""),"",COUNTIF(GE8:GE207,"I")+COUNTIF(GE8:GE207,"D"))</f>
        <v>16</v>
      </c>
      <c r="CG213" s="620">
        <f>IF(AND(CF209="",CF210=""),"",COUNTIF(GE8:GE207,"II"))</f>
        <v>4</v>
      </c>
      <c r="CH213" s="620">
        <f>IF(AND(CF209="",CF210=""),"",COUNTIF(GE8:GE207,"III"))</f>
        <v>0</v>
      </c>
      <c r="CI213" s="620">
        <f>IF(AND(CF209="",CF210=""),"",COUNTIF(GE8:GE207,"G"))</f>
        <v>0</v>
      </c>
      <c r="CJ213" s="623">
        <f>IF(AND(CF210="",CF211=""),"",SUM(CF213,CG213,CH213,CI213))</f>
        <v>20</v>
      </c>
      <c r="CK213" s="620">
        <f>IF(AND(CL209="",CL210=""),"",COUNTIF(GF8:GF207,"I")+COUNTIF(GF8:GF207,"D"))</f>
        <v>0</v>
      </c>
      <c r="CL213" s="620">
        <f>IF(AND(CL209="",CL210=""),"",COUNTIF(GF8:GF207,"II"))</f>
        <v>1</v>
      </c>
      <c r="CM213" s="620">
        <f>IF(AND(CL209="",CL210=""),"",COUNTIF(GF8:GF207,"III"))</f>
        <v>0</v>
      </c>
      <c r="CN213" s="620">
        <f>IF(AND(CL209="",CL210=""),"",COUNTIF(GF8:GF207,"G"))</f>
        <v>0</v>
      </c>
      <c r="CO213" s="623">
        <f>IF(AND(CK210="",CK211=""),"",SUM(CK213,CL213,CM213,CN213))</f>
        <v>1</v>
      </c>
      <c r="CP213" s="621">
        <f>IF(AND(CP209="",CP210=""),"",COUNTIF(GG8:GG207,"I")+COUNTIF(GG8:GG207,"D"))</f>
        <v>0</v>
      </c>
      <c r="CQ213" s="621">
        <f>IF(AND(CP209="",CP210=""),"",COUNTIF(GG8:GG207,"II"))</f>
        <v>0</v>
      </c>
      <c r="CR213" s="621">
        <f>IF(AND(CP209="",CP210=""),"",COUNTIF(GG8:GG207,"III"))</f>
        <v>0</v>
      </c>
      <c r="CS213" s="622">
        <f>IF(AND(CP209="",CP210=""),"",COUNTIF(GG8:GG207,"G"))</f>
        <v>0</v>
      </c>
      <c r="CT213" s="623">
        <f>IF(AND(CP210="",CP211=""),"",SUM(CP213,CQ213,CR213,CS213))</f>
        <v>0</v>
      </c>
      <c r="CU213" s="246">
        <f>COUNTIF(GH8:GH207,"I")</f>
        <v>0</v>
      </c>
      <c r="CV213" s="247">
        <f>COUNTIF(GH8:GH207,"II")</f>
        <v>0</v>
      </c>
      <c r="CW213" s="247">
        <f>COUNTIF(GH8:GH207,"III")+COUNTIF(GH8:GH207,"G")</f>
        <v>0</v>
      </c>
      <c r="CX213" s="247">
        <f>SUM(CT213,CU213,CV213,CW213)</f>
        <v>0</v>
      </c>
      <c r="CY213" s="216"/>
      <c r="CZ213" s="216"/>
      <c r="DA213" s="216"/>
      <c r="DB213" s="248"/>
      <c r="DC213" s="216"/>
      <c r="DD213" s="620" t="str">
        <f>IF(AND(DD209="",DD210=""),"",COUNTIF(GL8:GL207,"I")+COUNTIF(GL8:GL207,"D"))</f>
        <v/>
      </c>
      <c r="DE213" s="620" t="str">
        <f>IF(AND(DD209="",DD210=""),"",COUNTIF(GL8:GL207,"II"))</f>
        <v/>
      </c>
      <c r="DF213" s="620" t="str">
        <f>IF(AND(DD209="",DD210=""),"",COUNTIF(GL8:GL207,"III"))</f>
        <v/>
      </c>
      <c r="DG213" s="620" t="str">
        <f>IF(AND(DD209="",DD210=""),"",COUNTIF(GL8:GL207,"G"))</f>
        <v/>
      </c>
      <c r="DH213" s="623" t="str">
        <f>IF(AND(DD210="",DD211=""),"",SUM(DD213,DE213,DF213,DG213))</f>
        <v/>
      </c>
      <c r="DI213" s="620" t="str">
        <f>IF(AND(DI209="",DI210=""),"",COUNTIF(GM8:GM207,"I")+COUNTIF(GM8:GM207,"D"))</f>
        <v/>
      </c>
      <c r="DJ213" s="620" t="str">
        <f>IF(AND(DI209="",DI210=""),"",COUNTIF(GM8:GM207,"II"))</f>
        <v/>
      </c>
      <c r="DK213" s="620" t="str">
        <f>IF(AND(DI209="",DI210=""),"",COUNTIF(GM8:GM207,"III"))</f>
        <v/>
      </c>
      <c r="DL213" s="620" t="str">
        <f>IF(AND(DI209="",DI210=""),"",COUNTIF(GM8:GM207,"G"))</f>
        <v/>
      </c>
      <c r="DM213" s="623" t="str">
        <f>IF(AND(DI210="",DI211=""),"",SUM(DI213,DJ213,DK213,DL213))</f>
        <v/>
      </c>
      <c r="DN213" s="621" t="str">
        <f>IF(AND(DN209="",DN210=""),"",COUNTIF(GN8:GN207,"I")+COUNTIF(GN8:GN207,"D"))</f>
        <v/>
      </c>
      <c r="DO213" s="621" t="str">
        <f>IF(AND(DN209="",DN210=""),"",COUNTIF(GN8:GN207,"II"))</f>
        <v/>
      </c>
      <c r="DP213" s="621" t="str">
        <f>IF(AND(DN209="",DN210=""),"",COUNTIF(GN8:GN207,"III"))</f>
        <v/>
      </c>
      <c r="DQ213" s="622" t="str">
        <f>IF(AND(DN209="",DN210=""),"",COUNTIF(GN8:GN207,"G"))</f>
        <v/>
      </c>
      <c r="DR213" s="623" t="str">
        <f>IF(AND(DN210="",DN211=""),"",SUM(DN213,DO213,DP213,DQ213))</f>
        <v/>
      </c>
      <c r="DS213" s="216">
        <f>IF(AND(DS209="",DS210=""),"",COUNTIF(GR8:GR207,"A"))</f>
        <v>30</v>
      </c>
      <c r="DT213" s="216">
        <f>IF(AND(DS209="",DS210=""),"",COUNTIF(GR8:GR207,"B"))</f>
        <v>0</v>
      </c>
      <c r="DU213" s="216"/>
      <c r="DV213" s="216"/>
      <c r="DW213" s="216"/>
      <c r="DX213" s="216"/>
      <c r="DY213" s="216"/>
      <c r="DZ213" s="216"/>
      <c r="EA213" s="216"/>
      <c r="EB213" s="216"/>
      <c r="EC213" s="216">
        <f>IF(AND(DS209="",DS210=""),"",COUNTIF(GR8:GR207,"C"))</f>
        <v>0</v>
      </c>
      <c r="ED213" s="216">
        <f>IF(AND(DS209="",DS210=""),"",COUNTIF(GR8:GR207,"D")+COUNTIF(GR8:GR207,"G"))</f>
        <v>0</v>
      </c>
      <c r="EE213" s="589">
        <f>IF(AND(DS209="",DS210=""),"",COUNTIF(GR8:GR207,"E"))</f>
        <v>0</v>
      </c>
      <c r="EF213" s="249">
        <f>IF(AND(DS209="",DS210=""),"",SUM(DS213,DT213,EC213,ED213,EE213))</f>
        <v>30</v>
      </c>
      <c r="EG213" s="216"/>
      <c r="EH213" s="216"/>
      <c r="EI213" s="244"/>
      <c r="EJ213" s="244"/>
      <c r="EK213" s="244"/>
      <c r="EL213" s="218"/>
      <c r="EM213" s="218"/>
      <c r="EN213" s="218"/>
      <c r="EO213" s="218"/>
      <c r="EP213" s="218"/>
      <c r="EQ213" s="218"/>
      <c r="ER213" s="218"/>
      <c r="ES213" s="218"/>
      <c r="ET213" s="218"/>
      <c r="EU213" s="218"/>
      <c r="EV213" s="218"/>
      <c r="EW213" s="218"/>
      <c r="EX213" s="218"/>
      <c r="EY213" s="207">
        <f>IF(AND(EY209="",EY210=""),"",COUNTIF(FF8:FF207,"A"))</f>
        <v>1</v>
      </c>
      <c r="EZ213" s="207">
        <f>IF(AND(EY209="",EY210=""),"",COUNTIF(FF8:FF207,"B"))</f>
        <v>30</v>
      </c>
      <c r="FA213" s="587">
        <f>IF(AND(EY209="",EY210=""),"",COUNTIF(FF8:FF207,"C"))</f>
        <v>0</v>
      </c>
      <c r="FB213" s="587">
        <f>IF(AND(EY209="",EY210=""),"",COUNTIF(FF8:FF207,"D"))</f>
        <v>0</v>
      </c>
      <c r="FC213" s="207">
        <f>IF(AND(EY209="",EY210=""),"",COUNTIF(FF8:FF207,"E"))</f>
        <v>0</v>
      </c>
      <c r="FD213" s="588">
        <f>IF(AND(EY209="",EY210=""),"",SUM(EY213,EZ213,FC213,FA213,FB213))</f>
        <v>31</v>
      </c>
      <c r="FE213" s="1275"/>
      <c r="FF213" s="1276"/>
      <c r="FG213" s="227"/>
      <c r="FH213" s="227"/>
      <c r="FI213" s="227"/>
      <c r="FJ213" s="227"/>
      <c r="FK213" s="227"/>
      <c r="FL213" s="227"/>
      <c r="FM213" s="227"/>
      <c r="FN213" s="227"/>
      <c r="FO213" s="227"/>
      <c r="FP213" s="227"/>
      <c r="FQ213" s="227"/>
      <c r="FR213" s="227"/>
      <c r="FS213" s="227"/>
      <c r="FT213" s="227"/>
      <c r="FU213" s="227"/>
      <c r="FV213" s="227"/>
      <c r="FW213" s="227"/>
      <c r="FX213" s="227"/>
      <c r="FY213" s="227"/>
      <c r="FZ213" s="227"/>
      <c r="GA213" s="227"/>
      <c r="GB213" s="227"/>
      <c r="GC213" s="227"/>
      <c r="GD213" s="227"/>
      <c r="GE213" s="227"/>
      <c r="GF213" s="227"/>
      <c r="GG213" s="227"/>
      <c r="GH213" s="227"/>
      <c r="GI213" s="227"/>
      <c r="GJ213" s="227"/>
      <c r="GK213" s="227"/>
      <c r="GL213" s="227"/>
      <c r="GM213" s="227"/>
      <c r="GN213" s="227"/>
      <c r="GO213" s="227"/>
      <c r="GP213" s="227"/>
      <c r="GQ213" s="227"/>
      <c r="GR213" s="227"/>
      <c r="GS213" s="227"/>
      <c r="GT213" s="227"/>
      <c r="GU213" s="228"/>
      <c r="GV213" s="1166"/>
      <c r="GW213" s="1167"/>
      <c r="GX213" s="1176"/>
      <c r="GY213" s="1131" t="str">
        <f>IF('Master Sheet'!D11="Hindi","उतीर्ण","Pass")</f>
        <v>उतीर्ण</v>
      </c>
      <c r="GZ213" s="1131"/>
      <c r="HA213" s="1131"/>
      <c r="HB213" s="1162">
        <f>SUM(HB210:HC212)</f>
        <v>9</v>
      </c>
      <c r="HC213" s="1163"/>
      <c r="HD213" s="633"/>
      <c r="HE213" s="1161" t="str">
        <f>IF('Master Sheet'!D11="Hindi","उतीर्ण","Pass")</f>
        <v>उतीर्ण</v>
      </c>
      <c r="HF213" s="1131"/>
      <c r="HG213" s="1131"/>
      <c r="HH213" s="250">
        <f>SUM(HH210:HH212)</f>
        <v>1</v>
      </c>
      <c r="HI213" s="639">
        <f t="shared" si="724"/>
        <v>10</v>
      </c>
      <c r="HY213" s="211" t="str">
        <f>IF('Supp. Result Entry'!U212="","",'Supp. Result Entry'!$U$6)</f>
        <v/>
      </c>
      <c r="HZ213" s="212" t="str">
        <f>IF('Supp. Result Entry'!X212="","",'Supp. Result Entry'!$X$6)</f>
        <v/>
      </c>
      <c r="IA213" s="212" t="str">
        <f>IF('Supp. Result Entry'!AA212="","",'Supp. Result Entry'!$AA$6)</f>
        <v/>
      </c>
      <c r="IB213" s="212" t="str">
        <f>IF('Supp. Result Entry'!AD212="","",'Supp. Result Entry'!$AD$6)</f>
        <v/>
      </c>
      <c r="IC213" s="212" t="str">
        <f>IF('Supp. Result Entry'!AG212="","",'Supp. Result Entry'!$AG$6)</f>
        <v/>
      </c>
      <c r="ID213" s="212" t="str">
        <f>IF('Supp. Result Entry'!AJ212="","",'Supp. Result Entry'!$AJ$6)</f>
        <v/>
      </c>
      <c r="IE213" s="212" t="str">
        <f>IF('Supp. Result Entry'!V212="","",'Supp. Result Entry'!V212)</f>
        <v/>
      </c>
      <c r="IF213" s="212" t="str">
        <f>IF('Supp. Result Entry'!Y212="","",'Supp. Result Entry'!Y212)</f>
        <v/>
      </c>
      <c r="IG213" s="212" t="str">
        <f>IF('Supp. Result Entry'!AB212="","",'Supp. Result Entry'!AB212)</f>
        <v/>
      </c>
      <c r="IH213" s="212" t="str">
        <f>IF('Supp. Result Entry'!AE212="","",'Supp. Result Entry'!AE212)</f>
        <v/>
      </c>
      <c r="II213" s="212" t="str">
        <f>IF('Supp. Result Entry'!AH212="","",'Supp. Result Entry'!AH212)</f>
        <v/>
      </c>
      <c r="IJ213" s="212" t="str">
        <f>IF('Supp. Result Entry'!AK212="","",'Supp. Result Entry'!AK212)</f>
        <v/>
      </c>
      <c r="IK213" s="212" t="str">
        <f>IF('Supp. Result Entry'!W212="","",'Supp. Result Entry'!W212)</f>
        <v/>
      </c>
      <c r="IL213" s="212" t="str">
        <f>IF('Supp. Result Entry'!Z212="","",'Supp. Result Entry'!Z212)</f>
        <v/>
      </c>
      <c r="IM213" s="212" t="str">
        <f>IF('Supp. Result Entry'!AC212="","",'Supp. Result Entry'!AC212)</f>
        <v/>
      </c>
      <c r="IN213" s="212" t="str">
        <f>IF('Supp. Result Entry'!AF212="","",'Supp. Result Entry'!AF212)</f>
        <v/>
      </c>
      <c r="IO213" s="212" t="str">
        <f>IF('Supp. Result Entry'!AI212="","",'Supp. Result Entry'!AI212)</f>
        <v/>
      </c>
      <c r="IP213" s="212" t="str">
        <f>IF('Supp. Result Entry'!AL212="","",'Supp. Result Entry'!AL212)</f>
        <v/>
      </c>
      <c r="IQ213" s="212">
        <f>COUNTIF('Supp. Result Entry'!K212:Q212,"S")</f>
        <v>0</v>
      </c>
      <c r="IR213" s="212">
        <f t="shared" si="719"/>
        <v>0</v>
      </c>
      <c r="IS213" s="212">
        <f t="shared" si="720"/>
        <v>0</v>
      </c>
      <c r="IT213" s="212" t="str">
        <f t="shared" si="588"/>
        <v/>
      </c>
      <c r="IU213" s="212" t="str">
        <f t="shared" si="589"/>
        <v/>
      </c>
      <c r="IV213" s="212" t="str">
        <f t="shared" si="590"/>
        <v/>
      </c>
      <c r="IW213" s="212" t="str">
        <f t="shared" si="591"/>
        <v/>
      </c>
      <c r="IX213" s="212" t="str">
        <f t="shared" si="592"/>
        <v/>
      </c>
      <c r="IY213" s="212" t="str">
        <f t="shared" si="721"/>
        <v/>
      </c>
      <c r="IZ213" s="212" t="str">
        <f t="shared" si="722"/>
        <v/>
      </c>
      <c r="JA213" s="212" t="str">
        <f t="shared" si="593"/>
        <v/>
      </c>
      <c r="JB213" s="210" t="str">
        <f t="shared" si="723"/>
        <v/>
      </c>
    </row>
    <row r="214" spans="1:262" s="257" customFormat="1" ht="18.75" customHeight="1">
      <c r="A214" s="1241"/>
      <c r="B214" s="1242"/>
      <c r="C214" s="1242"/>
      <c r="D214" s="1242"/>
      <c r="E214" s="1243"/>
      <c r="F214" s="1247" t="str">
        <f>IF('Master Sheet'!D11="Hindi","कुल उत्तीर्ण प्रतिशत में  :","Total Pass  %  :")</f>
        <v>कुल उत्तीर्ण प्रतिशत में  :</v>
      </c>
      <c r="G214" s="1247"/>
      <c r="H214" s="1249" t="s">
        <v>77</v>
      </c>
      <c r="I214" s="1249"/>
      <c r="J214" s="1169">
        <f>IF(AND(J209="",J210=""),"",IF(J211=0,0,P213/J211*100))</f>
        <v>100</v>
      </c>
      <c r="K214" s="1169"/>
      <c r="L214" s="1169"/>
      <c r="M214" s="1169"/>
      <c r="N214" s="1169"/>
      <c r="O214" s="1169"/>
      <c r="P214" s="1169"/>
      <c r="Q214" s="1169"/>
      <c r="R214" s="1169"/>
      <c r="S214" s="1169"/>
      <c r="T214" s="1169"/>
      <c r="U214" s="1169"/>
      <c r="V214" s="1169"/>
      <c r="W214" s="1169"/>
      <c r="X214" s="1169">
        <f>IF(AND(X209="",X210=""),"",IF(X211=0,0,AD213/X211*100))</f>
        <v>100</v>
      </c>
      <c r="Y214" s="1169"/>
      <c r="Z214" s="1169"/>
      <c r="AA214" s="1169"/>
      <c r="AB214" s="1169"/>
      <c r="AC214" s="1169"/>
      <c r="AD214" s="1169"/>
      <c r="AE214" s="1169"/>
      <c r="AF214" s="1169"/>
      <c r="AG214" s="1169"/>
      <c r="AH214" s="1169"/>
      <c r="AI214" s="1169"/>
      <c r="AJ214" s="1169"/>
      <c r="AK214" s="1169"/>
      <c r="AL214" s="1169">
        <f>IF(AND(AL209="",AL210=""),"",IF(AL211=0,0,AP213/AL211*100))</f>
        <v>90</v>
      </c>
      <c r="AM214" s="1169"/>
      <c r="AN214" s="1169"/>
      <c r="AO214" s="1169"/>
      <c r="AP214" s="1169"/>
      <c r="AQ214" s="1169">
        <f>IF(AND(AQ209="",AQ210=""),"",IF(AQ211=0,0,AU213/AQ211*100))</f>
        <v>90</v>
      </c>
      <c r="AR214" s="1169"/>
      <c r="AS214" s="1169"/>
      <c r="AT214" s="1169"/>
      <c r="AU214" s="1169"/>
      <c r="AV214" s="1169" t="str">
        <f>IF(AND(AV209="",AV210=""),"",IF(AV211=0,0,AZ213/AV211*100))</f>
        <v/>
      </c>
      <c r="AW214" s="1169"/>
      <c r="AX214" s="1169"/>
      <c r="AY214" s="1169"/>
      <c r="AZ214" s="1169"/>
      <c r="BA214" s="251"/>
      <c r="BB214" s="252"/>
      <c r="BC214" s="252"/>
      <c r="BD214" s="252"/>
      <c r="BE214" s="253"/>
      <c r="BF214" s="253"/>
      <c r="BG214" s="253"/>
      <c r="BH214" s="254"/>
      <c r="BI214" s="1169">
        <f>IF(AND(BI209="",BI210=""),"",IF(BI211=0,0,BM213/BI211*100))</f>
        <v>93.333333333333329</v>
      </c>
      <c r="BJ214" s="1169"/>
      <c r="BK214" s="1169"/>
      <c r="BL214" s="1169"/>
      <c r="BM214" s="1169"/>
      <c r="BN214" s="1169">
        <f>IF(AND(BN209="",BN210=""),"",IF(BN211=0,0,BR213/BN211*100))</f>
        <v>100</v>
      </c>
      <c r="BO214" s="1169"/>
      <c r="BP214" s="1169"/>
      <c r="BQ214" s="1169"/>
      <c r="BR214" s="1169"/>
      <c r="BS214" s="1169">
        <f>IF(AND(BS209="",BS210=""),"",IF(BS211=0,0,BW213/BS211*100))</f>
        <v>100</v>
      </c>
      <c r="BT214" s="1169"/>
      <c r="BU214" s="1169"/>
      <c r="BV214" s="1169"/>
      <c r="BW214" s="1169"/>
      <c r="BX214" s="251"/>
      <c r="BY214" s="252"/>
      <c r="BZ214" s="252"/>
      <c r="CA214" s="252"/>
      <c r="CB214" s="253"/>
      <c r="CC214" s="253"/>
      <c r="CD214" s="253"/>
      <c r="CE214" s="254"/>
      <c r="CF214" s="1169">
        <f>IF(AND(CF209="",CF210=""),"",IF(CF211=0,0,CJ213/CF211*100))</f>
        <v>100</v>
      </c>
      <c r="CG214" s="1169"/>
      <c r="CH214" s="1169"/>
      <c r="CI214" s="1169"/>
      <c r="CJ214" s="1169"/>
      <c r="CK214" s="1169">
        <f>IF(AND(CK209="",CK210=""),"",IF(CK211=0,0,CO213/CK211*100))</f>
        <v>100</v>
      </c>
      <c r="CL214" s="1169"/>
      <c r="CM214" s="1169"/>
      <c r="CN214" s="1169"/>
      <c r="CO214" s="1169"/>
      <c r="CP214" s="1169">
        <f>IF(AND(CP209="",CP210=""),"",IF(CP211=0,0,CT213/CP211*100))</f>
        <v>0</v>
      </c>
      <c r="CQ214" s="1169"/>
      <c r="CR214" s="1169"/>
      <c r="CS214" s="1169"/>
      <c r="CT214" s="1169"/>
      <c r="CU214" s="251"/>
      <c r="CV214" s="252"/>
      <c r="CW214" s="252"/>
      <c r="CX214" s="252"/>
      <c r="CY214" s="253"/>
      <c r="CZ214" s="253"/>
      <c r="DA214" s="253"/>
      <c r="DB214" s="254"/>
      <c r="DC214" s="255"/>
      <c r="DD214" s="1169" t="str">
        <f>IF(AND(DD209="",DD210=""),"",IF(DD211=0,0,DH213/DD211*100))</f>
        <v/>
      </c>
      <c r="DE214" s="1169"/>
      <c r="DF214" s="1169"/>
      <c r="DG214" s="1169"/>
      <c r="DH214" s="1169"/>
      <c r="DI214" s="1169" t="str">
        <f>IF(AND(DI209="",DI210=""),"",IF(DI211=0,0,DM213/DI211*100))</f>
        <v/>
      </c>
      <c r="DJ214" s="1169"/>
      <c r="DK214" s="1169"/>
      <c r="DL214" s="1169"/>
      <c r="DM214" s="1169"/>
      <c r="DN214" s="1169" t="str">
        <f>IF(AND(DN209="",DN210=""),"",IF(DN211=0,0,DR213/DN211*100))</f>
        <v/>
      </c>
      <c r="DO214" s="1169"/>
      <c r="DP214" s="1169"/>
      <c r="DQ214" s="1169"/>
      <c r="DR214" s="1169"/>
      <c r="DS214" s="1171">
        <f>IF(AND(DS209="",DS210=""),"",IF(DS211=0,0,EF213/DS211*100))</f>
        <v>100</v>
      </c>
      <c r="DT214" s="1172"/>
      <c r="DU214" s="1172"/>
      <c r="DV214" s="1172"/>
      <c r="DW214" s="1172"/>
      <c r="DX214" s="1172"/>
      <c r="DY214" s="1172"/>
      <c r="DZ214" s="1172"/>
      <c r="EA214" s="1172"/>
      <c r="EB214" s="1172"/>
      <c r="EC214" s="1172"/>
      <c r="ED214" s="1172"/>
      <c r="EE214" s="1172"/>
      <c r="EF214" s="1172"/>
      <c r="EG214" s="1172"/>
      <c r="EH214" s="1173"/>
      <c r="EI214" s="256"/>
      <c r="EJ214" s="256"/>
      <c r="EK214" s="256"/>
      <c r="EL214" s="218"/>
      <c r="EM214" s="218"/>
      <c r="EN214" s="218"/>
      <c r="EO214" s="218"/>
      <c r="EP214" s="218"/>
      <c r="EQ214" s="218"/>
      <c r="ER214" s="218"/>
      <c r="ES214" s="218"/>
      <c r="ET214" s="218"/>
      <c r="EU214" s="218"/>
      <c r="EV214" s="218"/>
      <c r="EW214" s="218"/>
      <c r="EX214" s="218"/>
      <c r="EY214" s="1279">
        <f>IF(AND(EY209="",EY210=""),"",IF(EY211=0,0,FD213/EY211*100))</f>
        <v>100</v>
      </c>
      <c r="EZ214" s="1280"/>
      <c r="FA214" s="1280"/>
      <c r="FB214" s="1280"/>
      <c r="FC214" s="1280"/>
      <c r="FD214" s="1280"/>
      <c r="FE214" s="1275"/>
      <c r="FF214" s="1276"/>
      <c r="FG214" s="227"/>
      <c r="FH214" s="227"/>
      <c r="FI214" s="227"/>
      <c r="FJ214" s="227"/>
      <c r="FK214" s="227"/>
      <c r="FL214" s="227"/>
      <c r="FM214" s="227"/>
      <c r="FN214" s="227"/>
      <c r="FO214" s="227"/>
      <c r="FP214" s="227"/>
      <c r="FQ214" s="227"/>
      <c r="FR214" s="227"/>
      <c r="FS214" s="227"/>
      <c r="FT214" s="227"/>
      <c r="FU214" s="227"/>
      <c r="FV214" s="227"/>
      <c r="FW214" s="227"/>
      <c r="FX214" s="227"/>
      <c r="FY214" s="227"/>
      <c r="FZ214" s="227"/>
      <c r="GA214" s="227"/>
      <c r="GB214" s="227"/>
      <c r="GC214" s="227"/>
      <c r="GD214" s="227"/>
      <c r="GE214" s="227"/>
      <c r="GF214" s="227"/>
      <c r="GG214" s="227"/>
      <c r="GH214" s="227"/>
      <c r="GI214" s="227"/>
      <c r="GJ214" s="227"/>
      <c r="GK214" s="227"/>
      <c r="GL214" s="227"/>
      <c r="GM214" s="227"/>
      <c r="GN214" s="227"/>
      <c r="GO214" s="227"/>
      <c r="GP214" s="227"/>
      <c r="GQ214" s="227"/>
      <c r="GR214" s="227"/>
      <c r="GS214" s="227"/>
      <c r="GT214" s="227"/>
      <c r="GU214" s="228"/>
      <c r="GV214" s="1166" t="str">
        <f>IF('Master Sheet'!D11="Hindi","हस्ताक्षर जांचकर्ता","Signature of the checker")</f>
        <v>हस्ताक्षर जांचकर्ता</v>
      </c>
      <c r="GW214" s="1167"/>
      <c r="GX214" s="1176" t="str">
        <f>CONCATENATE("( ",UPPER('Master Sheet'!D15)," )")</f>
        <v>( RAKESH KUMAR )</v>
      </c>
      <c r="GY214" s="1131" t="str">
        <f>IF('Master Sheet'!D11="Hindi","पूरक","Supp.")</f>
        <v>पूरक</v>
      </c>
      <c r="GZ214" s="1131"/>
      <c r="HA214" s="1131"/>
      <c r="HB214" s="1164">
        <f>COUNTIF(GY8:GY207,"Supplementary")</f>
        <v>1</v>
      </c>
      <c r="HC214" s="1165"/>
      <c r="HD214" s="634"/>
      <c r="HE214" s="1161" t="str">
        <f>IF('Master Sheet'!D11="Hindi","पूरक","Supp.")</f>
        <v>पूरक</v>
      </c>
      <c r="HF214" s="1131"/>
      <c r="HG214" s="1131"/>
      <c r="HH214" s="605">
        <f>COUNTIF(HH8:HH207,"Supplementary")</f>
        <v>0</v>
      </c>
      <c r="HI214" s="640">
        <f>HH214</f>
        <v>0</v>
      </c>
      <c r="HY214" s="211" t="str">
        <f>IF('Supp. Result Entry'!U213="","",'Supp. Result Entry'!$U$6)</f>
        <v/>
      </c>
      <c r="HZ214" s="212" t="str">
        <f>IF('Supp. Result Entry'!X213="","",'Supp. Result Entry'!$X$6)</f>
        <v/>
      </c>
      <c r="IA214" s="212" t="str">
        <f>IF('Supp. Result Entry'!AA213="","",'Supp. Result Entry'!$AA$6)</f>
        <v/>
      </c>
      <c r="IB214" s="212" t="str">
        <f>IF('Supp. Result Entry'!AD213="","",'Supp. Result Entry'!$AD$6)</f>
        <v/>
      </c>
      <c r="IC214" s="212" t="str">
        <f>IF('Supp. Result Entry'!AG213="","",'Supp. Result Entry'!$AG$6)</f>
        <v/>
      </c>
      <c r="ID214" s="212" t="str">
        <f>IF('Supp. Result Entry'!AJ213="","",'Supp. Result Entry'!$AJ$6)</f>
        <v/>
      </c>
      <c r="IE214" s="212" t="str">
        <f>IF('Supp. Result Entry'!V213="","",'Supp. Result Entry'!V213)</f>
        <v/>
      </c>
      <c r="IF214" s="212" t="str">
        <f>IF('Supp. Result Entry'!Y213="","",'Supp. Result Entry'!Y213)</f>
        <v/>
      </c>
      <c r="IG214" s="212" t="str">
        <f>IF('Supp. Result Entry'!AB213="","",'Supp. Result Entry'!AB213)</f>
        <v/>
      </c>
      <c r="IH214" s="212" t="str">
        <f>IF('Supp. Result Entry'!AE213="","",'Supp. Result Entry'!AE213)</f>
        <v/>
      </c>
      <c r="II214" s="212" t="str">
        <f>IF('Supp. Result Entry'!AH213="","",'Supp. Result Entry'!AH213)</f>
        <v/>
      </c>
      <c r="IJ214" s="212" t="str">
        <f>IF('Supp. Result Entry'!AK213="","",'Supp. Result Entry'!AK213)</f>
        <v/>
      </c>
      <c r="IK214" s="212" t="str">
        <f>IF('Supp. Result Entry'!W213="","",'Supp. Result Entry'!W213)</f>
        <v/>
      </c>
      <c r="IL214" s="212" t="str">
        <f>IF('Supp. Result Entry'!Z213="","",'Supp. Result Entry'!Z213)</f>
        <v/>
      </c>
      <c r="IM214" s="212" t="str">
        <f>IF('Supp. Result Entry'!AC213="","",'Supp. Result Entry'!AC213)</f>
        <v/>
      </c>
      <c r="IN214" s="212" t="str">
        <f>IF('Supp. Result Entry'!AF213="","",'Supp. Result Entry'!AF213)</f>
        <v/>
      </c>
      <c r="IO214" s="212" t="str">
        <f>IF('Supp. Result Entry'!AI213="","",'Supp. Result Entry'!AI213)</f>
        <v/>
      </c>
      <c r="IP214" s="212" t="str">
        <f>IF('Supp. Result Entry'!AL213="","",'Supp. Result Entry'!AL213)</f>
        <v/>
      </c>
      <c r="IQ214" s="212">
        <f>COUNTIF('Supp. Result Entry'!K213:Q213,"S")</f>
        <v>0</v>
      </c>
      <c r="IR214" s="212">
        <f t="shared" si="719"/>
        <v>0</v>
      </c>
      <c r="IS214" s="212">
        <f t="shared" si="720"/>
        <v>0</v>
      </c>
      <c r="IT214" s="212" t="str">
        <f t="shared" si="588"/>
        <v/>
      </c>
      <c r="IU214" s="212" t="str">
        <f t="shared" si="589"/>
        <v/>
      </c>
      <c r="IV214" s="212" t="str">
        <f t="shared" si="590"/>
        <v/>
      </c>
      <c r="IW214" s="212" t="str">
        <f t="shared" si="591"/>
        <v/>
      </c>
      <c r="IX214" s="212" t="str">
        <f t="shared" si="592"/>
        <v/>
      </c>
      <c r="IY214" s="212" t="str">
        <f t="shared" si="721"/>
        <v/>
      </c>
      <c r="IZ214" s="212" t="str">
        <f t="shared" si="722"/>
        <v/>
      </c>
      <c r="JA214" s="212" t="str">
        <f t="shared" si="593"/>
        <v/>
      </c>
      <c r="JB214" s="210" t="str">
        <f t="shared" si="723"/>
        <v/>
      </c>
    </row>
    <row r="215" spans="1:262" s="262" customFormat="1" ht="20.25" customHeight="1">
      <c r="A215" s="1241"/>
      <c r="B215" s="1242"/>
      <c r="C215" s="1242"/>
      <c r="D215" s="1242"/>
      <c r="E215" s="1243"/>
      <c r="F215" s="1247" t="str">
        <f>IF('Master Sheet'!D11="Hindi","पूरक परीक्षा  :","Supplementary  :")</f>
        <v>पूरक परीक्षा  :</v>
      </c>
      <c r="G215" s="1247"/>
      <c r="H215" s="1249" t="s">
        <v>77</v>
      </c>
      <c r="I215" s="1249"/>
      <c r="J215" s="1170">
        <f>IF(AND(J209="",J210=""),"",COUNTIF(FJ8:FJ207,"S"))</f>
        <v>0</v>
      </c>
      <c r="K215" s="1170"/>
      <c r="L215" s="1170"/>
      <c r="M215" s="1170"/>
      <c r="N215" s="1170"/>
      <c r="O215" s="1170"/>
      <c r="P215" s="1170"/>
      <c r="Q215" s="1170"/>
      <c r="R215" s="1170"/>
      <c r="S215" s="1170"/>
      <c r="T215" s="1170"/>
      <c r="U215" s="1170"/>
      <c r="V215" s="1170"/>
      <c r="W215" s="1170"/>
      <c r="X215" s="1170">
        <f>IF(AND(X209="",X210=""),"",COUNTIF(FM8:FM207,"S"))</f>
        <v>0</v>
      </c>
      <c r="Y215" s="1170"/>
      <c r="Z215" s="1170"/>
      <c r="AA215" s="1170"/>
      <c r="AB215" s="1170"/>
      <c r="AC215" s="1170"/>
      <c r="AD215" s="1170"/>
      <c r="AE215" s="1170"/>
      <c r="AF215" s="1170"/>
      <c r="AG215" s="1170"/>
      <c r="AH215" s="1170"/>
      <c r="AI215" s="1170"/>
      <c r="AJ215" s="1170"/>
      <c r="AK215" s="1170"/>
      <c r="AL215" s="1168">
        <f>IF(AND(AL209="",AL210=""),"",COUNTIF(FQ8:FQ207,"s"))</f>
        <v>1</v>
      </c>
      <c r="AM215" s="1168"/>
      <c r="AN215" s="1168"/>
      <c r="AO215" s="1168"/>
      <c r="AP215" s="1168"/>
      <c r="AQ215" s="1168">
        <f>IF(AND(AQ209="",AQ210=""),"",COUNTIF(FR8:FR207,"s"))</f>
        <v>0</v>
      </c>
      <c r="AR215" s="1168"/>
      <c r="AS215" s="1168"/>
      <c r="AT215" s="1168"/>
      <c r="AU215" s="1168"/>
      <c r="AV215" s="1168" t="str">
        <f>IF(AND(AV209="",AV210=""),"",COUNTIF(FS8:FS207,"s"))</f>
        <v/>
      </c>
      <c r="AW215" s="1168"/>
      <c r="AX215" s="1168"/>
      <c r="AY215" s="1168"/>
      <c r="AZ215" s="1168"/>
      <c r="BA215" s="258"/>
      <c r="BB215" s="259"/>
      <c r="BC215" s="259"/>
      <c r="BD215" s="259"/>
      <c r="BE215" s="253"/>
      <c r="BF215" s="253"/>
      <c r="BG215" s="253"/>
      <c r="BH215" s="260"/>
      <c r="BI215" s="1168">
        <f>IF(AND(BI209="",BI210=""),"",COUNTIF(FX8:FX207,"s"))</f>
        <v>0</v>
      </c>
      <c r="BJ215" s="1168"/>
      <c r="BK215" s="1168"/>
      <c r="BL215" s="1168"/>
      <c r="BM215" s="1168"/>
      <c r="BN215" s="1168">
        <f>IF(AND(BN209="",BN210=""),"",COUNTIF(FY8:FY207,"S"))</f>
        <v>0</v>
      </c>
      <c r="BO215" s="1168">
        <f>IF(AND(BO209="",BO210=""),"",COUNTIF(FY8:FY207,"s"))</f>
        <v>0</v>
      </c>
      <c r="BP215" s="1168"/>
      <c r="BQ215" s="1168"/>
      <c r="BR215" s="1168"/>
      <c r="BS215" s="1168">
        <f>IF(AND(BS209="",BS210=""),"",COUNTIF(FZ8:FZ207,"s"))</f>
        <v>0</v>
      </c>
      <c r="BT215" s="1168"/>
      <c r="BU215" s="1168"/>
      <c r="BV215" s="1168"/>
      <c r="BW215" s="1168"/>
      <c r="BX215" s="258"/>
      <c r="BY215" s="259"/>
      <c r="BZ215" s="259"/>
      <c r="CA215" s="259"/>
      <c r="CB215" s="253"/>
      <c r="CC215" s="253"/>
      <c r="CD215" s="253"/>
      <c r="CE215" s="260"/>
      <c r="CF215" s="1168">
        <f>IF(AND(CF209="",CF210=""),"",COUNTIF(GE8:GE207,"s"))</f>
        <v>0</v>
      </c>
      <c r="CG215" s="1168"/>
      <c r="CH215" s="1168"/>
      <c r="CI215" s="1168"/>
      <c r="CJ215" s="1168"/>
      <c r="CK215" s="1168">
        <f>IF(AND(CK209="",CK210=""),"",COUNTIF(GF8:GF207,"S"))</f>
        <v>0</v>
      </c>
      <c r="CL215" s="1168">
        <f>IF(AND(CL209="",CL210=""),"",COUNTIF(GF8:GF207,"S"))</f>
        <v>0</v>
      </c>
      <c r="CM215" s="1168"/>
      <c r="CN215" s="1168"/>
      <c r="CO215" s="1168"/>
      <c r="CP215" s="1168">
        <f>IF(AND(CP209="",CP210=""),"",COUNTIF(GG8:GG207,"s"))</f>
        <v>0</v>
      </c>
      <c r="CQ215" s="1168"/>
      <c r="CR215" s="1168"/>
      <c r="CS215" s="1168"/>
      <c r="CT215" s="1168"/>
      <c r="CU215" s="258"/>
      <c r="CV215" s="259"/>
      <c r="CW215" s="259"/>
      <c r="CX215" s="259"/>
      <c r="CY215" s="253"/>
      <c r="CZ215" s="253"/>
      <c r="DA215" s="253"/>
      <c r="DB215" s="260"/>
      <c r="DC215" s="253"/>
      <c r="DD215" s="1168" t="str">
        <f>IF(AND(DD209="",DD210=""),"",COUNTIF(GL8:GL207,"s"))</f>
        <v/>
      </c>
      <c r="DE215" s="1168"/>
      <c r="DF215" s="1168"/>
      <c r="DG215" s="1168"/>
      <c r="DH215" s="1168"/>
      <c r="DI215" s="1168" t="str">
        <f>IF(AND(DI209="",DI210=""),"",COUNTIF(GM8:GM207,"S"))</f>
        <v/>
      </c>
      <c r="DJ215" s="1168" t="e">
        <f>IF(AND(DJ209="",DJ210=""),"",COUNTIF(GM8:GM207,"s"))</f>
        <v>#REF!</v>
      </c>
      <c r="DK215" s="1168"/>
      <c r="DL215" s="1168"/>
      <c r="DM215" s="1168"/>
      <c r="DN215" s="1168" t="str">
        <f>IF(AND(DN209="",DN210=""),"",COUNTIF(GN8:GN207,"S"))</f>
        <v/>
      </c>
      <c r="DO215" s="1168"/>
      <c r="DP215" s="1168"/>
      <c r="DQ215" s="1168"/>
      <c r="DR215" s="1168"/>
      <c r="DS215" s="1170">
        <f>IF(AND(DS209="",DS210=""),"",COUNTIF(GR8:GR207,"s"))</f>
        <v>0</v>
      </c>
      <c r="DT215" s="1170"/>
      <c r="DU215" s="1170"/>
      <c r="DV215" s="1170"/>
      <c r="DW215" s="1170"/>
      <c r="DX215" s="1170"/>
      <c r="DY215" s="1170"/>
      <c r="DZ215" s="1170"/>
      <c r="EA215" s="1170"/>
      <c r="EB215" s="1170"/>
      <c r="EC215" s="1170"/>
      <c r="ED215" s="1170"/>
      <c r="EE215" s="1170"/>
      <c r="EF215" s="1170"/>
      <c r="EG215" s="1170"/>
      <c r="EH215" s="1170"/>
      <c r="EI215" s="261"/>
      <c r="EJ215" s="261"/>
      <c r="EK215" s="261"/>
      <c r="EL215" s="218"/>
      <c r="EM215" s="218"/>
      <c r="EN215" s="218"/>
      <c r="EO215" s="218"/>
      <c r="EP215" s="218"/>
      <c r="EQ215" s="218"/>
      <c r="ER215" s="218"/>
      <c r="ES215" s="218"/>
      <c r="ET215" s="218"/>
      <c r="EU215" s="218"/>
      <c r="EV215" s="218"/>
      <c r="EW215" s="218"/>
      <c r="EX215" s="218"/>
      <c r="EY215" s="1281">
        <f>IF(AND(EY209="",EY210=""),"",COUNTIF(FF8:FF207,"S"))</f>
        <v>0</v>
      </c>
      <c r="EZ215" s="1282"/>
      <c r="FA215" s="1282"/>
      <c r="FB215" s="1282"/>
      <c r="FC215" s="1282"/>
      <c r="FD215" s="1282"/>
      <c r="FE215" s="1275"/>
      <c r="FF215" s="1276"/>
      <c r="FG215" s="227"/>
      <c r="FH215" s="227"/>
      <c r="FI215" s="227"/>
      <c r="FJ215" s="227"/>
      <c r="FK215" s="227"/>
      <c r="FL215" s="227"/>
      <c r="FM215" s="227"/>
      <c r="FN215" s="227"/>
      <c r="FO215" s="227"/>
      <c r="FP215" s="227"/>
      <c r="FQ215" s="227"/>
      <c r="FR215" s="227"/>
      <c r="FS215" s="227"/>
      <c r="FT215" s="227"/>
      <c r="FU215" s="227"/>
      <c r="FV215" s="227"/>
      <c r="FW215" s="227"/>
      <c r="FX215" s="227"/>
      <c r="FY215" s="227"/>
      <c r="FZ215" s="227"/>
      <c r="GA215" s="227"/>
      <c r="GB215" s="227"/>
      <c r="GC215" s="227"/>
      <c r="GD215" s="227"/>
      <c r="GE215" s="227"/>
      <c r="GF215" s="227"/>
      <c r="GG215" s="227"/>
      <c r="GH215" s="227"/>
      <c r="GI215" s="227"/>
      <c r="GJ215" s="227"/>
      <c r="GK215" s="227"/>
      <c r="GL215" s="227"/>
      <c r="GM215" s="227"/>
      <c r="GN215" s="227"/>
      <c r="GO215" s="227"/>
      <c r="GP215" s="227"/>
      <c r="GQ215" s="227"/>
      <c r="GR215" s="227"/>
      <c r="GS215" s="227"/>
      <c r="GT215" s="227"/>
      <c r="GU215" s="228"/>
      <c r="GV215" s="1166"/>
      <c r="GW215" s="1167"/>
      <c r="GX215" s="1176"/>
      <c r="GY215" s="1131" t="str">
        <f>IF('Master Sheet'!D11="Hindi","अनुतीर्ण","Failed")</f>
        <v>अनुतीर्ण</v>
      </c>
      <c r="GZ215" s="1131"/>
      <c r="HA215" s="1131"/>
      <c r="HB215" s="1263">
        <f>COUNTIF(GY8:GY207,"Fail")</f>
        <v>1</v>
      </c>
      <c r="HC215" s="1264"/>
      <c r="HD215" s="634"/>
      <c r="HE215" s="1161" t="str">
        <f>IF('Master Sheet'!D11="Hindi","अनुतीर्ण","Failed")</f>
        <v>अनुतीर्ण</v>
      </c>
      <c r="HF215" s="1131"/>
      <c r="HG215" s="1131"/>
      <c r="HH215" s="601">
        <f>COUNTIF(HH8:HH207,"FAIL")</f>
        <v>0</v>
      </c>
      <c r="HI215" s="638">
        <f>HB215</f>
        <v>1</v>
      </c>
      <c r="HY215" s="211" t="str">
        <f>IF('Supp. Result Entry'!U214="","",'Supp. Result Entry'!$U$6)</f>
        <v/>
      </c>
      <c r="HZ215" s="212" t="str">
        <f>IF('Supp. Result Entry'!X214="","",'Supp. Result Entry'!$X$6)</f>
        <v/>
      </c>
      <c r="IA215" s="212" t="str">
        <f>IF('Supp. Result Entry'!AA214="","",'Supp. Result Entry'!$AA$6)</f>
        <v/>
      </c>
      <c r="IB215" s="212" t="str">
        <f>IF('Supp. Result Entry'!AD214="","",'Supp. Result Entry'!$AD$6)</f>
        <v/>
      </c>
      <c r="IC215" s="212" t="str">
        <f>IF('Supp. Result Entry'!AG214="","",'Supp. Result Entry'!$AG$6)</f>
        <v/>
      </c>
      <c r="ID215" s="212" t="str">
        <f>IF('Supp. Result Entry'!AJ214="","",'Supp. Result Entry'!$AJ$6)</f>
        <v/>
      </c>
      <c r="IE215" s="212" t="str">
        <f>IF('Supp. Result Entry'!V214="","",'Supp. Result Entry'!V214)</f>
        <v/>
      </c>
      <c r="IF215" s="212" t="str">
        <f>IF('Supp. Result Entry'!Y214="","",'Supp. Result Entry'!Y214)</f>
        <v/>
      </c>
      <c r="IG215" s="212" t="str">
        <f>IF('Supp. Result Entry'!AB214="","",'Supp. Result Entry'!AB214)</f>
        <v/>
      </c>
      <c r="IH215" s="212" t="str">
        <f>IF('Supp. Result Entry'!AE214="","",'Supp. Result Entry'!AE214)</f>
        <v/>
      </c>
      <c r="II215" s="212" t="str">
        <f>IF('Supp. Result Entry'!AH214="","",'Supp. Result Entry'!AH214)</f>
        <v/>
      </c>
      <c r="IJ215" s="212" t="str">
        <f>IF('Supp. Result Entry'!AK214="","",'Supp. Result Entry'!AK214)</f>
        <v/>
      </c>
      <c r="IK215" s="212" t="str">
        <f>IF('Supp. Result Entry'!W214="","",'Supp. Result Entry'!W214)</f>
        <v/>
      </c>
      <c r="IL215" s="212" t="str">
        <f>IF('Supp. Result Entry'!Z214="","",'Supp. Result Entry'!Z214)</f>
        <v/>
      </c>
      <c r="IM215" s="212" t="str">
        <f>IF('Supp. Result Entry'!AC214="","",'Supp. Result Entry'!AC214)</f>
        <v/>
      </c>
      <c r="IN215" s="212" t="str">
        <f>IF('Supp. Result Entry'!AF214="","",'Supp. Result Entry'!AF214)</f>
        <v/>
      </c>
      <c r="IO215" s="212" t="str">
        <f>IF('Supp. Result Entry'!AI214="","",'Supp. Result Entry'!AI214)</f>
        <v/>
      </c>
      <c r="IP215" s="212" t="str">
        <f>IF('Supp. Result Entry'!AL214="","",'Supp. Result Entry'!AL214)</f>
        <v/>
      </c>
      <c r="IQ215" s="212">
        <f>COUNTIF('Supp. Result Entry'!K214:Q214,"S")</f>
        <v>0</v>
      </c>
      <c r="IR215" s="212">
        <f t="shared" si="719"/>
        <v>0</v>
      </c>
      <c r="IS215" s="212">
        <f t="shared" si="720"/>
        <v>0</v>
      </c>
      <c r="IT215" s="212" t="str">
        <f t="shared" si="588"/>
        <v/>
      </c>
      <c r="IU215" s="212" t="str">
        <f t="shared" si="589"/>
        <v/>
      </c>
      <c r="IV215" s="212" t="str">
        <f t="shared" si="590"/>
        <v/>
      </c>
      <c r="IW215" s="212" t="str">
        <f t="shared" si="591"/>
        <v/>
      </c>
      <c r="IX215" s="212" t="str">
        <f t="shared" si="592"/>
        <v/>
      </c>
      <c r="IY215" s="212" t="str">
        <f t="shared" si="721"/>
        <v/>
      </c>
      <c r="IZ215" s="212" t="str">
        <f t="shared" si="722"/>
        <v/>
      </c>
      <c r="JA215" s="212" t="str">
        <f t="shared" si="593"/>
        <v/>
      </c>
      <c r="JB215" s="210" t="str">
        <f t="shared" si="723"/>
        <v/>
      </c>
    </row>
    <row r="216" spans="1:262" s="265" customFormat="1" ht="20.25" customHeight="1">
      <c r="A216" s="1241"/>
      <c r="B216" s="1242"/>
      <c r="C216" s="1242"/>
      <c r="D216" s="1242"/>
      <c r="E216" s="1243"/>
      <c r="F216" s="1253" t="str">
        <f>IF('Master Sheet'!D11="Hindi","अनुतीर्ण  :","Failed  :")</f>
        <v>अनुतीर्ण  :</v>
      </c>
      <c r="G216" s="1253"/>
      <c r="H216" s="1249" t="s">
        <v>77</v>
      </c>
      <c r="I216" s="1249"/>
      <c r="J216" s="1170">
        <f>IF(AND(J209="",J210=""),"",COUNTIF(FJ8:FJ207,"F")+COUNTIF(FJ8:FJ207,"FP"))</f>
        <v>0</v>
      </c>
      <c r="K216" s="1170"/>
      <c r="L216" s="1170"/>
      <c r="M216" s="1170"/>
      <c r="N216" s="1170"/>
      <c r="O216" s="1170"/>
      <c r="P216" s="1170"/>
      <c r="Q216" s="1170"/>
      <c r="R216" s="1170"/>
      <c r="S216" s="1170"/>
      <c r="T216" s="1170"/>
      <c r="U216" s="1170"/>
      <c r="V216" s="1170"/>
      <c r="W216" s="1170"/>
      <c r="X216" s="1170">
        <f>IF(AND(X209="",X210=""),"",COUNTIF(FM8:FM207,"F")+COUNTIF(FM8:FM207,"FP"))</f>
        <v>0</v>
      </c>
      <c r="Y216" s="1170"/>
      <c r="Z216" s="1170"/>
      <c r="AA216" s="1170"/>
      <c r="AB216" s="1170"/>
      <c r="AC216" s="1170"/>
      <c r="AD216" s="1170"/>
      <c r="AE216" s="1170"/>
      <c r="AF216" s="1170"/>
      <c r="AG216" s="1170"/>
      <c r="AH216" s="1170"/>
      <c r="AI216" s="1170"/>
      <c r="AJ216" s="1170"/>
      <c r="AK216" s="1170"/>
      <c r="AL216" s="1168">
        <f>IF(AND(AL209="",AL210=""),"",COUNTIF(FQ8:FQ207,"F")+COUNTIF(FQ8:FQ207,"FP"))</f>
        <v>1</v>
      </c>
      <c r="AM216" s="1168"/>
      <c r="AN216" s="1168"/>
      <c r="AO216" s="1168"/>
      <c r="AP216" s="1168"/>
      <c r="AQ216" s="1168">
        <f>IF(AND(AQ209="",AQ210=""),"",COUNTIF(FR8:FR207,"F")+COUNTIF(FR8:FR207,"FP"))</f>
        <v>1</v>
      </c>
      <c r="AR216" s="1168"/>
      <c r="AS216" s="1168"/>
      <c r="AT216" s="1168"/>
      <c r="AU216" s="1168"/>
      <c r="AV216" s="1168" t="str">
        <f>IF(AND(AV209="",AV210=""),"",COUNTIF(FS8:FS207,"F")+COUNTIF(FS8:FS207,"FP"))</f>
        <v/>
      </c>
      <c r="AW216" s="1168"/>
      <c r="AX216" s="1168"/>
      <c r="AY216" s="1168"/>
      <c r="AZ216" s="1168"/>
      <c r="BA216" s="258"/>
      <c r="BB216" s="259"/>
      <c r="BC216" s="259"/>
      <c r="BD216" s="259"/>
      <c r="BE216" s="253"/>
      <c r="BF216" s="253"/>
      <c r="BG216" s="253"/>
      <c r="BH216" s="260"/>
      <c r="BI216" s="1168">
        <f>IF(AND(BI209="",BI210=""),"",COUNTIF(FX8:FX207,"F")+COUNTIF(FX8:FX207,"FP"))</f>
        <v>1</v>
      </c>
      <c r="BJ216" s="1168"/>
      <c r="BK216" s="1168"/>
      <c r="BL216" s="1168"/>
      <c r="BM216" s="1168"/>
      <c r="BN216" s="1168">
        <f>IF(AND(BN209="",BN210=""),"",COUNTIF(FY8:FY207,"F")+COUNTIF(FY8:FY207,"FP"))</f>
        <v>0</v>
      </c>
      <c r="BO216" s="1168">
        <f>IF(AND(BO209="",BO210=""),"",COUNTIF(FY8:FY207,"F")+COUNTIF(FY8:FY207,"FP"))</f>
        <v>0</v>
      </c>
      <c r="BP216" s="1168"/>
      <c r="BQ216" s="1168"/>
      <c r="BR216" s="1168"/>
      <c r="BS216" s="1168">
        <f>IF(AND(BS209="",BS210=""),"",COUNTIF(FZ8:FZ207,"F")+COUNTIF(FZ8:FZ207,"FP"))</f>
        <v>0</v>
      </c>
      <c r="BT216" s="1168"/>
      <c r="BU216" s="1168"/>
      <c r="BV216" s="1168"/>
      <c r="BW216" s="1168"/>
      <c r="BX216" s="258"/>
      <c r="BY216" s="259"/>
      <c r="BZ216" s="259"/>
      <c r="CA216" s="259"/>
      <c r="CB216" s="253"/>
      <c r="CC216" s="253"/>
      <c r="CD216" s="253"/>
      <c r="CE216" s="260"/>
      <c r="CF216" s="1168">
        <f>IF(AND(CF209="",CF210=""),"",COUNTIF(GE8:GE207,"F")+COUNTIF(GE8:GE207,"FP"))</f>
        <v>0</v>
      </c>
      <c r="CG216" s="1168"/>
      <c r="CH216" s="1168"/>
      <c r="CI216" s="1168"/>
      <c r="CJ216" s="1168"/>
      <c r="CK216" s="1168">
        <f>IF(AND(CK209="",CK210=""),"",COUNTIF(GF8:GF207,"F")+COUNTIF(GF8:GF207,"FP"))</f>
        <v>0</v>
      </c>
      <c r="CL216" s="1168">
        <f>IF(AND(CL209="",CL210=""),"",COUNTIF(GF8:GF207,"F")+COUNTIF(GF8:GF207,"FP"))</f>
        <v>0</v>
      </c>
      <c r="CM216" s="1168"/>
      <c r="CN216" s="1168"/>
      <c r="CO216" s="1168"/>
      <c r="CP216" s="1168">
        <f>IF(AND(CP209="",CP210=""),"",COUNTIF(GG8:GG207,"F")+COUNTIF(GG8:GG207,"FP"))</f>
        <v>0</v>
      </c>
      <c r="CQ216" s="1168"/>
      <c r="CR216" s="1168"/>
      <c r="CS216" s="1168"/>
      <c r="CT216" s="1168"/>
      <c r="CU216" s="258"/>
      <c r="CV216" s="259"/>
      <c r="CW216" s="259"/>
      <c r="CX216" s="259"/>
      <c r="CY216" s="253"/>
      <c r="CZ216" s="253"/>
      <c r="DA216" s="253"/>
      <c r="DB216" s="260"/>
      <c r="DC216" s="253"/>
      <c r="DD216" s="1168" t="str">
        <f>IF(AND(DD209="",DD210=""),"",COUNTIF(GL8:GL207,"F")+COUNTIF(GL8:GL207,"FP"))</f>
        <v/>
      </c>
      <c r="DE216" s="1168"/>
      <c r="DF216" s="1168"/>
      <c r="DG216" s="1168"/>
      <c r="DH216" s="1168"/>
      <c r="DI216" s="1168" t="str">
        <f>IF(AND(DI209="",DI210=""),"",COUNTIF(GM8:GM207,"F")+COUNTIF(GM8:GM207,"FP"))</f>
        <v/>
      </c>
      <c r="DJ216" s="1168" t="e">
        <f>IF(AND(DJ209="",DJ210=""),"",COUNTIF(GM8:GM207,"F")+COUNTIF(GM8:GM207,"FP"))</f>
        <v>#REF!</v>
      </c>
      <c r="DK216" s="1168"/>
      <c r="DL216" s="1168"/>
      <c r="DM216" s="1168"/>
      <c r="DN216" s="1168" t="str">
        <f>IF(AND(DN209="",DN210=""),"",COUNTIF(GN8:GN207,"F")+COUNTIF(GN8:GN207,"FP"))</f>
        <v/>
      </c>
      <c r="DO216" s="1168" t="str">
        <f>IF(AND(DO209="",DO210=""),"",COUNTIF(GR8:GR207,"F")+COUNTIF(GR8:GR207,"FP"))</f>
        <v/>
      </c>
      <c r="DP216" s="1168"/>
      <c r="DQ216" s="1168"/>
      <c r="DR216" s="1168"/>
      <c r="DS216" s="1170">
        <f>IF(AND(DS209="",DS210=""),"",COUNTIF(GR8:GR207,"F"))</f>
        <v>0</v>
      </c>
      <c r="DT216" s="1170"/>
      <c r="DU216" s="1170"/>
      <c r="DV216" s="1170"/>
      <c r="DW216" s="1170"/>
      <c r="DX216" s="1170"/>
      <c r="DY216" s="1170"/>
      <c r="DZ216" s="1170"/>
      <c r="EA216" s="1170"/>
      <c r="EB216" s="1170"/>
      <c r="EC216" s="1170"/>
      <c r="ED216" s="1170"/>
      <c r="EE216" s="1170"/>
      <c r="EF216" s="1170"/>
      <c r="EG216" s="1170"/>
      <c r="EH216" s="1170"/>
      <c r="EI216" s="263"/>
      <c r="EJ216" s="263"/>
      <c r="EK216" s="263"/>
      <c r="EL216" s="218"/>
      <c r="EM216" s="218"/>
      <c r="EN216" s="218"/>
      <c r="EO216" s="218"/>
      <c r="EP216" s="218"/>
      <c r="EQ216" s="218"/>
      <c r="ER216" s="218"/>
      <c r="ES216" s="218"/>
      <c r="ET216" s="218"/>
      <c r="EU216" s="218"/>
      <c r="EV216" s="218"/>
      <c r="EW216" s="218"/>
      <c r="EX216" s="218"/>
      <c r="EY216" s="1281">
        <f>IF(AND(EY209="",EY210=""),"",COUNTIF(FF8:FF207,"F"))</f>
        <v>0</v>
      </c>
      <c r="EZ216" s="1282"/>
      <c r="FA216" s="1282"/>
      <c r="FB216" s="1282"/>
      <c r="FC216" s="1282"/>
      <c r="FD216" s="1282"/>
      <c r="FE216" s="1275"/>
      <c r="FF216" s="1276"/>
      <c r="FG216" s="227"/>
      <c r="FH216" s="227"/>
      <c r="FI216" s="227"/>
      <c r="FJ216" s="227"/>
      <c r="FK216" s="227"/>
      <c r="FL216" s="227"/>
      <c r="FM216" s="227"/>
      <c r="FN216" s="227"/>
      <c r="FO216" s="227"/>
      <c r="FP216" s="227"/>
      <c r="FQ216" s="227"/>
      <c r="FR216" s="227"/>
      <c r="FS216" s="227"/>
      <c r="FT216" s="227"/>
      <c r="FU216" s="227"/>
      <c r="FV216" s="227"/>
      <c r="FW216" s="227"/>
      <c r="FX216" s="227"/>
      <c r="FY216" s="227"/>
      <c r="FZ216" s="227"/>
      <c r="GA216" s="227"/>
      <c r="GB216" s="227"/>
      <c r="GC216" s="227"/>
      <c r="GD216" s="227"/>
      <c r="GE216" s="227"/>
      <c r="GF216" s="227"/>
      <c r="GG216" s="227"/>
      <c r="GH216" s="227"/>
      <c r="GI216" s="227"/>
      <c r="GJ216" s="227"/>
      <c r="GK216" s="227"/>
      <c r="GL216" s="227"/>
      <c r="GM216" s="227"/>
      <c r="GN216" s="227"/>
      <c r="GO216" s="227"/>
      <c r="GP216" s="227"/>
      <c r="GQ216" s="227"/>
      <c r="GR216" s="227"/>
      <c r="GS216" s="227"/>
      <c r="GT216" s="227"/>
      <c r="GU216" s="228"/>
      <c r="GV216" s="1166" t="str">
        <f>IF('Master Sheet'!D11="Hindi","हस्ताक्षर परीक्षा प्रभारी","Signature of the exam. Incharge")</f>
        <v>हस्ताक्षर परीक्षा प्रभारी</v>
      </c>
      <c r="GW216" s="1167"/>
      <c r="GX216" s="1176" t="str">
        <f>CONCATENATE("( ",UPPER('Master Sheet'!D14)," )")</f>
        <v>( HEERALAL JAT )</v>
      </c>
      <c r="GY216" s="1131" t="str">
        <f>IF('Master Sheet'!D11="Hindi","उतीर्ण प्रतिशत","Pass %")</f>
        <v>उतीर्ण प्रतिशत</v>
      </c>
      <c r="GZ216" s="1131"/>
      <c r="HA216" s="1131"/>
      <c r="HB216" s="1287">
        <f>IF(HB209=0,0,HB213/HB209*100)</f>
        <v>81.818181818181827</v>
      </c>
      <c r="HC216" s="1288"/>
      <c r="HD216" s="635"/>
      <c r="HE216" s="1161" t="str">
        <f>IF('Master Sheet'!D11="Hindi","उतीर्ण प्रतिशत","Pass %")</f>
        <v>उतीर्ण प्रतिशत</v>
      </c>
      <c r="HF216" s="1131"/>
      <c r="HG216" s="1131"/>
      <c r="HH216" s="264">
        <f>IF(HH209=0,0,HH213/HH209*100)</f>
        <v>100</v>
      </c>
      <c r="HI216" s="641">
        <f>IF(HB209=0,0,HI213/HB209*100)</f>
        <v>90.909090909090907</v>
      </c>
      <c r="HY216" s="211" t="str">
        <f>IF('Supp. Result Entry'!U215="","",'Supp. Result Entry'!$U$6)</f>
        <v/>
      </c>
      <c r="HZ216" s="212" t="str">
        <f>IF('Supp. Result Entry'!X215="","",'Supp. Result Entry'!$X$6)</f>
        <v/>
      </c>
      <c r="IA216" s="212" t="str">
        <f>IF('Supp. Result Entry'!AA215="","",'Supp. Result Entry'!$AA$6)</f>
        <v/>
      </c>
      <c r="IB216" s="212" t="str">
        <f>IF('Supp. Result Entry'!AD215="","",'Supp. Result Entry'!$AD$6)</f>
        <v/>
      </c>
      <c r="IC216" s="212" t="str">
        <f>IF('Supp. Result Entry'!AG215="","",'Supp. Result Entry'!$AG$6)</f>
        <v/>
      </c>
      <c r="ID216" s="212" t="str">
        <f>IF('Supp. Result Entry'!AJ215="","",'Supp. Result Entry'!$AJ$6)</f>
        <v/>
      </c>
      <c r="IE216" s="212" t="str">
        <f>IF('Supp. Result Entry'!V215="","",'Supp. Result Entry'!V215)</f>
        <v/>
      </c>
      <c r="IF216" s="212" t="str">
        <f>IF('Supp. Result Entry'!Y215="","",'Supp. Result Entry'!Y215)</f>
        <v/>
      </c>
      <c r="IG216" s="212" t="str">
        <f>IF('Supp. Result Entry'!AB215="","",'Supp. Result Entry'!AB215)</f>
        <v/>
      </c>
      <c r="IH216" s="212" t="str">
        <f>IF('Supp. Result Entry'!AE215="","",'Supp. Result Entry'!AE215)</f>
        <v/>
      </c>
      <c r="II216" s="212" t="str">
        <f>IF('Supp. Result Entry'!AH215="","",'Supp. Result Entry'!AH215)</f>
        <v/>
      </c>
      <c r="IJ216" s="212" t="str">
        <f>IF('Supp. Result Entry'!AK215="","",'Supp. Result Entry'!AK215)</f>
        <v/>
      </c>
      <c r="IK216" s="212" t="str">
        <f>IF('Supp. Result Entry'!W215="","",'Supp. Result Entry'!W215)</f>
        <v/>
      </c>
      <c r="IL216" s="212" t="str">
        <f>IF('Supp. Result Entry'!Z215="","",'Supp. Result Entry'!Z215)</f>
        <v/>
      </c>
      <c r="IM216" s="212" t="str">
        <f>IF('Supp. Result Entry'!AC215="","",'Supp. Result Entry'!AC215)</f>
        <v/>
      </c>
      <c r="IN216" s="212" t="str">
        <f>IF('Supp. Result Entry'!AF215="","",'Supp. Result Entry'!AF215)</f>
        <v/>
      </c>
      <c r="IO216" s="212" t="str">
        <f>IF('Supp. Result Entry'!AI215="","",'Supp. Result Entry'!AI215)</f>
        <v/>
      </c>
      <c r="IP216" s="212" t="str">
        <f>IF('Supp. Result Entry'!AL215="","",'Supp. Result Entry'!AL215)</f>
        <v/>
      </c>
      <c r="IQ216" s="212">
        <f>COUNTIF('Supp. Result Entry'!K215:Q215,"S")</f>
        <v>0</v>
      </c>
      <c r="IR216" s="212">
        <f t="shared" si="719"/>
        <v>0</v>
      </c>
      <c r="IS216" s="212">
        <f t="shared" si="720"/>
        <v>0</v>
      </c>
      <c r="IT216" s="212" t="str">
        <f t="shared" si="588"/>
        <v/>
      </c>
      <c r="IU216" s="212" t="str">
        <f t="shared" si="589"/>
        <v/>
      </c>
      <c r="IV216" s="212" t="str">
        <f t="shared" si="590"/>
        <v/>
      </c>
      <c r="IW216" s="212" t="str">
        <f t="shared" si="591"/>
        <v/>
      </c>
      <c r="IX216" s="212" t="str">
        <f t="shared" si="592"/>
        <v/>
      </c>
      <c r="IY216" s="212" t="str">
        <f t="shared" si="721"/>
        <v/>
      </c>
      <c r="IZ216" s="212" t="str">
        <f t="shared" si="722"/>
        <v/>
      </c>
      <c r="JA216" s="212" t="str">
        <f t="shared" si="593"/>
        <v/>
      </c>
      <c r="JB216" s="210" t="str">
        <f t="shared" si="723"/>
        <v/>
      </c>
    </row>
    <row r="217" spans="1:262" s="267" customFormat="1" ht="20.25" customHeight="1">
      <c r="A217" s="1241"/>
      <c r="B217" s="1242"/>
      <c r="C217" s="1242"/>
      <c r="D217" s="1242"/>
      <c r="E217" s="1243"/>
      <c r="F217" s="1253" t="str">
        <f>IF('Master Sheet'!D11="Hindi","पुनः परीक्षा तक परिणाम रोका गया  :","Result with held until re-exam  :")</f>
        <v>पुनः परीक्षा तक परिणाम रोका गया  :</v>
      </c>
      <c r="G217" s="1253"/>
      <c r="H217" s="1249" t="s">
        <v>77</v>
      </c>
      <c r="I217" s="1249"/>
      <c r="J217" s="1170">
        <f>IF(AND(J209="",J210=""),"",COUNTIF(FJ8:FJ207,"RW"))</f>
        <v>0</v>
      </c>
      <c r="K217" s="1170"/>
      <c r="L217" s="1170"/>
      <c r="M217" s="1170"/>
      <c r="N217" s="1170"/>
      <c r="O217" s="1170"/>
      <c r="P217" s="1170"/>
      <c r="Q217" s="1170"/>
      <c r="R217" s="1170"/>
      <c r="S217" s="1170"/>
      <c r="T217" s="1170"/>
      <c r="U217" s="1170"/>
      <c r="V217" s="1170"/>
      <c r="W217" s="1170"/>
      <c r="X217" s="1170">
        <f>IF(AND(X209="",X210=""),"",COUNTIF(FM8:FM207,"RW"))</f>
        <v>0</v>
      </c>
      <c r="Y217" s="1170"/>
      <c r="Z217" s="1170"/>
      <c r="AA217" s="1170"/>
      <c r="AB217" s="1170"/>
      <c r="AC217" s="1170"/>
      <c r="AD217" s="1170"/>
      <c r="AE217" s="1170"/>
      <c r="AF217" s="1170"/>
      <c r="AG217" s="1170"/>
      <c r="AH217" s="1170"/>
      <c r="AI217" s="1170"/>
      <c r="AJ217" s="1170"/>
      <c r="AK217" s="1170"/>
      <c r="AL217" s="1168">
        <f>IF(AND(AL209="",AL210=""),"",COUNTIF(FQ8:FQ207,"RW"))</f>
        <v>0</v>
      </c>
      <c r="AM217" s="1168"/>
      <c r="AN217" s="1168"/>
      <c r="AO217" s="1168"/>
      <c r="AP217" s="1168"/>
      <c r="AQ217" s="1168">
        <f>IF(AND(AQ209="",AQ210=""),"",COUNTIF(FR8:FR207,"RW"))</f>
        <v>0</v>
      </c>
      <c r="AR217" s="1168"/>
      <c r="AS217" s="1168"/>
      <c r="AT217" s="1168"/>
      <c r="AU217" s="1168"/>
      <c r="AV217" s="1168" t="str">
        <f>IF(AND(AV209="",AV210=""),"",COUNTIF(FS8:FS207,"RW"))</f>
        <v/>
      </c>
      <c r="AW217" s="1168"/>
      <c r="AX217" s="1168"/>
      <c r="AY217" s="1168"/>
      <c r="AZ217" s="1168"/>
      <c r="BA217" s="258"/>
      <c r="BB217" s="259"/>
      <c r="BC217" s="259"/>
      <c r="BD217" s="259"/>
      <c r="BE217" s="253"/>
      <c r="BF217" s="253"/>
      <c r="BG217" s="253"/>
      <c r="BH217" s="260"/>
      <c r="BI217" s="1168">
        <f>IF(AND(BI209="",BI210=""),"",COUNTIF(FX8:FX207,"RW"))</f>
        <v>0</v>
      </c>
      <c r="BJ217" s="1168"/>
      <c r="BK217" s="1168"/>
      <c r="BL217" s="1168"/>
      <c r="BM217" s="1168"/>
      <c r="BN217" s="1168">
        <f>IF(AND(BN209="",BN210=""),"",COUNTIF(FY8:FY207,"RW"))</f>
        <v>0</v>
      </c>
      <c r="BO217" s="1168">
        <f>IF(AND(BO209="",BO210=""),"",COUNTIF(FY8:FY207,"RW"))</f>
        <v>0</v>
      </c>
      <c r="BP217" s="1168"/>
      <c r="BQ217" s="1168"/>
      <c r="BR217" s="1168"/>
      <c r="BS217" s="1168">
        <f>IF(AND(BS209="",BS210=""),"",COUNTIF(FZ8:FZ207,"RW"))</f>
        <v>0</v>
      </c>
      <c r="BT217" s="1168"/>
      <c r="BU217" s="1168"/>
      <c r="BV217" s="1168"/>
      <c r="BW217" s="1168"/>
      <c r="BX217" s="258"/>
      <c r="BY217" s="259"/>
      <c r="BZ217" s="259"/>
      <c r="CA217" s="259"/>
      <c r="CB217" s="253"/>
      <c r="CC217" s="253"/>
      <c r="CD217" s="253"/>
      <c r="CE217" s="260"/>
      <c r="CF217" s="1168">
        <f>IF(AND(CF209="",CF210=""),"",COUNTIF(GE8:GE207,"RW"))</f>
        <v>0</v>
      </c>
      <c r="CG217" s="1168"/>
      <c r="CH217" s="1168"/>
      <c r="CI217" s="1168"/>
      <c r="CJ217" s="1168"/>
      <c r="CK217" s="1168">
        <f>IF(AND(CK209="",CK210=""),"",COUNTIF(GF8:GF207,"RW"))</f>
        <v>0</v>
      </c>
      <c r="CL217" s="1168">
        <f>IF(AND(CL209="",CL210=""),"",COUNTIF(GF8:GF207,"RW"))</f>
        <v>0</v>
      </c>
      <c r="CM217" s="1168"/>
      <c r="CN217" s="1168"/>
      <c r="CO217" s="1168"/>
      <c r="CP217" s="1168">
        <f>IF(AND(CP209="",CP210=""),"",COUNTIF(GG8:GG207,"RW"))</f>
        <v>0</v>
      </c>
      <c r="CQ217" s="1168"/>
      <c r="CR217" s="1168"/>
      <c r="CS217" s="1168"/>
      <c r="CT217" s="1168"/>
      <c r="CU217" s="258"/>
      <c r="CV217" s="259"/>
      <c r="CW217" s="259"/>
      <c r="CX217" s="259"/>
      <c r="CY217" s="253"/>
      <c r="CZ217" s="253"/>
      <c r="DA217" s="253"/>
      <c r="DB217" s="260"/>
      <c r="DC217" s="266"/>
      <c r="DD217" s="1168" t="str">
        <f>IF(AND(DD209="",DD210=""),"",COUNTIF(GL8:GL207,"RW"))</f>
        <v/>
      </c>
      <c r="DE217" s="1168"/>
      <c r="DF217" s="1168"/>
      <c r="DG217" s="1168"/>
      <c r="DH217" s="1168"/>
      <c r="DI217" s="1168" t="str">
        <f>IF(AND(DI209="",DI210=""),"",COUNTIF(GM8:GM207,"RW"))</f>
        <v/>
      </c>
      <c r="DJ217" s="1168" t="e">
        <f>IF(AND(DJ209="",DJ210=""),"",COUNTIF(GM8:GM207,"RW"))</f>
        <v>#REF!</v>
      </c>
      <c r="DK217" s="1168"/>
      <c r="DL217" s="1168"/>
      <c r="DM217" s="1168"/>
      <c r="DN217" s="1168" t="str">
        <f>IF(AND(DN209="",DN210=""),"",COUNTIF(GN8:GN207,"RW"))</f>
        <v/>
      </c>
      <c r="DO217" s="1168"/>
      <c r="DP217" s="1168"/>
      <c r="DQ217" s="1168"/>
      <c r="DR217" s="1168"/>
      <c r="DS217" s="1170">
        <f>IF(AND(DS209="",DS210=""),"",COUNTIF(GR8:GR207,"RW"))</f>
        <v>0</v>
      </c>
      <c r="DT217" s="1170"/>
      <c r="DU217" s="1170"/>
      <c r="DV217" s="1170"/>
      <c r="DW217" s="1170"/>
      <c r="DX217" s="1170"/>
      <c r="DY217" s="1170"/>
      <c r="DZ217" s="1170"/>
      <c r="EA217" s="1170"/>
      <c r="EB217" s="1170"/>
      <c r="EC217" s="1170"/>
      <c r="ED217" s="1170"/>
      <c r="EE217" s="1170"/>
      <c r="EF217" s="1170"/>
      <c r="EG217" s="1170"/>
      <c r="EH217" s="1170"/>
      <c r="EI217" s="263"/>
      <c r="EJ217" s="263"/>
      <c r="EK217" s="263"/>
      <c r="EL217" s="218"/>
      <c r="EM217" s="218"/>
      <c r="EN217" s="218"/>
      <c r="EO217" s="218"/>
      <c r="EP217" s="218"/>
      <c r="EQ217" s="218"/>
      <c r="ER217" s="218"/>
      <c r="ES217" s="218"/>
      <c r="ET217" s="218"/>
      <c r="EU217" s="218"/>
      <c r="EV217" s="218"/>
      <c r="EW217" s="218"/>
      <c r="EX217" s="218"/>
      <c r="EY217" s="1281">
        <f>IF(AND(EY209="",EY210=""),"",COUNTIF(FF8:FF207,"RW"))</f>
        <v>0</v>
      </c>
      <c r="EZ217" s="1282"/>
      <c r="FA217" s="1282"/>
      <c r="FB217" s="1282"/>
      <c r="FC217" s="1282"/>
      <c r="FD217" s="1282"/>
      <c r="FE217" s="1275"/>
      <c r="FF217" s="1276"/>
      <c r="FG217" s="227"/>
      <c r="FH217" s="227"/>
      <c r="FI217" s="227"/>
      <c r="FJ217" s="227"/>
      <c r="FK217" s="227"/>
      <c r="FL217" s="227"/>
      <c r="FM217" s="227"/>
      <c r="FN217" s="227"/>
      <c r="FO217" s="227"/>
      <c r="FP217" s="227"/>
      <c r="FQ217" s="227"/>
      <c r="FR217" s="227"/>
      <c r="FS217" s="227"/>
      <c r="FT217" s="227"/>
      <c r="FU217" s="227"/>
      <c r="FV217" s="227"/>
      <c r="FW217" s="227"/>
      <c r="FX217" s="227"/>
      <c r="FY217" s="227"/>
      <c r="FZ217" s="227"/>
      <c r="GA217" s="227"/>
      <c r="GB217" s="227"/>
      <c r="GC217" s="227"/>
      <c r="GD217" s="227"/>
      <c r="GE217" s="227"/>
      <c r="GF217" s="227"/>
      <c r="GG217" s="227"/>
      <c r="GH217" s="227"/>
      <c r="GI217" s="227"/>
      <c r="GJ217" s="227"/>
      <c r="GK217" s="227"/>
      <c r="GL217" s="227"/>
      <c r="GM217" s="227"/>
      <c r="GN217" s="227"/>
      <c r="GO217" s="227"/>
      <c r="GP217" s="227"/>
      <c r="GQ217" s="227"/>
      <c r="GR217" s="227"/>
      <c r="GS217" s="227"/>
      <c r="GT217" s="227"/>
      <c r="GU217" s="228"/>
      <c r="GV217" s="1166"/>
      <c r="GW217" s="1167"/>
      <c r="GX217" s="1176"/>
      <c r="GY217" s="1131" t="str">
        <f>IF('Master Sheet'!D11="Hindi","पुनः परीक्षा","Re-Exam")</f>
        <v>पुनः परीक्षा</v>
      </c>
      <c r="GZ217" s="1131"/>
      <c r="HA217" s="1131"/>
      <c r="HB217" s="1289">
        <f>COUNTIF(GY8:GY207,"Re-Exam")</f>
        <v>0</v>
      </c>
      <c r="HC217" s="1290"/>
      <c r="HD217" s="635"/>
      <c r="HE217" s="1161" t="str">
        <f>IF('Master Sheet'!D11="Hindi","पुनः परीक्षा","Re-Exam")</f>
        <v>पुनः परीक्षा</v>
      </c>
      <c r="HF217" s="1131"/>
      <c r="HG217" s="1131"/>
      <c r="HH217" s="602">
        <f>COUNTIF(HH8:HH207,"RE-Exam")</f>
        <v>0</v>
      </c>
      <c r="HI217" s="642">
        <f>HH217</f>
        <v>0</v>
      </c>
      <c r="HY217" s="211" t="str">
        <f>IF('Supp. Result Entry'!U216="","",'Supp. Result Entry'!$U$6)</f>
        <v/>
      </c>
      <c r="HZ217" s="212" t="str">
        <f>IF('Supp. Result Entry'!X216="","",'Supp. Result Entry'!$X$6)</f>
        <v/>
      </c>
      <c r="IA217" s="212" t="str">
        <f>IF('Supp. Result Entry'!AA216="","",'Supp. Result Entry'!$AA$6)</f>
        <v/>
      </c>
      <c r="IB217" s="212" t="str">
        <f>IF('Supp. Result Entry'!AD216="","",'Supp. Result Entry'!$AD$6)</f>
        <v/>
      </c>
      <c r="IC217" s="212" t="str">
        <f>IF('Supp. Result Entry'!AG216="","",'Supp. Result Entry'!$AG$6)</f>
        <v/>
      </c>
      <c r="ID217" s="212" t="str">
        <f>IF('Supp. Result Entry'!AJ216="","",'Supp. Result Entry'!$AJ$6)</f>
        <v/>
      </c>
      <c r="IE217" s="212" t="str">
        <f>IF('Supp. Result Entry'!V216="","",'Supp. Result Entry'!V216)</f>
        <v/>
      </c>
      <c r="IF217" s="212" t="str">
        <f>IF('Supp. Result Entry'!Y216="","",'Supp. Result Entry'!Y216)</f>
        <v/>
      </c>
      <c r="IG217" s="212" t="str">
        <f>IF('Supp. Result Entry'!AB216="","",'Supp. Result Entry'!AB216)</f>
        <v/>
      </c>
      <c r="IH217" s="212" t="str">
        <f>IF('Supp. Result Entry'!AE216="","",'Supp. Result Entry'!AE216)</f>
        <v/>
      </c>
      <c r="II217" s="212" t="str">
        <f>IF('Supp. Result Entry'!AH216="","",'Supp. Result Entry'!AH216)</f>
        <v/>
      </c>
      <c r="IJ217" s="212" t="str">
        <f>IF('Supp. Result Entry'!AK216="","",'Supp. Result Entry'!AK216)</f>
        <v/>
      </c>
      <c r="IK217" s="212" t="str">
        <f>IF('Supp. Result Entry'!W216="","",'Supp. Result Entry'!W216)</f>
        <v/>
      </c>
      <c r="IL217" s="212" t="str">
        <f>IF('Supp. Result Entry'!Z216="","",'Supp. Result Entry'!Z216)</f>
        <v/>
      </c>
      <c r="IM217" s="212" t="str">
        <f>IF('Supp. Result Entry'!AC216="","",'Supp. Result Entry'!AC216)</f>
        <v/>
      </c>
      <c r="IN217" s="212" t="str">
        <f>IF('Supp. Result Entry'!AF216="","",'Supp. Result Entry'!AF216)</f>
        <v/>
      </c>
      <c r="IO217" s="212" t="str">
        <f>IF('Supp. Result Entry'!AI216="","",'Supp. Result Entry'!AI216)</f>
        <v/>
      </c>
      <c r="IP217" s="212" t="str">
        <f>IF('Supp. Result Entry'!AL216="","",'Supp. Result Entry'!AL216)</f>
        <v/>
      </c>
      <c r="IQ217" s="212">
        <f>COUNTIF('Supp. Result Entry'!K216:Q216,"S")</f>
        <v>0</v>
      </c>
      <c r="IR217" s="212">
        <f t="shared" si="719"/>
        <v>0</v>
      </c>
      <c r="IS217" s="212">
        <f t="shared" si="720"/>
        <v>0</v>
      </c>
      <c r="IT217" s="212" t="str">
        <f t="shared" si="588"/>
        <v/>
      </c>
      <c r="IU217" s="212" t="str">
        <f t="shared" si="589"/>
        <v/>
      </c>
      <c r="IV217" s="212" t="str">
        <f t="shared" si="590"/>
        <v/>
      </c>
      <c r="IW217" s="212" t="str">
        <f t="shared" si="591"/>
        <v/>
      </c>
      <c r="IX217" s="212" t="str">
        <f t="shared" si="592"/>
        <v/>
      </c>
      <c r="IY217" s="212" t="str">
        <f t="shared" si="721"/>
        <v/>
      </c>
      <c r="IZ217" s="212" t="str">
        <f t="shared" si="722"/>
        <v/>
      </c>
      <c r="JA217" s="212" t="str">
        <f t="shared" si="593"/>
        <v/>
      </c>
      <c r="JB217" s="210" t="str">
        <f t="shared" si="723"/>
        <v/>
      </c>
    </row>
    <row r="218" spans="1:262" s="265" customFormat="1" ht="21" customHeight="1">
      <c r="A218" s="1241"/>
      <c r="B218" s="1242"/>
      <c r="C218" s="1242"/>
      <c r="D218" s="1242"/>
      <c r="E218" s="1243"/>
      <c r="F218" s="1247" t="str">
        <f>IF('Master Sheet'!D11="Hindi","अनुपस्थिति  :","Absence  :")</f>
        <v>अनुपस्थिति  :</v>
      </c>
      <c r="G218" s="1247"/>
      <c r="H218" s="1249" t="s">
        <v>77</v>
      </c>
      <c r="I218" s="1249"/>
      <c r="J218" s="1170">
        <f>IF(AND(J209="",J210=""),"",COUNTIF(FJ8:FJ207,"AB"))</f>
        <v>0</v>
      </c>
      <c r="K218" s="1170"/>
      <c r="L218" s="1170"/>
      <c r="M218" s="1170"/>
      <c r="N218" s="1170"/>
      <c r="O218" s="1170"/>
      <c r="P218" s="1170"/>
      <c r="Q218" s="1170"/>
      <c r="R218" s="1170"/>
      <c r="S218" s="1170"/>
      <c r="T218" s="1170"/>
      <c r="U218" s="1170"/>
      <c r="V218" s="1170"/>
      <c r="W218" s="1170"/>
      <c r="X218" s="1170">
        <f>IF(AND(X209="",X210=""),"",COUNTIF(FM8:FM207,"AB"))</f>
        <v>0</v>
      </c>
      <c r="Y218" s="1170"/>
      <c r="Z218" s="1170"/>
      <c r="AA218" s="1170"/>
      <c r="AB218" s="1170"/>
      <c r="AC218" s="1170"/>
      <c r="AD218" s="1170"/>
      <c r="AE218" s="1170"/>
      <c r="AF218" s="1170"/>
      <c r="AG218" s="1170"/>
      <c r="AH218" s="1170"/>
      <c r="AI218" s="1170"/>
      <c r="AJ218" s="1170"/>
      <c r="AK218" s="1170"/>
      <c r="AL218" s="1168">
        <f>IF(AND(AL209="",AL210=""),"",COUNTIF(FQ8:FQ207,"AB"))</f>
        <v>0</v>
      </c>
      <c r="AM218" s="1168"/>
      <c r="AN218" s="1168"/>
      <c r="AO218" s="1168"/>
      <c r="AP218" s="1168"/>
      <c r="AQ218" s="1168">
        <f>IF(AND(AQ209="",AQ210=""),"",COUNTIF(FR8:FR207,"AB"))</f>
        <v>0</v>
      </c>
      <c r="AR218" s="1168"/>
      <c r="AS218" s="1168"/>
      <c r="AT218" s="1168"/>
      <c r="AU218" s="1168"/>
      <c r="AV218" s="1168" t="str">
        <f>IF(AND(AV209="",AV210=""),"",COUNTIF(FS8:FS207,"AB"))</f>
        <v/>
      </c>
      <c r="AW218" s="1168"/>
      <c r="AX218" s="1168"/>
      <c r="AY218" s="1168"/>
      <c r="AZ218" s="1168"/>
      <c r="BA218" s="258"/>
      <c r="BB218" s="259"/>
      <c r="BC218" s="259"/>
      <c r="BD218" s="259"/>
      <c r="BE218" s="253"/>
      <c r="BF218" s="253"/>
      <c r="BG218" s="253"/>
      <c r="BH218" s="260"/>
      <c r="BI218" s="1168">
        <f>IF(AND(BI209="",BI210=""),"",COUNTIF(FX8:FX207,"AB"))</f>
        <v>0</v>
      </c>
      <c r="BJ218" s="1168"/>
      <c r="BK218" s="1168"/>
      <c r="BL218" s="1168"/>
      <c r="BM218" s="1168"/>
      <c r="BN218" s="1168">
        <f>IF(AND(BN209="",BN210=""),"",COUNTIF(FY8:FY207,"AB"))</f>
        <v>0</v>
      </c>
      <c r="BO218" s="1168">
        <f>IF(AND(BO209="",BO210=""),"",COUNTIF(FY8:FY207,"AB"))</f>
        <v>0</v>
      </c>
      <c r="BP218" s="1168"/>
      <c r="BQ218" s="1168"/>
      <c r="BR218" s="1168"/>
      <c r="BS218" s="1168">
        <f>IF(AND(BS209="",BS210=""),"",COUNTIF(FZ8:FZ207,"AB"))</f>
        <v>0</v>
      </c>
      <c r="BT218" s="1168"/>
      <c r="BU218" s="1168"/>
      <c r="BV218" s="1168"/>
      <c r="BW218" s="1168"/>
      <c r="BX218" s="258"/>
      <c r="BY218" s="259"/>
      <c r="BZ218" s="259"/>
      <c r="CA218" s="259"/>
      <c r="CB218" s="253"/>
      <c r="CC218" s="253"/>
      <c r="CD218" s="253"/>
      <c r="CE218" s="260"/>
      <c r="CF218" s="1168">
        <f>IF(AND(CF209="",CF210=""),"",COUNTIF(GE8:GE207,"AB"))</f>
        <v>0</v>
      </c>
      <c r="CG218" s="1168"/>
      <c r="CH218" s="1168"/>
      <c r="CI218" s="1168"/>
      <c r="CJ218" s="1168"/>
      <c r="CK218" s="1168">
        <f>IF(AND(CK209="",CK210=""),"",COUNTIF(GF8:GF207,"AB"))</f>
        <v>0</v>
      </c>
      <c r="CL218" s="1168">
        <f>IF(AND(CL209="",CL210=""),"",COUNTIF(GF8:GF207,"AB"))</f>
        <v>0</v>
      </c>
      <c r="CM218" s="1168"/>
      <c r="CN218" s="1168"/>
      <c r="CO218" s="1168"/>
      <c r="CP218" s="1168">
        <f>IF(AND(CP209="",CP210=""),"",COUNTIF(GG8:GG207,"AB"))</f>
        <v>0</v>
      </c>
      <c r="CQ218" s="1168"/>
      <c r="CR218" s="1168"/>
      <c r="CS218" s="1168"/>
      <c r="CT218" s="1168"/>
      <c r="CU218" s="258"/>
      <c r="CV218" s="259"/>
      <c r="CW218" s="259"/>
      <c r="CX218" s="259"/>
      <c r="CY218" s="253"/>
      <c r="CZ218" s="253"/>
      <c r="DA218" s="253"/>
      <c r="DB218" s="260"/>
      <c r="DC218" s="266"/>
      <c r="DD218" s="1168" t="str">
        <f>IF(AND(DD209="",DD210=""),"",COUNTIF(GL8:GL207,"AB"))</f>
        <v/>
      </c>
      <c r="DE218" s="1168"/>
      <c r="DF218" s="1168"/>
      <c r="DG218" s="1168"/>
      <c r="DH218" s="1168"/>
      <c r="DI218" s="1168" t="str">
        <f>IF(AND(DI209="",DI210=""),"",COUNTIF(GM8:GM207,"AB"))</f>
        <v/>
      </c>
      <c r="DJ218" s="1168" t="e">
        <f>IF(AND(DJ209="",DJ210=""),"",COUNTIF(GM8:GM207,"AB"))</f>
        <v>#REF!</v>
      </c>
      <c r="DK218" s="1168"/>
      <c r="DL218" s="1168"/>
      <c r="DM218" s="1168"/>
      <c r="DN218" s="1168" t="str">
        <f>IF(AND(DN209="",DN210=""),"",COUNTIF(GN8:GN207,"AB"))</f>
        <v/>
      </c>
      <c r="DO218" s="1168"/>
      <c r="DP218" s="1168"/>
      <c r="DQ218" s="1168"/>
      <c r="DR218" s="1168"/>
      <c r="DS218" s="1170">
        <f>IF(AND(DS209="",DS210=""),"",COUNTIF(GR8:GR207,"AB"))</f>
        <v>0</v>
      </c>
      <c r="DT218" s="1170"/>
      <c r="DU218" s="1170"/>
      <c r="DV218" s="1170"/>
      <c r="DW218" s="1170"/>
      <c r="DX218" s="1170"/>
      <c r="DY218" s="1170"/>
      <c r="DZ218" s="1170"/>
      <c r="EA218" s="1170"/>
      <c r="EB218" s="1170"/>
      <c r="EC218" s="1170"/>
      <c r="ED218" s="1170"/>
      <c r="EE218" s="1170"/>
      <c r="EF218" s="1170"/>
      <c r="EG218" s="1170"/>
      <c r="EH218" s="1170"/>
      <c r="EI218" s="263"/>
      <c r="EJ218" s="263"/>
      <c r="EK218" s="263"/>
      <c r="EL218" s="218"/>
      <c r="EM218" s="218"/>
      <c r="EN218" s="218"/>
      <c r="EO218" s="218"/>
      <c r="EP218" s="218"/>
      <c r="EQ218" s="218"/>
      <c r="ER218" s="218"/>
      <c r="ES218" s="218"/>
      <c r="ET218" s="218"/>
      <c r="EU218" s="218"/>
      <c r="EV218" s="218"/>
      <c r="EW218" s="218"/>
      <c r="EX218" s="218"/>
      <c r="EY218" s="1281">
        <f>IF(AND(EY209="",EY210=""),"",COUNTIF(FF8:FF207,"AB"))</f>
        <v>0</v>
      </c>
      <c r="EZ218" s="1282"/>
      <c r="FA218" s="1282"/>
      <c r="FB218" s="1282"/>
      <c r="FC218" s="1282"/>
      <c r="FD218" s="1282"/>
      <c r="FE218" s="1275"/>
      <c r="FF218" s="1276"/>
      <c r="FG218" s="227"/>
      <c r="FH218" s="227"/>
      <c r="FI218" s="227"/>
      <c r="FJ218" s="227"/>
      <c r="FK218" s="227"/>
      <c r="FL218" s="227"/>
      <c r="FM218" s="227"/>
      <c r="FN218" s="227"/>
      <c r="FO218" s="227"/>
      <c r="FP218" s="227"/>
      <c r="FQ218" s="227"/>
      <c r="FR218" s="227"/>
      <c r="FS218" s="227"/>
      <c r="FT218" s="227"/>
      <c r="FU218" s="227"/>
      <c r="FV218" s="227"/>
      <c r="FW218" s="227"/>
      <c r="FX218" s="227"/>
      <c r="FY218" s="227"/>
      <c r="FZ218" s="227"/>
      <c r="GA218" s="227"/>
      <c r="GB218" s="227"/>
      <c r="GC218" s="227"/>
      <c r="GD218" s="227"/>
      <c r="GE218" s="227"/>
      <c r="GF218" s="227"/>
      <c r="GG218" s="227"/>
      <c r="GH218" s="227"/>
      <c r="GI218" s="227"/>
      <c r="GJ218" s="227"/>
      <c r="GK218" s="227"/>
      <c r="GL218" s="227"/>
      <c r="GM218" s="227"/>
      <c r="GN218" s="227"/>
      <c r="GO218" s="227"/>
      <c r="GP218" s="227"/>
      <c r="GQ218" s="227"/>
      <c r="GR218" s="227"/>
      <c r="GS218" s="227"/>
      <c r="GT218" s="227"/>
      <c r="GU218" s="228"/>
      <c r="GV218" s="1166" t="str">
        <f>IF('Master Sheet'!D11="Hindi","हस्ताक्षर संस्था प्रधान","Head of Institute's Signature")</f>
        <v>हस्ताक्षर संस्था प्रधान</v>
      </c>
      <c r="GW218" s="1167"/>
      <c r="GX218" s="1176" t="str">
        <f>CONCATENATE("( ",UPPER('Master Sheet'!D12)," )")</f>
        <v>( USHA PALIYA )</v>
      </c>
      <c r="GY218" s="1131" t="str">
        <f>IF('Master Sheet'!D11="Hindi","नाम पृथक","NSO")</f>
        <v>नाम पृथक</v>
      </c>
      <c r="GZ218" s="1131"/>
      <c r="HA218" s="1131"/>
      <c r="HB218" s="1177">
        <f>COUNTIF(B8:B207,"nso")</f>
        <v>0</v>
      </c>
      <c r="HC218" s="1178"/>
      <c r="HD218" s="636"/>
      <c r="HE218" s="1161" t="str">
        <f>IF('Master Sheet'!D11="Hindi","नाम पृथक","NSO")</f>
        <v>नाम पृथक</v>
      </c>
      <c r="HF218" s="1131"/>
      <c r="HG218" s="1131"/>
      <c r="HH218" s="603">
        <f>COUNTIF(HH8:HH207,"NSO")</f>
        <v>0</v>
      </c>
      <c r="HI218" s="642">
        <f>COUNTIF(B8:B207,"nso")</f>
        <v>0</v>
      </c>
      <c r="HJ218" s="268"/>
      <c r="HY218" s="211" t="str">
        <f>IF('Supp. Result Entry'!U217="","",'Supp. Result Entry'!$U$6)</f>
        <v/>
      </c>
      <c r="HZ218" s="212" t="str">
        <f>IF('Supp. Result Entry'!X217="","",'Supp. Result Entry'!$X$6)</f>
        <v/>
      </c>
      <c r="IA218" s="212" t="str">
        <f>IF('Supp. Result Entry'!AA217="","",'Supp. Result Entry'!$AA$6)</f>
        <v/>
      </c>
      <c r="IB218" s="212" t="str">
        <f>IF('Supp. Result Entry'!AD217="","",'Supp. Result Entry'!$AD$6)</f>
        <v/>
      </c>
      <c r="IC218" s="212" t="str">
        <f>IF('Supp. Result Entry'!AG217="","",'Supp. Result Entry'!$AG$6)</f>
        <v/>
      </c>
      <c r="ID218" s="212" t="str">
        <f>IF('Supp. Result Entry'!AJ217="","",'Supp. Result Entry'!$AJ$6)</f>
        <v/>
      </c>
      <c r="IE218" s="212" t="str">
        <f>IF('Supp. Result Entry'!V217="","",'Supp. Result Entry'!V217)</f>
        <v/>
      </c>
      <c r="IF218" s="212" t="str">
        <f>IF('Supp. Result Entry'!Y217="","",'Supp. Result Entry'!Y217)</f>
        <v/>
      </c>
      <c r="IG218" s="212" t="str">
        <f>IF('Supp. Result Entry'!AB217="","",'Supp. Result Entry'!AB217)</f>
        <v/>
      </c>
      <c r="IH218" s="212" t="str">
        <f>IF('Supp. Result Entry'!AE217="","",'Supp. Result Entry'!AE217)</f>
        <v/>
      </c>
      <c r="II218" s="212" t="str">
        <f>IF('Supp. Result Entry'!AH217="","",'Supp. Result Entry'!AH217)</f>
        <v/>
      </c>
      <c r="IJ218" s="212" t="str">
        <f>IF('Supp. Result Entry'!AK217="","",'Supp. Result Entry'!AK217)</f>
        <v/>
      </c>
      <c r="IK218" s="212" t="str">
        <f>IF('Supp. Result Entry'!W217="","",'Supp. Result Entry'!W217)</f>
        <v/>
      </c>
      <c r="IL218" s="212" t="str">
        <f>IF('Supp. Result Entry'!Z217="","",'Supp. Result Entry'!Z217)</f>
        <v/>
      </c>
      <c r="IM218" s="212" t="str">
        <f>IF('Supp. Result Entry'!AC217="","",'Supp. Result Entry'!AC217)</f>
        <v/>
      </c>
      <c r="IN218" s="212" t="str">
        <f>IF('Supp. Result Entry'!AF217="","",'Supp. Result Entry'!AF217)</f>
        <v/>
      </c>
      <c r="IO218" s="212" t="str">
        <f>IF('Supp. Result Entry'!AI217="","",'Supp. Result Entry'!AI217)</f>
        <v/>
      </c>
      <c r="IP218" s="212" t="str">
        <f>IF('Supp. Result Entry'!AL217="","",'Supp. Result Entry'!AL217)</f>
        <v/>
      </c>
      <c r="IQ218" s="212">
        <f>COUNTIF('Supp. Result Entry'!K217:Q217,"S")</f>
        <v>0</v>
      </c>
      <c r="IR218" s="212">
        <f t="shared" si="719"/>
        <v>0</v>
      </c>
      <c r="IS218" s="212">
        <f t="shared" si="720"/>
        <v>0</v>
      </c>
      <c r="IT218" s="212" t="str">
        <f t="shared" si="588"/>
        <v/>
      </c>
      <c r="IU218" s="212" t="str">
        <f t="shared" si="589"/>
        <v/>
      </c>
      <c r="IV218" s="212" t="str">
        <f t="shared" si="590"/>
        <v/>
      </c>
      <c r="IW218" s="212" t="str">
        <f t="shared" si="591"/>
        <v/>
      </c>
      <c r="IX218" s="212" t="str">
        <f t="shared" si="592"/>
        <v/>
      </c>
      <c r="IY218" s="212" t="str">
        <f t="shared" si="721"/>
        <v/>
      </c>
      <c r="IZ218" s="212" t="str">
        <f t="shared" si="722"/>
        <v/>
      </c>
      <c r="JA218" s="212" t="str">
        <f t="shared" si="593"/>
        <v/>
      </c>
      <c r="JB218" s="210" t="str">
        <f t="shared" si="723"/>
        <v/>
      </c>
    </row>
    <row r="219" spans="1:262" s="265" customFormat="1" ht="20.25" customHeight="1" thickBot="1">
      <c r="A219" s="1244"/>
      <c r="B219" s="1245"/>
      <c r="C219" s="1245"/>
      <c r="D219" s="1245"/>
      <c r="E219" s="1246"/>
      <c r="F219" s="1247" t="str">
        <f>IF('Master Sheet'!D11="Hindi","पुनः परीक्षा वाले विद्यार्थियों की संख्या  :","No. of students for re-exam. :")</f>
        <v>पुनः परीक्षा वाले विद्यार्थियों की संख्या  :</v>
      </c>
      <c r="G219" s="1247"/>
      <c r="H219" s="1249" t="s">
        <v>77</v>
      </c>
      <c r="I219" s="1249"/>
      <c r="J219" s="1170">
        <f>IF(AND(J209="",J210=""),"",COUNTIF(FJ8:FJ207,"RE"))</f>
        <v>0</v>
      </c>
      <c r="K219" s="1170"/>
      <c r="L219" s="1170"/>
      <c r="M219" s="1170"/>
      <c r="N219" s="1170"/>
      <c r="O219" s="1170"/>
      <c r="P219" s="1170"/>
      <c r="Q219" s="1170"/>
      <c r="R219" s="1170"/>
      <c r="S219" s="1170"/>
      <c r="T219" s="1170"/>
      <c r="U219" s="1170"/>
      <c r="V219" s="1170"/>
      <c r="W219" s="1170"/>
      <c r="X219" s="1170">
        <f>IF(AND(X209="",X210=""),"",COUNTIF(FM8:FM207,"RE"))</f>
        <v>0</v>
      </c>
      <c r="Y219" s="1170"/>
      <c r="Z219" s="1170"/>
      <c r="AA219" s="1170"/>
      <c r="AB219" s="1170"/>
      <c r="AC219" s="1170"/>
      <c r="AD219" s="1170"/>
      <c r="AE219" s="1170"/>
      <c r="AF219" s="1170"/>
      <c r="AG219" s="1170"/>
      <c r="AH219" s="1170"/>
      <c r="AI219" s="1170"/>
      <c r="AJ219" s="1170"/>
      <c r="AK219" s="1170"/>
      <c r="AL219" s="1168">
        <f>IF(AND(AL209="",AL210=""),"",COUNTIF(FQ8:FQ207,"RE"))</f>
        <v>0</v>
      </c>
      <c r="AM219" s="1168"/>
      <c r="AN219" s="1168"/>
      <c r="AO219" s="1168"/>
      <c r="AP219" s="1168"/>
      <c r="AQ219" s="1168">
        <f>IF(AND(AQ209="",AQ210=""),"",COUNTIF(FR8:FR207,"RE"))</f>
        <v>0</v>
      </c>
      <c r="AR219" s="1168"/>
      <c r="AS219" s="1168"/>
      <c r="AT219" s="1168"/>
      <c r="AU219" s="1168"/>
      <c r="AV219" s="1168" t="str">
        <f>IF(AND(AV209="",AV210=""),"",COUNTIF(FS8:FS207,"RE"))</f>
        <v/>
      </c>
      <c r="AW219" s="1168"/>
      <c r="AX219" s="1168"/>
      <c r="AY219" s="1168"/>
      <c r="AZ219" s="1168"/>
      <c r="BA219" s="258"/>
      <c r="BB219" s="259"/>
      <c r="BC219" s="259"/>
      <c r="BD219" s="259"/>
      <c r="BE219" s="253"/>
      <c r="BF219" s="253"/>
      <c r="BG219" s="253"/>
      <c r="BH219" s="253"/>
      <c r="BI219" s="1168">
        <f>IF(AND(BI209="",BI210=""),"",COUNTIF(FX8:FX207,"RE"))</f>
        <v>0</v>
      </c>
      <c r="BJ219" s="1168"/>
      <c r="BK219" s="1168"/>
      <c r="BL219" s="1168"/>
      <c r="BM219" s="1168"/>
      <c r="BN219" s="1168">
        <f>IF(AND(BN209="",BN210=""),"",COUNTIF(FY8:FY207,"RE"))</f>
        <v>0</v>
      </c>
      <c r="BO219" s="1168">
        <f>IF(AND(BO209="",BO210=""),"",COUNTIF(FY8:FY207,"RE"))</f>
        <v>0</v>
      </c>
      <c r="BP219" s="1168"/>
      <c r="BQ219" s="1168"/>
      <c r="BR219" s="1168"/>
      <c r="BS219" s="1168">
        <f>IF(AND(BS209="",BS210=""),"",COUNTIF(FZ8:FZ207,"RE"))</f>
        <v>0</v>
      </c>
      <c r="BT219" s="1168"/>
      <c r="BU219" s="1168"/>
      <c r="BV219" s="1168"/>
      <c r="BW219" s="1168"/>
      <c r="BX219" s="258"/>
      <c r="BY219" s="259"/>
      <c r="BZ219" s="259"/>
      <c r="CA219" s="259"/>
      <c r="CB219" s="253"/>
      <c r="CC219" s="253"/>
      <c r="CD219" s="253"/>
      <c r="CE219" s="253"/>
      <c r="CF219" s="1168">
        <f>IF(AND(CF209="",CF210=""),"",COUNTIF(GE8:GE207,"RE"))</f>
        <v>0</v>
      </c>
      <c r="CG219" s="1168"/>
      <c r="CH219" s="1168"/>
      <c r="CI219" s="1168"/>
      <c r="CJ219" s="1168"/>
      <c r="CK219" s="1168">
        <f>IF(AND(CK209="",CK210=""),"",COUNTIF(GF8:GF207,"RE"))</f>
        <v>0</v>
      </c>
      <c r="CL219" s="1168">
        <f>IF(AND(CL209="",CL210=""),"",COUNTIF(GF8:GF207,"RE"))</f>
        <v>0</v>
      </c>
      <c r="CM219" s="1168"/>
      <c r="CN219" s="1168"/>
      <c r="CO219" s="1168"/>
      <c r="CP219" s="1168">
        <f>IF(AND(CP209="",CP210=""),"",COUNTIF(GG8:GG207,"RE"))</f>
        <v>0</v>
      </c>
      <c r="CQ219" s="1168"/>
      <c r="CR219" s="1168"/>
      <c r="CS219" s="1168"/>
      <c r="CT219" s="1168"/>
      <c r="CU219" s="258"/>
      <c r="CV219" s="259"/>
      <c r="CW219" s="259"/>
      <c r="CX219" s="259"/>
      <c r="CY219" s="253"/>
      <c r="CZ219" s="253"/>
      <c r="DA219" s="253"/>
      <c r="DB219" s="253"/>
      <c r="DC219" s="266"/>
      <c r="DD219" s="1168" t="str">
        <f>IF(AND(DD209="",DD210=""),"",COUNTIF(GL8:GL207,"RE"))</f>
        <v/>
      </c>
      <c r="DE219" s="1168"/>
      <c r="DF219" s="1168"/>
      <c r="DG219" s="1168"/>
      <c r="DH219" s="1168"/>
      <c r="DI219" s="1168" t="str">
        <f>IF(AND(DI209="",DI210=""),"",COUNTIF(GM8:GM207,"RE"))</f>
        <v/>
      </c>
      <c r="DJ219" s="1168" t="e">
        <f>IF(AND(DJ209="",DJ210=""),"",COUNTIF(GM8:GM207,"RE"))</f>
        <v>#REF!</v>
      </c>
      <c r="DK219" s="1168"/>
      <c r="DL219" s="1168"/>
      <c r="DM219" s="1168"/>
      <c r="DN219" s="1168" t="str">
        <f>IF(AND(DN209="",DN210=""),"",COUNTIF(GN8:GN207,"RE"))</f>
        <v/>
      </c>
      <c r="DO219" s="1168"/>
      <c r="DP219" s="1168"/>
      <c r="DQ219" s="1168"/>
      <c r="DR219" s="1168"/>
      <c r="DS219" s="1170">
        <f>IF(AND(DS209="",DS210=""),"",COUNTIF(GR8:GR207,"RE"))</f>
        <v>0</v>
      </c>
      <c r="DT219" s="1170"/>
      <c r="DU219" s="1170"/>
      <c r="DV219" s="1170"/>
      <c r="DW219" s="1170"/>
      <c r="DX219" s="1170"/>
      <c r="DY219" s="1170"/>
      <c r="DZ219" s="1170"/>
      <c r="EA219" s="1170"/>
      <c r="EB219" s="1170"/>
      <c r="EC219" s="1170"/>
      <c r="ED219" s="1170"/>
      <c r="EE219" s="1170"/>
      <c r="EF219" s="1170"/>
      <c r="EG219" s="1170"/>
      <c r="EH219" s="1170"/>
      <c r="EI219" s="263"/>
      <c r="EJ219" s="263"/>
      <c r="EK219" s="263"/>
      <c r="EL219" s="218"/>
      <c r="EM219" s="218"/>
      <c r="EN219" s="218"/>
      <c r="EO219" s="218"/>
      <c r="EP219" s="218"/>
      <c r="EQ219" s="218"/>
      <c r="ER219" s="218"/>
      <c r="ES219" s="218"/>
      <c r="ET219" s="218"/>
      <c r="EU219" s="218"/>
      <c r="EV219" s="218"/>
      <c r="EW219" s="218"/>
      <c r="EX219" s="218"/>
      <c r="EY219" s="1281">
        <f>IF(AND(EY209="",EY210=""),"",COUNTIF(FF8:FF207,"RE"))</f>
        <v>0</v>
      </c>
      <c r="EZ219" s="1282"/>
      <c r="FA219" s="1282"/>
      <c r="FB219" s="1282"/>
      <c r="FC219" s="1282"/>
      <c r="FD219" s="1282"/>
      <c r="FE219" s="1277"/>
      <c r="FF219" s="1278"/>
      <c r="FG219" s="227"/>
      <c r="FH219" s="269"/>
      <c r="FI219" s="269"/>
      <c r="FJ219" s="269"/>
      <c r="FK219" s="269"/>
      <c r="FL219" s="269"/>
      <c r="FM219" s="269"/>
      <c r="FN219" s="269"/>
      <c r="FO219" s="269"/>
      <c r="FP219" s="269"/>
      <c r="FQ219" s="269"/>
      <c r="FR219" s="269"/>
      <c r="FS219" s="269"/>
      <c r="FT219" s="269"/>
      <c r="FU219" s="269"/>
      <c r="FV219" s="269"/>
      <c r="FW219" s="269"/>
      <c r="FX219" s="269"/>
      <c r="FY219" s="269"/>
      <c r="FZ219" s="269"/>
      <c r="GA219" s="269"/>
      <c r="GB219" s="269"/>
      <c r="GC219" s="269"/>
      <c r="GD219" s="269"/>
      <c r="GE219" s="269"/>
      <c r="GF219" s="269"/>
      <c r="GG219" s="269"/>
      <c r="GH219" s="269"/>
      <c r="GI219" s="269"/>
      <c r="GJ219" s="269"/>
      <c r="GK219" s="269"/>
      <c r="GL219" s="269"/>
      <c r="GM219" s="269"/>
      <c r="GN219" s="269"/>
      <c r="GO219" s="269"/>
      <c r="GP219" s="269"/>
      <c r="GQ219" s="269"/>
      <c r="GR219" s="269"/>
      <c r="GS219" s="269"/>
      <c r="GT219" s="269"/>
      <c r="GU219" s="270"/>
      <c r="GV219" s="1291"/>
      <c r="GW219" s="1292"/>
      <c r="GX219" s="1205"/>
      <c r="GY219" s="1160" t="str">
        <f>IF('Master Sheet'!D11="Hindi","कुल योग","Total")</f>
        <v>कुल योग</v>
      </c>
      <c r="GZ219" s="1160"/>
      <c r="HA219" s="1160"/>
      <c r="HB219" s="1179">
        <f>HB213+HB214+HB215+HB217+HB218</f>
        <v>11</v>
      </c>
      <c r="HC219" s="1180"/>
      <c r="HD219" s="636"/>
      <c r="HE219" s="1159" t="str">
        <f>IF('Master Sheet'!D11="Hindi","कुल योग","Total")</f>
        <v>कुल योग</v>
      </c>
      <c r="HF219" s="1160"/>
      <c r="HG219" s="1160"/>
      <c r="HH219" s="643">
        <f>SUM(HH213,HH214,HH215,HH217,HH218)</f>
        <v>1</v>
      </c>
      <c r="HI219" s="644">
        <f>HB219</f>
        <v>11</v>
      </c>
      <c r="HY219" s="211" t="str">
        <f>IF('Supp. Result Entry'!U218="","",'Supp. Result Entry'!$U$6)</f>
        <v/>
      </c>
      <c r="HZ219" s="212" t="str">
        <f>IF('Supp. Result Entry'!X218="","",'Supp. Result Entry'!$X$6)</f>
        <v/>
      </c>
      <c r="IA219" s="212" t="str">
        <f>IF('Supp. Result Entry'!AA218="","",'Supp. Result Entry'!$AA$6)</f>
        <v/>
      </c>
      <c r="IB219" s="212" t="str">
        <f>IF('Supp. Result Entry'!AD218="","",'Supp. Result Entry'!$AD$6)</f>
        <v/>
      </c>
      <c r="IC219" s="212" t="str">
        <f>IF('Supp. Result Entry'!AG218="","",'Supp. Result Entry'!$AG$6)</f>
        <v/>
      </c>
      <c r="ID219" s="212" t="str">
        <f>IF('Supp. Result Entry'!AJ218="","",'Supp. Result Entry'!$AJ$6)</f>
        <v/>
      </c>
      <c r="IE219" s="212" t="str">
        <f>IF('Supp. Result Entry'!V218="","",'Supp. Result Entry'!V218)</f>
        <v/>
      </c>
      <c r="IF219" s="212" t="str">
        <f>IF('Supp. Result Entry'!Y218="","",'Supp. Result Entry'!Y218)</f>
        <v/>
      </c>
      <c r="IG219" s="212" t="str">
        <f>IF('Supp. Result Entry'!AB218="","",'Supp. Result Entry'!AB218)</f>
        <v/>
      </c>
      <c r="IH219" s="212" t="str">
        <f>IF('Supp. Result Entry'!AE218="","",'Supp. Result Entry'!AE218)</f>
        <v/>
      </c>
      <c r="II219" s="212" t="str">
        <f>IF('Supp. Result Entry'!AH218="","",'Supp. Result Entry'!AH218)</f>
        <v/>
      </c>
      <c r="IJ219" s="212" t="str">
        <f>IF('Supp. Result Entry'!AK218="","",'Supp. Result Entry'!AK218)</f>
        <v/>
      </c>
      <c r="IK219" s="212" t="str">
        <f>IF('Supp. Result Entry'!W218="","",'Supp. Result Entry'!W218)</f>
        <v/>
      </c>
      <c r="IL219" s="212" t="str">
        <f>IF('Supp. Result Entry'!Z218="","",'Supp. Result Entry'!Z218)</f>
        <v/>
      </c>
      <c r="IM219" s="212" t="str">
        <f>IF('Supp. Result Entry'!AC218="","",'Supp. Result Entry'!AC218)</f>
        <v/>
      </c>
      <c r="IN219" s="212" t="str">
        <f>IF('Supp. Result Entry'!AF218="","",'Supp. Result Entry'!AF218)</f>
        <v/>
      </c>
      <c r="IO219" s="212" t="str">
        <f>IF('Supp. Result Entry'!AI218="","",'Supp. Result Entry'!AI218)</f>
        <v/>
      </c>
      <c r="IP219" s="212" t="str">
        <f>IF('Supp. Result Entry'!AL218="","",'Supp. Result Entry'!AL218)</f>
        <v/>
      </c>
      <c r="IQ219" s="212">
        <f>COUNTIF('Supp. Result Entry'!K218:Q218,"S")</f>
        <v>0</v>
      </c>
      <c r="IR219" s="212">
        <f t="shared" si="719"/>
        <v>0</v>
      </c>
      <c r="IS219" s="212">
        <f t="shared" si="720"/>
        <v>0</v>
      </c>
      <c r="IT219" s="212" t="str">
        <f t="shared" si="588"/>
        <v/>
      </c>
      <c r="IU219" s="212" t="str">
        <f t="shared" si="589"/>
        <v/>
      </c>
      <c r="IV219" s="212" t="str">
        <f t="shared" si="590"/>
        <v/>
      </c>
      <c r="IW219" s="212" t="str">
        <f t="shared" si="591"/>
        <v/>
      </c>
      <c r="IX219" s="212" t="str">
        <f t="shared" si="592"/>
        <v/>
      </c>
      <c r="IY219" s="212" t="str">
        <f t="shared" si="721"/>
        <v/>
      </c>
      <c r="IZ219" s="212" t="str">
        <f t="shared" si="722"/>
        <v/>
      </c>
      <c r="JA219" s="212" t="str">
        <f t="shared" si="593"/>
        <v/>
      </c>
      <c r="JB219" s="210" t="str">
        <f t="shared" si="723"/>
        <v/>
      </c>
    </row>
    <row r="220" spans="1:262" s="265" customFormat="1" ht="26.25" customHeight="1">
      <c r="A220" s="271"/>
      <c r="F220" s="271"/>
      <c r="G220" s="271"/>
      <c r="J220" s="271"/>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72"/>
      <c r="AV220" s="272"/>
      <c r="AW220" s="272"/>
      <c r="AX220" s="272"/>
      <c r="AY220" s="272"/>
      <c r="AZ220" s="272"/>
      <c r="BA220" s="272"/>
      <c r="BB220" s="272"/>
      <c r="BC220" s="272"/>
      <c r="BD220" s="272"/>
      <c r="BE220" s="272"/>
      <c r="BF220" s="272"/>
      <c r="BG220" s="272"/>
      <c r="BH220" s="272"/>
      <c r="BI220" s="272"/>
      <c r="BJ220" s="272"/>
      <c r="BK220" s="272"/>
      <c r="BL220" s="272"/>
      <c r="BM220" s="272"/>
      <c r="BN220" s="272"/>
      <c r="BO220" s="272"/>
      <c r="BP220" s="272"/>
      <c r="BQ220" s="272"/>
      <c r="BR220" s="272"/>
      <c r="BS220" s="272"/>
      <c r="BT220" s="272"/>
      <c r="BU220" s="272"/>
      <c r="BV220" s="272"/>
      <c r="BW220" s="272"/>
      <c r="BX220" s="272"/>
      <c r="BY220" s="272"/>
      <c r="BZ220" s="272"/>
      <c r="CA220" s="272"/>
      <c r="CB220" s="272"/>
      <c r="CC220" s="272"/>
      <c r="CD220" s="272"/>
      <c r="CE220" s="272"/>
      <c r="CF220" s="272"/>
      <c r="CG220" s="272"/>
      <c r="CH220" s="272"/>
      <c r="CI220" s="272"/>
      <c r="CJ220" s="272"/>
      <c r="CK220" s="272"/>
      <c r="CL220" s="272"/>
      <c r="CM220" s="272"/>
      <c r="CN220" s="272"/>
      <c r="CO220" s="272"/>
      <c r="CP220" s="272"/>
      <c r="CQ220" s="272"/>
      <c r="CR220" s="272"/>
      <c r="CS220" s="272"/>
      <c r="CT220" s="272"/>
      <c r="CU220" s="272"/>
      <c r="CV220" s="272"/>
      <c r="CW220" s="272"/>
      <c r="CX220" s="272"/>
      <c r="CY220" s="272"/>
      <c r="CZ220" s="272"/>
      <c r="DA220" s="272"/>
      <c r="DB220" s="272"/>
      <c r="DC220" s="272"/>
      <c r="DD220" s="272"/>
      <c r="DE220" s="272"/>
      <c r="DF220" s="272"/>
      <c r="DG220" s="272"/>
      <c r="DH220" s="272"/>
      <c r="DI220" s="272"/>
      <c r="DJ220" s="272"/>
      <c r="DK220" s="272"/>
      <c r="DL220" s="272"/>
      <c r="DM220" s="272"/>
      <c r="DN220" s="272"/>
      <c r="DO220" s="272"/>
      <c r="DP220" s="272"/>
      <c r="DQ220" s="272"/>
      <c r="DR220" s="272"/>
      <c r="DS220" s="272"/>
      <c r="DT220" s="272"/>
      <c r="DU220" s="272"/>
      <c r="DV220" s="272"/>
      <c r="DW220" s="272"/>
      <c r="DX220" s="272"/>
      <c r="DY220" s="272"/>
      <c r="DZ220" s="272"/>
      <c r="EA220" s="272"/>
      <c r="EB220" s="272"/>
      <c r="EC220" s="272"/>
      <c r="ED220" s="272"/>
      <c r="EE220" s="272"/>
      <c r="EF220" s="272"/>
      <c r="EG220" s="272"/>
      <c r="EH220" s="272"/>
      <c r="EI220" s="272"/>
      <c r="EJ220" s="272"/>
      <c r="EK220" s="272"/>
      <c r="EL220" s="273"/>
      <c r="EM220" s="273"/>
      <c r="EN220" s="273"/>
      <c r="EO220" s="273"/>
      <c r="EP220" s="273"/>
      <c r="EQ220" s="273"/>
      <c r="ER220" s="273"/>
      <c r="ES220" s="273"/>
      <c r="ET220" s="273"/>
      <c r="EU220" s="273"/>
      <c r="EV220" s="274"/>
      <c r="EW220" s="274"/>
      <c r="EX220" s="274"/>
      <c r="EY220" s="274"/>
      <c r="EZ220" s="274"/>
      <c r="FA220" s="274"/>
      <c r="FB220" s="274"/>
      <c r="FC220" s="274"/>
      <c r="FD220" s="274"/>
      <c r="FE220" s="274"/>
      <c r="FF220" s="274"/>
      <c r="FG220" s="275"/>
      <c r="FH220" s="274"/>
      <c r="FI220" s="274"/>
      <c r="FJ220" s="274"/>
      <c r="FK220" s="274"/>
      <c r="FL220" s="274"/>
      <c r="FM220" s="276"/>
      <c r="FN220" s="276"/>
      <c r="FO220" s="276"/>
      <c r="FP220" s="276"/>
      <c r="FQ220" s="276"/>
      <c r="FR220" s="276"/>
      <c r="FS220" s="276"/>
      <c r="FT220" s="276"/>
      <c r="FU220" s="276"/>
      <c r="FV220" s="276"/>
      <c r="FW220" s="276"/>
      <c r="FX220" s="276"/>
      <c r="FY220" s="276"/>
      <c r="FZ220" s="276"/>
      <c r="GA220" s="276"/>
      <c r="GB220" s="276"/>
      <c r="GC220" s="276"/>
      <c r="GD220" s="276"/>
      <c r="GE220" s="276"/>
      <c r="GF220" s="276"/>
      <c r="GG220" s="276"/>
      <c r="GH220" s="276"/>
      <c r="GI220" s="276"/>
      <c r="GJ220" s="276"/>
      <c r="GK220" s="276"/>
      <c r="GL220" s="276"/>
      <c r="GM220" s="276"/>
      <c r="GN220" s="276"/>
      <c r="GO220" s="276"/>
      <c r="GP220" s="276"/>
      <c r="GQ220" s="276"/>
      <c r="GR220" s="276"/>
      <c r="GS220" s="276"/>
      <c r="GT220" s="276"/>
      <c r="GU220" s="276"/>
      <c r="GV220" s="276"/>
      <c r="GW220" s="276"/>
      <c r="GX220" s="276"/>
      <c r="GY220" s="276"/>
      <c r="GZ220" s="608"/>
      <c r="HC220" s="276"/>
      <c r="HD220" s="276"/>
      <c r="HE220" s="276"/>
      <c r="HF220" s="614"/>
      <c r="HG220" s="276"/>
      <c r="HH220" s="276"/>
      <c r="HI220" s="276"/>
    </row>
    <row r="221" spans="1:262" s="265" customFormat="1" ht="26.25" customHeight="1">
      <c r="A221" s="271"/>
      <c r="E221" s="277"/>
      <c r="F221" s="277"/>
      <c r="G221" s="277"/>
      <c r="H221" s="277"/>
      <c r="J221" s="271"/>
      <c r="K221" s="272"/>
      <c r="L221" s="272"/>
      <c r="M221" s="272"/>
      <c r="N221" s="272"/>
      <c r="O221" s="272"/>
      <c r="P221" s="272"/>
      <c r="Q221" s="272"/>
      <c r="R221" s="272"/>
      <c r="S221" s="272"/>
      <c r="T221" s="272"/>
      <c r="U221" s="272"/>
      <c r="V221" s="272"/>
      <c r="W221" s="272"/>
      <c r="X221" s="272"/>
      <c r="Y221" s="272"/>
      <c r="Z221" s="272"/>
      <c r="AA221" s="272"/>
      <c r="AB221" s="272"/>
      <c r="AC221" s="272"/>
      <c r="AD221" s="272"/>
      <c r="AE221" s="272"/>
      <c r="AF221" s="272"/>
      <c r="AG221" s="272"/>
      <c r="AH221" s="272"/>
      <c r="AI221" s="272"/>
      <c r="AJ221" s="272"/>
      <c r="AK221" s="272"/>
      <c r="AL221" s="272"/>
      <c r="AM221" s="272"/>
      <c r="AN221" s="272"/>
      <c r="AO221" s="272"/>
      <c r="AP221" s="272"/>
      <c r="AQ221" s="272"/>
      <c r="AR221" s="272"/>
      <c r="AS221" s="272"/>
      <c r="AT221" s="272"/>
      <c r="AU221" s="272"/>
      <c r="AV221" s="272"/>
      <c r="AW221" s="272"/>
      <c r="AX221" s="272"/>
      <c r="AY221" s="272"/>
      <c r="AZ221" s="272"/>
      <c r="BA221" s="272"/>
      <c r="BB221" s="272"/>
      <c r="BC221" s="272"/>
      <c r="BD221" s="272"/>
      <c r="BE221" s="272"/>
      <c r="BF221" s="272"/>
      <c r="BG221" s="272"/>
      <c r="BH221" s="272"/>
      <c r="BI221" s="272"/>
      <c r="BJ221" s="272"/>
      <c r="BK221" s="272"/>
      <c r="BL221" s="272"/>
      <c r="BM221" s="272"/>
      <c r="BN221" s="272"/>
      <c r="BO221" s="272"/>
      <c r="BP221" s="272"/>
      <c r="BQ221" s="272"/>
      <c r="BR221" s="272"/>
      <c r="BS221" s="272"/>
      <c r="BT221" s="272"/>
      <c r="BU221" s="272"/>
      <c r="BV221" s="272"/>
      <c r="BW221" s="272"/>
      <c r="BX221" s="272"/>
      <c r="BY221" s="272"/>
      <c r="BZ221" s="272"/>
      <c r="CA221" s="272"/>
      <c r="CB221" s="272"/>
      <c r="CC221" s="272"/>
      <c r="CD221" s="272"/>
      <c r="CE221" s="272"/>
      <c r="CF221" s="272"/>
      <c r="CG221" s="272"/>
      <c r="CH221" s="272"/>
      <c r="CI221" s="272"/>
      <c r="CJ221" s="272"/>
      <c r="CK221" s="272"/>
      <c r="CL221" s="272"/>
      <c r="CM221" s="272"/>
      <c r="CN221" s="272"/>
      <c r="CO221" s="272"/>
      <c r="CP221" s="272"/>
      <c r="CQ221" s="272"/>
      <c r="CR221" s="272"/>
      <c r="CS221" s="272"/>
      <c r="CT221" s="272"/>
      <c r="CU221" s="272"/>
      <c r="CV221" s="272"/>
      <c r="CW221" s="272"/>
      <c r="CX221" s="272"/>
      <c r="CY221" s="272"/>
      <c r="CZ221" s="272"/>
      <c r="DA221" s="272"/>
      <c r="DB221" s="272"/>
      <c r="DC221" s="272"/>
      <c r="DD221" s="272"/>
      <c r="DE221" s="272"/>
      <c r="DF221" s="272"/>
      <c r="DG221" s="272"/>
      <c r="DH221" s="272"/>
      <c r="DI221" s="272"/>
      <c r="DJ221" s="272"/>
      <c r="DK221" s="272"/>
      <c r="DL221" s="272"/>
      <c r="DM221" s="272"/>
      <c r="DN221" s="272"/>
      <c r="DO221" s="272"/>
      <c r="DP221" s="272"/>
      <c r="DQ221" s="272"/>
      <c r="DR221" s="272"/>
      <c r="DS221" s="272"/>
      <c r="DT221" s="272"/>
      <c r="DU221" s="272"/>
      <c r="DV221" s="272"/>
      <c r="DW221" s="272"/>
      <c r="DX221" s="272"/>
      <c r="DY221" s="272"/>
      <c r="DZ221" s="272"/>
      <c r="EA221" s="272"/>
      <c r="EB221" s="272"/>
      <c r="EC221" s="272"/>
      <c r="ED221" s="272"/>
      <c r="EE221" s="272"/>
      <c r="EF221" s="272"/>
      <c r="EG221" s="272"/>
      <c r="EH221" s="272"/>
      <c r="EI221" s="272"/>
      <c r="EJ221" s="272"/>
      <c r="EK221" s="272"/>
      <c r="EL221" s="273"/>
      <c r="EM221" s="273"/>
      <c r="EN221" s="273"/>
      <c r="EO221" s="273"/>
      <c r="EP221" s="273"/>
      <c r="EQ221" s="273"/>
      <c r="ER221" s="273"/>
      <c r="ES221" s="273"/>
      <c r="ET221" s="273"/>
      <c r="EU221" s="273"/>
      <c r="EV221" s="274"/>
      <c r="EW221" s="274"/>
      <c r="EX221" s="274"/>
      <c r="EY221" s="274"/>
      <c r="EZ221" s="274"/>
      <c r="FA221" s="274"/>
      <c r="FB221" s="274"/>
      <c r="FC221" s="274"/>
      <c r="FD221" s="274"/>
      <c r="FE221" s="274"/>
      <c r="FF221" s="274"/>
      <c r="FG221" s="274"/>
      <c r="FH221" s="274"/>
      <c r="FI221" s="274"/>
      <c r="FJ221" s="274"/>
      <c r="FK221" s="274"/>
      <c r="FL221" s="274"/>
      <c r="FM221" s="276"/>
      <c r="FN221" s="276"/>
      <c r="FO221" s="276"/>
      <c r="FP221" s="276"/>
      <c r="FQ221" s="276"/>
      <c r="FR221" s="276"/>
      <c r="FS221" s="276"/>
      <c r="FT221" s="276"/>
      <c r="FU221" s="276"/>
      <c r="FV221" s="276"/>
      <c r="FW221" s="276"/>
      <c r="FX221" s="276"/>
      <c r="FY221" s="276"/>
      <c r="FZ221" s="276"/>
      <c r="GA221" s="276"/>
      <c r="GB221" s="276"/>
      <c r="GC221" s="276"/>
      <c r="GD221" s="276"/>
      <c r="GE221" s="276"/>
      <c r="GF221" s="276"/>
      <c r="GG221" s="276"/>
      <c r="GH221" s="276"/>
      <c r="GI221" s="276"/>
      <c r="GJ221" s="276"/>
      <c r="GK221" s="276"/>
      <c r="GL221" s="276"/>
      <c r="GM221" s="276"/>
      <c r="GN221" s="276"/>
      <c r="GO221" s="276"/>
      <c r="GP221" s="276"/>
      <c r="GQ221" s="276"/>
      <c r="GR221" s="276"/>
      <c r="GS221" s="276"/>
      <c r="GT221" s="276"/>
      <c r="GU221" s="276"/>
      <c r="GV221" s="276"/>
      <c r="GW221" s="276"/>
      <c r="GX221" s="276"/>
      <c r="GY221" s="276"/>
      <c r="GZ221" s="608"/>
      <c r="HC221" s="276"/>
      <c r="HD221" s="276"/>
      <c r="HE221" s="276"/>
      <c r="HF221" s="614"/>
      <c r="HG221" s="276"/>
      <c r="HH221" s="276"/>
      <c r="HI221" s="276"/>
    </row>
    <row r="222" spans="1:262" s="265" customFormat="1" ht="26.25">
      <c r="A222" s="271"/>
      <c r="F222" s="271"/>
      <c r="G222" s="271"/>
      <c r="J222" s="271"/>
      <c r="K222" s="272"/>
      <c r="L222" s="272"/>
      <c r="M222" s="272"/>
      <c r="N222" s="272"/>
      <c r="O222" s="278"/>
      <c r="P222" s="278"/>
      <c r="Q222" s="278"/>
      <c r="R222" s="278"/>
      <c r="S222" s="278"/>
      <c r="T222" s="278"/>
      <c r="U222" s="278"/>
      <c r="V222" s="278"/>
      <c r="W222" s="278"/>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72"/>
      <c r="AV222" s="272"/>
      <c r="AW222" s="272"/>
      <c r="AX222" s="272"/>
      <c r="AY222" s="272"/>
      <c r="AZ222" s="272"/>
      <c r="BA222" s="272"/>
      <c r="BB222" s="272"/>
      <c r="BC222" s="272"/>
      <c r="BD222" s="272"/>
      <c r="BE222" s="272"/>
      <c r="BF222" s="272"/>
      <c r="BG222" s="272"/>
      <c r="BH222" s="272"/>
      <c r="BI222" s="272"/>
      <c r="BJ222" s="272"/>
      <c r="BK222" s="272"/>
      <c r="BL222" s="272"/>
      <c r="BM222" s="272"/>
      <c r="BN222" s="272"/>
      <c r="BO222" s="272"/>
      <c r="BP222" s="272"/>
      <c r="BQ222" s="272"/>
      <c r="BR222" s="272"/>
      <c r="BS222" s="272"/>
      <c r="BT222" s="272"/>
      <c r="BU222" s="272"/>
      <c r="BV222" s="272"/>
      <c r="BW222" s="272"/>
      <c r="BX222" s="272"/>
      <c r="BY222" s="272"/>
      <c r="BZ222" s="272"/>
      <c r="CA222" s="272"/>
      <c r="CB222" s="272"/>
      <c r="CC222" s="272"/>
      <c r="CD222" s="272"/>
      <c r="CE222" s="272"/>
      <c r="CF222" s="272"/>
      <c r="CG222" s="272"/>
      <c r="CH222" s="272"/>
      <c r="CI222" s="272"/>
      <c r="CJ222" s="272"/>
      <c r="CK222" s="272"/>
      <c r="CL222" s="272"/>
      <c r="CM222" s="272"/>
      <c r="CN222" s="272"/>
      <c r="CO222" s="272"/>
      <c r="CP222" s="272"/>
      <c r="CQ222" s="272"/>
      <c r="CR222" s="272"/>
      <c r="CS222" s="272"/>
      <c r="CT222" s="272"/>
      <c r="CU222" s="272"/>
      <c r="CV222" s="272"/>
      <c r="CW222" s="272"/>
      <c r="CX222" s="272"/>
      <c r="CY222" s="272"/>
      <c r="CZ222" s="272"/>
      <c r="DA222" s="272"/>
      <c r="DB222" s="272"/>
      <c r="DC222" s="272"/>
      <c r="DD222" s="272"/>
      <c r="DE222" s="272"/>
      <c r="DF222" s="272"/>
      <c r="DG222" s="272"/>
      <c r="DH222" s="272"/>
      <c r="DI222" s="272"/>
      <c r="DJ222" s="272"/>
      <c r="DK222" s="272"/>
      <c r="DL222" s="272"/>
      <c r="DM222" s="272"/>
      <c r="DN222" s="272"/>
      <c r="DO222" s="272"/>
      <c r="DP222" s="272"/>
      <c r="DQ222" s="272"/>
      <c r="DR222" s="272"/>
      <c r="DS222" s="272"/>
      <c r="DT222" s="272"/>
      <c r="DU222" s="272"/>
      <c r="DV222" s="272"/>
      <c r="DW222" s="272"/>
      <c r="DX222" s="272"/>
      <c r="DY222" s="272"/>
      <c r="DZ222" s="272"/>
      <c r="EA222" s="272"/>
      <c r="EB222" s="272"/>
      <c r="EC222" s="272"/>
      <c r="ED222" s="272"/>
      <c r="EE222" s="272"/>
      <c r="EF222" s="272"/>
      <c r="EG222" s="272"/>
      <c r="EH222" s="272"/>
      <c r="EI222" s="272"/>
      <c r="EJ222" s="272"/>
      <c r="EK222" s="272"/>
      <c r="EL222" s="273"/>
      <c r="EM222" s="273"/>
      <c r="EN222" s="273"/>
      <c r="EO222" s="273"/>
      <c r="EP222" s="273"/>
      <c r="EQ222" s="273"/>
      <c r="ER222" s="273"/>
      <c r="ES222" s="273"/>
      <c r="ET222" s="273"/>
      <c r="EU222" s="273"/>
      <c r="EV222" s="274"/>
      <c r="EW222" s="274"/>
      <c r="EX222" s="274"/>
      <c r="EY222" s="274"/>
      <c r="EZ222" s="274"/>
      <c r="FA222" s="274"/>
      <c r="FB222" s="274"/>
      <c r="FC222" s="274"/>
      <c r="FD222" s="274"/>
      <c r="FE222" s="274"/>
      <c r="FF222" s="274"/>
      <c r="FG222" s="274"/>
      <c r="FH222" s="274"/>
      <c r="FI222" s="274"/>
      <c r="FJ222" s="274"/>
      <c r="FK222" s="274"/>
      <c r="FL222" s="274"/>
      <c r="FM222" s="276"/>
      <c r="FN222" s="276"/>
      <c r="FO222" s="276"/>
      <c r="FP222" s="276"/>
      <c r="FQ222" s="276"/>
      <c r="FR222" s="276"/>
      <c r="FS222" s="276"/>
      <c r="FT222" s="276"/>
      <c r="FU222" s="276"/>
      <c r="FV222" s="276"/>
      <c r="FW222" s="276"/>
      <c r="FX222" s="276"/>
      <c r="FY222" s="276"/>
      <c r="FZ222" s="276"/>
      <c r="GA222" s="276"/>
      <c r="GB222" s="276"/>
      <c r="GC222" s="276"/>
      <c r="GD222" s="276"/>
      <c r="GE222" s="276"/>
      <c r="GF222" s="276"/>
      <c r="GG222" s="276"/>
      <c r="GH222" s="276"/>
      <c r="GI222" s="276"/>
      <c r="GJ222" s="276"/>
      <c r="GK222" s="276"/>
      <c r="GL222" s="276"/>
      <c r="GM222" s="276"/>
      <c r="GN222" s="276"/>
      <c r="GO222" s="276"/>
      <c r="GP222" s="276"/>
      <c r="GQ222" s="276"/>
      <c r="GR222" s="276"/>
      <c r="GS222" s="276"/>
      <c r="GT222" s="276"/>
      <c r="GU222" s="276"/>
      <c r="GV222" s="276"/>
      <c r="GW222" s="276"/>
      <c r="GX222" s="276"/>
      <c r="GY222" s="276"/>
      <c r="GZ222" s="608"/>
      <c r="HC222" s="276"/>
      <c r="HD222" s="276"/>
      <c r="HE222" s="276"/>
      <c r="HF222" s="614"/>
      <c r="HG222" s="276"/>
      <c r="HH222" s="276"/>
      <c r="HI222" s="276"/>
    </row>
    <row r="223" spans="1:262" hidden="1">
      <c r="AA223" s="129"/>
      <c r="AB223" s="129"/>
      <c r="AC223" s="129"/>
      <c r="AD223" s="129"/>
      <c r="AE223" s="129"/>
      <c r="AF223" s="129"/>
      <c r="AG223" s="129"/>
      <c r="AH223" s="129"/>
      <c r="AI223" s="129"/>
      <c r="AJ223" s="129"/>
      <c r="AK223" s="129"/>
      <c r="AL223" s="129"/>
      <c r="AM223" s="129"/>
      <c r="BH223" s="279"/>
    </row>
    <row r="224" spans="1:262" hidden="1">
      <c r="Y224" s="280"/>
      <c r="Z224" s="280"/>
      <c r="AA224" s="129"/>
      <c r="AB224" s="129"/>
      <c r="AC224" s="129"/>
      <c r="AD224" s="129"/>
      <c r="AE224" s="129"/>
      <c r="AF224" s="129"/>
      <c r="AG224" s="129"/>
      <c r="AH224" s="129"/>
      <c r="AI224" s="129"/>
      <c r="AJ224" s="129"/>
      <c r="AK224" s="129"/>
      <c r="AL224" s="129"/>
      <c r="AM224" s="129"/>
    </row>
    <row r="225" spans="25:42" hidden="1">
      <c r="Y225" s="280"/>
      <c r="Z225" s="280"/>
      <c r="AA225" s="129"/>
      <c r="AB225" s="129"/>
      <c r="AC225" s="129"/>
      <c r="AD225" s="129"/>
      <c r="AE225" s="129"/>
      <c r="AF225" s="129"/>
      <c r="AG225" s="129"/>
      <c r="AH225" s="129"/>
      <c r="AI225" s="129"/>
      <c r="AJ225" s="129"/>
      <c r="AK225" s="129"/>
      <c r="AL225" s="129"/>
      <c r="AM225" s="129"/>
    </row>
    <row r="226" spans="25:42" hidden="1">
      <c r="Y226" s="280"/>
      <c r="Z226" s="280"/>
      <c r="AA226" s="281"/>
      <c r="AB226" s="281"/>
      <c r="AC226" s="281"/>
      <c r="AD226" s="281"/>
      <c r="AE226" s="281"/>
      <c r="AF226" s="281"/>
      <c r="AG226" s="281"/>
      <c r="AH226" s="281"/>
      <c r="AI226" s="281"/>
      <c r="AJ226" s="281"/>
      <c r="AK226" s="281"/>
      <c r="AL226" s="281"/>
      <c r="AM226" s="281"/>
      <c r="AN226" s="281"/>
      <c r="AO226" s="281"/>
      <c r="AP226" s="282"/>
    </row>
    <row r="227" spans="25:42" hidden="1">
      <c r="Y227" s="280"/>
      <c r="Z227" s="280"/>
      <c r="AA227" s="281"/>
      <c r="AB227" s="281"/>
      <c r="AC227" s="281"/>
      <c r="AD227" s="281"/>
      <c r="AE227" s="281"/>
      <c r="AF227" s="281"/>
      <c r="AG227" s="281"/>
      <c r="AH227" s="281"/>
      <c r="AI227" s="281"/>
      <c r="AJ227" s="281"/>
      <c r="AK227" s="281"/>
      <c r="AL227" s="281"/>
      <c r="AM227" s="281"/>
      <c r="AN227" s="281"/>
      <c r="AO227" s="281"/>
      <c r="AP227" s="282"/>
    </row>
    <row r="228" spans="25:42" hidden="1">
      <c r="Y228" s="280"/>
      <c r="Z228" s="280"/>
      <c r="AA228" s="281"/>
      <c r="AB228" s="281"/>
      <c r="AC228" s="281"/>
      <c r="AD228" s="281"/>
      <c r="AE228" s="281"/>
      <c r="AF228" s="281"/>
      <c r="AG228" s="281"/>
      <c r="AH228" s="281"/>
      <c r="AI228" s="281"/>
      <c r="AJ228" s="281"/>
      <c r="AK228" s="281"/>
      <c r="AL228" s="281"/>
      <c r="AM228" s="281"/>
      <c r="AN228" s="281"/>
      <c r="AO228" s="281"/>
      <c r="AP228" s="282"/>
    </row>
    <row r="229" spans="25:42" hidden="1">
      <c r="Y229" s="280"/>
      <c r="Z229" s="280"/>
      <c r="AA229" s="281"/>
      <c r="AB229" s="281"/>
      <c r="AC229" s="281"/>
      <c r="AD229" s="281"/>
      <c r="AE229" s="281"/>
      <c r="AF229" s="281"/>
      <c r="AG229" s="281"/>
      <c r="AH229" s="281"/>
      <c r="AI229" s="281"/>
      <c r="AJ229" s="281"/>
      <c r="AK229" s="281"/>
      <c r="AL229" s="281"/>
      <c r="AM229" s="281"/>
      <c r="AN229" s="281"/>
      <c r="AO229" s="281"/>
      <c r="AP229" s="282"/>
    </row>
    <row r="230" spans="25:42" hidden="1">
      <c r="Y230" s="280"/>
      <c r="Z230" s="280"/>
      <c r="AA230" s="281"/>
      <c r="AB230" s="281"/>
      <c r="AC230" s="281"/>
      <c r="AD230" s="281"/>
      <c r="AE230" s="281"/>
      <c r="AF230" s="281"/>
      <c r="AG230" s="281"/>
      <c r="AH230" s="281"/>
      <c r="AI230" s="281"/>
      <c r="AJ230" s="281"/>
      <c r="AK230" s="281"/>
      <c r="AL230" s="281"/>
      <c r="AM230" s="281"/>
      <c r="AN230" s="281"/>
      <c r="AO230" s="281"/>
    </row>
    <row r="231" spans="25:42" hidden="1">
      <c r="Y231" s="280"/>
      <c r="Z231" s="280"/>
      <c r="AA231" s="281"/>
      <c r="AB231" s="281"/>
      <c r="AC231" s="281"/>
      <c r="AD231" s="281"/>
      <c r="AE231" s="281"/>
      <c r="AF231" s="281"/>
      <c r="AG231" s="281"/>
      <c r="AH231" s="281"/>
      <c r="AI231" s="281"/>
      <c r="AJ231" s="281"/>
      <c r="AK231" s="281"/>
      <c r="AL231" s="281"/>
      <c r="AM231" s="281"/>
      <c r="AN231" s="281"/>
      <c r="AO231" s="281"/>
    </row>
    <row r="232" spans="25:42" hidden="1"/>
    <row r="233" spans="25:42" hidden="1">
      <c r="Y233" s="280"/>
      <c r="Z233" s="280"/>
      <c r="AA233" s="281"/>
      <c r="AB233" s="281"/>
      <c r="AC233" s="281"/>
      <c r="AD233" s="281"/>
      <c r="AE233" s="281"/>
      <c r="AF233" s="281"/>
      <c r="AG233" s="281"/>
      <c r="AH233" s="281"/>
      <c r="AI233" s="281"/>
      <c r="AJ233" s="281"/>
      <c r="AK233" s="281"/>
      <c r="AL233" s="281"/>
      <c r="AM233" s="281"/>
      <c r="AN233" s="281"/>
      <c r="AO233" s="281"/>
    </row>
    <row r="234" spans="25:42" hidden="1">
      <c r="Y234" s="280"/>
      <c r="Z234" s="280"/>
      <c r="AA234" s="281"/>
      <c r="AB234" s="281"/>
      <c r="AC234" s="281"/>
      <c r="AD234" s="281"/>
      <c r="AE234" s="281"/>
      <c r="AF234" s="281"/>
      <c r="AG234" s="281"/>
      <c r="AH234" s="281"/>
      <c r="AI234" s="281"/>
      <c r="AJ234" s="281"/>
      <c r="AK234" s="281"/>
      <c r="AL234" s="281"/>
      <c r="AM234" s="281"/>
      <c r="AN234" s="281"/>
      <c r="AO234" s="281"/>
    </row>
    <row r="235" spans="25:42" hidden="1">
      <c r="Y235" s="280"/>
      <c r="Z235" s="280"/>
      <c r="AA235" s="281"/>
      <c r="AB235" s="281"/>
      <c r="AC235" s="281"/>
      <c r="AD235" s="281"/>
      <c r="AE235" s="281"/>
      <c r="AF235" s="281"/>
      <c r="AG235" s="281"/>
      <c r="AH235" s="281"/>
      <c r="AI235" s="281"/>
      <c r="AJ235" s="281"/>
      <c r="AK235" s="281"/>
      <c r="AL235" s="281"/>
      <c r="AM235" s="281"/>
      <c r="AN235" s="281"/>
      <c r="AO235" s="281"/>
    </row>
    <row r="236" spans="25:42" hidden="1">
      <c r="Y236" s="280"/>
      <c r="Z236" s="280"/>
      <c r="AA236" s="281"/>
      <c r="AB236" s="281"/>
      <c r="AC236" s="281"/>
      <c r="AD236" s="281"/>
      <c r="AE236" s="281"/>
      <c r="AF236" s="281"/>
      <c r="AG236" s="281"/>
      <c r="AH236" s="281"/>
      <c r="AI236" s="281"/>
      <c r="AJ236" s="281"/>
      <c r="AK236" s="281"/>
      <c r="AL236" s="281"/>
      <c r="AM236" s="281"/>
      <c r="AN236" s="281"/>
      <c r="AO236" s="281"/>
    </row>
    <row r="237" spans="25:42" hidden="1">
      <c r="Y237" s="280"/>
      <c r="Z237" s="280"/>
      <c r="AA237" s="281"/>
      <c r="AB237" s="281"/>
      <c r="AC237" s="281"/>
      <c r="AD237" s="281"/>
      <c r="AE237" s="281"/>
      <c r="AF237" s="281"/>
      <c r="AG237" s="281"/>
      <c r="AH237" s="281"/>
      <c r="AI237" s="281"/>
      <c r="AJ237" s="281"/>
      <c r="AK237" s="281"/>
      <c r="AL237" s="281"/>
      <c r="AM237" s="281"/>
      <c r="AN237" s="281"/>
      <c r="AO237" s="281"/>
    </row>
    <row r="238" spans="25:42" hidden="1"/>
    <row r="239" spans="25:42" hidden="1"/>
    <row r="240" spans="25:42" hidden="1"/>
    <row r="241" hidden="1"/>
    <row r="242" hidden="1"/>
    <row r="243" hidden="1"/>
    <row r="244"/>
    <row r="245"/>
    <row r="246"/>
    <row r="247"/>
    <row r="248"/>
    <row r="249"/>
    <row r="250"/>
    <row r="251"/>
    <row r="252"/>
  </sheetData>
  <sheetProtection password="D1E2" sheet="1" objects="1" scenarios="1" formatColumns="0" formatRows="0"/>
  <protectedRanges>
    <protectedRange password="DC77" sqref="BT2 J212 CQ2 HF2:HI2 A208:I219 HH213 HI209:HI215 HI217 HH216:HI216 HI219 HI218:HJ218 DU4:EB7 BT209:CE209 FE7:HI7 EI212:EX212 FL212:HG212 A5:L5 N5 E3 A8:L207 Q4:W5 AB5 X5:Z5 AB8:AB207 P8:Z207 L212:L213 A7:AZ7 AE5:AO5 AQ5:AR5 A6:AR6 AZ4:AZ5 AU5:AY5 AD8:AO207 AX8:AZ207 AU8:AV207 BA7:BB207 X4:BO4 Q2:BO3 BA5:BL5 BP2:BS4 BN5:BO5 BC7:BO7 AT6:BO6 BQ6:BR6 BS6:BS7 BQ7:BW7 BC8:BL207 BN8:BO207 BR8:BS207 BU8:BW207 BX7:BY207 BZ7:CG7 BT6:CH6 BT4:CL4 BU2:CL3 BT208:CL208 CF209:CL210 CQ4 BR5:CI5 CK5:CL5 CM2:CP4 CH6:CL7 CN6:CT7 BZ8:CI207 CK8:CL207 CO8:CP207 CR8:CT207 CO5:DG5 DI5:DJ5 DM5 CR2:DM4 DN4:DT5 DL6:DL7 EC6:ED6 EF7:EX7 EE6:EE7 EF6:EY6 DP3:HI3 DN2:HD2 EI209:HG211 EI213:HG219 DN208:HI208 EC4:FC4 EC5:FA5 FC5 EY6:FD7 FC8:FD207 FD4:GQ5 GT4:HI5 GR4:GS4 FC6:HI6 J213:K219 L214:M219 O212:X212 Z212:Z213 N213:Y219 Z214:AA219 AC212:AY212 J208:AP211 AQ8:AR208 AQ209:AQ211 AB213:AP219 AS214:AY219 AQ214:AQ219 AQ213:AY213 AZ209:AZ219 AS208:BS209 AS210:CE211 BA212:CE219 CL212:CL213 CF212:CL212 CF211:CP211 CF213:CK213 CM212:CP219 CQ211:DC219 CF215:CL219 CF214:CO214 CM208:DM209 DD211:DM211 CK210:DM210 DN209:DR211 DD212:DR219 A2:D4 G2:P4 E2:F2 E4:F4 DH6:DJ7 DM6:DT6 DP7:ED7 DI8:DJ207 DM7:DO207 CU6:DG207 DQ8:FA207 FF8:HI207" name="Range1"/>
  </protectedRanges>
  <mergeCells count="516">
    <mergeCell ref="DD209:DH209"/>
    <mergeCell ref="DI209:DM209"/>
    <mergeCell ref="DD210:DH210"/>
    <mergeCell ref="DI210:DM210"/>
    <mergeCell ref="DD211:DH211"/>
    <mergeCell ref="DI211:DM211"/>
    <mergeCell ref="DD214:DH214"/>
    <mergeCell ref="DI214:DM214"/>
    <mergeCell ref="DD215:DH215"/>
    <mergeCell ref="DI215:DM215"/>
    <mergeCell ref="CF214:CJ214"/>
    <mergeCell ref="CK214:CO214"/>
    <mergeCell ref="CP214:CT214"/>
    <mergeCell ref="DI217:DM217"/>
    <mergeCell ref="CP215:CT215"/>
    <mergeCell ref="GX212:GX213"/>
    <mergeCell ref="GV210:GW211"/>
    <mergeCell ref="CP218:CT218"/>
    <mergeCell ref="CF219:CJ219"/>
    <mergeCell ref="CK219:CO219"/>
    <mergeCell ref="CP219:CT219"/>
    <mergeCell ref="DD216:DH216"/>
    <mergeCell ref="DS218:EH218"/>
    <mergeCell ref="DD218:DH218"/>
    <mergeCell ref="DI219:DM219"/>
    <mergeCell ref="CF218:CJ218"/>
    <mergeCell ref="CK218:CO218"/>
    <mergeCell ref="DS211:EH211"/>
    <mergeCell ref="DN211:DR211"/>
    <mergeCell ref="BI215:BM215"/>
    <mergeCell ref="BN215:BR215"/>
    <mergeCell ref="BS215:BW215"/>
    <mergeCell ref="BI216:BM216"/>
    <mergeCell ref="DI216:DM216"/>
    <mergeCell ref="DD217:DH217"/>
    <mergeCell ref="CF216:CJ216"/>
    <mergeCell ref="BS217:BW217"/>
    <mergeCell ref="CF215:CJ215"/>
    <mergeCell ref="CK215:CO215"/>
    <mergeCell ref="CK216:CO216"/>
    <mergeCell ref="CP216:CT216"/>
    <mergeCell ref="H212:I212"/>
    <mergeCell ref="AV216:AZ216"/>
    <mergeCell ref="AV217:AZ217"/>
    <mergeCell ref="AV218:AZ218"/>
    <mergeCell ref="AV219:AZ219"/>
    <mergeCell ref="HB215:HC215"/>
    <mergeCell ref="HB216:HC216"/>
    <mergeCell ref="HB217:HC217"/>
    <mergeCell ref="GV216:GW217"/>
    <mergeCell ref="DS216:EH216"/>
    <mergeCell ref="DS217:EH217"/>
    <mergeCell ref="DS219:EH219"/>
    <mergeCell ref="GV218:GW219"/>
    <mergeCell ref="DI218:DM218"/>
    <mergeCell ref="DD219:DH219"/>
    <mergeCell ref="BI218:BM218"/>
    <mergeCell ref="BN218:BR218"/>
    <mergeCell ref="BS218:BW218"/>
    <mergeCell ref="BI219:BM219"/>
    <mergeCell ref="BN219:BR219"/>
    <mergeCell ref="BS219:BW219"/>
    <mergeCell ref="BI214:BM214"/>
    <mergeCell ref="BN214:BR214"/>
    <mergeCell ref="BS214:BW214"/>
    <mergeCell ref="DD6:DD7"/>
    <mergeCell ref="BN216:BR216"/>
    <mergeCell ref="BS216:BW216"/>
    <mergeCell ref="BI217:BM217"/>
    <mergeCell ref="BN217:BR217"/>
    <mergeCell ref="EF6:EF7"/>
    <mergeCell ref="H214:I214"/>
    <mergeCell ref="FX5:FX6"/>
    <mergeCell ref="X217:AK217"/>
    <mergeCell ref="H215:I215"/>
    <mergeCell ref="H216:I216"/>
    <mergeCell ref="CP217:CT217"/>
    <mergeCell ref="H213:I213"/>
    <mergeCell ref="J213:K213"/>
    <mergeCell ref="J212:K212"/>
    <mergeCell ref="R212:S212"/>
    <mergeCell ref="R213:S213"/>
    <mergeCell ref="T212:U212"/>
    <mergeCell ref="T213:U213"/>
    <mergeCell ref="AV214:AZ214"/>
    <mergeCell ref="AV215:AZ215"/>
    <mergeCell ref="AV211:AZ211"/>
    <mergeCell ref="X212:Y212"/>
    <mergeCell ref="EC6:EC7"/>
    <mergeCell ref="GQ5:GQ6"/>
    <mergeCell ref="FR5:FR6"/>
    <mergeCell ref="FS5:FS6"/>
    <mergeCell ref="EY209:FD209"/>
    <mergeCell ref="EY210:FD210"/>
    <mergeCell ref="EY211:FD211"/>
    <mergeCell ref="FE209:FF219"/>
    <mergeCell ref="EY214:FD214"/>
    <mergeCell ref="EY215:FD215"/>
    <mergeCell ref="EY216:FD216"/>
    <mergeCell ref="EY217:FD217"/>
    <mergeCell ref="EY218:FD218"/>
    <mergeCell ref="EY219:FD219"/>
    <mergeCell ref="EY6:EY7"/>
    <mergeCell ref="EZ6:EZ7"/>
    <mergeCell ref="GK5:GK6"/>
    <mergeCell ref="GJ5:GJ6"/>
    <mergeCell ref="FF6:FF7"/>
    <mergeCell ref="FO5:FO6"/>
    <mergeCell ref="JA4:JA6"/>
    <mergeCell ref="HB209:HC209"/>
    <mergeCell ref="ES3:ES5"/>
    <mergeCell ref="ET3:ET5"/>
    <mergeCell ref="EU3:EU5"/>
    <mergeCell ref="EG4:EG5"/>
    <mergeCell ref="EH4:EH5"/>
    <mergeCell ref="EI4:EI5"/>
    <mergeCell ref="EJ4:EJ5"/>
    <mergeCell ref="EK4:EK5"/>
    <mergeCell ref="FK5:FK6"/>
    <mergeCell ref="FG2:FI3"/>
    <mergeCell ref="ER3:ER5"/>
    <mergeCell ref="FW5:FW6"/>
    <mergeCell ref="HH4:HH6"/>
    <mergeCell ref="EY3:FF3"/>
    <mergeCell ref="EW3:EW5"/>
    <mergeCell ref="GZ4:GZ5"/>
    <mergeCell ref="HA4:HA5"/>
    <mergeCell ref="FX4:GC4"/>
    <mergeCell ref="GL5:GL6"/>
    <mergeCell ref="GM5:GM6"/>
    <mergeCell ref="GN5:GN6"/>
    <mergeCell ref="GO5:GO6"/>
    <mergeCell ref="A4:A7"/>
    <mergeCell ref="B4:B7"/>
    <mergeCell ref="C4:C7"/>
    <mergeCell ref="D4:D7"/>
    <mergeCell ref="E4:E7"/>
    <mergeCell ref="F4:F7"/>
    <mergeCell ref="G4:G7"/>
    <mergeCell ref="H4:H7"/>
    <mergeCell ref="I4:I7"/>
    <mergeCell ref="F214:G214"/>
    <mergeCell ref="J214:W214"/>
    <mergeCell ref="CF217:CJ217"/>
    <mergeCell ref="CK217:CO217"/>
    <mergeCell ref="X214:AK214"/>
    <mergeCell ref="F217:G217"/>
    <mergeCell ref="J217:W217"/>
    <mergeCell ref="P212:Q212"/>
    <mergeCell ref="P213:Q213"/>
    <mergeCell ref="Z212:AA212"/>
    <mergeCell ref="F212:G212"/>
    <mergeCell ref="AB212:AC212"/>
    <mergeCell ref="AD212:AE212"/>
    <mergeCell ref="Z213:AA213"/>
    <mergeCell ref="AB213:AC213"/>
    <mergeCell ref="AD213:AE213"/>
    <mergeCell ref="X213:Y213"/>
    <mergeCell ref="L212:M212"/>
    <mergeCell ref="L213:M213"/>
    <mergeCell ref="N212:O212"/>
    <mergeCell ref="N213:O213"/>
    <mergeCell ref="F213:G213"/>
    <mergeCell ref="AF213:AK213"/>
    <mergeCell ref="AF212:AK212"/>
    <mergeCell ref="F219:G219"/>
    <mergeCell ref="H217:I217"/>
    <mergeCell ref="F215:G215"/>
    <mergeCell ref="J215:W215"/>
    <mergeCell ref="X215:AK215"/>
    <mergeCell ref="F216:G216"/>
    <mergeCell ref="J216:W216"/>
    <mergeCell ref="X216:AK216"/>
    <mergeCell ref="H218:I218"/>
    <mergeCell ref="J219:W219"/>
    <mergeCell ref="X219:AK219"/>
    <mergeCell ref="F218:G218"/>
    <mergeCell ref="H219:I219"/>
    <mergeCell ref="J218:W218"/>
    <mergeCell ref="X218:AK218"/>
    <mergeCell ref="DE6:DE7"/>
    <mergeCell ref="DH6:DH7"/>
    <mergeCell ref="DL6:DL7"/>
    <mergeCell ref="DI4:DK4"/>
    <mergeCell ref="DL4:DL5"/>
    <mergeCell ref="DM4:DP4"/>
    <mergeCell ref="DQ4:DQ5"/>
    <mergeCell ref="DG6:DG7"/>
    <mergeCell ref="DT6:DT7"/>
    <mergeCell ref="DE4:DH4"/>
    <mergeCell ref="AV210:AZ210"/>
    <mergeCell ref="X210:AK210"/>
    <mergeCell ref="DW4:DW5"/>
    <mergeCell ref="CY4:CY5"/>
    <mergeCell ref="BI209:BM209"/>
    <mergeCell ref="BN209:BR209"/>
    <mergeCell ref="BS209:BW209"/>
    <mergeCell ref="BI210:BM210"/>
    <mergeCell ref="BN210:BR210"/>
    <mergeCell ref="BS210:BW210"/>
    <mergeCell ref="DS210:EH210"/>
    <mergeCell ref="CY209:DB209"/>
    <mergeCell ref="DN209:DR209"/>
    <mergeCell ref="CB209:CE209"/>
    <mergeCell ref="AV209:AZ209"/>
    <mergeCell ref="DN210:DR210"/>
    <mergeCell ref="BA4:BA5"/>
    <mergeCell ref="CF6:CF7"/>
    <mergeCell ref="CG6:CG7"/>
    <mergeCell ref="CN6:CN7"/>
    <mergeCell ref="BL6:BL7"/>
    <mergeCell ref="CI6:CI7"/>
    <mergeCell ref="AT6:AT7"/>
    <mergeCell ref="AU4:AW4"/>
    <mergeCell ref="AQ210:AU210"/>
    <mergeCell ref="AL217:AP217"/>
    <mergeCell ref="AL218:AP218"/>
    <mergeCell ref="AL219:AP219"/>
    <mergeCell ref="AQ214:AU214"/>
    <mergeCell ref="AQ215:AU215"/>
    <mergeCell ref="AQ216:AU216"/>
    <mergeCell ref="AQ217:AU217"/>
    <mergeCell ref="AQ218:AU218"/>
    <mergeCell ref="AQ219:AU219"/>
    <mergeCell ref="AL214:AP214"/>
    <mergeCell ref="AL215:AP215"/>
    <mergeCell ref="AL216:AP216"/>
    <mergeCell ref="AQ211:AU211"/>
    <mergeCell ref="BN211:BR211"/>
    <mergeCell ref="BS211:BW211"/>
    <mergeCell ref="BE209:BH209"/>
    <mergeCell ref="CF209:CJ209"/>
    <mergeCell ref="CK209:CO209"/>
    <mergeCell ref="CP209:CT209"/>
    <mergeCell ref="CF210:CJ210"/>
    <mergeCell ref="CK210:CO210"/>
    <mergeCell ref="CP210:CT210"/>
    <mergeCell ref="CF211:CJ211"/>
    <mergeCell ref="CK211:CO211"/>
    <mergeCell ref="CP211:CT211"/>
    <mergeCell ref="BI211:BM211"/>
    <mergeCell ref="F211:G211"/>
    <mergeCell ref="J211:W211"/>
    <mergeCell ref="X211:AK211"/>
    <mergeCell ref="H209:I209"/>
    <mergeCell ref="H210:I210"/>
    <mergeCell ref="H211:I211"/>
    <mergeCell ref="AL209:AP209"/>
    <mergeCell ref="AL210:AP210"/>
    <mergeCell ref="AL211:AP211"/>
    <mergeCell ref="F210:G210"/>
    <mergeCell ref="J210:W210"/>
    <mergeCell ref="F209:G209"/>
    <mergeCell ref="J209:W209"/>
    <mergeCell ref="X209:AK209"/>
    <mergeCell ref="GV209:GW209"/>
    <mergeCell ref="AQ209:AU209"/>
    <mergeCell ref="GR4:GR6"/>
    <mergeCell ref="ED6:ED7"/>
    <mergeCell ref="GC5:GC6"/>
    <mergeCell ref="GD5:GD6"/>
    <mergeCell ref="FM5:FM6"/>
    <mergeCell ref="FN5:FN6"/>
    <mergeCell ref="GH5:GH6"/>
    <mergeCell ref="GP5:GP6"/>
    <mergeCell ref="GV208:HC208"/>
    <mergeCell ref="DS209:EH209"/>
    <mergeCell ref="AY4:AY5"/>
    <mergeCell ref="DF6:DF7"/>
    <mergeCell ref="CT4:CT5"/>
    <mergeCell ref="CU4:CU5"/>
    <mergeCell ref="FC6:FC7"/>
    <mergeCell ref="FD6:FD7"/>
    <mergeCell ref="FE6:FE7"/>
    <mergeCell ref="FB6:FB7"/>
    <mergeCell ref="A208:GU208"/>
    <mergeCell ref="A209:E219"/>
    <mergeCell ref="AA6:AA7"/>
    <mergeCell ref="AC6:AC7"/>
    <mergeCell ref="BT3:BY3"/>
    <mergeCell ref="BE4:BE5"/>
    <mergeCell ref="BF4:BF5"/>
    <mergeCell ref="BG4:BG5"/>
    <mergeCell ref="BX4:BX5"/>
    <mergeCell ref="BY4:BY5"/>
    <mergeCell ref="BO3:BS3"/>
    <mergeCell ref="CF3:CK3"/>
    <mergeCell ref="CA4:CA5"/>
    <mergeCell ref="CG4:CJ4"/>
    <mergeCell ref="CK4:CM4"/>
    <mergeCell ref="BU4:BU5"/>
    <mergeCell ref="BV4:BV5"/>
    <mergeCell ref="AO6:AO7"/>
    <mergeCell ref="DC4:DC5"/>
    <mergeCell ref="BK6:BK7"/>
    <mergeCell ref="AX4:AX5"/>
    <mergeCell ref="BW4:BW5"/>
    <mergeCell ref="AT4:AT5"/>
    <mergeCell ref="CN4:CN5"/>
    <mergeCell ref="CO4:CQ4"/>
    <mergeCell ref="CR4:CR5"/>
    <mergeCell ref="CF4:CF5"/>
    <mergeCell ref="CB4:CB5"/>
    <mergeCell ref="CH6:CH7"/>
    <mergeCell ref="CJ6:CJ7"/>
    <mergeCell ref="BM6:BM7"/>
    <mergeCell ref="BQ6:BQ7"/>
    <mergeCell ref="BW6:BW7"/>
    <mergeCell ref="CZ4:CZ5"/>
    <mergeCell ref="DA4:DA5"/>
    <mergeCell ref="DB4:DB5"/>
    <mergeCell ref="BJ6:BJ7"/>
    <mergeCell ref="BI6:BI7"/>
    <mergeCell ref="CT6:CT7"/>
    <mergeCell ref="AZ4:AZ5"/>
    <mergeCell ref="CF2:DB2"/>
    <mergeCell ref="CL3:CP3"/>
    <mergeCell ref="CW3:DB3"/>
    <mergeCell ref="EV3:EV5"/>
    <mergeCell ref="BZ3:CE3"/>
    <mergeCell ref="BZ4:BZ5"/>
    <mergeCell ref="DX4:DX5"/>
    <mergeCell ref="DY4:DY5"/>
    <mergeCell ref="DZ4:DZ5"/>
    <mergeCell ref="EA4:EA5"/>
    <mergeCell ref="EB4:EB5"/>
    <mergeCell ref="DD2:DT2"/>
    <mergeCell ref="CQ3:CV3"/>
    <mergeCell ref="DR4:DR5"/>
    <mergeCell ref="DS4:DS5"/>
    <mergeCell ref="DT4:DT5"/>
    <mergeCell ref="DD3:DJ3"/>
    <mergeCell ref="CV4:CV5"/>
    <mergeCell ref="CW4:CW5"/>
    <mergeCell ref="CX4:CX5"/>
    <mergeCell ref="EL3:EP5"/>
    <mergeCell ref="CS4:CS5"/>
    <mergeCell ref="A2:W2"/>
    <mergeCell ref="X2:AK2"/>
    <mergeCell ref="AL2:BH2"/>
    <mergeCell ref="BI2:CE2"/>
    <mergeCell ref="AR3:AV3"/>
    <mergeCell ref="AW3:BB3"/>
    <mergeCell ref="BC3:BH3"/>
    <mergeCell ref="BI3:BN3"/>
    <mergeCell ref="FE4:FE5"/>
    <mergeCell ref="A3:C3"/>
    <mergeCell ref="AK4:AK5"/>
    <mergeCell ref="J3:W3"/>
    <mergeCell ref="X3:AK3"/>
    <mergeCell ref="AL3:AQ3"/>
    <mergeCell ref="AG4:AG5"/>
    <mergeCell ref="DP3:DT3"/>
    <mergeCell ref="DU4:DU5"/>
    <mergeCell ref="DV4:DV5"/>
    <mergeCell ref="EC3:EK3"/>
    <mergeCell ref="DK3:DO3"/>
    <mergeCell ref="EC4:EF4"/>
    <mergeCell ref="EX4:EX6"/>
    <mergeCell ref="DV3:EA3"/>
    <mergeCell ref="DD4:DD5"/>
    <mergeCell ref="IZ4:IZ6"/>
    <mergeCell ref="IT4:IX5"/>
    <mergeCell ref="GX218:GX219"/>
    <mergeCell ref="GY210:HA210"/>
    <mergeCell ref="GY209:HA209"/>
    <mergeCell ref="GY211:HA211"/>
    <mergeCell ref="GY212:HA212"/>
    <mergeCell ref="GY213:HA213"/>
    <mergeCell ref="GY214:HA214"/>
    <mergeCell ref="GY215:HA215"/>
    <mergeCell ref="GY216:HA216"/>
    <mergeCell ref="GY217:HA217"/>
    <mergeCell ref="GY218:HA218"/>
    <mergeCell ref="GY219:HA219"/>
    <mergeCell ref="GX216:GX217"/>
    <mergeCell ref="HE4:HE6"/>
    <mergeCell ref="HF4:HF6"/>
    <mergeCell ref="HG4:HG6"/>
    <mergeCell ref="HI4:HI6"/>
    <mergeCell ref="HB210:HC210"/>
    <mergeCell ref="HB211:HC211"/>
    <mergeCell ref="HE210:HG210"/>
    <mergeCell ref="HE211:HG211"/>
    <mergeCell ref="GX210:GX211"/>
    <mergeCell ref="HY4:ID5"/>
    <mergeCell ref="IE4:IJ5"/>
    <mergeCell ref="IY4:IY6"/>
    <mergeCell ref="IK4:IP5"/>
    <mergeCell ref="FI4:FI5"/>
    <mergeCell ref="FG6:FI7"/>
    <mergeCell ref="FT5:FT6"/>
    <mergeCell ref="GE5:GE6"/>
    <mergeCell ref="FY5:FY6"/>
    <mergeCell ref="GE4:GJ4"/>
    <mergeCell ref="FL5:FL6"/>
    <mergeCell ref="FP5:FP6"/>
    <mergeCell ref="FQ5:FQ6"/>
    <mergeCell ref="FQ4:FV4"/>
    <mergeCell ref="FJ4:FL4"/>
    <mergeCell ref="FM4:FO4"/>
    <mergeCell ref="FJ5:FJ6"/>
    <mergeCell ref="GL4:GQ4"/>
    <mergeCell ref="GI5:GI6"/>
    <mergeCell ref="GA5:GA6"/>
    <mergeCell ref="GB5:GB6"/>
    <mergeCell ref="GT4:GT6"/>
    <mergeCell ref="GF5:GF6"/>
    <mergeCell ref="GG5:GG6"/>
    <mergeCell ref="HE219:HG219"/>
    <mergeCell ref="HE213:HG213"/>
    <mergeCell ref="HE214:HG214"/>
    <mergeCell ref="HE215:HG215"/>
    <mergeCell ref="HB213:HC213"/>
    <mergeCell ref="HB214:HC214"/>
    <mergeCell ref="GV214:GW215"/>
    <mergeCell ref="GV212:GW213"/>
    <mergeCell ref="DN219:DR219"/>
    <mergeCell ref="DN214:DR214"/>
    <mergeCell ref="DN215:DR215"/>
    <mergeCell ref="DN217:DR217"/>
    <mergeCell ref="DN218:DR218"/>
    <mergeCell ref="DS215:EH215"/>
    <mergeCell ref="DN216:DR216"/>
    <mergeCell ref="HE212:HG212"/>
    <mergeCell ref="HE216:HG216"/>
    <mergeCell ref="HE217:HG217"/>
    <mergeCell ref="HE218:HG218"/>
    <mergeCell ref="DS214:EH214"/>
    <mergeCell ref="HB212:HC212"/>
    <mergeCell ref="GX214:GX215"/>
    <mergeCell ref="HB218:HC218"/>
    <mergeCell ref="HB219:HC219"/>
    <mergeCell ref="X6:X7"/>
    <mergeCell ref="Y6:Y7"/>
    <mergeCell ref="AB6:AB7"/>
    <mergeCell ref="AD6:AD7"/>
    <mergeCell ref="AE6:AE7"/>
    <mergeCell ref="R4:R5"/>
    <mergeCell ref="AL6:AL7"/>
    <mergeCell ref="AB4:AB5"/>
    <mergeCell ref="AC4:AC5"/>
    <mergeCell ref="AD4:AD5"/>
    <mergeCell ref="Z6:Z7"/>
    <mergeCell ref="AJ4:AJ5"/>
    <mergeCell ref="V4:V5"/>
    <mergeCell ref="W4:W5"/>
    <mergeCell ref="X4:AA4"/>
    <mergeCell ref="S4:S5"/>
    <mergeCell ref="T4:T5"/>
    <mergeCell ref="U4:U5"/>
    <mergeCell ref="AE4:AE5"/>
    <mergeCell ref="AF4:AF5"/>
    <mergeCell ref="AI4:AI5"/>
    <mergeCell ref="AH4:AH5"/>
    <mergeCell ref="HE208:HI208"/>
    <mergeCell ref="HE209:HG209"/>
    <mergeCell ref="GU4:GU6"/>
    <mergeCell ref="AL4:AL5"/>
    <mergeCell ref="BI4:BI5"/>
    <mergeCell ref="BJ4:BM4"/>
    <mergeCell ref="BN4:BP4"/>
    <mergeCell ref="BQ4:BQ5"/>
    <mergeCell ref="BR4:BT4"/>
    <mergeCell ref="BC4:BC5"/>
    <mergeCell ref="BD4:BD5"/>
    <mergeCell ref="BH4:BH5"/>
    <mergeCell ref="BB4:BB5"/>
    <mergeCell ref="CC4:CC5"/>
    <mergeCell ref="CD4:CD5"/>
    <mergeCell ref="CE4:CE5"/>
    <mergeCell ref="AZ6:AZ7"/>
    <mergeCell ref="FZ5:FZ6"/>
    <mergeCell ref="HB4:HB6"/>
    <mergeCell ref="AN6:AN7"/>
    <mergeCell ref="AM6:AM7"/>
    <mergeCell ref="AP6:AP7"/>
    <mergeCell ref="AQ4:AS4"/>
    <mergeCell ref="AM4:AP4"/>
    <mergeCell ref="J4:M4"/>
    <mergeCell ref="Q4:Q5"/>
    <mergeCell ref="J6:J7"/>
    <mergeCell ref="K6:K7"/>
    <mergeCell ref="M6:M7"/>
    <mergeCell ref="N6:N7"/>
    <mergeCell ref="P6:P7"/>
    <mergeCell ref="O6:O7"/>
    <mergeCell ref="Q6:Q7"/>
    <mergeCell ref="L6:L7"/>
    <mergeCell ref="N4:N5"/>
    <mergeCell ref="O4:O5"/>
    <mergeCell ref="P4:P5"/>
    <mergeCell ref="G3:I3"/>
    <mergeCell ref="E3:F3"/>
    <mergeCell ref="EC2:FF2"/>
    <mergeCell ref="FJ2:GS3"/>
    <mergeCell ref="GS4:GS6"/>
    <mergeCell ref="GY2:HD3"/>
    <mergeCell ref="HE2:HI3"/>
    <mergeCell ref="EE6:EE7"/>
    <mergeCell ref="EY4:FB4"/>
    <mergeCell ref="FC4:FC5"/>
    <mergeCell ref="FD4:FD5"/>
    <mergeCell ref="FA6:FA7"/>
    <mergeCell ref="FF4:FF5"/>
    <mergeCell ref="GT2:GX3"/>
    <mergeCell ref="GV4:GV6"/>
    <mergeCell ref="GW4:GW6"/>
    <mergeCell ref="GX4:GX6"/>
    <mergeCell ref="HD4:HD6"/>
    <mergeCell ref="FG4:FG5"/>
    <mergeCell ref="FH4:FH5"/>
    <mergeCell ref="GY4:GY6"/>
    <mergeCell ref="HC4:HC6"/>
    <mergeCell ref="FU5:FU6"/>
    <mergeCell ref="FV5:FV6"/>
  </mergeCells>
  <conditionalFormatting sqref="HJ58:HJ208 HJ25:HJ37 HC223:HJ223 FJ223:GY223 FJ231:HJ65612 GY8:GY207 CJ231:EX65612 CG231:CI231 CG233:CI65612 BN231:CF65612 BJ231:BM231 BJ233:BM65612 AV231:BI65612 AP233:AU65612 AP223:EX223 AP231:AU231 Y223:Z223 Y238:AO65612 J254:X65612 A231:D65612 H231:I65612 EX8:EX207 HH8:HH207">
    <cfRule type="containsText" dxfId="199" priority="119" stopIfTrue="1" operator="containsText" text="G1">
      <formula>NOT(ISERROR(SEARCH("G1",A8)))</formula>
    </cfRule>
    <cfRule type="containsText" dxfId="198" priority="120" stopIfTrue="1" operator="containsText" text="G2">
      <formula>NOT(ISERROR(SEARCH("G2",A8)))</formula>
    </cfRule>
    <cfRule type="containsText" dxfId="197" priority="121" stopIfTrue="1" operator="containsText" text="G1">
      <formula>NOT(ISERROR(SEARCH("G1",A8)))</formula>
    </cfRule>
    <cfRule type="containsText" dxfId="196" priority="122" stopIfTrue="1" operator="containsText" text="S">
      <formula>NOT(ISERROR(SEARCH("S",A8)))</formula>
    </cfRule>
    <cfRule type="containsText" dxfId="195" priority="123" stopIfTrue="1" operator="containsText" text="F">
      <formula>NOT(ISERROR(SEARCH("F",A8)))</formula>
    </cfRule>
  </conditionalFormatting>
  <conditionalFormatting sqref="HJ58:HJ208 HJ25:HJ37 GY8:GY207 ER8:EX207 HH8:HH207">
    <cfRule type="containsText" dxfId="194" priority="115" stopIfTrue="1" operator="containsText" text="RA">
      <formula>NOT(ISERROR(SEARCH("RA",ER8)))</formula>
    </cfRule>
    <cfRule type="containsText" dxfId="193" priority="116" stopIfTrue="1" operator="containsText" text="ML">
      <formula>NOT(ISERROR(SEARCH("ML",ER8)))</formula>
    </cfRule>
    <cfRule type="containsText" dxfId="192" priority="117" stopIfTrue="1" operator="containsText" text="ML">
      <formula>NOT(ISERROR(SEARCH("ML",ER8)))</formula>
    </cfRule>
  </conditionalFormatting>
  <conditionalFormatting sqref="HJ58:HJ208 HJ25:HJ37 GY8:GY207 ER8:EX207 HH8:HH207">
    <cfRule type="containsText" dxfId="191" priority="114" stopIfTrue="1" operator="containsText" text="S">
      <formula>NOT(ISERROR(SEARCH("S",ER8)))</formula>
    </cfRule>
  </conditionalFormatting>
  <conditionalFormatting sqref="GY8:GY207 EX8:EX207 HH8:HH207">
    <cfRule type="containsText" dxfId="190" priority="113" stopIfTrue="1" operator="containsText" text="G1">
      <formula>NOT(ISERROR(SEARCH("G1",EX8)))</formula>
    </cfRule>
  </conditionalFormatting>
  <conditionalFormatting sqref="GY8:GY207 EX8:EX207 EK6:EK207 HH8:HH207">
    <cfRule type="containsText" dxfId="189" priority="112" stopIfTrue="1" operator="containsText" text="NA">
      <formula>NOT(ISERROR(SEARCH("NA",EK6)))</formula>
    </cfRule>
  </conditionalFormatting>
  <conditionalFormatting sqref="GY8:GY207 EX8:EX207 HH8:HH207">
    <cfRule type="containsText" dxfId="188" priority="111" operator="containsText" text="D">
      <formula>NOT(ISERROR(SEARCH("D",EX8)))</formula>
    </cfRule>
  </conditionalFormatting>
  <conditionalFormatting sqref="GY8:GY207 EX8:EX207 HH8:HH207">
    <cfRule type="cellIs" dxfId="187" priority="109" stopIfTrue="1" operator="equal">
      <formula>0</formula>
    </cfRule>
    <cfRule type="cellIs" dxfId="186" priority="110" stopIfTrue="1" operator="equal">
      <formula>0</formula>
    </cfRule>
  </conditionalFormatting>
  <conditionalFormatting sqref="GY8:GY207 ER8:EX207 HH8:HH207">
    <cfRule type="containsText" dxfId="185" priority="105" stopIfTrue="1" operator="containsText" text="G2">
      <formula>NOT(ISERROR(SEARCH("G2",ER8)))</formula>
    </cfRule>
    <cfRule type="containsText" dxfId="184" priority="106" stopIfTrue="1" operator="containsText" text="G1">
      <formula>NOT(ISERROR(SEARCH("G1",ER8)))</formula>
    </cfRule>
    <cfRule type="containsText" dxfId="183" priority="107" stopIfTrue="1" operator="containsText" text="S">
      <formula>NOT(ISERROR(SEARCH("S",ER8)))</formula>
    </cfRule>
    <cfRule type="containsText" dxfId="182" priority="108" stopIfTrue="1" operator="containsText" text="F">
      <formula>NOT(ISERROR(SEARCH("F",ER8)))</formula>
    </cfRule>
  </conditionalFormatting>
  <conditionalFormatting sqref="GY8:GY207 EX8:EX207 HH8:HH207">
    <cfRule type="containsText" dxfId="181" priority="104" stopIfTrue="1" operator="containsText" text="NA">
      <formula>NOT(ISERROR(SEARCH("NA",EX8)))</formula>
    </cfRule>
  </conditionalFormatting>
  <conditionalFormatting sqref="GY8:GY207 EX8:EX207 HH8:HH207">
    <cfRule type="containsText" dxfId="180" priority="102" stopIfTrue="1" operator="containsText" text="NA">
      <formula>NOT(ISERROR(SEARCH("NA",EX8)))</formula>
    </cfRule>
    <cfRule type="containsText" dxfId="179" priority="103" stopIfTrue="1" operator="containsText" text="ML">
      <formula>NOT(ISERROR(SEARCH("ML",EX8)))</formula>
    </cfRule>
  </conditionalFormatting>
  <conditionalFormatting sqref="GY8:GY207 EX8:EX207 HH8:HH207">
    <cfRule type="containsText" dxfId="178" priority="100" stopIfTrue="1" operator="containsText" text="vuqRrh.kZ">
      <formula>NOT(ISERROR(SEARCH("vuqRrh.kZ",EX8)))</formula>
    </cfRule>
    <cfRule type="containsText" dxfId="177" priority="101" stopIfTrue="1" operator="containsText" text="lk- mRrh.kZ">
      <formula>NOT(ISERROR(SEARCH("lk- mRrh.kZ",EX8)))</formula>
    </cfRule>
  </conditionalFormatting>
  <conditionalFormatting sqref="GY8:GY207 EX8:EX207 HH8:HH207">
    <cfRule type="containsText" dxfId="176" priority="99" stopIfTrue="1" operator="containsText" text="iwjd">
      <formula>NOT(ISERROR(SEARCH("iwjd",EX8)))</formula>
    </cfRule>
  </conditionalFormatting>
  <conditionalFormatting sqref="J6:L7 X6:Z7 AM6:AO7 BJ6:BL7 CG6:CI7 EC6:EE7 DE6:DG7">
    <cfRule type="cellIs" dxfId="175" priority="97" stopIfTrue="1" operator="equal">
      <formula>0</formula>
    </cfRule>
  </conditionalFormatting>
  <conditionalFormatting sqref="GY8:GY207">
    <cfRule type="expression" dxfId="174" priority="12" stopIfTrue="1">
      <formula>$GY8="SUPPLEMENTARY"</formula>
    </cfRule>
    <cfRule type="expression" dxfId="173" priority="13" stopIfTrue="1">
      <formula>GY8="NSO"</formula>
    </cfRule>
    <cfRule type="containsText" dxfId="172" priority="90" stopIfTrue="1" operator="containsText" text="iwjd">
      <formula>NOT(ISERROR(SEARCH("iwjd",GY8)))</formula>
    </cfRule>
    <cfRule type="containsText" dxfId="171" priority="91" stopIfTrue="1" operator="containsText" text="vuRrh.kZ">
      <formula>NOT(ISERROR(SEARCH("vuRrh.kZ",GY8)))</formula>
    </cfRule>
    <cfRule type="containsText" dxfId="170" priority="92" stopIfTrue="1" operator="containsText" text="mRrh.kZ">
      <formula>NOT(ISERROR(SEARCH("mRrh.kZ",GY8)))</formula>
    </cfRule>
  </conditionalFormatting>
  <conditionalFormatting sqref="GY8:GY207 HH8:HH207">
    <cfRule type="containsText" dxfId="169" priority="89" stopIfTrue="1" operator="containsText" text="iu% ijh{kk">
      <formula>NOT(ISERROR(SEARCH("iu% ijh{kk",GY8)))</formula>
    </cfRule>
  </conditionalFormatting>
  <conditionalFormatting sqref="GY8:GY207 HH8:HH207">
    <cfRule type="containsText" dxfId="168" priority="88" stopIfTrue="1" operator="containsText" text="iqu% ijh{kk">
      <formula>NOT(ISERROR(SEARCH("iqu% ijh{kk",GY8)))</formula>
    </cfRule>
  </conditionalFormatting>
  <conditionalFormatting sqref="FQ8:FV207 FX8:GC207 GE8:GJ207 FJ8:FO207 GL8:GS207">
    <cfRule type="containsText" dxfId="167" priority="86" stopIfTrue="1" operator="containsText" text="S">
      <formula>NOT(ISERROR(SEARCH("S",FJ8)))</formula>
    </cfRule>
  </conditionalFormatting>
  <conditionalFormatting sqref="DT6:DT7 BW6:BW7 AZ6:AZ7 Q6:Q7 AE6:AE7 CT6:CT7">
    <cfRule type="cellIs" dxfId="166" priority="85" stopIfTrue="1" operator="between">
      <formula>1</formula>
      <formula>71</formula>
    </cfRule>
  </conditionalFormatting>
  <conditionalFormatting sqref="FQ8:FV207 FX8:GC207 GE8:GJ207 FJ8:FO207 GL8:GS207">
    <cfRule type="containsText" dxfId="165" priority="82" stopIfTrue="1" operator="containsText" text="G">
      <formula>NOT(ISERROR(SEARCH("G",FJ8)))</formula>
    </cfRule>
    <cfRule type="containsText" dxfId="164" priority="83" stopIfTrue="1" operator="containsText" text="S">
      <formula>NOT(ISERROR(SEARCH("S",FJ8)))</formula>
    </cfRule>
    <cfRule type="containsText" dxfId="163" priority="84" stopIfTrue="1" operator="containsText" text="D">
      <formula>NOT(ISERROR(SEARCH("D",FJ8)))</formula>
    </cfRule>
  </conditionalFormatting>
  <conditionalFormatting sqref="AY8:AY207 BV8:BV207 CS8:CS207">
    <cfRule type="cellIs" dxfId="162" priority="81" stopIfTrue="1" operator="between">
      <formula>1</formula>
      <formula>17</formula>
    </cfRule>
  </conditionalFormatting>
  <conditionalFormatting sqref="FQ8:FV207 FX8:GC207 GE8:GJ207 GL8:GQ207">
    <cfRule type="containsText" dxfId="161" priority="80" operator="containsText" text="AB">
      <formula>NOT(ISERROR(SEARCH("AB",FQ8)))</formula>
    </cfRule>
  </conditionalFormatting>
  <conditionalFormatting sqref="FQ8:FV207 FX8:GC207 GE8:GJ207 GL8:GQ207">
    <cfRule type="containsText" dxfId="160" priority="79" operator="containsText" text="F">
      <formula>NOT(ISERROR(SEARCH("F",FQ8)))</formula>
    </cfRule>
  </conditionalFormatting>
  <conditionalFormatting sqref="GX210 GX218 GX212 GX214 GX216 HB210 HI211:HI213 HH210:HI210 HD210 EL210:EX210 BE210:BH210 CB210:CE210 CY210:DC210 GV210">
    <cfRule type="containsText" dxfId="159" priority="76" operator="containsText" text="jk">
      <formula>NOT(ISERROR(SEARCH("jk",BE210)))</formula>
    </cfRule>
    <cfRule type="containsText" dxfId="158" priority="77" operator="containsText" text="fo">
      <formula>NOT(ISERROR(SEARCH("fo",BE210)))</formula>
    </cfRule>
    <cfRule type="containsText" dxfId="157" priority="78" operator="containsText" text="f'k">
      <formula>NOT(ISERROR(SEARCH("f'k",BE210)))</formula>
    </cfRule>
  </conditionalFormatting>
  <conditionalFormatting sqref="HD8:HD207">
    <cfRule type="cellIs" dxfId="156" priority="75" stopIfTrue="1" operator="greaterThan">
      <formula>0</formula>
    </cfRule>
  </conditionalFormatting>
  <conditionalFormatting sqref="IK4 IT4 IY4:JA4">
    <cfRule type="expression" dxfId="155" priority="55">
      <formula>ISERROR(IK4)</formula>
    </cfRule>
  </conditionalFormatting>
  <conditionalFormatting sqref="HH8:HH207">
    <cfRule type="containsText" dxfId="154" priority="19" stopIfTrue="1" operator="containsText" text="iwjd">
      <formula>NOT(ISERROR(SEARCH("iwjd",HH8)))</formula>
    </cfRule>
    <cfRule type="containsText" dxfId="153" priority="20" stopIfTrue="1" operator="containsText" text="vuRrh.kZ">
      <formula>NOT(ISERROR(SEARCH("vuRrh.kZ",HH8)))</formula>
    </cfRule>
    <cfRule type="containsText" dxfId="152" priority="21" stopIfTrue="1" operator="containsText" text="mRrh.kZ">
      <formula>NOT(ISERROR(SEARCH("mRrh.kZ",HH8)))</formula>
    </cfRule>
  </conditionalFormatting>
  <conditionalFormatting sqref="AZ8:AZ207 BW9">
    <cfRule type="cellIs" dxfId="151" priority="11" stopIfTrue="1" operator="between">
      <formula>1</formula>
      <formula>71</formula>
    </cfRule>
  </conditionalFormatting>
  <conditionalFormatting sqref="AX8:AX207">
    <cfRule type="expression" dxfId="150" priority="10">
      <formula>$BE8*36%&gt;AX8</formula>
    </cfRule>
  </conditionalFormatting>
  <conditionalFormatting sqref="BU8:BU207">
    <cfRule type="expression" dxfId="149" priority="9">
      <formula>$BE8*36%&gt;BU8</formula>
    </cfRule>
  </conditionalFormatting>
  <conditionalFormatting sqref="CR8:CR207">
    <cfRule type="expression" dxfId="148" priority="6">
      <formula>$BE8*36%&gt;CR8</formula>
    </cfRule>
  </conditionalFormatting>
  <conditionalFormatting sqref="HD8:HD207">
    <cfRule type="top10" dxfId="147" priority="4"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BP221"/>
  <sheetViews>
    <sheetView showGridLines="0" view="pageBreakPreview" topLeftCell="E1" zoomScaleSheetLayoutView="100" workbookViewId="0">
      <selection activeCell="AH7" sqref="AH7"/>
    </sheetView>
  </sheetViews>
  <sheetFormatPr defaultRowHeight="15"/>
  <cols>
    <col min="1" max="1" width="4.125" style="17" customWidth="1"/>
    <col min="2" max="2" width="7.25" style="17" customWidth="1"/>
    <col min="3" max="3" width="3.875" style="17" customWidth="1"/>
    <col min="4" max="4" width="7.875" style="17" customWidth="1"/>
    <col min="5" max="5" width="10.875" style="17" customWidth="1"/>
    <col min="6" max="6" width="18.25" style="17" customWidth="1"/>
    <col min="7" max="7" width="18.75" style="17" customWidth="1"/>
    <col min="8" max="8" width="16.75" style="17" customWidth="1"/>
    <col min="9" max="9" width="6.625" style="17" customWidth="1"/>
    <col min="10" max="10" width="5.375" style="17" customWidth="1"/>
    <col min="11" max="11" width="15.875" style="17" customWidth="1"/>
    <col min="12" max="13" width="5.375" style="17" customWidth="1"/>
    <col min="14" max="23" width="4.625" style="17" customWidth="1"/>
    <col min="24" max="29" width="4.625" style="17" hidden="1" customWidth="1"/>
    <col min="30" max="32" width="4.625" style="17" customWidth="1"/>
    <col min="33" max="33" width="12.75" style="17" bestFit="1" customWidth="1"/>
    <col min="34" max="45" width="9" style="17"/>
    <col min="46" max="47" width="9" style="17" hidden="1" customWidth="1"/>
    <col min="48" max="50" width="0" style="17" hidden="1" customWidth="1"/>
    <col min="51" max="64" width="9" style="17"/>
    <col min="65" max="68" width="0" style="17" hidden="1" customWidth="1"/>
    <col min="69" max="16384" width="9" style="17"/>
  </cols>
  <sheetData>
    <row r="1" spans="1:68" ht="28.5" customHeight="1">
      <c r="A1" s="1330" t="str">
        <f>IF('Master Sheet'!D11="Hindi",CONCATENATE("विद्यालय का नाम :-","  ",'Master Sheet'!D8),CONCATENATE("School Name :-","  ",'Master Sheet'!D7))</f>
        <v xml:space="preserve">विद्यालय का नाम :-  महात्मा गाँधी राजकीय विद्यालय (अंग्रेजी माध्यम) बर, पाली </v>
      </c>
      <c r="B1" s="1330"/>
      <c r="C1" s="1330"/>
      <c r="D1" s="1330"/>
      <c r="E1" s="1330"/>
      <c r="F1" s="1330"/>
      <c r="G1" s="1330"/>
      <c r="H1" s="1330"/>
      <c r="I1" s="1330"/>
      <c r="J1" s="1330"/>
      <c r="K1" s="1330"/>
      <c r="L1" s="1330"/>
      <c r="M1" s="1330"/>
      <c r="N1" s="1330"/>
      <c r="O1" s="1330"/>
      <c r="P1" s="1330"/>
      <c r="Q1" s="1330"/>
      <c r="R1" s="1330"/>
      <c r="S1" s="1330"/>
      <c r="T1" s="1330"/>
      <c r="U1" s="1330"/>
      <c r="V1" s="1330"/>
      <c r="W1" s="1330"/>
      <c r="X1" s="1330"/>
      <c r="Y1" s="1330"/>
      <c r="Z1" s="1330"/>
      <c r="AA1" s="1330"/>
      <c r="AB1" s="1330"/>
      <c r="AC1" s="1330"/>
      <c r="AD1" s="1330"/>
      <c r="AE1" s="1330"/>
      <c r="AF1" s="1330"/>
      <c r="AG1" s="1330"/>
    </row>
    <row r="2" spans="1:68" ht="26.25" customHeight="1">
      <c r="A2" s="1331" t="s">
        <v>298</v>
      </c>
      <c r="B2" s="1331"/>
      <c r="C2" s="1331"/>
      <c r="D2" s="1331"/>
      <c r="E2" s="1331"/>
      <c r="F2" s="1331"/>
      <c r="G2" s="1331"/>
      <c r="H2" s="1331"/>
      <c r="I2" s="1331"/>
      <c r="J2" s="1331"/>
      <c r="K2" s="1331"/>
      <c r="L2" s="1331"/>
      <c r="M2" s="1331"/>
      <c r="N2" s="1331"/>
      <c r="O2" s="1331"/>
      <c r="P2" s="1331"/>
      <c r="Q2" s="1331"/>
      <c r="R2" s="1331"/>
      <c r="S2" s="1331"/>
      <c r="T2" s="1331"/>
      <c r="U2" s="1331"/>
      <c r="V2" s="1331"/>
      <c r="W2" s="1331"/>
      <c r="X2" s="1331"/>
      <c r="Y2" s="1331"/>
      <c r="Z2" s="1331"/>
      <c r="AA2" s="1331"/>
      <c r="AB2" s="1331"/>
      <c r="AC2" s="1331"/>
      <c r="AD2" s="1331"/>
      <c r="AE2" s="1331"/>
      <c r="AF2" s="1331"/>
      <c r="AG2" s="1331"/>
    </row>
    <row r="3" spans="1:68" ht="24" customHeight="1">
      <c r="A3" s="830"/>
      <c r="B3" s="1332" t="str">
        <f>IF('Master Sheet'!D11="Hindi","कक्षा  :-","CLASS :- ")</f>
        <v>कक्षा  :-</v>
      </c>
      <c r="C3" s="1332"/>
      <c r="D3" s="1332"/>
      <c r="E3" s="795">
        <f>IF('Statement of Marks'!D3="","",'Statement of Marks'!D3)</f>
        <v>11</v>
      </c>
      <c r="F3" s="827" t="str">
        <f>IF('Marks Entry'!G3="","",'Marks Entry'!G3)</f>
        <v>संकाय :-</v>
      </c>
      <c r="G3" s="828" t="str">
        <f>IF('Marks Entry'!H3="","",'Marks Entry'!H3)</f>
        <v>Arts</v>
      </c>
      <c r="H3" s="827" t="str">
        <f>IF('Master Sheet'!D11="Hindi","सत्र :- ","Session :- ")</f>
        <v xml:space="preserve">सत्र :- </v>
      </c>
      <c r="I3" s="1336" t="str">
        <f>IF('Marks Entry'!H1="","",'Marks Entry'!H1)</f>
        <v>2023-2024</v>
      </c>
      <c r="J3" s="1336"/>
      <c r="K3" s="1336"/>
      <c r="L3" s="1336"/>
      <c r="M3" s="1332" t="str">
        <f>IF('Master Sheet'!$D$11="Hindi","विषय :-","Subject :-")</f>
        <v>विषय :-</v>
      </c>
      <c r="N3" s="1332"/>
      <c r="O3" s="1332"/>
      <c r="P3" s="1337" t="s">
        <v>212</v>
      </c>
      <c r="Q3" s="1337"/>
      <c r="R3" s="1337"/>
      <c r="S3" s="1337"/>
      <c r="T3" s="1337"/>
      <c r="U3" s="1337"/>
      <c r="V3" s="1337"/>
      <c r="W3" s="1337"/>
      <c r="X3" s="1337"/>
      <c r="Y3" s="1337"/>
      <c r="Z3" s="1337"/>
      <c r="AA3" s="1337"/>
      <c r="AB3" s="1337"/>
      <c r="AC3" s="1337"/>
      <c r="AD3" s="1337"/>
      <c r="AE3" s="1337"/>
      <c r="AF3" s="1337"/>
      <c r="AG3" s="1337"/>
    </row>
    <row r="4" spans="1:68" ht="11.25" customHeight="1">
      <c r="A4" s="830"/>
      <c r="B4" s="796"/>
      <c r="C4" s="796"/>
      <c r="D4" s="796"/>
      <c r="E4" s="830"/>
      <c r="F4" s="830"/>
      <c r="G4" s="797"/>
      <c r="H4" s="828"/>
      <c r="I4" s="830"/>
      <c r="J4" s="827"/>
      <c r="K4" s="827"/>
      <c r="L4" s="827"/>
      <c r="M4" s="827"/>
      <c r="N4" s="827"/>
      <c r="O4" s="827"/>
      <c r="P4" s="827"/>
      <c r="Q4" s="827"/>
      <c r="R4" s="827"/>
      <c r="S4" s="798"/>
      <c r="T4" s="798"/>
      <c r="U4" s="798"/>
      <c r="V4" s="798"/>
      <c r="W4" s="798"/>
      <c r="X4" s="798"/>
      <c r="Y4" s="798"/>
      <c r="Z4" s="798"/>
      <c r="AA4" s="798"/>
      <c r="AB4" s="798"/>
      <c r="AC4" s="798"/>
      <c r="AD4" s="798"/>
      <c r="AE4" s="798"/>
      <c r="AF4" s="798"/>
      <c r="AG4" s="798"/>
    </row>
    <row r="5" spans="1:68" ht="20.25" customHeight="1">
      <c r="A5" s="1333" t="str">
        <f>IF('Master Sheet'!D11="Hindi","क्र. स.","Sr. No. ")</f>
        <v>क्र. स.</v>
      </c>
      <c r="B5" s="1333" t="str">
        <f>IF('Master Sheet'!D11="Hindi","नामांक","Roll No.")</f>
        <v>नामांक</v>
      </c>
      <c r="C5" s="1333" t="str">
        <f>IF('Master Sheet'!D11="Hindi","वर्ग","Section")</f>
        <v>वर्ग</v>
      </c>
      <c r="D5" s="1333" t="str">
        <f>IF('Master Sheet'!D11="Hindi","प्रवेशांक","SR. NO.")</f>
        <v>प्रवेशांक</v>
      </c>
      <c r="E5" s="1295" t="str">
        <f>IF('Master Sheet'!D11="Hindi","जन्म दिनांक","Date of Birth")</f>
        <v>जन्म दिनांक</v>
      </c>
      <c r="F5" s="1295" t="str">
        <f>IF('Master Sheet'!D11="Hindi","विद्यार्थी का नाम","Student's Name")</f>
        <v>विद्यार्थी का नाम</v>
      </c>
      <c r="G5" s="1295" t="str">
        <f>IF('Master Sheet'!D11="Hindi","पिता का नाम","Father's Name")</f>
        <v>पिता का नाम</v>
      </c>
      <c r="H5" s="1295" t="str">
        <f>IF('Master Sheet'!D11="Hindi","माता का नाम ","Mother's Name")</f>
        <v xml:space="preserve">माता का नाम </v>
      </c>
      <c r="I5" s="1327" t="str">
        <f>IF('Master Sheet'!D11="Hindi","वर्ग  ","Category")</f>
        <v xml:space="preserve">वर्ग  </v>
      </c>
      <c r="J5" s="1327" t="str">
        <f>IF('Master Sheet'!D11="Hindi","लिंग ","Gender")</f>
        <v xml:space="preserve">लिंग </v>
      </c>
      <c r="K5" s="1295" t="str">
        <f>IF('Master Sheet'!D11="Hindi","वैकल्पिक विषय","Optional Subject")</f>
        <v>वैकल्पिक विषय</v>
      </c>
      <c r="L5" s="1325" t="str">
        <f>IF(OR($P$3=$AT$14,$P$3=$AT$14),"",IF('Master Sheet'!D11="Hindi","सामयिक परख","Seasonal Exam"))</f>
        <v>सामयिक परख</v>
      </c>
      <c r="M5" s="1325"/>
      <c r="N5" s="1325"/>
      <c r="O5" s="1326"/>
      <c r="P5" s="1320" t="str">
        <f>IF(OR($P$3=$AT$14,$P$3=$AT$14),IF('Master Sheet'!D11="Hindi","अनिवार्य प्रवृति","Compulsory Tendency"),IF('Master Sheet'!D11="Hindi","अर्द्धवार्षिक","Half Yearly"))</f>
        <v>अर्द्धवार्षिक</v>
      </c>
      <c r="Q5" s="1320"/>
      <c r="R5" s="1320"/>
      <c r="S5" s="1315" t="str">
        <f>IF(OR($P$3=$AT$14,$P$3=$AT$14),IF('Master Sheet'!D11="Hindi","वैकल्पिक प्रवृति","Alternative Tendency"),IF('Master Sheet'!D11="Hindi","अर्द्ध वा. तक योग","Total Till H.Y."))</f>
        <v>अर्द्ध वा. तक योग</v>
      </c>
      <c r="T5" s="1320" t="str">
        <f>IF('Master Sheet'!D11="Hindi","वार्षिक","Yearly")</f>
        <v>वार्षिक</v>
      </c>
      <c r="U5" s="1320"/>
      <c r="V5" s="1320"/>
      <c r="W5" s="1317" t="str">
        <f>IF('Master Sheet'!D11="Hindi","विषय कुल योग ","Subject Total")</f>
        <v xml:space="preserve">विषय कुल योग </v>
      </c>
      <c r="X5" s="1319" t="s">
        <v>54</v>
      </c>
      <c r="Y5" s="829"/>
      <c r="Z5" s="829"/>
      <c r="AA5" s="829"/>
      <c r="AB5" s="829"/>
      <c r="AC5" s="1319" t="s">
        <v>304</v>
      </c>
      <c r="AD5" s="1319" t="s">
        <v>56</v>
      </c>
      <c r="AE5" s="1319" t="str">
        <f>IF('Master Sheet'!$D$11="Hindi","विषय परिणाम","SUBJECT RESULT")</f>
        <v>विषय परिणाम</v>
      </c>
      <c r="AF5" s="1319" t="str">
        <f>IF('Master Sheet'!$D$11="Hindi","विषय श्रेणी","SUBJECT DIVISION")</f>
        <v>विषय श्रेणी</v>
      </c>
      <c r="AG5" s="1321" t="str">
        <f>IF('Master Sheet'!D11="Hindi","विशेष विवरण","Specifications")</f>
        <v>विशेष विवरण</v>
      </c>
      <c r="AJ5" s="1323"/>
      <c r="AK5" s="1323"/>
      <c r="AL5" s="1323"/>
      <c r="AM5" s="1323"/>
      <c r="AN5" s="1323"/>
    </row>
    <row r="6" spans="1:68" ht="69.75" customHeight="1">
      <c r="A6" s="1334"/>
      <c r="B6" s="1334"/>
      <c r="C6" s="1334"/>
      <c r="D6" s="1334"/>
      <c r="E6" s="1296"/>
      <c r="F6" s="1296"/>
      <c r="G6" s="1296"/>
      <c r="H6" s="1296"/>
      <c r="I6" s="1328"/>
      <c r="J6" s="1328"/>
      <c r="K6" s="1296"/>
      <c r="L6" s="799" t="str">
        <f>IF(OR($P$3=$AT$14,$P$3=$AT$14),"",IF('Master Sheet'!D11="Hindi","प्रथम परख ","First Test"))</f>
        <v xml:space="preserve">प्रथम परख </v>
      </c>
      <c r="M6" s="799" t="str">
        <f>IF(OR($P$3=$AT$14,$P$3=$AT$14),"",IF('Master Sheet'!D11="Hindi","द्वितीय परख","Second Test"))</f>
        <v>द्वितीय परख</v>
      </c>
      <c r="N6" s="799" t="str">
        <f>IF(OR($P$3=$AT$14,$P$3=$AT$14),"",IF('Master Sheet'!D11="Hindi","तृतीय परख","Third Test"))</f>
        <v>तृतीय परख</v>
      </c>
      <c r="O6" s="800" t="str">
        <f>IF(OR($P$3=$AT$14,$P$3=$AT$14),"",IF('Master Sheet'!D11="Hindi","सा. परख योग","Test Total"))</f>
        <v>सा. परख योग</v>
      </c>
      <c r="P6" s="819" t="str">
        <f>IF('Master Sheet'!$D$11="Hindi","सैद्धांतिक","Theoretical")</f>
        <v>सैद्धांतिक</v>
      </c>
      <c r="Q6" s="820" t="str">
        <f>IF('Master Sheet'!$D$11="Hindi","प्रायोगिक","Practical")</f>
        <v>प्रायोगिक</v>
      </c>
      <c r="R6" s="822" t="str">
        <f>IF(OR($P$3=$AT$14,$P$3=$AT$14),IF('Master Sheet'!D11="Hindi","कुल अंक","Total Marks"),IF('Master Sheet'!$D$11="Hindi","अर्द्ध वा. योग","Total H.Y."))</f>
        <v>अर्द्ध वा. योग</v>
      </c>
      <c r="S6" s="1316"/>
      <c r="T6" s="820" t="str">
        <f>IF('Master Sheet'!$D$11="Hindi","सैद्धांतिक","Theoretical")</f>
        <v>सैद्धांतिक</v>
      </c>
      <c r="U6" s="820" t="str">
        <f>IF('Master Sheet'!$D$11="Hindi","प्रायोगिक","Practical")</f>
        <v>प्रायोगिक</v>
      </c>
      <c r="V6" s="822" t="str">
        <f>IF('Master Sheet'!$D$11="Hindi","वार्षिक योग","Total Yearly")</f>
        <v>वार्षिक योग</v>
      </c>
      <c r="W6" s="1318"/>
      <c r="X6" s="1319"/>
      <c r="Y6" s="829" t="s">
        <v>305</v>
      </c>
      <c r="Z6" s="829" t="s">
        <v>306</v>
      </c>
      <c r="AA6" s="829" t="s">
        <v>302</v>
      </c>
      <c r="AB6" s="829" t="s">
        <v>303</v>
      </c>
      <c r="AC6" s="1319"/>
      <c r="AD6" s="1319"/>
      <c r="AE6" s="1319"/>
      <c r="AF6" s="1319"/>
      <c r="AG6" s="1322">
        <v>0</v>
      </c>
      <c r="AJ6" s="1323"/>
      <c r="AK6" s="1323"/>
      <c r="AL6" s="1323"/>
      <c r="AM6" s="1323"/>
      <c r="AN6" s="1323"/>
    </row>
    <row r="7" spans="1:68" ht="15.75">
      <c r="A7" s="1334"/>
      <c r="B7" s="1334"/>
      <c r="C7" s="1334"/>
      <c r="D7" s="1334"/>
      <c r="E7" s="1296"/>
      <c r="F7" s="1296"/>
      <c r="G7" s="1296"/>
      <c r="H7" s="1296"/>
      <c r="I7" s="1328"/>
      <c r="J7" s="1328"/>
      <c r="K7" s="1296"/>
      <c r="L7" s="801">
        <f>IFERROR(IF($P$3=$AT$8,'Statement of Marks'!J6,IF($P$3=$AT$9,'Statement of Marks'!X6,IF($P$3=$AT$10,'Statement of Marks'!AM6,IF($P$3=$AT$11,'Statement of Marks'!BJ6,IF($P$3=$AT$12,'Statement of Marks'!CG6,IF($P$3=$AT$13,'Statement of Marks'!DE6,IF($P$3=$AT$14,"",IF($P$3=$AT$15,'Statement of Marks'!EY6,"")))))))),"")</f>
        <v>10</v>
      </c>
      <c r="M7" s="801">
        <f>IFERROR(IF($P$3=$AT$8,'Statement of Marks'!K6,IF($P$3=$AT$9,'Statement of Marks'!Y6,IF($P$3=$AT$10,'Statement of Marks'!AN6,IF($P$3=$AT$11,'Statement of Marks'!BK6,IF($P$3=$AT$12,'Statement of Marks'!CH6,IF($P$3=$AT$13,'Statement of Marks'!DF6,IF($P$3=$AT$14,"",IF($P$3=$AT$15,'Statement of Marks'!EZ6,"")))))))),"")</f>
        <v>10</v>
      </c>
      <c r="N7" s="801">
        <f>IFERROR(IF($P$3=$AT$8,'Statement of Marks'!L6,IF($P$3=$AT$9,'Statement of Marks'!Z6,IF($P$3=$AT$10,'Statement of Marks'!AO6,IF($P$3=$AT$11,'Statement of Marks'!BL6,IF($P$3=$AT$12,'Statement of Marks'!CI6,IF($P$3=$AT$13,'Statement of Marks'!DG6,IF($P$3=$AT$14,"",IF($P$3=$AT$15,'Statement of Marks'!FA6,"")))))))),"")</f>
        <v>10</v>
      </c>
      <c r="O7" s="802">
        <f>IF(AND(L7="",M7="",N7="",$P$3=""),"",IF(OR($P$3=$AT$14,$P$3=$AT$14),"",SUM(L7:N7)))</f>
        <v>30</v>
      </c>
      <c r="P7" s="801">
        <f>IFERROR(IF($P$3=$AT$8,'Statement of Marks'!N6,IF($P$3=$AT$9,'Statement of Marks'!AB6,IF($P$3=$AT$10,'Statement of Marks'!AQ6,IF($P$3=$AT$11,'Statement of Marks'!BN6,IF($P$3=$AT$12,'Statement of Marks'!CK6,IF($P$3=$AT$13,'Statement of Marks'!DI6,IF($P$3=$AT$14,"",IF($P$3=$AT$15,'Statement of Marks'!FC6,"")))))))),"")</f>
        <v>50</v>
      </c>
      <c r="Q7" s="801">
        <f>IFERROR(IF($P$3=$AT$8,0,IF($P$3=$AT$9,0,IF($P$3=$AT$10,'Statement of Marks'!AR6,IF($P$3=$AT$11,'Statement of Marks'!BO6,IF($P$3=$AT$12,'Statement of Marks'!CL6,IF($P$3=$AT$13,'Statement of Marks'!DJ6,IF($P$3=$AT$14,"",IF($P$3=$AT$15,0,"")))))))),"")</f>
        <v>20</v>
      </c>
      <c r="R7" s="821">
        <f>IF(AND(P7="",Q7="",$P$3=""),"",IF($P$3=$AT$14,'Statement of Marks'!EC6,SUM(P7,Q7)))</f>
        <v>70</v>
      </c>
      <c r="S7" s="803">
        <f>IF($P$3=$AT$14,'Statement of Marks'!ED6,IF(AND(O7="NA",P7="NA",Q7="NA"),"NA",IF(AND(O7="",P7="",Q7=""),"",SUM(O7,P7,Q7))))</f>
        <v>100</v>
      </c>
      <c r="T7" s="801">
        <f>IFERROR(IF($P$3=$AT$8,'Statement of Marks'!P6,IF($P$3=$AT$9,'Statement of Marks'!AD6,IF($P$3=$AT$10,'Statement of Marks'!AU6,IF($P$3=$AT$11,'Statement of Marks'!BR6,IF($P$3=$AT$12,'Statement of Marks'!CO6,IF($P$3=$AT$13,'Statement of Marks'!DM6,IF($P$3=$AT$14,"",IF($P$3=$AT$15,'Statement of Marks'!FD6,"")))))))),"")</f>
        <v>70</v>
      </c>
      <c r="U7" s="801">
        <f>IFERROR(IF($P$3=$AT$8,0,IF($P$3=$AT$9,0,IF($P$3=$AT$10,'Statement of Marks'!AV6,IF($P$3=$AT$11,'Statement of Marks'!BS6,IF($P$3=$AT$12,'Statement of Marks'!CP6,IF($P$3=$AT$13,'Statement of Marks'!DN6,IF($P$3=$AT$14,"",IF($P$3=$AT$15,0,"")))))))),"")</f>
        <v>30</v>
      </c>
      <c r="V7" s="821">
        <f>IF(AND(T7="",U7="",$P$3=""),"",IF($P$3=$AT$14,'Statement of Marks'!EE6,SUM(T7,U7)))</f>
        <v>100</v>
      </c>
      <c r="W7" s="804">
        <f>IF($P$3="","",IF(OR($P$3=$AT$14),SUM(R7,S7,V7),SUM(S7,V7)))</f>
        <v>200</v>
      </c>
      <c r="X7" s="804"/>
      <c r="Y7" s="804">
        <f>SUM(Q7,U7)</f>
        <v>50</v>
      </c>
      <c r="Z7" s="804">
        <f>SUM(O7,P7,T7)</f>
        <v>150</v>
      </c>
      <c r="AA7" s="804"/>
      <c r="AB7" s="804"/>
      <c r="AC7" s="804"/>
      <c r="AD7" s="804"/>
      <c r="AE7" s="804"/>
      <c r="AF7" s="804"/>
      <c r="AG7" s="805"/>
    </row>
    <row r="8" spans="1:68" ht="15.75">
      <c r="A8" s="1335"/>
      <c r="B8" s="1335"/>
      <c r="C8" s="1335"/>
      <c r="D8" s="1335"/>
      <c r="E8" s="1297"/>
      <c r="F8" s="1297"/>
      <c r="G8" s="1297"/>
      <c r="H8" s="1297"/>
      <c r="I8" s="1329"/>
      <c r="J8" s="1329"/>
      <c r="K8" s="1297"/>
      <c r="L8" s="801">
        <f>IFERROR(IF($P$3=$AT$8,'Statement of Marks'!J6,IF($P$3=$AT$9,'Statement of Marks'!X6,IF($P$3=$AT$10,'Statement of Marks'!AM6,IF($P$3=$AT$11,'Statement of Marks'!BJ6,IF($P$3=$AT$12,'Statement of Marks'!CG6,IF($P$3=$AT$13,'Statement of Marks'!DE6,IF($P$3=$AT$14,"",IF($P$3=$AT$15,'Statement of Marks'!EY6,"")))))))),"")</f>
        <v>10</v>
      </c>
      <c r="M8" s="801">
        <f>IFERROR(IF($P$3=$AT$8,'Statement of Marks'!K6,IF($P$3=$AT$9,'Statement of Marks'!Y6,IF($P$3=$AT$10,'Statement of Marks'!AN6,IF($P$3=$AT$11,'Statement of Marks'!BK6,IF($P$3=$AT$12,'Statement of Marks'!CH6,IF($P$3=$AT$13,'Statement of Marks'!DF6,IF($P$3=$AT$14,"",IF($P$3=$AT$15,'Statement of Marks'!EZ6,"")))))))),"")</f>
        <v>10</v>
      </c>
      <c r="N8" s="801">
        <f>IFERROR(IF($P$3=$AT$8,'Statement of Marks'!L6,IF($P$3=$AT$9,'Statement of Marks'!Z6,IF($P$3=$AT$10,'Statement of Marks'!AO6,IF($P$3=$AT$11,'Statement of Marks'!BL6,IF($P$3=$AT$12,'Statement of Marks'!CI6,IF($P$3=$AT$13,'Statement of Marks'!DG6,IF($P$3=$AT$14,"",IF($P$3=$AT$15,'Statement of Marks'!FA6,"")))))))),"")</f>
        <v>10</v>
      </c>
      <c r="O8" s="802">
        <f>IF(AND(L8="",M8="",N8="",$P$3=""),"",IF(OR($P$3=$AT$14,$P$3=$AT$14),"",SUM(L8:N8)))</f>
        <v>30</v>
      </c>
      <c r="P8" s="801">
        <f>IFERROR(IF($P$3=$AT$8,'Statement of Marks'!N7,IF($P$3=$AT$9,'Statement of Marks'!AB7,IF($P$3=$AT$10,'Statement of Marks'!AQ7,IF($P$3=$AT$11,'Statement of Marks'!BN7,IF($P$3=$AT$12,'Statement of Marks'!CK7,IF($P$3=$AT$13,'Statement of Marks'!DI7,IF($P$3=$AT$14,"",IF($P$3=$AT$15,'Statement of Marks'!FC7,"")))))))),"")</f>
        <v>70</v>
      </c>
      <c r="Q8" s="801" t="str">
        <f>IFERROR(IF($P$3=$AT$8,0,IF($P$3=$AT$9,0,IF($P$3=$AT$10,'Statement of Marks'!AR7,IF($P$3=$AT$11,'Statement of Marks'!BO7,IF($P$3=$AT$12,'Statement of Marks'!CL7,IF($P$3=$AT$13,'Statement of Marks'!DJ7,IF($P$3=$AT$14,"",IF($P$3=$AT$15,0,"")))))))),"")</f>
        <v/>
      </c>
      <c r="R8" s="821">
        <f>IF(AND(P8="",Q8="",$P$3=""),"",SUM(P8,Q8))</f>
        <v>70</v>
      </c>
      <c r="S8" s="803">
        <f>IF($P$3=$AT$14,'Statement of Marks'!ED7,IF(AND(O8="NA",P8="NA",Q8="NA"),"NA",IF(AND(O8="",P8="",Q8=""),"",SUM(O8,P8,Q8))))</f>
        <v>100</v>
      </c>
      <c r="T8" s="801">
        <f>IFERROR(IF($P$3=$AT$8,'Statement of Marks'!P7,IF($P$3=$AT$9,'Statement of Marks'!AD7,IF($P$3=$AT$10,'Statement of Marks'!AU7,IF($P$3=$AT$11,'Statement of Marks'!BR7,IF($P$3=$AT$12,'Statement of Marks'!CO7,IF($P$3=$AT$13,'Statement of Marks'!DM7,IF($P$3=$AT$14,"",IF($P$3=$AT$15,'Statement of Marks'!FD7,"")))))))),"")</f>
        <v>100</v>
      </c>
      <c r="U8" s="801" t="str">
        <f>IFERROR(IF($P$3=$AT$8,0,IF($P$3=$AT$9,0,IF($P$3=$AT$10,'Statement of Marks'!AV7,IF($P$3=$AT$11,'Statement of Marks'!BS7,IF($P$3=$AT$12,'Statement of Marks'!CP7,IF($P$3=$AT$13,'Statement of Marks'!DN7,IF($P$3=$AT$14,"",IF($P$3=$AT$15,0,"")))))))),"")</f>
        <v/>
      </c>
      <c r="V8" s="821">
        <f>IF(AND(T8="",U8="",$P$3=""),"",IF($P$3=$AT$14,'Statement of Marks'!EE7,SUM(T8,U8)))</f>
        <v>100</v>
      </c>
      <c r="W8" s="804">
        <f>IF($P$3="","",IF(OR($P$3=$AT$14),SUM(R8,S8,V8),SUM(S8,V8)))</f>
        <v>200</v>
      </c>
      <c r="X8" s="804">
        <f t="shared" ref="X8" si="0">IFERROR(IF($P$3="","",IF(OR($P$3=$AT$18,$P$3=$AT$19),COUNTIF(L8:N8,"NA")*$L$7+(COUNTIF(L8:N8,"ML")*$L$7)+(COUNTIF(S8,"ML")*$S$7)+(COUNTIF(P8,"ML")*$P$8)+(COUNTIF(T8,"ML")*$T$7),COUNTIF(P8,"NA")*$P$7+(COUNTIF(L8:N8,"ML")*$L$7)+(COUNTIF(P8,"ML")*$P$7)+(COUNTIF(T8,"ML")*$T$7))),0)</f>
        <v>0</v>
      </c>
      <c r="Y8" s="804">
        <f>SUM(Q8,U8)</f>
        <v>0</v>
      </c>
      <c r="Z8" s="804">
        <f>SUM(O8,P8,T8)</f>
        <v>200</v>
      </c>
      <c r="AA8" s="804"/>
      <c r="AB8" s="804"/>
      <c r="AC8" s="804" t="str">
        <f>IF(OR(B8="NSO",B8=0,B8=""),"",IF(OR(B8="NSO",B8=0,B8="",W8=""),"",IF(OR($P$3=$AT$8,$P$3=$AT$9,$P$3=$AT$10,$P$3=$AT$11,$P$3=$AT$12,$P$3=$AT$13,$P$3=$AT$14,$P$3=$AT$15,$P$3=$AT$16,$P$3=$AT$17),IF(AND(L8="NA",N8="NA",M8="NA"),$O$7-X8,IF(AND(P8="ML"),$P$7-X8,IF(AND(T8="ML"),$T$7-X8,$W$7-X8))),IF(AND(P8="NA"),$P$7-X8,IF(AND(S8="ML"),$S$7-X8,IF(AND(T8="ML"),$T$7-X8,$W$7-X8))))))</f>
        <v/>
      </c>
      <c r="AD8" s="804" t="str">
        <f>IF(AND(OR(L8="ab",L8="ml"),OR(M8="ab",M8="ml"),OR(P8="ab",P8="ml"),OR(O8="ab",O8="ml"),OR(S8="ab",S8="ml")),"AB",IF(AND(OR(M8="ab",M8="ml"),OR(N8="ab",N8="ml"),OR(O8="ab",O8="ml"),OR(P8="ab",P8="ml")),"AB",IF(AND(OR(N8="ab",N8="ml"),OR(L8="ab",L8="ml"),OR(P8="ab",P8="ml"),OR(O8="ab",P8="ml")),"AB",IF(AND(OR(P8="ab",P8="ml"),OR(N8="ab",N8="ml"),OR(T8="ab",T8="ml"),OR(S8="ab",S8="ml"),OR(T8="ab",T8="ml")),"AB",IF(AND(OR(P8="ab",P8="ml"),OR(M8="ab",M8="ml"),OR(T8="ab",T8="ml"),OR(S8="ab",S8="ml"),OR(T8="ab",T8="ml")),"AB","")))))</f>
        <v/>
      </c>
      <c r="AE8" s="804" t="str">
        <f t="shared" ref="AE8" si="1">IF(OR(B8="",$P$3=""),"",IF(W8=0,"",IF(W8="","",IF(B8="NSO","NSO",IF(OR(AD8="AB",T8="ab"),"AB",IF(T8="ML","RE",IF(W8="ML","RE",IF(AND(W8&gt;=36%*AC8,T8&gt;=$T$7*20%),"P",IF(AND(W8&gt;=34%*AC8,T8&gt;=$T$7*20%),"G",IF(AND(W8&gt;=31%*AC8,T8&gt;=$T$7*20%),"G",IF(AND(W8&gt;=25%*AC8,T8&gt;=$T$7*20%),"S","F")))))))))))</f>
        <v/>
      </c>
      <c r="AF8" s="804" t="str">
        <f t="shared" ref="AF8" si="2">IF(OR(AE8="",AE8=0,AE8="S",AE8="RE",AE8="F",AE8="AB",B8="NSO"),"",IF(AE8="G","G",IF(W8&gt;=75%*AC8,"I",IF(W8&gt;=60%*AC8,"I",IF(W8&gt;=48%*AC8,"II",IF(W8&gt;=36%*AC8,"III",""))))))</f>
        <v/>
      </c>
      <c r="AG8" s="805" t="str">
        <f t="shared" ref="AG8" si="3">IF(W8="","",IF(OR(AE8="",AE8=0,AE8="RE",AE8="AB",B8="NSO"),"",IF(W8&gt;85%*AC8,"A",IF(W8&gt;70%*AC8,"B",IF(W8&gt;=50%*AC8,"C",IF(W8&gt;=30%*AC8,"D","E"))))))</f>
        <v/>
      </c>
      <c r="AJ8" s="1324" t="s">
        <v>307</v>
      </c>
      <c r="AK8" s="1324"/>
      <c r="AL8" s="1324"/>
      <c r="AM8" s="1324"/>
      <c r="AN8" s="1324"/>
      <c r="AO8" s="1324"/>
      <c r="AT8" s="17" t="str">
        <f>'Statement of Marks'!J3</f>
        <v>Com. Hindi</v>
      </c>
    </row>
    <row r="9" spans="1:68">
      <c r="A9" s="806">
        <f>IF('Statement of Marks'!A8="","",'Statement of Marks'!A8)</f>
        <v>1</v>
      </c>
      <c r="B9" s="807">
        <f>IF(OR($E$3="",$P$3=""),"",IF('Statement of Marks'!B8="","",'Statement of Marks'!B8))</f>
        <v>1101</v>
      </c>
      <c r="C9" s="816" t="str">
        <f>IF(OR($E$3="",$P$3=""),"",IF('Marks Entry'!C8="","",'Marks Entry'!C8))</f>
        <v>A</v>
      </c>
      <c r="D9" s="808">
        <f>IF(OR($E$3="",$P$3=""),"",IF('Statement of Marks'!C8="","",'Statement of Marks'!C8))</f>
        <v>230</v>
      </c>
      <c r="E9" s="809">
        <f>IF(OR($E$3="",$P$3=""),"",IF('Statement of Marks'!D8="","",'Statement of Marks'!D8))</f>
        <v>37622</v>
      </c>
      <c r="F9" s="810" t="str">
        <f>IF(OR($E$3="",$P$3=""),"",IF('Statement of Marks'!E8="","",'Statement of Marks'!E8))</f>
        <v>A</v>
      </c>
      <c r="G9" s="810" t="str">
        <f>IF(OR($E$3="",$P$3=""),"",IF('Statement of Marks'!F8="","",'Statement of Marks'!F8))</f>
        <v>X</v>
      </c>
      <c r="H9" s="810" t="str">
        <f>IF(OR($E$3="",$P$3=""),"",IF('Statement of Marks'!G8="","",'Statement of Marks'!G8))</f>
        <v>M</v>
      </c>
      <c r="I9" s="811" t="str">
        <f>IF(OR($E$3="",$P$3=""),"",IF('Statement of Marks'!H8="","",'Statement of Marks'!H8))</f>
        <v>GEN</v>
      </c>
      <c r="J9" s="811" t="str">
        <f>IF(OR($E$3="",$P$3=""),"",IF('Statement of Marks'!I8="","",'Statement of Marks'!I8))</f>
        <v>M</v>
      </c>
      <c r="K9" s="811" t="str">
        <f>IFERROR(IF(B9="","",IF($P$3=$AT$10,IF(AND(BM9="A"),'Marks Entry'!$U$2,IF(AND(BM9="B"),'Marks Entry'!$Y$2,IF(AND(BM9="C"),'Marks Entry'!$AA$2,""))),IF($P$3=$AT$11,IF(AND(BN9="A"),'Marks Entry'!$AC$2,IF(AND(BN9="B"),'Marks Entry'!$AG$2,IF(AND(BN9="C"),'Marks Entry'!$AI$2,""))),IF($P$3=$AT$12,IF(AND(BO9="A"),'Marks Entry'!$AK$2,IF(AND(BO9="B"),'Marks Entry'!$AO$2,IF(AND(BO9="C"),'Marks Entry'!$AQ$2,""))),IF($P$3=$AT$13,IF(AND(BP9="A"),'Marks Entry'!$AS$2,IF(AND(BP9="B"),'Marks Entry'!$AW$2,IF(AND(BP9="C"),'Marks Entry'!$AY$2,""))),"-"))))),"")</f>
        <v>POLITICAL SCIENCE</v>
      </c>
      <c r="L9" s="812">
        <f>IFERROR(IF(B9="","",IF($P$3=$AT$8,'Statement of Marks'!J8,IF($P$3=$AT$9,'Statement of Marks'!X8,IF($P$3=$AT$10,'Statement of Marks'!AM8,IF($P$3=$AT$11,'Statement of Marks'!BJ8,IF($P$3=$AT$12,'Statement of Marks'!CG8,IF($P$3=$AT$13,'Statement of Marks'!DE8,IF($P$3=$AT$14,"",IF($P$3=$AT$15,'Statement of Marks'!EY8,""))))))))),"")</f>
        <v>8</v>
      </c>
      <c r="M9" s="812">
        <f>IFERROR(IF(B9="","",IF($P$3=$AT$8,'Statement of Marks'!K8,IF($P$3=$AT$9,'Statement of Marks'!Y8,IF($P$3=$AT$10,'Statement of Marks'!AN8,IF($P$3=$AT$11,'Statement of Marks'!BK8,IF($P$3=$AT$12,'Statement of Marks'!CH8,IF($P$3=$AT$13,'Statement of Marks'!DF8,IF($P$3=$AT$14,"",IF($P$3=$AT$15,'Statement of Marks'!EZ8,""))))))))),"")</f>
        <v>9</v>
      </c>
      <c r="N9" s="812">
        <f>IFERROR(IF(B9="","",IF($P$3=$AT$8,'Statement of Marks'!L8,IF($P$3=$AT$9,'Statement of Marks'!Z8,IF($P$3=$AT$10,'Statement of Marks'!AO8,IF($P$3=$AT$11,'Statement of Marks'!BL8,IF($P$3=$AT$12,'Statement of Marks'!CI8,IF($P$3=$AT$13,'Statement of Marks'!DG8,IF($P$3=$AT$14,"",IF($P$3=$AT$15,'Statement of Marks'!FA8,""))))))))),"")</f>
        <v>10</v>
      </c>
      <c r="O9" s="813">
        <f>IF(AND(L9="",M9="",N9="",$P$3=""),"",IF(OR($P$3=$AT$14,$P$3=$AT$14),"",IF(B9="","",SUM(L9:N9))))</f>
        <v>27</v>
      </c>
      <c r="P9" s="812">
        <f>IFERROR(IF(B9="","",IF($P$3=$AT$8,'Statement of Marks'!N8,IF($P$3=$AT$9,'Statement of Marks'!AB8,IF($P$3=$AT$10,'Statement of Marks'!AQ8,IF($P$3=$AT$11,'Statement of Marks'!BN8,IF($P$3=$AT$12,'Statement of Marks'!CK8,IF($P$3=$AT$13,'Statement of Marks'!DI8,IF($P$3=$AT$14,"",IF($P$3=$AT$15,'Statement of Marks'!FC8,""))))))))),"")</f>
        <v>45</v>
      </c>
      <c r="Q9" s="812" t="str">
        <f>IFERROR(IF(B9="","",IF($P$3=$AT$8,"",IF($P$3=$AT$9,"",IF($P$3=$AT$10,'Statement of Marks'!AR8,IF($P$3=$AT$11,'Statement of Marks'!BO8,IF($P$3=$AT$12,'Statement of Marks'!CL8,IF($P$3=$AT$13,'Statement of Marks'!DJ8,IF($P$3=$AT$14,"",IF($P$3=$AT$15,"",""))))))))),"")</f>
        <v/>
      </c>
      <c r="R9" s="824">
        <f>IFERROR(IF(B9="","",IF(AND(P9="",Q9="",$P$3=""),"",IF($P$3=$AT$14,'Statement of Marks'!EC8,SUM(P9,Q9)))),"")</f>
        <v>45</v>
      </c>
      <c r="S9" s="823">
        <f>IFERROR(IF(B9="","",IF($P$3=$AT$14,'Statement of Marks'!ED8,IF(AND(O9="NA",P9="NA",Q9="NA"),"NA",IF(AND(O9="",P9="",Q9=""),"",SUM(O9,P9,Q9))))),"")</f>
        <v>72</v>
      </c>
      <c r="T9" s="812">
        <f>IFERROR(IF(B9="","",IF($P$3=$AT$8,'Statement of Marks'!P8,IF($P$3=$AT$9,'Statement of Marks'!AD8,IF($P$3=$AT$10,'Statement of Marks'!AU8,IF($P$3=$AT$11,'Statement of Marks'!BR8,IF($P$3=$AT$12,'Statement of Marks'!CO8,IF($P$3=$AT$13,'Statement of Marks'!DM8,IF($P$3=$AT$14,"",IF($P$3=$AT$15,'Statement of Marks'!FD8,""))))))))),"")</f>
        <v>57</v>
      </c>
      <c r="U9" s="812" t="str">
        <f>IFERROR(IF(B9="","",IF($P$3=$AT$8,"",IF($P$3=$AT$9,"",IF($P$3=$AT$10,'Statement of Marks'!AV8,IF($P$3=$AT$11,'Statement of Marks'!BS8,IF($P$3=$AT$12,'Statement of Marks'!CP8,IF($P$3=$AT$13,'Statement of Marks'!DN8,IF($P$3=$AT$14,"",IF($P$3=$AT$15,"",""))))))))),"")</f>
        <v/>
      </c>
      <c r="V9" s="824">
        <f>IFERROR(IF(B9="","",IF(AND(T9="",U9="",$P$3=""),"",IF($P$3=$AT$14,'Statement of Marks'!EE8,SUM(T9,U9)))),"")</f>
        <v>57</v>
      </c>
      <c r="W9" s="814">
        <f>IFERROR(IF(B9="","",IF($P$3="","",IF(OR($P$3=$AT$14),SUM(R9,S9,V9),SUM(S9,V9)))),"")</f>
        <v>129</v>
      </c>
      <c r="X9" s="815">
        <f>IFERROR(IF($P$3="","",IF(OR($P$3=$AT$8,$P$3=$AT$9,$P$3=$AT$10,$P$3=$AT$11,$P$3=$AT$12,$P$3=$AT$13,$P$3=$AT$15),COUNTIF(L9:N9,"NA")*$L$7+(COUNTIF(L9:N9,"ML")*$L$7)+(COUNTIF(P9,"ML")*$P$7)+(COUNTIF(T9,"ML")*$T$8)+(COUNTIF(T9,"ML")*$T$7),COUNTIF(R9,"NA")*$R$7+(COUNTIF(R9,"ML")*$R$7)+(COUNTIF(S9,"ML")*$S$7)+(COUNTIF(V9,"ML")*$V$7))),0)</f>
        <v>0</v>
      </c>
      <c r="Y9" s="815">
        <f>SUM(Q9,U9)</f>
        <v>0</v>
      </c>
      <c r="Z9" s="815">
        <f>SUM(O9,P9,T9)</f>
        <v>129</v>
      </c>
      <c r="AA9" s="815">
        <f>IF(OR($B9="NSO",$B9=0,T9=""),"",IF(AND(Q9="",U9=""),SUM($T$8),SUM($T$7)))</f>
        <v>100</v>
      </c>
      <c r="AB9" s="815" t="str">
        <f>IF(OR($B9="NSO",$B9=0,U9=""),"",IF(AND(Q9="",U9=""),0,SUM($Q$7+$U$7)-(COUNTIF(Q9,"ML")*$Q$7)-(COUNTIF(U9,"ML")*$U$7)))</f>
        <v/>
      </c>
      <c r="AC9" s="815">
        <f>IF(OR($B9="NSO",$B9=0,B9=""),"",IF(AND(Q9="",U9=""),IF(OR($P$3=$AT$8,$P$3=$AT$9,$P$3=$AT$10,$P$3=$AT$11,$P$3=$AT$12,$P$3=$AT$13,$P$3=$AT$15,$P$3=$AT$16,$P$3=$AT$17),IF(AND(L9="NA",N9="NA",M9="NA"),$O$7-X9,IF(AND(P9="ML"),$P$7-X9,IF(AND(T9="ML"),$T$7-X9,$W$7-X9))),IF(AND(R9="NA"),$R$7-X9,IF(AND(S9="ML"),$S$7-X9,IF(AND(V9="ML"),$V$7-X9,$W$7-X9)))),IF(AND(L9="NA",N9="NA",M9="NA"),$O$7-X9,IF(AND(P9="ML"),$P$7-X9,IF(AND(T9="ML"),$T$7-X9,$Z$7-X9)))))</f>
        <v>200</v>
      </c>
      <c r="AD9" s="815" t="str">
        <f>IF(AND(OR(L9="ab",L9="ml"),OR(M9="ab",M9="ml"),OR(P9="ab",P9="ml"),OR(P9="ab",P9="ml"),OR(S9="ab",S9="ml")),"AB",IF(AND(OR(M9="ab",M9="ml"),OR(N9="ab",N9="ml"),OR(P9="ab",P9="ml"),OR(S9="ab",S9="ml")),"AB",IF(AND(OR(N9="ab",N9="ml"),OR(L9="ab",L9="ml"),OR(P9="ab",P9="ml"),OR(T9="ab",T9="ml")),"AB",IF(AND(OR(P9="ab",P9="ml"),OR(T9="ab",T9="ml"),OR(Q9="ab",Q9="ml"),OR(P9="ab",P9="ml"),OR(T9="ab",T9="ml")),"AB",IF(AND(OR(P9="ab",P9="ml"),OR(M9="ab",M9="ml"),OR(T9="ab",T9="ml"),OR(P9="ab",P9="ml"),OR(U9="ab",U9="ml")),"AB","")))))</f>
        <v/>
      </c>
      <c r="AE9" s="816" t="str">
        <f>IFERROR(IF(B9="","",IF(OR($P$3=$AT$14),AX9,AW9)),"")</f>
        <v>P</v>
      </c>
      <c r="AF9" s="817" t="str">
        <f>IF(OR(AE9="",AE9=0,AE9="S",AE9="RE",AE9="F",AE9="AB",B9="NSO"),"",IF(AE9="G","G",IF(W9&gt;=75%*SUM(AB9,AC9),"I",IF(W9&gt;=60%*SUM(AB9,AC9),"I",IF(W9&gt;=48%*SUM(AB9,AC9),"II",IF(W9&gt;=36%*SUM(AB9,AC9),"III",""))))))</f>
        <v>I</v>
      </c>
      <c r="AG9" s="818" t="str">
        <f>IF(W9="","",IF(OR(AE9="",AE9=0,AE9="RE",AE9="AB"),"",IF(B9="NSO","NSO",IF(AE9="G","By Grace",IF(AE9="S","Supplementary",IF(AE9="F","Fail",IF(W9&gt;=75%*AC9,"D",IF(AE9="FP","Fail in Practical",""))))))))</f>
        <v/>
      </c>
      <c r="AJ9" s="1324"/>
      <c r="AK9" s="1324"/>
      <c r="AL9" s="1324"/>
      <c r="AM9" s="1324"/>
      <c r="AN9" s="1324"/>
      <c r="AO9" s="1324"/>
      <c r="AT9" s="17" t="str">
        <f>'Statement of Marks'!X3</f>
        <v>Com. English</v>
      </c>
      <c r="AW9" s="17" t="str">
        <f>IF(B9="","",IF(OR(T9="AB",U9="AB",AD9="AB"),"AB",IF(OR(T9="ML",V9="ML"),"RE",IF(U9="MLP","REP",IF(U9&lt;33%*$U$7,"FP",IF(Q9&lt;33%*$Q$7,"FP",IF(AND(Z9&gt;=36%*AC9,SUM(T9)&gt;=20%*AA9,Y9&gt;=SUM(AB9)*36%),"P",IF(AND(Z9&gt;=34%*AC9,SUM(T9)&gt;=20%*AA9,Y9&gt;=SUM(AB9)*36%),"G",IF(AND(Z9&gt;=31%*AC9,SUM(T9)&gt;=20%*AA9,Y9&gt;=SUM(AB9)*36%),"G",IF(AND(Z9&gt;=25%*AC9,SUM(T9)&gt;=20%*AA9),"S","F"))))))))))</f>
        <v>P</v>
      </c>
      <c r="AX9" s="17" t="str">
        <f>IF(B9="","",IF(AND(W9&gt;=36%*AC9,SUM(V9)&gt;=20%*$V$7),"P",""))</f>
        <v>P</v>
      </c>
      <c r="BM9" s="17" t="str">
        <f>IFERROR(VLOOKUP(B9,'Statement of Marks'!$B$8:'Statement of Marks'!$HI$207,37,0),"")</f>
        <v>A</v>
      </c>
      <c r="BN9" s="17" t="str">
        <f>IFERROR(VLOOKUP(B9,'Statement of Marks'!$B$8:'Statement of Marks'!$HI$207,60,0),"")</f>
        <v>A</v>
      </c>
      <c r="BO9" s="17" t="str">
        <f>IFERROR(VLOOKUP(B9,'Statement of Marks'!$B$8:'Statement of Marks'!$HI$207,83,0),"")</f>
        <v>A</v>
      </c>
      <c r="BP9" s="17" t="str">
        <f>IFERROR(VLOOKUP(B9,'Statement of Marks'!$B$8:'Statement of Marks'!$HI$207,107,0),"")</f>
        <v/>
      </c>
    </row>
    <row r="10" spans="1:68" ht="15.75">
      <c r="A10" s="806">
        <f>IF('Statement of Marks'!A9="","",'Statement of Marks'!A9)</f>
        <v>2</v>
      </c>
      <c r="B10" s="807">
        <f>IF(OR($E$3="",$P$3=""),"",IF('Statement of Marks'!B9="","",'Statement of Marks'!B9))</f>
        <v>1102</v>
      </c>
      <c r="C10" s="816" t="str">
        <f>IF(OR($E$3="",$P$3=""),"",IF('Marks Entry'!C9="","",'Marks Entry'!C9))</f>
        <v>A</v>
      </c>
      <c r="D10" s="808">
        <f>IF(OR($E$3="",$P$3=""),"",IF('Statement of Marks'!C9="","",'Statement of Marks'!C9))</f>
        <v>231</v>
      </c>
      <c r="E10" s="809">
        <f>IF(OR($E$3="",$P$3=""),"",IF('Statement of Marks'!D9="","",'Statement of Marks'!D9))</f>
        <v>38090</v>
      </c>
      <c r="F10" s="810" t="str">
        <f>IF(OR($E$3="",$P$3=""),"",IF('Statement of Marks'!E9="","",'Statement of Marks'!E9))</f>
        <v>B</v>
      </c>
      <c r="G10" s="810" t="str">
        <f>IF(OR($E$3="",$P$3=""),"",IF('Statement of Marks'!F9="","",'Statement of Marks'!F9))</f>
        <v>Y</v>
      </c>
      <c r="H10" s="810" t="str">
        <f>IF(OR($E$3="",$P$3=""),"",IF('Statement of Marks'!G9="","",'Statement of Marks'!G9))</f>
        <v>N</v>
      </c>
      <c r="I10" s="811" t="str">
        <f>IF(OR($E$3="",$P$3=""),"",IF('Statement of Marks'!H9="","",'Statement of Marks'!H9))</f>
        <v>OBC</v>
      </c>
      <c r="J10" s="811" t="str">
        <f>IF(OR($E$3="",$P$3=""),"",IF('Statement of Marks'!I9="","",'Statement of Marks'!I9))</f>
        <v>M</v>
      </c>
      <c r="K10" s="811" t="str">
        <f>IFERROR(IF(B10="","",IF($P$3=$AT$10,IF(AND(BM10="A"),'Marks Entry'!$U$2,IF(AND(BM10="B"),'Marks Entry'!$Y$2,IF(AND(BM10="C"),'Marks Entry'!$AA$2,""))),IF($P$3=$AT$11,IF(AND(BN10="A"),'Marks Entry'!$AC$2,IF(AND(BN10="B"),'Marks Entry'!$AG$2,IF(AND(BN10="C"),'Marks Entry'!$AI$2,""))),IF($P$3=$AT$12,IF(AND(BO10="A"),'Marks Entry'!$AK$2,IF(AND(BO10="B"),'Marks Entry'!$AO$2,IF(AND(BO10="C"),'Marks Entry'!$AQ$2,""))),IF($P$3=$AT$13,IF(AND(BP10="A"),'Marks Entry'!$AS$2,IF(AND(BP10="B"),'Marks Entry'!$AW$2,IF(AND(BP10="C"),'Marks Entry'!$AY$2,""))),"-"))))),"")</f>
        <v>BIOLOGY</v>
      </c>
      <c r="L10" s="812">
        <f>IFERROR(IF(B10="","",IF($P$3=$AT$8,'Statement of Marks'!J9,IF($P$3=$AT$9,'Statement of Marks'!X9,IF($P$3=$AT$10,'Statement of Marks'!AM9,IF($P$3=$AT$11,'Statement of Marks'!BJ9,IF($P$3=$AT$12,'Statement of Marks'!CG9,IF($P$3=$AT$13,'Statement of Marks'!DE9,IF($P$3=$AT$14,"",IF($P$3=$AT$15,'Statement of Marks'!EY9,""))))))))),"")</f>
        <v>9</v>
      </c>
      <c r="M10" s="812">
        <f>IFERROR(IF(B10="","",IF($P$3=$AT$8,'Statement of Marks'!K9,IF($P$3=$AT$9,'Statement of Marks'!Y9,IF($P$3=$AT$10,'Statement of Marks'!AN9,IF($P$3=$AT$11,'Statement of Marks'!BK9,IF($P$3=$AT$12,'Statement of Marks'!CH9,IF($P$3=$AT$13,'Statement of Marks'!DF9,IF($P$3=$AT$14,"",IF($P$3=$AT$15,'Statement of Marks'!EZ9,""))))))))),"")</f>
        <v>10</v>
      </c>
      <c r="N10" s="812">
        <f>IFERROR(IF(B10="","",IF($P$3=$AT$8,'Statement of Marks'!L9,IF($P$3=$AT$9,'Statement of Marks'!Z9,IF($P$3=$AT$10,'Statement of Marks'!AO9,IF($P$3=$AT$11,'Statement of Marks'!BL9,IF($P$3=$AT$12,'Statement of Marks'!CI9,IF($P$3=$AT$13,'Statement of Marks'!DG9,IF($P$3=$AT$14,"",IF($P$3=$AT$15,'Statement of Marks'!FA9,""))))))))),"")</f>
        <v>8</v>
      </c>
      <c r="O10" s="813">
        <f t="shared" ref="O10:O73" si="4">IF(AND(L10="",M10="",N10="",$P$3=""),"",IF(OR($P$3=$AT$14,$P$3=$AT$14),"",IF(B10="","",SUM(L10:N10))))</f>
        <v>27</v>
      </c>
      <c r="P10" s="812">
        <f>IFERROR(IF(B10="","",IF($P$3=$AT$8,'Statement of Marks'!N9,IF($P$3=$AT$9,'Statement of Marks'!AB9,IF($P$3=$AT$10,'Statement of Marks'!AQ9,IF($P$3=$AT$11,'Statement of Marks'!BN9,IF($P$3=$AT$12,'Statement of Marks'!CK9,IF($P$3=$AT$13,'Statement of Marks'!DI9,IF($P$3=$AT$14,"",IF($P$3=$AT$15,'Statement of Marks'!FC9,""))))))))),"")</f>
        <v>34</v>
      </c>
      <c r="Q10" s="812">
        <f>IFERROR(IF(B10="","",IF($P$3=$AT$8,"",IF($P$3=$AT$9,"",IF($P$3=$AT$10,'Statement of Marks'!AR9,IF($P$3=$AT$11,'Statement of Marks'!BO9,IF($P$3=$AT$12,'Statement of Marks'!CL9,IF($P$3=$AT$13,'Statement of Marks'!DJ9,IF($P$3=$AT$14,"",IF($P$3=$AT$15,"",""))))))))),"")</f>
        <v>8</v>
      </c>
      <c r="R10" s="824">
        <f>IFERROR(IF(B10="","",IF(AND(P10="",Q10="",$P$3=""),"",IF($P$3=$AT$14,'Statement of Marks'!EC9,SUM(P10,Q10)))),"")</f>
        <v>42</v>
      </c>
      <c r="S10" s="823">
        <f>IFERROR(IF(B10="","",IF($P$3=$AT$14,'Statement of Marks'!ED9,IF(AND(O10="NA",P10="NA",Q10="NA"),"NA",IF(AND(O10="",P10="",Q10=""),"",SUM(O10,P10,Q10))))),"")</f>
        <v>69</v>
      </c>
      <c r="T10" s="812">
        <f>IFERROR(IF(B10="","",IF($P$3=$AT$8,'Statement of Marks'!P9,IF($P$3=$AT$9,'Statement of Marks'!AD9,IF($P$3=$AT$10,'Statement of Marks'!AU9,IF($P$3=$AT$11,'Statement of Marks'!BR9,IF($P$3=$AT$12,'Statement of Marks'!CO9,IF($P$3=$AT$13,'Statement of Marks'!DM9,IF($P$3=$AT$14,"",IF($P$3=$AT$15,'Statement of Marks'!FD9,""))))))))),"")</f>
        <v>53</v>
      </c>
      <c r="U10" s="812">
        <f>IFERROR(IF(B10="","",IF($P$3=$AT$8,"",IF($P$3=$AT$9,"",IF($P$3=$AT$10,'Statement of Marks'!AV9,IF($P$3=$AT$11,'Statement of Marks'!BS9,IF($P$3=$AT$12,'Statement of Marks'!CP9,IF($P$3=$AT$13,'Statement of Marks'!DN9,IF($P$3=$AT$14,"",IF($P$3=$AT$15,"",""))))))))),"")</f>
        <v>10</v>
      </c>
      <c r="V10" s="824">
        <f>IFERROR(IF(B10="","",IF(AND(T10="",U10="",$P$3=""),"",IF($P$3=$AT$14,'Statement of Marks'!EE9,SUM(T10,U10)))),"")</f>
        <v>63</v>
      </c>
      <c r="W10" s="814">
        <f t="shared" ref="W10:W73" si="5">IFERROR(IF(B10="","",IF($P$3="","",IF(OR($P$3=$AT$14),SUM(R10,S10,V10),SUM(S10,V10)))),"")</f>
        <v>132</v>
      </c>
      <c r="X10" s="815">
        <f t="shared" ref="X10:X73" si="6">IFERROR(IF($P$3="","",IF(OR($P$3=$AT$8,$P$3=$AT$9,$P$3=$AT$10,$P$3=$AT$11,$P$3=$AT$12,$P$3=$AT$13,$P$3=$AT$15),COUNTIF(L10:N10,"NA")*$L$7+(COUNTIF(L10:N10,"ML")*$L$7)+(COUNTIF(P10,"ML")*$P$7)+(COUNTIF(T10,"ML")*$T$8)+(COUNTIF(T10,"ML")*$T$7),COUNTIF(R10,"NA")*$R$7+(COUNTIF(R10,"ML")*$R$7)+(COUNTIF(S10,"ML")*$S$7)+(COUNTIF(V10,"ML")*$V$7))),0)</f>
        <v>0</v>
      </c>
      <c r="Y10" s="815">
        <f t="shared" ref="Y10:Y73" si="7">SUM(Q10,U10)</f>
        <v>18</v>
      </c>
      <c r="Z10" s="815">
        <f t="shared" ref="Z10:Z73" si="8">SUM(O10,P10,T10)</f>
        <v>114</v>
      </c>
      <c r="AA10" s="815">
        <f t="shared" ref="AA10:AA73" si="9">IF(OR($B10="NSO",$B10=0,T10=""),"",IF(AND(Q10="",U10=""),SUM($T$8),SUM($T$7)))</f>
        <v>70</v>
      </c>
      <c r="AB10" s="815">
        <f t="shared" ref="AB10:AB73" si="10">IF(OR($B10="NSO",$B10=0,U10=""),"",IF(AND(Q10="",U10=""),"",SUM($Q$7+$U$7)-(COUNTIF(Q10,"ML")*$Q$7)-(COUNTIF(U10,"ML")*$U$7)))</f>
        <v>50</v>
      </c>
      <c r="AC10" s="815">
        <f t="shared" ref="AC10:AC73" si="11">IF(OR($B10="NSO",$B10=0,B10=""),"",IF(AND(Q10="",U10=""),IF(OR($P$3=$AT$8,$P$3=$AT$9,$P$3=$AT$10,$P$3=$AT$11,$P$3=$AT$12,$P$3=$AT$13,$P$3=$AT$15,$P$3=$AT$16,$P$3=$AT$17),IF(AND(L10="NA",N10="NA",M10="NA"),$O$7-X10,IF(AND(P10="ML"),$P$7-X10,IF(AND(T10="ML"),$T$7-X10,$W$7-X10))),IF(AND(R10="NA"),$R$7-X10,IF(AND(S10="ML"),$S$7-X10,IF(AND(V10="ML"),$V$7-X10,$W$7-X10)))),IF(AND(L10="NA",N10="NA",M10="NA"),$O$7-X10,IF(AND(P10="ML"),$P$7-X10,IF(AND(T10="ML"),$T$7-X10,$Z$7-X10)))))</f>
        <v>150</v>
      </c>
      <c r="AD10" s="815" t="str">
        <f t="shared" ref="AD10:AD73" si="12">IF(AND(OR(L10="ab",L10="ml"),OR(M10="ab",M10="ml"),OR(P10="ab",P10="ml"),OR(P10="ab",P10="ml"),OR(S10="ab",S10="ml")),"AB",IF(AND(OR(M10="ab",M10="ml"),OR(N10="ab",N10="ml"),OR(P10="ab",P10="ml"),OR(S10="ab",S10="ml")),"AB",IF(AND(OR(N10="ab",N10="ml"),OR(L10="ab",L10="ml"),OR(P10="ab",P10="ml"),OR(T10="ab",T10="ml")),"AB",IF(AND(OR(P10="ab",P10="ml"),OR(T10="ab",T10="ml"),OR(Q10="ab",Q10="ml"),OR(P10="ab",P10="ml"),OR(T10="ab",T10="ml")),"AB",IF(AND(OR(P10="ab",P10="ml"),OR(M10="ab",M10="ml"),OR(T10="ab",T10="ml"),OR(P10="ab",P10="ml"),OR(U10="ab",U10="ml")),"AB","")))))</f>
        <v/>
      </c>
      <c r="AE10" s="816" t="str">
        <f t="shared" ref="AE10:AE73" si="13">IFERROR(IF(B10="","",IF(OR($P$3=$AT$14),AX10,AW10)),"")</f>
        <v>P</v>
      </c>
      <c r="AF10" s="817" t="str">
        <f t="shared" ref="AF10:AF73" si="14">IF(OR(AE10="",AE10=0,AE10="S",AE10="RE",AE10="F",AE10="AB",B10="NSO"),"",IF(AE10="G","G",IF(W10&gt;=75%*SUM(AB10,AC10),"I",IF(W10&gt;=60%*SUM(AB10,AC10),"I",IF(W10&gt;=48%*SUM(AB10,AC10),"II",IF(W10&gt;=36%*SUM(AB10,AC10),"III",""))))))</f>
        <v>I</v>
      </c>
      <c r="AG10" s="818" t="str">
        <f t="shared" ref="AG10:AG73" si="15">IF(W10="","",IF(OR(AE10="",AE10=0,AE10="RE",AE10="AB"),"",IF(B10="NSO","NSO",IF(AE10="G","By Grace",IF(AE10="S","Supplementary",IF(AE10="F","Fail",IF(W10&gt;=75%*AC10,"D",IF(AE10="FP","Fail in Practical",""))))))))</f>
        <v>D</v>
      </c>
      <c r="AJ10" s="1314" t="s">
        <v>299</v>
      </c>
      <c r="AK10" s="1314"/>
      <c r="AL10" s="1314"/>
      <c r="AM10" s="1314"/>
      <c r="AN10" s="1314"/>
      <c r="AO10" s="1314"/>
      <c r="AT10" s="17" t="str">
        <f>'Statement of Marks'!AL2</f>
        <v>Optional Subject - 01</v>
      </c>
      <c r="AW10" s="17" t="str">
        <f t="shared" ref="AW10:AW73" si="16">IF(B10="","",IF(OR(T10="AB",U10="AB",AD10="AB"),"AB",IF(OR(T10="ML",V10="ML"),"RE",IF(U10="MLP","REP",IF(U10&lt;33%*$U$7,"FP",IF(Q10&lt;33%*$Q$7,"FP",IF(AND(Z10&gt;=36%*AC10,SUM(T10)&gt;=20%*AA10,Y10&gt;=SUM(AB10)*36%),"P",IF(AND(Z10&gt;=34%*AC10,SUM(T10)&gt;=20%*AA10,Y10&gt;=SUM(AB10)*36%),"G",IF(AND(Z10&gt;=31%*AC10,SUM(T10)&gt;=20%*AA10,Y10&gt;=SUM(AB10)*36%),"G",IF(AND(Z10&gt;=25%*AC10,SUM(T10)&gt;=20%*AA10),"S","F"))))))))))</f>
        <v>P</v>
      </c>
      <c r="AX10" s="17" t="str">
        <f t="shared" ref="AX10:AX73" si="17">IF(B10="","",IF(AND(W10&gt;=36%*AC10,SUM(V10)&gt;=20%*$V$7),"P",""))</f>
        <v>P</v>
      </c>
      <c r="BM10" s="17" t="str">
        <f>IFERROR(VLOOKUP(B10,'Statement of Marks'!$B$8:'Statement of Marks'!$HI$207,37,0),"")</f>
        <v>B</v>
      </c>
      <c r="BN10" s="17" t="str">
        <f>IFERROR(VLOOKUP(B10,'Statement of Marks'!$B$8:'Statement of Marks'!$HI$207,60,0),"")</f>
        <v>B</v>
      </c>
      <c r="BO10" s="17" t="str">
        <f>IFERROR(VLOOKUP(B10,'Statement of Marks'!$B$8:'Statement of Marks'!$HI$207,83,0),"")</f>
        <v>B</v>
      </c>
      <c r="BP10" s="17" t="str">
        <f>IFERROR(VLOOKUP(B10,'Statement of Marks'!$B$8:'Statement of Marks'!$HI$207,107,0),"")</f>
        <v>A</v>
      </c>
    </row>
    <row r="11" spans="1:68">
      <c r="A11" s="806">
        <f>IF('Statement of Marks'!A10="","",'Statement of Marks'!A10)</f>
        <v>3</v>
      </c>
      <c r="B11" s="807">
        <f>IF(OR($E$3="",$P$3=""),"",IF('Statement of Marks'!B10="","",'Statement of Marks'!B10))</f>
        <v>1103</v>
      </c>
      <c r="C11" s="816" t="str">
        <f>IF(OR($E$3="",$P$3=""),"",IF('Marks Entry'!C10="","",'Marks Entry'!C10))</f>
        <v>A</v>
      </c>
      <c r="D11" s="808">
        <f>IF(OR($E$3="",$P$3=""),"",IF('Statement of Marks'!C10="","",'Statement of Marks'!C10))</f>
        <v>555</v>
      </c>
      <c r="E11" s="809">
        <f>IF(OR($E$3="",$P$3=""),"",IF('Statement of Marks'!D10="","",'Statement of Marks'!D10))</f>
        <v>38414</v>
      </c>
      <c r="F11" s="810" t="str">
        <f>IF(OR($E$3="",$P$3=""),"",IF('Statement of Marks'!E10="","",'Statement of Marks'!E10))</f>
        <v>C</v>
      </c>
      <c r="G11" s="810" t="str">
        <f>IF(OR($E$3="",$P$3=""),"",IF('Statement of Marks'!F10="","",'Statement of Marks'!F10))</f>
        <v>Z</v>
      </c>
      <c r="H11" s="810" t="str">
        <f>IF(OR($E$3="",$P$3=""),"",IF('Statement of Marks'!G10="","",'Statement of Marks'!G10))</f>
        <v>O</v>
      </c>
      <c r="I11" s="811" t="str">
        <f>IF(OR($E$3="",$P$3=""),"",IF('Statement of Marks'!H10="","",'Statement of Marks'!H10))</f>
        <v>SC</v>
      </c>
      <c r="J11" s="811" t="str">
        <f>IF(OR($E$3="",$P$3=""),"",IF('Statement of Marks'!I10="","",'Statement of Marks'!I10))</f>
        <v>F</v>
      </c>
      <c r="K11" s="811" t="str">
        <f>IFERROR(IF(B11="","",IF($P$3=$AT$10,IF(AND(BM11="A"),'Marks Entry'!$U$2,IF(AND(BM11="B"),'Marks Entry'!$Y$2,IF(AND(BM11="C"),'Marks Entry'!$AA$2,""))),IF($P$3=$AT$11,IF(AND(BN11="A"),'Marks Entry'!$AC$2,IF(AND(BN11="B"),'Marks Entry'!$AG$2,IF(AND(BN11="C"),'Marks Entry'!$AI$2,""))),IF($P$3=$AT$12,IF(AND(BO11="A"),'Marks Entry'!$AK$2,IF(AND(BO11="B"),'Marks Entry'!$AO$2,IF(AND(BO11="C"),'Marks Entry'!$AQ$2,""))),IF($P$3=$AT$13,IF(AND(BP11="A"),'Marks Entry'!$AS$2,IF(AND(BP11="B"),'Marks Entry'!$AW$2,IF(AND(BP11="C"),'Marks Entry'!$AY$2,""))),"-"))))),"")</f>
        <v>POLITICAL SCIENCE</v>
      </c>
      <c r="L11" s="812">
        <f>IFERROR(IF(B11="","",IF($P$3=$AT$8,'Statement of Marks'!J10,IF($P$3=$AT$9,'Statement of Marks'!X10,IF($P$3=$AT$10,'Statement of Marks'!AM10,IF($P$3=$AT$11,'Statement of Marks'!BJ10,IF($P$3=$AT$12,'Statement of Marks'!CG10,IF($P$3=$AT$13,'Statement of Marks'!DE10,IF($P$3=$AT$14,"",IF($P$3=$AT$15,'Statement of Marks'!EY10,""))))))))),"")</f>
        <v>9</v>
      </c>
      <c r="M11" s="812">
        <f>IFERROR(IF(B11="","",IF($P$3=$AT$8,'Statement of Marks'!K10,IF($P$3=$AT$9,'Statement of Marks'!Y10,IF($P$3=$AT$10,'Statement of Marks'!AN10,IF($P$3=$AT$11,'Statement of Marks'!BK10,IF($P$3=$AT$12,'Statement of Marks'!CH10,IF($P$3=$AT$13,'Statement of Marks'!DF10,IF($P$3=$AT$14,"",IF($P$3=$AT$15,'Statement of Marks'!EZ10,""))))))))),"")</f>
        <v>9</v>
      </c>
      <c r="N11" s="812">
        <f>IFERROR(IF(B11="","",IF($P$3=$AT$8,'Statement of Marks'!L10,IF($P$3=$AT$9,'Statement of Marks'!Z10,IF($P$3=$AT$10,'Statement of Marks'!AO10,IF($P$3=$AT$11,'Statement of Marks'!BL10,IF($P$3=$AT$12,'Statement of Marks'!CI10,IF($P$3=$AT$13,'Statement of Marks'!DG10,IF($P$3=$AT$14,"",IF($P$3=$AT$15,'Statement of Marks'!FA10,""))))))))),"")</f>
        <v>9</v>
      </c>
      <c r="O11" s="813">
        <f t="shared" si="4"/>
        <v>27</v>
      </c>
      <c r="P11" s="812">
        <f>IFERROR(IF(B11="","",IF($P$3=$AT$8,'Statement of Marks'!N10,IF($P$3=$AT$9,'Statement of Marks'!AB10,IF($P$3=$AT$10,'Statement of Marks'!AQ10,IF($P$3=$AT$11,'Statement of Marks'!BN10,IF($P$3=$AT$12,'Statement of Marks'!CK10,IF($P$3=$AT$13,'Statement of Marks'!DI10,IF($P$3=$AT$14,"",IF($P$3=$AT$15,'Statement of Marks'!FC10,""))))))))),"")</f>
        <v>40</v>
      </c>
      <c r="Q11" s="812" t="str">
        <f>IFERROR(IF(B11="","",IF($P$3=$AT$8,"",IF($P$3=$AT$9,"",IF($P$3=$AT$10,'Statement of Marks'!AR10,IF($P$3=$AT$11,'Statement of Marks'!BO10,IF($P$3=$AT$12,'Statement of Marks'!CL10,IF($P$3=$AT$13,'Statement of Marks'!DJ10,IF($P$3=$AT$14,"",IF($P$3=$AT$15,"",""))))))))),"")</f>
        <v/>
      </c>
      <c r="R11" s="824">
        <f>IFERROR(IF(B11="","",IF(AND(P11="",Q11="",$P$3=""),"",IF($P$3=$AT$14,'Statement of Marks'!EC10,SUM(P11,Q11)))),"")</f>
        <v>40</v>
      </c>
      <c r="S11" s="823">
        <f>IFERROR(IF(B11="","",IF($P$3=$AT$14,'Statement of Marks'!ED10,IF(AND(O11="NA",P11="NA",Q11="NA"),"NA",IF(AND(O11="",P11="",Q11=""),"",SUM(O11,P11,Q11))))),"")</f>
        <v>67</v>
      </c>
      <c r="T11" s="812">
        <f>IFERROR(IF(B11="","",IF($P$3=$AT$8,'Statement of Marks'!P10,IF($P$3=$AT$9,'Statement of Marks'!AD10,IF($P$3=$AT$10,'Statement of Marks'!AU10,IF($P$3=$AT$11,'Statement of Marks'!BR10,IF($P$3=$AT$12,'Statement of Marks'!CO10,IF($P$3=$AT$13,'Statement of Marks'!DM10,IF($P$3=$AT$14,"",IF($P$3=$AT$15,'Statement of Marks'!FD10,""))))))))),"")</f>
        <v>45</v>
      </c>
      <c r="U11" s="812" t="str">
        <f>IFERROR(IF(B11="","",IF($P$3=$AT$8,"",IF($P$3=$AT$9,"",IF($P$3=$AT$10,'Statement of Marks'!AV10,IF($P$3=$AT$11,'Statement of Marks'!BS10,IF($P$3=$AT$12,'Statement of Marks'!CP10,IF($P$3=$AT$13,'Statement of Marks'!DN10,IF($P$3=$AT$14,"",IF($P$3=$AT$15,"",""))))))))),"")</f>
        <v/>
      </c>
      <c r="V11" s="824">
        <f>IFERROR(IF(B11="","",IF(AND(T11="",U11="",$P$3=""),"",IF($P$3=$AT$14,'Statement of Marks'!EE10,SUM(T11,U11)))),"")</f>
        <v>45</v>
      </c>
      <c r="W11" s="814">
        <f t="shared" si="5"/>
        <v>112</v>
      </c>
      <c r="X11" s="815">
        <f t="shared" si="6"/>
        <v>0</v>
      </c>
      <c r="Y11" s="815">
        <f t="shared" si="7"/>
        <v>0</v>
      </c>
      <c r="Z11" s="815">
        <f t="shared" si="8"/>
        <v>112</v>
      </c>
      <c r="AA11" s="815">
        <f t="shared" si="9"/>
        <v>100</v>
      </c>
      <c r="AB11" s="815" t="str">
        <f t="shared" si="10"/>
        <v/>
      </c>
      <c r="AC11" s="815">
        <f t="shared" si="11"/>
        <v>200</v>
      </c>
      <c r="AD11" s="815" t="str">
        <f t="shared" si="12"/>
        <v/>
      </c>
      <c r="AE11" s="816" t="str">
        <f t="shared" si="13"/>
        <v>P</v>
      </c>
      <c r="AF11" s="817" t="str">
        <f t="shared" si="14"/>
        <v>II</v>
      </c>
      <c r="AG11" s="818" t="str">
        <f t="shared" si="15"/>
        <v/>
      </c>
      <c r="AT11" s="17" t="str">
        <f>'Statement of Marks'!BI2</f>
        <v>Optional Subject - 02</v>
      </c>
      <c r="AW11" s="17" t="str">
        <f t="shared" si="16"/>
        <v>P</v>
      </c>
      <c r="AX11" s="17" t="str">
        <f t="shared" si="17"/>
        <v>P</v>
      </c>
      <c r="BM11" s="17" t="str">
        <f>IFERROR(VLOOKUP(B11,'Statement of Marks'!$B$8:'Statement of Marks'!$HI$207,37,0),"")</f>
        <v>A</v>
      </c>
      <c r="BN11" s="17" t="str">
        <f>IFERROR(VLOOKUP(B11,'Statement of Marks'!$B$8:'Statement of Marks'!$HI$207,60,0),"")</f>
        <v>B</v>
      </c>
      <c r="BO11" s="17" t="str">
        <f>IFERROR(VLOOKUP(B11,'Statement of Marks'!$B$8:'Statement of Marks'!$HI$207,83,0),"")</f>
        <v>A</v>
      </c>
      <c r="BP11" s="17" t="str">
        <f>IFERROR(VLOOKUP(B11,'Statement of Marks'!$B$8:'Statement of Marks'!$HI$207,107,0),"")</f>
        <v/>
      </c>
    </row>
    <row r="12" spans="1:68">
      <c r="A12" s="806">
        <f>IF('Statement of Marks'!A11="","",'Statement of Marks'!A11)</f>
        <v>4</v>
      </c>
      <c r="B12" s="807">
        <f>IF(OR($E$3="",$P$3=""),"",IF('Statement of Marks'!B11="","",'Statement of Marks'!B11))</f>
        <v>1104</v>
      </c>
      <c r="C12" s="816" t="str">
        <f>IF(OR($E$3="",$P$3=""),"",IF('Marks Entry'!C11="","",'Marks Entry'!C11))</f>
        <v>A</v>
      </c>
      <c r="D12" s="808">
        <f>IF(OR($E$3="",$P$3=""),"",IF('Statement of Marks'!C11="","",'Statement of Marks'!C11))</f>
        <v>444</v>
      </c>
      <c r="E12" s="809">
        <f>IF(OR($E$3="",$P$3=""),"",IF('Statement of Marks'!D11="","",'Statement of Marks'!D11))</f>
        <v>38874</v>
      </c>
      <c r="F12" s="810" t="str">
        <f>IF(OR($E$3="",$P$3=""),"",IF('Statement of Marks'!E11="","",'Statement of Marks'!E11))</f>
        <v>D</v>
      </c>
      <c r="G12" s="810" t="str">
        <f>IF(OR($E$3="",$P$3=""),"",IF('Statement of Marks'!F11="","",'Statement of Marks'!F11))</f>
        <v>W</v>
      </c>
      <c r="H12" s="810" t="str">
        <f>IF(OR($E$3="",$P$3=""),"",IF('Statement of Marks'!G11="","",'Statement of Marks'!G11))</f>
        <v>P</v>
      </c>
      <c r="I12" s="811" t="str">
        <f>IF(OR($E$3="",$P$3=""),"",IF('Statement of Marks'!H11="","",'Statement of Marks'!H11))</f>
        <v>ST</v>
      </c>
      <c r="J12" s="811" t="str">
        <f>IF(OR($E$3="",$P$3=""),"",IF('Statement of Marks'!I11="","",'Statement of Marks'!I11))</f>
        <v>M</v>
      </c>
      <c r="K12" s="811" t="str">
        <f>IFERROR(IF(B12="","",IF($P$3=$AT$10,IF(AND(BM12="A"),'Marks Entry'!$U$2,IF(AND(BM12="B"),'Marks Entry'!$Y$2,IF(AND(BM12="C"),'Marks Entry'!$AA$2,""))),IF($P$3=$AT$11,IF(AND(BN12="A"),'Marks Entry'!$AC$2,IF(AND(BN12="B"),'Marks Entry'!$AG$2,IF(AND(BN12="C"),'Marks Entry'!$AI$2,""))),IF($P$3=$AT$12,IF(AND(BO12="A"),'Marks Entry'!$AK$2,IF(AND(BO12="B"),'Marks Entry'!$AO$2,IF(AND(BO12="C"),'Marks Entry'!$AQ$2,""))),IF($P$3=$AT$13,IF(AND(BP12="A"),'Marks Entry'!$AS$2,IF(AND(BP12="B"),'Marks Entry'!$AW$2,IF(AND(BP12="C"),'Marks Entry'!$AY$2,""))),"-"))))),"")</f>
        <v>BIOLOGY</v>
      </c>
      <c r="L12" s="812">
        <f>IFERROR(IF(B12="","",IF($P$3=$AT$8,'Statement of Marks'!J11,IF($P$3=$AT$9,'Statement of Marks'!X11,IF($P$3=$AT$10,'Statement of Marks'!AM11,IF($P$3=$AT$11,'Statement of Marks'!BJ11,IF($P$3=$AT$12,'Statement of Marks'!CG11,IF($P$3=$AT$13,'Statement of Marks'!DE11,IF($P$3=$AT$14,"",IF($P$3=$AT$15,'Statement of Marks'!EY11,""))))))))),"")</f>
        <v>8</v>
      </c>
      <c r="M12" s="812">
        <f>IFERROR(IF(B12="","",IF($P$3=$AT$8,'Statement of Marks'!K11,IF($P$3=$AT$9,'Statement of Marks'!Y11,IF($P$3=$AT$10,'Statement of Marks'!AN11,IF($P$3=$AT$11,'Statement of Marks'!BK11,IF($P$3=$AT$12,'Statement of Marks'!CH11,IF($P$3=$AT$13,'Statement of Marks'!DF11,IF($P$3=$AT$14,"",IF($P$3=$AT$15,'Statement of Marks'!EZ11,""))))))))),"")</f>
        <v>9</v>
      </c>
      <c r="N12" s="812">
        <f>IFERROR(IF(B12="","",IF($P$3=$AT$8,'Statement of Marks'!L11,IF($P$3=$AT$9,'Statement of Marks'!Z11,IF($P$3=$AT$10,'Statement of Marks'!AO11,IF($P$3=$AT$11,'Statement of Marks'!BL11,IF($P$3=$AT$12,'Statement of Marks'!CI11,IF($P$3=$AT$13,'Statement of Marks'!DG11,IF($P$3=$AT$14,"",IF($P$3=$AT$15,'Statement of Marks'!FA11,""))))))))),"")</f>
        <v>7</v>
      </c>
      <c r="O12" s="813">
        <f t="shared" si="4"/>
        <v>24</v>
      </c>
      <c r="P12" s="812">
        <f>IFERROR(IF(B12="","",IF($P$3=$AT$8,'Statement of Marks'!N11,IF($P$3=$AT$9,'Statement of Marks'!AB11,IF($P$3=$AT$10,'Statement of Marks'!AQ11,IF($P$3=$AT$11,'Statement of Marks'!BN11,IF($P$3=$AT$12,'Statement of Marks'!CK11,IF($P$3=$AT$13,'Statement of Marks'!DI11,IF($P$3=$AT$14,"",IF($P$3=$AT$15,'Statement of Marks'!FC11,""))))))))),"")</f>
        <v>28</v>
      </c>
      <c r="Q12" s="812">
        <f>IFERROR(IF(B12="","",IF($P$3=$AT$8,"",IF($P$3=$AT$9,"",IF($P$3=$AT$10,'Statement of Marks'!AR11,IF($P$3=$AT$11,'Statement of Marks'!BO11,IF($P$3=$AT$12,'Statement of Marks'!CL11,IF($P$3=$AT$13,'Statement of Marks'!DJ11,IF($P$3=$AT$14,"",IF($P$3=$AT$15,"",""))))))))),"")</f>
        <v>10</v>
      </c>
      <c r="R12" s="824">
        <f>IFERROR(IF(B12="","",IF(AND(P12="",Q12="",$P$3=""),"",IF($P$3=$AT$14,'Statement of Marks'!EC11,SUM(P12,Q12)))),"")</f>
        <v>38</v>
      </c>
      <c r="S12" s="823">
        <f>IFERROR(IF(B12="","",IF($P$3=$AT$14,'Statement of Marks'!ED11,IF(AND(O12="NA",P12="NA",Q12="NA"),"NA",IF(AND(O12="",P12="",Q12=""),"",SUM(O12,P12,Q12))))),"")</f>
        <v>62</v>
      </c>
      <c r="T12" s="812">
        <f>IFERROR(IF(B12="","",IF($P$3=$AT$8,'Statement of Marks'!P11,IF($P$3=$AT$9,'Statement of Marks'!AD11,IF($P$3=$AT$10,'Statement of Marks'!AU11,IF($P$3=$AT$11,'Statement of Marks'!BR11,IF($P$3=$AT$12,'Statement of Marks'!CO11,IF($P$3=$AT$13,'Statement of Marks'!DM11,IF($P$3=$AT$14,"",IF($P$3=$AT$15,'Statement of Marks'!FD11,""))))))))),"")</f>
        <v>47</v>
      </c>
      <c r="U12" s="812">
        <f>IFERROR(IF(B12="","",IF($P$3=$AT$8,"",IF($P$3=$AT$9,"",IF($P$3=$AT$10,'Statement of Marks'!AV11,IF($P$3=$AT$11,'Statement of Marks'!BS11,IF($P$3=$AT$12,'Statement of Marks'!CP11,IF($P$3=$AT$13,'Statement of Marks'!DN11,IF($P$3=$AT$14,"",IF($P$3=$AT$15,"",""))))))))),"")</f>
        <v>19</v>
      </c>
      <c r="V12" s="824">
        <f>IFERROR(IF(B12="","",IF(AND(T12="",U12="",$P$3=""),"",IF($P$3=$AT$14,'Statement of Marks'!EE11,SUM(T12,U12)))),"")</f>
        <v>66</v>
      </c>
      <c r="W12" s="814">
        <f t="shared" si="5"/>
        <v>128</v>
      </c>
      <c r="X12" s="815">
        <f t="shared" si="6"/>
        <v>0</v>
      </c>
      <c r="Y12" s="815">
        <f t="shared" si="7"/>
        <v>29</v>
      </c>
      <c r="Z12" s="815">
        <f t="shared" si="8"/>
        <v>99</v>
      </c>
      <c r="AA12" s="815">
        <f t="shared" si="9"/>
        <v>70</v>
      </c>
      <c r="AB12" s="815">
        <f t="shared" si="10"/>
        <v>50</v>
      </c>
      <c r="AC12" s="815">
        <f t="shared" si="11"/>
        <v>150</v>
      </c>
      <c r="AD12" s="815" t="str">
        <f t="shared" si="12"/>
        <v/>
      </c>
      <c r="AE12" s="816" t="str">
        <f t="shared" si="13"/>
        <v>P</v>
      </c>
      <c r="AF12" s="817" t="str">
        <f t="shared" si="14"/>
        <v>I</v>
      </c>
      <c r="AG12" s="818" t="str">
        <f t="shared" si="15"/>
        <v>D</v>
      </c>
      <c r="AT12" s="17" t="str">
        <f>'Statement of Marks'!CF2</f>
        <v>Optional Subject - 03</v>
      </c>
      <c r="AW12" s="17" t="str">
        <f t="shared" si="16"/>
        <v>P</v>
      </c>
      <c r="AX12" s="17" t="str">
        <f t="shared" si="17"/>
        <v>P</v>
      </c>
      <c r="BM12" s="17" t="str">
        <f>IFERROR(VLOOKUP(B12,'Statement of Marks'!$B$8:'Statement of Marks'!$HI$207,37,0),"")</f>
        <v>B</v>
      </c>
      <c r="BN12" s="17" t="str">
        <f>IFERROR(VLOOKUP(B12,'Statement of Marks'!$B$8:'Statement of Marks'!$HI$207,60,0),"")</f>
        <v>A</v>
      </c>
      <c r="BO12" s="17" t="str">
        <f>IFERROR(VLOOKUP(B12,'Statement of Marks'!$B$8:'Statement of Marks'!$HI$207,83,0),"")</f>
        <v>A</v>
      </c>
      <c r="BP12" s="17" t="str">
        <f>IFERROR(VLOOKUP(B12,'Statement of Marks'!$B$8:'Statement of Marks'!$HI$207,107,0),"")</f>
        <v>B</v>
      </c>
    </row>
    <row r="13" spans="1:68">
      <c r="A13" s="806">
        <f>IF('Statement of Marks'!A12="","",'Statement of Marks'!A12)</f>
        <v>5</v>
      </c>
      <c r="B13" s="807">
        <f>IF(OR($E$3="",$P$3=""),"",IF('Statement of Marks'!B12="","",'Statement of Marks'!B12))</f>
        <v>1105</v>
      </c>
      <c r="C13" s="816" t="str">
        <f>IF(OR($E$3="",$P$3=""),"",IF('Marks Entry'!C12="","",'Marks Entry'!C12))</f>
        <v>A</v>
      </c>
      <c r="D13" s="808">
        <f>IF(OR($E$3="",$P$3=""),"",IF('Statement of Marks'!C12="","",'Statement of Marks'!C12))</f>
        <v>333</v>
      </c>
      <c r="E13" s="809">
        <f>IF(OR($E$3="",$P$3=""),"",IF('Statement of Marks'!D12="","",'Statement of Marks'!D12))</f>
        <v>39270</v>
      </c>
      <c r="F13" s="810" t="str">
        <f>IF(OR($E$3="",$P$3=""),"",IF('Statement of Marks'!E12="","",'Statement of Marks'!E12))</f>
        <v>E</v>
      </c>
      <c r="G13" s="810" t="str">
        <f>IF(OR($E$3="",$P$3=""),"",IF('Statement of Marks'!F12="","",'Statement of Marks'!F12))</f>
        <v>V</v>
      </c>
      <c r="H13" s="810" t="str">
        <f>IF(OR($E$3="",$P$3=""),"",IF('Statement of Marks'!G12="","",'Statement of Marks'!G12))</f>
        <v>Q</v>
      </c>
      <c r="I13" s="811" t="str">
        <f>IF(OR($E$3="",$P$3=""),"",IF('Statement of Marks'!H12="","",'Statement of Marks'!H12))</f>
        <v>SBC</v>
      </c>
      <c r="J13" s="811" t="str">
        <f>IF(OR($E$3="",$P$3=""),"",IF('Statement of Marks'!I12="","",'Statement of Marks'!I12))</f>
        <v>F</v>
      </c>
      <c r="K13" s="811" t="str">
        <f>IFERROR(IF(B13="","",IF($P$3=$AT$10,IF(AND(BM13="A"),'Marks Entry'!$U$2,IF(AND(BM13="B"),'Marks Entry'!$Y$2,IF(AND(BM13="C"),'Marks Entry'!$AA$2,""))),IF($P$3=$AT$11,IF(AND(BN13="A"),'Marks Entry'!$AC$2,IF(AND(BN13="B"),'Marks Entry'!$AG$2,IF(AND(BN13="C"),'Marks Entry'!$AI$2,""))),IF($P$3=$AT$12,IF(AND(BO13="A"),'Marks Entry'!$AK$2,IF(AND(BO13="B"),'Marks Entry'!$AO$2,IF(AND(BO13="C"),'Marks Entry'!$AQ$2,""))),IF($P$3=$AT$13,IF(AND(BP13="A"),'Marks Entry'!$AS$2,IF(AND(BP13="B"),'Marks Entry'!$AW$2,IF(AND(BP13="C"),'Marks Entry'!$AY$2,""))),"-"))))),"")</f>
        <v>BIOLOGY</v>
      </c>
      <c r="L13" s="812">
        <f>IFERROR(IF(B13="","",IF($P$3=$AT$8,'Statement of Marks'!J12,IF($P$3=$AT$9,'Statement of Marks'!X12,IF($P$3=$AT$10,'Statement of Marks'!AM12,IF($P$3=$AT$11,'Statement of Marks'!BJ12,IF($P$3=$AT$12,'Statement of Marks'!CG12,IF($P$3=$AT$13,'Statement of Marks'!DE12,IF($P$3=$AT$14,"",IF($P$3=$AT$15,'Statement of Marks'!EY12,""))))))))),"")</f>
        <v>7</v>
      </c>
      <c r="M13" s="812">
        <f>IFERROR(IF(B13="","",IF($P$3=$AT$8,'Statement of Marks'!K12,IF($P$3=$AT$9,'Statement of Marks'!Y12,IF($P$3=$AT$10,'Statement of Marks'!AN12,IF($P$3=$AT$11,'Statement of Marks'!BK12,IF($P$3=$AT$12,'Statement of Marks'!CH12,IF($P$3=$AT$13,'Statement of Marks'!DF12,IF($P$3=$AT$14,"",IF($P$3=$AT$15,'Statement of Marks'!EZ12,""))))))))),"")</f>
        <v>9</v>
      </c>
      <c r="N13" s="812">
        <f>IFERROR(IF(B13="","",IF($P$3=$AT$8,'Statement of Marks'!L12,IF($P$3=$AT$9,'Statement of Marks'!Z12,IF($P$3=$AT$10,'Statement of Marks'!AO12,IF($P$3=$AT$11,'Statement of Marks'!BL12,IF($P$3=$AT$12,'Statement of Marks'!CI12,IF($P$3=$AT$13,'Statement of Marks'!DG12,IF($P$3=$AT$14,"",IF($P$3=$AT$15,'Statement of Marks'!FA12,""))))))))),"")</f>
        <v>7</v>
      </c>
      <c r="O13" s="813">
        <f t="shared" si="4"/>
        <v>23</v>
      </c>
      <c r="P13" s="812">
        <f>IFERROR(IF(B13="","",IF($P$3=$AT$8,'Statement of Marks'!N12,IF($P$3=$AT$9,'Statement of Marks'!AB12,IF($P$3=$AT$10,'Statement of Marks'!AQ12,IF($P$3=$AT$11,'Statement of Marks'!BN12,IF($P$3=$AT$12,'Statement of Marks'!CK12,IF($P$3=$AT$13,'Statement of Marks'!DI12,IF($P$3=$AT$14,"",IF($P$3=$AT$15,'Statement of Marks'!FC12,""))))))))),"")</f>
        <v>22</v>
      </c>
      <c r="Q13" s="812">
        <f>IFERROR(IF(B13="","",IF($P$3=$AT$8,"",IF($P$3=$AT$9,"",IF($P$3=$AT$10,'Statement of Marks'!AR12,IF($P$3=$AT$11,'Statement of Marks'!BO12,IF($P$3=$AT$12,'Statement of Marks'!CL12,IF($P$3=$AT$13,'Statement of Marks'!DJ12,IF($P$3=$AT$14,"",IF($P$3=$AT$15,"",""))))))))),"")</f>
        <v>9</v>
      </c>
      <c r="R13" s="824">
        <f>IFERROR(IF(B13="","",IF(AND(P13="",Q13="",$P$3=""),"",IF($P$3=$AT$14,'Statement of Marks'!EC12,SUM(P13,Q13)))),"")</f>
        <v>31</v>
      </c>
      <c r="S13" s="823">
        <f>IFERROR(IF(B13="","",IF($P$3=$AT$14,'Statement of Marks'!ED12,IF(AND(O13="NA",P13="NA",Q13="NA"),"NA",IF(AND(O13="",P13="",Q13=""),"",SUM(O13,P13,Q13))))),"")</f>
        <v>54</v>
      </c>
      <c r="T13" s="812">
        <f>IFERROR(IF(B13="","",IF($P$3=$AT$8,'Statement of Marks'!P12,IF($P$3=$AT$9,'Statement of Marks'!AD12,IF($P$3=$AT$10,'Statement of Marks'!AU12,IF($P$3=$AT$11,'Statement of Marks'!BR12,IF($P$3=$AT$12,'Statement of Marks'!CO12,IF($P$3=$AT$13,'Statement of Marks'!DM12,IF($P$3=$AT$14,"",IF($P$3=$AT$15,'Statement of Marks'!FD12,""))))))))),"")</f>
        <v>56</v>
      </c>
      <c r="U13" s="812">
        <f>IFERROR(IF(B13="","",IF($P$3=$AT$8,"",IF($P$3=$AT$9,"",IF($P$3=$AT$10,'Statement of Marks'!AV12,IF($P$3=$AT$11,'Statement of Marks'!BS12,IF($P$3=$AT$12,'Statement of Marks'!CP12,IF($P$3=$AT$13,'Statement of Marks'!DN12,IF($P$3=$AT$14,"",IF($P$3=$AT$15,"",""))))))))),"")</f>
        <v>18</v>
      </c>
      <c r="V13" s="824">
        <f>IFERROR(IF(B13="","",IF(AND(T13="",U13="",$P$3=""),"",IF($P$3=$AT$14,'Statement of Marks'!EE12,SUM(T13,U13)))),"")</f>
        <v>74</v>
      </c>
      <c r="W13" s="814">
        <f t="shared" si="5"/>
        <v>128</v>
      </c>
      <c r="X13" s="815">
        <f t="shared" si="6"/>
        <v>0</v>
      </c>
      <c r="Y13" s="815">
        <f t="shared" si="7"/>
        <v>27</v>
      </c>
      <c r="Z13" s="815">
        <f t="shared" si="8"/>
        <v>101</v>
      </c>
      <c r="AA13" s="815">
        <f t="shared" si="9"/>
        <v>70</v>
      </c>
      <c r="AB13" s="815">
        <f t="shared" si="10"/>
        <v>50</v>
      </c>
      <c r="AC13" s="815">
        <f t="shared" si="11"/>
        <v>150</v>
      </c>
      <c r="AD13" s="815" t="str">
        <f t="shared" si="12"/>
        <v/>
      </c>
      <c r="AE13" s="816" t="str">
        <f t="shared" si="13"/>
        <v>P</v>
      </c>
      <c r="AF13" s="817" t="str">
        <f t="shared" si="14"/>
        <v>I</v>
      </c>
      <c r="AG13" s="818" t="str">
        <f t="shared" si="15"/>
        <v>D</v>
      </c>
      <c r="AT13" s="17" t="str">
        <f>'Statement of Marks'!DD2</f>
        <v>Additional Sub. / Vocational  Subject</v>
      </c>
      <c r="AW13" s="17" t="str">
        <f t="shared" si="16"/>
        <v>P</v>
      </c>
      <c r="AX13" s="17" t="str">
        <f t="shared" si="17"/>
        <v>P</v>
      </c>
      <c r="BM13" s="17" t="str">
        <f>IFERROR(VLOOKUP(B13,'Statement of Marks'!$B$8:'Statement of Marks'!$HI$207,37,0),"")</f>
        <v>B</v>
      </c>
      <c r="BN13" s="17" t="str">
        <f>IFERROR(VLOOKUP(B13,'Statement of Marks'!$B$8:'Statement of Marks'!$HI$207,60,0),"")</f>
        <v>B</v>
      </c>
      <c r="BO13" s="17" t="str">
        <f>IFERROR(VLOOKUP(B13,'Statement of Marks'!$B$8:'Statement of Marks'!$HI$207,83,0),"")</f>
        <v>A</v>
      </c>
      <c r="BP13" s="17" t="str">
        <f>IFERROR(VLOOKUP(B13,'Statement of Marks'!$B$8:'Statement of Marks'!$HI$207,107,0),"")</f>
        <v>B</v>
      </c>
    </row>
    <row r="14" spans="1:68">
      <c r="A14" s="806">
        <f>IF('Statement of Marks'!A13="","",'Statement of Marks'!A13)</f>
        <v>6</v>
      </c>
      <c r="B14" s="807">
        <f>IF(OR($E$3="",$P$3=""),"",IF('Statement of Marks'!B13="","",'Statement of Marks'!B13))</f>
        <v>1106</v>
      </c>
      <c r="C14" s="816" t="str">
        <f>IF(OR($E$3="",$P$3=""),"",IF('Marks Entry'!C13="","",'Marks Entry'!C13))</f>
        <v>A</v>
      </c>
      <c r="D14" s="808">
        <f>IF(OR($E$3="",$P$3=""),"",IF('Statement of Marks'!C13="","",'Statement of Marks'!C13))</f>
        <v>666</v>
      </c>
      <c r="E14" s="809">
        <f>IF(OR($E$3="",$P$3=""),"",IF('Statement of Marks'!D13="","",'Statement of Marks'!D13))</f>
        <v>39668</v>
      </c>
      <c r="F14" s="810" t="str">
        <f>IF(OR($E$3="",$P$3=""),"",IF('Statement of Marks'!E13="","",'Statement of Marks'!E13))</f>
        <v>F</v>
      </c>
      <c r="G14" s="810" t="str">
        <f>IF(OR($E$3="",$P$3=""),"",IF('Statement of Marks'!F13="","",'Statement of Marks'!F13))</f>
        <v>U</v>
      </c>
      <c r="H14" s="810" t="str">
        <f>IF(OR($E$3="",$P$3=""),"",IF('Statement of Marks'!G13="","",'Statement of Marks'!G13))</f>
        <v>R</v>
      </c>
      <c r="I14" s="811" t="str">
        <f>IF(OR($E$3="",$P$3=""),"",IF('Statement of Marks'!H13="","",'Statement of Marks'!H13))</f>
        <v>OBC</v>
      </c>
      <c r="J14" s="811" t="str">
        <f>IF(OR($E$3="",$P$3=""),"",IF('Statement of Marks'!I13="","",'Statement of Marks'!I13))</f>
        <v>M</v>
      </c>
      <c r="K14" s="811" t="str">
        <f>IFERROR(IF(B14="","",IF($P$3=$AT$10,IF(AND(BM14="A"),'Marks Entry'!$U$2,IF(AND(BM14="B"),'Marks Entry'!$Y$2,IF(AND(BM14="C"),'Marks Entry'!$AA$2,""))),IF($P$3=$AT$11,IF(AND(BN14="A"),'Marks Entry'!$AC$2,IF(AND(BN14="B"),'Marks Entry'!$AG$2,IF(AND(BN14="C"),'Marks Entry'!$AI$2,""))),IF($P$3=$AT$12,IF(AND(BO14="A"),'Marks Entry'!$AK$2,IF(AND(BO14="B"),'Marks Entry'!$AO$2,IF(AND(BO14="C"),'Marks Entry'!$AQ$2,""))),IF($P$3=$AT$13,IF(AND(BP14="A"),'Marks Entry'!$AS$2,IF(AND(BP14="B"),'Marks Entry'!$AW$2,IF(AND(BP14="C"),'Marks Entry'!$AY$2,""))),"-"))))),"")</f>
        <v>POLITICAL SCIENCE</v>
      </c>
      <c r="L14" s="812">
        <f>IFERROR(IF(B14="","",IF($P$3=$AT$8,'Statement of Marks'!J13,IF($P$3=$AT$9,'Statement of Marks'!X13,IF($P$3=$AT$10,'Statement of Marks'!AM13,IF($P$3=$AT$11,'Statement of Marks'!BJ13,IF($P$3=$AT$12,'Statement of Marks'!CG13,IF($P$3=$AT$13,'Statement of Marks'!DE13,IF($P$3=$AT$14,"",IF($P$3=$AT$15,'Statement of Marks'!EY13,""))))))))),"")</f>
        <v>10</v>
      </c>
      <c r="M14" s="812">
        <f>IFERROR(IF(B14="","",IF($P$3=$AT$8,'Statement of Marks'!K13,IF($P$3=$AT$9,'Statement of Marks'!Y13,IF($P$3=$AT$10,'Statement of Marks'!AN13,IF($P$3=$AT$11,'Statement of Marks'!BK13,IF($P$3=$AT$12,'Statement of Marks'!CH13,IF($P$3=$AT$13,'Statement of Marks'!DF13,IF($P$3=$AT$14,"",IF($P$3=$AT$15,'Statement of Marks'!EZ13,""))))))))),"")</f>
        <v>10</v>
      </c>
      <c r="N14" s="812">
        <f>IFERROR(IF(B14="","",IF($P$3=$AT$8,'Statement of Marks'!L13,IF($P$3=$AT$9,'Statement of Marks'!Z13,IF($P$3=$AT$10,'Statement of Marks'!AO13,IF($P$3=$AT$11,'Statement of Marks'!BL13,IF($P$3=$AT$12,'Statement of Marks'!CI13,IF($P$3=$AT$13,'Statement of Marks'!DG13,IF($P$3=$AT$14,"",IF($P$3=$AT$15,'Statement of Marks'!FA13,""))))))))),"")</f>
        <v>7</v>
      </c>
      <c r="O14" s="813">
        <f t="shared" si="4"/>
        <v>27</v>
      </c>
      <c r="P14" s="812">
        <f>IFERROR(IF(B14="","",IF($P$3=$AT$8,'Statement of Marks'!N13,IF($P$3=$AT$9,'Statement of Marks'!AB13,IF($P$3=$AT$10,'Statement of Marks'!AQ13,IF($P$3=$AT$11,'Statement of Marks'!BN13,IF($P$3=$AT$12,'Statement of Marks'!CK13,IF($P$3=$AT$13,'Statement of Marks'!DI13,IF($P$3=$AT$14,"",IF($P$3=$AT$15,'Statement of Marks'!FC13,""))))))))),"")</f>
        <v>20</v>
      </c>
      <c r="Q14" s="812" t="str">
        <f>IFERROR(IF(B14="","",IF($P$3=$AT$8,"",IF($P$3=$AT$9,"",IF($P$3=$AT$10,'Statement of Marks'!AR13,IF($P$3=$AT$11,'Statement of Marks'!BO13,IF($P$3=$AT$12,'Statement of Marks'!CL13,IF($P$3=$AT$13,'Statement of Marks'!DJ13,IF($P$3=$AT$14,"",IF($P$3=$AT$15,"",""))))))))),"")</f>
        <v/>
      </c>
      <c r="R14" s="824">
        <f>IFERROR(IF(B14="","",IF(AND(P14="",Q14="",$P$3=""),"",IF($P$3=$AT$14,'Statement of Marks'!EC13,SUM(P14,Q14)))),"")</f>
        <v>20</v>
      </c>
      <c r="S14" s="823">
        <f>IFERROR(IF(B14="","",IF($P$3=$AT$14,'Statement of Marks'!ED13,IF(AND(O14="NA",P14="NA",Q14="NA"),"NA",IF(AND(O14="",P14="",Q14=""),"",SUM(O14,P14,Q14))))),"")</f>
        <v>47</v>
      </c>
      <c r="T14" s="812">
        <f>IFERROR(IF(B14="","",IF($P$3=$AT$8,'Statement of Marks'!P13,IF($P$3=$AT$9,'Statement of Marks'!AD13,IF($P$3=$AT$10,'Statement of Marks'!AU13,IF($P$3=$AT$11,'Statement of Marks'!BR13,IF($P$3=$AT$12,'Statement of Marks'!CO13,IF($P$3=$AT$13,'Statement of Marks'!DM13,IF($P$3=$AT$14,"",IF($P$3=$AT$15,'Statement of Marks'!FD13,""))))))))),"")</f>
        <v>25</v>
      </c>
      <c r="U14" s="812" t="str">
        <f>IFERROR(IF(B14="","",IF($P$3=$AT$8,"",IF($P$3=$AT$9,"",IF($P$3=$AT$10,'Statement of Marks'!AV13,IF($P$3=$AT$11,'Statement of Marks'!BS13,IF($P$3=$AT$12,'Statement of Marks'!CP13,IF($P$3=$AT$13,'Statement of Marks'!DN13,IF($P$3=$AT$14,"",IF($P$3=$AT$15,"",""))))))))),"")</f>
        <v/>
      </c>
      <c r="V14" s="824">
        <f>IFERROR(IF(B14="","",IF(AND(T14="",U14="",$P$3=""),"",IF($P$3=$AT$14,'Statement of Marks'!EE13,SUM(T14,U14)))),"")</f>
        <v>25</v>
      </c>
      <c r="W14" s="814">
        <f t="shared" si="5"/>
        <v>72</v>
      </c>
      <c r="X14" s="815">
        <f t="shared" si="6"/>
        <v>0</v>
      </c>
      <c r="Y14" s="815">
        <f t="shared" si="7"/>
        <v>0</v>
      </c>
      <c r="Z14" s="815">
        <f t="shared" si="8"/>
        <v>72</v>
      </c>
      <c r="AA14" s="815">
        <f t="shared" si="9"/>
        <v>100</v>
      </c>
      <c r="AB14" s="815" t="str">
        <f t="shared" si="10"/>
        <v/>
      </c>
      <c r="AC14" s="815">
        <f t="shared" si="11"/>
        <v>200</v>
      </c>
      <c r="AD14" s="815" t="str">
        <f t="shared" si="12"/>
        <v/>
      </c>
      <c r="AE14" s="816" t="str">
        <f t="shared" si="13"/>
        <v>P</v>
      </c>
      <c r="AF14" s="817" t="str">
        <f t="shared" si="14"/>
        <v>III</v>
      </c>
      <c r="AG14" s="818" t="str">
        <f t="shared" si="15"/>
        <v/>
      </c>
      <c r="AT14" s="17" t="str">
        <f>'Statement of Marks'!EC4</f>
        <v>जीवन कौशल</v>
      </c>
      <c r="AW14" s="17" t="str">
        <f t="shared" si="16"/>
        <v>P</v>
      </c>
      <c r="AX14" s="17" t="str">
        <f t="shared" si="17"/>
        <v>P</v>
      </c>
      <c r="BM14" s="17" t="str">
        <f>IFERROR(VLOOKUP(B14,'Statement of Marks'!$B$8:'Statement of Marks'!$HI$207,37,0),"")</f>
        <v>A</v>
      </c>
      <c r="BN14" s="17" t="str">
        <f>IFERROR(VLOOKUP(B14,'Statement of Marks'!$B$8:'Statement of Marks'!$HI$207,60,0),"")</f>
        <v>C</v>
      </c>
      <c r="BO14" s="17" t="str">
        <f>IFERROR(VLOOKUP(B14,'Statement of Marks'!$B$8:'Statement of Marks'!$HI$207,83,0),"")</f>
        <v>A</v>
      </c>
      <c r="BP14" s="17" t="str">
        <f>IFERROR(VLOOKUP(B14,'Statement of Marks'!$B$8:'Statement of Marks'!$HI$207,107,0),"")</f>
        <v>B</v>
      </c>
    </row>
    <row r="15" spans="1:68">
      <c r="A15" s="806">
        <f>IF('Statement of Marks'!A14="","",'Statement of Marks'!A14)</f>
        <v>7</v>
      </c>
      <c r="B15" s="807">
        <f>IF(OR($E$3="",$P$3=""),"",IF('Statement of Marks'!B14="","",'Statement of Marks'!B14))</f>
        <v>1107</v>
      </c>
      <c r="C15" s="816" t="str">
        <f>IF(OR($E$3="",$P$3=""),"",IF('Marks Entry'!C14="","",'Marks Entry'!C14))</f>
        <v>A</v>
      </c>
      <c r="D15" s="808">
        <f>IF(OR($E$3="",$P$3=""),"",IF('Statement of Marks'!C14="","",'Statement of Marks'!C14))</f>
        <v>222</v>
      </c>
      <c r="E15" s="809">
        <f>IF(OR($E$3="",$P$3=""),"",IF('Statement of Marks'!D14="","",'Statement of Marks'!D14))</f>
        <v>40065</v>
      </c>
      <c r="F15" s="810" t="str">
        <f>IF(OR($E$3="",$P$3=""),"",IF('Statement of Marks'!E14="","",'Statement of Marks'!E14))</f>
        <v>G</v>
      </c>
      <c r="G15" s="810" t="str">
        <f>IF(OR($E$3="",$P$3=""),"",IF('Statement of Marks'!F14="","",'Statement of Marks'!F14))</f>
        <v>T</v>
      </c>
      <c r="H15" s="810" t="str">
        <f>IF(OR($E$3="",$P$3=""),"",IF('Statement of Marks'!G14="","",'Statement of Marks'!G14))</f>
        <v>S</v>
      </c>
      <c r="I15" s="811" t="str">
        <f>IF(OR($E$3="",$P$3=""),"",IF('Statement of Marks'!H14="","",'Statement of Marks'!H14))</f>
        <v>GEN</v>
      </c>
      <c r="J15" s="811" t="str">
        <f>IF(OR($E$3="",$P$3=""),"",IF('Statement of Marks'!I14="","",'Statement of Marks'!I14))</f>
        <v>M</v>
      </c>
      <c r="K15" s="811" t="str">
        <f>IFERROR(IF(B15="","",IF($P$3=$AT$10,IF(AND(BM15="A"),'Marks Entry'!$U$2,IF(AND(BM15="B"),'Marks Entry'!$Y$2,IF(AND(BM15="C"),'Marks Entry'!$AA$2,""))),IF($P$3=$AT$11,IF(AND(BN15="A"),'Marks Entry'!$AC$2,IF(AND(BN15="B"),'Marks Entry'!$AG$2,IF(AND(BN15="C"),'Marks Entry'!$AI$2,""))),IF($P$3=$AT$12,IF(AND(BO15="A"),'Marks Entry'!$AK$2,IF(AND(BO15="B"),'Marks Entry'!$AO$2,IF(AND(BO15="C"),'Marks Entry'!$AQ$2,""))),IF($P$3=$AT$13,IF(AND(BP15="A"),'Marks Entry'!$AS$2,IF(AND(BP15="B"),'Marks Entry'!$AW$2,IF(AND(BP15="C"),'Marks Entry'!$AY$2,""))),"-"))))),"")</f>
        <v>POLITICAL SCIENCE</v>
      </c>
      <c r="L15" s="812">
        <f>IFERROR(IF(B15="","",IF($P$3=$AT$8,'Statement of Marks'!J14,IF($P$3=$AT$9,'Statement of Marks'!X14,IF($P$3=$AT$10,'Statement of Marks'!AM14,IF($P$3=$AT$11,'Statement of Marks'!BJ14,IF($P$3=$AT$12,'Statement of Marks'!CG14,IF($P$3=$AT$13,'Statement of Marks'!DE14,IF($P$3=$AT$14,"",IF($P$3=$AT$15,'Statement of Marks'!EY14,""))))))))),"")</f>
        <v>7</v>
      </c>
      <c r="M15" s="812">
        <f>IFERROR(IF(B15="","",IF($P$3=$AT$8,'Statement of Marks'!K14,IF($P$3=$AT$9,'Statement of Marks'!Y14,IF($P$3=$AT$10,'Statement of Marks'!AN14,IF($P$3=$AT$11,'Statement of Marks'!BK14,IF($P$3=$AT$12,'Statement of Marks'!CH14,IF($P$3=$AT$13,'Statement of Marks'!DF14,IF($P$3=$AT$14,"",IF($P$3=$AT$15,'Statement of Marks'!EZ14,""))))))))),"")</f>
        <v>4</v>
      </c>
      <c r="N15" s="812">
        <f>IFERROR(IF(B15="","",IF($P$3=$AT$8,'Statement of Marks'!L14,IF($P$3=$AT$9,'Statement of Marks'!Z14,IF($P$3=$AT$10,'Statement of Marks'!AO14,IF($P$3=$AT$11,'Statement of Marks'!BL14,IF($P$3=$AT$12,'Statement of Marks'!CI14,IF($P$3=$AT$13,'Statement of Marks'!DG14,IF($P$3=$AT$14,"",IF($P$3=$AT$15,'Statement of Marks'!FA14,""))))))))),"")</f>
        <v>6</v>
      </c>
      <c r="O15" s="813">
        <f t="shared" si="4"/>
        <v>17</v>
      </c>
      <c r="P15" s="812">
        <f>IFERROR(IF(B15="","",IF($P$3=$AT$8,'Statement of Marks'!N14,IF($P$3=$AT$9,'Statement of Marks'!AB14,IF($P$3=$AT$10,'Statement of Marks'!AQ14,IF($P$3=$AT$11,'Statement of Marks'!BN14,IF($P$3=$AT$12,'Statement of Marks'!CK14,IF($P$3=$AT$13,'Statement of Marks'!DI14,IF($P$3=$AT$14,"",IF($P$3=$AT$15,'Statement of Marks'!FC14,""))))))))),"")</f>
        <v>14</v>
      </c>
      <c r="Q15" s="812" t="str">
        <f>IFERROR(IF(B15="","",IF($P$3=$AT$8,"",IF($P$3=$AT$9,"",IF($P$3=$AT$10,'Statement of Marks'!AR14,IF($P$3=$AT$11,'Statement of Marks'!BO14,IF($P$3=$AT$12,'Statement of Marks'!CL14,IF($P$3=$AT$13,'Statement of Marks'!DJ14,IF($P$3=$AT$14,"",IF($P$3=$AT$15,"",""))))))))),"")</f>
        <v/>
      </c>
      <c r="R15" s="824">
        <f>IFERROR(IF(B15="","",IF(AND(P15="",Q15="",$P$3=""),"",IF($P$3=$AT$14,'Statement of Marks'!EC14,SUM(P15,Q15)))),"")</f>
        <v>14</v>
      </c>
      <c r="S15" s="823">
        <f>IFERROR(IF(B15="","",IF($P$3=$AT$14,'Statement of Marks'!ED14,IF(AND(O15="NA",P15="NA",Q15="NA"),"NA",IF(AND(O15="",P15="",Q15=""),"",SUM(O15,P15,Q15))))),"")</f>
        <v>31</v>
      </c>
      <c r="T15" s="812">
        <f>IFERROR(IF(B15="","",IF($P$3=$AT$8,'Statement of Marks'!P14,IF($P$3=$AT$9,'Statement of Marks'!AD14,IF($P$3=$AT$10,'Statement of Marks'!AU14,IF($P$3=$AT$11,'Statement of Marks'!BR14,IF($P$3=$AT$12,'Statement of Marks'!CO14,IF($P$3=$AT$13,'Statement of Marks'!DM14,IF($P$3=$AT$14,"",IF($P$3=$AT$15,'Statement of Marks'!FD14,""))))))))),"")</f>
        <v>30</v>
      </c>
      <c r="U15" s="812" t="str">
        <f>IFERROR(IF(B15="","",IF($P$3=$AT$8,"",IF($P$3=$AT$9,"",IF($P$3=$AT$10,'Statement of Marks'!AV14,IF($P$3=$AT$11,'Statement of Marks'!BS14,IF($P$3=$AT$12,'Statement of Marks'!CP14,IF($P$3=$AT$13,'Statement of Marks'!DN14,IF($P$3=$AT$14,"",IF($P$3=$AT$15,"",""))))))))),"")</f>
        <v/>
      </c>
      <c r="V15" s="824">
        <f>IFERROR(IF(B15="","",IF(AND(T15="",U15="",$P$3=""),"",IF($P$3=$AT$14,'Statement of Marks'!EE14,SUM(T15,U15)))),"")</f>
        <v>30</v>
      </c>
      <c r="W15" s="814">
        <f t="shared" si="5"/>
        <v>61</v>
      </c>
      <c r="X15" s="815">
        <f t="shared" si="6"/>
        <v>0</v>
      </c>
      <c r="Y15" s="815">
        <f t="shared" si="7"/>
        <v>0</v>
      </c>
      <c r="Z15" s="815">
        <f t="shared" si="8"/>
        <v>61</v>
      </c>
      <c r="AA15" s="815">
        <f t="shared" si="9"/>
        <v>100</v>
      </c>
      <c r="AB15" s="815" t="str">
        <f t="shared" si="10"/>
        <v/>
      </c>
      <c r="AC15" s="815">
        <f t="shared" si="11"/>
        <v>200</v>
      </c>
      <c r="AD15" s="815" t="str">
        <f t="shared" si="12"/>
        <v/>
      </c>
      <c r="AE15" s="816" t="str">
        <f t="shared" si="13"/>
        <v>S</v>
      </c>
      <c r="AF15" s="817" t="str">
        <f t="shared" si="14"/>
        <v/>
      </c>
      <c r="AG15" s="818" t="str">
        <f t="shared" si="15"/>
        <v>Supplementary</v>
      </c>
      <c r="AT15" s="17" t="str">
        <f>'Statement of Marks'!EY3</f>
        <v xml:space="preserve">आजादी के बाद का स्वर्णिम भारत </v>
      </c>
      <c r="AW15" s="17" t="str">
        <f t="shared" si="16"/>
        <v>S</v>
      </c>
      <c r="AX15" s="17" t="str">
        <f t="shared" si="17"/>
        <v/>
      </c>
      <c r="BM15" s="17" t="str">
        <f>IFERROR(VLOOKUP(B15,'Statement of Marks'!$B$8:'Statement of Marks'!$HI$207,37,0),"")</f>
        <v>A</v>
      </c>
      <c r="BN15" s="17" t="str">
        <f>IFERROR(VLOOKUP(B15,'Statement of Marks'!$B$8:'Statement of Marks'!$HI$207,60,0),"")</f>
        <v>A</v>
      </c>
      <c r="BO15" s="17" t="str">
        <f>IFERROR(VLOOKUP(B15,'Statement of Marks'!$B$8:'Statement of Marks'!$HI$207,83,0),"")</f>
        <v>B</v>
      </c>
      <c r="BP15" s="17" t="str">
        <f>IFERROR(VLOOKUP(B15,'Statement of Marks'!$B$8:'Statement of Marks'!$HI$207,107,0),"")</f>
        <v/>
      </c>
    </row>
    <row r="16" spans="1:68">
      <c r="A16" s="806">
        <f>IF('Statement of Marks'!A15="","",'Statement of Marks'!A15)</f>
        <v>8</v>
      </c>
      <c r="B16" s="807">
        <f>IF(OR($E$3="",$P$3=""),"",IF('Statement of Marks'!B15="","",'Statement of Marks'!B15))</f>
        <v>1108</v>
      </c>
      <c r="C16" s="816" t="str">
        <f>IF(OR($E$3="",$P$3=""),"",IF('Marks Entry'!C15="","",'Marks Entry'!C15))</f>
        <v>A</v>
      </c>
      <c r="D16" s="808">
        <f>IF(OR($E$3="",$P$3=""),"",IF('Statement of Marks'!C15="","",'Statement of Marks'!C15))</f>
        <v>123</v>
      </c>
      <c r="E16" s="809">
        <f>IF(OR($E$3="",$P$3=""),"",IF('Statement of Marks'!D15="","",'Statement of Marks'!D15))</f>
        <v>39763</v>
      </c>
      <c r="F16" s="810" t="str">
        <f>IF(OR($E$3="",$P$3=""),"",IF('Statement of Marks'!E15="","",'Statement of Marks'!E15))</f>
        <v>O</v>
      </c>
      <c r="G16" s="810" t="str">
        <f>IF(OR($E$3="",$P$3=""),"",IF('Statement of Marks'!F15="","",'Statement of Marks'!F15))</f>
        <v>R</v>
      </c>
      <c r="H16" s="810" t="str">
        <f>IF(OR($E$3="",$P$3=""),"",IF('Statement of Marks'!G15="","",'Statement of Marks'!G15))</f>
        <v>I</v>
      </c>
      <c r="I16" s="811" t="str">
        <f>IF(OR($E$3="",$P$3=""),"",IF('Statement of Marks'!H15="","",'Statement of Marks'!H15))</f>
        <v>OBC</v>
      </c>
      <c r="J16" s="811" t="str">
        <f>IF(OR($E$3="",$P$3=""),"",IF('Statement of Marks'!I15="","",'Statement of Marks'!I15))</f>
        <v>M</v>
      </c>
      <c r="K16" s="811" t="str">
        <f>IFERROR(IF(B16="","",IF($P$3=$AT$10,IF(AND(BM16="A"),'Marks Entry'!$U$2,IF(AND(BM16="B"),'Marks Entry'!$Y$2,IF(AND(BM16="C"),'Marks Entry'!$AA$2,""))),IF($P$3=$AT$11,IF(AND(BN16="A"),'Marks Entry'!$AC$2,IF(AND(BN16="B"),'Marks Entry'!$AG$2,IF(AND(BN16="C"),'Marks Entry'!$AI$2,""))),IF($P$3=$AT$12,IF(AND(BO16="A"),'Marks Entry'!$AK$2,IF(AND(BO16="B"),'Marks Entry'!$AO$2,IF(AND(BO16="C"),'Marks Entry'!$AQ$2,""))),IF($P$3=$AT$13,IF(AND(BP16="A"),'Marks Entry'!$AS$2,IF(AND(BP16="B"),'Marks Entry'!$AW$2,IF(AND(BP16="C"),'Marks Entry'!$AY$2,""))),"-"))))),"")</f>
        <v>POLITICAL SCIENCE</v>
      </c>
      <c r="L16" s="812">
        <f>IFERROR(IF(B16="","",IF($P$3=$AT$8,'Statement of Marks'!J15,IF($P$3=$AT$9,'Statement of Marks'!X15,IF($P$3=$AT$10,'Statement of Marks'!AM15,IF($P$3=$AT$11,'Statement of Marks'!BJ15,IF($P$3=$AT$12,'Statement of Marks'!CG15,IF($P$3=$AT$13,'Statement of Marks'!DE15,IF($P$3=$AT$14,"",IF($P$3=$AT$15,'Statement of Marks'!EY15,""))))))))),"")</f>
        <v>10</v>
      </c>
      <c r="M16" s="812">
        <f>IFERROR(IF(B16="","",IF($P$3=$AT$8,'Statement of Marks'!K15,IF($P$3=$AT$9,'Statement of Marks'!Y15,IF($P$3=$AT$10,'Statement of Marks'!AN15,IF($P$3=$AT$11,'Statement of Marks'!BK15,IF($P$3=$AT$12,'Statement of Marks'!CH15,IF($P$3=$AT$13,'Statement of Marks'!DF15,IF($P$3=$AT$14,"",IF($P$3=$AT$15,'Statement of Marks'!EZ15,""))))))))),"")</f>
        <v>5</v>
      </c>
      <c r="N16" s="812">
        <f>IFERROR(IF(B16="","",IF($P$3=$AT$8,'Statement of Marks'!L15,IF($P$3=$AT$9,'Statement of Marks'!Z15,IF($P$3=$AT$10,'Statement of Marks'!AO15,IF($P$3=$AT$11,'Statement of Marks'!BL15,IF($P$3=$AT$12,'Statement of Marks'!CI15,IF($P$3=$AT$13,'Statement of Marks'!DG15,IF($P$3=$AT$14,"",IF($P$3=$AT$15,'Statement of Marks'!FA15,""))))))))),"")</f>
        <v>7</v>
      </c>
      <c r="O16" s="813">
        <f t="shared" si="4"/>
        <v>22</v>
      </c>
      <c r="P16" s="812">
        <f>IFERROR(IF(B16="","",IF($P$3=$AT$8,'Statement of Marks'!N15,IF($P$3=$AT$9,'Statement of Marks'!AB15,IF($P$3=$AT$10,'Statement of Marks'!AQ15,IF($P$3=$AT$11,'Statement of Marks'!BN15,IF($P$3=$AT$12,'Statement of Marks'!CK15,IF($P$3=$AT$13,'Statement of Marks'!DI15,IF($P$3=$AT$14,"",IF($P$3=$AT$15,'Statement of Marks'!FC15,""))))))))),"")</f>
        <v>17</v>
      </c>
      <c r="Q16" s="812" t="str">
        <f>IFERROR(IF(B16="","",IF($P$3=$AT$8,"",IF($P$3=$AT$9,"",IF($P$3=$AT$10,'Statement of Marks'!AR15,IF($P$3=$AT$11,'Statement of Marks'!BO15,IF($P$3=$AT$12,'Statement of Marks'!CL15,IF($P$3=$AT$13,'Statement of Marks'!DJ15,IF($P$3=$AT$14,"",IF($P$3=$AT$15,"",""))))))))),"")</f>
        <v/>
      </c>
      <c r="R16" s="824">
        <f>IFERROR(IF(B16="","",IF(AND(P16="",Q16="",$P$3=""),"",IF($P$3=$AT$14,'Statement of Marks'!EC15,SUM(P16,Q16)))),"")</f>
        <v>17</v>
      </c>
      <c r="S16" s="823">
        <f>IFERROR(IF(B16="","",IF($P$3=$AT$14,'Statement of Marks'!ED15,IF(AND(O16="NA",P16="NA",Q16="NA"),"NA",IF(AND(O16="",P16="",Q16=""),"",SUM(O16,P16,Q16))))),"")</f>
        <v>39</v>
      </c>
      <c r="T16" s="812">
        <f>IFERROR(IF(B16="","",IF($P$3=$AT$8,'Statement of Marks'!P15,IF($P$3=$AT$9,'Statement of Marks'!AD15,IF($P$3=$AT$10,'Statement of Marks'!AU15,IF($P$3=$AT$11,'Statement of Marks'!BR15,IF($P$3=$AT$12,'Statement of Marks'!CO15,IF($P$3=$AT$13,'Statement of Marks'!DM15,IF($P$3=$AT$14,"",IF($P$3=$AT$15,'Statement of Marks'!FD15,""))))))))),"")</f>
        <v>27</v>
      </c>
      <c r="U16" s="812" t="str">
        <f>IFERROR(IF(B16="","",IF($P$3=$AT$8,"",IF($P$3=$AT$9,"",IF($P$3=$AT$10,'Statement of Marks'!AV15,IF($P$3=$AT$11,'Statement of Marks'!BS15,IF($P$3=$AT$12,'Statement of Marks'!CP15,IF($P$3=$AT$13,'Statement of Marks'!DN15,IF($P$3=$AT$14,"",IF($P$3=$AT$15,"",""))))))))),"")</f>
        <v/>
      </c>
      <c r="V16" s="824">
        <f>IFERROR(IF(B16="","",IF(AND(T16="",U16="",$P$3=""),"",IF($P$3=$AT$14,'Statement of Marks'!EE15,SUM(T16,U16)))),"")</f>
        <v>27</v>
      </c>
      <c r="W16" s="814">
        <f>IFERROR(IF(B16="","",IF($P$3="","",IF(OR($P$3=$AT$14),SUM(R16,S16,V16),SUM(S16,V16)))),"")</f>
        <v>66</v>
      </c>
      <c r="X16" s="815">
        <f t="shared" si="6"/>
        <v>0</v>
      </c>
      <c r="Y16" s="815">
        <f t="shared" si="7"/>
        <v>0</v>
      </c>
      <c r="Z16" s="815">
        <f t="shared" si="8"/>
        <v>66</v>
      </c>
      <c r="AA16" s="815">
        <f t="shared" si="9"/>
        <v>100</v>
      </c>
      <c r="AB16" s="815" t="str">
        <f t="shared" si="10"/>
        <v/>
      </c>
      <c r="AC16" s="815">
        <f t="shared" si="11"/>
        <v>200</v>
      </c>
      <c r="AD16" s="815" t="str">
        <f t="shared" si="12"/>
        <v/>
      </c>
      <c r="AE16" s="816" t="str">
        <f t="shared" si="13"/>
        <v>G</v>
      </c>
      <c r="AF16" s="817" t="str">
        <f t="shared" si="14"/>
        <v>G</v>
      </c>
      <c r="AG16" s="818" t="str">
        <f t="shared" si="15"/>
        <v>By Grace</v>
      </c>
      <c r="AW16" s="17" t="str">
        <f t="shared" si="16"/>
        <v>G</v>
      </c>
      <c r="AX16" s="17" t="str">
        <f t="shared" si="17"/>
        <v/>
      </c>
      <c r="BM16" s="17" t="str">
        <f>IFERROR(VLOOKUP(B16,'Statement of Marks'!$B$8:'Statement of Marks'!$HI$207,37,0),"")</f>
        <v>A</v>
      </c>
      <c r="BN16" s="17" t="str">
        <f>IFERROR(VLOOKUP(B16,'Statement of Marks'!$B$8:'Statement of Marks'!$HI$207,60,0),"")</f>
        <v>A</v>
      </c>
      <c r="BO16" s="17" t="str">
        <f>IFERROR(VLOOKUP(B16,'Statement of Marks'!$B$8:'Statement of Marks'!$HI$207,83,0),"")</f>
        <v>B</v>
      </c>
      <c r="BP16" s="17" t="str">
        <f>IFERROR(VLOOKUP(B16,'Statement of Marks'!$B$8:'Statement of Marks'!$HI$207,107,0),"")</f>
        <v/>
      </c>
    </row>
    <row r="17" spans="1:68">
      <c r="A17" s="806">
        <f>IF('Statement of Marks'!A16="","",'Statement of Marks'!A16)</f>
        <v>9</v>
      </c>
      <c r="B17" s="807">
        <f>IF(OR($E$3="",$P$3=""),"",IF('Statement of Marks'!B16="","",'Statement of Marks'!B16))</f>
        <v>1109</v>
      </c>
      <c r="C17" s="816" t="str">
        <f>IF(OR($E$3="",$P$3=""),"",IF('Marks Entry'!C16="","",'Marks Entry'!C16))</f>
        <v>A</v>
      </c>
      <c r="D17" s="808">
        <f>IF(OR($E$3="",$P$3=""),"",IF('Statement of Marks'!C16="","",'Statement of Marks'!C16))</f>
        <v>345</v>
      </c>
      <c r="E17" s="809">
        <f>IF(OR($E$3="",$P$3=""),"",IF('Statement of Marks'!D16="","",'Statement of Marks'!D16))</f>
        <v>40795</v>
      </c>
      <c r="F17" s="810" t="str">
        <f>IF(OR($E$3="",$P$3=""),"",IF('Statement of Marks'!E16="","",'Statement of Marks'!E16))</f>
        <v>P</v>
      </c>
      <c r="G17" s="810" t="str">
        <f>IF(OR($E$3="",$P$3=""),"",IF('Statement of Marks'!F16="","",'Statement of Marks'!F16))</f>
        <v>P</v>
      </c>
      <c r="H17" s="810" t="str">
        <f>IF(OR($E$3="",$P$3=""),"",IF('Statement of Marks'!G16="","",'Statement of Marks'!G16))</f>
        <v>N</v>
      </c>
      <c r="I17" s="811" t="str">
        <f>IF(OR($E$3="",$P$3=""),"",IF('Statement of Marks'!H16="","",'Statement of Marks'!H16))</f>
        <v>SC</v>
      </c>
      <c r="J17" s="811" t="str">
        <f>IF(OR($E$3="",$P$3=""),"",IF('Statement of Marks'!I16="","",'Statement of Marks'!I16))</f>
        <v>F</v>
      </c>
      <c r="K17" s="811" t="str">
        <f>IFERROR(IF(B17="","",IF($P$3=$AT$10,IF(AND(BM17="A"),'Marks Entry'!$U$2,IF(AND(BM17="B"),'Marks Entry'!$Y$2,IF(AND(BM17="C"),'Marks Entry'!$AA$2,""))),IF($P$3=$AT$11,IF(AND(BN17="A"),'Marks Entry'!$AC$2,IF(AND(BN17="B"),'Marks Entry'!$AG$2,IF(AND(BN17="C"),'Marks Entry'!$AI$2,""))),IF($P$3=$AT$12,IF(AND(BO17="A"),'Marks Entry'!$AK$2,IF(AND(BO17="B"),'Marks Entry'!$AO$2,IF(AND(BO17="C"),'Marks Entry'!$AQ$2,""))),IF($P$3=$AT$13,IF(AND(BP17="A"),'Marks Entry'!$AS$2,IF(AND(BP17="B"),'Marks Entry'!$AW$2,IF(AND(BP17="C"),'Marks Entry'!$AY$2,""))),"-"))))),"")</f>
        <v>POLITICAL SCIENCE</v>
      </c>
      <c r="L17" s="812">
        <f>IFERROR(IF(B17="","",IF($P$3=$AT$8,'Statement of Marks'!J16,IF($P$3=$AT$9,'Statement of Marks'!X16,IF($P$3=$AT$10,'Statement of Marks'!AM16,IF($P$3=$AT$11,'Statement of Marks'!BJ16,IF($P$3=$AT$12,'Statement of Marks'!CG16,IF($P$3=$AT$13,'Statement of Marks'!DE16,IF($P$3=$AT$14,"",IF($P$3=$AT$15,'Statement of Marks'!EY16,""))))))))),"")</f>
        <v>7</v>
      </c>
      <c r="M17" s="812">
        <f>IFERROR(IF(B17="","",IF($P$3=$AT$8,'Statement of Marks'!K16,IF($P$3=$AT$9,'Statement of Marks'!Y16,IF($P$3=$AT$10,'Statement of Marks'!AN16,IF($P$3=$AT$11,'Statement of Marks'!BK16,IF($P$3=$AT$12,'Statement of Marks'!CH16,IF($P$3=$AT$13,'Statement of Marks'!DF16,IF($P$3=$AT$14,"",IF($P$3=$AT$15,'Statement of Marks'!EZ16,""))))))))),"")</f>
        <v>9</v>
      </c>
      <c r="N17" s="812">
        <f>IFERROR(IF(B17="","",IF($P$3=$AT$8,'Statement of Marks'!L16,IF($P$3=$AT$9,'Statement of Marks'!Z16,IF($P$3=$AT$10,'Statement of Marks'!AO16,IF($P$3=$AT$11,'Statement of Marks'!BL16,IF($P$3=$AT$12,'Statement of Marks'!CI16,IF($P$3=$AT$13,'Statement of Marks'!DG16,IF($P$3=$AT$14,"",IF($P$3=$AT$15,'Statement of Marks'!FA16,""))))))))),"")</f>
        <v>7</v>
      </c>
      <c r="O17" s="813">
        <f t="shared" si="4"/>
        <v>23</v>
      </c>
      <c r="P17" s="812">
        <f>IFERROR(IF(B17="","",IF($P$3=$AT$8,'Statement of Marks'!N16,IF($P$3=$AT$9,'Statement of Marks'!AB16,IF($P$3=$AT$10,'Statement of Marks'!AQ16,IF($P$3=$AT$11,'Statement of Marks'!BN16,IF($P$3=$AT$12,'Statement of Marks'!CK16,IF($P$3=$AT$13,'Statement of Marks'!DI16,IF($P$3=$AT$14,"",IF($P$3=$AT$15,'Statement of Marks'!FC16,""))))))))),"")</f>
        <v>10</v>
      </c>
      <c r="Q17" s="812" t="str">
        <f>IFERROR(IF(B17="","",IF($P$3=$AT$8,"",IF($P$3=$AT$9,"",IF($P$3=$AT$10,'Statement of Marks'!AR16,IF($P$3=$AT$11,'Statement of Marks'!BO16,IF($P$3=$AT$12,'Statement of Marks'!CL16,IF($P$3=$AT$13,'Statement of Marks'!DJ16,IF($P$3=$AT$14,"",IF($P$3=$AT$15,"",""))))))))),"")</f>
        <v/>
      </c>
      <c r="R17" s="824">
        <f>IFERROR(IF(B17="","",IF(AND(P17="",Q17="",$P$3=""),"",IF($P$3=$AT$14,'Statement of Marks'!EC16,SUM(P17,Q17)))),"")</f>
        <v>10</v>
      </c>
      <c r="S17" s="823">
        <f>IFERROR(IF(B17="","",IF($P$3=$AT$14,'Statement of Marks'!ED16,IF(AND(O17="NA",P17="NA",Q17="NA"),"NA",IF(AND(O17="",P17="",Q17=""),"",SUM(O17,P17,Q17))))),"")</f>
        <v>33</v>
      </c>
      <c r="T17" s="812">
        <f>IFERROR(IF(B17="","",IF($P$3=$AT$8,'Statement of Marks'!P16,IF($P$3=$AT$9,'Statement of Marks'!AD16,IF($P$3=$AT$10,'Statement of Marks'!AU16,IF($P$3=$AT$11,'Statement of Marks'!BR16,IF($P$3=$AT$12,'Statement of Marks'!CO16,IF($P$3=$AT$13,'Statement of Marks'!DM16,IF($P$3=$AT$14,"",IF($P$3=$AT$15,'Statement of Marks'!FD16,""))))))))),"")</f>
        <v>10</v>
      </c>
      <c r="U17" s="812" t="str">
        <f>IFERROR(IF(B17="","",IF($P$3=$AT$8,"",IF($P$3=$AT$9,"",IF($P$3=$AT$10,'Statement of Marks'!AV16,IF($P$3=$AT$11,'Statement of Marks'!BS16,IF($P$3=$AT$12,'Statement of Marks'!CP16,IF($P$3=$AT$13,'Statement of Marks'!DN16,IF($P$3=$AT$14,"",IF($P$3=$AT$15,"",""))))))))),"")</f>
        <v/>
      </c>
      <c r="V17" s="824">
        <f>IFERROR(IF(B17="","",IF(AND(T17="",U17="",$P$3=""),"",IF($P$3=$AT$14,'Statement of Marks'!EE16,SUM(T17,U17)))),"")</f>
        <v>10</v>
      </c>
      <c r="W17" s="814">
        <f t="shared" si="5"/>
        <v>43</v>
      </c>
      <c r="X17" s="815">
        <f t="shared" si="6"/>
        <v>0</v>
      </c>
      <c r="Y17" s="815">
        <f t="shared" si="7"/>
        <v>0</v>
      </c>
      <c r="Z17" s="815">
        <f t="shared" si="8"/>
        <v>43</v>
      </c>
      <c r="AA17" s="815">
        <f t="shared" si="9"/>
        <v>100</v>
      </c>
      <c r="AB17" s="815" t="str">
        <f t="shared" si="10"/>
        <v/>
      </c>
      <c r="AC17" s="815">
        <f t="shared" si="11"/>
        <v>200</v>
      </c>
      <c r="AD17" s="815" t="str">
        <f t="shared" si="12"/>
        <v/>
      </c>
      <c r="AE17" s="816" t="str">
        <f t="shared" si="13"/>
        <v>F</v>
      </c>
      <c r="AF17" s="817" t="str">
        <f t="shared" si="14"/>
        <v/>
      </c>
      <c r="AG17" s="818" t="str">
        <f t="shared" si="15"/>
        <v>Fail</v>
      </c>
      <c r="AW17" s="17" t="str">
        <f t="shared" si="16"/>
        <v>F</v>
      </c>
      <c r="AX17" s="17" t="str">
        <f t="shared" si="17"/>
        <v/>
      </c>
      <c r="BM17" s="17" t="str">
        <f>IFERROR(VLOOKUP(B17,'Statement of Marks'!$B$8:'Statement of Marks'!$HI$207,37,0),"")</f>
        <v>A</v>
      </c>
      <c r="BN17" s="17" t="str">
        <f>IFERROR(VLOOKUP(B17,'Statement of Marks'!$B$8:'Statement of Marks'!$HI$207,60,0),"")</f>
        <v>A</v>
      </c>
      <c r="BO17" s="17" t="str">
        <f>IFERROR(VLOOKUP(B17,'Statement of Marks'!$B$8:'Statement of Marks'!$HI$207,83,0),"")</f>
        <v>B</v>
      </c>
      <c r="BP17" s="17" t="str">
        <f>IFERROR(VLOOKUP(B17,'Statement of Marks'!$B$8:'Statement of Marks'!$HI$207,107,0),"")</f>
        <v/>
      </c>
    </row>
    <row r="18" spans="1:68">
      <c r="A18" s="806">
        <f>IF('Statement of Marks'!A17="","",'Statement of Marks'!A17)</f>
        <v>10</v>
      </c>
      <c r="B18" s="807">
        <f>IF(OR($E$3="",$P$3=""),"",IF('Statement of Marks'!B17="","",'Statement of Marks'!B17))</f>
        <v>1110</v>
      </c>
      <c r="C18" s="816" t="str">
        <f>IF(OR($E$3="",$P$3=""),"",IF('Marks Entry'!C17="","",'Marks Entry'!C17))</f>
        <v>A</v>
      </c>
      <c r="D18" s="808">
        <f>IF(OR($E$3="",$P$3=""),"",IF('Statement of Marks'!C17="","",'Statement of Marks'!C17))</f>
        <v>678</v>
      </c>
      <c r="E18" s="809">
        <f>IF(OR($E$3="",$P$3=""),"",IF('Statement of Marks'!D17="","",'Statement of Marks'!D17))</f>
        <v>38841</v>
      </c>
      <c r="F18" s="810" t="str">
        <f>IF(OR($E$3="",$P$3=""),"",IF('Statement of Marks'!E17="","",'Statement of Marks'!E17))</f>
        <v>S</v>
      </c>
      <c r="G18" s="810" t="str">
        <f>IF(OR($E$3="",$P$3=""),"",IF('Statement of Marks'!F17="","",'Statement of Marks'!F17))</f>
        <v>M</v>
      </c>
      <c r="H18" s="810" t="str">
        <f>IF(OR($E$3="",$P$3=""),"",IF('Statement of Marks'!G17="","",'Statement of Marks'!G17))</f>
        <v>B</v>
      </c>
      <c r="I18" s="811" t="str">
        <f>IF(OR($E$3="",$P$3=""),"",IF('Statement of Marks'!H17="","",'Statement of Marks'!H17))</f>
        <v>MIN</v>
      </c>
      <c r="J18" s="811" t="str">
        <f>IF(OR($E$3="",$P$3=""),"",IF('Statement of Marks'!I17="","",'Statement of Marks'!I17))</f>
        <v>M</v>
      </c>
      <c r="K18" s="811" t="str">
        <f>IFERROR(IF(B18="","",IF($P$3=$AT$10,IF(AND(BM18="A"),'Marks Entry'!$U$2,IF(AND(BM18="B"),'Marks Entry'!$Y$2,IF(AND(BM18="C"),'Marks Entry'!$AA$2,""))),IF($P$3=$AT$11,IF(AND(BN18="A"),'Marks Entry'!$AC$2,IF(AND(BN18="B"),'Marks Entry'!$AG$2,IF(AND(BN18="C"),'Marks Entry'!$AI$2,""))),IF($P$3=$AT$12,IF(AND(BO18="A"),'Marks Entry'!$AK$2,IF(AND(BO18="B"),'Marks Entry'!$AO$2,IF(AND(BO18="C"),'Marks Entry'!$AQ$2,""))),IF($P$3=$AT$13,IF(AND(BP18="A"),'Marks Entry'!$AS$2,IF(AND(BP18="B"),'Marks Entry'!$AW$2,IF(AND(BP18="C"),'Marks Entry'!$AY$2,""))),"-"))))),"")</f>
        <v>POLITICAL SCIENCE</v>
      </c>
      <c r="L18" s="812" t="str">
        <f>IFERROR(IF(B18="","",IF($P$3=$AT$8,'Statement of Marks'!J17,IF($P$3=$AT$9,'Statement of Marks'!X17,IF($P$3=$AT$10,'Statement of Marks'!AM17,IF($P$3=$AT$11,'Statement of Marks'!BJ17,IF($P$3=$AT$12,'Statement of Marks'!CG17,IF($P$3=$AT$13,'Statement of Marks'!DE17,IF($P$3=$AT$14,"",IF($P$3=$AT$15,'Statement of Marks'!EY17,""))))))))),"")</f>
        <v>na</v>
      </c>
      <c r="M18" s="812">
        <f>IFERROR(IF(B18="","",IF($P$3=$AT$8,'Statement of Marks'!K17,IF($P$3=$AT$9,'Statement of Marks'!Y17,IF($P$3=$AT$10,'Statement of Marks'!AN17,IF($P$3=$AT$11,'Statement of Marks'!BK17,IF($P$3=$AT$12,'Statement of Marks'!CH17,IF($P$3=$AT$13,'Statement of Marks'!DF17,IF($P$3=$AT$14,"",IF($P$3=$AT$15,'Statement of Marks'!EZ17,""))))))))),"")</f>
        <v>7</v>
      </c>
      <c r="N18" s="812">
        <f>IFERROR(IF(B18="","",IF($P$3=$AT$8,'Statement of Marks'!L17,IF($P$3=$AT$9,'Statement of Marks'!Z17,IF($P$3=$AT$10,'Statement of Marks'!AO17,IF($P$3=$AT$11,'Statement of Marks'!BL17,IF($P$3=$AT$12,'Statement of Marks'!CI17,IF($P$3=$AT$13,'Statement of Marks'!DG17,IF($P$3=$AT$14,"",IF($P$3=$AT$15,'Statement of Marks'!FA17,""))))))))),"")</f>
        <v>7</v>
      </c>
      <c r="O18" s="813">
        <f t="shared" si="4"/>
        <v>14</v>
      </c>
      <c r="P18" s="812">
        <f>IFERROR(IF(B18="","",IF($P$3=$AT$8,'Statement of Marks'!N17,IF($P$3=$AT$9,'Statement of Marks'!AB17,IF($P$3=$AT$10,'Statement of Marks'!AQ17,IF($P$3=$AT$11,'Statement of Marks'!BN17,IF($P$3=$AT$12,'Statement of Marks'!CK17,IF($P$3=$AT$13,'Statement of Marks'!DI17,IF($P$3=$AT$14,"",IF($P$3=$AT$15,'Statement of Marks'!FC17,""))))))))),"")</f>
        <v>15</v>
      </c>
      <c r="Q18" s="812" t="str">
        <f>IFERROR(IF(B18="","",IF($P$3=$AT$8,"",IF($P$3=$AT$9,"",IF($P$3=$AT$10,'Statement of Marks'!AR17,IF($P$3=$AT$11,'Statement of Marks'!BO17,IF($P$3=$AT$12,'Statement of Marks'!CL17,IF($P$3=$AT$13,'Statement of Marks'!DJ17,IF($P$3=$AT$14,"",IF($P$3=$AT$15,"",""))))))))),"")</f>
        <v/>
      </c>
      <c r="R18" s="824">
        <f>IFERROR(IF(B18="","",IF(AND(P18="",Q18="",$P$3=""),"",IF($P$3=$AT$14,'Statement of Marks'!EC17,SUM(P18,Q18)))),"")</f>
        <v>15</v>
      </c>
      <c r="S18" s="823">
        <f>IFERROR(IF(B18="","",IF($P$3=$AT$14,'Statement of Marks'!ED17,IF(AND(O18="NA",P18="NA",Q18="NA"),"NA",IF(AND(O18="",P18="",Q18=""),"",SUM(O18,P18,Q18))))),"")</f>
        <v>29</v>
      </c>
      <c r="T18" s="812">
        <f>IFERROR(IF(B18="","",IF($P$3=$AT$8,'Statement of Marks'!P17,IF($P$3=$AT$9,'Statement of Marks'!AD17,IF($P$3=$AT$10,'Statement of Marks'!AU17,IF($P$3=$AT$11,'Statement of Marks'!BR17,IF($P$3=$AT$12,'Statement of Marks'!CO17,IF($P$3=$AT$13,'Statement of Marks'!DM17,IF($P$3=$AT$14,"",IF($P$3=$AT$15,'Statement of Marks'!FD17,""))))))))),"")</f>
        <v>36</v>
      </c>
      <c r="U18" s="812" t="str">
        <f>IFERROR(IF(B18="","",IF($P$3=$AT$8,"",IF($P$3=$AT$9,"",IF($P$3=$AT$10,'Statement of Marks'!AV17,IF($P$3=$AT$11,'Statement of Marks'!BS17,IF($P$3=$AT$12,'Statement of Marks'!CP17,IF($P$3=$AT$13,'Statement of Marks'!DN17,IF($P$3=$AT$14,"",IF($P$3=$AT$15,"",""))))))))),"")</f>
        <v/>
      </c>
      <c r="V18" s="824">
        <f>IFERROR(IF(B18="","",IF(AND(T18="",U18="",$P$3=""),"",IF($P$3=$AT$14,'Statement of Marks'!EE17,SUM(T18,U18)))),"")</f>
        <v>36</v>
      </c>
      <c r="W18" s="814">
        <f t="shared" si="5"/>
        <v>65</v>
      </c>
      <c r="X18" s="815">
        <f t="shared" si="6"/>
        <v>10</v>
      </c>
      <c r="Y18" s="815">
        <f t="shared" si="7"/>
        <v>0</v>
      </c>
      <c r="Z18" s="815">
        <f t="shared" si="8"/>
        <v>65</v>
      </c>
      <c r="AA18" s="815">
        <f t="shared" si="9"/>
        <v>100</v>
      </c>
      <c r="AB18" s="815" t="str">
        <f t="shared" si="10"/>
        <v/>
      </c>
      <c r="AC18" s="815">
        <f t="shared" si="11"/>
        <v>190</v>
      </c>
      <c r="AD18" s="815" t="str">
        <f t="shared" si="12"/>
        <v/>
      </c>
      <c r="AE18" s="816" t="str">
        <f t="shared" si="13"/>
        <v>G</v>
      </c>
      <c r="AF18" s="817" t="str">
        <f t="shared" si="14"/>
        <v>G</v>
      </c>
      <c r="AG18" s="818" t="str">
        <f t="shared" si="15"/>
        <v>By Grace</v>
      </c>
      <c r="AW18" s="17" t="str">
        <f t="shared" si="16"/>
        <v>G</v>
      </c>
      <c r="AX18" s="17" t="str">
        <f t="shared" si="17"/>
        <v/>
      </c>
      <c r="BM18" s="17" t="str">
        <f>IFERROR(VLOOKUP(B18,'Statement of Marks'!$B$8:'Statement of Marks'!$HI$207,37,0),"")</f>
        <v>A</v>
      </c>
      <c r="BN18" s="17" t="str">
        <f>IFERROR(VLOOKUP(B18,'Statement of Marks'!$B$8:'Statement of Marks'!$HI$207,60,0),"")</f>
        <v>A</v>
      </c>
      <c r="BO18" s="17" t="str">
        <f>IFERROR(VLOOKUP(B18,'Statement of Marks'!$B$8:'Statement of Marks'!$HI$207,83,0),"")</f>
        <v>C</v>
      </c>
      <c r="BP18" s="17" t="str">
        <f>IFERROR(VLOOKUP(B18,'Statement of Marks'!$B$8:'Statement of Marks'!$HI$207,107,0),"")</f>
        <v/>
      </c>
    </row>
    <row r="19" spans="1:68">
      <c r="A19" s="806">
        <f>IF('Statement of Marks'!A18="","",'Statement of Marks'!A18)</f>
        <v>11</v>
      </c>
      <c r="B19" s="807">
        <f>IF(OR($E$3="",$P$3=""),"",IF('Statement of Marks'!B18="","",'Statement of Marks'!B18))</f>
        <v>1111</v>
      </c>
      <c r="C19" s="816" t="str">
        <f>IF(OR($E$3="",$P$3=""),"",IF('Marks Entry'!C18="","",'Marks Entry'!C18))</f>
        <v>A</v>
      </c>
      <c r="D19" s="808">
        <f>IF(OR($E$3="",$P$3=""),"",IF('Statement of Marks'!C18="","",'Statement of Marks'!C18))</f>
        <v>654</v>
      </c>
      <c r="E19" s="809">
        <f>IF(OR($E$3="",$P$3=""),"",IF('Statement of Marks'!D18="","",'Statement of Marks'!D18))</f>
        <v>39635</v>
      </c>
      <c r="F19" s="810" t="str">
        <f>IF(OR($E$3="",$P$3=""),"",IF('Statement of Marks'!E18="","",'Statement of Marks'!E18))</f>
        <v>M</v>
      </c>
      <c r="G19" s="810" t="str">
        <f>IF(OR($E$3="",$P$3=""),"",IF('Statement of Marks'!F18="","",'Statement of Marks'!F18))</f>
        <v>N</v>
      </c>
      <c r="H19" s="810" t="str">
        <f>IF(OR($E$3="",$P$3=""),"",IF('Statement of Marks'!G18="","",'Statement of Marks'!G18))</f>
        <v>A</v>
      </c>
      <c r="I19" s="811" t="str">
        <f>IF(OR($E$3="",$P$3=""),"",IF('Statement of Marks'!H18="","",'Statement of Marks'!H18))</f>
        <v>SBC</v>
      </c>
      <c r="J19" s="811" t="str">
        <f>IF(OR($E$3="",$P$3=""),"",IF('Statement of Marks'!I18="","",'Statement of Marks'!I18))</f>
        <v>M</v>
      </c>
      <c r="K19" s="811" t="str">
        <f>IFERROR(IF(B19="","",IF($P$3=$AT$10,IF(AND(BM19="A"),'Marks Entry'!$U$2,IF(AND(BM19="B"),'Marks Entry'!$Y$2,IF(AND(BM19="C"),'Marks Entry'!$AA$2,""))),IF($P$3=$AT$11,IF(AND(BN19="A"),'Marks Entry'!$AC$2,IF(AND(BN19="B"),'Marks Entry'!$AG$2,IF(AND(BN19="C"),'Marks Entry'!$AI$2,""))),IF($P$3=$AT$12,IF(AND(BO19="A"),'Marks Entry'!$AK$2,IF(AND(BO19="B"),'Marks Entry'!$AO$2,IF(AND(BO19="C"),'Marks Entry'!$AQ$2,""))),IF($P$3=$AT$13,IF(AND(BP19="A"),'Marks Entry'!$AS$2,IF(AND(BP19="B"),'Marks Entry'!$AW$2,IF(AND(BP19="C"),'Marks Entry'!$AY$2,""))),"-"))))),"")</f>
        <v>POLITICAL SCIENCE</v>
      </c>
      <c r="L19" s="812" t="str">
        <f>IFERROR(IF(B19="","",IF($P$3=$AT$8,'Statement of Marks'!J18,IF($P$3=$AT$9,'Statement of Marks'!X18,IF($P$3=$AT$10,'Statement of Marks'!AM18,IF($P$3=$AT$11,'Statement of Marks'!BJ18,IF($P$3=$AT$12,'Statement of Marks'!CG18,IF($P$3=$AT$13,'Statement of Marks'!DE18,IF($P$3=$AT$14,"",IF($P$3=$AT$15,'Statement of Marks'!EY18,""))))))))),"")</f>
        <v>ab</v>
      </c>
      <c r="M19" s="812">
        <f>IFERROR(IF(B19="","",IF($P$3=$AT$8,'Statement of Marks'!K18,IF($P$3=$AT$9,'Statement of Marks'!Y18,IF($P$3=$AT$10,'Statement of Marks'!AN18,IF($P$3=$AT$11,'Statement of Marks'!BK18,IF($P$3=$AT$12,'Statement of Marks'!CH18,IF($P$3=$AT$13,'Statement of Marks'!DF18,IF($P$3=$AT$14,"",IF($P$3=$AT$15,'Statement of Marks'!EZ18,""))))))))),"")</f>
        <v>9</v>
      </c>
      <c r="N19" s="812">
        <f>IFERROR(IF(B19="","",IF($P$3=$AT$8,'Statement of Marks'!L18,IF($P$3=$AT$9,'Statement of Marks'!Z18,IF($P$3=$AT$10,'Statement of Marks'!AO18,IF($P$3=$AT$11,'Statement of Marks'!BL18,IF($P$3=$AT$12,'Statement of Marks'!CI18,IF($P$3=$AT$13,'Statement of Marks'!DG18,IF($P$3=$AT$14,"",IF($P$3=$AT$15,'Statement of Marks'!FA18,""))))))))),"")</f>
        <v>7</v>
      </c>
      <c r="O19" s="813">
        <f t="shared" si="4"/>
        <v>16</v>
      </c>
      <c r="P19" s="812">
        <f>IFERROR(IF(B19="","",IF($P$3=$AT$8,'Statement of Marks'!N18,IF($P$3=$AT$9,'Statement of Marks'!AB18,IF($P$3=$AT$10,'Statement of Marks'!AQ18,IF($P$3=$AT$11,'Statement of Marks'!BN18,IF($P$3=$AT$12,'Statement of Marks'!CK18,IF($P$3=$AT$13,'Statement of Marks'!DI18,IF($P$3=$AT$14,"",IF($P$3=$AT$15,'Statement of Marks'!FC18,""))))))))),"")</f>
        <v>35</v>
      </c>
      <c r="Q19" s="812" t="str">
        <f>IFERROR(IF(B19="","",IF($P$3=$AT$8,"",IF($P$3=$AT$9,"",IF($P$3=$AT$10,'Statement of Marks'!AR18,IF($P$3=$AT$11,'Statement of Marks'!BO18,IF($P$3=$AT$12,'Statement of Marks'!CL18,IF($P$3=$AT$13,'Statement of Marks'!DJ18,IF($P$3=$AT$14,"",IF($P$3=$AT$15,"",""))))))))),"")</f>
        <v/>
      </c>
      <c r="R19" s="824">
        <f>IFERROR(IF(B19="","",IF(AND(P19="",Q19="",$P$3=""),"",IF($P$3=$AT$14,'Statement of Marks'!EC18,SUM(P19,Q19)))),"")</f>
        <v>35</v>
      </c>
      <c r="S19" s="823">
        <f>IFERROR(IF(B19="","",IF($P$3=$AT$14,'Statement of Marks'!ED18,IF(AND(O19="NA",P19="NA",Q19="NA"),"NA",IF(AND(O19="",P19="",Q19=""),"",SUM(O19,P19,Q19))))),"")</f>
        <v>51</v>
      </c>
      <c r="T19" s="812">
        <f>IFERROR(IF(B19="","",IF($P$3=$AT$8,'Statement of Marks'!P18,IF($P$3=$AT$9,'Statement of Marks'!AD18,IF($P$3=$AT$10,'Statement of Marks'!AU18,IF($P$3=$AT$11,'Statement of Marks'!BR18,IF($P$3=$AT$12,'Statement of Marks'!CO18,IF($P$3=$AT$13,'Statement of Marks'!DM18,IF($P$3=$AT$14,"",IF($P$3=$AT$15,'Statement of Marks'!FD18,""))))))))),"")</f>
        <v>38</v>
      </c>
      <c r="U19" s="812" t="str">
        <f>IFERROR(IF(B19="","",IF($P$3=$AT$8,"",IF($P$3=$AT$9,"",IF($P$3=$AT$10,'Statement of Marks'!AV18,IF($P$3=$AT$11,'Statement of Marks'!BS18,IF($P$3=$AT$12,'Statement of Marks'!CP18,IF($P$3=$AT$13,'Statement of Marks'!DN18,IF($P$3=$AT$14,"",IF($P$3=$AT$15,"",""))))))))),"")</f>
        <v/>
      </c>
      <c r="V19" s="824">
        <f>IFERROR(IF(B19="","",IF(AND(T19="",U19="",$P$3=""),"",IF($P$3=$AT$14,'Statement of Marks'!EE18,SUM(T19,U19)))),"")</f>
        <v>38</v>
      </c>
      <c r="W19" s="814">
        <f t="shared" si="5"/>
        <v>89</v>
      </c>
      <c r="X19" s="815">
        <f t="shared" si="6"/>
        <v>0</v>
      </c>
      <c r="Y19" s="815">
        <f t="shared" si="7"/>
        <v>0</v>
      </c>
      <c r="Z19" s="815">
        <f t="shared" si="8"/>
        <v>89</v>
      </c>
      <c r="AA19" s="815">
        <f t="shared" si="9"/>
        <v>100</v>
      </c>
      <c r="AB19" s="815" t="str">
        <f t="shared" si="10"/>
        <v/>
      </c>
      <c r="AC19" s="815">
        <f t="shared" si="11"/>
        <v>200</v>
      </c>
      <c r="AD19" s="815" t="str">
        <f t="shared" si="12"/>
        <v/>
      </c>
      <c r="AE19" s="816" t="str">
        <f t="shared" si="13"/>
        <v>P</v>
      </c>
      <c r="AF19" s="817" t="str">
        <f t="shared" si="14"/>
        <v>III</v>
      </c>
      <c r="AG19" s="818" t="str">
        <f t="shared" si="15"/>
        <v/>
      </c>
      <c r="AT19" s="17" t="str">
        <f>IF(OR(T9="AB",U9="AB",AD9="AB"),"AB",IF(OR(T9="ML",V9="ML"),"RE",IF(U9="MLP","REP",IF(U9&lt;33%*$U$7,"FP",IF(Q9&lt;33%*$Q$7,"FP",IF(AND(Z9&gt;=36%*AC9,SUM(T9)&gt;=20%*AA9,Y9&gt;=SUM(AB9)*36%),"P",IF(AND(Z9&gt;=34%*AC9,SUM(T9)&gt;=20%*AA9,Y9&gt;=SUM(AB9)*36%),"G",IF(AND(Z9&gt;=31%*AC9,SUM(T9)&gt;=20%*AA9,Y9&gt;=SUM(AB9)*36%),"G",IF(AND(Z9&gt;=25%*AC9,SUM(T9)&gt;=20%*AA9),"S","F")))))))))</f>
        <v>P</v>
      </c>
      <c r="AW19" s="17" t="str">
        <f t="shared" si="16"/>
        <v>P</v>
      </c>
      <c r="AX19" s="17" t="str">
        <f t="shared" si="17"/>
        <v>P</v>
      </c>
      <c r="BM19" s="17" t="str">
        <f>IFERROR(VLOOKUP(B19,'Statement of Marks'!$B$8:'Statement of Marks'!$HI$207,37,0),"")</f>
        <v>A</v>
      </c>
      <c r="BN19" s="17" t="str">
        <f>IFERROR(VLOOKUP(B19,'Statement of Marks'!$B$8:'Statement of Marks'!$HI$207,60,0),"")</f>
        <v>A</v>
      </c>
      <c r="BO19" s="17" t="str">
        <f>IFERROR(VLOOKUP(B19,'Statement of Marks'!$B$8:'Statement of Marks'!$HI$207,83,0),"")</f>
        <v>A</v>
      </c>
      <c r="BP19" s="17" t="str">
        <f>IFERROR(VLOOKUP(B19,'Statement of Marks'!$B$8:'Statement of Marks'!$HI$207,107,0),"")</f>
        <v/>
      </c>
    </row>
    <row r="20" spans="1:68">
      <c r="A20" s="806">
        <f>IF('Statement of Marks'!A19="","",'Statement of Marks'!A19)</f>
        <v>12</v>
      </c>
      <c r="B20" s="807" t="str">
        <f>IF(OR($E$3="",$P$3=""),"",IF('Statement of Marks'!B19="","",'Statement of Marks'!B19))</f>
        <v/>
      </c>
      <c r="C20" s="816" t="str">
        <f>IF(OR($E$3="",$P$3=""),"",IF('Marks Entry'!C19="","",'Marks Entry'!C19))</f>
        <v/>
      </c>
      <c r="D20" s="808" t="str">
        <f>IF(OR($E$3="",$P$3=""),"",IF('Statement of Marks'!C19="","",'Statement of Marks'!C19))</f>
        <v/>
      </c>
      <c r="E20" s="809" t="str">
        <f>IF(OR($E$3="",$P$3=""),"",IF('Statement of Marks'!D19="","",'Statement of Marks'!D19))</f>
        <v/>
      </c>
      <c r="F20" s="810" t="str">
        <f>IF(OR($E$3="",$P$3=""),"",IF('Statement of Marks'!E19="","",'Statement of Marks'!E19))</f>
        <v/>
      </c>
      <c r="G20" s="810" t="str">
        <f>IF(OR($E$3="",$P$3=""),"",IF('Statement of Marks'!F19="","",'Statement of Marks'!F19))</f>
        <v/>
      </c>
      <c r="H20" s="810" t="str">
        <f>IF(OR($E$3="",$P$3=""),"",IF('Statement of Marks'!G19="","",'Statement of Marks'!G19))</f>
        <v/>
      </c>
      <c r="I20" s="811" t="str">
        <f>IF(OR($E$3="",$P$3=""),"",IF('Statement of Marks'!H19="","",'Statement of Marks'!H19))</f>
        <v/>
      </c>
      <c r="J20" s="811" t="str">
        <f>IF(OR($E$3="",$P$3=""),"",IF('Statement of Marks'!I19="","",'Statement of Marks'!I19))</f>
        <v/>
      </c>
      <c r="K20" s="811" t="str">
        <f>IFERROR(IF(B20="","",IF($P$3=$AT$10,IF(AND(BM20="A"),'Marks Entry'!$U$2,IF(AND(BM20="B"),'Marks Entry'!$Y$2,IF(AND(BM20="C"),'Marks Entry'!$AA$2,""))),IF($P$3=$AT$11,IF(AND(BN20="A"),'Marks Entry'!$AC$2,IF(AND(BN20="B"),'Marks Entry'!$AG$2,IF(AND(BN20="C"),'Marks Entry'!$AI$2,""))),IF($P$3=$AT$12,IF(AND(BO20="A"),'Marks Entry'!$AK$2,IF(AND(BO20="B"),'Marks Entry'!$AO$2,IF(AND(BO20="C"),'Marks Entry'!$AQ$2,""))),IF($P$3=$AT$13,IF(AND(BP20="A"),'Marks Entry'!$AS$2,IF(AND(BP20="B"),'Marks Entry'!$AW$2,IF(AND(BP20="C"),'Marks Entry'!$AY$2,""))),"-"))))),"")</f>
        <v/>
      </c>
      <c r="L20" s="812" t="str">
        <f>IFERROR(IF(B20="","",IF($P$3=$AT$8,'Statement of Marks'!J19,IF($P$3=$AT$9,'Statement of Marks'!X19,IF($P$3=$AT$10,'Statement of Marks'!AM19,IF($P$3=$AT$11,'Statement of Marks'!BJ19,IF($P$3=$AT$12,'Statement of Marks'!CG19,IF($P$3=$AT$13,'Statement of Marks'!DE19,IF($P$3=$AT$14,"",IF($P$3=$AT$15,'Statement of Marks'!EY19,""))))))))),"")</f>
        <v/>
      </c>
      <c r="M20" s="812" t="str">
        <f>IFERROR(IF(B20="","",IF($P$3=$AT$8,'Statement of Marks'!K19,IF($P$3=$AT$9,'Statement of Marks'!Y19,IF($P$3=$AT$10,'Statement of Marks'!AN19,IF($P$3=$AT$11,'Statement of Marks'!BK19,IF($P$3=$AT$12,'Statement of Marks'!CH19,IF($P$3=$AT$13,'Statement of Marks'!DF19,IF($P$3=$AT$14,"",IF($P$3=$AT$15,'Statement of Marks'!EZ19,""))))))))),"")</f>
        <v/>
      </c>
      <c r="N20" s="812" t="str">
        <f>IFERROR(IF(B20="","",IF($P$3=$AT$8,'Statement of Marks'!L19,IF($P$3=$AT$9,'Statement of Marks'!Z19,IF($P$3=$AT$10,'Statement of Marks'!AO19,IF($P$3=$AT$11,'Statement of Marks'!BL19,IF($P$3=$AT$12,'Statement of Marks'!CI19,IF($P$3=$AT$13,'Statement of Marks'!DG19,IF($P$3=$AT$14,"",IF($P$3=$AT$15,'Statement of Marks'!FA19,""))))))))),"")</f>
        <v/>
      </c>
      <c r="O20" s="813" t="str">
        <f t="shared" si="4"/>
        <v/>
      </c>
      <c r="P20" s="812" t="str">
        <f>IFERROR(IF(B20="","",IF($P$3=$AT$8,'Statement of Marks'!N19,IF($P$3=$AT$9,'Statement of Marks'!AB19,IF($P$3=$AT$10,'Statement of Marks'!AQ19,IF($P$3=$AT$11,'Statement of Marks'!BN19,IF($P$3=$AT$12,'Statement of Marks'!CK19,IF($P$3=$AT$13,'Statement of Marks'!DI19,IF($P$3=$AT$14,"",IF($P$3=$AT$15,'Statement of Marks'!FC19,""))))))))),"")</f>
        <v/>
      </c>
      <c r="Q20" s="812" t="str">
        <f>IFERROR(IF(B20="","",IF($P$3=$AT$8,"",IF($P$3=$AT$9,"",IF($P$3=$AT$10,'Statement of Marks'!AR19,IF($P$3=$AT$11,'Statement of Marks'!BO19,IF($P$3=$AT$12,'Statement of Marks'!CL19,IF($P$3=$AT$13,'Statement of Marks'!DJ19,IF($P$3=$AT$14,"",IF($P$3=$AT$15,"",""))))))))),"")</f>
        <v/>
      </c>
      <c r="R20" s="824" t="str">
        <f>IFERROR(IF(B20="","",IF(AND(P20="",Q20="",$P$3=""),"",IF($P$3=$AT$14,'Statement of Marks'!EC19,SUM(P20,Q20)))),"")</f>
        <v/>
      </c>
      <c r="S20" s="823" t="str">
        <f>IFERROR(IF(B20="","",IF($P$3=$AT$14,'Statement of Marks'!ED19,IF(AND(O20="NA",P20="NA",Q20="NA"),"NA",IF(AND(O20="",P20="",Q20=""),"",SUM(O20,P20,Q20))))),"")</f>
        <v/>
      </c>
      <c r="T20" s="812" t="str">
        <f>IFERROR(IF(B20="","",IF($P$3=$AT$8,'Statement of Marks'!P19,IF($P$3=$AT$9,'Statement of Marks'!AD19,IF($P$3=$AT$10,'Statement of Marks'!AU19,IF($P$3=$AT$11,'Statement of Marks'!BR19,IF($P$3=$AT$12,'Statement of Marks'!CO19,IF($P$3=$AT$13,'Statement of Marks'!DM19,IF($P$3=$AT$14,"",IF($P$3=$AT$15,'Statement of Marks'!FD19,""))))))))),"")</f>
        <v/>
      </c>
      <c r="U20" s="812" t="str">
        <f>IFERROR(IF(B20="","",IF($P$3=$AT$8,"",IF($P$3=$AT$9,"",IF($P$3=$AT$10,'Statement of Marks'!AV19,IF($P$3=$AT$11,'Statement of Marks'!BS19,IF($P$3=$AT$12,'Statement of Marks'!CP19,IF($P$3=$AT$13,'Statement of Marks'!DN19,IF($P$3=$AT$14,"",IF($P$3=$AT$15,"",""))))))))),"")</f>
        <v/>
      </c>
      <c r="V20" s="824" t="str">
        <f>IFERROR(IF(B20="","",IF(AND(T20="",U20="",$P$3=""),"",IF($P$3=$AT$14,'Statement of Marks'!EE19,SUM(T20,U20)))),"")</f>
        <v/>
      </c>
      <c r="W20" s="814" t="str">
        <f t="shared" si="5"/>
        <v/>
      </c>
      <c r="X20" s="815">
        <f t="shared" si="6"/>
        <v>0</v>
      </c>
      <c r="Y20" s="815">
        <f t="shared" si="7"/>
        <v>0</v>
      </c>
      <c r="Z20" s="815">
        <f t="shared" si="8"/>
        <v>0</v>
      </c>
      <c r="AA20" s="815" t="str">
        <f t="shared" si="9"/>
        <v/>
      </c>
      <c r="AB20" s="815" t="str">
        <f t="shared" si="10"/>
        <v/>
      </c>
      <c r="AC20" s="815" t="str">
        <f t="shared" si="11"/>
        <v/>
      </c>
      <c r="AD20" s="815" t="str">
        <f t="shared" si="12"/>
        <v/>
      </c>
      <c r="AE20" s="816" t="str">
        <f t="shared" si="13"/>
        <v/>
      </c>
      <c r="AF20" s="817" t="str">
        <f t="shared" si="14"/>
        <v/>
      </c>
      <c r="AG20" s="818" t="str">
        <f t="shared" si="15"/>
        <v/>
      </c>
      <c r="AT20" s="17" t="str">
        <f>IF(AND(W9&gt;=36%*AC9,SUM(V9)&gt;=20%*$V$7),"P",1)</f>
        <v>P</v>
      </c>
      <c r="AW20" s="17" t="str">
        <f t="shared" si="16"/>
        <v/>
      </c>
      <c r="AX20" s="17" t="str">
        <f t="shared" si="17"/>
        <v/>
      </c>
      <c r="BM20" s="17" t="str">
        <f>IFERROR(VLOOKUP(B20,'Statement of Marks'!$B$8:'Statement of Marks'!$HI$207,37,0),"")</f>
        <v>A</v>
      </c>
      <c r="BN20" s="17" t="str">
        <f>IFERROR(VLOOKUP(B20,'Statement of Marks'!$B$8:'Statement of Marks'!$HI$207,60,0),"")</f>
        <v>A</v>
      </c>
      <c r="BO20" s="17" t="str">
        <f>IFERROR(VLOOKUP(B20,'Statement of Marks'!$B$8:'Statement of Marks'!$HI$207,83,0),"")</f>
        <v>A</v>
      </c>
      <c r="BP20" s="17" t="str">
        <f>IFERROR(VLOOKUP(B20,'Statement of Marks'!$B$8:'Statement of Marks'!$HI$207,107,0),"")</f>
        <v/>
      </c>
    </row>
    <row r="21" spans="1:68">
      <c r="A21" s="806">
        <f>IF('Statement of Marks'!A20="","",'Statement of Marks'!A20)</f>
        <v>13</v>
      </c>
      <c r="B21" s="807" t="str">
        <f>IF(OR($E$3="",$P$3=""),"",IF('Statement of Marks'!B20="","",'Statement of Marks'!B20))</f>
        <v/>
      </c>
      <c r="C21" s="816" t="str">
        <f>IF(OR($E$3="",$P$3=""),"",IF('Marks Entry'!C20="","",'Marks Entry'!C20))</f>
        <v/>
      </c>
      <c r="D21" s="808" t="str">
        <f>IF(OR($E$3="",$P$3=""),"",IF('Statement of Marks'!C20="","",'Statement of Marks'!C20))</f>
        <v/>
      </c>
      <c r="E21" s="809" t="str">
        <f>IF(OR($E$3="",$P$3=""),"",IF('Statement of Marks'!D20="","",'Statement of Marks'!D20))</f>
        <v/>
      </c>
      <c r="F21" s="810" t="str">
        <f>IF(OR($E$3="",$P$3=""),"",IF('Statement of Marks'!E20="","",'Statement of Marks'!E20))</f>
        <v/>
      </c>
      <c r="G21" s="810" t="str">
        <f>IF(OR($E$3="",$P$3=""),"",IF('Statement of Marks'!F20="","",'Statement of Marks'!F20))</f>
        <v/>
      </c>
      <c r="H21" s="810" t="str">
        <f>IF(OR($E$3="",$P$3=""),"",IF('Statement of Marks'!G20="","",'Statement of Marks'!G20))</f>
        <v/>
      </c>
      <c r="I21" s="811" t="str">
        <f>IF(OR($E$3="",$P$3=""),"",IF('Statement of Marks'!H20="","",'Statement of Marks'!H20))</f>
        <v/>
      </c>
      <c r="J21" s="811" t="str">
        <f>IF(OR($E$3="",$P$3=""),"",IF('Statement of Marks'!I20="","",'Statement of Marks'!I20))</f>
        <v/>
      </c>
      <c r="K21" s="811" t="str">
        <f>IFERROR(IF(B21="","",IF($P$3=$AT$10,IF(AND(BM21="A"),'Marks Entry'!$U$2,IF(AND(BM21="B"),'Marks Entry'!$Y$2,IF(AND(BM21="C"),'Marks Entry'!$AA$2,""))),IF($P$3=$AT$11,IF(AND(BN21="A"),'Marks Entry'!$AC$2,IF(AND(BN21="B"),'Marks Entry'!$AG$2,IF(AND(BN21="C"),'Marks Entry'!$AI$2,""))),IF($P$3=$AT$12,IF(AND(BO21="A"),'Marks Entry'!$AK$2,IF(AND(BO21="B"),'Marks Entry'!$AO$2,IF(AND(BO21="C"),'Marks Entry'!$AQ$2,""))),IF($P$3=$AT$13,IF(AND(BP21="A"),'Marks Entry'!$AS$2,IF(AND(BP21="B"),'Marks Entry'!$AW$2,IF(AND(BP21="C"),'Marks Entry'!$AY$2,""))),"-"))))),"")</f>
        <v/>
      </c>
      <c r="L21" s="812" t="str">
        <f>IFERROR(IF(B21="","",IF($P$3=$AT$8,'Statement of Marks'!J20,IF($P$3=$AT$9,'Statement of Marks'!X20,IF($P$3=$AT$10,'Statement of Marks'!AM20,IF($P$3=$AT$11,'Statement of Marks'!BJ20,IF($P$3=$AT$12,'Statement of Marks'!CG20,IF($P$3=$AT$13,'Statement of Marks'!DE20,IF($P$3=$AT$14,"",IF($P$3=$AT$15,'Statement of Marks'!EY20,""))))))))),"")</f>
        <v/>
      </c>
      <c r="M21" s="812" t="str">
        <f>IFERROR(IF(B21="","",IF($P$3=$AT$8,'Statement of Marks'!K20,IF($P$3=$AT$9,'Statement of Marks'!Y20,IF($P$3=$AT$10,'Statement of Marks'!AN20,IF($P$3=$AT$11,'Statement of Marks'!BK20,IF($P$3=$AT$12,'Statement of Marks'!CH20,IF($P$3=$AT$13,'Statement of Marks'!DF20,IF($P$3=$AT$14,"",IF($P$3=$AT$15,'Statement of Marks'!EZ20,""))))))))),"")</f>
        <v/>
      </c>
      <c r="N21" s="812" t="str">
        <f>IFERROR(IF(B21="","",IF($P$3=$AT$8,'Statement of Marks'!L20,IF($P$3=$AT$9,'Statement of Marks'!Z20,IF($P$3=$AT$10,'Statement of Marks'!AO20,IF($P$3=$AT$11,'Statement of Marks'!BL20,IF($P$3=$AT$12,'Statement of Marks'!CI20,IF($P$3=$AT$13,'Statement of Marks'!DG20,IF($P$3=$AT$14,"",IF($P$3=$AT$15,'Statement of Marks'!FA20,""))))))))),"")</f>
        <v/>
      </c>
      <c r="O21" s="813" t="str">
        <f t="shared" si="4"/>
        <v/>
      </c>
      <c r="P21" s="812" t="str">
        <f>IFERROR(IF(B21="","",IF($P$3=$AT$8,'Statement of Marks'!N20,IF($P$3=$AT$9,'Statement of Marks'!AB20,IF($P$3=$AT$10,'Statement of Marks'!AQ20,IF($P$3=$AT$11,'Statement of Marks'!BN20,IF($P$3=$AT$12,'Statement of Marks'!CK20,IF($P$3=$AT$13,'Statement of Marks'!DI20,IF($P$3=$AT$14,"",IF($P$3=$AT$15,'Statement of Marks'!FC20,""))))))))),"")</f>
        <v/>
      </c>
      <c r="Q21" s="812" t="str">
        <f>IFERROR(IF(B21="","",IF($P$3=$AT$8,"",IF($P$3=$AT$9,"",IF($P$3=$AT$10,'Statement of Marks'!AR20,IF($P$3=$AT$11,'Statement of Marks'!BO20,IF($P$3=$AT$12,'Statement of Marks'!CL20,IF($P$3=$AT$13,'Statement of Marks'!DJ20,IF($P$3=$AT$14,"",IF($P$3=$AT$15,"",""))))))))),"")</f>
        <v/>
      </c>
      <c r="R21" s="824" t="str">
        <f>IFERROR(IF(B21="","",IF(AND(P21="",Q21="",$P$3=""),"",IF($P$3=$AT$14,'Statement of Marks'!EC20,SUM(P21,Q21)))),"")</f>
        <v/>
      </c>
      <c r="S21" s="823" t="str">
        <f>IFERROR(IF(B21="","",IF($P$3=$AT$14,'Statement of Marks'!ED20,IF(AND(O21="NA",P21="NA",Q21="NA"),"NA",IF(AND(O21="",P21="",Q21=""),"",SUM(O21,P21,Q21))))),"")</f>
        <v/>
      </c>
      <c r="T21" s="812" t="str">
        <f>IFERROR(IF(B21="","",IF($P$3=$AT$8,'Statement of Marks'!P20,IF($P$3=$AT$9,'Statement of Marks'!AD20,IF($P$3=$AT$10,'Statement of Marks'!AU20,IF($P$3=$AT$11,'Statement of Marks'!BR20,IF($P$3=$AT$12,'Statement of Marks'!CO20,IF($P$3=$AT$13,'Statement of Marks'!DM20,IF($P$3=$AT$14,"",IF($P$3=$AT$15,'Statement of Marks'!FD20,""))))))))),"")</f>
        <v/>
      </c>
      <c r="U21" s="812" t="str">
        <f>IFERROR(IF(B21="","",IF($P$3=$AT$8,"",IF($P$3=$AT$9,"",IF($P$3=$AT$10,'Statement of Marks'!AV20,IF($P$3=$AT$11,'Statement of Marks'!BS20,IF($P$3=$AT$12,'Statement of Marks'!CP20,IF($P$3=$AT$13,'Statement of Marks'!DN20,IF($P$3=$AT$14,"",IF($P$3=$AT$15,"",""))))))))),"")</f>
        <v/>
      </c>
      <c r="V21" s="824" t="str">
        <f>IFERROR(IF(B21="","",IF(AND(T21="",U21="",$P$3=""),"",IF($P$3=$AT$14,'Statement of Marks'!EE20,SUM(T21,U21)))),"")</f>
        <v/>
      </c>
      <c r="W21" s="814" t="str">
        <f t="shared" si="5"/>
        <v/>
      </c>
      <c r="X21" s="815">
        <f t="shared" si="6"/>
        <v>0</v>
      </c>
      <c r="Y21" s="815">
        <f t="shared" si="7"/>
        <v>0</v>
      </c>
      <c r="Z21" s="815">
        <f t="shared" si="8"/>
        <v>0</v>
      </c>
      <c r="AA21" s="815" t="str">
        <f t="shared" si="9"/>
        <v/>
      </c>
      <c r="AB21" s="815" t="str">
        <f t="shared" si="10"/>
        <v/>
      </c>
      <c r="AC21" s="815" t="str">
        <f t="shared" si="11"/>
        <v/>
      </c>
      <c r="AD21" s="815" t="str">
        <f t="shared" si="12"/>
        <v/>
      </c>
      <c r="AE21" s="816" t="str">
        <f t="shared" si="13"/>
        <v/>
      </c>
      <c r="AF21" s="817" t="str">
        <f t="shared" si="14"/>
        <v/>
      </c>
      <c r="AG21" s="818" t="str">
        <f t="shared" si="15"/>
        <v/>
      </c>
      <c r="AW21" s="17" t="str">
        <f t="shared" si="16"/>
        <v/>
      </c>
      <c r="AX21" s="17" t="str">
        <f t="shared" si="17"/>
        <v/>
      </c>
      <c r="BM21" s="17" t="str">
        <f>IFERROR(VLOOKUP(B21,'Statement of Marks'!$B$8:'Statement of Marks'!$HI$207,37,0),"")</f>
        <v>A</v>
      </c>
      <c r="BN21" s="17" t="str">
        <f>IFERROR(VLOOKUP(B21,'Statement of Marks'!$B$8:'Statement of Marks'!$HI$207,60,0),"")</f>
        <v>A</v>
      </c>
      <c r="BO21" s="17" t="str">
        <f>IFERROR(VLOOKUP(B21,'Statement of Marks'!$B$8:'Statement of Marks'!$HI$207,83,0),"")</f>
        <v>A</v>
      </c>
      <c r="BP21" s="17" t="str">
        <f>IFERROR(VLOOKUP(B21,'Statement of Marks'!$B$8:'Statement of Marks'!$HI$207,107,0),"")</f>
        <v/>
      </c>
    </row>
    <row r="22" spans="1:68">
      <c r="A22" s="806">
        <f>IF('Statement of Marks'!A21="","",'Statement of Marks'!A21)</f>
        <v>14</v>
      </c>
      <c r="B22" s="807" t="str">
        <f>IF(OR($E$3="",$P$3=""),"",IF('Statement of Marks'!B21="","",'Statement of Marks'!B21))</f>
        <v/>
      </c>
      <c r="C22" s="816" t="str">
        <f>IF(OR($E$3="",$P$3=""),"",IF('Marks Entry'!C21="","",'Marks Entry'!C21))</f>
        <v/>
      </c>
      <c r="D22" s="808" t="str">
        <f>IF(OR($E$3="",$P$3=""),"",IF('Statement of Marks'!C21="","",'Statement of Marks'!C21))</f>
        <v/>
      </c>
      <c r="E22" s="809" t="str">
        <f>IF(OR($E$3="",$P$3=""),"",IF('Statement of Marks'!D21="","",'Statement of Marks'!D21))</f>
        <v/>
      </c>
      <c r="F22" s="810" t="str">
        <f>IF(OR($E$3="",$P$3=""),"",IF('Statement of Marks'!E21="","",'Statement of Marks'!E21))</f>
        <v/>
      </c>
      <c r="G22" s="810" t="str">
        <f>IF(OR($E$3="",$P$3=""),"",IF('Statement of Marks'!F21="","",'Statement of Marks'!F21))</f>
        <v/>
      </c>
      <c r="H22" s="810" t="str">
        <f>IF(OR($E$3="",$P$3=""),"",IF('Statement of Marks'!G21="","",'Statement of Marks'!G21))</f>
        <v/>
      </c>
      <c r="I22" s="811" t="str">
        <f>IF(OR($E$3="",$P$3=""),"",IF('Statement of Marks'!H21="","",'Statement of Marks'!H21))</f>
        <v/>
      </c>
      <c r="J22" s="811" t="str">
        <f>IF(OR($E$3="",$P$3=""),"",IF('Statement of Marks'!I21="","",'Statement of Marks'!I21))</f>
        <v/>
      </c>
      <c r="K22" s="811" t="str">
        <f>IFERROR(IF(B22="","",IF($P$3=$AT$10,IF(AND(BM22="A"),'Marks Entry'!$U$2,IF(AND(BM22="B"),'Marks Entry'!$Y$2,IF(AND(BM22="C"),'Marks Entry'!$AA$2,""))),IF($P$3=$AT$11,IF(AND(BN22="A"),'Marks Entry'!$AC$2,IF(AND(BN22="B"),'Marks Entry'!$AG$2,IF(AND(BN22="C"),'Marks Entry'!$AI$2,""))),IF($P$3=$AT$12,IF(AND(BO22="A"),'Marks Entry'!$AK$2,IF(AND(BO22="B"),'Marks Entry'!$AO$2,IF(AND(BO22="C"),'Marks Entry'!$AQ$2,""))),IF($P$3=$AT$13,IF(AND(BP22="A"),'Marks Entry'!$AS$2,IF(AND(BP22="B"),'Marks Entry'!$AW$2,IF(AND(BP22="C"),'Marks Entry'!$AY$2,""))),"-"))))),"")</f>
        <v/>
      </c>
      <c r="L22" s="812" t="str">
        <f>IFERROR(IF(B22="","",IF($P$3=$AT$8,'Statement of Marks'!J21,IF($P$3=$AT$9,'Statement of Marks'!X21,IF($P$3=$AT$10,'Statement of Marks'!AM21,IF($P$3=$AT$11,'Statement of Marks'!BJ21,IF($P$3=$AT$12,'Statement of Marks'!CG21,IF($P$3=$AT$13,'Statement of Marks'!DE21,IF($P$3=$AT$14,"",IF($P$3=$AT$15,'Statement of Marks'!EY21,""))))))))),"")</f>
        <v/>
      </c>
      <c r="M22" s="812" t="str">
        <f>IFERROR(IF(B22="","",IF($P$3=$AT$8,'Statement of Marks'!K21,IF($P$3=$AT$9,'Statement of Marks'!Y21,IF($P$3=$AT$10,'Statement of Marks'!AN21,IF($P$3=$AT$11,'Statement of Marks'!BK21,IF($P$3=$AT$12,'Statement of Marks'!CH21,IF($P$3=$AT$13,'Statement of Marks'!DF21,IF($P$3=$AT$14,"",IF($P$3=$AT$15,'Statement of Marks'!EZ21,""))))))))),"")</f>
        <v/>
      </c>
      <c r="N22" s="812" t="str">
        <f>IFERROR(IF(B22="","",IF($P$3=$AT$8,'Statement of Marks'!L21,IF($P$3=$AT$9,'Statement of Marks'!Z21,IF($P$3=$AT$10,'Statement of Marks'!AO21,IF($P$3=$AT$11,'Statement of Marks'!BL21,IF($P$3=$AT$12,'Statement of Marks'!CI21,IF($P$3=$AT$13,'Statement of Marks'!DG21,IF($P$3=$AT$14,"",IF($P$3=$AT$15,'Statement of Marks'!FA21,""))))))))),"")</f>
        <v/>
      </c>
      <c r="O22" s="813" t="str">
        <f t="shared" si="4"/>
        <v/>
      </c>
      <c r="P22" s="812" t="str">
        <f>IFERROR(IF(B22="","",IF($P$3=$AT$8,'Statement of Marks'!N21,IF($P$3=$AT$9,'Statement of Marks'!AB21,IF($P$3=$AT$10,'Statement of Marks'!AQ21,IF($P$3=$AT$11,'Statement of Marks'!BN21,IF($P$3=$AT$12,'Statement of Marks'!CK21,IF($P$3=$AT$13,'Statement of Marks'!DI21,IF($P$3=$AT$14,"",IF($P$3=$AT$15,'Statement of Marks'!FC21,""))))))))),"")</f>
        <v/>
      </c>
      <c r="Q22" s="812" t="str">
        <f>IFERROR(IF(B22="","",IF($P$3=$AT$8,"",IF($P$3=$AT$9,"",IF($P$3=$AT$10,'Statement of Marks'!AR21,IF($P$3=$AT$11,'Statement of Marks'!BO21,IF($P$3=$AT$12,'Statement of Marks'!CL21,IF($P$3=$AT$13,'Statement of Marks'!DJ21,IF($P$3=$AT$14,"",IF($P$3=$AT$15,"",""))))))))),"")</f>
        <v/>
      </c>
      <c r="R22" s="824" t="str">
        <f>IFERROR(IF(B22="","",IF(AND(P22="",Q22="",$P$3=""),"",IF($P$3=$AT$14,'Statement of Marks'!EC21,SUM(P22,Q22)))),"")</f>
        <v/>
      </c>
      <c r="S22" s="823" t="str">
        <f>IFERROR(IF(B22="","",IF($P$3=$AT$14,'Statement of Marks'!ED21,IF(AND(O22="NA",P22="NA",Q22="NA"),"NA",IF(AND(O22="",P22="",Q22=""),"",SUM(O22,P22,Q22))))),"")</f>
        <v/>
      </c>
      <c r="T22" s="812" t="str">
        <f>IFERROR(IF(B22="","",IF($P$3=$AT$8,'Statement of Marks'!P21,IF($P$3=$AT$9,'Statement of Marks'!AD21,IF($P$3=$AT$10,'Statement of Marks'!AU21,IF($P$3=$AT$11,'Statement of Marks'!BR21,IF($P$3=$AT$12,'Statement of Marks'!CO21,IF($P$3=$AT$13,'Statement of Marks'!DM21,IF($P$3=$AT$14,"",IF($P$3=$AT$15,'Statement of Marks'!FD21,""))))))))),"")</f>
        <v/>
      </c>
      <c r="U22" s="812" t="str">
        <f>IFERROR(IF(B22="","",IF($P$3=$AT$8,"",IF($P$3=$AT$9,"",IF($P$3=$AT$10,'Statement of Marks'!AV21,IF($P$3=$AT$11,'Statement of Marks'!BS21,IF($P$3=$AT$12,'Statement of Marks'!CP21,IF($P$3=$AT$13,'Statement of Marks'!DN21,IF($P$3=$AT$14,"",IF($P$3=$AT$15,"",""))))))))),"")</f>
        <v/>
      </c>
      <c r="V22" s="824" t="str">
        <f>IFERROR(IF(B22="","",IF(AND(T22="",U22="",$P$3=""),"",IF($P$3=$AT$14,'Statement of Marks'!EE21,SUM(T22,U22)))),"")</f>
        <v/>
      </c>
      <c r="W22" s="814" t="str">
        <f t="shared" si="5"/>
        <v/>
      </c>
      <c r="X22" s="815">
        <f t="shared" si="6"/>
        <v>0</v>
      </c>
      <c r="Y22" s="815">
        <f t="shared" si="7"/>
        <v>0</v>
      </c>
      <c r="Z22" s="815">
        <f t="shared" si="8"/>
        <v>0</v>
      </c>
      <c r="AA22" s="815" t="str">
        <f t="shared" si="9"/>
        <v/>
      </c>
      <c r="AB22" s="815" t="str">
        <f t="shared" si="10"/>
        <v/>
      </c>
      <c r="AC22" s="815" t="str">
        <f t="shared" si="11"/>
        <v/>
      </c>
      <c r="AD22" s="815" t="str">
        <f t="shared" si="12"/>
        <v/>
      </c>
      <c r="AE22" s="816" t="str">
        <f t="shared" si="13"/>
        <v/>
      </c>
      <c r="AF22" s="817" t="str">
        <f t="shared" si="14"/>
        <v/>
      </c>
      <c r="AG22" s="818" t="str">
        <f t="shared" si="15"/>
        <v/>
      </c>
      <c r="AW22" s="17" t="str">
        <f t="shared" si="16"/>
        <v/>
      </c>
      <c r="AX22" s="17" t="str">
        <f t="shared" si="17"/>
        <v/>
      </c>
      <c r="BM22" s="17" t="str">
        <f>IFERROR(VLOOKUP(B22,'Statement of Marks'!$B$8:'Statement of Marks'!$HI$207,37,0),"")</f>
        <v>A</v>
      </c>
      <c r="BN22" s="17" t="str">
        <f>IFERROR(VLOOKUP(B22,'Statement of Marks'!$B$8:'Statement of Marks'!$HI$207,60,0),"")</f>
        <v>A</v>
      </c>
      <c r="BO22" s="17" t="str">
        <f>IFERROR(VLOOKUP(B22,'Statement of Marks'!$B$8:'Statement of Marks'!$HI$207,83,0),"")</f>
        <v>A</v>
      </c>
      <c r="BP22" s="17" t="str">
        <f>IFERROR(VLOOKUP(B22,'Statement of Marks'!$B$8:'Statement of Marks'!$HI$207,107,0),"")</f>
        <v/>
      </c>
    </row>
    <row r="23" spans="1:68">
      <c r="A23" s="806">
        <f>IF('Statement of Marks'!A22="","",'Statement of Marks'!A22)</f>
        <v>15</v>
      </c>
      <c r="B23" s="807" t="str">
        <f>IF(OR($E$3="",$P$3=""),"",IF('Statement of Marks'!B22="","",'Statement of Marks'!B22))</f>
        <v/>
      </c>
      <c r="C23" s="816" t="str">
        <f>IF(OR($E$3="",$P$3=""),"",IF('Marks Entry'!C22="","",'Marks Entry'!C22))</f>
        <v/>
      </c>
      <c r="D23" s="808" t="str">
        <f>IF(OR($E$3="",$P$3=""),"",IF('Statement of Marks'!C22="","",'Statement of Marks'!C22))</f>
        <v/>
      </c>
      <c r="E23" s="809" t="str">
        <f>IF(OR($E$3="",$P$3=""),"",IF('Statement of Marks'!D22="","",'Statement of Marks'!D22))</f>
        <v/>
      </c>
      <c r="F23" s="810" t="str">
        <f>IF(OR($E$3="",$P$3=""),"",IF('Statement of Marks'!E22="","",'Statement of Marks'!E22))</f>
        <v/>
      </c>
      <c r="G23" s="810" t="str">
        <f>IF(OR($E$3="",$P$3=""),"",IF('Statement of Marks'!F22="","",'Statement of Marks'!F22))</f>
        <v/>
      </c>
      <c r="H23" s="810" t="str">
        <f>IF(OR($E$3="",$P$3=""),"",IF('Statement of Marks'!G22="","",'Statement of Marks'!G22))</f>
        <v/>
      </c>
      <c r="I23" s="811" t="str">
        <f>IF(OR($E$3="",$P$3=""),"",IF('Statement of Marks'!H22="","",'Statement of Marks'!H22))</f>
        <v/>
      </c>
      <c r="J23" s="811" t="str">
        <f>IF(OR($E$3="",$P$3=""),"",IF('Statement of Marks'!I22="","",'Statement of Marks'!I22))</f>
        <v/>
      </c>
      <c r="K23" s="811" t="str">
        <f>IFERROR(IF(B23="","",IF($P$3=$AT$10,IF(AND(BM23="A"),'Marks Entry'!$U$2,IF(AND(BM23="B"),'Marks Entry'!$Y$2,IF(AND(BM23="C"),'Marks Entry'!$AA$2,""))),IF($P$3=$AT$11,IF(AND(BN23="A"),'Marks Entry'!$AC$2,IF(AND(BN23="B"),'Marks Entry'!$AG$2,IF(AND(BN23="C"),'Marks Entry'!$AI$2,""))),IF($P$3=$AT$12,IF(AND(BO23="A"),'Marks Entry'!$AK$2,IF(AND(BO23="B"),'Marks Entry'!$AO$2,IF(AND(BO23="C"),'Marks Entry'!$AQ$2,""))),IF($P$3=$AT$13,IF(AND(BP23="A"),'Marks Entry'!$AS$2,IF(AND(BP23="B"),'Marks Entry'!$AW$2,IF(AND(BP23="C"),'Marks Entry'!$AY$2,""))),"-"))))),"")</f>
        <v/>
      </c>
      <c r="L23" s="812" t="str">
        <f>IFERROR(IF(B23="","",IF($P$3=$AT$8,'Statement of Marks'!J22,IF($P$3=$AT$9,'Statement of Marks'!X22,IF($P$3=$AT$10,'Statement of Marks'!AM22,IF($P$3=$AT$11,'Statement of Marks'!BJ22,IF($P$3=$AT$12,'Statement of Marks'!CG22,IF($P$3=$AT$13,'Statement of Marks'!DE22,IF($P$3=$AT$14,"",IF($P$3=$AT$15,'Statement of Marks'!EY22,""))))))))),"")</f>
        <v/>
      </c>
      <c r="M23" s="812" t="str">
        <f>IFERROR(IF(B23="","",IF($P$3=$AT$8,'Statement of Marks'!K22,IF($P$3=$AT$9,'Statement of Marks'!Y22,IF($P$3=$AT$10,'Statement of Marks'!AN22,IF($P$3=$AT$11,'Statement of Marks'!BK22,IF($P$3=$AT$12,'Statement of Marks'!CH22,IF($P$3=$AT$13,'Statement of Marks'!DF22,IF($P$3=$AT$14,"",IF($P$3=$AT$15,'Statement of Marks'!EZ22,""))))))))),"")</f>
        <v/>
      </c>
      <c r="N23" s="812" t="str">
        <f>IFERROR(IF(B23="","",IF($P$3=$AT$8,'Statement of Marks'!L22,IF($P$3=$AT$9,'Statement of Marks'!Z22,IF($P$3=$AT$10,'Statement of Marks'!AO22,IF($P$3=$AT$11,'Statement of Marks'!BL22,IF($P$3=$AT$12,'Statement of Marks'!CI22,IF($P$3=$AT$13,'Statement of Marks'!DG22,IF($P$3=$AT$14,"",IF($P$3=$AT$15,'Statement of Marks'!FA22,""))))))))),"")</f>
        <v/>
      </c>
      <c r="O23" s="813" t="str">
        <f t="shared" si="4"/>
        <v/>
      </c>
      <c r="P23" s="812" t="str">
        <f>IFERROR(IF(B23="","",IF($P$3=$AT$8,'Statement of Marks'!N22,IF($P$3=$AT$9,'Statement of Marks'!AB22,IF($P$3=$AT$10,'Statement of Marks'!AQ22,IF($P$3=$AT$11,'Statement of Marks'!BN22,IF($P$3=$AT$12,'Statement of Marks'!CK22,IF($P$3=$AT$13,'Statement of Marks'!DI22,IF($P$3=$AT$14,"",IF($P$3=$AT$15,'Statement of Marks'!FC22,""))))))))),"")</f>
        <v/>
      </c>
      <c r="Q23" s="812" t="str">
        <f>IFERROR(IF(B23="","",IF($P$3=$AT$8,"",IF($P$3=$AT$9,"",IF($P$3=$AT$10,'Statement of Marks'!AR22,IF($P$3=$AT$11,'Statement of Marks'!BO22,IF($P$3=$AT$12,'Statement of Marks'!CL22,IF($P$3=$AT$13,'Statement of Marks'!DJ22,IF($P$3=$AT$14,"",IF($P$3=$AT$15,"",""))))))))),"")</f>
        <v/>
      </c>
      <c r="R23" s="824" t="str">
        <f>IFERROR(IF(B23="","",IF(AND(P23="",Q23="",$P$3=""),"",IF($P$3=$AT$14,'Statement of Marks'!EC22,SUM(P23,Q23)))),"")</f>
        <v/>
      </c>
      <c r="S23" s="823" t="str">
        <f>IFERROR(IF(B23="","",IF($P$3=$AT$14,'Statement of Marks'!ED22,IF(AND(O23="NA",P23="NA",Q23="NA"),"NA",IF(AND(O23="",P23="",Q23=""),"",SUM(O23,P23,Q23))))),"")</f>
        <v/>
      </c>
      <c r="T23" s="812" t="str">
        <f>IFERROR(IF(B23="","",IF($P$3=$AT$8,'Statement of Marks'!P22,IF($P$3=$AT$9,'Statement of Marks'!AD22,IF($P$3=$AT$10,'Statement of Marks'!AU22,IF($P$3=$AT$11,'Statement of Marks'!BR22,IF($P$3=$AT$12,'Statement of Marks'!CO22,IF($P$3=$AT$13,'Statement of Marks'!DM22,IF($P$3=$AT$14,"",IF($P$3=$AT$15,'Statement of Marks'!FD22,""))))))))),"")</f>
        <v/>
      </c>
      <c r="U23" s="812" t="str">
        <f>IFERROR(IF(B23="","",IF($P$3=$AT$8,"",IF($P$3=$AT$9,"",IF($P$3=$AT$10,'Statement of Marks'!AV22,IF($P$3=$AT$11,'Statement of Marks'!BS22,IF($P$3=$AT$12,'Statement of Marks'!CP22,IF($P$3=$AT$13,'Statement of Marks'!DN22,IF($P$3=$AT$14,"",IF($P$3=$AT$15,"",""))))))))),"")</f>
        <v/>
      </c>
      <c r="V23" s="824" t="str">
        <f>IFERROR(IF(B23="","",IF(AND(T23="",U23="",$P$3=""),"",IF($P$3=$AT$14,'Statement of Marks'!EE22,SUM(T23,U23)))),"")</f>
        <v/>
      </c>
      <c r="W23" s="814" t="str">
        <f t="shared" si="5"/>
        <v/>
      </c>
      <c r="X23" s="815">
        <f t="shared" si="6"/>
        <v>0</v>
      </c>
      <c r="Y23" s="815">
        <f t="shared" si="7"/>
        <v>0</v>
      </c>
      <c r="Z23" s="815">
        <f t="shared" si="8"/>
        <v>0</v>
      </c>
      <c r="AA23" s="815" t="str">
        <f t="shared" si="9"/>
        <v/>
      </c>
      <c r="AB23" s="815" t="str">
        <f t="shared" si="10"/>
        <v/>
      </c>
      <c r="AC23" s="815" t="str">
        <f t="shared" si="11"/>
        <v/>
      </c>
      <c r="AD23" s="815" t="str">
        <f t="shared" si="12"/>
        <v/>
      </c>
      <c r="AE23" s="816" t="str">
        <f t="shared" si="13"/>
        <v/>
      </c>
      <c r="AF23" s="817" t="str">
        <f t="shared" si="14"/>
        <v/>
      </c>
      <c r="AG23" s="818" t="str">
        <f t="shared" si="15"/>
        <v/>
      </c>
      <c r="AW23" s="17" t="str">
        <f t="shared" si="16"/>
        <v/>
      </c>
      <c r="AX23" s="17" t="str">
        <f t="shared" si="17"/>
        <v/>
      </c>
      <c r="BM23" s="17" t="str">
        <f>IFERROR(VLOOKUP(B23,'Statement of Marks'!$B$8:'Statement of Marks'!$HI$207,37,0),"")</f>
        <v>A</v>
      </c>
      <c r="BN23" s="17" t="str">
        <f>IFERROR(VLOOKUP(B23,'Statement of Marks'!$B$8:'Statement of Marks'!$HI$207,60,0),"")</f>
        <v>A</v>
      </c>
      <c r="BO23" s="17" t="str">
        <f>IFERROR(VLOOKUP(B23,'Statement of Marks'!$B$8:'Statement of Marks'!$HI$207,83,0),"")</f>
        <v>A</v>
      </c>
      <c r="BP23" s="17" t="str">
        <f>IFERROR(VLOOKUP(B23,'Statement of Marks'!$B$8:'Statement of Marks'!$HI$207,107,0),"")</f>
        <v/>
      </c>
    </row>
    <row r="24" spans="1:68">
      <c r="A24" s="806">
        <f>IF('Statement of Marks'!A23="","",'Statement of Marks'!A23)</f>
        <v>16</v>
      </c>
      <c r="B24" s="807" t="str">
        <f>IF(OR($E$3="",$P$3=""),"",IF('Statement of Marks'!B23="","",'Statement of Marks'!B23))</f>
        <v/>
      </c>
      <c r="C24" s="816" t="str">
        <f>IF(OR($E$3="",$P$3=""),"",IF('Marks Entry'!C23="","",'Marks Entry'!C23))</f>
        <v/>
      </c>
      <c r="D24" s="808" t="str">
        <f>IF(OR($E$3="",$P$3=""),"",IF('Statement of Marks'!C23="","",'Statement of Marks'!C23))</f>
        <v/>
      </c>
      <c r="E24" s="809" t="str">
        <f>IF(OR($E$3="",$P$3=""),"",IF('Statement of Marks'!D23="","",'Statement of Marks'!D23))</f>
        <v/>
      </c>
      <c r="F24" s="810" t="str">
        <f>IF(OR($E$3="",$P$3=""),"",IF('Statement of Marks'!E23="","",'Statement of Marks'!E23))</f>
        <v/>
      </c>
      <c r="G24" s="810" t="str">
        <f>IF(OR($E$3="",$P$3=""),"",IF('Statement of Marks'!F23="","",'Statement of Marks'!F23))</f>
        <v/>
      </c>
      <c r="H24" s="810" t="str">
        <f>IF(OR($E$3="",$P$3=""),"",IF('Statement of Marks'!G23="","",'Statement of Marks'!G23))</f>
        <v/>
      </c>
      <c r="I24" s="811" t="str">
        <f>IF(OR($E$3="",$P$3=""),"",IF('Statement of Marks'!H23="","",'Statement of Marks'!H23))</f>
        <v/>
      </c>
      <c r="J24" s="811" t="str">
        <f>IF(OR($E$3="",$P$3=""),"",IF('Statement of Marks'!I23="","",'Statement of Marks'!I23))</f>
        <v/>
      </c>
      <c r="K24" s="811" t="str">
        <f>IFERROR(IF(B24="","",IF($P$3=$AT$10,IF(AND(BM24="A"),'Marks Entry'!$U$2,IF(AND(BM24="B"),'Marks Entry'!$Y$2,IF(AND(BM24="C"),'Marks Entry'!$AA$2,""))),IF($P$3=$AT$11,IF(AND(BN24="A"),'Marks Entry'!$AC$2,IF(AND(BN24="B"),'Marks Entry'!$AG$2,IF(AND(BN24="C"),'Marks Entry'!$AI$2,""))),IF($P$3=$AT$12,IF(AND(BO24="A"),'Marks Entry'!$AK$2,IF(AND(BO24="B"),'Marks Entry'!$AO$2,IF(AND(BO24="C"),'Marks Entry'!$AQ$2,""))),IF($P$3=$AT$13,IF(AND(BP24="A"),'Marks Entry'!$AS$2,IF(AND(BP24="B"),'Marks Entry'!$AW$2,IF(AND(BP24="C"),'Marks Entry'!$AY$2,""))),"-"))))),"")</f>
        <v/>
      </c>
      <c r="L24" s="812" t="str">
        <f>IFERROR(IF(B24="","",IF($P$3=$AT$8,'Statement of Marks'!J23,IF($P$3=$AT$9,'Statement of Marks'!X23,IF($P$3=$AT$10,'Statement of Marks'!AM23,IF($P$3=$AT$11,'Statement of Marks'!BJ23,IF($P$3=$AT$12,'Statement of Marks'!CG23,IF($P$3=$AT$13,'Statement of Marks'!DE23,IF($P$3=$AT$14,"",IF($P$3=$AT$15,'Statement of Marks'!EY23,""))))))))),"")</f>
        <v/>
      </c>
      <c r="M24" s="812" t="str">
        <f>IFERROR(IF(B24="","",IF($P$3=$AT$8,'Statement of Marks'!K23,IF($P$3=$AT$9,'Statement of Marks'!Y23,IF($P$3=$AT$10,'Statement of Marks'!AN23,IF($P$3=$AT$11,'Statement of Marks'!BK23,IF($P$3=$AT$12,'Statement of Marks'!CH23,IF($P$3=$AT$13,'Statement of Marks'!DF23,IF($P$3=$AT$14,"",IF($P$3=$AT$15,'Statement of Marks'!EZ23,""))))))))),"")</f>
        <v/>
      </c>
      <c r="N24" s="812" t="str">
        <f>IFERROR(IF(B24="","",IF($P$3=$AT$8,'Statement of Marks'!L23,IF($P$3=$AT$9,'Statement of Marks'!Z23,IF($P$3=$AT$10,'Statement of Marks'!AO23,IF($P$3=$AT$11,'Statement of Marks'!BL23,IF($P$3=$AT$12,'Statement of Marks'!CI23,IF($P$3=$AT$13,'Statement of Marks'!DG23,IF($P$3=$AT$14,"",IF($P$3=$AT$15,'Statement of Marks'!FA23,""))))))))),"")</f>
        <v/>
      </c>
      <c r="O24" s="813" t="str">
        <f t="shared" si="4"/>
        <v/>
      </c>
      <c r="P24" s="812" t="str">
        <f>IFERROR(IF(B24="","",IF($P$3=$AT$8,'Statement of Marks'!N23,IF($P$3=$AT$9,'Statement of Marks'!AB23,IF($P$3=$AT$10,'Statement of Marks'!AQ23,IF($P$3=$AT$11,'Statement of Marks'!BN23,IF($P$3=$AT$12,'Statement of Marks'!CK23,IF($P$3=$AT$13,'Statement of Marks'!DI23,IF($P$3=$AT$14,"",IF($P$3=$AT$15,'Statement of Marks'!FC23,""))))))))),"")</f>
        <v/>
      </c>
      <c r="Q24" s="812" t="str">
        <f>IFERROR(IF(B24="","",IF($P$3=$AT$8,"",IF($P$3=$AT$9,"",IF($P$3=$AT$10,'Statement of Marks'!AR23,IF($P$3=$AT$11,'Statement of Marks'!BO23,IF($P$3=$AT$12,'Statement of Marks'!CL23,IF($P$3=$AT$13,'Statement of Marks'!DJ23,IF($P$3=$AT$14,"",IF($P$3=$AT$15,"",""))))))))),"")</f>
        <v/>
      </c>
      <c r="R24" s="824" t="str">
        <f>IFERROR(IF(B24="","",IF(AND(P24="",Q24="",$P$3=""),"",IF($P$3=$AT$14,'Statement of Marks'!EC23,SUM(P24,Q24)))),"")</f>
        <v/>
      </c>
      <c r="S24" s="823" t="str">
        <f>IFERROR(IF(B24="","",IF($P$3=$AT$14,'Statement of Marks'!ED23,IF(AND(O24="NA",P24="NA",Q24="NA"),"NA",IF(AND(O24="",P24="",Q24=""),"",SUM(O24,P24,Q24))))),"")</f>
        <v/>
      </c>
      <c r="T24" s="812" t="str">
        <f>IFERROR(IF(B24="","",IF($P$3=$AT$8,'Statement of Marks'!P23,IF($P$3=$AT$9,'Statement of Marks'!AD23,IF($P$3=$AT$10,'Statement of Marks'!AU23,IF($P$3=$AT$11,'Statement of Marks'!BR23,IF($P$3=$AT$12,'Statement of Marks'!CO23,IF($P$3=$AT$13,'Statement of Marks'!DM23,IF($P$3=$AT$14,"",IF($P$3=$AT$15,'Statement of Marks'!FD23,""))))))))),"")</f>
        <v/>
      </c>
      <c r="U24" s="812" t="str">
        <f>IFERROR(IF(B24="","",IF($P$3=$AT$8,"",IF($P$3=$AT$9,"",IF($P$3=$AT$10,'Statement of Marks'!AV23,IF($P$3=$AT$11,'Statement of Marks'!BS23,IF($P$3=$AT$12,'Statement of Marks'!CP23,IF($P$3=$AT$13,'Statement of Marks'!DN23,IF($P$3=$AT$14,"",IF($P$3=$AT$15,"",""))))))))),"")</f>
        <v/>
      </c>
      <c r="V24" s="824" t="str">
        <f>IFERROR(IF(B24="","",IF(AND(T24="",U24="",$P$3=""),"",IF($P$3=$AT$14,'Statement of Marks'!EE23,SUM(T24,U24)))),"")</f>
        <v/>
      </c>
      <c r="W24" s="814" t="str">
        <f t="shared" si="5"/>
        <v/>
      </c>
      <c r="X24" s="815">
        <f t="shared" si="6"/>
        <v>0</v>
      </c>
      <c r="Y24" s="815">
        <f t="shared" si="7"/>
        <v>0</v>
      </c>
      <c r="Z24" s="815">
        <f t="shared" si="8"/>
        <v>0</v>
      </c>
      <c r="AA24" s="815" t="str">
        <f t="shared" si="9"/>
        <v/>
      </c>
      <c r="AB24" s="815" t="str">
        <f t="shared" si="10"/>
        <v/>
      </c>
      <c r="AC24" s="815" t="str">
        <f t="shared" si="11"/>
        <v/>
      </c>
      <c r="AD24" s="815" t="str">
        <f t="shared" si="12"/>
        <v/>
      </c>
      <c r="AE24" s="816" t="str">
        <f t="shared" si="13"/>
        <v/>
      </c>
      <c r="AF24" s="817" t="str">
        <f t="shared" si="14"/>
        <v/>
      </c>
      <c r="AG24" s="818" t="str">
        <f t="shared" si="15"/>
        <v/>
      </c>
      <c r="AW24" s="17" t="str">
        <f t="shared" si="16"/>
        <v/>
      </c>
      <c r="AX24" s="17" t="str">
        <f t="shared" si="17"/>
        <v/>
      </c>
      <c r="BM24" s="17" t="str">
        <f>IFERROR(VLOOKUP(B24,'Statement of Marks'!$B$8:'Statement of Marks'!$HI$207,37,0),"")</f>
        <v>A</v>
      </c>
      <c r="BN24" s="17" t="str">
        <f>IFERROR(VLOOKUP(B24,'Statement of Marks'!$B$8:'Statement of Marks'!$HI$207,60,0),"")</f>
        <v>A</v>
      </c>
      <c r="BO24" s="17" t="str">
        <f>IFERROR(VLOOKUP(B24,'Statement of Marks'!$B$8:'Statement of Marks'!$HI$207,83,0),"")</f>
        <v>A</v>
      </c>
      <c r="BP24" s="17" t="str">
        <f>IFERROR(VLOOKUP(B24,'Statement of Marks'!$B$8:'Statement of Marks'!$HI$207,107,0),"")</f>
        <v/>
      </c>
    </row>
    <row r="25" spans="1:68">
      <c r="A25" s="806">
        <f>IF('Statement of Marks'!A24="","",'Statement of Marks'!A24)</f>
        <v>17</v>
      </c>
      <c r="B25" s="807" t="str">
        <f>IF(OR($E$3="",$P$3=""),"",IF('Statement of Marks'!B24="","",'Statement of Marks'!B24))</f>
        <v/>
      </c>
      <c r="C25" s="816" t="str">
        <f>IF(OR($E$3="",$P$3=""),"",IF('Marks Entry'!C24="","",'Marks Entry'!C24))</f>
        <v/>
      </c>
      <c r="D25" s="808" t="str">
        <f>IF(OR($E$3="",$P$3=""),"",IF('Statement of Marks'!C24="","",'Statement of Marks'!C24))</f>
        <v/>
      </c>
      <c r="E25" s="809" t="str">
        <f>IF(OR($E$3="",$P$3=""),"",IF('Statement of Marks'!D24="","",'Statement of Marks'!D24))</f>
        <v/>
      </c>
      <c r="F25" s="810" t="str">
        <f>IF(OR($E$3="",$P$3=""),"",IF('Statement of Marks'!E24="","",'Statement of Marks'!E24))</f>
        <v/>
      </c>
      <c r="G25" s="810" t="str">
        <f>IF(OR($E$3="",$P$3=""),"",IF('Statement of Marks'!F24="","",'Statement of Marks'!F24))</f>
        <v/>
      </c>
      <c r="H25" s="810" t="str">
        <f>IF(OR($E$3="",$P$3=""),"",IF('Statement of Marks'!G24="","",'Statement of Marks'!G24))</f>
        <v/>
      </c>
      <c r="I25" s="811" t="str">
        <f>IF(OR($E$3="",$P$3=""),"",IF('Statement of Marks'!H24="","",'Statement of Marks'!H24))</f>
        <v/>
      </c>
      <c r="J25" s="811" t="str">
        <f>IF(OR($E$3="",$P$3=""),"",IF('Statement of Marks'!I24="","",'Statement of Marks'!I24))</f>
        <v/>
      </c>
      <c r="K25" s="811" t="str">
        <f>IFERROR(IF(B25="","",IF($P$3=$AT$10,IF(AND(BM25="A"),'Marks Entry'!$U$2,IF(AND(BM25="B"),'Marks Entry'!$Y$2,IF(AND(BM25="C"),'Marks Entry'!$AA$2,""))),IF($P$3=$AT$11,IF(AND(BN25="A"),'Marks Entry'!$AC$2,IF(AND(BN25="B"),'Marks Entry'!$AG$2,IF(AND(BN25="C"),'Marks Entry'!$AI$2,""))),IF($P$3=$AT$12,IF(AND(BO25="A"),'Marks Entry'!$AK$2,IF(AND(BO25="B"),'Marks Entry'!$AO$2,IF(AND(BO25="C"),'Marks Entry'!$AQ$2,""))),IF($P$3=$AT$13,IF(AND(BP25="A"),'Marks Entry'!$AS$2,IF(AND(BP25="B"),'Marks Entry'!$AW$2,IF(AND(BP25="C"),'Marks Entry'!$AY$2,""))),"-"))))),"")</f>
        <v/>
      </c>
      <c r="L25" s="812" t="str">
        <f>IFERROR(IF(B25="","",IF($P$3=$AT$8,'Statement of Marks'!J24,IF($P$3=$AT$9,'Statement of Marks'!X24,IF($P$3=$AT$10,'Statement of Marks'!AM24,IF($P$3=$AT$11,'Statement of Marks'!BJ24,IF($P$3=$AT$12,'Statement of Marks'!CG24,IF($P$3=$AT$13,'Statement of Marks'!DE24,IF($P$3=$AT$14,"",IF($P$3=$AT$15,'Statement of Marks'!EY24,""))))))))),"")</f>
        <v/>
      </c>
      <c r="M25" s="812" t="str">
        <f>IFERROR(IF(B25="","",IF($P$3=$AT$8,'Statement of Marks'!K24,IF($P$3=$AT$9,'Statement of Marks'!Y24,IF($P$3=$AT$10,'Statement of Marks'!AN24,IF($P$3=$AT$11,'Statement of Marks'!BK24,IF($P$3=$AT$12,'Statement of Marks'!CH24,IF($P$3=$AT$13,'Statement of Marks'!DF24,IF($P$3=$AT$14,"",IF($P$3=$AT$15,'Statement of Marks'!EZ24,""))))))))),"")</f>
        <v/>
      </c>
      <c r="N25" s="812" t="str">
        <f>IFERROR(IF(B25="","",IF($P$3=$AT$8,'Statement of Marks'!L24,IF($P$3=$AT$9,'Statement of Marks'!Z24,IF($P$3=$AT$10,'Statement of Marks'!AO24,IF($P$3=$AT$11,'Statement of Marks'!BL24,IF($P$3=$AT$12,'Statement of Marks'!CI24,IF($P$3=$AT$13,'Statement of Marks'!DG24,IF($P$3=$AT$14,"",IF($P$3=$AT$15,'Statement of Marks'!FA24,""))))))))),"")</f>
        <v/>
      </c>
      <c r="O25" s="813" t="str">
        <f t="shared" si="4"/>
        <v/>
      </c>
      <c r="P25" s="812" t="str">
        <f>IFERROR(IF(B25="","",IF($P$3=$AT$8,'Statement of Marks'!N24,IF($P$3=$AT$9,'Statement of Marks'!AB24,IF($P$3=$AT$10,'Statement of Marks'!AQ24,IF($P$3=$AT$11,'Statement of Marks'!BN24,IF($P$3=$AT$12,'Statement of Marks'!CK24,IF($P$3=$AT$13,'Statement of Marks'!DI24,IF($P$3=$AT$14,"",IF($P$3=$AT$15,'Statement of Marks'!FC24,""))))))))),"")</f>
        <v/>
      </c>
      <c r="Q25" s="812" t="str">
        <f>IFERROR(IF(B25="","",IF($P$3=$AT$8,"",IF($P$3=$AT$9,"",IF($P$3=$AT$10,'Statement of Marks'!AR24,IF($P$3=$AT$11,'Statement of Marks'!BO24,IF($P$3=$AT$12,'Statement of Marks'!CL24,IF($P$3=$AT$13,'Statement of Marks'!DJ24,IF($P$3=$AT$14,"",IF($P$3=$AT$15,"",""))))))))),"")</f>
        <v/>
      </c>
      <c r="R25" s="824" t="str">
        <f>IFERROR(IF(B25="","",IF(AND(P25="",Q25="",$P$3=""),"",IF($P$3=$AT$14,'Statement of Marks'!EC24,SUM(P25,Q25)))),"")</f>
        <v/>
      </c>
      <c r="S25" s="823" t="str">
        <f>IFERROR(IF(B25="","",IF($P$3=$AT$14,'Statement of Marks'!ED24,IF(AND(O25="NA",P25="NA",Q25="NA"),"NA",IF(AND(O25="",P25="",Q25=""),"",SUM(O25,P25,Q25))))),"")</f>
        <v/>
      </c>
      <c r="T25" s="812" t="str">
        <f>IFERROR(IF(B25="","",IF($P$3=$AT$8,'Statement of Marks'!P24,IF($P$3=$AT$9,'Statement of Marks'!AD24,IF($P$3=$AT$10,'Statement of Marks'!AU24,IF($P$3=$AT$11,'Statement of Marks'!BR24,IF($P$3=$AT$12,'Statement of Marks'!CO24,IF($P$3=$AT$13,'Statement of Marks'!DM24,IF($P$3=$AT$14,"",IF($P$3=$AT$15,'Statement of Marks'!FD24,""))))))))),"")</f>
        <v/>
      </c>
      <c r="U25" s="812" t="str">
        <f>IFERROR(IF(B25="","",IF($P$3=$AT$8,"",IF($P$3=$AT$9,"",IF($P$3=$AT$10,'Statement of Marks'!AV24,IF($P$3=$AT$11,'Statement of Marks'!BS24,IF($P$3=$AT$12,'Statement of Marks'!CP24,IF($P$3=$AT$13,'Statement of Marks'!DN24,IF($P$3=$AT$14,"",IF($P$3=$AT$15,"",""))))))))),"")</f>
        <v/>
      </c>
      <c r="V25" s="824" t="str">
        <f>IFERROR(IF(B25="","",IF(AND(T25="",U25="",$P$3=""),"",IF($P$3=$AT$14,'Statement of Marks'!EE24,SUM(T25,U25)))),"")</f>
        <v/>
      </c>
      <c r="W25" s="814" t="str">
        <f t="shared" si="5"/>
        <v/>
      </c>
      <c r="X25" s="815">
        <f t="shared" si="6"/>
        <v>0</v>
      </c>
      <c r="Y25" s="815">
        <f t="shared" si="7"/>
        <v>0</v>
      </c>
      <c r="Z25" s="815">
        <f t="shared" si="8"/>
        <v>0</v>
      </c>
      <c r="AA25" s="815" t="str">
        <f t="shared" si="9"/>
        <v/>
      </c>
      <c r="AB25" s="815" t="str">
        <f t="shared" si="10"/>
        <v/>
      </c>
      <c r="AC25" s="815" t="str">
        <f t="shared" si="11"/>
        <v/>
      </c>
      <c r="AD25" s="815" t="str">
        <f t="shared" si="12"/>
        <v/>
      </c>
      <c r="AE25" s="816" t="str">
        <f t="shared" si="13"/>
        <v/>
      </c>
      <c r="AF25" s="817" t="str">
        <f t="shared" si="14"/>
        <v/>
      </c>
      <c r="AG25" s="818" t="str">
        <f t="shared" si="15"/>
        <v/>
      </c>
      <c r="AW25" s="17" t="str">
        <f t="shared" si="16"/>
        <v/>
      </c>
      <c r="AX25" s="17" t="str">
        <f t="shared" si="17"/>
        <v/>
      </c>
      <c r="BM25" s="17" t="str">
        <f>IFERROR(VLOOKUP(B25,'Statement of Marks'!$B$8:'Statement of Marks'!$HI$207,37,0),"")</f>
        <v>A</v>
      </c>
      <c r="BN25" s="17" t="str">
        <f>IFERROR(VLOOKUP(B25,'Statement of Marks'!$B$8:'Statement of Marks'!$HI$207,60,0),"")</f>
        <v>A</v>
      </c>
      <c r="BO25" s="17" t="str">
        <f>IFERROR(VLOOKUP(B25,'Statement of Marks'!$B$8:'Statement of Marks'!$HI$207,83,0),"")</f>
        <v>A</v>
      </c>
      <c r="BP25" s="17" t="str">
        <f>IFERROR(VLOOKUP(B25,'Statement of Marks'!$B$8:'Statement of Marks'!$HI$207,107,0),"")</f>
        <v/>
      </c>
    </row>
    <row r="26" spans="1:68">
      <c r="A26" s="806">
        <f>IF('Statement of Marks'!A25="","",'Statement of Marks'!A25)</f>
        <v>18</v>
      </c>
      <c r="B26" s="807" t="str">
        <f>IF(OR($E$3="",$P$3=""),"",IF('Statement of Marks'!B25="","",'Statement of Marks'!B25))</f>
        <v/>
      </c>
      <c r="C26" s="816" t="str">
        <f>IF(OR($E$3="",$P$3=""),"",IF('Marks Entry'!C25="","",'Marks Entry'!C25))</f>
        <v/>
      </c>
      <c r="D26" s="808" t="str">
        <f>IF(OR($E$3="",$P$3=""),"",IF('Statement of Marks'!C25="","",'Statement of Marks'!C25))</f>
        <v/>
      </c>
      <c r="E26" s="809" t="str">
        <f>IF(OR($E$3="",$P$3=""),"",IF('Statement of Marks'!D25="","",'Statement of Marks'!D25))</f>
        <v/>
      </c>
      <c r="F26" s="810" t="str">
        <f>IF(OR($E$3="",$P$3=""),"",IF('Statement of Marks'!E25="","",'Statement of Marks'!E25))</f>
        <v/>
      </c>
      <c r="G26" s="810" t="str">
        <f>IF(OR($E$3="",$P$3=""),"",IF('Statement of Marks'!F25="","",'Statement of Marks'!F25))</f>
        <v/>
      </c>
      <c r="H26" s="810" t="str">
        <f>IF(OR($E$3="",$P$3=""),"",IF('Statement of Marks'!G25="","",'Statement of Marks'!G25))</f>
        <v/>
      </c>
      <c r="I26" s="811" t="str">
        <f>IF(OR($E$3="",$P$3=""),"",IF('Statement of Marks'!H25="","",'Statement of Marks'!H25))</f>
        <v/>
      </c>
      <c r="J26" s="811" t="str">
        <f>IF(OR($E$3="",$P$3=""),"",IF('Statement of Marks'!I25="","",'Statement of Marks'!I25))</f>
        <v/>
      </c>
      <c r="K26" s="811" t="str">
        <f>IFERROR(IF(B26="","",IF($P$3=$AT$10,IF(AND(BM26="A"),'Marks Entry'!$U$2,IF(AND(BM26="B"),'Marks Entry'!$Y$2,IF(AND(BM26="C"),'Marks Entry'!$AA$2,""))),IF($P$3=$AT$11,IF(AND(BN26="A"),'Marks Entry'!$AC$2,IF(AND(BN26="B"),'Marks Entry'!$AG$2,IF(AND(BN26="C"),'Marks Entry'!$AI$2,""))),IF($P$3=$AT$12,IF(AND(BO26="A"),'Marks Entry'!$AK$2,IF(AND(BO26="B"),'Marks Entry'!$AO$2,IF(AND(BO26="C"),'Marks Entry'!$AQ$2,""))),IF($P$3=$AT$13,IF(AND(BP26="A"),'Marks Entry'!$AS$2,IF(AND(BP26="B"),'Marks Entry'!$AW$2,IF(AND(BP26="C"),'Marks Entry'!$AY$2,""))),"-"))))),"")</f>
        <v/>
      </c>
      <c r="L26" s="812" t="str">
        <f>IFERROR(IF(B26="","",IF($P$3=$AT$8,'Statement of Marks'!J25,IF($P$3=$AT$9,'Statement of Marks'!X25,IF($P$3=$AT$10,'Statement of Marks'!AM25,IF($P$3=$AT$11,'Statement of Marks'!BJ25,IF($P$3=$AT$12,'Statement of Marks'!CG25,IF($P$3=$AT$13,'Statement of Marks'!DE25,IF($P$3=$AT$14,"",IF($P$3=$AT$15,'Statement of Marks'!EY25,""))))))))),"")</f>
        <v/>
      </c>
      <c r="M26" s="812" t="str">
        <f>IFERROR(IF(B26="","",IF($P$3=$AT$8,'Statement of Marks'!K25,IF($P$3=$AT$9,'Statement of Marks'!Y25,IF($P$3=$AT$10,'Statement of Marks'!AN25,IF($P$3=$AT$11,'Statement of Marks'!BK25,IF($P$3=$AT$12,'Statement of Marks'!CH25,IF($P$3=$AT$13,'Statement of Marks'!DF25,IF($P$3=$AT$14,"",IF($P$3=$AT$15,'Statement of Marks'!EZ25,""))))))))),"")</f>
        <v/>
      </c>
      <c r="N26" s="812" t="str">
        <f>IFERROR(IF(B26="","",IF($P$3=$AT$8,'Statement of Marks'!L25,IF($P$3=$AT$9,'Statement of Marks'!Z25,IF($P$3=$AT$10,'Statement of Marks'!AO25,IF($P$3=$AT$11,'Statement of Marks'!BL25,IF($P$3=$AT$12,'Statement of Marks'!CI25,IF($P$3=$AT$13,'Statement of Marks'!DG25,IF($P$3=$AT$14,"",IF($P$3=$AT$15,'Statement of Marks'!FA25,""))))))))),"")</f>
        <v/>
      </c>
      <c r="O26" s="813" t="str">
        <f t="shared" si="4"/>
        <v/>
      </c>
      <c r="P26" s="812" t="str">
        <f>IFERROR(IF(B26="","",IF($P$3=$AT$8,'Statement of Marks'!N25,IF($P$3=$AT$9,'Statement of Marks'!AB25,IF($P$3=$AT$10,'Statement of Marks'!AQ25,IF($P$3=$AT$11,'Statement of Marks'!BN25,IF($P$3=$AT$12,'Statement of Marks'!CK25,IF($P$3=$AT$13,'Statement of Marks'!DI25,IF($P$3=$AT$14,"",IF($P$3=$AT$15,'Statement of Marks'!FC25,""))))))))),"")</f>
        <v/>
      </c>
      <c r="Q26" s="812" t="str">
        <f>IFERROR(IF(B26="","",IF($P$3=$AT$8,"",IF($P$3=$AT$9,"",IF($P$3=$AT$10,'Statement of Marks'!AR25,IF($P$3=$AT$11,'Statement of Marks'!BO25,IF($P$3=$AT$12,'Statement of Marks'!CL25,IF($P$3=$AT$13,'Statement of Marks'!DJ25,IF($P$3=$AT$14,"",IF($P$3=$AT$15,"",""))))))))),"")</f>
        <v/>
      </c>
      <c r="R26" s="824" t="str">
        <f>IFERROR(IF(B26="","",IF(AND(P26="",Q26="",$P$3=""),"",IF($P$3=$AT$14,'Statement of Marks'!EC25,SUM(P26,Q26)))),"")</f>
        <v/>
      </c>
      <c r="S26" s="823" t="str">
        <f>IFERROR(IF(B26="","",IF($P$3=$AT$14,'Statement of Marks'!ED25,IF(AND(O26="NA",P26="NA",Q26="NA"),"NA",IF(AND(O26="",P26="",Q26=""),"",SUM(O26,P26,Q26))))),"")</f>
        <v/>
      </c>
      <c r="T26" s="812" t="str">
        <f>IFERROR(IF(B26="","",IF($P$3=$AT$8,'Statement of Marks'!P25,IF($P$3=$AT$9,'Statement of Marks'!AD25,IF($P$3=$AT$10,'Statement of Marks'!AU25,IF($P$3=$AT$11,'Statement of Marks'!BR25,IF($P$3=$AT$12,'Statement of Marks'!CO25,IF($P$3=$AT$13,'Statement of Marks'!DM25,IF($P$3=$AT$14,"",IF($P$3=$AT$15,'Statement of Marks'!FD25,""))))))))),"")</f>
        <v/>
      </c>
      <c r="U26" s="812" t="str">
        <f>IFERROR(IF(B26="","",IF($P$3=$AT$8,"",IF($P$3=$AT$9,"",IF($P$3=$AT$10,'Statement of Marks'!AV25,IF($P$3=$AT$11,'Statement of Marks'!BS25,IF($P$3=$AT$12,'Statement of Marks'!CP25,IF($P$3=$AT$13,'Statement of Marks'!DN25,IF($P$3=$AT$14,"",IF($P$3=$AT$15,"",""))))))))),"")</f>
        <v/>
      </c>
      <c r="V26" s="824" t="str">
        <f>IFERROR(IF(B26="","",IF(AND(T26="",U26="",$P$3=""),"",IF($P$3=$AT$14,'Statement of Marks'!EE25,SUM(T26,U26)))),"")</f>
        <v/>
      </c>
      <c r="W26" s="814" t="str">
        <f t="shared" si="5"/>
        <v/>
      </c>
      <c r="X26" s="815">
        <f t="shared" si="6"/>
        <v>0</v>
      </c>
      <c r="Y26" s="815">
        <f t="shared" si="7"/>
        <v>0</v>
      </c>
      <c r="Z26" s="815">
        <f t="shared" si="8"/>
        <v>0</v>
      </c>
      <c r="AA26" s="815" t="str">
        <f t="shared" si="9"/>
        <v/>
      </c>
      <c r="AB26" s="815" t="str">
        <f t="shared" si="10"/>
        <v/>
      </c>
      <c r="AC26" s="815" t="str">
        <f t="shared" si="11"/>
        <v/>
      </c>
      <c r="AD26" s="815" t="str">
        <f t="shared" si="12"/>
        <v/>
      </c>
      <c r="AE26" s="816" t="str">
        <f t="shared" si="13"/>
        <v/>
      </c>
      <c r="AF26" s="817" t="str">
        <f t="shared" si="14"/>
        <v/>
      </c>
      <c r="AG26" s="818" t="str">
        <f t="shared" si="15"/>
        <v/>
      </c>
      <c r="AW26" s="17" t="str">
        <f t="shared" si="16"/>
        <v/>
      </c>
      <c r="AX26" s="17" t="str">
        <f t="shared" si="17"/>
        <v/>
      </c>
      <c r="BM26" s="17" t="str">
        <f>IFERROR(VLOOKUP(B26,'Statement of Marks'!$B$8:'Statement of Marks'!$HI$207,37,0),"")</f>
        <v>A</v>
      </c>
      <c r="BN26" s="17" t="str">
        <f>IFERROR(VLOOKUP(B26,'Statement of Marks'!$B$8:'Statement of Marks'!$HI$207,60,0),"")</f>
        <v>A</v>
      </c>
      <c r="BO26" s="17" t="str">
        <f>IFERROR(VLOOKUP(B26,'Statement of Marks'!$B$8:'Statement of Marks'!$HI$207,83,0),"")</f>
        <v>A</v>
      </c>
      <c r="BP26" s="17" t="str">
        <f>IFERROR(VLOOKUP(B26,'Statement of Marks'!$B$8:'Statement of Marks'!$HI$207,107,0),"")</f>
        <v/>
      </c>
    </row>
    <row r="27" spans="1:68">
      <c r="A27" s="806">
        <f>IF('Statement of Marks'!A26="","",'Statement of Marks'!A26)</f>
        <v>19</v>
      </c>
      <c r="B27" s="807" t="str">
        <f>IF(OR($E$3="",$P$3=""),"",IF('Statement of Marks'!B26="","",'Statement of Marks'!B26))</f>
        <v/>
      </c>
      <c r="C27" s="816" t="str">
        <f>IF(OR($E$3="",$P$3=""),"",IF('Marks Entry'!C26="","",'Marks Entry'!C26))</f>
        <v/>
      </c>
      <c r="D27" s="808" t="str">
        <f>IF(OR($E$3="",$P$3=""),"",IF('Statement of Marks'!C26="","",'Statement of Marks'!C26))</f>
        <v/>
      </c>
      <c r="E27" s="809" t="str">
        <f>IF(OR($E$3="",$P$3=""),"",IF('Statement of Marks'!D26="","",'Statement of Marks'!D26))</f>
        <v/>
      </c>
      <c r="F27" s="810" t="str">
        <f>IF(OR($E$3="",$P$3=""),"",IF('Statement of Marks'!E26="","",'Statement of Marks'!E26))</f>
        <v/>
      </c>
      <c r="G27" s="810" t="str">
        <f>IF(OR($E$3="",$P$3=""),"",IF('Statement of Marks'!F26="","",'Statement of Marks'!F26))</f>
        <v/>
      </c>
      <c r="H27" s="810" t="str">
        <f>IF(OR($E$3="",$P$3=""),"",IF('Statement of Marks'!G26="","",'Statement of Marks'!G26))</f>
        <v/>
      </c>
      <c r="I27" s="811" t="str">
        <f>IF(OR($E$3="",$P$3=""),"",IF('Statement of Marks'!H26="","",'Statement of Marks'!H26))</f>
        <v/>
      </c>
      <c r="J27" s="811" t="str">
        <f>IF(OR($E$3="",$P$3=""),"",IF('Statement of Marks'!I26="","",'Statement of Marks'!I26))</f>
        <v/>
      </c>
      <c r="K27" s="811" t="str">
        <f>IFERROR(IF(B27="","",IF($P$3=$AT$10,IF(AND(BM27="A"),'Marks Entry'!$U$2,IF(AND(BM27="B"),'Marks Entry'!$Y$2,IF(AND(BM27="C"),'Marks Entry'!$AA$2,""))),IF($P$3=$AT$11,IF(AND(BN27="A"),'Marks Entry'!$AC$2,IF(AND(BN27="B"),'Marks Entry'!$AG$2,IF(AND(BN27="C"),'Marks Entry'!$AI$2,""))),IF($P$3=$AT$12,IF(AND(BO27="A"),'Marks Entry'!$AK$2,IF(AND(BO27="B"),'Marks Entry'!$AO$2,IF(AND(BO27="C"),'Marks Entry'!$AQ$2,""))),IF($P$3=$AT$13,IF(AND(BP27="A"),'Marks Entry'!$AS$2,IF(AND(BP27="B"),'Marks Entry'!$AW$2,IF(AND(BP27="C"),'Marks Entry'!$AY$2,""))),"-"))))),"")</f>
        <v/>
      </c>
      <c r="L27" s="812" t="str">
        <f>IFERROR(IF(B27="","",IF($P$3=$AT$8,'Statement of Marks'!J26,IF($P$3=$AT$9,'Statement of Marks'!X26,IF($P$3=$AT$10,'Statement of Marks'!AM26,IF($P$3=$AT$11,'Statement of Marks'!BJ26,IF($P$3=$AT$12,'Statement of Marks'!CG26,IF($P$3=$AT$13,'Statement of Marks'!DE26,IF($P$3=$AT$14,"",IF($P$3=$AT$15,'Statement of Marks'!EY26,""))))))))),"")</f>
        <v/>
      </c>
      <c r="M27" s="812" t="str">
        <f>IFERROR(IF(B27="","",IF($P$3=$AT$8,'Statement of Marks'!K26,IF($P$3=$AT$9,'Statement of Marks'!Y26,IF($P$3=$AT$10,'Statement of Marks'!AN26,IF($P$3=$AT$11,'Statement of Marks'!BK26,IF($P$3=$AT$12,'Statement of Marks'!CH26,IF($P$3=$AT$13,'Statement of Marks'!DF26,IF($P$3=$AT$14,"",IF($P$3=$AT$15,'Statement of Marks'!EZ26,""))))))))),"")</f>
        <v/>
      </c>
      <c r="N27" s="812" t="str">
        <f>IFERROR(IF(B27="","",IF($P$3=$AT$8,'Statement of Marks'!L26,IF($P$3=$AT$9,'Statement of Marks'!Z26,IF($P$3=$AT$10,'Statement of Marks'!AO26,IF($P$3=$AT$11,'Statement of Marks'!BL26,IF($P$3=$AT$12,'Statement of Marks'!CI26,IF($P$3=$AT$13,'Statement of Marks'!DG26,IF($P$3=$AT$14,"",IF($P$3=$AT$15,'Statement of Marks'!FA26,""))))))))),"")</f>
        <v/>
      </c>
      <c r="O27" s="813" t="str">
        <f t="shared" si="4"/>
        <v/>
      </c>
      <c r="P27" s="812" t="str">
        <f>IFERROR(IF(B27="","",IF($P$3=$AT$8,'Statement of Marks'!N26,IF($P$3=$AT$9,'Statement of Marks'!AB26,IF($P$3=$AT$10,'Statement of Marks'!AQ26,IF($P$3=$AT$11,'Statement of Marks'!BN26,IF($P$3=$AT$12,'Statement of Marks'!CK26,IF($P$3=$AT$13,'Statement of Marks'!DI26,IF($P$3=$AT$14,"",IF($P$3=$AT$15,'Statement of Marks'!FC26,""))))))))),"")</f>
        <v/>
      </c>
      <c r="Q27" s="812" t="str">
        <f>IFERROR(IF(B27="","",IF($P$3=$AT$8,"",IF($P$3=$AT$9,"",IF($P$3=$AT$10,'Statement of Marks'!AR26,IF($P$3=$AT$11,'Statement of Marks'!BO26,IF($P$3=$AT$12,'Statement of Marks'!CL26,IF($P$3=$AT$13,'Statement of Marks'!DJ26,IF($P$3=$AT$14,"",IF($P$3=$AT$15,"",""))))))))),"")</f>
        <v/>
      </c>
      <c r="R27" s="824" t="str">
        <f>IFERROR(IF(B27="","",IF(AND(P27="",Q27="",$P$3=""),"",IF($P$3=$AT$14,'Statement of Marks'!EC26,SUM(P27,Q27)))),"")</f>
        <v/>
      </c>
      <c r="S27" s="823" t="str">
        <f>IFERROR(IF(B27="","",IF($P$3=$AT$14,'Statement of Marks'!ED26,IF(AND(O27="NA",P27="NA",Q27="NA"),"NA",IF(AND(O27="",P27="",Q27=""),"",SUM(O27,P27,Q27))))),"")</f>
        <v/>
      </c>
      <c r="T27" s="812" t="str">
        <f>IFERROR(IF(B27="","",IF($P$3=$AT$8,'Statement of Marks'!P26,IF($P$3=$AT$9,'Statement of Marks'!AD26,IF($P$3=$AT$10,'Statement of Marks'!AU26,IF($P$3=$AT$11,'Statement of Marks'!BR26,IF($P$3=$AT$12,'Statement of Marks'!CO26,IF($P$3=$AT$13,'Statement of Marks'!DM26,IF($P$3=$AT$14,"",IF($P$3=$AT$15,'Statement of Marks'!FD26,""))))))))),"")</f>
        <v/>
      </c>
      <c r="U27" s="812" t="str">
        <f>IFERROR(IF(B27="","",IF($P$3=$AT$8,"",IF($P$3=$AT$9,"",IF($P$3=$AT$10,'Statement of Marks'!AV26,IF($P$3=$AT$11,'Statement of Marks'!BS26,IF($P$3=$AT$12,'Statement of Marks'!CP26,IF($P$3=$AT$13,'Statement of Marks'!DN26,IF($P$3=$AT$14,"",IF($P$3=$AT$15,"",""))))))))),"")</f>
        <v/>
      </c>
      <c r="V27" s="824" t="str">
        <f>IFERROR(IF(B27="","",IF(AND(T27="",U27="",$P$3=""),"",IF($P$3=$AT$14,'Statement of Marks'!EE26,SUM(T27,U27)))),"")</f>
        <v/>
      </c>
      <c r="W27" s="814" t="str">
        <f t="shared" si="5"/>
        <v/>
      </c>
      <c r="X27" s="815">
        <f t="shared" si="6"/>
        <v>0</v>
      </c>
      <c r="Y27" s="815">
        <f t="shared" si="7"/>
        <v>0</v>
      </c>
      <c r="Z27" s="815">
        <f t="shared" si="8"/>
        <v>0</v>
      </c>
      <c r="AA27" s="815" t="str">
        <f t="shared" si="9"/>
        <v/>
      </c>
      <c r="AB27" s="815" t="str">
        <f t="shared" si="10"/>
        <v/>
      </c>
      <c r="AC27" s="815" t="str">
        <f t="shared" si="11"/>
        <v/>
      </c>
      <c r="AD27" s="815" t="str">
        <f t="shared" si="12"/>
        <v/>
      </c>
      <c r="AE27" s="816" t="str">
        <f t="shared" si="13"/>
        <v/>
      </c>
      <c r="AF27" s="817" t="str">
        <f t="shared" si="14"/>
        <v/>
      </c>
      <c r="AG27" s="818" t="str">
        <f t="shared" si="15"/>
        <v/>
      </c>
      <c r="AW27" s="17" t="str">
        <f t="shared" si="16"/>
        <v/>
      </c>
      <c r="AX27" s="17" t="str">
        <f t="shared" si="17"/>
        <v/>
      </c>
      <c r="BM27" s="17" t="str">
        <f>IFERROR(VLOOKUP(B27,'Statement of Marks'!$B$8:'Statement of Marks'!$HI$207,37,0),"")</f>
        <v>A</v>
      </c>
      <c r="BN27" s="17" t="str">
        <f>IFERROR(VLOOKUP(B27,'Statement of Marks'!$B$8:'Statement of Marks'!$HI$207,60,0),"")</f>
        <v>A</v>
      </c>
      <c r="BO27" s="17" t="str">
        <f>IFERROR(VLOOKUP(B27,'Statement of Marks'!$B$8:'Statement of Marks'!$HI$207,83,0),"")</f>
        <v>A</v>
      </c>
      <c r="BP27" s="17" t="str">
        <f>IFERROR(VLOOKUP(B27,'Statement of Marks'!$B$8:'Statement of Marks'!$HI$207,107,0),"")</f>
        <v/>
      </c>
    </row>
    <row r="28" spans="1:68">
      <c r="A28" s="806">
        <f>IF('Statement of Marks'!A27="","",'Statement of Marks'!A27)</f>
        <v>20</v>
      </c>
      <c r="B28" s="807" t="str">
        <f>IF(OR($E$3="",$P$3=""),"",IF('Statement of Marks'!B27="","",'Statement of Marks'!B27))</f>
        <v/>
      </c>
      <c r="C28" s="816" t="str">
        <f>IF(OR($E$3="",$P$3=""),"",IF('Marks Entry'!C27="","",'Marks Entry'!C27))</f>
        <v/>
      </c>
      <c r="D28" s="808" t="str">
        <f>IF(OR($E$3="",$P$3=""),"",IF('Statement of Marks'!C27="","",'Statement of Marks'!C27))</f>
        <v/>
      </c>
      <c r="E28" s="809" t="str">
        <f>IF(OR($E$3="",$P$3=""),"",IF('Statement of Marks'!D27="","",'Statement of Marks'!D27))</f>
        <v/>
      </c>
      <c r="F28" s="810" t="str">
        <f>IF(OR($E$3="",$P$3=""),"",IF('Statement of Marks'!E27="","",'Statement of Marks'!E27))</f>
        <v/>
      </c>
      <c r="G28" s="810" t="str">
        <f>IF(OR($E$3="",$P$3=""),"",IF('Statement of Marks'!F27="","",'Statement of Marks'!F27))</f>
        <v/>
      </c>
      <c r="H28" s="810" t="str">
        <f>IF(OR($E$3="",$P$3=""),"",IF('Statement of Marks'!G27="","",'Statement of Marks'!G27))</f>
        <v/>
      </c>
      <c r="I28" s="811" t="str">
        <f>IF(OR($E$3="",$P$3=""),"",IF('Statement of Marks'!H27="","",'Statement of Marks'!H27))</f>
        <v/>
      </c>
      <c r="J28" s="811" t="str">
        <f>IF(OR($E$3="",$P$3=""),"",IF('Statement of Marks'!I27="","",'Statement of Marks'!I27))</f>
        <v/>
      </c>
      <c r="K28" s="811" t="str">
        <f>IFERROR(IF(B28="","",IF($P$3=$AT$10,IF(AND(BM28="A"),'Marks Entry'!$U$2,IF(AND(BM28="B"),'Marks Entry'!$Y$2,IF(AND(BM28="C"),'Marks Entry'!$AA$2,""))),IF($P$3=$AT$11,IF(AND(BN28="A"),'Marks Entry'!$AC$2,IF(AND(BN28="B"),'Marks Entry'!$AG$2,IF(AND(BN28="C"),'Marks Entry'!$AI$2,""))),IF($P$3=$AT$12,IF(AND(BO28="A"),'Marks Entry'!$AK$2,IF(AND(BO28="B"),'Marks Entry'!$AO$2,IF(AND(BO28="C"),'Marks Entry'!$AQ$2,""))),IF($P$3=$AT$13,IF(AND(BP28="A"),'Marks Entry'!$AS$2,IF(AND(BP28="B"),'Marks Entry'!$AW$2,IF(AND(BP28="C"),'Marks Entry'!$AY$2,""))),"-"))))),"")</f>
        <v/>
      </c>
      <c r="L28" s="812" t="str">
        <f>IFERROR(IF(B28="","",IF($P$3=$AT$8,'Statement of Marks'!J27,IF($P$3=$AT$9,'Statement of Marks'!X27,IF($P$3=$AT$10,'Statement of Marks'!AM27,IF($P$3=$AT$11,'Statement of Marks'!BJ27,IF($P$3=$AT$12,'Statement of Marks'!CG27,IF($P$3=$AT$13,'Statement of Marks'!DE27,IF($P$3=$AT$14,"",IF($P$3=$AT$15,'Statement of Marks'!EY27,""))))))))),"")</f>
        <v/>
      </c>
      <c r="M28" s="812" t="str">
        <f>IFERROR(IF(B28="","",IF($P$3=$AT$8,'Statement of Marks'!K27,IF($P$3=$AT$9,'Statement of Marks'!Y27,IF($P$3=$AT$10,'Statement of Marks'!AN27,IF($P$3=$AT$11,'Statement of Marks'!BK27,IF($P$3=$AT$12,'Statement of Marks'!CH27,IF($P$3=$AT$13,'Statement of Marks'!DF27,IF($P$3=$AT$14,"",IF($P$3=$AT$15,'Statement of Marks'!EZ27,""))))))))),"")</f>
        <v/>
      </c>
      <c r="N28" s="812" t="str">
        <f>IFERROR(IF(B28="","",IF($P$3=$AT$8,'Statement of Marks'!L27,IF($P$3=$AT$9,'Statement of Marks'!Z27,IF($P$3=$AT$10,'Statement of Marks'!AO27,IF($P$3=$AT$11,'Statement of Marks'!BL27,IF($P$3=$AT$12,'Statement of Marks'!CI27,IF($P$3=$AT$13,'Statement of Marks'!DG27,IF($P$3=$AT$14,"",IF($P$3=$AT$15,'Statement of Marks'!FA27,""))))))))),"")</f>
        <v/>
      </c>
      <c r="O28" s="813" t="str">
        <f t="shared" si="4"/>
        <v/>
      </c>
      <c r="P28" s="812" t="str">
        <f>IFERROR(IF(B28="","",IF($P$3=$AT$8,'Statement of Marks'!N27,IF($P$3=$AT$9,'Statement of Marks'!AB27,IF($P$3=$AT$10,'Statement of Marks'!AQ27,IF($P$3=$AT$11,'Statement of Marks'!BN27,IF($P$3=$AT$12,'Statement of Marks'!CK27,IF($P$3=$AT$13,'Statement of Marks'!DI27,IF($P$3=$AT$14,"",IF($P$3=$AT$15,'Statement of Marks'!FC27,""))))))))),"")</f>
        <v/>
      </c>
      <c r="Q28" s="812" t="str">
        <f>IFERROR(IF(B28="","",IF($P$3=$AT$8,"",IF($P$3=$AT$9,"",IF($P$3=$AT$10,'Statement of Marks'!AR27,IF($P$3=$AT$11,'Statement of Marks'!BO27,IF($P$3=$AT$12,'Statement of Marks'!CL27,IF($P$3=$AT$13,'Statement of Marks'!DJ27,IF($P$3=$AT$14,"",IF($P$3=$AT$15,"",""))))))))),"")</f>
        <v/>
      </c>
      <c r="R28" s="824" t="str">
        <f>IFERROR(IF(B28="","",IF(AND(P28="",Q28="",$P$3=""),"",IF($P$3=$AT$14,'Statement of Marks'!EC27,SUM(P28,Q28)))),"")</f>
        <v/>
      </c>
      <c r="S28" s="823" t="str">
        <f>IFERROR(IF(B28="","",IF($P$3=$AT$14,'Statement of Marks'!ED27,IF(AND(O28="NA",P28="NA",Q28="NA"),"NA",IF(AND(O28="",P28="",Q28=""),"",SUM(O28,P28,Q28))))),"")</f>
        <v/>
      </c>
      <c r="T28" s="812" t="str">
        <f>IFERROR(IF(B28="","",IF($P$3=$AT$8,'Statement of Marks'!P27,IF($P$3=$AT$9,'Statement of Marks'!AD27,IF($P$3=$AT$10,'Statement of Marks'!AU27,IF($P$3=$AT$11,'Statement of Marks'!BR27,IF($P$3=$AT$12,'Statement of Marks'!CO27,IF($P$3=$AT$13,'Statement of Marks'!DM27,IF($P$3=$AT$14,"",IF($P$3=$AT$15,'Statement of Marks'!FD27,""))))))))),"")</f>
        <v/>
      </c>
      <c r="U28" s="812" t="str">
        <f>IFERROR(IF(B28="","",IF($P$3=$AT$8,"",IF($P$3=$AT$9,"",IF($P$3=$AT$10,'Statement of Marks'!AV27,IF($P$3=$AT$11,'Statement of Marks'!BS27,IF($P$3=$AT$12,'Statement of Marks'!CP27,IF($P$3=$AT$13,'Statement of Marks'!DN27,IF($P$3=$AT$14,"",IF($P$3=$AT$15,"",""))))))))),"")</f>
        <v/>
      </c>
      <c r="V28" s="824" t="str">
        <f>IFERROR(IF(B28="","",IF(AND(T28="",U28="",$P$3=""),"",IF($P$3=$AT$14,'Statement of Marks'!EE27,SUM(T28,U28)))),"")</f>
        <v/>
      </c>
      <c r="W28" s="814" t="str">
        <f t="shared" si="5"/>
        <v/>
      </c>
      <c r="X28" s="815">
        <f t="shared" si="6"/>
        <v>0</v>
      </c>
      <c r="Y28" s="815">
        <f t="shared" si="7"/>
        <v>0</v>
      </c>
      <c r="Z28" s="815">
        <f t="shared" si="8"/>
        <v>0</v>
      </c>
      <c r="AA28" s="815" t="str">
        <f t="shared" si="9"/>
        <v/>
      </c>
      <c r="AB28" s="815" t="str">
        <f t="shared" si="10"/>
        <v/>
      </c>
      <c r="AC28" s="815" t="str">
        <f t="shared" si="11"/>
        <v/>
      </c>
      <c r="AD28" s="815" t="str">
        <f t="shared" si="12"/>
        <v/>
      </c>
      <c r="AE28" s="816" t="str">
        <f t="shared" si="13"/>
        <v/>
      </c>
      <c r="AF28" s="817" t="str">
        <f t="shared" si="14"/>
        <v/>
      </c>
      <c r="AG28" s="818" t="str">
        <f t="shared" si="15"/>
        <v/>
      </c>
      <c r="AW28" s="17" t="str">
        <f t="shared" si="16"/>
        <v/>
      </c>
      <c r="AX28" s="17" t="str">
        <f t="shared" si="17"/>
        <v/>
      </c>
      <c r="BM28" s="17" t="str">
        <f>IFERROR(VLOOKUP(B28,'Statement of Marks'!$B$8:'Statement of Marks'!$HI$207,37,0),"")</f>
        <v>A</v>
      </c>
      <c r="BN28" s="17" t="str">
        <f>IFERROR(VLOOKUP(B28,'Statement of Marks'!$B$8:'Statement of Marks'!$HI$207,60,0),"")</f>
        <v>A</v>
      </c>
      <c r="BO28" s="17" t="str">
        <f>IFERROR(VLOOKUP(B28,'Statement of Marks'!$B$8:'Statement of Marks'!$HI$207,83,0),"")</f>
        <v>A</v>
      </c>
      <c r="BP28" s="17" t="str">
        <f>IFERROR(VLOOKUP(B28,'Statement of Marks'!$B$8:'Statement of Marks'!$HI$207,107,0),"")</f>
        <v/>
      </c>
    </row>
    <row r="29" spans="1:68">
      <c r="A29" s="806">
        <f>IF('Statement of Marks'!A28="","",'Statement of Marks'!A28)</f>
        <v>21</v>
      </c>
      <c r="B29" s="807" t="str">
        <f>IF(OR($E$3="",$P$3=""),"",IF('Statement of Marks'!B28="","",'Statement of Marks'!B28))</f>
        <v/>
      </c>
      <c r="C29" s="816" t="str">
        <f>IF(OR($E$3="",$P$3=""),"",IF('Marks Entry'!C28="","",'Marks Entry'!C28))</f>
        <v/>
      </c>
      <c r="D29" s="808" t="str">
        <f>IF(OR($E$3="",$P$3=""),"",IF('Statement of Marks'!C28="","",'Statement of Marks'!C28))</f>
        <v/>
      </c>
      <c r="E29" s="809" t="str">
        <f>IF(OR($E$3="",$P$3=""),"",IF('Statement of Marks'!D28="","",'Statement of Marks'!D28))</f>
        <v/>
      </c>
      <c r="F29" s="810" t="str">
        <f>IF(OR($E$3="",$P$3=""),"",IF('Statement of Marks'!E28="","",'Statement of Marks'!E28))</f>
        <v/>
      </c>
      <c r="G29" s="810" t="str">
        <f>IF(OR($E$3="",$P$3=""),"",IF('Statement of Marks'!F28="","",'Statement of Marks'!F28))</f>
        <v/>
      </c>
      <c r="H29" s="810" t="str">
        <f>IF(OR($E$3="",$P$3=""),"",IF('Statement of Marks'!G28="","",'Statement of Marks'!G28))</f>
        <v/>
      </c>
      <c r="I29" s="811" t="str">
        <f>IF(OR($E$3="",$P$3=""),"",IF('Statement of Marks'!H28="","",'Statement of Marks'!H28))</f>
        <v/>
      </c>
      <c r="J29" s="811" t="str">
        <f>IF(OR($E$3="",$P$3=""),"",IF('Statement of Marks'!I28="","",'Statement of Marks'!I28))</f>
        <v/>
      </c>
      <c r="K29" s="811" t="str">
        <f>IFERROR(IF(B29="","",IF($P$3=$AT$10,IF(AND(BM29="A"),'Marks Entry'!$U$2,IF(AND(BM29="B"),'Marks Entry'!$Y$2,IF(AND(BM29="C"),'Marks Entry'!$AA$2,""))),IF($P$3=$AT$11,IF(AND(BN29="A"),'Marks Entry'!$AC$2,IF(AND(BN29="B"),'Marks Entry'!$AG$2,IF(AND(BN29="C"),'Marks Entry'!$AI$2,""))),IF($P$3=$AT$12,IF(AND(BO29="A"),'Marks Entry'!$AK$2,IF(AND(BO29="B"),'Marks Entry'!$AO$2,IF(AND(BO29="C"),'Marks Entry'!$AQ$2,""))),IF($P$3=$AT$13,IF(AND(BP29="A"),'Marks Entry'!$AS$2,IF(AND(BP29="B"),'Marks Entry'!$AW$2,IF(AND(BP29="C"),'Marks Entry'!$AY$2,""))),"-"))))),"")</f>
        <v/>
      </c>
      <c r="L29" s="812" t="str">
        <f>IFERROR(IF(B29="","",IF($P$3=$AT$8,'Statement of Marks'!J28,IF($P$3=$AT$9,'Statement of Marks'!X28,IF($P$3=$AT$10,'Statement of Marks'!AM28,IF($P$3=$AT$11,'Statement of Marks'!BJ28,IF($P$3=$AT$12,'Statement of Marks'!CG28,IF($P$3=$AT$13,'Statement of Marks'!DE28,IF($P$3=$AT$14,"",IF($P$3=$AT$15,'Statement of Marks'!EY28,""))))))))),"")</f>
        <v/>
      </c>
      <c r="M29" s="812" t="str">
        <f>IFERROR(IF(B29="","",IF($P$3=$AT$8,'Statement of Marks'!K28,IF($P$3=$AT$9,'Statement of Marks'!Y28,IF($P$3=$AT$10,'Statement of Marks'!AN28,IF($P$3=$AT$11,'Statement of Marks'!BK28,IF($P$3=$AT$12,'Statement of Marks'!CH28,IF($P$3=$AT$13,'Statement of Marks'!DF28,IF($P$3=$AT$14,"",IF($P$3=$AT$15,'Statement of Marks'!EZ28,""))))))))),"")</f>
        <v/>
      </c>
      <c r="N29" s="812" t="str">
        <f>IFERROR(IF(B29="","",IF($P$3=$AT$8,'Statement of Marks'!L28,IF($P$3=$AT$9,'Statement of Marks'!Z28,IF($P$3=$AT$10,'Statement of Marks'!AO28,IF($P$3=$AT$11,'Statement of Marks'!BL28,IF($P$3=$AT$12,'Statement of Marks'!CI28,IF($P$3=$AT$13,'Statement of Marks'!DG28,IF($P$3=$AT$14,"",IF($P$3=$AT$15,'Statement of Marks'!FA28,""))))))))),"")</f>
        <v/>
      </c>
      <c r="O29" s="813" t="str">
        <f t="shared" si="4"/>
        <v/>
      </c>
      <c r="P29" s="812" t="str">
        <f>IFERROR(IF(B29="","",IF($P$3=$AT$8,'Statement of Marks'!N28,IF($P$3=$AT$9,'Statement of Marks'!AB28,IF($P$3=$AT$10,'Statement of Marks'!AQ28,IF($P$3=$AT$11,'Statement of Marks'!BN28,IF($P$3=$AT$12,'Statement of Marks'!CK28,IF($P$3=$AT$13,'Statement of Marks'!DI28,IF($P$3=$AT$14,"",IF($P$3=$AT$15,'Statement of Marks'!FC28,""))))))))),"")</f>
        <v/>
      </c>
      <c r="Q29" s="812" t="str">
        <f>IFERROR(IF(B29="","",IF($P$3=$AT$8,"",IF($P$3=$AT$9,"",IF($P$3=$AT$10,'Statement of Marks'!AR28,IF($P$3=$AT$11,'Statement of Marks'!BO28,IF($P$3=$AT$12,'Statement of Marks'!CL28,IF($P$3=$AT$13,'Statement of Marks'!DJ28,IF($P$3=$AT$14,"",IF($P$3=$AT$15,"",""))))))))),"")</f>
        <v/>
      </c>
      <c r="R29" s="824" t="str">
        <f>IFERROR(IF(B29="","",IF(AND(P29="",Q29="",$P$3=""),"",IF($P$3=$AT$14,'Statement of Marks'!EC28,SUM(P29,Q29)))),"")</f>
        <v/>
      </c>
      <c r="S29" s="823" t="str">
        <f>IFERROR(IF(B29="","",IF($P$3=$AT$14,'Statement of Marks'!ED28,IF(AND(O29="NA",P29="NA",Q29="NA"),"NA",IF(AND(O29="",P29="",Q29=""),"",SUM(O29,P29,Q29))))),"")</f>
        <v/>
      </c>
      <c r="T29" s="812" t="str">
        <f>IFERROR(IF(B29="","",IF($P$3=$AT$8,'Statement of Marks'!P28,IF($P$3=$AT$9,'Statement of Marks'!AD28,IF($P$3=$AT$10,'Statement of Marks'!AU28,IF($P$3=$AT$11,'Statement of Marks'!BR28,IF($P$3=$AT$12,'Statement of Marks'!CO28,IF($P$3=$AT$13,'Statement of Marks'!DM28,IF($P$3=$AT$14,"",IF($P$3=$AT$15,'Statement of Marks'!FD28,""))))))))),"")</f>
        <v/>
      </c>
      <c r="U29" s="812" t="str">
        <f>IFERROR(IF(B29="","",IF($P$3=$AT$8,"",IF($P$3=$AT$9,"",IF($P$3=$AT$10,'Statement of Marks'!AV28,IF($P$3=$AT$11,'Statement of Marks'!BS28,IF($P$3=$AT$12,'Statement of Marks'!CP28,IF($P$3=$AT$13,'Statement of Marks'!DN28,IF($P$3=$AT$14,"",IF($P$3=$AT$15,"",""))))))))),"")</f>
        <v/>
      </c>
      <c r="V29" s="824" t="str">
        <f>IFERROR(IF(B29="","",IF(AND(T29="",U29="",$P$3=""),"",IF($P$3=$AT$14,'Statement of Marks'!EE28,SUM(T29,U29)))),"")</f>
        <v/>
      </c>
      <c r="W29" s="814" t="str">
        <f t="shared" si="5"/>
        <v/>
      </c>
      <c r="X29" s="815">
        <f t="shared" si="6"/>
        <v>0</v>
      </c>
      <c r="Y29" s="815">
        <f t="shared" si="7"/>
        <v>0</v>
      </c>
      <c r="Z29" s="815">
        <f t="shared" si="8"/>
        <v>0</v>
      </c>
      <c r="AA29" s="815" t="str">
        <f t="shared" si="9"/>
        <v/>
      </c>
      <c r="AB29" s="815" t="str">
        <f t="shared" si="10"/>
        <v/>
      </c>
      <c r="AC29" s="815" t="str">
        <f t="shared" si="11"/>
        <v/>
      </c>
      <c r="AD29" s="815" t="str">
        <f t="shared" si="12"/>
        <v/>
      </c>
      <c r="AE29" s="816" t="str">
        <f t="shared" si="13"/>
        <v/>
      </c>
      <c r="AF29" s="817" t="str">
        <f t="shared" si="14"/>
        <v/>
      </c>
      <c r="AG29" s="818" t="str">
        <f t="shared" si="15"/>
        <v/>
      </c>
      <c r="AW29" s="17" t="str">
        <f t="shared" si="16"/>
        <v/>
      </c>
      <c r="AX29" s="17" t="str">
        <f t="shared" si="17"/>
        <v/>
      </c>
      <c r="BM29" s="17" t="str">
        <f>IFERROR(VLOOKUP(B29,'Statement of Marks'!$B$8:'Statement of Marks'!$HI$207,37,0),"")</f>
        <v>A</v>
      </c>
      <c r="BN29" s="17" t="str">
        <f>IFERROR(VLOOKUP(B29,'Statement of Marks'!$B$8:'Statement of Marks'!$HI$207,60,0),"")</f>
        <v>A</v>
      </c>
      <c r="BO29" s="17" t="str">
        <f>IFERROR(VLOOKUP(B29,'Statement of Marks'!$B$8:'Statement of Marks'!$HI$207,83,0),"")</f>
        <v>A</v>
      </c>
      <c r="BP29" s="17" t="str">
        <f>IFERROR(VLOOKUP(B29,'Statement of Marks'!$B$8:'Statement of Marks'!$HI$207,107,0),"")</f>
        <v/>
      </c>
    </row>
    <row r="30" spans="1:68">
      <c r="A30" s="806">
        <f>IF('Statement of Marks'!A29="","",'Statement of Marks'!A29)</f>
        <v>22</v>
      </c>
      <c r="B30" s="807" t="str">
        <f>IF(OR($E$3="",$P$3=""),"",IF('Statement of Marks'!B29="","",'Statement of Marks'!B29))</f>
        <v/>
      </c>
      <c r="C30" s="816" t="str">
        <f>IF(OR($E$3="",$P$3=""),"",IF('Marks Entry'!C29="","",'Marks Entry'!C29))</f>
        <v/>
      </c>
      <c r="D30" s="808" t="str">
        <f>IF(OR($E$3="",$P$3=""),"",IF('Statement of Marks'!C29="","",'Statement of Marks'!C29))</f>
        <v/>
      </c>
      <c r="E30" s="809" t="str">
        <f>IF(OR($E$3="",$P$3=""),"",IF('Statement of Marks'!D29="","",'Statement of Marks'!D29))</f>
        <v/>
      </c>
      <c r="F30" s="810" t="str">
        <f>IF(OR($E$3="",$P$3=""),"",IF('Statement of Marks'!E29="","",'Statement of Marks'!E29))</f>
        <v/>
      </c>
      <c r="G30" s="810" t="str">
        <f>IF(OR($E$3="",$P$3=""),"",IF('Statement of Marks'!F29="","",'Statement of Marks'!F29))</f>
        <v/>
      </c>
      <c r="H30" s="810" t="str">
        <f>IF(OR($E$3="",$P$3=""),"",IF('Statement of Marks'!G29="","",'Statement of Marks'!G29))</f>
        <v/>
      </c>
      <c r="I30" s="811" t="str">
        <f>IF(OR($E$3="",$P$3=""),"",IF('Statement of Marks'!H29="","",'Statement of Marks'!H29))</f>
        <v/>
      </c>
      <c r="J30" s="811" t="str">
        <f>IF(OR($E$3="",$P$3=""),"",IF('Statement of Marks'!I29="","",'Statement of Marks'!I29))</f>
        <v/>
      </c>
      <c r="K30" s="811" t="str">
        <f>IFERROR(IF(B30="","",IF($P$3=$AT$10,IF(AND(BM30="A"),'Marks Entry'!$U$2,IF(AND(BM30="B"),'Marks Entry'!$Y$2,IF(AND(BM30="C"),'Marks Entry'!$AA$2,""))),IF($P$3=$AT$11,IF(AND(BN30="A"),'Marks Entry'!$AC$2,IF(AND(BN30="B"),'Marks Entry'!$AG$2,IF(AND(BN30="C"),'Marks Entry'!$AI$2,""))),IF($P$3=$AT$12,IF(AND(BO30="A"),'Marks Entry'!$AK$2,IF(AND(BO30="B"),'Marks Entry'!$AO$2,IF(AND(BO30="C"),'Marks Entry'!$AQ$2,""))),IF($P$3=$AT$13,IF(AND(BP30="A"),'Marks Entry'!$AS$2,IF(AND(BP30="B"),'Marks Entry'!$AW$2,IF(AND(BP30="C"),'Marks Entry'!$AY$2,""))),"-"))))),"")</f>
        <v/>
      </c>
      <c r="L30" s="812" t="str">
        <f>IFERROR(IF(B30="","",IF($P$3=$AT$8,'Statement of Marks'!J29,IF($P$3=$AT$9,'Statement of Marks'!X29,IF($P$3=$AT$10,'Statement of Marks'!AM29,IF($P$3=$AT$11,'Statement of Marks'!BJ29,IF($P$3=$AT$12,'Statement of Marks'!CG29,IF($P$3=$AT$13,'Statement of Marks'!DE29,IF($P$3=$AT$14,"",IF($P$3=$AT$15,'Statement of Marks'!EY29,""))))))))),"")</f>
        <v/>
      </c>
      <c r="M30" s="812" t="str">
        <f>IFERROR(IF(B30="","",IF($P$3=$AT$8,'Statement of Marks'!K29,IF($P$3=$AT$9,'Statement of Marks'!Y29,IF($P$3=$AT$10,'Statement of Marks'!AN29,IF($P$3=$AT$11,'Statement of Marks'!BK29,IF($P$3=$AT$12,'Statement of Marks'!CH29,IF($P$3=$AT$13,'Statement of Marks'!DF29,IF($P$3=$AT$14,"",IF($P$3=$AT$15,'Statement of Marks'!EZ29,""))))))))),"")</f>
        <v/>
      </c>
      <c r="N30" s="812" t="str">
        <f>IFERROR(IF(B30="","",IF($P$3=$AT$8,'Statement of Marks'!L29,IF($P$3=$AT$9,'Statement of Marks'!Z29,IF($P$3=$AT$10,'Statement of Marks'!AO29,IF($P$3=$AT$11,'Statement of Marks'!BL29,IF($P$3=$AT$12,'Statement of Marks'!CI29,IF($P$3=$AT$13,'Statement of Marks'!DG29,IF($P$3=$AT$14,"",IF($P$3=$AT$15,'Statement of Marks'!FA29,""))))))))),"")</f>
        <v/>
      </c>
      <c r="O30" s="813" t="str">
        <f t="shared" si="4"/>
        <v/>
      </c>
      <c r="P30" s="812" t="str">
        <f>IFERROR(IF(B30="","",IF($P$3=$AT$8,'Statement of Marks'!N29,IF($P$3=$AT$9,'Statement of Marks'!AB29,IF($P$3=$AT$10,'Statement of Marks'!AQ29,IF($P$3=$AT$11,'Statement of Marks'!BN29,IF($P$3=$AT$12,'Statement of Marks'!CK29,IF($P$3=$AT$13,'Statement of Marks'!DI29,IF($P$3=$AT$14,"",IF($P$3=$AT$15,'Statement of Marks'!FC29,""))))))))),"")</f>
        <v/>
      </c>
      <c r="Q30" s="812" t="str">
        <f>IFERROR(IF(B30="","",IF($P$3=$AT$8,"",IF($P$3=$AT$9,"",IF($P$3=$AT$10,'Statement of Marks'!AR29,IF($P$3=$AT$11,'Statement of Marks'!BO29,IF($P$3=$AT$12,'Statement of Marks'!CL29,IF($P$3=$AT$13,'Statement of Marks'!DJ29,IF($P$3=$AT$14,"",IF($P$3=$AT$15,"",""))))))))),"")</f>
        <v/>
      </c>
      <c r="R30" s="824" t="str">
        <f>IFERROR(IF(B30="","",IF(AND(P30="",Q30="",$P$3=""),"",IF($P$3=$AT$14,'Statement of Marks'!EC29,SUM(P30,Q30)))),"")</f>
        <v/>
      </c>
      <c r="S30" s="823" t="str">
        <f>IFERROR(IF(B30="","",IF($P$3=$AT$14,'Statement of Marks'!ED29,IF(AND(O30="NA",P30="NA",Q30="NA"),"NA",IF(AND(O30="",P30="",Q30=""),"",SUM(O30,P30,Q30))))),"")</f>
        <v/>
      </c>
      <c r="T30" s="812" t="str">
        <f>IFERROR(IF(B30="","",IF($P$3=$AT$8,'Statement of Marks'!P29,IF($P$3=$AT$9,'Statement of Marks'!AD29,IF($P$3=$AT$10,'Statement of Marks'!AU29,IF($P$3=$AT$11,'Statement of Marks'!BR29,IF($P$3=$AT$12,'Statement of Marks'!CO29,IF($P$3=$AT$13,'Statement of Marks'!DM29,IF($P$3=$AT$14,"",IF($P$3=$AT$15,'Statement of Marks'!FD29,""))))))))),"")</f>
        <v/>
      </c>
      <c r="U30" s="812" t="str">
        <f>IFERROR(IF(B30="","",IF($P$3=$AT$8,"",IF($P$3=$AT$9,"",IF($P$3=$AT$10,'Statement of Marks'!AV29,IF($P$3=$AT$11,'Statement of Marks'!BS29,IF($P$3=$AT$12,'Statement of Marks'!CP29,IF($P$3=$AT$13,'Statement of Marks'!DN29,IF($P$3=$AT$14,"",IF($P$3=$AT$15,"",""))))))))),"")</f>
        <v/>
      </c>
      <c r="V30" s="824" t="str">
        <f>IFERROR(IF(B30="","",IF(AND(T30="",U30="",$P$3=""),"",IF($P$3=$AT$14,'Statement of Marks'!EE29,SUM(T30,U30)))),"")</f>
        <v/>
      </c>
      <c r="W30" s="814" t="str">
        <f t="shared" si="5"/>
        <v/>
      </c>
      <c r="X30" s="815">
        <f t="shared" si="6"/>
        <v>0</v>
      </c>
      <c r="Y30" s="815">
        <f t="shared" si="7"/>
        <v>0</v>
      </c>
      <c r="Z30" s="815">
        <f t="shared" si="8"/>
        <v>0</v>
      </c>
      <c r="AA30" s="815" t="str">
        <f t="shared" si="9"/>
        <v/>
      </c>
      <c r="AB30" s="815" t="str">
        <f t="shared" si="10"/>
        <v/>
      </c>
      <c r="AC30" s="815" t="str">
        <f t="shared" si="11"/>
        <v/>
      </c>
      <c r="AD30" s="815" t="str">
        <f t="shared" si="12"/>
        <v/>
      </c>
      <c r="AE30" s="816" t="str">
        <f t="shared" si="13"/>
        <v/>
      </c>
      <c r="AF30" s="817" t="str">
        <f t="shared" si="14"/>
        <v/>
      </c>
      <c r="AG30" s="818" t="str">
        <f t="shared" si="15"/>
        <v/>
      </c>
      <c r="AW30" s="17" t="str">
        <f t="shared" si="16"/>
        <v/>
      </c>
      <c r="AX30" s="17" t="str">
        <f t="shared" si="17"/>
        <v/>
      </c>
      <c r="BM30" s="17" t="str">
        <f>IFERROR(VLOOKUP(B30,'Statement of Marks'!$B$8:'Statement of Marks'!$HI$207,37,0),"")</f>
        <v>A</v>
      </c>
      <c r="BN30" s="17" t="str">
        <f>IFERROR(VLOOKUP(B30,'Statement of Marks'!$B$8:'Statement of Marks'!$HI$207,60,0),"")</f>
        <v>A</v>
      </c>
      <c r="BO30" s="17" t="str">
        <f>IFERROR(VLOOKUP(B30,'Statement of Marks'!$B$8:'Statement of Marks'!$HI$207,83,0),"")</f>
        <v>A</v>
      </c>
      <c r="BP30" s="17" t="str">
        <f>IFERROR(VLOOKUP(B30,'Statement of Marks'!$B$8:'Statement of Marks'!$HI$207,107,0),"")</f>
        <v/>
      </c>
    </row>
    <row r="31" spans="1:68">
      <c r="A31" s="806">
        <f>IF('Statement of Marks'!A30="","",'Statement of Marks'!A30)</f>
        <v>23</v>
      </c>
      <c r="B31" s="807" t="str">
        <f>IF(OR($E$3="",$P$3=""),"",IF('Statement of Marks'!B30="","",'Statement of Marks'!B30))</f>
        <v/>
      </c>
      <c r="C31" s="816" t="str">
        <f>IF(OR($E$3="",$P$3=""),"",IF('Marks Entry'!C30="","",'Marks Entry'!C30))</f>
        <v/>
      </c>
      <c r="D31" s="808" t="str">
        <f>IF(OR($E$3="",$P$3=""),"",IF('Statement of Marks'!C30="","",'Statement of Marks'!C30))</f>
        <v/>
      </c>
      <c r="E31" s="809" t="str">
        <f>IF(OR($E$3="",$P$3=""),"",IF('Statement of Marks'!D30="","",'Statement of Marks'!D30))</f>
        <v/>
      </c>
      <c r="F31" s="810" t="str">
        <f>IF(OR($E$3="",$P$3=""),"",IF('Statement of Marks'!E30="","",'Statement of Marks'!E30))</f>
        <v/>
      </c>
      <c r="G31" s="810" t="str">
        <f>IF(OR($E$3="",$P$3=""),"",IF('Statement of Marks'!F30="","",'Statement of Marks'!F30))</f>
        <v/>
      </c>
      <c r="H31" s="810" t="str">
        <f>IF(OR($E$3="",$P$3=""),"",IF('Statement of Marks'!G30="","",'Statement of Marks'!G30))</f>
        <v/>
      </c>
      <c r="I31" s="811" t="str">
        <f>IF(OR($E$3="",$P$3=""),"",IF('Statement of Marks'!H30="","",'Statement of Marks'!H30))</f>
        <v/>
      </c>
      <c r="J31" s="811" t="str">
        <f>IF(OR($E$3="",$P$3=""),"",IF('Statement of Marks'!I30="","",'Statement of Marks'!I30))</f>
        <v/>
      </c>
      <c r="K31" s="811" t="str">
        <f>IFERROR(IF(B31="","",IF($P$3=$AT$10,IF(AND(BM31="A"),'Marks Entry'!$U$2,IF(AND(BM31="B"),'Marks Entry'!$Y$2,IF(AND(BM31="C"),'Marks Entry'!$AA$2,""))),IF($P$3=$AT$11,IF(AND(BN31="A"),'Marks Entry'!$AC$2,IF(AND(BN31="B"),'Marks Entry'!$AG$2,IF(AND(BN31="C"),'Marks Entry'!$AI$2,""))),IF($P$3=$AT$12,IF(AND(BO31="A"),'Marks Entry'!$AK$2,IF(AND(BO31="B"),'Marks Entry'!$AO$2,IF(AND(BO31="C"),'Marks Entry'!$AQ$2,""))),IF($P$3=$AT$13,IF(AND(BP31="A"),'Marks Entry'!$AS$2,IF(AND(BP31="B"),'Marks Entry'!$AW$2,IF(AND(BP31="C"),'Marks Entry'!$AY$2,""))),"-"))))),"")</f>
        <v/>
      </c>
      <c r="L31" s="812" t="str">
        <f>IFERROR(IF(B31="","",IF($P$3=$AT$8,'Statement of Marks'!J30,IF($P$3=$AT$9,'Statement of Marks'!X30,IF($P$3=$AT$10,'Statement of Marks'!AM30,IF($P$3=$AT$11,'Statement of Marks'!BJ30,IF($P$3=$AT$12,'Statement of Marks'!CG30,IF($P$3=$AT$13,'Statement of Marks'!DE30,IF($P$3=$AT$14,"",IF($P$3=$AT$15,'Statement of Marks'!EY30,""))))))))),"")</f>
        <v/>
      </c>
      <c r="M31" s="812" t="str">
        <f>IFERROR(IF(B31="","",IF($P$3=$AT$8,'Statement of Marks'!K30,IF($P$3=$AT$9,'Statement of Marks'!Y30,IF($P$3=$AT$10,'Statement of Marks'!AN30,IF($P$3=$AT$11,'Statement of Marks'!BK30,IF($P$3=$AT$12,'Statement of Marks'!CH30,IF($P$3=$AT$13,'Statement of Marks'!DF30,IF($P$3=$AT$14,"",IF($P$3=$AT$15,'Statement of Marks'!EZ30,""))))))))),"")</f>
        <v/>
      </c>
      <c r="N31" s="812" t="str">
        <f>IFERROR(IF(B31="","",IF($P$3=$AT$8,'Statement of Marks'!L30,IF($P$3=$AT$9,'Statement of Marks'!Z30,IF($P$3=$AT$10,'Statement of Marks'!AO30,IF($P$3=$AT$11,'Statement of Marks'!BL30,IF($P$3=$AT$12,'Statement of Marks'!CI30,IF($P$3=$AT$13,'Statement of Marks'!DG30,IF($P$3=$AT$14,"",IF($P$3=$AT$15,'Statement of Marks'!FA30,""))))))))),"")</f>
        <v/>
      </c>
      <c r="O31" s="813" t="str">
        <f t="shared" si="4"/>
        <v/>
      </c>
      <c r="P31" s="812" t="str">
        <f>IFERROR(IF(B31="","",IF($P$3=$AT$8,'Statement of Marks'!N30,IF($P$3=$AT$9,'Statement of Marks'!AB30,IF($P$3=$AT$10,'Statement of Marks'!AQ30,IF($P$3=$AT$11,'Statement of Marks'!BN30,IF($P$3=$AT$12,'Statement of Marks'!CK30,IF($P$3=$AT$13,'Statement of Marks'!DI30,IF($P$3=$AT$14,"",IF($P$3=$AT$15,'Statement of Marks'!FC30,""))))))))),"")</f>
        <v/>
      </c>
      <c r="Q31" s="812" t="str">
        <f>IFERROR(IF(B31="","",IF($P$3=$AT$8,"",IF($P$3=$AT$9,"",IF($P$3=$AT$10,'Statement of Marks'!AR30,IF($P$3=$AT$11,'Statement of Marks'!BO30,IF($P$3=$AT$12,'Statement of Marks'!CL30,IF($P$3=$AT$13,'Statement of Marks'!DJ30,IF($P$3=$AT$14,"",IF($P$3=$AT$15,"",""))))))))),"")</f>
        <v/>
      </c>
      <c r="R31" s="824" t="str">
        <f>IFERROR(IF(B31="","",IF(AND(P31="",Q31="",$P$3=""),"",IF($P$3=$AT$14,'Statement of Marks'!EC30,SUM(P31,Q31)))),"")</f>
        <v/>
      </c>
      <c r="S31" s="823" t="str">
        <f>IFERROR(IF(B31="","",IF($P$3=$AT$14,'Statement of Marks'!ED30,IF(AND(O31="NA",P31="NA",Q31="NA"),"NA",IF(AND(O31="",P31="",Q31=""),"",SUM(O31,P31,Q31))))),"")</f>
        <v/>
      </c>
      <c r="T31" s="812" t="str">
        <f>IFERROR(IF(B31="","",IF($P$3=$AT$8,'Statement of Marks'!P30,IF($P$3=$AT$9,'Statement of Marks'!AD30,IF($P$3=$AT$10,'Statement of Marks'!AU30,IF($P$3=$AT$11,'Statement of Marks'!BR30,IF($P$3=$AT$12,'Statement of Marks'!CO30,IF($P$3=$AT$13,'Statement of Marks'!DM30,IF($P$3=$AT$14,"",IF($P$3=$AT$15,'Statement of Marks'!FD30,""))))))))),"")</f>
        <v/>
      </c>
      <c r="U31" s="812" t="str">
        <f>IFERROR(IF(B31="","",IF($P$3=$AT$8,"",IF($P$3=$AT$9,"",IF($P$3=$AT$10,'Statement of Marks'!AV30,IF($P$3=$AT$11,'Statement of Marks'!BS30,IF($P$3=$AT$12,'Statement of Marks'!CP30,IF($P$3=$AT$13,'Statement of Marks'!DN30,IF($P$3=$AT$14,"",IF($P$3=$AT$15,"",""))))))))),"")</f>
        <v/>
      </c>
      <c r="V31" s="824" t="str">
        <f>IFERROR(IF(B31="","",IF(AND(T31="",U31="",$P$3=""),"",IF($P$3=$AT$14,'Statement of Marks'!EE30,SUM(T31,U31)))),"")</f>
        <v/>
      </c>
      <c r="W31" s="814" t="str">
        <f t="shared" si="5"/>
        <v/>
      </c>
      <c r="X31" s="815">
        <f t="shared" si="6"/>
        <v>0</v>
      </c>
      <c r="Y31" s="815">
        <f t="shared" si="7"/>
        <v>0</v>
      </c>
      <c r="Z31" s="815">
        <f t="shared" si="8"/>
        <v>0</v>
      </c>
      <c r="AA31" s="815" t="str">
        <f t="shared" si="9"/>
        <v/>
      </c>
      <c r="AB31" s="815" t="str">
        <f t="shared" si="10"/>
        <v/>
      </c>
      <c r="AC31" s="815" t="str">
        <f t="shared" si="11"/>
        <v/>
      </c>
      <c r="AD31" s="815" t="str">
        <f t="shared" si="12"/>
        <v/>
      </c>
      <c r="AE31" s="816" t="str">
        <f t="shared" si="13"/>
        <v/>
      </c>
      <c r="AF31" s="817" t="str">
        <f t="shared" si="14"/>
        <v/>
      </c>
      <c r="AG31" s="818" t="str">
        <f t="shared" si="15"/>
        <v/>
      </c>
      <c r="AW31" s="17" t="str">
        <f t="shared" si="16"/>
        <v/>
      </c>
      <c r="AX31" s="17" t="str">
        <f t="shared" si="17"/>
        <v/>
      </c>
      <c r="BM31" s="17" t="str">
        <f>IFERROR(VLOOKUP(B31,'Statement of Marks'!$B$8:'Statement of Marks'!$HI$207,37,0),"")</f>
        <v>A</v>
      </c>
      <c r="BN31" s="17" t="str">
        <f>IFERROR(VLOOKUP(B31,'Statement of Marks'!$B$8:'Statement of Marks'!$HI$207,60,0),"")</f>
        <v>A</v>
      </c>
      <c r="BO31" s="17" t="str">
        <f>IFERROR(VLOOKUP(B31,'Statement of Marks'!$B$8:'Statement of Marks'!$HI$207,83,0),"")</f>
        <v>A</v>
      </c>
      <c r="BP31" s="17" t="str">
        <f>IFERROR(VLOOKUP(B31,'Statement of Marks'!$B$8:'Statement of Marks'!$HI$207,107,0),"")</f>
        <v/>
      </c>
    </row>
    <row r="32" spans="1:68">
      <c r="A32" s="806">
        <f>IF('Statement of Marks'!A31="","",'Statement of Marks'!A31)</f>
        <v>24</v>
      </c>
      <c r="B32" s="807" t="str">
        <f>IF(OR($E$3="",$P$3=""),"",IF('Statement of Marks'!B31="","",'Statement of Marks'!B31))</f>
        <v/>
      </c>
      <c r="C32" s="816" t="str">
        <f>IF(OR($E$3="",$P$3=""),"",IF('Marks Entry'!C31="","",'Marks Entry'!C31))</f>
        <v/>
      </c>
      <c r="D32" s="808" t="str">
        <f>IF(OR($E$3="",$P$3=""),"",IF('Statement of Marks'!C31="","",'Statement of Marks'!C31))</f>
        <v/>
      </c>
      <c r="E32" s="809" t="str">
        <f>IF(OR($E$3="",$P$3=""),"",IF('Statement of Marks'!D31="","",'Statement of Marks'!D31))</f>
        <v/>
      </c>
      <c r="F32" s="810" t="str">
        <f>IF(OR($E$3="",$P$3=""),"",IF('Statement of Marks'!E31="","",'Statement of Marks'!E31))</f>
        <v/>
      </c>
      <c r="G32" s="810" t="str">
        <f>IF(OR($E$3="",$P$3=""),"",IF('Statement of Marks'!F31="","",'Statement of Marks'!F31))</f>
        <v/>
      </c>
      <c r="H32" s="810" t="str">
        <f>IF(OR($E$3="",$P$3=""),"",IF('Statement of Marks'!G31="","",'Statement of Marks'!G31))</f>
        <v/>
      </c>
      <c r="I32" s="811" t="str">
        <f>IF(OR($E$3="",$P$3=""),"",IF('Statement of Marks'!H31="","",'Statement of Marks'!H31))</f>
        <v/>
      </c>
      <c r="J32" s="811" t="str">
        <f>IF(OR($E$3="",$P$3=""),"",IF('Statement of Marks'!I31="","",'Statement of Marks'!I31))</f>
        <v/>
      </c>
      <c r="K32" s="811" t="str">
        <f>IFERROR(IF(B32="","",IF($P$3=$AT$10,IF(AND(BM32="A"),'Marks Entry'!$U$2,IF(AND(BM32="B"),'Marks Entry'!$Y$2,IF(AND(BM32="C"),'Marks Entry'!$AA$2,""))),IF($P$3=$AT$11,IF(AND(BN32="A"),'Marks Entry'!$AC$2,IF(AND(BN32="B"),'Marks Entry'!$AG$2,IF(AND(BN32="C"),'Marks Entry'!$AI$2,""))),IF($P$3=$AT$12,IF(AND(BO32="A"),'Marks Entry'!$AK$2,IF(AND(BO32="B"),'Marks Entry'!$AO$2,IF(AND(BO32="C"),'Marks Entry'!$AQ$2,""))),IF($P$3=$AT$13,IF(AND(BP32="A"),'Marks Entry'!$AS$2,IF(AND(BP32="B"),'Marks Entry'!$AW$2,IF(AND(BP32="C"),'Marks Entry'!$AY$2,""))),"-"))))),"")</f>
        <v/>
      </c>
      <c r="L32" s="812" t="str">
        <f>IFERROR(IF(B32="","",IF($P$3=$AT$8,'Statement of Marks'!J31,IF($P$3=$AT$9,'Statement of Marks'!X31,IF($P$3=$AT$10,'Statement of Marks'!AM31,IF($P$3=$AT$11,'Statement of Marks'!BJ31,IF($P$3=$AT$12,'Statement of Marks'!CG31,IF($P$3=$AT$13,'Statement of Marks'!DE31,IF($P$3=$AT$14,"",IF($P$3=$AT$15,'Statement of Marks'!EY31,""))))))))),"")</f>
        <v/>
      </c>
      <c r="M32" s="812" t="str">
        <f>IFERROR(IF(B32="","",IF($P$3=$AT$8,'Statement of Marks'!K31,IF($P$3=$AT$9,'Statement of Marks'!Y31,IF($P$3=$AT$10,'Statement of Marks'!AN31,IF($P$3=$AT$11,'Statement of Marks'!BK31,IF($P$3=$AT$12,'Statement of Marks'!CH31,IF($P$3=$AT$13,'Statement of Marks'!DF31,IF($P$3=$AT$14,"",IF($P$3=$AT$15,'Statement of Marks'!EZ31,""))))))))),"")</f>
        <v/>
      </c>
      <c r="N32" s="812" t="str">
        <f>IFERROR(IF(B32="","",IF($P$3=$AT$8,'Statement of Marks'!L31,IF($P$3=$AT$9,'Statement of Marks'!Z31,IF($P$3=$AT$10,'Statement of Marks'!AO31,IF($P$3=$AT$11,'Statement of Marks'!BL31,IF($P$3=$AT$12,'Statement of Marks'!CI31,IF($P$3=$AT$13,'Statement of Marks'!DG31,IF($P$3=$AT$14,"",IF($P$3=$AT$15,'Statement of Marks'!FA31,""))))))))),"")</f>
        <v/>
      </c>
      <c r="O32" s="813" t="str">
        <f t="shared" si="4"/>
        <v/>
      </c>
      <c r="P32" s="812" t="str">
        <f>IFERROR(IF(B32="","",IF($P$3=$AT$8,'Statement of Marks'!N31,IF($P$3=$AT$9,'Statement of Marks'!AB31,IF($P$3=$AT$10,'Statement of Marks'!AQ31,IF($P$3=$AT$11,'Statement of Marks'!BN31,IF($P$3=$AT$12,'Statement of Marks'!CK31,IF($P$3=$AT$13,'Statement of Marks'!DI31,IF($P$3=$AT$14,"",IF($P$3=$AT$15,'Statement of Marks'!FC31,""))))))))),"")</f>
        <v/>
      </c>
      <c r="Q32" s="812" t="str">
        <f>IFERROR(IF(B32="","",IF($P$3=$AT$8,"",IF($P$3=$AT$9,"",IF($P$3=$AT$10,'Statement of Marks'!AR31,IF($P$3=$AT$11,'Statement of Marks'!BO31,IF($P$3=$AT$12,'Statement of Marks'!CL31,IF($P$3=$AT$13,'Statement of Marks'!DJ31,IF($P$3=$AT$14,"",IF($P$3=$AT$15,"",""))))))))),"")</f>
        <v/>
      </c>
      <c r="R32" s="824" t="str">
        <f>IFERROR(IF(B32="","",IF(AND(P32="",Q32="",$P$3=""),"",IF($P$3=$AT$14,'Statement of Marks'!EC31,SUM(P32,Q32)))),"")</f>
        <v/>
      </c>
      <c r="S32" s="823" t="str">
        <f>IFERROR(IF(B32="","",IF($P$3=$AT$14,'Statement of Marks'!ED31,IF(AND(O32="NA",P32="NA",Q32="NA"),"NA",IF(AND(O32="",P32="",Q32=""),"",SUM(O32,P32,Q32))))),"")</f>
        <v/>
      </c>
      <c r="T32" s="812" t="str">
        <f>IFERROR(IF(B32="","",IF($P$3=$AT$8,'Statement of Marks'!P31,IF($P$3=$AT$9,'Statement of Marks'!AD31,IF($P$3=$AT$10,'Statement of Marks'!AU31,IF($P$3=$AT$11,'Statement of Marks'!BR31,IF($P$3=$AT$12,'Statement of Marks'!CO31,IF($P$3=$AT$13,'Statement of Marks'!DM31,IF($P$3=$AT$14,"",IF($P$3=$AT$15,'Statement of Marks'!FD31,""))))))))),"")</f>
        <v/>
      </c>
      <c r="U32" s="812" t="str">
        <f>IFERROR(IF(B32="","",IF($P$3=$AT$8,"",IF($P$3=$AT$9,"",IF($P$3=$AT$10,'Statement of Marks'!AV31,IF($P$3=$AT$11,'Statement of Marks'!BS31,IF($P$3=$AT$12,'Statement of Marks'!CP31,IF($P$3=$AT$13,'Statement of Marks'!DN31,IF($P$3=$AT$14,"",IF($P$3=$AT$15,"",""))))))))),"")</f>
        <v/>
      </c>
      <c r="V32" s="824" t="str">
        <f>IFERROR(IF(B32="","",IF(AND(T32="",U32="",$P$3=""),"",IF($P$3=$AT$14,'Statement of Marks'!EE31,SUM(T32,U32)))),"")</f>
        <v/>
      </c>
      <c r="W32" s="814" t="str">
        <f t="shared" si="5"/>
        <v/>
      </c>
      <c r="X32" s="815">
        <f t="shared" si="6"/>
        <v>0</v>
      </c>
      <c r="Y32" s="815">
        <f t="shared" si="7"/>
        <v>0</v>
      </c>
      <c r="Z32" s="815">
        <f t="shared" si="8"/>
        <v>0</v>
      </c>
      <c r="AA32" s="815" t="str">
        <f t="shared" si="9"/>
        <v/>
      </c>
      <c r="AB32" s="815" t="str">
        <f t="shared" si="10"/>
        <v/>
      </c>
      <c r="AC32" s="815" t="str">
        <f t="shared" si="11"/>
        <v/>
      </c>
      <c r="AD32" s="815" t="str">
        <f t="shared" si="12"/>
        <v/>
      </c>
      <c r="AE32" s="816" t="str">
        <f t="shared" si="13"/>
        <v/>
      </c>
      <c r="AF32" s="817" t="str">
        <f t="shared" si="14"/>
        <v/>
      </c>
      <c r="AG32" s="818" t="str">
        <f t="shared" si="15"/>
        <v/>
      </c>
      <c r="AW32" s="17" t="str">
        <f t="shared" si="16"/>
        <v/>
      </c>
      <c r="AX32" s="17" t="str">
        <f t="shared" si="17"/>
        <v/>
      </c>
      <c r="BM32" s="17" t="str">
        <f>IFERROR(VLOOKUP(B32,'Statement of Marks'!$B$8:'Statement of Marks'!$HI$207,37,0),"")</f>
        <v>A</v>
      </c>
      <c r="BN32" s="17" t="str">
        <f>IFERROR(VLOOKUP(B32,'Statement of Marks'!$B$8:'Statement of Marks'!$HI$207,60,0),"")</f>
        <v>A</v>
      </c>
      <c r="BO32" s="17" t="str">
        <f>IFERROR(VLOOKUP(B32,'Statement of Marks'!$B$8:'Statement of Marks'!$HI$207,83,0),"")</f>
        <v>A</v>
      </c>
      <c r="BP32" s="17" t="str">
        <f>IFERROR(VLOOKUP(B32,'Statement of Marks'!$B$8:'Statement of Marks'!$HI$207,107,0),"")</f>
        <v/>
      </c>
    </row>
    <row r="33" spans="1:68">
      <c r="A33" s="806">
        <f>IF('Statement of Marks'!A32="","",'Statement of Marks'!A32)</f>
        <v>25</v>
      </c>
      <c r="B33" s="807" t="str">
        <f>IF(OR($E$3="",$P$3=""),"",IF('Statement of Marks'!B32="","",'Statement of Marks'!B32))</f>
        <v/>
      </c>
      <c r="C33" s="816" t="str">
        <f>IF(OR($E$3="",$P$3=""),"",IF('Marks Entry'!C32="","",'Marks Entry'!C32))</f>
        <v/>
      </c>
      <c r="D33" s="808" t="str">
        <f>IF(OR($E$3="",$P$3=""),"",IF('Statement of Marks'!C32="","",'Statement of Marks'!C32))</f>
        <v/>
      </c>
      <c r="E33" s="809" t="str">
        <f>IF(OR($E$3="",$P$3=""),"",IF('Statement of Marks'!D32="","",'Statement of Marks'!D32))</f>
        <v/>
      </c>
      <c r="F33" s="810" t="str">
        <f>IF(OR($E$3="",$P$3=""),"",IF('Statement of Marks'!E32="","",'Statement of Marks'!E32))</f>
        <v/>
      </c>
      <c r="G33" s="810" t="str">
        <f>IF(OR($E$3="",$P$3=""),"",IF('Statement of Marks'!F32="","",'Statement of Marks'!F32))</f>
        <v/>
      </c>
      <c r="H33" s="810" t="str">
        <f>IF(OR($E$3="",$P$3=""),"",IF('Statement of Marks'!G32="","",'Statement of Marks'!G32))</f>
        <v/>
      </c>
      <c r="I33" s="811" t="str">
        <f>IF(OR($E$3="",$P$3=""),"",IF('Statement of Marks'!H32="","",'Statement of Marks'!H32))</f>
        <v/>
      </c>
      <c r="J33" s="811" t="str">
        <f>IF(OR($E$3="",$P$3=""),"",IF('Statement of Marks'!I32="","",'Statement of Marks'!I32))</f>
        <v/>
      </c>
      <c r="K33" s="811" t="str">
        <f>IFERROR(IF(B33="","",IF($P$3=$AT$10,IF(AND(BM33="A"),'Marks Entry'!$U$2,IF(AND(BM33="B"),'Marks Entry'!$Y$2,IF(AND(BM33="C"),'Marks Entry'!$AA$2,""))),IF($P$3=$AT$11,IF(AND(BN33="A"),'Marks Entry'!$AC$2,IF(AND(BN33="B"),'Marks Entry'!$AG$2,IF(AND(BN33="C"),'Marks Entry'!$AI$2,""))),IF($P$3=$AT$12,IF(AND(BO33="A"),'Marks Entry'!$AK$2,IF(AND(BO33="B"),'Marks Entry'!$AO$2,IF(AND(BO33="C"),'Marks Entry'!$AQ$2,""))),IF($P$3=$AT$13,IF(AND(BP33="A"),'Marks Entry'!$AS$2,IF(AND(BP33="B"),'Marks Entry'!$AW$2,IF(AND(BP33="C"),'Marks Entry'!$AY$2,""))),"-"))))),"")</f>
        <v/>
      </c>
      <c r="L33" s="812" t="str">
        <f>IFERROR(IF(B33="","",IF($P$3=$AT$8,'Statement of Marks'!J32,IF($P$3=$AT$9,'Statement of Marks'!X32,IF($P$3=$AT$10,'Statement of Marks'!AM32,IF($P$3=$AT$11,'Statement of Marks'!BJ32,IF($P$3=$AT$12,'Statement of Marks'!CG32,IF($P$3=$AT$13,'Statement of Marks'!DE32,IF($P$3=$AT$14,"",IF($P$3=$AT$15,'Statement of Marks'!EY32,""))))))))),"")</f>
        <v/>
      </c>
      <c r="M33" s="812" t="str">
        <f>IFERROR(IF(B33="","",IF($P$3=$AT$8,'Statement of Marks'!K32,IF($P$3=$AT$9,'Statement of Marks'!Y32,IF($P$3=$AT$10,'Statement of Marks'!AN32,IF($P$3=$AT$11,'Statement of Marks'!BK32,IF($P$3=$AT$12,'Statement of Marks'!CH32,IF($P$3=$AT$13,'Statement of Marks'!DF32,IF($P$3=$AT$14,"",IF($P$3=$AT$15,'Statement of Marks'!EZ32,""))))))))),"")</f>
        <v/>
      </c>
      <c r="N33" s="812" t="str">
        <f>IFERROR(IF(B33="","",IF($P$3=$AT$8,'Statement of Marks'!L32,IF($P$3=$AT$9,'Statement of Marks'!Z32,IF($P$3=$AT$10,'Statement of Marks'!AO32,IF($P$3=$AT$11,'Statement of Marks'!BL32,IF($P$3=$AT$12,'Statement of Marks'!CI32,IF($P$3=$AT$13,'Statement of Marks'!DG32,IF($P$3=$AT$14,"",IF($P$3=$AT$15,'Statement of Marks'!FA32,""))))))))),"")</f>
        <v/>
      </c>
      <c r="O33" s="813" t="str">
        <f t="shared" si="4"/>
        <v/>
      </c>
      <c r="P33" s="812" t="str">
        <f>IFERROR(IF(B33="","",IF($P$3=$AT$8,'Statement of Marks'!N32,IF($P$3=$AT$9,'Statement of Marks'!AB32,IF($P$3=$AT$10,'Statement of Marks'!AQ32,IF($P$3=$AT$11,'Statement of Marks'!BN32,IF($P$3=$AT$12,'Statement of Marks'!CK32,IF($P$3=$AT$13,'Statement of Marks'!DI32,IF($P$3=$AT$14,"",IF($P$3=$AT$15,'Statement of Marks'!FC32,""))))))))),"")</f>
        <v/>
      </c>
      <c r="Q33" s="812" t="str">
        <f>IFERROR(IF(B33="","",IF($P$3=$AT$8,"",IF($P$3=$AT$9,"",IF($P$3=$AT$10,'Statement of Marks'!AR32,IF($P$3=$AT$11,'Statement of Marks'!BO32,IF($P$3=$AT$12,'Statement of Marks'!CL32,IF($P$3=$AT$13,'Statement of Marks'!DJ32,IF($P$3=$AT$14,"",IF($P$3=$AT$15,"",""))))))))),"")</f>
        <v/>
      </c>
      <c r="R33" s="824" t="str">
        <f>IFERROR(IF(B33="","",IF(AND(P33="",Q33="",$P$3=""),"",IF($P$3=$AT$14,'Statement of Marks'!EC32,SUM(P33,Q33)))),"")</f>
        <v/>
      </c>
      <c r="S33" s="823" t="str">
        <f>IFERROR(IF(B33="","",IF($P$3=$AT$14,'Statement of Marks'!ED32,IF(AND(O33="NA",P33="NA",Q33="NA"),"NA",IF(AND(O33="",P33="",Q33=""),"",SUM(O33,P33,Q33))))),"")</f>
        <v/>
      </c>
      <c r="T33" s="812" t="str">
        <f>IFERROR(IF(B33="","",IF($P$3=$AT$8,'Statement of Marks'!P32,IF($P$3=$AT$9,'Statement of Marks'!AD32,IF($P$3=$AT$10,'Statement of Marks'!AU32,IF($P$3=$AT$11,'Statement of Marks'!BR32,IF($P$3=$AT$12,'Statement of Marks'!CO32,IF($P$3=$AT$13,'Statement of Marks'!DM32,IF($P$3=$AT$14,"",IF($P$3=$AT$15,'Statement of Marks'!FD32,""))))))))),"")</f>
        <v/>
      </c>
      <c r="U33" s="812" t="str">
        <f>IFERROR(IF(B33="","",IF($P$3=$AT$8,"",IF($P$3=$AT$9,"",IF($P$3=$AT$10,'Statement of Marks'!AV32,IF($P$3=$AT$11,'Statement of Marks'!BS32,IF($P$3=$AT$12,'Statement of Marks'!CP32,IF($P$3=$AT$13,'Statement of Marks'!DN32,IF($P$3=$AT$14,"",IF($P$3=$AT$15,"",""))))))))),"")</f>
        <v/>
      </c>
      <c r="V33" s="824" t="str">
        <f>IFERROR(IF(B33="","",IF(AND(T33="",U33="",$P$3=""),"",IF($P$3=$AT$14,'Statement of Marks'!EE32,SUM(T33,U33)))),"")</f>
        <v/>
      </c>
      <c r="W33" s="814" t="str">
        <f t="shared" si="5"/>
        <v/>
      </c>
      <c r="X33" s="815">
        <f t="shared" si="6"/>
        <v>0</v>
      </c>
      <c r="Y33" s="815">
        <f t="shared" si="7"/>
        <v>0</v>
      </c>
      <c r="Z33" s="815">
        <f t="shared" si="8"/>
        <v>0</v>
      </c>
      <c r="AA33" s="815" t="str">
        <f t="shared" si="9"/>
        <v/>
      </c>
      <c r="AB33" s="815" t="str">
        <f t="shared" si="10"/>
        <v/>
      </c>
      <c r="AC33" s="815" t="str">
        <f t="shared" si="11"/>
        <v/>
      </c>
      <c r="AD33" s="815" t="str">
        <f t="shared" si="12"/>
        <v/>
      </c>
      <c r="AE33" s="816" t="str">
        <f t="shared" si="13"/>
        <v/>
      </c>
      <c r="AF33" s="817" t="str">
        <f t="shared" si="14"/>
        <v/>
      </c>
      <c r="AG33" s="818" t="str">
        <f t="shared" si="15"/>
        <v/>
      </c>
      <c r="AW33" s="17" t="str">
        <f t="shared" si="16"/>
        <v/>
      </c>
      <c r="AX33" s="17" t="str">
        <f t="shared" si="17"/>
        <v/>
      </c>
      <c r="BM33" s="17" t="str">
        <f>IFERROR(VLOOKUP(B33,'Statement of Marks'!$B$8:'Statement of Marks'!$HI$207,37,0),"")</f>
        <v>A</v>
      </c>
      <c r="BN33" s="17" t="str">
        <f>IFERROR(VLOOKUP(B33,'Statement of Marks'!$B$8:'Statement of Marks'!$HI$207,60,0),"")</f>
        <v>A</v>
      </c>
      <c r="BO33" s="17" t="str">
        <f>IFERROR(VLOOKUP(B33,'Statement of Marks'!$B$8:'Statement of Marks'!$HI$207,83,0),"")</f>
        <v>A</v>
      </c>
      <c r="BP33" s="17" t="str">
        <f>IFERROR(VLOOKUP(B33,'Statement of Marks'!$B$8:'Statement of Marks'!$HI$207,107,0),"")</f>
        <v/>
      </c>
    </row>
    <row r="34" spans="1:68">
      <c r="A34" s="806">
        <f>IF('Statement of Marks'!A33="","",'Statement of Marks'!A33)</f>
        <v>26</v>
      </c>
      <c r="B34" s="807" t="str">
        <f>IF(OR($E$3="",$P$3=""),"",IF('Statement of Marks'!B33="","",'Statement of Marks'!B33))</f>
        <v/>
      </c>
      <c r="C34" s="816" t="str">
        <f>IF(OR($E$3="",$P$3=""),"",IF('Marks Entry'!C33="","",'Marks Entry'!C33))</f>
        <v/>
      </c>
      <c r="D34" s="808" t="str">
        <f>IF(OR($E$3="",$P$3=""),"",IF('Statement of Marks'!C33="","",'Statement of Marks'!C33))</f>
        <v/>
      </c>
      <c r="E34" s="809" t="str">
        <f>IF(OR($E$3="",$P$3=""),"",IF('Statement of Marks'!D33="","",'Statement of Marks'!D33))</f>
        <v/>
      </c>
      <c r="F34" s="810" t="str">
        <f>IF(OR($E$3="",$P$3=""),"",IF('Statement of Marks'!E33="","",'Statement of Marks'!E33))</f>
        <v/>
      </c>
      <c r="G34" s="810" t="str">
        <f>IF(OR($E$3="",$P$3=""),"",IF('Statement of Marks'!F33="","",'Statement of Marks'!F33))</f>
        <v/>
      </c>
      <c r="H34" s="810" t="str">
        <f>IF(OR($E$3="",$P$3=""),"",IF('Statement of Marks'!G33="","",'Statement of Marks'!G33))</f>
        <v/>
      </c>
      <c r="I34" s="811" t="str">
        <f>IF(OR($E$3="",$P$3=""),"",IF('Statement of Marks'!H33="","",'Statement of Marks'!H33))</f>
        <v/>
      </c>
      <c r="J34" s="811" t="str">
        <f>IF(OR($E$3="",$P$3=""),"",IF('Statement of Marks'!I33="","",'Statement of Marks'!I33))</f>
        <v/>
      </c>
      <c r="K34" s="811" t="str">
        <f>IFERROR(IF(B34="","",IF($P$3=$AT$10,IF(AND(BM34="A"),'Marks Entry'!$U$2,IF(AND(BM34="B"),'Marks Entry'!$Y$2,IF(AND(BM34="C"),'Marks Entry'!$AA$2,""))),IF($P$3=$AT$11,IF(AND(BN34="A"),'Marks Entry'!$AC$2,IF(AND(BN34="B"),'Marks Entry'!$AG$2,IF(AND(BN34="C"),'Marks Entry'!$AI$2,""))),IF($P$3=$AT$12,IF(AND(BO34="A"),'Marks Entry'!$AK$2,IF(AND(BO34="B"),'Marks Entry'!$AO$2,IF(AND(BO34="C"),'Marks Entry'!$AQ$2,""))),IF($P$3=$AT$13,IF(AND(BP34="A"),'Marks Entry'!$AS$2,IF(AND(BP34="B"),'Marks Entry'!$AW$2,IF(AND(BP34="C"),'Marks Entry'!$AY$2,""))),"-"))))),"")</f>
        <v/>
      </c>
      <c r="L34" s="812" t="str">
        <f>IFERROR(IF(B34="","",IF($P$3=$AT$8,'Statement of Marks'!J33,IF($P$3=$AT$9,'Statement of Marks'!X33,IF($P$3=$AT$10,'Statement of Marks'!AM33,IF($P$3=$AT$11,'Statement of Marks'!BJ33,IF($P$3=$AT$12,'Statement of Marks'!CG33,IF($P$3=$AT$13,'Statement of Marks'!DE33,IF($P$3=$AT$14,"",IF($P$3=$AT$15,'Statement of Marks'!EY33,""))))))))),"")</f>
        <v/>
      </c>
      <c r="M34" s="812" t="str">
        <f>IFERROR(IF(B34="","",IF($P$3=$AT$8,'Statement of Marks'!K33,IF($P$3=$AT$9,'Statement of Marks'!Y33,IF($P$3=$AT$10,'Statement of Marks'!AN33,IF($P$3=$AT$11,'Statement of Marks'!BK33,IF($P$3=$AT$12,'Statement of Marks'!CH33,IF($P$3=$AT$13,'Statement of Marks'!DF33,IF($P$3=$AT$14,"",IF($P$3=$AT$15,'Statement of Marks'!EZ33,""))))))))),"")</f>
        <v/>
      </c>
      <c r="N34" s="812" t="str">
        <f>IFERROR(IF(B34="","",IF($P$3=$AT$8,'Statement of Marks'!L33,IF($P$3=$AT$9,'Statement of Marks'!Z33,IF($P$3=$AT$10,'Statement of Marks'!AO33,IF($P$3=$AT$11,'Statement of Marks'!BL33,IF($P$3=$AT$12,'Statement of Marks'!CI33,IF($P$3=$AT$13,'Statement of Marks'!DG33,IF($P$3=$AT$14,"",IF($P$3=$AT$15,'Statement of Marks'!FA33,""))))))))),"")</f>
        <v/>
      </c>
      <c r="O34" s="813" t="str">
        <f t="shared" si="4"/>
        <v/>
      </c>
      <c r="P34" s="812" t="str">
        <f>IFERROR(IF(B34="","",IF($P$3=$AT$8,'Statement of Marks'!N33,IF($P$3=$AT$9,'Statement of Marks'!AB33,IF($P$3=$AT$10,'Statement of Marks'!AQ33,IF($P$3=$AT$11,'Statement of Marks'!BN33,IF($P$3=$AT$12,'Statement of Marks'!CK33,IF($P$3=$AT$13,'Statement of Marks'!DI33,IF($P$3=$AT$14,"",IF($P$3=$AT$15,'Statement of Marks'!FC33,""))))))))),"")</f>
        <v/>
      </c>
      <c r="Q34" s="812" t="str">
        <f>IFERROR(IF(B34="","",IF($P$3=$AT$8,"",IF($P$3=$AT$9,"",IF($P$3=$AT$10,'Statement of Marks'!AR33,IF($P$3=$AT$11,'Statement of Marks'!BO33,IF($P$3=$AT$12,'Statement of Marks'!CL33,IF($P$3=$AT$13,'Statement of Marks'!DJ33,IF($P$3=$AT$14,"",IF($P$3=$AT$15,"",""))))))))),"")</f>
        <v/>
      </c>
      <c r="R34" s="824" t="str">
        <f>IFERROR(IF(B34="","",IF(AND(P34="",Q34="",$P$3=""),"",IF($P$3=$AT$14,'Statement of Marks'!EC33,SUM(P34,Q34)))),"")</f>
        <v/>
      </c>
      <c r="S34" s="823" t="str">
        <f>IFERROR(IF(B34="","",IF($P$3=$AT$14,'Statement of Marks'!ED33,IF(AND(O34="NA",P34="NA",Q34="NA"),"NA",IF(AND(O34="",P34="",Q34=""),"",SUM(O34,P34,Q34))))),"")</f>
        <v/>
      </c>
      <c r="T34" s="812" t="str">
        <f>IFERROR(IF(B34="","",IF($P$3=$AT$8,'Statement of Marks'!P33,IF($P$3=$AT$9,'Statement of Marks'!AD33,IF($P$3=$AT$10,'Statement of Marks'!AU33,IF($P$3=$AT$11,'Statement of Marks'!BR33,IF($P$3=$AT$12,'Statement of Marks'!CO33,IF($P$3=$AT$13,'Statement of Marks'!DM33,IF($P$3=$AT$14,"",IF($P$3=$AT$15,'Statement of Marks'!FD33,""))))))))),"")</f>
        <v/>
      </c>
      <c r="U34" s="812" t="str">
        <f>IFERROR(IF(B34="","",IF($P$3=$AT$8,"",IF($P$3=$AT$9,"",IF($P$3=$AT$10,'Statement of Marks'!AV33,IF($P$3=$AT$11,'Statement of Marks'!BS33,IF($P$3=$AT$12,'Statement of Marks'!CP33,IF($P$3=$AT$13,'Statement of Marks'!DN33,IF($P$3=$AT$14,"",IF($P$3=$AT$15,"",""))))))))),"")</f>
        <v/>
      </c>
      <c r="V34" s="824" t="str">
        <f>IFERROR(IF(B34="","",IF(AND(T34="",U34="",$P$3=""),"",IF($P$3=$AT$14,'Statement of Marks'!EE33,SUM(T34,U34)))),"")</f>
        <v/>
      </c>
      <c r="W34" s="814" t="str">
        <f t="shared" si="5"/>
        <v/>
      </c>
      <c r="X34" s="815">
        <f t="shared" si="6"/>
        <v>0</v>
      </c>
      <c r="Y34" s="815">
        <f t="shared" si="7"/>
        <v>0</v>
      </c>
      <c r="Z34" s="815">
        <f t="shared" si="8"/>
        <v>0</v>
      </c>
      <c r="AA34" s="815" t="str">
        <f t="shared" si="9"/>
        <v/>
      </c>
      <c r="AB34" s="815" t="str">
        <f t="shared" si="10"/>
        <v/>
      </c>
      <c r="AC34" s="815" t="str">
        <f t="shared" si="11"/>
        <v/>
      </c>
      <c r="AD34" s="815" t="str">
        <f t="shared" si="12"/>
        <v/>
      </c>
      <c r="AE34" s="816" t="str">
        <f t="shared" si="13"/>
        <v/>
      </c>
      <c r="AF34" s="817" t="str">
        <f t="shared" si="14"/>
        <v/>
      </c>
      <c r="AG34" s="818" t="str">
        <f t="shared" si="15"/>
        <v/>
      </c>
      <c r="AW34" s="17" t="str">
        <f t="shared" si="16"/>
        <v/>
      </c>
      <c r="AX34" s="17" t="str">
        <f t="shared" si="17"/>
        <v/>
      </c>
      <c r="BM34" s="17" t="str">
        <f>IFERROR(VLOOKUP(B34,'Statement of Marks'!$B$8:'Statement of Marks'!$HI$207,37,0),"")</f>
        <v>A</v>
      </c>
      <c r="BN34" s="17" t="str">
        <f>IFERROR(VLOOKUP(B34,'Statement of Marks'!$B$8:'Statement of Marks'!$HI$207,60,0),"")</f>
        <v>A</v>
      </c>
      <c r="BO34" s="17" t="str">
        <f>IFERROR(VLOOKUP(B34,'Statement of Marks'!$B$8:'Statement of Marks'!$HI$207,83,0),"")</f>
        <v>A</v>
      </c>
      <c r="BP34" s="17" t="str">
        <f>IFERROR(VLOOKUP(B34,'Statement of Marks'!$B$8:'Statement of Marks'!$HI$207,107,0),"")</f>
        <v/>
      </c>
    </row>
    <row r="35" spans="1:68">
      <c r="A35" s="806">
        <f>IF('Statement of Marks'!A34="","",'Statement of Marks'!A34)</f>
        <v>27</v>
      </c>
      <c r="B35" s="807" t="str">
        <f>IF(OR($E$3="",$P$3=""),"",IF('Statement of Marks'!B34="","",'Statement of Marks'!B34))</f>
        <v/>
      </c>
      <c r="C35" s="816" t="str">
        <f>IF(OR($E$3="",$P$3=""),"",IF('Marks Entry'!C34="","",'Marks Entry'!C34))</f>
        <v/>
      </c>
      <c r="D35" s="808" t="str">
        <f>IF(OR($E$3="",$P$3=""),"",IF('Statement of Marks'!C34="","",'Statement of Marks'!C34))</f>
        <v/>
      </c>
      <c r="E35" s="809" t="str">
        <f>IF(OR($E$3="",$P$3=""),"",IF('Statement of Marks'!D34="","",'Statement of Marks'!D34))</f>
        <v/>
      </c>
      <c r="F35" s="810" t="str">
        <f>IF(OR($E$3="",$P$3=""),"",IF('Statement of Marks'!E34="","",'Statement of Marks'!E34))</f>
        <v/>
      </c>
      <c r="G35" s="810" t="str">
        <f>IF(OR($E$3="",$P$3=""),"",IF('Statement of Marks'!F34="","",'Statement of Marks'!F34))</f>
        <v/>
      </c>
      <c r="H35" s="810" t="str">
        <f>IF(OR($E$3="",$P$3=""),"",IF('Statement of Marks'!G34="","",'Statement of Marks'!G34))</f>
        <v/>
      </c>
      <c r="I35" s="811" t="str">
        <f>IF(OR($E$3="",$P$3=""),"",IF('Statement of Marks'!H34="","",'Statement of Marks'!H34))</f>
        <v/>
      </c>
      <c r="J35" s="811" t="str">
        <f>IF(OR($E$3="",$P$3=""),"",IF('Statement of Marks'!I34="","",'Statement of Marks'!I34))</f>
        <v/>
      </c>
      <c r="K35" s="811" t="str">
        <f>IFERROR(IF(B35="","",IF($P$3=$AT$10,IF(AND(BM35="A"),'Marks Entry'!$U$2,IF(AND(BM35="B"),'Marks Entry'!$Y$2,IF(AND(BM35="C"),'Marks Entry'!$AA$2,""))),IF($P$3=$AT$11,IF(AND(BN35="A"),'Marks Entry'!$AC$2,IF(AND(BN35="B"),'Marks Entry'!$AG$2,IF(AND(BN35="C"),'Marks Entry'!$AI$2,""))),IF($P$3=$AT$12,IF(AND(BO35="A"),'Marks Entry'!$AK$2,IF(AND(BO35="B"),'Marks Entry'!$AO$2,IF(AND(BO35="C"),'Marks Entry'!$AQ$2,""))),IF($P$3=$AT$13,IF(AND(BP35="A"),'Marks Entry'!$AS$2,IF(AND(BP35="B"),'Marks Entry'!$AW$2,IF(AND(BP35="C"),'Marks Entry'!$AY$2,""))),"-"))))),"")</f>
        <v/>
      </c>
      <c r="L35" s="812" t="str">
        <f>IFERROR(IF(B35="","",IF($P$3=$AT$8,'Statement of Marks'!J34,IF($P$3=$AT$9,'Statement of Marks'!X34,IF($P$3=$AT$10,'Statement of Marks'!AM34,IF($P$3=$AT$11,'Statement of Marks'!BJ34,IF($P$3=$AT$12,'Statement of Marks'!CG34,IF($P$3=$AT$13,'Statement of Marks'!DE34,IF($P$3=$AT$14,"",IF($P$3=$AT$15,'Statement of Marks'!EY34,""))))))))),"")</f>
        <v/>
      </c>
      <c r="M35" s="812" t="str">
        <f>IFERROR(IF(B35="","",IF($P$3=$AT$8,'Statement of Marks'!K34,IF($P$3=$AT$9,'Statement of Marks'!Y34,IF($P$3=$AT$10,'Statement of Marks'!AN34,IF($P$3=$AT$11,'Statement of Marks'!BK34,IF($P$3=$AT$12,'Statement of Marks'!CH34,IF($P$3=$AT$13,'Statement of Marks'!DF34,IF($P$3=$AT$14,"",IF($P$3=$AT$15,'Statement of Marks'!EZ34,""))))))))),"")</f>
        <v/>
      </c>
      <c r="N35" s="812" t="str">
        <f>IFERROR(IF(B35="","",IF($P$3=$AT$8,'Statement of Marks'!L34,IF($P$3=$AT$9,'Statement of Marks'!Z34,IF($P$3=$AT$10,'Statement of Marks'!AO34,IF($P$3=$AT$11,'Statement of Marks'!BL34,IF($P$3=$AT$12,'Statement of Marks'!CI34,IF($P$3=$AT$13,'Statement of Marks'!DG34,IF($P$3=$AT$14,"",IF($P$3=$AT$15,'Statement of Marks'!FA34,""))))))))),"")</f>
        <v/>
      </c>
      <c r="O35" s="813" t="str">
        <f t="shared" si="4"/>
        <v/>
      </c>
      <c r="P35" s="812" t="str">
        <f>IFERROR(IF(B35="","",IF($P$3=$AT$8,'Statement of Marks'!N34,IF($P$3=$AT$9,'Statement of Marks'!AB34,IF($P$3=$AT$10,'Statement of Marks'!AQ34,IF($P$3=$AT$11,'Statement of Marks'!BN34,IF($P$3=$AT$12,'Statement of Marks'!CK34,IF($P$3=$AT$13,'Statement of Marks'!DI34,IF($P$3=$AT$14,"",IF($P$3=$AT$15,'Statement of Marks'!FC34,""))))))))),"")</f>
        <v/>
      </c>
      <c r="Q35" s="812" t="str">
        <f>IFERROR(IF(B35="","",IF($P$3=$AT$8,"",IF($P$3=$AT$9,"",IF($P$3=$AT$10,'Statement of Marks'!AR34,IF($P$3=$AT$11,'Statement of Marks'!BO34,IF($P$3=$AT$12,'Statement of Marks'!CL34,IF($P$3=$AT$13,'Statement of Marks'!DJ34,IF($P$3=$AT$14,"",IF($P$3=$AT$15,"",""))))))))),"")</f>
        <v/>
      </c>
      <c r="R35" s="824" t="str">
        <f>IFERROR(IF(B35="","",IF(AND(P35="",Q35="",$P$3=""),"",IF($P$3=$AT$14,'Statement of Marks'!EC34,SUM(P35,Q35)))),"")</f>
        <v/>
      </c>
      <c r="S35" s="823" t="str">
        <f>IFERROR(IF(B35="","",IF($P$3=$AT$14,'Statement of Marks'!ED34,IF(AND(O35="NA",P35="NA",Q35="NA"),"NA",IF(AND(O35="",P35="",Q35=""),"",SUM(O35,P35,Q35))))),"")</f>
        <v/>
      </c>
      <c r="T35" s="812" t="str">
        <f>IFERROR(IF(B35="","",IF($P$3=$AT$8,'Statement of Marks'!P34,IF($P$3=$AT$9,'Statement of Marks'!AD34,IF($P$3=$AT$10,'Statement of Marks'!AU34,IF($P$3=$AT$11,'Statement of Marks'!BR34,IF($P$3=$AT$12,'Statement of Marks'!CO34,IF($P$3=$AT$13,'Statement of Marks'!DM34,IF($P$3=$AT$14,"",IF($P$3=$AT$15,'Statement of Marks'!FD34,""))))))))),"")</f>
        <v/>
      </c>
      <c r="U35" s="812" t="str">
        <f>IFERROR(IF(B35="","",IF($P$3=$AT$8,"",IF($P$3=$AT$9,"",IF($P$3=$AT$10,'Statement of Marks'!AV34,IF($P$3=$AT$11,'Statement of Marks'!BS34,IF($P$3=$AT$12,'Statement of Marks'!CP34,IF($P$3=$AT$13,'Statement of Marks'!DN34,IF($P$3=$AT$14,"",IF($P$3=$AT$15,"",""))))))))),"")</f>
        <v/>
      </c>
      <c r="V35" s="824" t="str">
        <f>IFERROR(IF(B35="","",IF(AND(T35="",U35="",$P$3=""),"",IF($P$3=$AT$14,'Statement of Marks'!EE34,SUM(T35,U35)))),"")</f>
        <v/>
      </c>
      <c r="W35" s="814" t="str">
        <f t="shared" si="5"/>
        <v/>
      </c>
      <c r="X35" s="815">
        <f t="shared" si="6"/>
        <v>0</v>
      </c>
      <c r="Y35" s="815">
        <f t="shared" si="7"/>
        <v>0</v>
      </c>
      <c r="Z35" s="815">
        <f t="shared" si="8"/>
        <v>0</v>
      </c>
      <c r="AA35" s="815" t="str">
        <f t="shared" si="9"/>
        <v/>
      </c>
      <c r="AB35" s="815" t="str">
        <f t="shared" si="10"/>
        <v/>
      </c>
      <c r="AC35" s="815" t="str">
        <f t="shared" si="11"/>
        <v/>
      </c>
      <c r="AD35" s="815" t="str">
        <f t="shared" si="12"/>
        <v/>
      </c>
      <c r="AE35" s="816" t="str">
        <f t="shared" si="13"/>
        <v/>
      </c>
      <c r="AF35" s="817" t="str">
        <f t="shared" si="14"/>
        <v/>
      </c>
      <c r="AG35" s="818" t="str">
        <f t="shared" si="15"/>
        <v/>
      </c>
      <c r="AW35" s="17" t="str">
        <f t="shared" si="16"/>
        <v/>
      </c>
      <c r="AX35" s="17" t="str">
        <f t="shared" si="17"/>
        <v/>
      </c>
      <c r="BM35" s="17" t="str">
        <f>IFERROR(VLOOKUP(B35,'Statement of Marks'!$B$8:'Statement of Marks'!$HI$207,37,0),"")</f>
        <v>A</v>
      </c>
      <c r="BN35" s="17" t="str">
        <f>IFERROR(VLOOKUP(B35,'Statement of Marks'!$B$8:'Statement of Marks'!$HI$207,60,0),"")</f>
        <v>A</v>
      </c>
      <c r="BO35" s="17" t="str">
        <f>IFERROR(VLOOKUP(B35,'Statement of Marks'!$B$8:'Statement of Marks'!$HI$207,83,0),"")</f>
        <v>A</v>
      </c>
      <c r="BP35" s="17" t="str">
        <f>IFERROR(VLOOKUP(B35,'Statement of Marks'!$B$8:'Statement of Marks'!$HI$207,107,0),"")</f>
        <v/>
      </c>
    </row>
    <row r="36" spans="1:68">
      <c r="A36" s="806">
        <f>IF('Statement of Marks'!A35="","",'Statement of Marks'!A35)</f>
        <v>28</v>
      </c>
      <c r="B36" s="807" t="str">
        <f>IF(OR($E$3="",$P$3=""),"",IF('Statement of Marks'!B35="","",'Statement of Marks'!B35))</f>
        <v/>
      </c>
      <c r="C36" s="816" t="str">
        <f>IF(OR($E$3="",$P$3=""),"",IF('Marks Entry'!C35="","",'Marks Entry'!C35))</f>
        <v/>
      </c>
      <c r="D36" s="808" t="str">
        <f>IF(OR($E$3="",$P$3=""),"",IF('Statement of Marks'!C35="","",'Statement of Marks'!C35))</f>
        <v/>
      </c>
      <c r="E36" s="809" t="str">
        <f>IF(OR($E$3="",$P$3=""),"",IF('Statement of Marks'!D35="","",'Statement of Marks'!D35))</f>
        <v/>
      </c>
      <c r="F36" s="810" t="str">
        <f>IF(OR($E$3="",$P$3=""),"",IF('Statement of Marks'!E35="","",'Statement of Marks'!E35))</f>
        <v/>
      </c>
      <c r="G36" s="810" t="str">
        <f>IF(OR($E$3="",$P$3=""),"",IF('Statement of Marks'!F35="","",'Statement of Marks'!F35))</f>
        <v/>
      </c>
      <c r="H36" s="810" t="str">
        <f>IF(OR($E$3="",$P$3=""),"",IF('Statement of Marks'!G35="","",'Statement of Marks'!G35))</f>
        <v/>
      </c>
      <c r="I36" s="811" t="str">
        <f>IF(OR($E$3="",$P$3=""),"",IF('Statement of Marks'!H35="","",'Statement of Marks'!H35))</f>
        <v/>
      </c>
      <c r="J36" s="811" t="str">
        <f>IF(OR($E$3="",$P$3=""),"",IF('Statement of Marks'!I35="","",'Statement of Marks'!I35))</f>
        <v/>
      </c>
      <c r="K36" s="811" t="str">
        <f>IFERROR(IF(B36="","",IF($P$3=$AT$10,IF(AND(BM36="A"),'Marks Entry'!$U$2,IF(AND(BM36="B"),'Marks Entry'!$Y$2,IF(AND(BM36="C"),'Marks Entry'!$AA$2,""))),IF($P$3=$AT$11,IF(AND(BN36="A"),'Marks Entry'!$AC$2,IF(AND(BN36="B"),'Marks Entry'!$AG$2,IF(AND(BN36="C"),'Marks Entry'!$AI$2,""))),IF($P$3=$AT$12,IF(AND(BO36="A"),'Marks Entry'!$AK$2,IF(AND(BO36="B"),'Marks Entry'!$AO$2,IF(AND(BO36="C"),'Marks Entry'!$AQ$2,""))),IF($P$3=$AT$13,IF(AND(BP36="A"),'Marks Entry'!$AS$2,IF(AND(BP36="B"),'Marks Entry'!$AW$2,IF(AND(BP36="C"),'Marks Entry'!$AY$2,""))),"-"))))),"")</f>
        <v/>
      </c>
      <c r="L36" s="812" t="str">
        <f>IFERROR(IF(B36="","",IF($P$3=$AT$8,'Statement of Marks'!J35,IF($P$3=$AT$9,'Statement of Marks'!X35,IF($P$3=$AT$10,'Statement of Marks'!AM35,IF($P$3=$AT$11,'Statement of Marks'!BJ35,IF($P$3=$AT$12,'Statement of Marks'!CG35,IF($P$3=$AT$13,'Statement of Marks'!DE35,IF($P$3=$AT$14,"",IF($P$3=$AT$15,'Statement of Marks'!EY35,""))))))))),"")</f>
        <v/>
      </c>
      <c r="M36" s="812" t="str">
        <f>IFERROR(IF(B36="","",IF($P$3=$AT$8,'Statement of Marks'!K35,IF($P$3=$AT$9,'Statement of Marks'!Y35,IF($P$3=$AT$10,'Statement of Marks'!AN35,IF($P$3=$AT$11,'Statement of Marks'!BK35,IF($P$3=$AT$12,'Statement of Marks'!CH35,IF($P$3=$AT$13,'Statement of Marks'!DF35,IF($P$3=$AT$14,"",IF($P$3=$AT$15,'Statement of Marks'!EZ35,""))))))))),"")</f>
        <v/>
      </c>
      <c r="N36" s="812" t="str">
        <f>IFERROR(IF(B36="","",IF($P$3=$AT$8,'Statement of Marks'!L35,IF($P$3=$AT$9,'Statement of Marks'!Z35,IF($P$3=$AT$10,'Statement of Marks'!AO35,IF($P$3=$AT$11,'Statement of Marks'!BL35,IF($P$3=$AT$12,'Statement of Marks'!CI35,IF($P$3=$AT$13,'Statement of Marks'!DG35,IF($P$3=$AT$14,"",IF($P$3=$AT$15,'Statement of Marks'!FA35,""))))))))),"")</f>
        <v/>
      </c>
      <c r="O36" s="813" t="str">
        <f t="shared" si="4"/>
        <v/>
      </c>
      <c r="P36" s="812" t="str">
        <f>IFERROR(IF(B36="","",IF($P$3=$AT$8,'Statement of Marks'!N35,IF($P$3=$AT$9,'Statement of Marks'!AB35,IF($P$3=$AT$10,'Statement of Marks'!AQ35,IF($P$3=$AT$11,'Statement of Marks'!BN35,IF($P$3=$AT$12,'Statement of Marks'!CK35,IF($P$3=$AT$13,'Statement of Marks'!DI35,IF($P$3=$AT$14,"",IF($P$3=$AT$15,'Statement of Marks'!FC35,""))))))))),"")</f>
        <v/>
      </c>
      <c r="Q36" s="812" t="str">
        <f>IFERROR(IF(B36="","",IF($P$3=$AT$8,"",IF($P$3=$AT$9,"",IF($P$3=$AT$10,'Statement of Marks'!AR35,IF($P$3=$AT$11,'Statement of Marks'!BO35,IF($P$3=$AT$12,'Statement of Marks'!CL35,IF($P$3=$AT$13,'Statement of Marks'!DJ35,IF($P$3=$AT$14,"",IF($P$3=$AT$15,"",""))))))))),"")</f>
        <v/>
      </c>
      <c r="R36" s="824" t="str">
        <f>IFERROR(IF(B36="","",IF(AND(P36="",Q36="",$P$3=""),"",IF($P$3=$AT$14,'Statement of Marks'!EC35,SUM(P36,Q36)))),"")</f>
        <v/>
      </c>
      <c r="S36" s="823" t="str">
        <f>IFERROR(IF(B36="","",IF($P$3=$AT$14,'Statement of Marks'!ED35,IF(AND(O36="NA",P36="NA",Q36="NA"),"NA",IF(AND(O36="",P36="",Q36=""),"",SUM(O36,P36,Q36))))),"")</f>
        <v/>
      </c>
      <c r="T36" s="812" t="str">
        <f>IFERROR(IF(B36="","",IF($P$3=$AT$8,'Statement of Marks'!P35,IF($P$3=$AT$9,'Statement of Marks'!AD35,IF($P$3=$AT$10,'Statement of Marks'!AU35,IF($P$3=$AT$11,'Statement of Marks'!BR35,IF($P$3=$AT$12,'Statement of Marks'!CO35,IF($P$3=$AT$13,'Statement of Marks'!DM35,IF($P$3=$AT$14,"",IF($P$3=$AT$15,'Statement of Marks'!FD35,""))))))))),"")</f>
        <v/>
      </c>
      <c r="U36" s="812" t="str">
        <f>IFERROR(IF(B36="","",IF($P$3=$AT$8,"",IF($P$3=$AT$9,"",IF($P$3=$AT$10,'Statement of Marks'!AV35,IF($P$3=$AT$11,'Statement of Marks'!BS35,IF($P$3=$AT$12,'Statement of Marks'!CP35,IF($P$3=$AT$13,'Statement of Marks'!DN35,IF($P$3=$AT$14,"",IF($P$3=$AT$15,"",""))))))))),"")</f>
        <v/>
      </c>
      <c r="V36" s="824" t="str">
        <f>IFERROR(IF(B36="","",IF(AND(T36="",U36="",$P$3=""),"",IF($P$3=$AT$14,'Statement of Marks'!EE35,SUM(T36,U36)))),"")</f>
        <v/>
      </c>
      <c r="W36" s="814" t="str">
        <f t="shared" si="5"/>
        <v/>
      </c>
      <c r="X36" s="815">
        <f t="shared" si="6"/>
        <v>0</v>
      </c>
      <c r="Y36" s="815">
        <f t="shared" si="7"/>
        <v>0</v>
      </c>
      <c r="Z36" s="815">
        <f t="shared" si="8"/>
        <v>0</v>
      </c>
      <c r="AA36" s="815" t="str">
        <f t="shared" si="9"/>
        <v/>
      </c>
      <c r="AB36" s="815" t="str">
        <f t="shared" si="10"/>
        <v/>
      </c>
      <c r="AC36" s="815" t="str">
        <f t="shared" si="11"/>
        <v/>
      </c>
      <c r="AD36" s="815" t="str">
        <f t="shared" si="12"/>
        <v/>
      </c>
      <c r="AE36" s="816" t="str">
        <f t="shared" si="13"/>
        <v/>
      </c>
      <c r="AF36" s="817" t="str">
        <f t="shared" si="14"/>
        <v/>
      </c>
      <c r="AG36" s="818" t="str">
        <f t="shared" si="15"/>
        <v/>
      </c>
      <c r="AW36" s="17" t="str">
        <f t="shared" si="16"/>
        <v/>
      </c>
      <c r="AX36" s="17" t="str">
        <f t="shared" si="17"/>
        <v/>
      </c>
      <c r="BM36" s="17" t="str">
        <f>IFERROR(VLOOKUP(B36,'Statement of Marks'!$B$8:'Statement of Marks'!$HI$207,37,0),"")</f>
        <v>A</v>
      </c>
      <c r="BN36" s="17" t="str">
        <f>IFERROR(VLOOKUP(B36,'Statement of Marks'!$B$8:'Statement of Marks'!$HI$207,60,0),"")</f>
        <v>A</v>
      </c>
      <c r="BO36" s="17" t="str">
        <f>IFERROR(VLOOKUP(B36,'Statement of Marks'!$B$8:'Statement of Marks'!$HI$207,83,0),"")</f>
        <v>A</v>
      </c>
      <c r="BP36" s="17" t="str">
        <f>IFERROR(VLOOKUP(B36,'Statement of Marks'!$B$8:'Statement of Marks'!$HI$207,107,0),"")</f>
        <v/>
      </c>
    </row>
    <row r="37" spans="1:68">
      <c r="A37" s="806">
        <f>IF('Statement of Marks'!A36="","",'Statement of Marks'!A36)</f>
        <v>29</v>
      </c>
      <c r="B37" s="807" t="str">
        <f>IF(OR($E$3="",$P$3=""),"",IF('Statement of Marks'!B36="","",'Statement of Marks'!B36))</f>
        <v/>
      </c>
      <c r="C37" s="816" t="str">
        <f>IF(OR($E$3="",$P$3=""),"",IF('Marks Entry'!C36="","",'Marks Entry'!C36))</f>
        <v/>
      </c>
      <c r="D37" s="808" t="str">
        <f>IF(OR($E$3="",$P$3=""),"",IF('Statement of Marks'!C36="","",'Statement of Marks'!C36))</f>
        <v/>
      </c>
      <c r="E37" s="809" t="str">
        <f>IF(OR($E$3="",$P$3=""),"",IF('Statement of Marks'!D36="","",'Statement of Marks'!D36))</f>
        <v/>
      </c>
      <c r="F37" s="810" t="str">
        <f>IF(OR($E$3="",$P$3=""),"",IF('Statement of Marks'!E36="","",'Statement of Marks'!E36))</f>
        <v/>
      </c>
      <c r="G37" s="810" t="str">
        <f>IF(OR($E$3="",$P$3=""),"",IF('Statement of Marks'!F36="","",'Statement of Marks'!F36))</f>
        <v/>
      </c>
      <c r="H37" s="810" t="str">
        <f>IF(OR($E$3="",$P$3=""),"",IF('Statement of Marks'!G36="","",'Statement of Marks'!G36))</f>
        <v/>
      </c>
      <c r="I37" s="811" t="str">
        <f>IF(OR($E$3="",$P$3=""),"",IF('Statement of Marks'!H36="","",'Statement of Marks'!H36))</f>
        <v/>
      </c>
      <c r="J37" s="811" t="str">
        <f>IF(OR($E$3="",$P$3=""),"",IF('Statement of Marks'!I36="","",'Statement of Marks'!I36))</f>
        <v/>
      </c>
      <c r="K37" s="811" t="str">
        <f>IFERROR(IF(B37="","",IF($P$3=$AT$10,IF(AND(BM37="A"),'Marks Entry'!$U$2,IF(AND(BM37="B"),'Marks Entry'!$Y$2,IF(AND(BM37="C"),'Marks Entry'!$AA$2,""))),IF($P$3=$AT$11,IF(AND(BN37="A"),'Marks Entry'!$AC$2,IF(AND(BN37="B"),'Marks Entry'!$AG$2,IF(AND(BN37="C"),'Marks Entry'!$AI$2,""))),IF($P$3=$AT$12,IF(AND(BO37="A"),'Marks Entry'!$AK$2,IF(AND(BO37="B"),'Marks Entry'!$AO$2,IF(AND(BO37="C"),'Marks Entry'!$AQ$2,""))),IF($P$3=$AT$13,IF(AND(BP37="A"),'Marks Entry'!$AS$2,IF(AND(BP37="B"),'Marks Entry'!$AW$2,IF(AND(BP37="C"),'Marks Entry'!$AY$2,""))),"-"))))),"")</f>
        <v/>
      </c>
      <c r="L37" s="812" t="str">
        <f>IFERROR(IF(B37="","",IF($P$3=$AT$8,'Statement of Marks'!J36,IF($P$3=$AT$9,'Statement of Marks'!X36,IF($P$3=$AT$10,'Statement of Marks'!AM36,IF($P$3=$AT$11,'Statement of Marks'!BJ36,IF($P$3=$AT$12,'Statement of Marks'!CG36,IF($P$3=$AT$13,'Statement of Marks'!DE36,IF($P$3=$AT$14,"",IF($P$3=$AT$15,'Statement of Marks'!EY36,""))))))))),"")</f>
        <v/>
      </c>
      <c r="M37" s="812" t="str">
        <f>IFERROR(IF(B37="","",IF($P$3=$AT$8,'Statement of Marks'!K36,IF($P$3=$AT$9,'Statement of Marks'!Y36,IF($P$3=$AT$10,'Statement of Marks'!AN36,IF($P$3=$AT$11,'Statement of Marks'!BK36,IF($P$3=$AT$12,'Statement of Marks'!CH36,IF($P$3=$AT$13,'Statement of Marks'!DF36,IF($P$3=$AT$14,"",IF($P$3=$AT$15,'Statement of Marks'!EZ36,""))))))))),"")</f>
        <v/>
      </c>
      <c r="N37" s="812" t="str">
        <f>IFERROR(IF(B37="","",IF($P$3=$AT$8,'Statement of Marks'!L36,IF($P$3=$AT$9,'Statement of Marks'!Z36,IF($P$3=$AT$10,'Statement of Marks'!AO36,IF($P$3=$AT$11,'Statement of Marks'!BL36,IF($P$3=$AT$12,'Statement of Marks'!CI36,IF($P$3=$AT$13,'Statement of Marks'!DG36,IF($P$3=$AT$14,"",IF($P$3=$AT$15,'Statement of Marks'!FA36,""))))))))),"")</f>
        <v/>
      </c>
      <c r="O37" s="813" t="str">
        <f t="shared" si="4"/>
        <v/>
      </c>
      <c r="P37" s="812" t="str">
        <f>IFERROR(IF(B37="","",IF($P$3=$AT$8,'Statement of Marks'!N36,IF($P$3=$AT$9,'Statement of Marks'!AB36,IF($P$3=$AT$10,'Statement of Marks'!AQ36,IF($P$3=$AT$11,'Statement of Marks'!BN36,IF($P$3=$AT$12,'Statement of Marks'!CK36,IF($P$3=$AT$13,'Statement of Marks'!DI36,IF($P$3=$AT$14,"",IF($P$3=$AT$15,'Statement of Marks'!FC36,""))))))))),"")</f>
        <v/>
      </c>
      <c r="Q37" s="812" t="str">
        <f>IFERROR(IF(B37="","",IF($P$3=$AT$8,"",IF($P$3=$AT$9,"",IF($P$3=$AT$10,'Statement of Marks'!AR36,IF($P$3=$AT$11,'Statement of Marks'!BO36,IF($P$3=$AT$12,'Statement of Marks'!CL36,IF($P$3=$AT$13,'Statement of Marks'!DJ36,IF($P$3=$AT$14,"",IF($P$3=$AT$15,"",""))))))))),"")</f>
        <v/>
      </c>
      <c r="R37" s="824" t="str">
        <f>IFERROR(IF(B37="","",IF(AND(P37="",Q37="",$P$3=""),"",IF($P$3=$AT$14,'Statement of Marks'!EC36,SUM(P37,Q37)))),"")</f>
        <v/>
      </c>
      <c r="S37" s="823" t="str">
        <f>IFERROR(IF(B37="","",IF($P$3=$AT$14,'Statement of Marks'!ED36,IF(AND(O37="NA",P37="NA",Q37="NA"),"NA",IF(AND(O37="",P37="",Q37=""),"",SUM(O37,P37,Q37))))),"")</f>
        <v/>
      </c>
      <c r="T37" s="812" t="str">
        <f>IFERROR(IF(B37="","",IF($P$3=$AT$8,'Statement of Marks'!P36,IF($P$3=$AT$9,'Statement of Marks'!AD36,IF($P$3=$AT$10,'Statement of Marks'!AU36,IF($P$3=$AT$11,'Statement of Marks'!BR36,IF($P$3=$AT$12,'Statement of Marks'!CO36,IF($P$3=$AT$13,'Statement of Marks'!DM36,IF($P$3=$AT$14,"",IF($P$3=$AT$15,'Statement of Marks'!FD36,""))))))))),"")</f>
        <v/>
      </c>
      <c r="U37" s="812" t="str">
        <f>IFERROR(IF(B37="","",IF($P$3=$AT$8,"",IF($P$3=$AT$9,"",IF($P$3=$AT$10,'Statement of Marks'!AV36,IF($P$3=$AT$11,'Statement of Marks'!BS36,IF($P$3=$AT$12,'Statement of Marks'!CP36,IF($P$3=$AT$13,'Statement of Marks'!DN36,IF($P$3=$AT$14,"",IF($P$3=$AT$15,"",""))))))))),"")</f>
        <v/>
      </c>
      <c r="V37" s="824" t="str">
        <f>IFERROR(IF(B37="","",IF(AND(T37="",U37="",$P$3=""),"",IF($P$3=$AT$14,'Statement of Marks'!EE36,SUM(T37,U37)))),"")</f>
        <v/>
      </c>
      <c r="W37" s="814" t="str">
        <f t="shared" si="5"/>
        <v/>
      </c>
      <c r="X37" s="815">
        <f t="shared" si="6"/>
        <v>0</v>
      </c>
      <c r="Y37" s="815">
        <f t="shared" si="7"/>
        <v>0</v>
      </c>
      <c r="Z37" s="815">
        <f t="shared" si="8"/>
        <v>0</v>
      </c>
      <c r="AA37" s="815" t="str">
        <f t="shared" si="9"/>
        <v/>
      </c>
      <c r="AB37" s="815" t="str">
        <f t="shared" si="10"/>
        <v/>
      </c>
      <c r="AC37" s="815" t="str">
        <f t="shared" si="11"/>
        <v/>
      </c>
      <c r="AD37" s="815" t="str">
        <f t="shared" si="12"/>
        <v/>
      </c>
      <c r="AE37" s="816" t="str">
        <f t="shared" si="13"/>
        <v/>
      </c>
      <c r="AF37" s="817" t="str">
        <f t="shared" si="14"/>
        <v/>
      </c>
      <c r="AG37" s="818" t="str">
        <f t="shared" si="15"/>
        <v/>
      </c>
      <c r="AW37" s="17" t="str">
        <f t="shared" si="16"/>
        <v/>
      </c>
      <c r="AX37" s="17" t="str">
        <f t="shared" si="17"/>
        <v/>
      </c>
      <c r="BM37" s="17" t="str">
        <f>IFERROR(VLOOKUP(B37,'Statement of Marks'!$B$8:'Statement of Marks'!$HI$207,37,0),"")</f>
        <v>A</v>
      </c>
      <c r="BN37" s="17" t="str">
        <f>IFERROR(VLOOKUP(B37,'Statement of Marks'!$B$8:'Statement of Marks'!$HI$207,60,0),"")</f>
        <v>A</v>
      </c>
      <c r="BO37" s="17" t="str">
        <f>IFERROR(VLOOKUP(B37,'Statement of Marks'!$B$8:'Statement of Marks'!$HI$207,83,0),"")</f>
        <v>A</v>
      </c>
      <c r="BP37" s="17" t="str">
        <f>IFERROR(VLOOKUP(B37,'Statement of Marks'!$B$8:'Statement of Marks'!$HI$207,107,0),"")</f>
        <v/>
      </c>
    </row>
    <row r="38" spans="1:68">
      <c r="A38" s="806">
        <f>IF('Statement of Marks'!A37="","",'Statement of Marks'!A37)</f>
        <v>30</v>
      </c>
      <c r="B38" s="807" t="str">
        <f>IF(OR($E$3="",$P$3=""),"",IF('Statement of Marks'!B37="","",'Statement of Marks'!B37))</f>
        <v/>
      </c>
      <c r="C38" s="816" t="str">
        <f>IF(OR($E$3="",$P$3=""),"",IF('Marks Entry'!C37="","",'Marks Entry'!C37))</f>
        <v/>
      </c>
      <c r="D38" s="808" t="str">
        <f>IF(OR($E$3="",$P$3=""),"",IF('Statement of Marks'!C37="","",'Statement of Marks'!C37))</f>
        <v/>
      </c>
      <c r="E38" s="809" t="str">
        <f>IF(OR($E$3="",$P$3=""),"",IF('Statement of Marks'!D37="","",'Statement of Marks'!D37))</f>
        <v/>
      </c>
      <c r="F38" s="810" t="str">
        <f>IF(OR($E$3="",$P$3=""),"",IF('Statement of Marks'!E37="","",'Statement of Marks'!E37))</f>
        <v/>
      </c>
      <c r="G38" s="810" t="str">
        <f>IF(OR($E$3="",$P$3=""),"",IF('Statement of Marks'!F37="","",'Statement of Marks'!F37))</f>
        <v/>
      </c>
      <c r="H38" s="810" t="str">
        <f>IF(OR($E$3="",$P$3=""),"",IF('Statement of Marks'!G37="","",'Statement of Marks'!G37))</f>
        <v/>
      </c>
      <c r="I38" s="811" t="str">
        <f>IF(OR($E$3="",$P$3=""),"",IF('Statement of Marks'!H37="","",'Statement of Marks'!H37))</f>
        <v/>
      </c>
      <c r="J38" s="811" t="str">
        <f>IF(OR($E$3="",$P$3=""),"",IF('Statement of Marks'!I37="","",'Statement of Marks'!I37))</f>
        <v/>
      </c>
      <c r="K38" s="811" t="str">
        <f>IFERROR(IF(B38="","",IF($P$3=$AT$10,IF(AND(BM38="A"),'Marks Entry'!$U$2,IF(AND(BM38="B"),'Marks Entry'!$Y$2,IF(AND(BM38="C"),'Marks Entry'!$AA$2,""))),IF($P$3=$AT$11,IF(AND(BN38="A"),'Marks Entry'!$AC$2,IF(AND(BN38="B"),'Marks Entry'!$AG$2,IF(AND(BN38="C"),'Marks Entry'!$AI$2,""))),IF($P$3=$AT$12,IF(AND(BO38="A"),'Marks Entry'!$AK$2,IF(AND(BO38="B"),'Marks Entry'!$AO$2,IF(AND(BO38="C"),'Marks Entry'!$AQ$2,""))),IF($P$3=$AT$13,IF(AND(BP38="A"),'Marks Entry'!$AS$2,IF(AND(BP38="B"),'Marks Entry'!$AW$2,IF(AND(BP38="C"),'Marks Entry'!$AY$2,""))),"-"))))),"")</f>
        <v/>
      </c>
      <c r="L38" s="812" t="str">
        <f>IFERROR(IF(B38="","",IF($P$3=$AT$8,'Statement of Marks'!J37,IF($P$3=$AT$9,'Statement of Marks'!X37,IF($P$3=$AT$10,'Statement of Marks'!AM37,IF($P$3=$AT$11,'Statement of Marks'!BJ37,IF($P$3=$AT$12,'Statement of Marks'!CG37,IF($P$3=$AT$13,'Statement of Marks'!DE37,IF($P$3=$AT$14,"",IF($P$3=$AT$15,'Statement of Marks'!EY37,""))))))))),"")</f>
        <v/>
      </c>
      <c r="M38" s="812" t="str">
        <f>IFERROR(IF(B38="","",IF($P$3=$AT$8,'Statement of Marks'!K37,IF($P$3=$AT$9,'Statement of Marks'!Y37,IF($P$3=$AT$10,'Statement of Marks'!AN37,IF($P$3=$AT$11,'Statement of Marks'!BK37,IF($P$3=$AT$12,'Statement of Marks'!CH37,IF($P$3=$AT$13,'Statement of Marks'!DF37,IF($P$3=$AT$14,"",IF($P$3=$AT$15,'Statement of Marks'!EZ37,""))))))))),"")</f>
        <v/>
      </c>
      <c r="N38" s="812" t="str">
        <f>IFERROR(IF(B38="","",IF($P$3=$AT$8,'Statement of Marks'!L37,IF($P$3=$AT$9,'Statement of Marks'!Z37,IF($P$3=$AT$10,'Statement of Marks'!AO37,IF($P$3=$AT$11,'Statement of Marks'!BL37,IF($P$3=$AT$12,'Statement of Marks'!CI37,IF($P$3=$AT$13,'Statement of Marks'!DG37,IF($P$3=$AT$14,"",IF($P$3=$AT$15,'Statement of Marks'!FA37,""))))))))),"")</f>
        <v/>
      </c>
      <c r="O38" s="813" t="str">
        <f t="shared" si="4"/>
        <v/>
      </c>
      <c r="P38" s="812" t="str">
        <f>IFERROR(IF(B38="","",IF($P$3=$AT$8,'Statement of Marks'!N37,IF($P$3=$AT$9,'Statement of Marks'!AB37,IF($P$3=$AT$10,'Statement of Marks'!AQ37,IF($P$3=$AT$11,'Statement of Marks'!BN37,IF($P$3=$AT$12,'Statement of Marks'!CK37,IF($P$3=$AT$13,'Statement of Marks'!DI37,IF($P$3=$AT$14,"",IF($P$3=$AT$15,'Statement of Marks'!FC37,""))))))))),"")</f>
        <v/>
      </c>
      <c r="Q38" s="812" t="str">
        <f>IFERROR(IF(B38="","",IF($P$3=$AT$8,"",IF($P$3=$AT$9,"",IF($P$3=$AT$10,'Statement of Marks'!AR37,IF($P$3=$AT$11,'Statement of Marks'!BO37,IF($P$3=$AT$12,'Statement of Marks'!CL37,IF($P$3=$AT$13,'Statement of Marks'!DJ37,IF($P$3=$AT$14,"",IF($P$3=$AT$15,"",""))))))))),"")</f>
        <v/>
      </c>
      <c r="R38" s="824" t="str">
        <f>IFERROR(IF(B38="","",IF(AND(P38="",Q38="",$P$3=""),"",IF($P$3=$AT$14,'Statement of Marks'!EC37,SUM(P38,Q38)))),"")</f>
        <v/>
      </c>
      <c r="S38" s="823" t="str">
        <f>IFERROR(IF(B38="","",IF($P$3=$AT$14,'Statement of Marks'!ED37,IF(AND(O38="NA",P38="NA",Q38="NA"),"NA",IF(AND(O38="",P38="",Q38=""),"",SUM(O38,P38,Q38))))),"")</f>
        <v/>
      </c>
      <c r="T38" s="812" t="str">
        <f>IFERROR(IF(B38="","",IF($P$3=$AT$8,'Statement of Marks'!P37,IF($P$3=$AT$9,'Statement of Marks'!AD37,IF($P$3=$AT$10,'Statement of Marks'!AU37,IF($P$3=$AT$11,'Statement of Marks'!BR37,IF($P$3=$AT$12,'Statement of Marks'!CO37,IF($P$3=$AT$13,'Statement of Marks'!DM37,IF($P$3=$AT$14,"",IF($P$3=$AT$15,'Statement of Marks'!FD37,""))))))))),"")</f>
        <v/>
      </c>
      <c r="U38" s="812" t="str">
        <f>IFERROR(IF(B38="","",IF($P$3=$AT$8,"",IF($P$3=$AT$9,"",IF($P$3=$AT$10,'Statement of Marks'!AV37,IF($P$3=$AT$11,'Statement of Marks'!BS37,IF($P$3=$AT$12,'Statement of Marks'!CP37,IF($P$3=$AT$13,'Statement of Marks'!DN37,IF($P$3=$AT$14,"",IF($P$3=$AT$15,"",""))))))))),"")</f>
        <v/>
      </c>
      <c r="V38" s="824" t="str">
        <f>IFERROR(IF(B38="","",IF(AND(T38="",U38="",$P$3=""),"",IF($P$3=$AT$14,'Statement of Marks'!EE37,SUM(T38,U38)))),"")</f>
        <v/>
      </c>
      <c r="W38" s="814" t="str">
        <f t="shared" si="5"/>
        <v/>
      </c>
      <c r="X38" s="815">
        <f t="shared" si="6"/>
        <v>0</v>
      </c>
      <c r="Y38" s="815">
        <f t="shared" si="7"/>
        <v>0</v>
      </c>
      <c r="Z38" s="815">
        <f t="shared" si="8"/>
        <v>0</v>
      </c>
      <c r="AA38" s="815" t="str">
        <f t="shared" si="9"/>
        <v/>
      </c>
      <c r="AB38" s="815" t="str">
        <f t="shared" si="10"/>
        <v/>
      </c>
      <c r="AC38" s="815" t="str">
        <f t="shared" si="11"/>
        <v/>
      </c>
      <c r="AD38" s="815" t="str">
        <f t="shared" si="12"/>
        <v/>
      </c>
      <c r="AE38" s="816" t="str">
        <f t="shared" si="13"/>
        <v/>
      </c>
      <c r="AF38" s="817" t="str">
        <f t="shared" si="14"/>
        <v/>
      </c>
      <c r="AG38" s="818" t="str">
        <f t="shared" si="15"/>
        <v/>
      </c>
      <c r="AW38" s="17" t="str">
        <f t="shared" si="16"/>
        <v/>
      </c>
      <c r="AX38" s="17" t="str">
        <f t="shared" si="17"/>
        <v/>
      </c>
      <c r="BM38" s="17" t="str">
        <f>IFERROR(VLOOKUP(B38,'Statement of Marks'!$B$8:'Statement of Marks'!$HI$207,37,0),"")</f>
        <v>A</v>
      </c>
      <c r="BN38" s="17" t="str">
        <f>IFERROR(VLOOKUP(B38,'Statement of Marks'!$B$8:'Statement of Marks'!$HI$207,60,0),"")</f>
        <v>A</v>
      </c>
      <c r="BO38" s="17" t="str">
        <f>IFERROR(VLOOKUP(B38,'Statement of Marks'!$B$8:'Statement of Marks'!$HI$207,83,0),"")</f>
        <v>A</v>
      </c>
      <c r="BP38" s="17" t="str">
        <f>IFERROR(VLOOKUP(B38,'Statement of Marks'!$B$8:'Statement of Marks'!$HI$207,107,0),"")</f>
        <v/>
      </c>
    </row>
    <row r="39" spans="1:68">
      <c r="A39" s="806">
        <f>IF('Statement of Marks'!A38="","",'Statement of Marks'!A38)</f>
        <v>31</v>
      </c>
      <c r="B39" s="807" t="str">
        <f>IF(OR($E$3="",$P$3=""),"",IF('Statement of Marks'!B38="","",'Statement of Marks'!B38))</f>
        <v/>
      </c>
      <c r="C39" s="816" t="str">
        <f>IF(OR($E$3="",$P$3=""),"",IF('Marks Entry'!C38="","",'Marks Entry'!C38))</f>
        <v/>
      </c>
      <c r="D39" s="808" t="str">
        <f>IF(OR($E$3="",$P$3=""),"",IF('Statement of Marks'!C38="","",'Statement of Marks'!C38))</f>
        <v/>
      </c>
      <c r="E39" s="809" t="str">
        <f>IF(OR($E$3="",$P$3=""),"",IF('Statement of Marks'!D38="","",'Statement of Marks'!D38))</f>
        <v/>
      </c>
      <c r="F39" s="810" t="str">
        <f>IF(OR($E$3="",$P$3=""),"",IF('Statement of Marks'!E38="","",'Statement of Marks'!E38))</f>
        <v/>
      </c>
      <c r="G39" s="810" t="str">
        <f>IF(OR($E$3="",$P$3=""),"",IF('Statement of Marks'!F38="","",'Statement of Marks'!F38))</f>
        <v/>
      </c>
      <c r="H39" s="810" t="str">
        <f>IF(OR($E$3="",$P$3=""),"",IF('Statement of Marks'!G38="","",'Statement of Marks'!G38))</f>
        <v/>
      </c>
      <c r="I39" s="811" t="str">
        <f>IF(OR($E$3="",$P$3=""),"",IF('Statement of Marks'!H38="","",'Statement of Marks'!H38))</f>
        <v/>
      </c>
      <c r="J39" s="811" t="str">
        <f>IF(OR($E$3="",$P$3=""),"",IF('Statement of Marks'!I38="","",'Statement of Marks'!I38))</f>
        <v/>
      </c>
      <c r="K39" s="811" t="str">
        <f>IFERROR(IF(B39="","",IF($P$3=$AT$10,IF(AND(BM39="A"),'Marks Entry'!$U$2,IF(AND(BM39="B"),'Marks Entry'!$Y$2,IF(AND(BM39="C"),'Marks Entry'!$AA$2,""))),IF($P$3=$AT$11,IF(AND(BN39="A"),'Marks Entry'!$AC$2,IF(AND(BN39="B"),'Marks Entry'!$AG$2,IF(AND(BN39="C"),'Marks Entry'!$AI$2,""))),IF($P$3=$AT$12,IF(AND(BO39="A"),'Marks Entry'!$AK$2,IF(AND(BO39="B"),'Marks Entry'!$AO$2,IF(AND(BO39="C"),'Marks Entry'!$AQ$2,""))),IF($P$3=$AT$13,IF(AND(BP39="A"),'Marks Entry'!$AS$2,IF(AND(BP39="B"),'Marks Entry'!$AW$2,IF(AND(BP39="C"),'Marks Entry'!$AY$2,""))),"-"))))),"")</f>
        <v/>
      </c>
      <c r="L39" s="812" t="str">
        <f>IFERROR(IF(B39="","",IF($P$3=$AT$8,'Statement of Marks'!J38,IF($P$3=$AT$9,'Statement of Marks'!X38,IF($P$3=$AT$10,'Statement of Marks'!AM38,IF($P$3=$AT$11,'Statement of Marks'!BJ38,IF($P$3=$AT$12,'Statement of Marks'!CG38,IF($P$3=$AT$13,'Statement of Marks'!DE38,IF($P$3=$AT$14,"",IF($P$3=$AT$15,'Statement of Marks'!EY38,""))))))))),"")</f>
        <v/>
      </c>
      <c r="M39" s="812" t="str">
        <f>IFERROR(IF(B39="","",IF($P$3=$AT$8,'Statement of Marks'!K38,IF($P$3=$AT$9,'Statement of Marks'!Y38,IF($P$3=$AT$10,'Statement of Marks'!AN38,IF($P$3=$AT$11,'Statement of Marks'!BK38,IF($P$3=$AT$12,'Statement of Marks'!CH38,IF($P$3=$AT$13,'Statement of Marks'!DF38,IF($P$3=$AT$14,"",IF($P$3=$AT$15,'Statement of Marks'!EZ38,""))))))))),"")</f>
        <v/>
      </c>
      <c r="N39" s="812" t="str">
        <f>IFERROR(IF(B39="","",IF($P$3=$AT$8,'Statement of Marks'!L38,IF($P$3=$AT$9,'Statement of Marks'!Z38,IF($P$3=$AT$10,'Statement of Marks'!AO38,IF($P$3=$AT$11,'Statement of Marks'!BL38,IF($P$3=$AT$12,'Statement of Marks'!CI38,IF($P$3=$AT$13,'Statement of Marks'!DG38,IF($P$3=$AT$14,"",IF($P$3=$AT$15,'Statement of Marks'!FA38,""))))))))),"")</f>
        <v/>
      </c>
      <c r="O39" s="813" t="str">
        <f t="shared" si="4"/>
        <v/>
      </c>
      <c r="P39" s="812" t="str">
        <f>IFERROR(IF(B39="","",IF($P$3=$AT$8,'Statement of Marks'!N38,IF($P$3=$AT$9,'Statement of Marks'!AB38,IF($P$3=$AT$10,'Statement of Marks'!AQ38,IF($P$3=$AT$11,'Statement of Marks'!BN38,IF($P$3=$AT$12,'Statement of Marks'!CK38,IF($P$3=$AT$13,'Statement of Marks'!DI38,IF($P$3=$AT$14,"",IF($P$3=$AT$15,'Statement of Marks'!FC38,""))))))))),"")</f>
        <v/>
      </c>
      <c r="Q39" s="812" t="str">
        <f>IFERROR(IF(B39="","",IF($P$3=$AT$8,"",IF($P$3=$AT$9,"",IF($P$3=$AT$10,'Statement of Marks'!AR38,IF($P$3=$AT$11,'Statement of Marks'!BO38,IF($P$3=$AT$12,'Statement of Marks'!CL38,IF($P$3=$AT$13,'Statement of Marks'!DJ38,IF($P$3=$AT$14,"",IF($P$3=$AT$15,"",""))))))))),"")</f>
        <v/>
      </c>
      <c r="R39" s="824" t="str">
        <f>IFERROR(IF(B39="","",IF(AND(P39="",Q39="",$P$3=""),"",IF($P$3=$AT$14,'Statement of Marks'!EC38,SUM(P39,Q39)))),"")</f>
        <v/>
      </c>
      <c r="S39" s="823" t="str">
        <f>IFERROR(IF(B39="","",IF($P$3=$AT$14,'Statement of Marks'!ED38,IF(AND(O39="NA",P39="NA",Q39="NA"),"NA",IF(AND(O39="",P39="",Q39=""),"",SUM(O39,P39,Q39))))),"")</f>
        <v/>
      </c>
      <c r="T39" s="812" t="str">
        <f>IFERROR(IF(B39="","",IF($P$3=$AT$8,'Statement of Marks'!P38,IF($P$3=$AT$9,'Statement of Marks'!AD38,IF($P$3=$AT$10,'Statement of Marks'!AU38,IF($P$3=$AT$11,'Statement of Marks'!BR38,IF($P$3=$AT$12,'Statement of Marks'!CO38,IF($P$3=$AT$13,'Statement of Marks'!DM38,IF($P$3=$AT$14,"",IF($P$3=$AT$15,'Statement of Marks'!FD38,""))))))))),"")</f>
        <v/>
      </c>
      <c r="U39" s="812" t="str">
        <f>IFERROR(IF(B39="","",IF($P$3=$AT$8,"",IF($P$3=$AT$9,"",IF($P$3=$AT$10,'Statement of Marks'!AV38,IF($P$3=$AT$11,'Statement of Marks'!BS38,IF($P$3=$AT$12,'Statement of Marks'!CP38,IF($P$3=$AT$13,'Statement of Marks'!DN38,IF($P$3=$AT$14,"",IF($P$3=$AT$15,"",""))))))))),"")</f>
        <v/>
      </c>
      <c r="V39" s="824" t="str">
        <f>IFERROR(IF(B39="","",IF(AND(T39="",U39="",$P$3=""),"",IF($P$3=$AT$14,'Statement of Marks'!EE38,SUM(T39,U39)))),"")</f>
        <v/>
      </c>
      <c r="W39" s="814" t="str">
        <f t="shared" si="5"/>
        <v/>
      </c>
      <c r="X39" s="815">
        <f t="shared" si="6"/>
        <v>0</v>
      </c>
      <c r="Y39" s="815">
        <f t="shared" si="7"/>
        <v>0</v>
      </c>
      <c r="Z39" s="815">
        <f t="shared" si="8"/>
        <v>0</v>
      </c>
      <c r="AA39" s="815" t="str">
        <f t="shared" si="9"/>
        <v/>
      </c>
      <c r="AB39" s="815" t="str">
        <f t="shared" si="10"/>
        <v/>
      </c>
      <c r="AC39" s="815" t="str">
        <f t="shared" si="11"/>
        <v/>
      </c>
      <c r="AD39" s="815" t="str">
        <f t="shared" si="12"/>
        <v/>
      </c>
      <c r="AE39" s="816" t="str">
        <f t="shared" si="13"/>
        <v/>
      </c>
      <c r="AF39" s="817" t="str">
        <f t="shared" si="14"/>
        <v/>
      </c>
      <c r="AG39" s="818" t="str">
        <f t="shared" si="15"/>
        <v/>
      </c>
      <c r="AW39" s="17" t="str">
        <f t="shared" si="16"/>
        <v/>
      </c>
      <c r="AX39" s="17" t="str">
        <f t="shared" si="17"/>
        <v/>
      </c>
      <c r="BM39" s="17" t="str">
        <f>IFERROR(VLOOKUP(B39,'Statement of Marks'!$B$8:'Statement of Marks'!$HI$207,37,0),"")</f>
        <v>A</v>
      </c>
      <c r="BN39" s="17" t="str">
        <f>IFERROR(VLOOKUP(B39,'Statement of Marks'!$B$8:'Statement of Marks'!$HI$207,60,0),"")</f>
        <v>A</v>
      </c>
      <c r="BO39" s="17" t="str">
        <f>IFERROR(VLOOKUP(B39,'Statement of Marks'!$B$8:'Statement of Marks'!$HI$207,83,0),"")</f>
        <v>A</v>
      </c>
      <c r="BP39" s="17" t="str">
        <f>IFERROR(VLOOKUP(B39,'Statement of Marks'!$B$8:'Statement of Marks'!$HI$207,107,0),"")</f>
        <v/>
      </c>
    </row>
    <row r="40" spans="1:68">
      <c r="A40" s="806">
        <f>IF('Statement of Marks'!A39="","",'Statement of Marks'!A39)</f>
        <v>32</v>
      </c>
      <c r="B40" s="807" t="str">
        <f>IF(OR($E$3="",$P$3=""),"",IF('Statement of Marks'!B39="","",'Statement of Marks'!B39))</f>
        <v/>
      </c>
      <c r="C40" s="816" t="str">
        <f>IF(OR($E$3="",$P$3=""),"",IF('Marks Entry'!C39="","",'Marks Entry'!C39))</f>
        <v/>
      </c>
      <c r="D40" s="808" t="str">
        <f>IF(OR($E$3="",$P$3=""),"",IF('Statement of Marks'!C39="","",'Statement of Marks'!C39))</f>
        <v/>
      </c>
      <c r="E40" s="809" t="str">
        <f>IF(OR($E$3="",$P$3=""),"",IF('Statement of Marks'!D39="","",'Statement of Marks'!D39))</f>
        <v/>
      </c>
      <c r="F40" s="810" t="str">
        <f>IF(OR($E$3="",$P$3=""),"",IF('Statement of Marks'!E39="","",'Statement of Marks'!E39))</f>
        <v/>
      </c>
      <c r="G40" s="810" t="str">
        <f>IF(OR($E$3="",$P$3=""),"",IF('Statement of Marks'!F39="","",'Statement of Marks'!F39))</f>
        <v/>
      </c>
      <c r="H40" s="810" t="str">
        <f>IF(OR($E$3="",$P$3=""),"",IF('Statement of Marks'!G39="","",'Statement of Marks'!G39))</f>
        <v/>
      </c>
      <c r="I40" s="811" t="str">
        <f>IF(OR($E$3="",$P$3=""),"",IF('Statement of Marks'!H39="","",'Statement of Marks'!H39))</f>
        <v/>
      </c>
      <c r="J40" s="811" t="str">
        <f>IF(OR($E$3="",$P$3=""),"",IF('Statement of Marks'!I39="","",'Statement of Marks'!I39))</f>
        <v/>
      </c>
      <c r="K40" s="811" t="str">
        <f>IFERROR(IF(B40="","",IF($P$3=$AT$10,IF(AND(BM40="A"),'Marks Entry'!$U$2,IF(AND(BM40="B"),'Marks Entry'!$Y$2,IF(AND(BM40="C"),'Marks Entry'!$AA$2,""))),IF($P$3=$AT$11,IF(AND(BN40="A"),'Marks Entry'!$AC$2,IF(AND(BN40="B"),'Marks Entry'!$AG$2,IF(AND(BN40="C"),'Marks Entry'!$AI$2,""))),IF($P$3=$AT$12,IF(AND(BO40="A"),'Marks Entry'!$AK$2,IF(AND(BO40="B"),'Marks Entry'!$AO$2,IF(AND(BO40="C"),'Marks Entry'!$AQ$2,""))),IF($P$3=$AT$13,IF(AND(BP40="A"),'Marks Entry'!$AS$2,IF(AND(BP40="B"),'Marks Entry'!$AW$2,IF(AND(BP40="C"),'Marks Entry'!$AY$2,""))),"-"))))),"")</f>
        <v/>
      </c>
      <c r="L40" s="812" t="str">
        <f>IFERROR(IF(B40="","",IF($P$3=$AT$8,'Statement of Marks'!J39,IF($P$3=$AT$9,'Statement of Marks'!X39,IF($P$3=$AT$10,'Statement of Marks'!AM39,IF($P$3=$AT$11,'Statement of Marks'!BJ39,IF($P$3=$AT$12,'Statement of Marks'!CG39,IF($P$3=$AT$13,'Statement of Marks'!DE39,IF($P$3=$AT$14,"",IF($P$3=$AT$15,'Statement of Marks'!EY39,""))))))))),"")</f>
        <v/>
      </c>
      <c r="M40" s="812" t="str">
        <f>IFERROR(IF(B40="","",IF($P$3=$AT$8,'Statement of Marks'!K39,IF($P$3=$AT$9,'Statement of Marks'!Y39,IF($P$3=$AT$10,'Statement of Marks'!AN39,IF($P$3=$AT$11,'Statement of Marks'!BK39,IF($P$3=$AT$12,'Statement of Marks'!CH39,IF($P$3=$AT$13,'Statement of Marks'!DF39,IF($P$3=$AT$14,"",IF($P$3=$AT$15,'Statement of Marks'!EZ39,""))))))))),"")</f>
        <v/>
      </c>
      <c r="N40" s="812" t="str">
        <f>IFERROR(IF(B40="","",IF($P$3=$AT$8,'Statement of Marks'!L39,IF($P$3=$AT$9,'Statement of Marks'!Z39,IF($P$3=$AT$10,'Statement of Marks'!AO39,IF($P$3=$AT$11,'Statement of Marks'!BL39,IF($P$3=$AT$12,'Statement of Marks'!CI39,IF($P$3=$AT$13,'Statement of Marks'!DG39,IF($P$3=$AT$14,"",IF($P$3=$AT$15,'Statement of Marks'!FA39,""))))))))),"")</f>
        <v/>
      </c>
      <c r="O40" s="813" t="str">
        <f t="shared" si="4"/>
        <v/>
      </c>
      <c r="P40" s="812" t="str">
        <f>IFERROR(IF(B40="","",IF($P$3=$AT$8,'Statement of Marks'!N39,IF($P$3=$AT$9,'Statement of Marks'!AB39,IF($P$3=$AT$10,'Statement of Marks'!AQ39,IF($P$3=$AT$11,'Statement of Marks'!BN39,IF($P$3=$AT$12,'Statement of Marks'!CK39,IF($P$3=$AT$13,'Statement of Marks'!DI39,IF($P$3=$AT$14,"",IF($P$3=$AT$15,'Statement of Marks'!FC39,""))))))))),"")</f>
        <v/>
      </c>
      <c r="Q40" s="812" t="str">
        <f>IFERROR(IF(B40="","",IF($P$3=$AT$8,"",IF($P$3=$AT$9,"",IF($P$3=$AT$10,'Statement of Marks'!AR39,IF($P$3=$AT$11,'Statement of Marks'!BO39,IF($P$3=$AT$12,'Statement of Marks'!CL39,IF($P$3=$AT$13,'Statement of Marks'!DJ39,IF($P$3=$AT$14,"",IF($P$3=$AT$15,"",""))))))))),"")</f>
        <v/>
      </c>
      <c r="R40" s="824" t="str">
        <f>IFERROR(IF(B40="","",IF(AND(P40="",Q40="",$P$3=""),"",IF($P$3=$AT$14,'Statement of Marks'!EC39,SUM(P40,Q40)))),"")</f>
        <v/>
      </c>
      <c r="S40" s="823" t="str">
        <f>IFERROR(IF(B40="","",IF($P$3=$AT$14,'Statement of Marks'!ED39,IF(AND(O40="NA",P40="NA",Q40="NA"),"NA",IF(AND(O40="",P40="",Q40=""),"",SUM(O40,P40,Q40))))),"")</f>
        <v/>
      </c>
      <c r="T40" s="812" t="str">
        <f>IFERROR(IF(B40="","",IF($P$3=$AT$8,'Statement of Marks'!P39,IF($P$3=$AT$9,'Statement of Marks'!AD39,IF($P$3=$AT$10,'Statement of Marks'!AU39,IF($P$3=$AT$11,'Statement of Marks'!BR39,IF($P$3=$AT$12,'Statement of Marks'!CO39,IF($P$3=$AT$13,'Statement of Marks'!DM39,IF($P$3=$AT$14,"",IF($P$3=$AT$15,'Statement of Marks'!FD39,""))))))))),"")</f>
        <v/>
      </c>
      <c r="U40" s="812" t="str">
        <f>IFERROR(IF(B40="","",IF($P$3=$AT$8,"",IF($P$3=$AT$9,"",IF($P$3=$AT$10,'Statement of Marks'!AV39,IF($P$3=$AT$11,'Statement of Marks'!BS39,IF($P$3=$AT$12,'Statement of Marks'!CP39,IF($P$3=$AT$13,'Statement of Marks'!DN39,IF($P$3=$AT$14,"",IF($P$3=$AT$15,"",""))))))))),"")</f>
        <v/>
      </c>
      <c r="V40" s="824" t="str">
        <f>IFERROR(IF(B40="","",IF(AND(T40="",U40="",$P$3=""),"",IF($P$3=$AT$14,'Statement of Marks'!EE39,SUM(T40,U40)))),"")</f>
        <v/>
      </c>
      <c r="W40" s="814" t="str">
        <f t="shared" si="5"/>
        <v/>
      </c>
      <c r="X40" s="815">
        <f t="shared" si="6"/>
        <v>0</v>
      </c>
      <c r="Y40" s="815">
        <f t="shared" si="7"/>
        <v>0</v>
      </c>
      <c r="Z40" s="815">
        <f t="shared" si="8"/>
        <v>0</v>
      </c>
      <c r="AA40" s="815" t="str">
        <f t="shared" si="9"/>
        <v/>
      </c>
      <c r="AB40" s="815" t="str">
        <f t="shared" si="10"/>
        <v/>
      </c>
      <c r="AC40" s="815" t="str">
        <f t="shared" si="11"/>
        <v/>
      </c>
      <c r="AD40" s="815" t="str">
        <f t="shared" si="12"/>
        <v/>
      </c>
      <c r="AE40" s="816" t="str">
        <f t="shared" si="13"/>
        <v/>
      </c>
      <c r="AF40" s="817" t="str">
        <f t="shared" si="14"/>
        <v/>
      </c>
      <c r="AG40" s="818" t="str">
        <f t="shared" si="15"/>
        <v/>
      </c>
      <c r="AW40" s="17" t="str">
        <f t="shared" si="16"/>
        <v/>
      </c>
      <c r="AX40" s="17" t="str">
        <f t="shared" si="17"/>
        <v/>
      </c>
      <c r="BM40" s="17" t="str">
        <f>IFERROR(VLOOKUP(B40,'Statement of Marks'!$B$8:'Statement of Marks'!$HI$207,37,0),"")</f>
        <v>A</v>
      </c>
      <c r="BN40" s="17" t="str">
        <f>IFERROR(VLOOKUP(B40,'Statement of Marks'!$B$8:'Statement of Marks'!$HI$207,60,0),"")</f>
        <v>A</v>
      </c>
      <c r="BO40" s="17" t="str">
        <f>IFERROR(VLOOKUP(B40,'Statement of Marks'!$B$8:'Statement of Marks'!$HI$207,83,0),"")</f>
        <v>A</v>
      </c>
      <c r="BP40" s="17" t="str">
        <f>IFERROR(VLOOKUP(B40,'Statement of Marks'!$B$8:'Statement of Marks'!$HI$207,107,0),"")</f>
        <v/>
      </c>
    </row>
    <row r="41" spans="1:68">
      <c r="A41" s="806">
        <f>IF('Statement of Marks'!A40="","",'Statement of Marks'!A40)</f>
        <v>33</v>
      </c>
      <c r="B41" s="807" t="str">
        <f>IF(OR($E$3="",$P$3=""),"",IF('Statement of Marks'!B40="","",'Statement of Marks'!B40))</f>
        <v/>
      </c>
      <c r="C41" s="816" t="str">
        <f>IF(OR($E$3="",$P$3=""),"",IF('Marks Entry'!C40="","",'Marks Entry'!C40))</f>
        <v/>
      </c>
      <c r="D41" s="808" t="str">
        <f>IF(OR($E$3="",$P$3=""),"",IF('Statement of Marks'!C40="","",'Statement of Marks'!C40))</f>
        <v/>
      </c>
      <c r="E41" s="809" t="str">
        <f>IF(OR($E$3="",$P$3=""),"",IF('Statement of Marks'!D40="","",'Statement of Marks'!D40))</f>
        <v/>
      </c>
      <c r="F41" s="810" t="str">
        <f>IF(OR($E$3="",$P$3=""),"",IF('Statement of Marks'!E40="","",'Statement of Marks'!E40))</f>
        <v/>
      </c>
      <c r="G41" s="810" t="str">
        <f>IF(OR($E$3="",$P$3=""),"",IF('Statement of Marks'!F40="","",'Statement of Marks'!F40))</f>
        <v/>
      </c>
      <c r="H41" s="810" t="str">
        <f>IF(OR($E$3="",$P$3=""),"",IF('Statement of Marks'!G40="","",'Statement of Marks'!G40))</f>
        <v/>
      </c>
      <c r="I41" s="811" t="str">
        <f>IF(OR($E$3="",$P$3=""),"",IF('Statement of Marks'!H40="","",'Statement of Marks'!H40))</f>
        <v/>
      </c>
      <c r="J41" s="811" t="str">
        <f>IF(OR($E$3="",$P$3=""),"",IF('Statement of Marks'!I40="","",'Statement of Marks'!I40))</f>
        <v/>
      </c>
      <c r="K41" s="811" t="str">
        <f>IFERROR(IF(B41="","",IF($P$3=$AT$10,IF(AND(BM41="A"),'Marks Entry'!$U$2,IF(AND(BM41="B"),'Marks Entry'!$Y$2,IF(AND(BM41="C"),'Marks Entry'!$AA$2,""))),IF($P$3=$AT$11,IF(AND(BN41="A"),'Marks Entry'!$AC$2,IF(AND(BN41="B"),'Marks Entry'!$AG$2,IF(AND(BN41="C"),'Marks Entry'!$AI$2,""))),IF($P$3=$AT$12,IF(AND(BO41="A"),'Marks Entry'!$AK$2,IF(AND(BO41="B"),'Marks Entry'!$AO$2,IF(AND(BO41="C"),'Marks Entry'!$AQ$2,""))),IF($P$3=$AT$13,IF(AND(BP41="A"),'Marks Entry'!$AS$2,IF(AND(BP41="B"),'Marks Entry'!$AW$2,IF(AND(BP41="C"),'Marks Entry'!$AY$2,""))),"-"))))),"")</f>
        <v/>
      </c>
      <c r="L41" s="812" t="str">
        <f>IFERROR(IF(B41="","",IF($P$3=$AT$8,'Statement of Marks'!J40,IF($P$3=$AT$9,'Statement of Marks'!X40,IF($P$3=$AT$10,'Statement of Marks'!AM40,IF($P$3=$AT$11,'Statement of Marks'!BJ40,IF($P$3=$AT$12,'Statement of Marks'!CG40,IF($P$3=$AT$13,'Statement of Marks'!DE40,IF($P$3=$AT$14,"",IF($P$3=$AT$15,'Statement of Marks'!EY40,""))))))))),"")</f>
        <v/>
      </c>
      <c r="M41" s="812" t="str">
        <f>IFERROR(IF(B41="","",IF($P$3=$AT$8,'Statement of Marks'!K40,IF($P$3=$AT$9,'Statement of Marks'!Y40,IF($P$3=$AT$10,'Statement of Marks'!AN40,IF($P$3=$AT$11,'Statement of Marks'!BK40,IF($P$3=$AT$12,'Statement of Marks'!CH40,IF($P$3=$AT$13,'Statement of Marks'!DF40,IF($P$3=$AT$14,"",IF($P$3=$AT$15,'Statement of Marks'!EZ40,""))))))))),"")</f>
        <v/>
      </c>
      <c r="N41" s="812" t="str">
        <f>IFERROR(IF(B41="","",IF($P$3=$AT$8,'Statement of Marks'!L40,IF($P$3=$AT$9,'Statement of Marks'!Z40,IF($P$3=$AT$10,'Statement of Marks'!AO40,IF($P$3=$AT$11,'Statement of Marks'!BL40,IF($P$3=$AT$12,'Statement of Marks'!CI40,IF($P$3=$AT$13,'Statement of Marks'!DG40,IF($P$3=$AT$14,"",IF($P$3=$AT$15,'Statement of Marks'!FA40,""))))))))),"")</f>
        <v/>
      </c>
      <c r="O41" s="813" t="str">
        <f t="shared" si="4"/>
        <v/>
      </c>
      <c r="P41" s="812" t="str">
        <f>IFERROR(IF(B41="","",IF($P$3=$AT$8,'Statement of Marks'!N40,IF($P$3=$AT$9,'Statement of Marks'!AB40,IF($P$3=$AT$10,'Statement of Marks'!AQ40,IF($P$3=$AT$11,'Statement of Marks'!BN40,IF($P$3=$AT$12,'Statement of Marks'!CK40,IF($P$3=$AT$13,'Statement of Marks'!DI40,IF($P$3=$AT$14,"",IF($P$3=$AT$15,'Statement of Marks'!FC40,""))))))))),"")</f>
        <v/>
      </c>
      <c r="Q41" s="812" t="str">
        <f>IFERROR(IF(B41="","",IF($P$3=$AT$8,"",IF($P$3=$AT$9,"",IF($P$3=$AT$10,'Statement of Marks'!AR40,IF($P$3=$AT$11,'Statement of Marks'!BO40,IF($P$3=$AT$12,'Statement of Marks'!CL40,IF($P$3=$AT$13,'Statement of Marks'!DJ40,IF($P$3=$AT$14,"",IF($P$3=$AT$15,"",""))))))))),"")</f>
        <v/>
      </c>
      <c r="R41" s="824" t="str">
        <f>IFERROR(IF(B41="","",IF(AND(P41="",Q41="",$P$3=""),"",IF($P$3=$AT$14,'Statement of Marks'!EC40,SUM(P41,Q41)))),"")</f>
        <v/>
      </c>
      <c r="S41" s="823" t="str">
        <f>IFERROR(IF(B41="","",IF($P$3=$AT$14,'Statement of Marks'!ED40,IF(AND(O41="NA",P41="NA",Q41="NA"),"NA",IF(AND(O41="",P41="",Q41=""),"",SUM(O41,P41,Q41))))),"")</f>
        <v/>
      </c>
      <c r="T41" s="812" t="str">
        <f>IFERROR(IF(B41="","",IF($P$3=$AT$8,'Statement of Marks'!P40,IF($P$3=$AT$9,'Statement of Marks'!AD40,IF($P$3=$AT$10,'Statement of Marks'!AU40,IF($P$3=$AT$11,'Statement of Marks'!BR40,IF($P$3=$AT$12,'Statement of Marks'!CO40,IF($P$3=$AT$13,'Statement of Marks'!DM40,IF($P$3=$AT$14,"",IF($P$3=$AT$15,'Statement of Marks'!FD40,""))))))))),"")</f>
        <v/>
      </c>
      <c r="U41" s="812" t="str">
        <f>IFERROR(IF(B41="","",IF($P$3=$AT$8,"",IF($P$3=$AT$9,"",IF($P$3=$AT$10,'Statement of Marks'!AV40,IF($P$3=$AT$11,'Statement of Marks'!BS40,IF($P$3=$AT$12,'Statement of Marks'!CP40,IF($P$3=$AT$13,'Statement of Marks'!DN40,IF($P$3=$AT$14,"",IF($P$3=$AT$15,"",""))))))))),"")</f>
        <v/>
      </c>
      <c r="V41" s="824" t="str">
        <f>IFERROR(IF(B41="","",IF(AND(T41="",U41="",$P$3=""),"",IF($P$3=$AT$14,'Statement of Marks'!EE40,SUM(T41,U41)))),"")</f>
        <v/>
      </c>
      <c r="W41" s="814" t="str">
        <f t="shared" si="5"/>
        <v/>
      </c>
      <c r="X41" s="815">
        <f t="shared" si="6"/>
        <v>0</v>
      </c>
      <c r="Y41" s="815">
        <f t="shared" si="7"/>
        <v>0</v>
      </c>
      <c r="Z41" s="815">
        <f t="shared" si="8"/>
        <v>0</v>
      </c>
      <c r="AA41" s="815" t="str">
        <f t="shared" si="9"/>
        <v/>
      </c>
      <c r="AB41" s="815" t="str">
        <f t="shared" si="10"/>
        <v/>
      </c>
      <c r="AC41" s="815" t="str">
        <f t="shared" si="11"/>
        <v/>
      </c>
      <c r="AD41" s="815" t="str">
        <f t="shared" si="12"/>
        <v/>
      </c>
      <c r="AE41" s="816" t="str">
        <f t="shared" si="13"/>
        <v/>
      </c>
      <c r="AF41" s="817" t="str">
        <f t="shared" si="14"/>
        <v/>
      </c>
      <c r="AG41" s="818" t="str">
        <f t="shared" si="15"/>
        <v/>
      </c>
      <c r="AW41" s="17" t="str">
        <f t="shared" si="16"/>
        <v/>
      </c>
      <c r="AX41" s="17" t="str">
        <f t="shared" si="17"/>
        <v/>
      </c>
      <c r="BM41" s="17" t="str">
        <f>IFERROR(VLOOKUP(B41,'Statement of Marks'!$B$8:'Statement of Marks'!$HI$207,37,0),"")</f>
        <v>A</v>
      </c>
      <c r="BN41" s="17" t="str">
        <f>IFERROR(VLOOKUP(B41,'Statement of Marks'!$B$8:'Statement of Marks'!$HI$207,60,0),"")</f>
        <v>A</v>
      </c>
      <c r="BO41" s="17" t="str">
        <f>IFERROR(VLOOKUP(B41,'Statement of Marks'!$B$8:'Statement of Marks'!$HI$207,83,0),"")</f>
        <v>A</v>
      </c>
      <c r="BP41" s="17" t="str">
        <f>IFERROR(VLOOKUP(B41,'Statement of Marks'!$B$8:'Statement of Marks'!$HI$207,107,0),"")</f>
        <v/>
      </c>
    </row>
    <row r="42" spans="1:68">
      <c r="A42" s="806">
        <f>IF('Statement of Marks'!A41="","",'Statement of Marks'!A41)</f>
        <v>34</v>
      </c>
      <c r="B42" s="807" t="str">
        <f>IF(OR($E$3="",$P$3=""),"",IF('Statement of Marks'!B41="","",'Statement of Marks'!B41))</f>
        <v/>
      </c>
      <c r="C42" s="816" t="str">
        <f>IF(OR($E$3="",$P$3=""),"",IF('Marks Entry'!C41="","",'Marks Entry'!C41))</f>
        <v/>
      </c>
      <c r="D42" s="808" t="str">
        <f>IF(OR($E$3="",$P$3=""),"",IF('Statement of Marks'!C41="","",'Statement of Marks'!C41))</f>
        <v/>
      </c>
      <c r="E42" s="809" t="str">
        <f>IF(OR($E$3="",$P$3=""),"",IF('Statement of Marks'!D41="","",'Statement of Marks'!D41))</f>
        <v/>
      </c>
      <c r="F42" s="810" t="str">
        <f>IF(OR($E$3="",$P$3=""),"",IF('Statement of Marks'!E41="","",'Statement of Marks'!E41))</f>
        <v/>
      </c>
      <c r="G42" s="810" t="str">
        <f>IF(OR($E$3="",$P$3=""),"",IF('Statement of Marks'!F41="","",'Statement of Marks'!F41))</f>
        <v/>
      </c>
      <c r="H42" s="810" t="str">
        <f>IF(OR($E$3="",$P$3=""),"",IF('Statement of Marks'!G41="","",'Statement of Marks'!G41))</f>
        <v/>
      </c>
      <c r="I42" s="811" t="str">
        <f>IF(OR($E$3="",$P$3=""),"",IF('Statement of Marks'!H41="","",'Statement of Marks'!H41))</f>
        <v/>
      </c>
      <c r="J42" s="811" t="str">
        <f>IF(OR($E$3="",$P$3=""),"",IF('Statement of Marks'!I41="","",'Statement of Marks'!I41))</f>
        <v/>
      </c>
      <c r="K42" s="811" t="str">
        <f>IFERROR(IF(B42="","",IF($P$3=$AT$10,IF(AND(BM42="A"),'Marks Entry'!$U$2,IF(AND(BM42="B"),'Marks Entry'!$Y$2,IF(AND(BM42="C"),'Marks Entry'!$AA$2,""))),IF($P$3=$AT$11,IF(AND(BN42="A"),'Marks Entry'!$AC$2,IF(AND(BN42="B"),'Marks Entry'!$AG$2,IF(AND(BN42="C"),'Marks Entry'!$AI$2,""))),IF($P$3=$AT$12,IF(AND(BO42="A"),'Marks Entry'!$AK$2,IF(AND(BO42="B"),'Marks Entry'!$AO$2,IF(AND(BO42="C"),'Marks Entry'!$AQ$2,""))),IF($P$3=$AT$13,IF(AND(BP42="A"),'Marks Entry'!$AS$2,IF(AND(BP42="B"),'Marks Entry'!$AW$2,IF(AND(BP42="C"),'Marks Entry'!$AY$2,""))),"-"))))),"")</f>
        <v/>
      </c>
      <c r="L42" s="812" t="str">
        <f>IFERROR(IF(B42="","",IF($P$3=$AT$8,'Statement of Marks'!J41,IF($P$3=$AT$9,'Statement of Marks'!X41,IF($P$3=$AT$10,'Statement of Marks'!AM41,IF($P$3=$AT$11,'Statement of Marks'!BJ41,IF($P$3=$AT$12,'Statement of Marks'!CG41,IF($P$3=$AT$13,'Statement of Marks'!DE41,IF($P$3=$AT$14,"",IF($P$3=$AT$15,'Statement of Marks'!EY41,""))))))))),"")</f>
        <v/>
      </c>
      <c r="M42" s="812" t="str">
        <f>IFERROR(IF(B42="","",IF($P$3=$AT$8,'Statement of Marks'!K41,IF($P$3=$AT$9,'Statement of Marks'!Y41,IF($P$3=$AT$10,'Statement of Marks'!AN41,IF($P$3=$AT$11,'Statement of Marks'!BK41,IF($P$3=$AT$12,'Statement of Marks'!CH41,IF($P$3=$AT$13,'Statement of Marks'!DF41,IF($P$3=$AT$14,"",IF($P$3=$AT$15,'Statement of Marks'!EZ41,""))))))))),"")</f>
        <v/>
      </c>
      <c r="N42" s="812" t="str">
        <f>IFERROR(IF(B42="","",IF($P$3=$AT$8,'Statement of Marks'!L41,IF($P$3=$AT$9,'Statement of Marks'!Z41,IF($P$3=$AT$10,'Statement of Marks'!AO41,IF($P$3=$AT$11,'Statement of Marks'!BL41,IF($P$3=$AT$12,'Statement of Marks'!CI41,IF($P$3=$AT$13,'Statement of Marks'!DG41,IF($P$3=$AT$14,"",IF($P$3=$AT$15,'Statement of Marks'!FA41,""))))))))),"")</f>
        <v/>
      </c>
      <c r="O42" s="813" t="str">
        <f t="shared" si="4"/>
        <v/>
      </c>
      <c r="P42" s="812" t="str">
        <f>IFERROR(IF(B42="","",IF($P$3=$AT$8,'Statement of Marks'!N41,IF($P$3=$AT$9,'Statement of Marks'!AB41,IF($P$3=$AT$10,'Statement of Marks'!AQ41,IF($P$3=$AT$11,'Statement of Marks'!BN41,IF($P$3=$AT$12,'Statement of Marks'!CK41,IF($P$3=$AT$13,'Statement of Marks'!DI41,IF($P$3=$AT$14,"",IF($P$3=$AT$15,'Statement of Marks'!FC41,""))))))))),"")</f>
        <v/>
      </c>
      <c r="Q42" s="812" t="str">
        <f>IFERROR(IF(B42="","",IF($P$3=$AT$8,"",IF($P$3=$AT$9,"",IF($P$3=$AT$10,'Statement of Marks'!AR41,IF($P$3=$AT$11,'Statement of Marks'!BO41,IF($P$3=$AT$12,'Statement of Marks'!CL41,IF($P$3=$AT$13,'Statement of Marks'!DJ41,IF($P$3=$AT$14,"",IF($P$3=$AT$15,"",""))))))))),"")</f>
        <v/>
      </c>
      <c r="R42" s="824" t="str">
        <f>IFERROR(IF(B42="","",IF(AND(P42="",Q42="",$P$3=""),"",IF($P$3=$AT$14,'Statement of Marks'!EC41,SUM(P42,Q42)))),"")</f>
        <v/>
      </c>
      <c r="S42" s="823" t="str">
        <f>IFERROR(IF(B42="","",IF($P$3=$AT$14,'Statement of Marks'!ED41,IF(AND(O42="NA",P42="NA",Q42="NA"),"NA",IF(AND(O42="",P42="",Q42=""),"",SUM(O42,P42,Q42))))),"")</f>
        <v/>
      </c>
      <c r="T42" s="812" t="str">
        <f>IFERROR(IF(B42="","",IF($P$3=$AT$8,'Statement of Marks'!P41,IF($P$3=$AT$9,'Statement of Marks'!AD41,IF($P$3=$AT$10,'Statement of Marks'!AU41,IF($P$3=$AT$11,'Statement of Marks'!BR41,IF($P$3=$AT$12,'Statement of Marks'!CO41,IF($P$3=$AT$13,'Statement of Marks'!DM41,IF($P$3=$AT$14,"",IF($P$3=$AT$15,'Statement of Marks'!FD41,""))))))))),"")</f>
        <v/>
      </c>
      <c r="U42" s="812" t="str">
        <f>IFERROR(IF(B42="","",IF($P$3=$AT$8,"",IF($P$3=$AT$9,"",IF($P$3=$AT$10,'Statement of Marks'!AV41,IF($P$3=$AT$11,'Statement of Marks'!BS41,IF($P$3=$AT$12,'Statement of Marks'!CP41,IF($P$3=$AT$13,'Statement of Marks'!DN41,IF($P$3=$AT$14,"",IF($P$3=$AT$15,"",""))))))))),"")</f>
        <v/>
      </c>
      <c r="V42" s="824" t="str">
        <f>IFERROR(IF(B42="","",IF(AND(T42="",U42="",$P$3=""),"",IF($P$3=$AT$14,'Statement of Marks'!EE41,SUM(T42,U42)))),"")</f>
        <v/>
      </c>
      <c r="W42" s="814" t="str">
        <f t="shared" si="5"/>
        <v/>
      </c>
      <c r="X42" s="815">
        <f t="shared" si="6"/>
        <v>0</v>
      </c>
      <c r="Y42" s="815">
        <f t="shared" si="7"/>
        <v>0</v>
      </c>
      <c r="Z42" s="815">
        <f t="shared" si="8"/>
        <v>0</v>
      </c>
      <c r="AA42" s="815" t="str">
        <f t="shared" si="9"/>
        <v/>
      </c>
      <c r="AB42" s="815" t="str">
        <f t="shared" si="10"/>
        <v/>
      </c>
      <c r="AC42" s="815" t="str">
        <f t="shared" si="11"/>
        <v/>
      </c>
      <c r="AD42" s="815" t="str">
        <f t="shared" si="12"/>
        <v/>
      </c>
      <c r="AE42" s="816" t="str">
        <f t="shared" si="13"/>
        <v/>
      </c>
      <c r="AF42" s="817" t="str">
        <f t="shared" si="14"/>
        <v/>
      </c>
      <c r="AG42" s="818" t="str">
        <f t="shared" si="15"/>
        <v/>
      </c>
      <c r="AW42" s="17" t="str">
        <f t="shared" si="16"/>
        <v/>
      </c>
      <c r="AX42" s="17" t="str">
        <f t="shared" si="17"/>
        <v/>
      </c>
      <c r="BM42" s="17" t="str">
        <f>IFERROR(VLOOKUP(B42,'Statement of Marks'!$B$8:'Statement of Marks'!$HI$207,37,0),"")</f>
        <v>A</v>
      </c>
      <c r="BN42" s="17" t="str">
        <f>IFERROR(VLOOKUP(B42,'Statement of Marks'!$B$8:'Statement of Marks'!$HI$207,60,0),"")</f>
        <v>A</v>
      </c>
      <c r="BO42" s="17" t="str">
        <f>IFERROR(VLOOKUP(B42,'Statement of Marks'!$B$8:'Statement of Marks'!$HI$207,83,0),"")</f>
        <v>A</v>
      </c>
      <c r="BP42" s="17" t="str">
        <f>IFERROR(VLOOKUP(B42,'Statement of Marks'!$B$8:'Statement of Marks'!$HI$207,107,0),"")</f>
        <v/>
      </c>
    </row>
    <row r="43" spans="1:68">
      <c r="A43" s="806">
        <f>IF('Statement of Marks'!A42="","",'Statement of Marks'!A42)</f>
        <v>35</v>
      </c>
      <c r="B43" s="807" t="str">
        <f>IF(OR($E$3="",$P$3=""),"",IF('Statement of Marks'!B42="","",'Statement of Marks'!B42))</f>
        <v/>
      </c>
      <c r="C43" s="816" t="str">
        <f>IF(OR($E$3="",$P$3=""),"",IF('Marks Entry'!C42="","",'Marks Entry'!C42))</f>
        <v/>
      </c>
      <c r="D43" s="808" t="str">
        <f>IF(OR($E$3="",$P$3=""),"",IF('Statement of Marks'!C42="","",'Statement of Marks'!C42))</f>
        <v/>
      </c>
      <c r="E43" s="809" t="str">
        <f>IF(OR($E$3="",$P$3=""),"",IF('Statement of Marks'!D42="","",'Statement of Marks'!D42))</f>
        <v/>
      </c>
      <c r="F43" s="810" t="str">
        <f>IF(OR($E$3="",$P$3=""),"",IF('Statement of Marks'!E42="","",'Statement of Marks'!E42))</f>
        <v/>
      </c>
      <c r="G43" s="810" t="str">
        <f>IF(OR($E$3="",$P$3=""),"",IF('Statement of Marks'!F42="","",'Statement of Marks'!F42))</f>
        <v/>
      </c>
      <c r="H43" s="810" t="str">
        <f>IF(OR($E$3="",$P$3=""),"",IF('Statement of Marks'!G42="","",'Statement of Marks'!G42))</f>
        <v/>
      </c>
      <c r="I43" s="811" t="str">
        <f>IF(OR($E$3="",$P$3=""),"",IF('Statement of Marks'!H42="","",'Statement of Marks'!H42))</f>
        <v/>
      </c>
      <c r="J43" s="811" t="str">
        <f>IF(OR($E$3="",$P$3=""),"",IF('Statement of Marks'!I42="","",'Statement of Marks'!I42))</f>
        <v/>
      </c>
      <c r="K43" s="811" t="str">
        <f>IFERROR(IF(B43="","",IF($P$3=$AT$10,IF(AND(BM43="A"),'Marks Entry'!$U$2,IF(AND(BM43="B"),'Marks Entry'!$Y$2,IF(AND(BM43="C"),'Marks Entry'!$AA$2,""))),IF($P$3=$AT$11,IF(AND(BN43="A"),'Marks Entry'!$AC$2,IF(AND(BN43="B"),'Marks Entry'!$AG$2,IF(AND(BN43="C"),'Marks Entry'!$AI$2,""))),IF($P$3=$AT$12,IF(AND(BO43="A"),'Marks Entry'!$AK$2,IF(AND(BO43="B"),'Marks Entry'!$AO$2,IF(AND(BO43="C"),'Marks Entry'!$AQ$2,""))),IF($P$3=$AT$13,IF(AND(BP43="A"),'Marks Entry'!$AS$2,IF(AND(BP43="B"),'Marks Entry'!$AW$2,IF(AND(BP43="C"),'Marks Entry'!$AY$2,""))),"-"))))),"")</f>
        <v/>
      </c>
      <c r="L43" s="812" t="str">
        <f>IFERROR(IF(B43="","",IF($P$3=$AT$8,'Statement of Marks'!J42,IF($P$3=$AT$9,'Statement of Marks'!X42,IF($P$3=$AT$10,'Statement of Marks'!AM42,IF($P$3=$AT$11,'Statement of Marks'!BJ42,IF($P$3=$AT$12,'Statement of Marks'!CG42,IF($P$3=$AT$13,'Statement of Marks'!DE42,IF($P$3=$AT$14,"",IF($P$3=$AT$15,'Statement of Marks'!EY42,""))))))))),"")</f>
        <v/>
      </c>
      <c r="M43" s="812" t="str">
        <f>IFERROR(IF(B43="","",IF($P$3=$AT$8,'Statement of Marks'!K42,IF($P$3=$AT$9,'Statement of Marks'!Y42,IF($P$3=$AT$10,'Statement of Marks'!AN42,IF($P$3=$AT$11,'Statement of Marks'!BK42,IF($P$3=$AT$12,'Statement of Marks'!CH42,IF($P$3=$AT$13,'Statement of Marks'!DF42,IF($P$3=$AT$14,"",IF($P$3=$AT$15,'Statement of Marks'!EZ42,""))))))))),"")</f>
        <v/>
      </c>
      <c r="N43" s="812" t="str">
        <f>IFERROR(IF(B43="","",IF($P$3=$AT$8,'Statement of Marks'!L42,IF($P$3=$AT$9,'Statement of Marks'!Z42,IF($P$3=$AT$10,'Statement of Marks'!AO42,IF($P$3=$AT$11,'Statement of Marks'!BL42,IF($P$3=$AT$12,'Statement of Marks'!CI42,IF($P$3=$AT$13,'Statement of Marks'!DG42,IF($P$3=$AT$14,"",IF($P$3=$AT$15,'Statement of Marks'!FA42,""))))))))),"")</f>
        <v/>
      </c>
      <c r="O43" s="813" t="str">
        <f t="shared" si="4"/>
        <v/>
      </c>
      <c r="P43" s="812" t="str">
        <f>IFERROR(IF(B43="","",IF($P$3=$AT$8,'Statement of Marks'!N42,IF($P$3=$AT$9,'Statement of Marks'!AB42,IF($P$3=$AT$10,'Statement of Marks'!AQ42,IF($P$3=$AT$11,'Statement of Marks'!BN42,IF($P$3=$AT$12,'Statement of Marks'!CK42,IF($P$3=$AT$13,'Statement of Marks'!DI42,IF($P$3=$AT$14,"",IF($P$3=$AT$15,'Statement of Marks'!FC42,""))))))))),"")</f>
        <v/>
      </c>
      <c r="Q43" s="812" t="str">
        <f>IFERROR(IF(B43="","",IF($P$3=$AT$8,"",IF($P$3=$AT$9,"",IF($P$3=$AT$10,'Statement of Marks'!AR42,IF($P$3=$AT$11,'Statement of Marks'!BO42,IF($P$3=$AT$12,'Statement of Marks'!CL42,IF($P$3=$AT$13,'Statement of Marks'!DJ42,IF($P$3=$AT$14,"",IF($P$3=$AT$15,"",""))))))))),"")</f>
        <v/>
      </c>
      <c r="R43" s="824" t="str">
        <f>IFERROR(IF(B43="","",IF(AND(P43="",Q43="",$P$3=""),"",IF($P$3=$AT$14,'Statement of Marks'!EC42,SUM(P43,Q43)))),"")</f>
        <v/>
      </c>
      <c r="S43" s="823" t="str">
        <f>IFERROR(IF(B43="","",IF($P$3=$AT$14,'Statement of Marks'!ED42,IF(AND(O43="NA",P43="NA",Q43="NA"),"NA",IF(AND(O43="",P43="",Q43=""),"",SUM(O43,P43,Q43))))),"")</f>
        <v/>
      </c>
      <c r="T43" s="812" t="str">
        <f>IFERROR(IF(B43="","",IF($P$3=$AT$8,'Statement of Marks'!P42,IF($P$3=$AT$9,'Statement of Marks'!AD42,IF($P$3=$AT$10,'Statement of Marks'!AU42,IF($P$3=$AT$11,'Statement of Marks'!BR42,IF($P$3=$AT$12,'Statement of Marks'!CO42,IF($P$3=$AT$13,'Statement of Marks'!DM42,IF($P$3=$AT$14,"",IF($P$3=$AT$15,'Statement of Marks'!FD42,""))))))))),"")</f>
        <v/>
      </c>
      <c r="U43" s="812" t="str">
        <f>IFERROR(IF(B43="","",IF($P$3=$AT$8,"",IF($P$3=$AT$9,"",IF($P$3=$AT$10,'Statement of Marks'!AV42,IF($P$3=$AT$11,'Statement of Marks'!BS42,IF($P$3=$AT$12,'Statement of Marks'!CP42,IF($P$3=$AT$13,'Statement of Marks'!DN42,IF($P$3=$AT$14,"",IF($P$3=$AT$15,"",""))))))))),"")</f>
        <v/>
      </c>
      <c r="V43" s="824" t="str">
        <f>IFERROR(IF(B43="","",IF(AND(T43="",U43="",$P$3=""),"",IF($P$3=$AT$14,'Statement of Marks'!EE42,SUM(T43,U43)))),"")</f>
        <v/>
      </c>
      <c r="W43" s="814" t="str">
        <f t="shared" si="5"/>
        <v/>
      </c>
      <c r="X43" s="815">
        <f t="shared" si="6"/>
        <v>0</v>
      </c>
      <c r="Y43" s="815">
        <f t="shared" si="7"/>
        <v>0</v>
      </c>
      <c r="Z43" s="815">
        <f t="shared" si="8"/>
        <v>0</v>
      </c>
      <c r="AA43" s="815" t="str">
        <f t="shared" si="9"/>
        <v/>
      </c>
      <c r="AB43" s="815" t="str">
        <f t="shared" si="10"/>
        <v/>
      </c>
      <c r="AC43" s="815" t="str">
        <f t="shared" si="11"/>
        <v/>
      </c>
      <c r="AD43" s="815" t="str">
        <f t="shared" si="12"/>
        <v/>
      </c>
      <c r="AE43" s="816" t="str">
        <f t="shared" si="13"/>
        <v/>
      </c>
      <c r="AF43" s="817" t="str">
        <f t="shared" si="14"/>
        <v/>
      </c>
      <c r="AG43" s="818" t="str">
        <f t="shared" si="15"/>
        <v/>
      </c>
      <c r="AW43" s="17" t="str">
        <f t="shared" si="16"/>
        <v/>
      </c>
      <c r="AX43" s="17" t="str">
        <f t="shared" si="17"/>
        <v/>
      </c>
      <c r="BM43" s="17" t="str">
        <f>IFERROR(VLOOKUP(B43,'Statement of Marks'!$B$8:'Statement of Marks'!$HI$207,37,0),"")</f>
        <v>A</v>
      </c>
      <c r="BN43" s="17" t="str">
        <f>IFERROR(VLOOKUP(B43,'Statement of Marks'!$B$8:'Statement of Marks'!$HI$207,60,0),"")</f>
        <v>A</v>
      </c>
      <c r="BO43" s="17" t="str">
        <f>IFERROR(VLOOKUP(B43,'Statement of Marks'!$B$8:'Statement of Marks'!$HI$207,83,0),"")</f>
        <v>A</v>
      </c>
      <c r="BP43" s="17" t="str">
        <f>IFERROR(VLOOKUP(B43,'Statement of Marks'!$B$8:'Statement of Marks'!$HI$207,107,0),"")</f>
        <v/>
      </c>
    </row>
    <row r="44" spans="1:68">
      <c r="A44" s="806">
        <f>IF('Statement of Marks'!A43="","",'Statement of Marks'!A43)</f>
        <v>36</v>
      </c>
      <c r="B44" s="807" t="str">
        <f>IF(OR($E$3="",$P$3=""),"",IF('Statement of Marks'!B43="","",'Statement of Marks'!B43))</f>
        <v/>
      </c>
      <c r="C44" s="816" t="str">
        <f>IF(OR($E$3="",$P$3=""),"",IF('Marks Entry'!C43="","",'Marks Entry'!C43))</f>
        <v/>
      </c>
      <c r="D44" s="808" t="str">
        <f>IF(OR($E$3="",$P$3=""),"",IF('Statement of Marks'!C43="","",'Statement of Marks'!C43))</f>
        <v/>
      </c>
      <c r="E44" s="809" t="str">
        <f>IF(OR($E$3="",$P$3=""),"",IF('Statement of Marks'!D43="","",'Statement of Marks'!D43))</f>
        <v/>
      </c>
      <c r="F44" s="810" t="str">
        <f>IF(OR($E$3="",$P$3=""),"",IF('Statement of Marks'!E43="","",'Statement of Marks'!E43))</f>
        <v/>
      </c>
      <c r="G44" s="810" t="str">
        <f>IF(OR($E$3="",$P$3=""),"",IF('Statement of Marks'!F43="","",'Statement of Marks'!F43))</f>
        <v/>
      </c>
      <c r="H44" s="810" t="str">
        <f>IF(OR($E$3="",$P$3=""),"",IF('Statement of Marks'!G43="","",'Statement of Marks'!G43))</f>
        <v/>
      </c>
      <c r="I44" s="811" t="str">
        <f>IF(OR($E$3="",$P$3=""),"",IF('Statement of Marks'!H43="","",'Statement of Marks'!H43))</f>
        <v/>
      </c>
      <c r="J44" s="811" t="str">
        <f>IF(OR($E$3="",$P$3=""),"",IF('Statement of Marks'!I43="","",'Statement of Marks'!I43))</f>
        <v/>
      </c>
      <c r="K44" s="811" t="str">
        <f>IFERROR(IF(B44="","",IF($P$3=$AT$10,IF(AND(BM44="A"),'Marks Entry'!$U$2,IF(AND(BM44="B"),'Marks Entry'!$Y$2,IF(AND(BM44="C"),'Marks Entry'!$AA$2,""))),IF($P$3=$AT$11,IF(AND(BN44="A"),'Marks Entry'!$AC$2,IF(AND(BN44="B"),'Marks Entry'!$AG$2,IF(AND(BN44="C"),'Marks Entry'!$AI$2,""))),IF($P$3=$AT$12,IF(AND(BO44="A"),'Marks Entry'!$AK$2,IF(AND(BO44="B"),'Marks Entry'!$AO$2,IF(AND(BO44="C"),'Marks Entry'!$AQ$2,""))),IF($P$3=$AT$13,IF(AND(BP44="A"),'Marks Entry'!$AS$2,IF(AND(BP44="B"),'Marks Entry'!$AW$2,IF(AND(BP44="C"),'Marks Entry'!$AY$2,""))),"-"))))),"")</f>
        <v/>
      </c>
      <c r="L44" s="812" t="str">
        <f>IFERROR(IF(B44="","",IF($P$3=$AT$8,'Statement of Marks'!J43,IF($P$3=$AT$9,'Statement of Marks'!X43,IF($P$3=$AT$10,'Statement of Marks'!AM43,IF($P$3=$AT$11,'Statement of Marks'!BJ43,IF($P$3=$AT$12,'Statement of Marks'!CG43,IF($P$3=$AT$13,'Statement of Marks'!DE43,IF($P$3=$AT$14,"",IF($P$3=$AT$15,'Statement of Marks'!EY43,""))))))))),"")</f>
        <v/>
      </c>
      <c r="M44" s="812" t="str">
        <f>IFERROR(IF(B44="","",IF($P$3=$AT$8,'Statement of Marks'!K43,IF($P$3=$AT$9,'Statement of Marks'!Y43,IF($P$3=$AT$10,'Statement of Marks'!AN43,IF($P$3=$AT$11,'Statement of Marks'!BK43,IF($P$3=$AT$12,'Statement of Marks'!CH43,IF($P$3=$AT$13,'Statement of Marks'!DF43,IF($P$3=$AT$14,"",IF($P$3=$AT$15,'Statement of Marks'!EZ43,""))))))))),"")</f>
        <v/>
      </c>
      <c r="N44" s="812" t="str">
        <f>IFERROR(IF(B44="","",IF($P$3=$AT$8,'Statement of Marks'!L43,IF($P$3=$AT$9,'Statement of Marks'!Z43,IF($P$3=$AT$10,'Statement of Marks'!AO43,IF($P$3=$AT$11,'Statement of Marks'!BL43,IF($P$3=$AT$12,'Statement of Marks'!CI43,IF($P$3=$AT$13,'Statement of Marks'!DG43,IF($P$3=$AT$14,"",IF($P$3=$AT$15,'Statement of Marks'!FA43,""))))))))),"")</f>
        <v/>
      </c>
      <c r="O44" s="813" t="str">
        <f t="shared" si="4"/>
        <v/>
      </c>
      <c r="P44" s="812" t="str">
        <f>IFERROR(IF(B44="","",IF($P$3=$AT$8,'Statement of Marks'!N43,IF($P$3=$AT$9,'Statement of Marks'!AB43,IF($P$3=$AT$10,'Statement of Marks'!AQ43,IF($P$3=$AT$11,'Statement of Marks'!BN43,IF($P$3=$AT$12,'Statement of Marks'!CK43,IF($P$3=$AT$13,'Statement of Marks'!DI43,IF($P$3=$AT$14,"",IF($P$3=$AT$15,'Statement of Marks'!FC43,""))))))))),"")</f>
        <v/>
      </c>
      <c r="Q44" s="812" t="str">
        <f>IFERROR(IF(B44="","",IF($P$3=$AT$8,"",IF($P$3=$AT$9,"",IF($P$3=$AT$10,'Statement of Marks'!AR43,IF($P$3=$AT$11,'Statement of Marks'!BO43,IF($P$3=$AT$12,'Statement of Marks'!CL43,IF($P$3=$AT$13,'Statement of Marks'!DJ43,IF($P$3=$AT$14,"",IF($P$3=$AT$15,"",""))))))))),"")</f>
        <v/>
      </c>
      <c r="R44" s="824" t="str">
        <f>IFERROR(IF(B44="","",IF(AND(P44="",Q44="",$P$3=""),"",IF($P$3=$AT$14,'Statement of Marks'!EC43,SUM(P44,Q44)))),"")</f>
        <v/>
      </c>
      <c r="S44" s="823" t="str">
        <f>IFERROR(IF(B44="","",IF($P$3=$AT$14,'Statement of Marks'!ED43,IF(AND(O44="NA",P44="NA",Q44="NA"),"NA",IF(AND(O44="",P44="",Q44=""),"",SUM(O44,P44,Q44))))),"")</f>
        <v/>
      </c>
      <c r="T44" s="812" t="str">
        <f>IFERROR(IF(B44="","",IF($P$3=$AT$8,'Statement of Marks'!P43,IF($P$3=$AT$9,'Statement of Marks'!AD43,IF($P$3=$AT$10,'Statement of Marks'!AU43,IF($P$3=$AT$11,'Statement of Marks'!BR43,IF($P$3=$AT$12,'Statement of Marks'!CO43,IF($P$3=$AT$13,'Statement of Marks'!DM43,IF($P$3=$AT$14,"",IF($P$3=$AT$15,'Statement of Marks'!FD43,""))))))))),"")</f>
        <v/>
      </c>
      <c r="U44" s="812" t="str">
        <f>IFERROR(IF(B44="","",IF($P$3=$AT$8,"",IF($P$3=$AT$9,"",IF($P$3=$AT$10,'Statement of Marks'!AV43,IF($P$3=$AT$11,'Statement of Marks'!BS43,IF($P$3=$AT$12,'Statement of Marks'!CP43,IF($P$3=$AT$13,'Statement of Marks'!DN43,IF($P$3=$AT$14,"",IF($P$3=$AT$15,"",""))))))))),"")</f>
        <v/>
      </c>
      <c r="V44" s="824" t="str">
        <f>IFERROR(IF(B44="","",IF(AND(T44="",U44="",$P$3=""),"",IF($P$3=$AT$14,'Statement of Marks'!EE43,SUM(T44,U44)))),"")</f>
        <v/>
      </c>
      <c r="W44" s="814" t="str">
        <f t="shared" si="5"/>
        <v/>
      </c>
      <c r="X44" s="815">
        <f t="shared" si="6"/>
        <v>0</v>
      </c>
      <c r="Y44" s="815">
        <f t="shared" si="7"/>
        <v>0</v>
      </c>
      <c r="Z44" s="815">
        <f t="shared" si="8"/>
        <v>0</v>
      </c>
      <c r="AA44" s="815" t="str">
        <f t="shared" si="9"/>
        <v/>
      </c>
      <c r="AB44" s="815" t="str">
        <f t="shared" si="10"/>
        <v/>
      </c>
      <c r="AC44" s="815" t="str">
        <f t="shared" si="11"/>
        <v/>
      </c>
      <c r="AD44" s="815" t="str">
        <f t="shared" si="12"/>
        <v/>
      </c>
      <c r="AE44" s="816" t="str">
        <f t="shared" si="13"/>
        <v/>
      </c>
      <c r="AF44" s="817" t="str">
        <f t="shared" si="14"/>
        <v/>
      </c>
      <c r="AG44" s="818" t="str">
        <f t="shared" si="15"/>
        <v/>
      </c>
      <c r="AW44" s="17" t="str">
        <f t="shared" si="16"/>
        <v/>
      </c>
      <c r="AX44" s="17" t="str">
        <f t="shared" si="17"/>
        <v/>
      </c>
      <c r="BM44" s="17" t="str">
        <f>IFERROR(VLOOKUP(B44,'Statement of Marks'!$B$8:'Statement of Marks'!$HI$207,37,0),"")</f>
        <v>A</v>
      </c>
      <c r="BN44" s="17" t="str">
        <f>IFERROR(VLOOKUP(B44,'Statement of Marks'!$B$8:'Statement of Marks'!$HI$207,60,0),"")</f>
        <v>A</v>
      </c>
      <c r="BO44" s="17" t="str">
        <f>IFERROR(VLOOKUP(B44,'Statement of Marks'!$B$8:'Statement of Marks'!$HI$207,83,0),"")</f>
        <v>A</v>
      </c>
      <c r="BP44" s="17" t="str">
        <f>IFERROR(VLOOKUP(B44,'Statement of Marks'!$B$8:'Statement of Marks'!$HI$207,107,0),"")</f>
        <v/>
      </c>
    </row>
    <row r="45" spans="1:68">
      <c r="A45" s="806">
        <f>IF('Statement of Marks'!A44="","",'Statement of Marks'!A44)</f>
        <v>37</v>
      </c>
      <c r="B45" s="807" t="str">
        <f>IF(OR($E$3="",$P$3=""),"",IF('Statement of Marks'!B44="","",'Statement of Marks'!B44))</f>
        <v/>
      </c>
      <c r="C45" s="816" t="str">
        <f>IF(OR($E$3="",$P$3=""),"",IF('Marks Entry'!C44="","",'Marks Entry'!C44))</f>
        <v/>
      </c>
      <c r="D45" s="808" t="str">
        <f>IF(OR($E$3="",$P$3=""),"",IF('Statement of Marks'!C44="","",'Statement of Marks'!C44))</f>
        <v/>
      </c>
      <c r="E45" s="809" t="str">
        <f>IF(OR($E$3="",$P$3=""),"",IF('Statement of Marks'!D44="","",'Statement of Marks'!D44))</f>
        <v/>
      </c>
      <c r="F45" s="810" t="str">
        <f>IF(OR($E$3="",$P$3=""),"",IF('Statement of Marks'!E44="","",'Statement of Marks'!E44))</f>
        <v/>
      </c>
      <c r="G45" s="810" t="str">
        <f>IF(OR($E$3="",$P$3=""),"",IF('Statement of Marks'!F44="","",'Statement of Marks'!F44))</f>
        <v/>
      </c>
      <c r="H45" s="810" t="str">
        <f>IF(OR($E$3="",$P$3=""),"",IF('Statement of Marks'!G44="","",'Statement of Marks'!G44))</f>
        <v/>
      </c>
      <c r="I45" s="811" t="str">
        <f>IF(OR($E$3="",$P$3=""),"",IF('Statement of Marks'!H44="","",'Statement of Marks'!H44))</f>
        <v/>
      </c>
      <c r="J45" s="811" t="str">
        <f>IF(OR($E$3="",$P$3=""),"",IF('Statement of Marks'!I44="","",'Statement of Marks'!I44))</f>
        <v/>
      </c>
      <c r="K45" s="811" t="str">
        <f>IFERROR(IF(B45="","",IF($P$3=$AT$10,IF(AND(BM45="A"),'Marks Entry'!$U$2,IF(AND(BM45="B"),'Marks Entry'!$Y$2,IF(AND(BM45="C"),'Marks Entry'!$AA$2,""))),IF($P$3=$AT$11,IF(AND(BN45="A"),'Marks Entry'!$AC$2,IF(AND(BN45="B"),'Marks Entry'!$AG$2,IF(AND(BN45="C"),'Marks Entry'!$AI$2,""))),IF($P$3=$AT$12,IF(AND(BO45="A"),'Marks Entry'!$AK$2,IF(AND(BO45="B"),'Marks Entry'!$AO$2,IF(AND(BO45="C"),'Marks Entry'!$AQ$2,""))),IF($P$3=$AT$13,IF(AND(BP45="A"),'Marks Entry'!$AS$2,IF(AND(BP45="B"),'Marks Entry'!$AW$2,IF(AND(BP45="C"),'Marks Entry'!$AY$2,""))),"-"))))),"")</f>
        <v/>
      </c>
      <c r="L45" s="812" t="str">
        <f>IFERROR(IF(B45="","",IF($P$3=$AT$8,'Statement of Marks'!J44,IF($P$3=$AT$9,'Statement of Marks'!X44,IF($P$3=$AT$10,'Statement of Marks'!AM44,IF($P$3=$AT$11,'Statement of Marks'!BJ44,IF($P$3=$AT$12,'Statement of Marks'!CG44,IF($P$3=$AT$13,'Statement of Marks'!DE44,IF($P$3=$AT$14,"",IF($P$3=$AT$15,'Statement of Marks'!EY44,""))))))))),"")</f>
        <v/>
      </c>
      <c r="M45" s="812" t="str">
        <f>IFERROR(IF(B45="","",IF($P$3=$AT$8,'Statement of Marks'!K44,IF($P$3=$AT$9,'Statement of Marks'!Y44,IF($P$3=$AT$10,'Statement of Marks'!AN44,IF($P$3=$AT$11,'Statement of Marks'!BK44,IF($P$3=$AT$12,'Statement of Marks'!CH44,IF($P$3=$AT$13,'Statement of Marks'!DF44,IF($P$3=$AT$14,"",IF($P$3=$AT$15,'Statement of Marks'!EZ44,""))))))))),"")</f>
        <v/>
      </c>
      <c r="N45" s="812" t="str">
        <f>IFERROR(IF(B45="","",IF($P$3=$AT$8,'Statement of Marks'!L44,IF($P$3=$AT$9,'Statement of Marks'!Z44,IF($P$3=$AT$10,'Statement of Marks'!AO44,IF($P$3=$AT$11,'Statement of Marks'!BL44,IF($P$3=$AT$12,'Statement of Marks'!CI44,IF($P$3=$AT$13,'Statement of Marks'!DG44,IF($P$3=$AT$14,"",IF($P$3=$AT$15,'Statement of Marks'!FA44,""))))))))),"")</f>
        <v/>
      </c>
      <c r="O45" s="813" t="str">
        <f t="shared" si="4"/>
        <v/>
      </c>
      <c r="P45" s="812" t="str">
        <f>IFERROR(IF(B45="","",IF($P$3=$AT$8,'Statement of Marks'!N44,IF($P$3=$AT$9,'Statement of Marks'!AB44,IF($P$3=$AT$10,'Statement of Marks'!AQ44,IF($P$3=$AT$11,'Statement of Marks'!BN44,IF($P$3=$AT$12,'Statement of Marks'!CK44,IF($P$3=$AT$13,'Statement of Marks'!DI44,IF($P$3=$AT$14,"",IF($P$3=$AT$15,'Statement of Marks'!FC44,""))))))))),"")</f>
        <v/>
      </c>
      <c r="Q45" s="812" t="str">
        <f>IFERROR(IF(B45="","",IF($P$3=$AT$8,"",IF($P$3=$AT$9,"",IF($P$3=$AT$10,'Statement of Marks'!AR44,IF($P$3=$AT$11,'Statement of Marks'!BO44,IF($P$3=$AT$12,'Statement of Marks'!CL44,IF($P$3=$AT$13,'Statement of Marks'!DJ44,IF($P$3=$AT$14,"",IF($P$3=$AT$15,"",""))))))))),"")</f>
        <v/>
      </c>
      <c r="R45" s="824" t="str">
        <f>IFERROR(IF(B45="","",IF(AND(P45="",Q45="",$P$3=""),"",IF($P$3=$AT$14,'Statement of Marks'!EC44,SUM(P45,Q45)))),"")</f>
        <v/>
      </c>
      <c r="S45" s="823" t="str">
        <f>IFERROR(IF(B45="","",IF($P$3=$AT$14,'Statement of Marks'!ED44,IF(AND(O45="NA",P45="NA",Q45="NA"),"NA",IF(AND(O45="",P45="",Q45=""),"",SUM(O45,P45,Q45))))),"")</f>
        <v/>
      </c>
      <c r="T45" s="812" t="str">
        <f>IFERROR(IF(B45="","",IF($P$3=$AT$8,'Statement of Marks'!P44,IF($P$3=$AT$9,'Statement of Marks'!AD44,IF($P$3=$AT$10,'Statement of Marks'!AU44,IF($P$3=$AT$11,'Statement of Marks'!BR44,IF($P$3=$AT$12,'Statement of Marks'!CO44,IF($P$3=$AT$13,'Statement of Marks'!DM44,IF($P$3=$AT$14,"",IF($P$3=$AT$15,'Statement of Marks'!FD44,""))))))))),"")</f>
        <v/>
      </c>
      <c r="U45" s="812" t="str">
        <f>IFERROR(IF(B45="","",IF($P$3=$AT$8,"",IF($P$3=$AT$9,"",IF($P$3=$AT$10,'Statement of Marks'!AV44,IF($P$3=$AT$11,'Statement of Marks'!BS44,IF($P$3=$AT$12,'Statement of Marks'!CP44,IF($P$3=$AT$13,'Statement of Marks'!DN44,IF($P$3=$AT$14,"",IF($P$3=$AT$15,"",""))))))))),"")</f>
        <v/>
      </c>
      <c r="V45" s="824" t="str">
        <f>IFERROR(IF(B45="","",IF(AND(T45="",U45="",$P$3=""),"",IF($P$3=$AT$14,'Statement of Marks'!EE44,SUM(T45,U45)))),"")</f>
        <v/>
      </c>
      <c r="W45" s="814" t="str">
        <f t="shared" si="5"/>
        <v/>
      </c>
      <c r="X45" s="815">
        <f t="shared" si="6"/>
        <v>0</v>
      </c>
      <c r="Y45" s="815">
        <f t="shared" si="7"/>
        <v>0</v>
      </c>
      <c r="Z45" s="815">
        <f t="shared" si="8"/>
        <v>0</v>
      </c>
      <c r="AA45" s="815" t="str">
        <f t="shared" si="9"/>
        <v/>
      </c>
      <c r="AB45" s="815" t="str">
        <f t="shared" si="10"/>
        <v/>
      </c>
      <c r="AC45" s="815" t="str">
        <f t="shared" si="11"/>
        <v/>
      </c>
      <c r="AD45" s="815" t="str">
        <f t="shared" si="12"/>
        <v/>
      </c>
      <c r="AE45" s="816" t="str">
        <f t="shared" si="13"/>
        <v/>
      </c>
      <c r="AF45" s="817" t="str">
        <f t="shared" si="14"/>
        <v/>
      </c>
      <c r="AG45" s="818" t="str">
        <f t="shared" si="15"/>
        <v/>
      </c>
      <c r="AW45" s="17" t="str">
        <f t="shared" si="16"/>
        <v/>
      </c>
      <c r="AX45" s="17" t="str">
        <f t="shared" si="17"/>
        <v/>
      </c>
      <c r="BM45" s="17" t="str">
        <f>IFERROR(VLOOKUP(B45,'Statement of Marks'!$B$8:'Statement of Marks'!$HI$207,37,0),"")</f>
        <v>A</v>
      </c>
      <c r="BN45" s="17" t="str">
        <f>IFERROR(VLOOKUP(B45,'Statement of Marks'!$B$8:'Statement of Marks'!$HI$207,60,0),"")</f>
        <v>A</v>
      </c>
      <c r="BO45" s="17" t="str">
        <f>IFERROR(VLOOKUP(B45,'Statement of Marks'!$B$8:'Statement of Marks'!$HI$207,83,0),"")</f>
        <v>A</v>
      </c>
      <c r="BP45" s="17" t="str">
        <f>IFERROR(VLOOKUP(B45,'Statement of Marks'!$B$8:'Statement of Marks'!$HI$207,107,0),"")</f>
        <v/>
      </c>
    </row>
    <row r="46" spans="1:68">
      <c r="A46" s="806">
        <f>IF('Statement of Marks'!A45="","",'Statement of Marks'!A45)</f>
        <v>38</v>
      </c>
      <c r="B46" s="807" t="str">
        <f>IF(OR($E$3="",$P$3=""),"",IF('Statement of Marks'!B45="","",'Statement of Marks'!B45))</f>
        <v/>
      </c>
      <c r="C46" s="816" t="str">
        <f>IF(OR($E$3="",$P$3=""),"",IF('Marks Entry'!C45="","",'Marks Entry'!C45))</f>
        <v/>
      </c>
      <c r="D46" s="808" t="str">
        <f>IF(OR($E$3="",$P$3=""),"",IF('Statement of Marks'!C45="","",'Statement of Marks'!C45))</f>
        <v/>
      </c>
      <c r="E46" s="809" t="str">
        <f>IF(OR($E$3="",$P$3=""),"",IF('Statement of Marks'!D45="","",'Statement of Marks'!D45))</f>
        <v/>
      </c>
      <c r="F46" s="810" t="str">
        <f>IF(OR($E$3="",$P$3=""),"",IF('Statement of Marks'!E45="","",'Statement of Marks'!E45))</f>
        <v/>
      </c>
      <c r="G46" s="810" t="str">
        <f>IF(OR($E$3="",$P$3=""),"",IF('Statement of Marks'!F45="","",'Statement of Marks'!F45))</f>
        <v/>
      </c>
      <c r="H46" s="810" t="str">
        <f>IF(OR($E$3="",$P$3=""),"",IF('Statement of Marks'!G45="","",'Statement of Marks'!G45))</f>
        <v/>
      </c>
      <c r="I46" s="811" t="str">
        <f>IF(OR($E$3="",$P$3=""),"",IF('Statement of Marks'!H45="","",'Statement of Marks'!H45))</f>
        <v/>
      </c>
      <c r="J46" s="811" t="str">
        <f>IF(OR($E$3="",$P$3=""),"",IF('Statement of Marks'!I45="","",'Statement of Marks'!I45))</f>
        <v/>
      </c>
      <c r="K46" s="811" t="str">
        <f>IFERROR(IF(B46="","",IF($P$3=$AT$10,IF(AND(BM46="A"),'Marks Entry'!$U$2,IF(AND(BM46="B"),'Marks Entry'!$Y$2,IF(AND(BM46="C"),'Marks Entry'!$AA$2,""))),IF($P$3=$AT$11,IF(AND(BN46="A"),'Marks Entry'!$AC$2,IF(AND(BN46="B"),'Marks Entry'!$AG$2,IF(AND(BN46="C"),'Marks Entry'!$AI$2,""))),IF($P$3=$AT$12,IF(AND(BO46="A"),'Marks Entry'!$AK$2,IF(AND(BO46="B"),'Marks Entry'!$AO$2,IF(AND(BO46="C"),'Marks Entry'!$AQ$2,""))),IF($P$3=$AT$13,IF(AND(BP46="A"),'Marks Entry'!$AS$2,IF(AND(BP46="B"),'Marks Entry'!$AW$2,IF(AND(BP46="C"),'Marks Entry'!$AY$2,""))),"-"))))),"")</f>
        <v/>
      </c>
      <c r="L46" s="812" t="str">
        <f>IFERROR(IF(B46="","",IF($P$3=$AT$8,'Statement of Marks'!J45,IF($P$3=$AT$9,'Statement of Marks'!X45,IF($P$3=$AT$10,'Statement of Marks'!AM45,IF($P$3=$AT$11,'Statement of Marks'!BJ45,IF($P$3=$AT$12,'Statement of Marks'!CG45,IF($P$3=$AT$13,'Statement of Marks'!DE45,IF($P$3=$AT$14,"",IF($P$3=$AT$15,'Statement of Marks'!EY45,""))))))))),"")</f>
        <v/>
      </c>
      <c r="M46" s="812" t="str">
        <f>IFERROR(IF(B46="","",IF($P$3=$AT$8,'Statement of Marks'!K45,IF($P$3=$AT$9,'Statement of Marks'!Y45,IF($P$3=$AT$10,'Statement of Marks'!AN45,IF($P$3=$AT$11,'Statement of Marks'!BK45,IF($P$3=$AT$12,'Statement of Marks'!CH45,IF($P$3=$AT$13,'Statement of Marks'!DF45,IF($P$3=$AT$14,"",IF($P$3=$AT$15,'Statement of Marks'!EZ45,""))))))))),"")</f>
        <v/>
      </c>
      <c r="N46" s="812" t="str">
        <f>IFERROR(IF(B46="","",IF($P$3=$AT$8,'Statement of Marks'!L45,IF($P$3=$AT$9,'Statement of Marks'!Z45,IF($P$3=$AT$10,'Statement of Marks'!AO45,IF($P$3=$AT$11,'Statement of Marks'!BL45,IF($P$3=$AT$12,'Statement of Marks'!CI45,IF($P$3=$AT$13,'Statement of Marks'!DG45,IF($P$3=$AT$14,"",IF($P$3=$AT$15,'Statement of Marks'!FA45,""))))))))),"")</f>
        <v/>
      </c>
      <c r="O46" s="813" t="str">
        <f t="shared" si="4"/>
        <v/>
      </c>
      <c r="P46" s="812" t="str">
        <f>IFERROR(IF(B46="","",IF($P$3=$AT$8,'Statement of Marks'!N45,IF($P$3=$AT$9,'Statement of Marks'!AB45,IF($P$3=$AT$10,'Statement of Marks'!AQ45,IF($P$3=$AT$11,'Statement of Marks'!BN45,IF($P$3=$AT$12,'Statement of Marks'!CK45,IF($P$3=$AT$13,'Statement of Marks'!DI45,IF($P$3=$AT$14,"",IF($P$3=$AT$15,'Statement of Marks'!FC45,""))))))))),"")</f>
        <v/>
      </c>
      <c r="Q46" s="812" t="str">
        <f>IFERROR(IF(B46="","",IF($P$3=$AT$8,"",IF($P$3=$AT$9,"",IF($P$3=$AT$10,'Statement of Marks'!AR45,IF($P$3=$AT$11,'Statement of Marks'!BO45,IF($P$3=$AT$12,'Statement of Marks'!CL45,IF($P$3=$AT$13,'Statement of Marks'!DJ45,IF($P$3=$AT$14,"",IF($P$3=$AT$15,"",""))))))))),"")</f>
        <v/>
      </c>
      <c r="R46" s="824" t="str">
        <f>IFERROR(IF(B46="","",IF(AND(P46="",Q46="",$P$3=""),"",IF($P$3=$AT$14,'Statement of Marks'!EC45,SUM(P46,Q46)))),"")</f>
        <v/>
      </c>
      <c r="S46" s="823" t="str">
        <f>IFERROR(IF(B46="","",IF($P$3=$AT$14,'Statement of Marks'!ED45,IF(AND(O46="NA",P46="NA",Q46="NA"),"NA",IF(AND(O46="",P46="",Q46=""),"",SUM(O46,P46,Q46))))),"")</f>
        <v/>
      </c>
      <c r="T46" s="812" t="str">
        <f>IFERROR(IF(B46="","",IF($P$3=$AT$8,'Statement of Marks'!P45,IF($P$3=$AT$9,'Statement of Marks'!AD45,IF($P$3=$AT$10,'Statement of Marks'!AU45,IF($P$3=$AT$11,'Statement of Marks'!BR45,IF($P$3=$AT$12,'Statement of Marks'!CO45,IF($P$3=$AT$13,'Statement of Marks'!DM45,IF($P$3=$AT$14,"",IF($P$3=$AT$15,'Statement of Marks'!FD45,""))))))))),"")</f>
        <v/>
      </c>
      <c r="U46" s="812" t="str">
        <f>IFERROR(IF(B46="","",IF($P$3=$AT$8,"",IF($P$3=$AT$9,"",IF($P$3=$AT$10,'Statement of Marks'!AV45,IF($P$3=$AT$11,'Statement of Marks'!BS45,IF($P$3=$AT$12,'Statement of Marks'!CP45,IF($P$3=$AT$13,'Statement of Marks'!DN45,IF($P$3=$AT$14,"",IF($P$3=$AT$15,"",""))))))))),"")</f>
        <v/>
      </c>
      <c r="V46" s="824" t="str">
        <f>IFERROR(IF(B46="","",IF(AND(T46="",U46="",$P$3=""),"",IF($P$3=$AT$14,'Statement of Marks'!EE45,SUM(T46,U46)))),"")</f>
        <v/>
      </c>
      <c r="W46" s="814" t="str">
        <f t="shared" si="5"/>
        <v/>
      </c>
      <c r="X46" s="815">
        <f t="shared" si="6"/>
        <v>0</v>
      </c>
      <c r="Y46" s="815">
        <f t="shared" si="7"/>
        <v>0</v>
      </c>
      <c r="Z46" s="815">
        <f t="shared" si="8"/>
        <v>0</v>
      </c>
      <c r="AA46" s="815" t="str">
        <f t="shared" si="9"/>
        <v/>
      </c>
      <c r="AB46" s="815" t="str">
        <f t="shared" si="10"/>
        <v/>
      </c>
      <c r="AC46" s="815" t="str">
        <f t="shared" si="11"/>
        <v/>
      </c>
      <c r="AD46" s="815" t="str">
        <f t="shared" si="12"/>
        <v/>
      </c>
      <c r="AE46" s="816" t="str">
        <f t="shared" si="13"/>
        <v/>
      </c>
      <c r="AF46" s="817" t="str">
        <f t="shared" si="14"/>
        <v/>
      </c>
      <c r="AG46" s="818" t="str">
        <f t="shared" si="15"/>
        <v/>
      </c>
      <c r="AW46" s="17" t="str">
        <f t="shared" si="16"/>
        <v/>
      </c>
      <c r="AX46" s="17" t="str">
        <f t="shared" si="17"/>
        <v/>
      </c>
      <c r="BM46" s="17" t="str">
        <f>IFERROR(VLOOKUP(B46,'Statement of Marks'!$B$8:'Statement of Marks'!$HI$207,37,0),"")</f>
        <v>A</v>
      </c>
      <c r="BN46" s="17" t="str">
        <f>IFERROR(VLOOKUP(B46,'Statement of Marks'!$B$8:'Statement of Marks'!$HI$207,60,0),"")</f>
        <v>A</v>
      </c>
      <c r="BO46" s="17" t="str">
        <f>IFERROR(VLOOKUP(B46,'Statement of Marks'!$B$8:'Statement of Marks'!$HI$207,83,0),"")</f>
        <v>A</v>
      </c>
      <c r="BP46" s="17" t="str">
        <f>IFERROR(VLOOKUP(B46,'Statement of Marks'!$B$8:'Statement of Marks'!$HI$207,107,0),"")</f>
        <v/>
      </c>
    </row>
    <row r="47" spans="1:68">
      <c r="A47" s="806">
        <f>IF('Statement of Marks'!A46="","",'Statement of Marks'!A46)</f>
        <v>39</v>
      </c>
      <c r="B47" s="807" t="str">
        <f>IF(OR($E$3="",$P$3=""),"",IF('Statement of Marks'!B46="","",'Statement of Marks'!B46))</f>
        <v/>
      </c>
      <c r="C47" s="816" t="str">
        <f>IF(OR($E$3="",$P$3=""),"",IF('Marks Entry'!C46="","",'Marks Entry'!C46))</f>
        <v/>
      </c>
      <c r="D47" s="808" t="str">
        <f>IF(OR($E$3="",$P$3=""),"",IF('Statement of Marks'!C46="","",'Statement of Marks'!C46))</f>
        <v/>
      </c>
      <c r="E47" s="809" t="str">
        <f>IF(OR($E$3="",$P$3=""),"",IF('Statement of Marks'!D46="","",'Statement of Marks'!D46))</f>
        <v/>
      </c>
      <c r="F47" s="810" t="str">
        <f>IF(OR($E$3="",$P$3=""),"",IF('Statement of Marks'!E46="","",'Statement of Marks'!E46))</f>
        <v/>
      </c>
      <c r="G47" s="810" t="str">
        <f>IF(OR($E$3="",$P$3=""),"",IF('Statement of Marks'!F46="","",'Statement of Marks'!F46))</f>
        <v/>
      </c>
      <c r="H47" s="810" t="str">
        <f>IF(OR($E$3="",$P$3=""),"",IF('Statement of Marks'!G46="","",'Statement of Marks'!G46))</f>
        <v/>
      </c>
      <c r="I47" s="811" t="str">
        <f>IF(OR($E$3="",$P$3=""),"",IF('Statement of Marks'!H46="","",'Statement of Marks'!H46))</f>
        <v/>
      </c>
      <c r="J47" s="811" t="str">
        <f>IF(OR($E$3="",$P$3=""),"",IF('Statement of Marks'!I46="","",'Statement of Marks'!I46))</f>
        <v/>
      </c>
      <c r="K47" s="811" t="str">
        <f>IFERROR(IF(B47="","",IF($P$3=$AT$10,IF(AND(BM47="A"),'Marks Entry'!$U$2,IF(AND(BM47="B"),'Marks Entry'!$Y$2,IF(AND(BM47="C"),'Marks Entry'!$AA$2,""))),IF($P$3=$AT$11,IF(AND(BN47="A"),'Marks Entry'!$AC$2,IF(AND(BN47="B"),'Marks Entry'!$AG$2,IF(AND(BN47="C"),'Marks Entry'!$AI$2,""))),IF($P$3=$AT$12,IF(AND(BO47="A"),'Marks Entry'!$AK$2,IF(AND(BO47="B"),'Marks Entry'!$AO$2,IF(AND(BO47="C"),'Marks Entry'!$AQ$2,""))),IF($P$3=$AT$13,IF(AND(BP47="A"),'Marks Entry'!$AS$2,IF(AND(BP47="B"),'Marks Entry'!$AW$2,IF(AND(BP47="C"),'Marks Entry'!$AY$2,""))),"-"))))),"")</f>
        <v/>
      </c>
      <c r="L47" s="812" t="str">
        <f>IFERROR(IF(B47="","",IF($P$3=$AT$8,'Statement of Marks'!J46,IF($P$3=$AT$9,'Statement of Marks'!X46,IF($P$3=$AT$10,'Statement of Marks'!AM46,IF($P$3=$AT$11,'Statement of Marks'!BJ46,IF($P$3=$AT$12,'Statement of Marks'!CG46,IF($P$3=$AT$13,'Statement of Marks'!DE46,IF($P$3=$AT$14,"",IF($P$3=$AT$15,'Statement of Marks'!EY46,""))))))))),"")</f>
        <v/>
      </c>
      <c r="M47" s="812" t="str">
        <f>IFERROR(IF(B47="","",IF($P$3=$AT$8,'Statement of Marks'!K46,IF($P$3=$AT$9,'Statement of Marks'!Y46,IF($P$3=$AT$10,'Statement of Marks'!AN46,IF($P$3=$AT$11,'Statement of Marks'!BK46,IF($P$3=$AT$12,'Statement of Marks'!CH46,IF($P$3=$AT$13,'Statement of Marks'!DF46,IF($P$3=$AT$14,"",IF($P$3=$AT$15,'Statement of Marks'!EZ46,""))))))))),"")</f>
        <v/>
      </c>
      <c r="N47" s="812" t="str">
        <f>IFERROR(IF(B47="","",IF($P$3=$AT$8,'Statement of Marks'!L46,IF($P$3=$AT$9,'Statement of Marks'!Z46,IF($P$3=$AT$10,'Statement of Marks'!AO46,IF($P$3=$AT$11,'Statement of Marks'!BL46,IF($P$3=$AT$12,'Statement of Marks'!CI46,IF($P$3=$AT$13,'Statement of Marks'!DG46,IF($P$3=$AT$14,"",IF($P$3=$AT$15,'Statement of Marks'!FA46,""))))))))),"")</f>
        <v/>
      </c>
      <c r="O47" s="813" t="str">
        <f t="shared" si="4"/>
        <v/>
      </c>
      <c r="P47" s="812" t="str">
        <f>IFERROR(IF(B47="","",IF($P$3=$AT$8,'Statement of Marks'!N46,IF($P$3=$AT$9,'Statement of Marks'!AB46,IF($P$3=$AT$10,'Statement of Marks'!AQ46,IF($P$3=$AT$11,'Statement of Marks'!BN46,IF($P$3=$AT$12,'Statement of Marks'!CK46,IF($P$3=$AT$13,'Statement of Marks'!DI46,IF($P$3=$AT$14,"",IF($P$3=$AT$15,'Statement of Marks'!FC46,""))))))))),"")</f>
        <v/>
      </c>
      <c r="Q47" s="812" t="str">
        <f>IFERROR(IF(B47="","",IF($P$3=$AT$8,"",IF($P$3=$AT$9,"",IF($P$3=$AT$10,'Statement of Marks'!AR46,IF($P$3=$AT$11,'Statement of Marks'!BO46,IF($P$3=$AT$12,'Statement of Marks'!CL46,IF($P$3=$AT$13,'Statement of Marks'!DJ46,IF($P$3=$AT$14,"",IF($P$3=$AT$15,"",""))))))))),"")</f>
        <v/>
      </c>
      <c r="R47" s="824" t="str">
        <f>IFERROR(IF(B47="","",IF(AND(P47="",Q47="",$P$3=""),"",IF($P$3=$AT$14,'Statement of Marks'!EC46,SUM(P47,Q47)))),"")</f>
        <v/>
      </c>
      <c r="S47" s="823" t="str">
        <f>IFERROR(IF(B47="","",IF($P$3=$AT$14,'Statement of Marks'!ED46,IF(AND(O47="NA",P47="NA",Q47="NA"),"NA",IF(AND(O47="",P47="",Q47=""),"",SUM(O47,P47,Q47))))),"")</f>
        <v/>
      </c>
      <c r="T47" s="812" t="str">
        <f>IFERROR(IF(B47="","",IF($P$3=$AT$8,'Statement of Marks'!P46,IF($P$3=$AT$9,'Statement of Marks'!AD46,IF($P$3=$AT$10,'Statement of Marks'!AU46,IF($P$3=$AT$11,'Statement of Marks'!BR46,IF($P$3=$AT$12,'Statement of Marks'!CO46,IF($P$3=$AT$13,'Statement of Marks'!DM46,IF($P$3=$AT$14,"",IF($P$3=$AT$15,'Statement of Marks'!FD46,""))))))))),"")</f>
        <v/>
      </c>
      <c r="U47" s="812" t="str">
        <f>IFERROR(IF(B47="","",IF($P$3=$AT$8,"",IF($P$3=$AT$9,"",IF($P$3=$AT$10,'Statement of Marks'!AV46,IF($P$3=$AT$11,'Statement of Marks'!BS46,IF($P$3=$AT$12,'Statement of Marks'!CP46,IF($P$3=$AT$13,'Statement of Marks'!DN46,IF($P$3=$AT$14,"",IF($P$3=$AT$15,"",""))))))))),"")</f>
        <v/>
      </c>
      <c r="V47" s="824" t="str">
        <f>IFERROR(IF(B47="","",IF(AND(T47="",U47="",$P$3=""),"",IF($P$3=$AT$14,'Statement of Marks'!EE46,SUM(T47,U47)))),"")</f>
        <v/>
      </c>
      <c r="W47" s="814" t="str">
        <f t="shared" si="5"/>
        <v/>
      </c>
      <c r="X47" s="815">
        <f t="shared" si="6"/>
        <v>0</v>
      </c>
      <c r="Y47" s="815">
        <f t="shared" si="7"/>
        <v>0</v>
      </c>
      <c r="Z47" s="815">
        <f t="shared" si="8"/>
        <v>0</v>
      </c>
      <c r="AA47" s="815" t="str">
        <f t="shared" si="9"/>
        <v/>
      </c>
      <c r="AB47" s="815" t="str">
        <f t="shared" si="10"/>
        <v/>
      </c>
      <c r="AC47" s="815" t="str">
        <f t="shared" si="11"/>
        <v/>
      </c>
      <c r="AD47" s="815" t="str">
        <f t="shared" si="12"/>
        <v/>
      </c>
      <c r="AE47" s="816" t="str">
        <f t="shared" si="13"/>
        <v/>
      </c>
      <c r="AF47" s="817" t="str">
        <f t="shared" si="14"/>
        <v/>
      </c>
      <c r="AG47" s="818" t="str">
        <f t="shared" si="15"/>
        <v/>
      </c>
      <c r="AW47" s="17" t="str">
        <f t="shared" si="16"/>
        <v/>
      </c>
      <c r="AX47" s="17" t="str">
        <f t="shared" si="17"/>
        <v/>
      </c>
      <c r="BM47" s="17" t="str">
        <f>IFERROR(VLOOKUP(B47,'Statement of Marks'!$B$8:'Statement of Marks'!$HI$207,37,0),"")</f>
        <v>A</v>
      </c>
      <c r="BN47" s="17" t="str">
        <f>IFERROR(VLOOKUP(B47,'Statement of Marks'!$B$8:'Statement of Marks'!$HI$207,60,0),"")</f>
        <v>A</v>
      </c>
      <c r="BO47" s="17" t="str">
        <f>IFERROR(VLOOKUP(B47,'Statement of Marks'!$B$8:'Statement of Marks'!$HI$207,83,0),"")</f>
        <v>A</v>
      </c>
      <c r="BP47" s="17" t="str">
        <f>IFERROR(VLOOKUP(B47,'Statement of Marks'!$B$8:'Statement of Marks'!$HI$207,107,0),"")</f>
        <v/>
      </c>
    </row>
    <row r="48" spans="1:68">
      <c r="A48" s="806">
        <f>IF('Statement of Marks'!A47="","",'Statement of Marks'!A47)</f>
        <v>40</v>
      </c>
      <c r="B48" s="807" t="str">
        <f>IF(OR($E$3="",$P$3=""),"",IF('Statement of Marks'!B47="","",'Statement of Marks'!B47))</f>
        <v/>
      </c>
      <c r="C48" s="816" t="str">
        <f>IF(OR($E$3="",$P$3=""),"",IF('Marks Entry'!C47="","",'Marks Entry'!C47))</f>
        <v/>
      </c>
      <c r="D48" s="808" t="str">
        <f>IF(OR($E$3="",$P$3=""),"",IF('Statement of Marks'!C47="","",'Statement of Marks'!C47))</f>
        <v/>
      </c>
      <c r="E48" s="809" t="str">
        <f>IF(OR($E$3="",$P$3=""),"",IF('Statement of Marks'!D47="","",'Statement of Marks'!D47))</f>
        <v/>
      </c>
      <c r="F48" s="810" t="str">
        <f>IF(OR($E$3="",$P$3=""),"",IF('Statement of Marks'!E47="","",'Statement of Marks'!E47))</f>
        <v/>
      </c>
      <c r="G48" s="810" t="str">
        <f>IF(OR($E$3="",$P$3=""),"",IF('Statement of Marks'!F47="","",'Statement of Marks'!F47))</f>
        <v/>
      </c>
      <c r="H48" s="810" t="str">
        <f>IF(OR($E$3="",$P$3=""),"",IF('Statement of Marks'!G47="","",'Statement of Marks'!G47))</f>
        <v/>
      </c>
      <c r="I48" s="811" t="str">
        <f>IF(OR($E$3="",$P$3=""),"",IF('Statement of Marks'!H47="","",'Statement of Marks'!H47))</f>
        <v/>
      </c>
      <c r="J48" s="811" t="str">
        <f>IF(OR($E$3="",$P$3=""),"",IF('Statement of Marks'!I47="","",'Statement of Marks'!I47))</f>
        <v/>
      </c>
      <c r="K48" s="811" t="str">
        <f>IFERROR(IF(B48="","",IF($P$3=$AT$10,IF(AND(BM48="A"),'Marks Entry'!$U$2,IF(AND(BM48="B"),'Marks Entry'!$Y$2,IF(AND(BM48="C"),'Marks Entry'!$AA$2,""))),IF($P$3=$AT$11,IF(AND(BN48="A"),'Marks Entry'!$AC$2,IF(AND(BN48="B"),'Marks Entry'!$AG$2,IF(AND(BN48="C"),'Marks Entry'!$AI$2,""))),IF($P$3=$AT$12,IF(AND(BO48="A"),'Marks Entry'!$AK$2,IF(AND(BO48="B"),'Marks Entry'!$AO$2,IF(AND(BO48="C"),'Marks Entry'!$AQ$2,""))),IF($P$3=$AT$13,IF(AND(BP48="A"),'Marks Entry'!$AS$2,IF(AND(BP48="B"),'Marks Entry'!$AW$2,IF(AND(BP48="C"),'Marks Entry'!$AY$2,""))),"-"))))),"")</f>
        <v/>
      </c>
      <c r="L48" s="812" t="str">
        <f>IFERROR(IF(B48="","",IF($P$3=$AT$8,'Statement of Marks'!J47,IF($P$3=$AT$9,'Statement of Marks'!X47,IF($P$3=$AT$10,'Statement of Marks'!AM47,IF($P$3=$AT$11,'Statement of Marks'!BJ47,IF($P$3=$AT$12,'Statement of Marks'!CG47,IF($P$3=$AT$13,'Statement of Marks'!DE47,IF($P$3=$AT$14,"",IF($P$3=$AT$15,'Statement of Marks'!EY47,""))))))))),"")</f>
        <v/>
      </c>
      <c r="M48" s="812" t="str">
        <f>IFERROR(IF(B48="","",IF($P$3=$AT$8,'Statement of Marks'!K47,IF($P$3=$AT$9,'Statement of Marks'!Y47,IF($P$3=$AT$10,'Statement of Marks'!AN47,IF($P$3=$AT$11,'Statement of Marks'!BK47,IF($P$3=$AT$12,'Statement of Marks'!CH47,IF($P$3=$AT$13,'Statement of Marks'!DF47,IF($P$3=$AT$14,"",IF($P$3=$AT$15,'Statement of Marks'!EZ47,""))))))))),"")</f>
        <v/>
      </c>
      <c r="N48" s="812" t="str">
        <f>IFERROR(IF(B48="","",IF($P$3=$AT$8,'Statement of Marks'!L47,IF($P$3=$AT$9,'Statement of Marks'!Z47,IF($P$3=$AT$10,'Statement of Marks'!AO47,IF($P$3=$AT$11,'Statement of Marks'!BL47,IF($P$3=$AT$12,'Statement of Marks'!CI47,IF($P$3=$AT$13,'Statement of Marks'!DG47,IF($P$3=$AT$14,"",IF($P$3=$AT$15,'Statement of Marks'!FA47,""))))))))),"")</f>
        <v/>
      </c>
      <c r="O48" s="813" t="str">
        <f t="shared" si="4"/>
        <v/>
      </c>
      <c r="P48" s="812" t="str">
        <f>IFERROR(IF(B48="","",IF($P$3=$AT$8,'Statement of Marks'!N47,IF($P$3=$AT$9,'Statement of Marks'!AB47,IF($P$3=$AT$10,'Statement of Marks'!AQ47,IF($P$3=$AT$11,'Statement of Marks'!BN47,IF($P$3=$AT$12,'Statement of Marks'!CK47,IF($P$3=$AT$13,'Statement of Marks'!DI47,IF($P$3=$AT$14,"",IF($P$3=$AT$15,'Statement of Marks'!FC47,""))))))))),"")</f>
        <v/>
      </c>
      <c r="Q48" s="812" t="str">
        <f>IFERROR(IF(B48="","",IF($P$3=$AT$8,"",IF($P$3=$AT$9,"",IF($P$3=$AT$10,'Statement of Marks'!AR47,IF($P$3=$AT$11,'Statement of Marks'!BO47,IF($P$3=$AT$12,'Statement of Marks'!CL47,IF($P$3=$AT$13,'Statement of Marks'!DJ47,IF($P$3=$AT$14,"",IF($P$3=$AT$15,"",""))))))))),"")</f>
        <v/>
      </c>
      <c r="R48" s="824" t="str">
        <f>IFERROR(IF(B48="","",IF(AND(P48="",Q48="",$P$3=""),"",IF($P$3=$AT$14,'Statement of Marks'!EC47,SUM(P48,Q48)))),"")</f>
        <v/>
      </c>
      <c r="S48" s="823" t="str">
        <f>IFERROR(IF(B48="","",IF($P$3=$AT$14,'Statement of Marks'!ED47,IF(AND(O48="NA",P48="NA",Q48="NA"),"NA",IF(AND(O48="",P48="",Q48=""),"",SUM(O48,P48,Q48))))),"")</f>
        <v/>
      </c>
      <c r="T48" s="812" t="str">
        <f>IFERROR(IF(B48="","",IF($P$3=$AT$8,'Statement of Marks'!P47,IF($P$3=$AT$9,'Statement of Marks'!AD47,IF($P$3=$AT$10,'Statement of Marks'!AU47,IF($P$3=$AT$11,'Statement of Marks'!BR47,IF($P$3=$AT$12,'Statement of Marks'!CO47,IF($P$3=$AT$13,'Statement of Marks'!DM47,IF($P$3=$AT$14,"",IF($P$3=$AT$15,'Statement of Marks'!FD47,""))))))))),"")</f>
        <v/>
      </c>
      <c r="U48" s="812" t="str">
        <f>IFERROR(IF(B48="","",IF($P$3=$AT$8,"",IF($P$3=$AT$9,"",IF($P$3=$AT$10,'Statement of Marks'!AV47,IF($P$3=$AT$11,'Statement of Marks'!BS47,IF($P$3=$AT$12,'Statement of Marks'!CP47,IF($P$3=$AT$13,'Statement of Marks'!DN47,IF($P$3=$AT$14,"",IF($P$3=$AT$15,"",""))))))))),"")</f>
        <v/>
      </c>
      <c r="V48" s="824" t="str">
        <f>IFERROR(IF(B48="","",IF(AND(T48="",U48="",$P$3=""),"",IF($P$3=$AT$14,'Statement of Marks'!EE47,SUM(T48,U48)))),"")</f>
        <v/>
      </c>
      <c r="W48" s="814" t="str">
        <f t="shared" si="5"/>
        <v/>
      </c>
      <c r="X48" s="815">
        <f t="shared" si="6"/>
        <v>0</v>
      </c>
      <c r="Y48" s="815">
        <f t="shared" si="7"/>
        <v>0</v>
      </c>
      <c r="Z48" s="815">
        <f t="shared" si="8"/>
        <v>0</v>
      </c>
      <c r="AA48" s="815" t="str">
        <f t="shared" si="9"/>
        <v/>
      </c>
      <c r="AB48" s="815" t="str">
        <f t="shared" si="10"/>
        <v/>
      </c>
      <c r="AC48" s="815" t="str">
        <f t="shared" si="11"/>
        <v/>
      </c>
      <c r="AD48" s="815" t="str">
        <f t="shared" si="12"/>
        <v/>
      </c>
      <c r="AE48" s="816" t="str">
        <f t="shared" si="13"/>
        <v/>
      </c>
      <c r="AF48" s="817" t="str">
        <f t="shared" si="14"/>
        <v/>
      </c>
      <c r="AG48" s="818" t="str">
        <f t="shared" si="15"/>
        <v/>
      </c>
      <c r="AW48" s="17" t="str">
        <f t="shared" si="16"/>
        <v/>
      </c>
      <c r="AX48" s="17" t="str">
        <f t="shared" si="17"/>
        <v/>
      </c>
      <c r="BM48" s="17" t="str">
        <f>IFERROR(VLOOKUP(B48,'Statement of Marks'!$B$8:'Statement of Marks'!$HI$207,37,0),"")</f>
        <v>A</v>
      </c>
      <c r="BN48" s="17" t="str">
        <f>IFERROR(VLOOKUP(B48,'Statement of Marks'!$B$8:'Statement of Marks'!$HI$207,60,0),"")</f>
        <v>A</v>
      </c>
      <c r="BO48" s="17" t="str">
        <f>IFERROR(VLOOKUP(B48,'Statement of Marks'!$B$8:'Statement of Marks'!$HI$207,83,0),"")</f>
        <v>A</v>
      </c>
      <c r="BP48" s="17" t="str">
        <f>IFERROR(VLOOKUP(B48,'Statement of Marks'!$B$8:'Statement of Marks'!$HI$207,107,0),"")</f>
        <v/>
      </c>
    </row>
    <row r="49" spans="1:68">
      <c r="A49" s="806">
        <f>IF('Statement of Marks'!A48="","",'Statement of Marks'!A48)</f>
        <v>41</v>
      </c>
      <c r="B49" s="807" t="str">
        <f>IF(OR($E$3="",$P$3=""),"",IF('Statement of Marks'!B48="","",'Statement of Marks'!B48))</f>
        <v/>
      </c>
      <c r="C49" s="816" t="str">
        <f>IF(OR($E$3="",$P$3=""),"",IF('Marks Entry'!C48="","",'Marks Entry'!C48))</f>
        <v/>
      </c>
      <c r="D49" s="808" t="str">
        <f>IF(OR($E$3="",$P$3=""),"",IF('Statement of Marks'!C48="","",'Statement of Marks'!C48))</f>
        <v/>
      </c>
      <c r="E49" s="809" t="str">
        <f>IF(OR($E$3="",$P$3=""),"",IF('Statement of Marks'!D48="","",'Statement of Marks'!D48))</f>
        <v/>
      </c>
      <c r="F49" s="810" t="str">
        <f>IF(OR($E$3="",$P$3=""),"",IF('Statement of Marks'!E48="","",'Statement of Marks'!E48))</f>
        <v/>
      </c>
      <c r="G49" s="810" t="str">
        <f>IF(OR($E$3="",$P$3=""),"",IF('Statement of Marks'!F48="","",'Statement of Marks'!F48))</f>
        <v/>
      </c>
      <c r="H49" s="810" t="str">
        <f>IF(OR($E$3="",$P$3=""),"",IF('Statement of Marks'!G48="","",'Statement of Marks'!G48))</f>
        <v/>
      </c>
      <c r="I49" s="811" t="str">
        <f>IF(OR($E$3="",$P$3=""),"",IF('Statement of Marks'!H48="","",'Statement of Marks'!H48))</f>
        <v/>
      </c>
      <c r="J49" s="811" t="str">
        <f>IF(OR($E$3="",$P$3=""),"",IF('Statement of Marks'!I48="","",'Statement of Marks'!I48))</f>
        <v/>
      </c>
      <c r="K49" s="811" t="str">
        <f>IFERROR(IF(B49="","",IF($P$3=$AT$10,IF(AND(BM49="A"),'Marks Entry'!$U$2,IF(AND(BM49="B"),'Marks Entry'!$Y$2,IF(AND(BM49="C"),'Marks Entry'!$AA$2,""))),IF($P$3=$AT$11,IF(AND(BN49="A"),'Marks Entry'!$AC$2,IF(AND(BN49="B"),'Marks Entry'!$AG$2,IF(AND(BN49="C"),'Marks Entry'!$AI$2,""))),IF($P$3=$AT$12,IF(AND(BO49="A"),'Marks Entry'!$AK$2,IF(AND(BO49="B"),'Marks Entry'!$AO$2,IF(AND(BO49="C"),'Marks Entry'!$AQ$2,""))),IF($P$3=$AT$13,IF(AND(BP49="A"),'Marks Entry'!$AS$2,IF(AND(BP49="B"),'Marks Entry'!$AW$2,IF(AND(BP49="C"),'Marks Entry'!$AY$2,""))),"-"))))),"")</f>
        <v/>
      </c>
      <c r="L49" s="812" t="str">
        <f>IFERROR(IF(B49="","",IF($P$3=$AT$8,'Statement of Marks'!J48,IF($P$3=$AT$9,'Statement of Marks'!X48,IF($P$3=$AT$10,'Statement of Marks'!AM48,IF($P$3=$AT$11,'Statement of Marks'!BJ48,IF($P$3=$AT$12,'Statement of Marks'!CG48,IF($P$3=$AT$13,'Statement of Marks'!DE48,IF($P$3=$AT$14,"",IF($P$3=$AT$15,'Statement of Marks'!EY48,""))))))))),"")</f>
        <v/>
      </c>
      <c r="M49" s="812" t="str">
        <f>IFERROR(IF(B49="","",IF($P$3=$AT$8,'Statement of Marks'!K48,IF($P$3=$AT$9,'Statement of Marks'!Y48,IF($P$3=$AT$10,'Statement of Marks'!AN48,IF($P$3=$AT$11,'Statement of Marks'!BK48,IF($P$3=$AT$12,'Statement of Marks'!CH48,IF($P$3=$AT$13,'Statement of Marks'!DF48,IF($P$3=$AT$14,"",IF($P$3=$AT$15,'Statement of Marks'!EZ48,""))))))))),"")</f>
        <v/>
      </c>
      <c r="N49" s="812" t="str">
        <f>IFERROR(IF(B49="","",IF($P$3=$AT$8,'Statement of Marks'!L48,IF($P$3=$AT$9,'Statement of Marks'!Z48,IF($P$3=$AT$10,'Statement of Marks'!AO48,IF($P$3=$AT$11,'Statement of Marks'!BL48,IF($P$3=$AT$12,'Statement of Marks'!CI48,IF($P$3=$AT$13,'Statement of Marks'!DG48,IF($P$3=$AT$14,"",IF($P$3=$AT$15,'Statement of Marks'!FA48,""))))))))),"")</f>
        <v/>
      </c>
      <c r="O49" s="813" t="str">
        <f t="shared" si="4"/>
        <v/>
      </c>
      <c r="P49" s="812" t="str">
        <f>IFERROR(IF(B49="","",IF($P$3=$AT$8,'Statement of Marks'!N48,IF($P$3=$AT$9,'Statement of Marks'!AB48,IF($P$3=$AT$10,'Statement of Marks'!AQ48,IF($P$3=$AT$11,'Statement of Marks'!BN48,IF($P$3=$AT$12,'Statement of Marks'!CK48,IF($P$3=$AT$13,'Statement of Marks'!DI48,IF($P$3=$AT$14,"",IF($P$3=$AT$15,'Statement of Marks'!FC48,""))))))))),"")</f>
        <v/>
      </c>
      <c r="Q49" s="812" t="str">
        <f>IFERROR(IF(B49="","",IF($P$3=$AT$8,"",IF($P$3=$AT$9,"",IF($P$3=$AT$10,'Statement of Marks'!AR48,IF($P$3=$AT$11,'Statement of Marks'!BO48,IF($P$3=$AT$12,'Statement of Marks'!CL48,IF($P$3=$AT$13,'Statement of Marks'!DJ48,IF($P$3=$AT$14,"",IF($P$3=$AT$15,"",""))))))))),"")</f>
        <v/>
      </c>
      <c r="R49" s="824" t="str">
        <f>IFERROR(IF(B49="","",IF(AND(P49="",Q49="",$P$3=""),"",IF($P$3=$AT$14,'Statement of Marks'!EC48,SUM(P49,Q49)))),"")</f>
        <v/>
      </c>
      <c r="S49" s="823" t="str">
        <f>IFERROR(IF(B49="","",IF($P$3=$AT$14,'Statement of Marks'!ED48,IF(AND(O49="NA",P49="NA",Q49="NA"),"NA",IF(AND(O49="",P49="",Q49=""),"",SUM(O49,P49,Q49))))),"")</f>
        <v/>
      </c>
      <c r="T49" s="812" t="str">
        <f>IFERROR(IF(B49="","",IF($P$3=$AT$8,'Statement of Marks'!P48,IF($P$3=$AT$9,'Statement of Marks'!AD48,IF($P$3=$AT$10,'Statement of Marks'!AU48,IF($P$3=$AT$11,'Statement of Marks'!BR48,IF($P$3=$AT$12,'Statement of Marks'!CO48,IF($P$3=$AT$13,'Statement of Marks'!DM48,IF($P$3=$AT$14,"",IF($P$3=$AT$15,'Statement of Marks'!FD48,""))))))))),"")</f>
        <v/>
      </c>
      <c r="U49" s="812" t="str">
        <f>IFERROR(IF(B49="","",IF($P$3=$AT$8,"",IF($P$3=$AT$9,"",IF($P$3=$AT$10,'Statement of Marks'!AV48,IF($P$3=$AT$11,'Statement of Marks'!BS48,IF($P$3=$AT$12,'Statement of Marks'!CP48,IF($P$3=$AT$13,'Statement of Marks'!DN48,IF($P$3=$AT$14,"",IF($P$3=$AT$15,"",""))))))))),"")</f>
        <v/>
      </c>
      <c r="V49" s="824" t="str">
        <f>IFERROR(IF(B49="","",IF(AND(T49="",U49="",$P$3=""),"",IF($P$3=$AT$14,'Statement of Marks'!EE48,SUM(T49,U49)))),"")</f>
        <v/>
      </c>
      <c r="W49" s="814" t="str">
        <f t="shared" si="5"/>
        <v/>
      </c>
      <c r="X49" s="815">
        <f t="shared" si="6"/>
        <v>0</v>
      </c>
      <c r="Y49" s="815">
        <f t="shared" si="7"/>
        <v>0</v>
      </c>
      <c r="Z49" s="815">
        <f t="shared" si="8"/>
        <v>0</v>
      </c>
      <c r="AA49" s="815" t="str">
        <f t="shared" si="9"/>
        <v/>
      </c>
      <c r="AB49" s="815" t="str">
        <f t="shared" si="10"/>
        <v/>
      </c>
      <c r="AC49" s="815" t="str">
        <f t="shared" si="11"/>
        <v/>
      </c>
      <c r="AD49" s="815" t="str">
        <f t="shared" si="12"/>
        <v/>
      </c>
      <c r="AE49" s="816" t="str">
        <f t="shared" si="13"/>
        <v/>
      </c>
      <c r="AF49" s="817" t="str">
        <f t="shared" si="14"/>
        <v/>
      </c>
      <c r="AG49" s="818" t="str">
        <f t="shared" si="15"/>
        <v/>
      </c>
      <c r="AW49" s="17" t="str">
        <f t="shared" si="16"/>
        <v/>
      </c>
      <c r="AX49" s="17" t="str">
        <f t="shared" si="17"/>
        <v/>
      </c>
      <c r="BM49" s="17" t="str">
        <f>IFERROR(VLOOKUP(B49,'Statement of Marks'!$B$8:'Statement of Marks'!$HI$207,37,0),"")</f>
        <v>A</v>
      </c>
      <c r="BN49" s="17" t="str">
        <f>IFERROR(VLOOKUP(B49,'Statement of Marks'!$B$8:'Statement of Marks'!$HI$207,60,0),"")</f>
        <v>A</v>
      </c>
      <c r="BO49" s="17" t="str">
        <f>IFERROR(VLOOKUP(B49,'Statement of Marks'!$B$8:'Statement of Marks'!$HI$207,83,0),"")</f>
        <v>A</v>
      </c>
      <c r="BP49" s="17" t="str">
        <f>IFERROR(VLOOKUP(B49,'Statement of Marks'!$B$8:'Statement of Marks'!$HI$207,107,0),"")</f>
        <v/>
      </c>
    </row>
    <row r="50" spans="1:68">
      <c r="A50" s="806">
        <f>IF('Statement of Marks'!A49="","",'Statement of Marks'!A49)</f>
        <v>42</v>
      </c>
      <c r="B50" s="807" t="str">
        <f>IF(OR($E$3="",$P$3=""),"",IF('Statement of Marks'!B49="","",'Statement of Marks'!B49))</f>
        <v/>
      </c>
      <c r="C50" s="816" t="str">
        <f>IF(OR($E$3="",$P$3=""),"",IF('Marks Entry'!C49="","",'Marks Entry'!C49))</f>
        <v/>
      </c>
      <c r="D50" s="808" t="str">
        <f>IF(OR($E$3="",$P$3=""),"",IF('Statement of Marks'!C49="","",'Statement of Marks'!C49))</f>
        <v/>
      </c>
      <c r="E50" s="809" t="str">
        <f>IF(OR($E$3="",$P$3=""),"",IF('Statement of Marks'!D49="","",'Statement of Marks'!D49))</f>
        <v/>
      </c>
      <c r="F50" s="810" t="str">
        <f>IF(OR($E$3="",$P$3=""),"",IF('Statement of Marks'!E49="","",'Statement of Marks'!E49))</f>
        <v/>
      </c>
      <c r="G50" s="810" t="str">
        <f>IF(OR($E$3="",$P$3=""),"",IF('Statement of Marks'!F49="","",'Statement of Marks'!F49))</f>
        <v/>
      </c>
      <c r="H50" s="810" t="str">
        <f>IF(OR($E$3="",$P$3=""),"",IF('Statement of Marks'!G49="","",'Statement of Marks'!G49))</f>
        <v/>
      </c>
      <c r="I50" s="811" t="str">
        <f>IF(OR($E$3="",$P$3=""),"",IF('Statement of Marks'!H49="","",'Statement of Marks'!H49))</f>
        <v/>
      </c>
      <c r="J50" s="811" t="str">
        <f>IF(OR($E$3="",$P$3=""),"",IF('Statement of Marks'!I49="","",'Statement of Marks'!I49))</f>
        <v/>
      </c>
      <c r="K50" s="811" t="str">
        <f>IFERROR(IF(B50="","",IF($P$3=$AT$10,IF(AND(BM50="A"),'Marks Entry'!$U$2,IF(AND(BM50="B"),'Marks Entry'!$Y$2,IF(AND(BM50="C"),'Marks Entry'!$AA$2,""))),IF($P$3=$AT$11,IF(AND(BN50="A"),'Marks Entry'!$AC$2,IF(AND(BN50="B"),'Marks Entry'!$AG$2,IF(AND(BN50="C"),'Marks Entry'!$AI$2,""))),IF($P$3=$AT$12,IF(AND(BO50="A"),'Marks Entry'!$AK$2,IF(AND(BO50="B"),'Marks Entry'!$AO$2,IF(AND(BO50="C"),'Marks Entry'!$AQ$2,""))),IF($P$3=$AT$13,IF(AND(BP50="A"),'Marks Entry'!$AS$2,IF(AND(BP50="B"),'Marks Entry'!$AW$2,IF(AND(BP50="C"),'Marks Entry'!$AY$2,""))),"-"))))),"")</f>
        <v/>
      </c>
      <c r="L50" s="812" t="str">
        <f>IFERROR(IF(B50="","",IF($P$3=$AT$8,'Statement of Marks'!J49,IF($P$3=$AT$9,'Statement of Marks'!X49,IF($P$3=$AT$10,'Statement of Marks'!AM49,IF($P$3=$AT$11,'Statement of Marks'!BJ49,IF($P$3=$AT$12,'Statement of Marks'!CG49,IF($P$3=$AT$13,'Statement of Marks'!DE49,IF($P$3=$AT$14,"",IF($P$3=$AT$15,'Statement of Marks'!EY49,""))))))))),"")</f>
        <v/>
      </c>
      <c r="M50" s="812" t="str">
        <f>IFERROR(IF(B50="","",IF($P$3=$AT$8,'Statement of Marks'!K49,IF($P$3=$AT$9,'Statement of Marks'!Y49,IF($P$3=$AT$10,'Statement of Marks'!AN49,IF($P$3=$AT$11,'Statement of Marks'!BK49,IF($P$3=$AT$12,'Statement of Marks'!CH49,IF($P$3=$AT$13,'Statement of Marks'!DF49,IF($P$3=$AT$14,"",IF($P$3=$AT$15,'Statement of Marks'!EZ49,""))))))))),"")</f>
        <v/>
      </c>
      <c r="N50" s="812" t="str">
        <f>IFERROR(IF(B50="","",IF($P$3=$AT$8,'Statement of Marks'!L49,IF($P$3=$AT$9,'Statement of Marks'!Z49,IF($P$3=$AT$10,'Statement of Marks'!AO49,IF($P$3=$AT$11,'Statement of Marks'!BL49,IF($P$3=$AT$12,'Statement of Marks'!CI49,IF($P$3=$AT$13,'Statement of Marks'!DG49,IF($P$3=$AT$14,"",IF($P$3=$AT$15,'Statement of Marks'!FA49,""))))))))),"")</f>
        <v/>
      </c>
      <c r="O50" s="813" t="str">
        <f t="shared" si="4"/>
        <v/>
      </c>
      <c r="P50" s="812" t="str">
        <f>IFERROR(IF(B50="","",IF($P$3=$AT$8,'Statement of Marks'!N49,IF($P$3=$AT$9,'Statement of Marks'!AB49,IF($P$3=$AT$10,'Statement of Marks'!AQ49,IF($P$3=$AT$11,'Statement of Marks'!BN49,IF($P$3=$AT$12,'Statement of Marks'!CK49,IF($P$3=$AT$13,'Statement of Marks'!DI49,IF($P$3=$AT$14,"",IF($P$3=$AT$15,'Statement of Marks'!FC49,""))))))))),"")</f>
        <v/>
      </c>
      <c r="Q50" s="812" t="str">
        <f>IFERROR(IF(B50="","",IF($P$3=$AT$8,"",IF($P$3=$AT$9,"",IF($P$3=$AT$10,'Statement of Marks'!AR49,IF($P$3=$AT$11,'Statement of Marks'!BO49,IF($P$3=$AT$12,'Statement of Marks'!CL49,IF($P$3=$AT$13,'Statement of Marks'!DJ49,IF($P$3=$AT$14,"",IF($P$3=$AT$15,"",""))))))))),"")</f>
        <v/>
      </c>
      <c r="R50" s="824" t="str">
        <f>IFERROR(IF(B50="","",IF(AND(P50="",Q50="",$P$3=""),"",IF($P$3=$AT$14,'Statement of Marks'!EC49,SUM(P50,Q50)))),"")</f>
        <v/>
      </c>
      <c r="S50" s="823" t="str">
        <f>IFERROR(IF(B50="","",IF($P$3=$AT$14,'Statement of Marks'!ED49,IF(AND(O50="NA",P50="NA",Q50="NA"),"NA",IF(AND(O50="",P50="",Q50=""),"",SUM(O50,P50,Q50))))),"")</f>
        <v/>
      </c>
      <c r="T50" s="812" t="str">
        <f>IFERROR(IF(B50="","",IF($P$3=$AT$8,'Statement of Marks'!P49,IF($P$3=$AT$9,'Statement of Marks'!AD49,IF($P$3=$AT$10,'Statement of Marks'!AU49,IF($P$3=$AT$11,'Statement of Marks'!BR49,IF($P$3=$AT$12,'Statement of Marks'!CO49,IF($P$3=$AT$13,'Statement of Marks'!DM49,IF($P$3=$AT$14,"",IF($P$3=$AT$15,'Statement of Marks'!FD49,""))))))))),"")</f>
        <v/>
      </c>
      <c r="U50" s="812" t="str">
        <f>IFERROR(IF(B50="","",IF($P$3=$AT$8,"",IF($P$3=$AT$9,"",IF($P$3=$AT$10,'Statement of Marks'!AV49,IF($P$3=$AT$11,'Statement of Marks'!BS49,IF($P$3=$AT$12,'Statement of Marks'!CP49,IF($P$3=$AT$13,'Statement of Marks'!DN49,IF($P$3=$AT$14,"",IF($P$3=$AT$15,"",""))))))))),"")</f>
        <v/>
      </c>
      <c r="V50" s="824" t="str">
        <f>IFERROR(IF(B50="","",IF(AND(T50="",U50="",$P$3=""),"",IF($P$3=$AT$14,'Statement of Marks'!EE49,SUM(T50,U50)))),"")</f>
        <v/>
      </c>
      <c r="W50" s="814" t="str">
        <f t="shared" si="5"/>
        <v/>
      </c>
      <c r="X50" s="815">
        <f t="shared" si="6"/>
        <v>0</v>
      </c>
      <c r="Y50" s="815">
        <f t="shared" si="7"/>
        <v>0</v>
      </c>
      <c r="Z50" s="815">
        <f t="shared" si="8"/>
        <v>0</v>
      </c>
      <c r="AA50" s="815" t="str">
        <f t="shared" si="9"/>
        <v/>
      </c>
      <c r="AB50" s="815" t="str">
        <f t="shared" si="10"/>
        <v/>
      </c>
      <c r="AC50" s="815" t="str">
        <f t="shared" si="11"/>
        <v/>
      </c>
      <c r="AD50" s="815" t="str">
        <f t="shared" si="12"/>
        <v/>
      </c>
      <c r="AE50" s="816" t="str">
        <f t="shared" si="13"/>
        <v/>
      </c>
      <c r="AF50" s="817" t="str">
        <f t="shared" si="14"/>
        <v/>
      </c>
      <c r="AG50" s="818" t="str">
        <f t="shared" si="15"/>
        <v/>
      </c>
      <c r="AW50" s="17" t="str">
        <f t="shared" si="16"/>
        <v/>
      </c>
      <c r="AX50" s="17" t="str">
        <f t="shared" si="17"/>
        <v/>
      </c>
      <c r="BM50" s="17" t="str">
        <f>IFERROR(VLOOKUP(B50,'Statement of Marks'!$B$8:'Statement of Marks'!$HI$207,37,0),"")</f>
        <v>A</v>
      </c>
      <c r="BN50" s="17" t="str">
        <f>IFERROR(VLOOKUP(B50,'Statement of Marks'!$B$8:'Statement of Marks'!$HI$207,60,0),"")</f>
        <v>A</v>
      </c>
      <c r="BO50" s="17" t="str">
        <f>IFERROR(VLOOKUP(B50,'Statement of Marks'!$B$8:'Statement of Marks'!$HI$207,83,0),"")</f>
        <v>A</v>
      </c>
      <c r="BP50" s="17" t="str">
        <f>IFERROR(VLOOKUP(B50,'Statement of Marks'!$B$8:'Statement of Marks'!$HI$207,107,0),"")</f>
        <v/>
      </c>
    </row>
    <row r="51" spans="1:68">
      <c r="A51" s="806">
        <f>IF('Statement of Marks'!A50="","",'Statement of Marks'!A50)</f>
        <v>43</v>
      </c>
      <c r="B51" s="807" t="str">
        <f>IF(OR($E$3="",$P$3=""),"",IF('Statement of Marks'!B50="","",'Statement of Marks'!B50))</f>
        <v/>
      </c>
      <c r="C51" s="816" t="str">
        <f>IF(OR($E$3="",$P$3=""),"",IF('Marks Entry'!C50="","",'Marks Entry'!C50))</f>
        <v/>
      </c>
      <c r="D51" s="808" t="str">
        <f>IF(OR($E$3="",$P$3=""),"",IF('Statement of Marks'!C50="","",'Statement of Marks'!C50))</f>
        <v/>
      </c>
      <c r="E51" s="809" t="str">
        <f>IF(OR($E$3="",$P$3=""),"",IF('Statement of Marks'!D50="","",'Statement of Marks'!D50))</f>
        <v/>
      </c>
      <c r="F51" s="810" t="str">
        <f>IF(OR($E$3="",$P$3=""),"",IF('Statement of Marks'!E50="","",'Statement of Marks'!E50))</f>
        <v/>
      </c>
      <c r="G51" s="810" t="str">
        <f>IF(OR($E$3="",$P$3=""),"",IF('Statement of Marks'!F50="","",'Statement of Marks'!F50))</f>
        <v/>
      </c>
      <c r="H51" s="810" t="str">
        <f>IF(OR($E$3="",$P$3=""),"",IF('Statement of Marks'!G50="","",'Statement of Marks'!G50))</f>
        <v/>
      </c>
      <c r="I51" s="811" t="str">
        <f>IF(OR($E$3="",$P$3=""),"",IF('Statement of Marks'!H50="","",'Statement of Marks'!H50))</f>
        <v/>
      </c>
      <c r="J51" s="811" t="str">
        <f>IF(OR($E$3="",$P$3=""),"",IF('Statement of Marks'!I50="","",'Statement of Marks'!I50))</f>
        <v/>
      </c>
      <c r="K51" s="811" t="str">
        <f>IFERROR(IF(B51="","",IF($P$3=$AT$10,IF(AND(BM51="A"),'Marks Entry'!$U$2,IF(AND(BM51="B"),'Marks Entry'!$Y$2,IF(AND(BM51="C"),'Marks Entry'!$AA$2,""))),IF($P$3=$AT$11,IF(AND(BN51="A"),'Marks Entry'!$AC$2,IF(AND(BN51="B"),'Marks Entry'!$AG$2,IF(AND(BN51="C"),'Marks Entry'!$AI$2,""))),IF($P$3=$AT$12,IF(AND(BO51="A"),'Marks Entry'!$AK$2,IF(AND(BO51="B"),'Marks Entry'!$AO$2,IF(AND(BO51="C"),'Marks Entry'!$AQ$2,""))),IF($P$3=$AT$13,IF(AND(BP51="A"),'Marks Entry'!$AS$2,IF(AND(BP51="B"),'Marks Entry'!$AW$2,IF(AND(BP51="C"),'Marks Entry'!$AY$2,""))),"-"))))),"")</f>
        <v/>
      </c>
      <c r="L51" s="812" t="str">
        <f>IFERROR(IF(B51="","",IF($P$3=$AT$8,'Statement of Marks'!J50,IF($P$3=$AT$9,'Statement of Marks'!X50,IF($P$3=$AT$10,'Statement of Marks'!AM50,IF($P$3=$AT$11,'Statement of Marks'!BJ50,IF($P$3=$AT$12,'Statement of Marks'!CG50,IF($P$3=$AT$13,'Statement of Marks'!DE50,IF($P$3=$AT$14,"",IF($P$3=$AT$15,'Statement of Marks'!EY50,""))))))))),"")</f>
        <v/>
      </c>
      <c r="M51" s="812" t="str">
        <f>IFERROR(IF(B51="","",IF($P$3=$AT$8,'Statement of Marks'!K50,IF($P$3=$AT$9,'Statement of Marks'!Y50,IF($P$3=$AT$10,'Statement of Marks'!AN50,IF($P$3=$AT$11,'Statement of Marks'!BK50,IF($P$3=$AT$12,'Statement of Marks'!CH50,IF($P$3=$AT$13,'Statement of Marks'!DF50,IF($P$3=$AT$14,"",IF($P$3=$AT$15,'Statement of Marks'!EZ50,""))))))))),"")</f>
        <v/>
      </c>
      <c r="N51" s="812" t="str">
        <f>IFERROR(IF(B51="","",IF($P$3=$AT$8,'Statement of Marks'!L50,IF($P$3=$AT$9,'Statement of Marks'!Z50,IF($P$3=$AT$10,'Statement of Marks'!AO50,IF($P$3=$AT$11,'Statement of Marks'!BL50,IF($P$3=$AT$12,'Statement of Marks'!CI50,IF($P$3=$AT$13,'Statement of Marks'!DG50,IF($P$3=$AT$14,"",IF($P$3=$AT$15,'Statement of Marks'!FA50,""))))))))),"")</f>
        <v/>
      </c>
      <c r="O51" s="813" t="str">
        <f t="shared" si="4"/>
        <v/>
      </c>
      <c r="P51" s="812" t="str">
        <f>IFERROR(IF(B51="","",IF($P$3=$AT$8,'Statement of Marks'!N50,IF($P$3=$AT$9,'Statement of Marks'!AB50,IF($P$3=$AT$10,'Statement of Marks'!AQ50,IF($P$3=$AT$11,'Statement of Marks'!BN50,IF($P$3=$AT$12,'Statement of Marks'!CK50,IF($P$3=$AT$13,'Statement of Marks'!DI50,IF($P$3=$AT$14,"",IF($P$3=$AT$15,'Statement of Marks'!FC50,""))))))))),"")</f>
        <v/>
      </c>
      <c r="Q51" s="812" t="str">
        <f>IFERROR(IF(B51="","",IF($P$3=$AT$8,"",IF($P$3=$AT$9,"",IF($P$3=$AT$10,'Statement of Marks'!AR50,IF($P$3=$AT$11,'Statement of Marks'!BO50,IF($P$3=$AT$12,'Statement of Marks'!CL50,IF($P$3=$AT$13,'Statement of Marks'!DJ50,IF($P$3=$AT$14,"",IF($P$3=$AT$15,"",""))))))))),"")</f>
        <v/>
      </c>
      <c r="R51" s="824" t="str">
        <f>IFERROR(IF(B51="","",IF(AND(P51="",Q51="",$P$3=""),"",IF($P$3=$AT$14,'Statement of Marks'!EC50,SUM(P51,Q51)))),"")</f>
        <v/>
      </c>
      <c r="S51" s="823" t="str">
        <f>IFERROR(IF(B51="","",IF($P$3=$AT$14,'Statement of Marks'!ED50,IF(AND(O51="NA",P51="NA",Q51="NA"),"NA",IF(AND(O51="",P51="",Q51=""),"",SUM(O51,P51,Q51))))),"")</f>
        <v/>
      </c>
      <c r="T51" s="812" t="str">
        <f>IFERROR(IF(B51="","",IF($P$3=$AT$8,'Statement of Marks'!P50,IF($P$3=$AT$9,'Statement of Marks'!AD50,IF($P$3=$AT$10,'Statement of Marks'!AU50,IF($P$3=$AT$11,'Statement of Marks'!BR50,IF($P$3=$AT$12,'Statement of Marks'!CO50,IF($P$3=$AT$13,'Statement of Marks'!DM50,IF($P$3=$AT$14,"",IF($P$3=$AT$15,'Statement of Marks'!FD50,""))))))))),"")</f>
        <v/>
      </c>
      <c r="U51" s="812" t="str">
        <f>IFERROR(IF(B51="","",IF($P$3=$AT$8,"",IF($P$3=$AT$9,"",IF($P$3=$AT$10,'Statement of Marks'!AV50,IF($P$3=$AT$11,'Statement of Marks'!BS50,IF($P$3=$AT$12,'Statement of Marks'!CP50,IF($P$3=$AT$13,'Statement of Marks'!DN50,IF($P$3=$AT$14,"",IF($P$3=$AT$15,"",""))))))))),"")</f>
        <v/>
      </c>
      <c r="V51" s="824" t="str">
        <f>IFERROR(IF(B51="","",IF(AND(T51="",U51="",$P$3=""),"",IF($P$3=$AT$14,'Statement of Marks'!EE50,SUM(T51,U51)))),"")</f>
        <v/>
      </c>
      <c r="W51" s="814" t="str">
        <f t="shared" si="5"/>
        <v/>
      </c>
      <c r="X51" s="815">
        <f t="shared" si="6"/>
        <v>0</v>
      </c>
      <c r="Y51" s="815">
        <f t="shared" si="7"/>
        <v>0</v>
      </c>
      <c r="Z51" s="815">
        <f t="shared" si="8"/>
        <v>0</v>
      </c>
      <c r="AA51" s="815" t="str">
        <f t="shared" si="9"/>
        <v/>
      </c>
      <c r="AB51" s="815" t="str">
        <f t="shared" si="10"/>
        <v/>
      </c>
      <c r="AC51" s="815" t="str">
        <f t="shared" si="11"/>
        <v/>
      </c>
      <c r="AD51" s="815" t="str">
        <f t="shared" si="12"/>
        <v/>
      </c>
      <c r="AE51" s="816" t="str">
        <f t="shared" si="13"/>
        <v/>
      </c>
      <c r="AF51" s="817" t="str">
        <f t="shared" si="14"/>
        <v/>
      </c>
      <c r="AG51" s="818" t="str">
        <f t="shared" si="15"/>
        <v/>
      </c>
      <c r="AW51" s="17" t="str">
        <f t="shared" si="16"/>
        <v/>
      </c>
      <c r="AX51" s="17" t="str">
        <f t="shared" si="17"/>
        <v/>
      </c>
      <c r="BM51" s="17" t="str">
        <f>IFERROR(VLOOKUP(B51,'Statement of Marks'!$B$8:'Statement of Marks'!$HI$207,37,0),"")</f>
        <v>A</v>
      </c>
      <c r="BN51" s="17" t="str">
        <f>IFERROR(VLOOKUP(B51,'Statement of Marks'!$B$8:'Statement of Marks'!$HI$207,60,0),"")</f>
        <v>A</v>
      </c>
      <c r="BO51" s="17" t="str">
        <f>IFERROR(VLOOKUP(B51,'Statement of Marks'!$B$8:'Statement of Marks'!$HI$207,83,0),"")</f>
        <v>A</v>
      </c>
      <c r="BP51" s="17" t="str">
        <f>IFERROR(VLOOKUP(B51,'Statement of Marks'!$B$8:'Statement of Marks'!$HI$207,107,0),"")</f>
        <v/>
      </c>
    </row>
    <row r="52" spans="1:68">
      <c r="A52" s="806">
        <f>IF('Statement of Marks'!A51="","",'Statement of Marks'!A51)</f>
        <v>44</v>
      </c>
      <c r="B52" s="807" t="str">
        <f>IF(OR($E$3="",$P$3=""),"",IF('Statement of Marks'!B51="","",'Statement of Marks'!B51))</f>
        <v/>
      </c>
      <c r="C52" s="816" t="str">
        <f>IF(OR($E$3="",$P$3=""),"",IF('Marks Entry'!C51="","",'Marks Entry'!C51))</f>
        <v/>
      </c>
      <c r="D52" s="808" t="str">
        <f>IF(OR($E$3="",$P$3=""),"",IF('Statement of Marks'!C51="","",'Statement of Marks'!C51))</f>
        <v/>
      </c>
      <c r="E52" s="809" t="str">
        <f>IF(OR($E$3="",$P$3=""),"",IF('Statement of Marks'!D51="","",'Statement of Marks'!D51))</f>
        <v/>
      </c>
      <c r="F52" s="810" t="str">
        <f>IF(OR($E$3="",$P$3=""),"",IF('Statement of Marks'!E51="","",'Statement of Marks'!E51))</f>
        <v/>
      </c>
      <c r="G52" s="810" t="str">
        <f>IF(OR($E$3="",$P$3=""),"",IF('Statement of Marks'!F51="","",'Statement of Marks'!F51))</f>
        <v/>
      </c>
      <c r="H52" s="810" t="str">
        <f>IF(OR($E$3="",$P$3=""),"",IF('Statement of Marks'!G51="","",'Statement of Marks'!G51))</f>
        <v/>
      </c>
      <c r="I52" s="811" t="str">
        <f>IF(OR($E$3="",$P$3=""),"",IF('Statement of Marks'!H51="","",'Statement of Marks'!H51))</f>
        <v/>
      </c>
      <c r="J52" s="811" t="str">
        <f>IF(OR($E$3="",$P$3=""),"",IF('Statement of Marks'!I51="","",'Statement of Marks'!I51))</f>
        <v/>
      </c>
      <c r="K52" s="811" t="str">
        <f>IFERROR(IF(B52="","",IF($P$3=$AT$10,IF(AND(BM52="A"),'Marks Entry'!$U$2,IF(AND(BM52="B"),'Marks Entry'!$Y$2,IF(AND(BM52="C"),'Marks Entry'!$AA$2,""))),IF($P$3=$AT$11,IF(AND(BN52="A"),'Marks Entry'!$AC$2,IF(AND(BN52="B"),'Marks Entry'!$AG$2,IF(AND(BN52="C"),'Marks Entry'!$AI$2,""))),IF($P$3=$AT$12,IF(AND(BO52="A"),'Marks Entry'!$AK$2,IF(AND(BO52="B"),'Marks Entry'!$AO$2,IF(AND(BO52="C"),'Marks Entry'!$AQ$2,""))),IF($P$3=$AT$13,IF(AND(BP52="A"),'Marks Entry'!$AS$2,IF(AND(BP52="B"),'Marks Entry'!$AW$2,IF(AND(BP52="C"),'Marks Entry'!$AY$2,""))),"-"))))),"")</f>
        <v/>
      </c>
      <c r="L52" s="812" t="str">
        <f>IFERROR(IF(B52="","",IF($P$3=$AT$8,'Statement of Marks'!J51,IF($P$3=$AT$9,'Statement of Marks'!X51,IF($P$3=$AT$10,'Statement of Marks'!AM51,IF($P$3=$AT$11,'Statement of Marks'!BJ51,IF($P$3=$AT$12,'Statement of Marks'!CG51,IF($P$3=$AT$13,'Statement of Marks'!DE51,IF($P$3=$AT$14,"",IF($P$3=$AT$15,'Statement of Marks'!EY51,""))))))))),"")</f>
        <v/>
      </c>
      <c r="M52" s="812" t="str">
        <f>IFERROR(IF(B52="","",IF($P$3=$AT$8,'Statement of Marks'!K51,IF($P$3=$AT$9,'Statement of Marks'!Y51,IF($P$3=$AT$10,'Statement of Marks'!AN51,IF($P$3=$AT$11,'Statement of Marks'!BK51,IF($P$3=$AT$12,'Statement of Marks'!CH51,IF($P$3=$AT$13,'Statement of Marks'!DF51,IF($P$3=$AT$14,"",IF($P$3=$AT$15,'Statement of Marks'!EZ51,""))))))))),"")</f>
        <v/>
      </c>
      <c r="N52" s="812" t="str">
        <f>IFERROR(IF(B52="","",IF($P$3=$AT$8,'Statement of Marks'!L51,IF($P$3=$AT$9,'Statement of Marks'!Z51,IF($P$3=$AT$10,'Statement of Marks'!AO51,IF($P$3=$AT$11,'Statement of Marks'!BL51,IF($P$3=$AT$12,'Statement of Marks'!CI51,IF($P$3=$AT$13,'Statement of Marks'!DG51,IF($P$3=$AT$14,"",IF($P$3=$AT$15,'Statement of Marks'!FA51,""))))))))),"")</f>
        <v/>
      </c>
      <c r="O52" s="813" t="str">
        <f t="shared" si="4"/>
        <v/>
      </c>
      <c r="P52" s="812" t="str">
        <f>IFERROR(IF(B52="","",IF($P$3=$AT$8,'Statement of Marks'!N51,IF($P$3=$AT$9,'Statement of Marks'!AB51,IF($P$3=$AT$10,'Statement of Marks'!AQ51,IF($P$3=$AT$11,'Statement of Marks'!BN51,IF($P$3=$AT$12,'Statement of Marks'!CK51,IF($P$3=$AT$13,'Statement of Marks'!DI51,IF($P$3=$AT$14,"",IF($P$3=$AT$15,'Statement of Marks'!FC51,""))))))))),"")</f>
        <v/>
      </c>
      <c r="Q52" s="812" t="str">
        <f>IFERROR(IF(B52="","",IF($P$3=$AT$8,"",IF($P$3=$AT$9,"",IF($P$3=$AT$10,'Statement of Marks'!AR51,IF($P$3=$AT$11,'Statement of Marks'!BO51,IF($P$3=$AT$12,'Statement of Marks'!CL51,IF($P$3=$AT$13,'Statement of Marks'!DJ51,IF($P$3=$AT$14,"",IF($P$3=$AT$15,"",""))))))))),"")</f>
        <v/>
      </c>
      <c r="R52" s="824" t="str">
        <f>IFERROR(IF(B52="","",IF(AND(P52="",Q52="",$P$3=""),"",IF($P$3=$AT$14,'Statement of Marks'!EC51,SUM(P52,Q52)))),"")</f>
        <v/>
      </c>
      <c r="S52" s="823" t="str">
        <f>IFERROR(IF(B52="","",IF($P$3=$AT$14,'Statement of Marks'!ED51,IF(AND(O52="NA",P52="NA",Q52="NA"),"NA",IF(AND(O52="",P52="",Q52=""),"",SUM(O52,P52,Q52))))),"")</f>
        <v/>
      </c>
      <c r="T52" s="812" t="str">
        <f>IFERROR(IF(B52="","",IF($P$3=$AT$8,'Statement of Marks'!P51,IF($P$3=$AT$9,'Statement of Marks'!AD51,IF($P$3=$AT$10,'Statement of Marks'!AU51,IF($P$3=$AT$11,'Statement of Marks'!BR51,IF($P$3=$AT$12,'Statement of Marks'!CO51,IF($P$3=$AT$13,'Statement of Marks'!DM51,IF($P$3=$AT$14,"",IF($P$3=$AT$15,'Statement of Marks'!FD51,""))))))))),"")</f>
        <v/>
      </c>
      <c r="U52" s="812" t="str">
        <f>IFERROR(IF(B52="","",IF($P$3=$AT$8,"",IF($P$3=$AT$9,"",IF($P$3=$AT$10,'Statement of Marks'!AV51,IF($P$3=$AT$11,'Statement of Marks'!BS51,IF($P$3=$AT$12,'Statement of Marks'!CP51,IF($P$3=$AT$13,'Statement of Marks'!DN51,IF($P$3=$AT$14,"",IF($P$3=$AT$15,"",""))))))))),"")</f>
        <v/>
      </c>
      <c r="V52" s="824" t="str">
        <f>IFERROR(IF(B52="","",IF(AND(T52="",U52="",$P$3=""),"",IF($P$3=$AT$14,'Statement of Marks'!EE51,SUM(T52,U52)))),"")</f>
        <v/>
      </c>
      <c r="W52" s="814" t="str">
        <f t="shared" si="5"/>
        <v/>
      </c>
      <c r="X52" s="815">
        <f t="shared" si="6"/>
        <v>0</v>
      </c>
      <c r="Y52" s="815">
        <f t="shared" si="7"/>
        <v>0</v>
      </c>
      <c r="Z52" s="815">
        <f t="shared" si="8"/>
        <v>0</v>
      </c>
      <c r="AA52" s="815" t="str">
        <f t="shared" si="9"/>
        <v/>
      </c>
      <c r="AB52" s="815" t="str">
        <f t="shared" si="10"/>
        <v/>
      </c>
      <c r="AC52" s="815" t="str">
        <f t="shared" si="11"/>
        <v/>
      </c>
      <c r="AD52" s="815" t="str">
        <f t="shared" si="12"/>
        <v/>
      </c>
      <c r="AE52" s="816" t="str">
        <f t="shared" si="13"/>
        <v/>
      </c>
      <c r="AF52" s="817" t="str">
        <f t="shared" si="14"/>
        <v/>
      </c>
      <c r="AG52" s="818" t="str">
        <f t="shared" si="15"/>
        <v/>
      </c>
      <c r="AW52" s="17" t="str">
        <f t="shared" si="16"/>
        <v/>
      </c>
      <c r="AX52" s="17" t="str">
        <f t="shared" si="17"/>
        <v/>
      </c>
      <c r="BM52" s="17" t="str">
        <f>IFERROR(VLOOKUP(B52,'Statement of Marks'!$B$8:'Statement of Marks'!$HI$207,37,0),"")</f>
        <v>A</v>
      </c>
      <c r="BN52" s="17" t="str">
        <f>IFERROR(VLOOKUP(B52,'Statement of Marks'!$B$8:'Statement of Marks'!$HI$207,60,0),"")</f>
        <v>A</v>
      </c>
      <c r="BO52" s="17" t="str">
        <f>IFERROR(VLOOKUP(B52,'Statement of Marks'!$B$8:'Statement of Marks'!$HI$207,83,0),"")</f>
        <v>A</v>
      </c>
      <c r="BP52" s="17" t="str">
        <f>IFERROR(VLOOKUP(B52,'Statement of Marks'!$B$8:'Statement of Marks'!$HI$207,107,0),"")</f>
        <v/>
      </c>
    </row>
    <row r="53" spans="1:68">
      <c r="A53" s="806">
        <f>IF('Statement of Marks'!A52="","",'Statement of Marks'!A52)</f>
        <v>45</v>
      </c>
      <c r="B53" s="807" t="str">
        <f>IF(OR($E$3="",$P$3=""),"",IF('Statement of Marks'!B52="","",'Statement of Marks'!B52))</f>
        <v/>
      </c>
      <c r="C53" s="816" t="str">
        <f>IF(OR($E$3="",$P$3=""),"",IF('Marks Entry'!C52="","",'Marks Entry'!C52))</f>
        <v/>
      </c>
      <c r="D53" s="808" t="str">
        <f>IF(OR($E$3="",$P$3=""),"",IF('Statement of Marks'!C52="","",'Statement of Marks'!C52))</f>
        <v/>
      </c>
      <c r="E53" s="809" t="str">
        <f>IF(OR($E$3="",$P$3=""),"",IF('Statement of Marks'!D52="","",'Statement of Marks'!D52))</f>
        <v/>
      </c>
      <c r="F53" s="810" t="str">
        <f>IF(OR($E$3="",$P$3=""),"",IF('Statement of Marks'!E52="","",'Statement of Marks'!E52))</f>
        <v/>
      </c>
      <c r="G53" s="810" t="str">
        <f>IF(OR($E$3="",$P$3=""),"",IF('Statement of Marks'!F52="","",'Statement of Marks'!F52))</f>
        <v/>
      </c>
      <c r="H53" s="810" t="str">
        <f>IF(OR($E$3="",$P$3=""),"",IF('Statement of Marks'!G52="","",'Statement of Marks'!G52))</f>
        <v/>
      </c>
      <c r="I53" s="811" t="str">
        <f>IF(OR($E$3="",$P$3=""),"",IF('Statement of Marks'!H52="","",'Statement of Marks'!H52))</f>
        <v/>
      </c>
      <c r="J53" s="811" t="str">
        <f>IF(OR($E$3="",$P$3=""),"",IF('Statement of Marks'!I52="","",'Statement of Marks'!I52))</f>
        <v/>
      </c>
      <c r="K53" s="811" t="str">
        <f>IFERROR(IF(B53="","",IF($P$3=$AT$10,IF(AND(BM53="A"),'Marks Entry'!$U$2,IF(AND(BM53="B"),'Marks Entry'!$Y$2,IF(AND(BM53="C"),'Marks Entry'!$AA$2,""))),IF($P$3=$AT$11,IF(AND(BN53="A"),'Marks Entry'!$AC$2,IF(AND(BN53="B"),'Marks Entry'!$AG$2,IF(AND(BN53="C"),'Marks Entry'!$AI$2,""))),IF($P$3=$AT$12,IF(AND(BO53="A"),'Marks Entry'!$AK$2,IF(AND(BO53="B"),'Marks Entry'!$AO$2,IF(AND(BO53="C"),'Marks Entry'!$AQ$2,""))),IF($P$3=$AT$13,IF(AND(BP53="A"),'Marks Entry'!$AS$2,IF(AND(BP53="B"),'Marks Entry'!$AW$2,IF(AND(BP53="C"),'Marks Entry'!$AY$2,""))),"-"))))),"")</f>
        <v/>
      </c>
      <c r="L53" s="812" t="str">
        <f>IFERROR(IF(B53="","",IF($P$3=$AT$8,'Statement of Marks'!J52,IF($P$3=$AT$9,'Statement of Marks'!X52,IF($P$3=$AT$10,'Statement of Marks'!AM52,IF($P$3=$AT$11,'Statement of Marks'!BJ52,IF($P$3=$AT$12,'Statement of Marks'!CG52,IF($P$3=$AT$13,'Statement of Marks'!DE52,IF($P$3=$AT$14,"",IF($P$3=$AT$15,'Statement of Marks'!EY52,""))))))))),"")</f>
        <v/>
      </c>
      <c r="M53" s="812" t="str">
        <f>IFERROR(IF(B53="","",IF($P$3=$AT$8,'Statement of Marks'!K52,IF($P$3=$AT$9,'Statement of Marks'!Y52,IF($P$3=$AT$10,'Statement of Marks'!AN52,IF($P$3=$AT$11,'Statement of Marks'!BK52,IF($P$3=$AT$12,'Statement of Marks'!CH52,IF($P$3=$AT$13,'Statement of Marks'!DF52,IF($P$3=$AT$14,"",IF($P$3=$AT$15,'Statement of Marks'!EZ52,""))))))))),"")</f>
        <v/>
      </c>
      <c r="N53" s="812" t="str">
        <f>IFERROR(IF(B53="","",IF($P$3=$AT$8,'Statement of Marks'!L52,IF($P$3=$AT$9,'Statement of Marks'!Z52,IF($P$3=$AT$10,'Statement of Marks'!AO52,IF($P$3=$AT$11,'Statement of Marks'!BL52,IF($P$3=$AT$12,'Statement of Marks'!CI52,IF($P$3=$AT$13,'Statement of Marks'!DG52,IF($P$3=$AT$14,"",IF($P$3=$AT$15,'Statement of Marks'!FA52,""))))))))),"")</f>
        <v/>
      </c>
      <c r="O53" s="813" t="str">
        <f t="shared" si="4"/>
        <v/>
      </c>
      <c r="P53" s="812" t="str">
        <f>IFERROR(IF(B53="","",IF($P$3=$AT$8,'Statement of Marks'!N52,IF($P$3=$AT$9,'Statement of Marks'!AB52,IF($P$3=$AT$10,'Statement of Marks'!AQ52,IF($P$3=$AT$11,'Statement of Marks'!BN52,IF($P$3=$AT$12,'Statement of Marks'!CK52,IF($P$3=$AT$13,'Statement of Marks'!DI52,IF($P$3=$AT$14,"",IF($P$3=$AT$15,'Statement of Marks'!FC52,""))))))))),"")</f>
        <v/>
      </c>
      <c r="Q53" s="812" t="str">
        <f>IFERROR(IF(B53="","",IF($P$3=$AT$8,"",IF($P$3=$AT$9,"",IF($P$3=$AT$10,'Statement of Marks'!AR52,IF($P$3=$AT$11,'Statement of Marks'!BO52,IF($P$3=$AT$12,'Statement of Marks'!CL52,IF($P$3=$AT$13,'Statement of Marks'!DJ52,IF($P$3=$AT$14,"",IF($P$3=$AT$15,"",""))))))))),"")</f>
        <v/>
      </c>
      <c r="R53" s="824" t="str">
        <f>IFERROR(IF(B53="","",IF(AND(P53="",Q53="",$P$3=""),"",IF($P$3=$AT$14,'Statement of Marks'!EC52,SUM(P53,Q53)))),"")</f>
        <v/>
      </c>
      <c r="S53" s="823" t="str">
        <f>IFERROR(IF(B53="","",IF($P$3=$AT$14,'Statement of Marks'!ED52,IF(AND(O53="NA",P53="NA",Q53="NA"),"NA",IF(AND(O53="",P53="",Q53=""),"",SUM(O53,P53,Q53))))),"")</f>
        <v/>
      </c>
      <c r="T53" s="812" t="str">
        <f>IFERROR(IF(B53="","",IF($P$3=$AT$8,'Statement of Marks'!P52,IF($P$3=$AT$9,'Statement of Marks'!AD52,IF($P$3=$AT$10,'Statement of Marks'!AU52,IF($P$3=$AT$11,'Statement of Marks'!BR52,IF($P$3=$AT$12,'Statement of Marks'!CO52,IF($P$3=$AT$13,'Statement of Marks'!DM52,IF($P$3=$AT$14,"",IF($P$3=$AT$15,'Statement of Marks'!FD52,""))))))))),"")</f>
        <v/>
      </c>
      <c r="U53" s="812" t="str">
        <f>IFERROR(IF(B53="","",IF($P$3=$AT$8,"",IF($P$3=$AT$9,"",IF($P$3=$AT$10,'Statement of Marks'!AV52,IF($P$3=$AT$11,'Statement of Marks'!BS52,IF($P$3=$AT$12,'Statement of Marks'!CP52,IF($P$3=$AT$13,'Statement of Marks'!DN52,IF($P$3=$AT$14,"",IF($P$3=$AT$15,"",""))))))))),"")</f>
        <v/>
      </c>
      <c r="V53" s="824" t="str">
        <f>IFERROR(IF(B53="","",IF(AND(T53="",U53="",$P$3=""),"",IF($P$3=$AT$14,'Statement of Marks'!EE52,SUM(T53,U53)))),"")</f>
        <v/>
      </c>
      <c r="W53" s="814" t="str">
        <f t="shared" si="5"/>
        <v/>
      </c>
      <c r="X53" s="815">
        <f t="shared" si="6"/>
        <v>0</v>
      </c>
      <c r="Y53" s="815">
        <f t="shared" si="7"/>
        <v>0</v>
      </c>
      <c r="Z53" s="815">
        <f t="shared" si="8"/>
        <v>0</v>
      </c>
      <c r="AA53" s="815" t="str">
        <f t="shared" si="9"/>
        <v/>
      </c>
      <c r="AB53" s="815" t="str">
        <f t="shared" si="10"/>
        <v/>
      </c>
      <c r="AC53" s="815" t="str">
        <f t="shared" si="11"/>
        <v/>
      </c>
      <c r="AD53" s="815" t="str">
        <f t="shared" si="12"/>
        <v/>
      </c>
      <c r="AE53" s="816" t="str">
        <f t="shared" si="13"/>
        <v/>
      </c>
      <c r="AF53" s="817" t="str">
        <f t="shared" si="14"/>
        <v/>
      </c>
      <c r="AG53" s="818" t="str">
        <f t="shared" si="15"/>
        <v/>
      </c>
      <c r="AW53" s="17" t="str">
        <f t="shared" si="16"/>
        <v/>
      </c>
      <c r="AX53" s="17" t="str">
        <f t="shared" si="17"/>
        <v/>
      </c>
      <c r="BM53" s="17" t="str">
        <f>IFERROR(VLOOKUP(B53,'Statement of Marks'!$B$8:'Statement of Marks'!$HI$207,37,0),"")</f>
        <v>A</v>
      </c>
      <c r="BN53" s="17" t="str">
        <f>IFERROR(VLOOKUP(B53,'Statement of Marks'!$B$8:'Statement of Marks'!$HI$207,60,0),"")</f>
        <v>A</v>
      </c>
      <c r="BO53" s="17" t="str">
        <f>IFERROR(VLOOKUP(B53,'Statement of Marks'!$B$8:'Statement of Marks'!$HI$207,83,0),"")</f>
        <v>A</v>
      </c>
      <c r="BP53" s="17" t="str">
        <f>IFERROR(VLOOKUP(B53,'Statement of Marks'!$B$8:'Statement of Marks'!$HI$207,107,0),"")</f>
        <v/>
      </c>
    </row>
    <row r="54" spans="1:68">
      <c r="A54" s="806">
        <f>IF('Statement of Marks'!A53="","",'Statement of Marks'!A53)</f>
        <v>46</v>
      </c>
      <c r="B54" s="807" t="str">
        <f>IF(OR($E$3="",$P$3=""),"",IF('Statement of Marks'!B53="","",'Statement of Marks'!B53))</f>
        <v/>
      </c>
      <c r="C54" s="816" t="str">
        <f>IF(OR($E$3="",$P$3=""),"",IF('Marks Entry'!C53="","",'Marks Entry'!C53))</f>
        <v/>
      </c>
      <c r="D54" s="808" t="str">
        <f>IF(OR($E$3="",$P$3=""),"",IF('Statement of Marks'!C53="","",'Statement of Marks'!C53))</f>
        <v/>
      </c>
      <c r="E54" s="809" t="str">
        <f>IF(OR($E$3="",$P$3=""),"",IF('Statement of Marks'!D53="","",'Statement of Marks'!D53))</f>
        <v/>
      </c>
      <c r="F54" s="810" t="str">
        <f>IF(OR($E$3="",$P$3=""),"",IF('Statement of Marks'!E53="","",'Statement of Marks'!E53))</f>
        <v/>
      </c>
      <c r="G54" s="810" t="str">
        <f>IF(OR($E$3="",$P$3=""),"",IF('Statement of Marks'!F53="","",'Statement of Marks'!F53))</f>
        <v/>
      </c>
      <c r="H54" s="810" t="str">
        <f>IF(OR($E$3="",$P$3=""),"",IF('Statement of Marks'!G53="","",'Statement of Marks'!G53))</f>
        <v/>
      </c>
      <c r="I54" s="811" t="str">
        <f>IF(OR($E$3="",$P$3=""),"",IF('Statement of Marks'!H53="","",'Statement of Marks'!H53))</f>
        <v/>
      </c>
      <c r="J54" s="811" t="str">
        <f>IF(OR($E$3="",$P$3=""),"",IF('Statement of Marks'!I53="","",'Statement of Marks'!I53))</f>
        <v/>
      </c>
      <c r="K54" s="811" t="str">
        <f>IFERROR(IF(B54="","",IF($P$3=$AT$10,IF(AND(BM54="A"),'Marks Entry'!$U$2,IF(AND(BM54="B"),'Marks Entry'!$Y$2,IF(AND(BM54="C"),'Marks Entry'!$AA$2,""))),IF($P$3=$AT$11,IF(AND(BN54="A"),'Marks Entry'!$AC$2,IF(AND(BN54="B"),'Marks Entry'!$AG$2,IF(AND(BN54="C"),'Marks Entry'!$AI$2,""))),IF($P$3=$AT$12,IF(AND(BO54="A"),'Marks Entry'!$AK$2,IF(AND(BO54="B"),'Marks Entry'!$AO$2,IF(AND(BO54="C"),'Marks Entry'!$AQ$2,""))),IF($P$3=$AT$13,IF(AND(BP54="A"),'Marks Entry'!$AS$2,IF(AND(BP54="B"),'Marks Entry'!$AW$2,IF(AND(BP54="C"),'Marks Entry'!$AY$2,""))),"-"))))),"")</f>
        <v/>
      </c>
      <c r="L54" s="812" t="str">
        <f>IFERROR(IF(B54="","",IF($P$3=$AT$8,'Statement of Marks'!J53,IF($P$3=$AT$9,'Statement of Marks'!X53,IF($P$3=$AT$10,'Statement of Marks'!AM53,IF($P$3=$AT$11,'Statement of Marks'!BJ53,IF($P$3=$AT$12,'Statement of Marks'!CG53,IF($P$3=$AT$13,'Statement of Marks'!DE53,IF($P$3=$AT$14,"",IF($P$3=$AT$15,'Statement of Marks'!EY53,""))))))))),"")</f>
        <v/>
      </c>
      <c r="M54" s="812" t="str">
        <f>IFERROR(IF(B54="","",IF($P$3=$AT$8,'Statement of Marks'!K53,IF($P$3=$AT$9,'Statement of Marks'!Y53,IF($P$3=$AT$10,'Statement of Marks'!AN53,IF($P$3=$AT$11,'Statement of Marks'!BK53,IF($P$3=$AT$12,'Statement of Marks'!CH53,IF($P$3=$AT$13,'Statement of Marks'!DF53,IF($P$3=$AT$14,"",IF($P$3=$AT$15,'Statement of Marks'!EZ53,""))))))))),"")</f>
        <v/>
      </c>
      <c r="N54" s="812" t="str">
        <f>IFERROR(IF(B54="","",IF($P$3=$AT$8,'Statement of Marks'!L53,IF($P$3=$AT$9,'Statement of Marks'!Z53,IF($P$3=$AT$10,'Statement of Marks'!AO53,IF($P$3=$AT$11,'Statement of Marks'!BL53,IF($P$3=$AT$12,'Statement of Marks'!CI53,IF($P$3=$AT$13,'Statement of Marks'!DG53,IF($P$3=$AT$14,"",IF($P$3=$AT$15,'Statement of Marks'!FA53,""))))))))),"")</f>
        <v/>
      </c>
      <c r="O54" s="813" t="str">
        <f t="shared" si="4"/>
        <v/>
      </c>
      <c r="P54" s="812" t="str">
        <f>IFERROR(IF(B54="","",IF($P$3=$AT$8,'Statement of Marks'!N53,IF($P$3=$AT$9,'Statement of Marks'!AB53,IF($P$3=$AT$10,'Statement of Marks'!AQ53,IF($P$3=$AT$11,'Statement of Marks'!BN53,IF($P$3=$AT$12,'Statement of Marks'!CK53,IF($P$3=$AT$13,'Statement of Marks'!DI53,IF($P$3=$AT$14,"",IF($P$3=$AT$15,'Statement of Marks'!FC53,""))))))))),"")</f>
        <v/>
      </c>
      <c r="Q54" s="812" t="str">
        <f>IFERROR(IF(B54="","",IF($P$3=$AT$8,"",IF($P$3=$AT$9,"",IF($P$3=$AT$10,'Statement of Marks'!AR53,IF($P$3=$AT$11,'Statement of Marks'!BO53,IF($P$3=$AT$12,'Statement of Marks'!CL53,IF($P$3=$AT$13,'Statement of Marks'!DJ53,IF($P$3=$AT$14,"",IF($P$3=$AT$15,"",""))))))))),"")</f>
        <v/>
      </c>
      <c r="R54" s="824" t="str">
        <f>IFERROR(IF(B54="","",IF(AND(P54="",Q54="",$P$3=""),"",IF($P$3=$AT$14,'Statement of Marks'!EC53,SUM(P54,Q54)))),"")</f>
        <v/>
      </c>
      <c r="S54" s="823" t="str">
        <f>IFERROR(IF(B54="","",IF($P$3=$AT$14,'Statement of Marks'!ED53,IF(AND(O54="NA",P54="NA",Q54="NA"),"NA",IF(AND(O54="",P54="",Q54=""),"",SUM(O54,P54,Q54))))),"")</f>
        <v/>
      </c>
      <c r="T54" s="812" t="str">
        <f>IFERROR(IF(B54="","",IF($P$3=$AT$8,'Statement of Marks'!P53,IF($P$3=$AT$9,'Statement of Marks'!AD53,IF($P$3=$AT$10,'Statement of Marks'!AU53,IF($P$3=$AT$11,'Statement of Marks'!BR53,IF($P$3=$AT$12,'Statement of Marks'!CO53,IF($P$3=$AT$13,'Statement of Marks'!DM53,IF($P$3=$AT$14,"",IF($P$3=$AT$15,'Statement of Marks'!FD53,""))))))))),"")</f>
        <v/>
      </c>
      <c r="U54" s="812" t="str">
        <f>IFERROR(IF(B54="","",IF($P$3=$AT$8,"",IF($P$3=$AT$9,"",IF($P$3=$AT$10,'Statement of Marks'!AV53,IF($P$3=$AT$11,'Statement of Marks'!BS53,IF($P$3=$AT$12,'Statement of Marks'!CP53,IF($P$3=$AT$13,'Statement of Marks'!DN53,IF($P$3=$AT$14,"",IF($P$3=$AT$15,"",""))))))))),"")</f>
        <v/>
      </c>
      <c r="V54" s="824" t="str">
        <f>IFERROR(IF(B54="","",IF(AND(T54="",U54="",$P$3=""),"",IF($P$3=$AT$14,'Statement of Marks'!EE53,SUM(T54,U54)))),"")</f>
        <v/>
      </c>
      <c r="W54" s="814" t="str">
        <f t="shared" si="5"/>
        <v/>
      </c>
      <c r="X54" s="815">
        <f t="shared" si="6"/>
        <v>0</v>
      </c>
      <c r="Y54" s="815">
        <f t="shared" si="7"/>
        <v>0</v>
      </c>
      <c r="Z54" s="815">
        <f t="shared" si="8"/>
        <v>0</v>
      </c>
      <c r="AA54" s="815" t="str">
        <f t="shared" si="9"/>
        <v/>
      </c>
      <c r="AB54" s="815" t="str">
        <f t="shared" si="10"/>
        <v/>
      </c>
      <c r="AC54" s="815" t="str">
        <f t="shared" si="11"/>
        <v/>
      </c>
      <c r="AD54" s="815" t="str">
        <f t="shared" si="12"/>
        <v/>
      </c>
      <c r="AE54" s="816" t="str">
        <f t="shared" si="13"/>
        <v/>
      </c>
      <c r="AF54" s="817" t="str">
        <f t="shared" si="14"/>
        <v/>
      </c>
      <c r="AG54" s="818" t="str">
        <f t="shared" si="15"/>
        <v/>
      </c>
      <c r="AW54" s="17" t="str">
        <f t="shared" si="16"/>
        <v/>
      </c>
      <c r="AX54" s="17" t="str">
        <f t="shared" si="17"/>
        <v/>
      </c>
      <c r="BM54" s="17" t="str">
        <f>IFERROR(VLOOKUP(B54,'Statement of Marks'!$B$8:'Statement of Marks'!$HI$207,37,0),"")</f>
        <v>A</v>
      </c>
      <c r="BN54" s="17" t="str">
        <f>IFERROR(VLOOKUP(B54,'Statement of Marks'!$B$8:'Statement of Marks'!$HI$207,60,0),"")</f>
        <v>A</v>
      </c>
      <c r="BO54" s="17" t="str">
        <f>IFERROR(VLOOKUP(B54,'Statement of Marks'!$B$8:'Statement of Marks'!$HI$207,83,0),"")</f>
        <v>A</v>
      </c>
      <c r="BP54" s="17" t="str">
        <f>IFERROR(VLOOKUP(B54,'Statement of Marks'!$B$8:'Statement of Marks'!$HI$207,107,0),"")</f>
        <v/>
      </c>
    </row>
    <row r="55" spans="1:68">
      <c r="A55" s="806">
        <f>IF('Statement of Marks'!A54="","",'Statement of Marks'!A54)</f>
        <v>47</v>
      </c>
      <c r="B55" s="807" t="str">
        <f>IF(OR($E$3="",$P$3=""),"",IF('Statement of Marks'!B54="","",'Statement of Marks'!B54))</f>
        <v/>
      </c>
      <c r="C55" s="816" t="str">
        <f>IF(OR($E$3="",$P$3=""),"",IF('Marks Entry'!C54="","",'Marks Entry'!C54))</f>
        <v/>
      </c>
      <c r="D55" s="808" t="str">
        <f>IF(OR($E$3="",$P$3=""),"",IF('Statement of Marks'!C54="","",'Statement of Marks'!C54))</f>
        <v/>
      </c>
      <c r="E55" s="809" t="str">
        <f>IF(OR($E$3="",$P$3=""),"",IF('Statement of Marks'!D54="","",'Statement of Marks'!D54))</f>
        <v/>
      </c>
      <c r="F55" s="810" t="str">
        <f>IF(OR($E$3="",$P$3=""),"",IF('Statement of Marks'!E54="","",'Statement of Marks'!E54))</f>
        <v/>
      </c>
      <c r="G55" s="810" t="str">
        <f>IF(OR($E$3="",$P$3=""),"",IF('Statement of Marks'!F54="","",'Statement of Marks'!F54))</f>
        <v/>
      </c>
      <c r="H55" s="810" t="str">
        <f>IF(OR($E$3="",$P$3=""),"",IF('Statement of Marks'!G54="","",'Statement of Marks'!G54))</f>
        <v/>
      </c>
      <c r="I55" s="811" t="str">
        <f>IF(OR($E$3="",$P$3=""),"",IF('Statement of Marks'!H54="","",'Statement of Marks'!H54))</f>
        <v/>
      </c>
      <c r="J55" s="811" t="str">
        <f>IF(OR($E$3="",$P$3=""),"",IF('Statement of Marks'!I54="","",'Statement of Marks'!I54))</f>
        <v/>
      </c>
      <c r="K55" s="811" t="str">
        <f>IFERROR(IF(B55="","",IF($P$3=$AT$10,IF(AND(BM55="A"),'Marks Entry'!$U$2,IF(AND(BM55="B"),'Marks Entry'!$Y$2,IF(AND(BM55="C"),'Marks Entry'!$AA$2,""))),IF($P$3=$AT$11,IF(AND(BN55="A"),'Marks Entry'!$AC$2,IF(AND(BN55="B"),'Marks Entry'!$AG$2,IF(AND(BN55="C"),'Marks Entry'!$AI$2,""))),IF($P$3=$AT$12,IF(AND(BO55="A"),'Marks Entry'!$AK$2,IF(AND(BO55="B"),'Marks Entry'!$AO$2,IF(AND(BO55="C"),'Marks Entry'!$AQ$2,""))),IF($P$3=$AT$13,IF(AND(BP55="A"),'Marks Entry'!$AS$2,IF(AND(BP55="B"),'Marks Entry'!$AW$2,IF(AND(BP55="C"),'Marks Entry'!$AY$2,""))),"-"))))),"")</f>
        <v/>
      </c>
      <c r="L55" s="812" t="str">
        <f>IFERROR(IF(B55="","",IF($P$3=$AT$8,'Statement of Marks'!J54,IF($P$3=$AT$9,'Statement of Marks'!X54,IF($P$3=$AT$10,'Statement of Marks'!AM54,IF($P$3=$AT$11,'Statement of Marks'!BJ54,IF($P$3=$AT$12,'Statement of Marks'!CG54,IF($P$3=$AT$13,'Statement of Marks'!DE54,IF($P$3=$AT$14,"",IF($P$3=$AT$15,'Statement of Marks'!EY54,""))))))))),"")</f>
        <v/>
      </c>
      <c r="M55" s="812" t="str">
        <f>IFERROR(IF(B55="","",IF($P$3=$AT$8,'Statement of Marks'!K54,IF($P$3=$AT$9,'Statement of Marks'!Y54,IF($P$3=$AT$10,'Statement of Marks'!AN54,IF($P$3=$AT$11,'Statement of Marks'!BK54,IF($P$3=$AT$12,'Statement of Marks'!CH54,IF($P$3=$AT$13,'Statement of Marks'!DF54,IF($P$3=$AT$14,"",IF($P$3=$AT$15,'Statement of Marks'!EZ54,""))))))))),"")</f>
        <v/>
      </c>
      <c r="N55" s="812" t="str">
        <f>IFERROR(IF(B55="","",IF($P$3=$AT$8,'Statement of Marks'!L54,IF($P$3=$AT$9,'Statement of Marks'!Z54,IF($P$3=$AT$10,'Statement of Marks'!AO54,IF($P$3=$AT$11,'Statement of Marks'!BL54,IF($P$3=$AT$12,'Statement of Marks'!CI54,IF($P$3=$AT$13,'Statement of Marks'!DG54,IF($P$3=$AT$14,"",IF($P$3=$AT$15,'Statement of Marks'!FA54,""))))))))),"")</f>
        <v/>
      </c>
      <c r="O55" s="813" t="str">
        <f t="shared" si="4"/>
        <v/>
      </c>
      <c r="P55" s="812" t="str">
        <f>IFERROR(IF(B55="","",IF($P$3=$AT$8,'Statement of Marks'!N54,IF($P$3=$AT$9,'Statement of Marks'!AB54,IF($P$3=$AT$10,'Statement of Marks'!AQ54,IF($P$3=$AT$11,'Statement of Marks'!BN54,IF($P$3=$AT$12,'Statement of Marks'!CK54,IF($P$3=$AT$13,'Statement of Marks'!DI54,IF($P$3=$AT$14,"",IF($P$3=$AT$15,'Statement of Marks'!FC54,""))))))))),"")</f>
        <v/>
      </c>
      <c r="Q55" s="812" t="str">
        <f>IFERROR(IF(B55="","",IF($P$3=$AT$8,"",IF($P$3=$AT$9,"",IF($P$3=$AT$10,'Statement of Marks'!AR54,IF($P$3=$AT$11,'Statement of Marks'!BO54,IF($P$3=$AT$12,'Statement of Marks'!CL54,IF($P$3=$AT$13,'Statement of Marks'!DJ54,IF($P$3=$AT$14,"",IF($P$3=$AT$15,"",""))))))))),"")</f>
        <v/>
      </c>
      <c r="R55" s="824" t="str">
        <f>IFERROR(IF(B55="","",IF(AND(P55="",Q55="",$P$3=""),"",IF($P$3=$AT$14,'Statement of Marks'!EC54,SUM(P55,Q55)))),"")</f>
        <v/>
      </c>
      <c r="S55" s="823" t="str">
        <f>IFERROR(IF(B55="","",IF($P$3=$AT$14,'Statement of Marks'!ED54,IF(AND(O55="NA",P55="NA",Q55="NA"),"NA",IF(AND(O55="",P55="",Q55=""),"",SUM(O55,P55,Q55))))),"")</f>
        <v/>
      </c>
      <c r="T55" s="812" t="str">
        <f>IFERROR(IF(B55="","",IF($P$3=$AT$8,'Statement of Marks'!P54,IF($P$3=$AT$9,'Statement of Marks'!AD54,IF($P$3=$AT$10,'Statement of Marks'!AU54,IF($P$3=$AT$11,'Statement of Marks'!BR54,IF($P$3=$AT$12,'Statement of Marks'!CO54,IF($P$3=$AT$13,'Statement of Marks'!DM54,IF($P$3=$AT$14,"",IF($P$3=$AT$15,'Statement of Marks'!FD54,""))))))))),"")</f>
        <v/>
      </c>
      <c r="U55" s="812" t="str">
        <f>IFERROR(IF(B55="","",IF($P$3=$AT$8,"",IF($P$3=$AT$9,"",IF($P$3=$AT$10,'Statement of Marks'!AV54,IF($P$3=$AT$11,'Statement of Marks'!BS54,IF($P$3=$AT$12,'Statement of Marks'!CP54,IF($P$3=$AT$13,'Statement of Marks'!DN54,IF($P$3=$AT$14,"",IF($P$3=$AT$15,"",""))))))))),"")</f>
        <v/>
      </c>
      <c r="V55" s="824" t="str">
        <f>IFERROR(IF(B55="","",IF(AND(T55="",U55="",$P$3=""),"",IF($P$3=$AT$14,'Statement of Marks'!EE54,SUM(T55,U55)))),"")</f>
        <v/>
      </c>
      <c r="W55" s="814" t="str">
        <f t="shared" si="5"/>
        <v/>
      </c>
      <c r="X55" s="815">
        <f t="shared" si="6"/>
        <v>0</v>
      </c>
      <c r="Y55" s="815">
        <f t="shared" si="7"/>
        <v>0</v>
      </c>
      <c r="Z55" s="815">
        <f t="shared" si="8"/>
        <v>0</v>
      </c>
      <c r="AA55" s="815" t="str">
        <f t="shared" si="9"/>
        <v/>
      </c>
      <c r="AB55" s="815" t="str">
        <f t="shared" si="10"/>
        <v/>
      </c>
      <c r="AC55" s="815" t="str">
        <f t="shared" si="11"/>
        <v/>
      </c>
      <c r="AD55" s="815" t="str">
        <f t="shared" si="12"/>
        <v/>
      </c>
      <c r="AE55" s="816" t="str">
        <f t="shared" si="13"/>
        <v/>
      </c>
      <c r="AF55" s="817" t="str">
        <f t="shared" si="14"/>
        <v/>
      </c>
      <c r="AG55" s="818" t="str">
        <f t="shared" si="15"/>
        <v/>
      </c>
      <c r="AW55" s="17" t="str">
        <f t="shared" si="16"/>
        <v/>
      </c>
      <c r="AX55" s="17" t="str">
        <f t="shared" si="17"/>
        <v/>
      </c>
      <c r="BM55" s="17" t="str">
        <f>IFERROR(VLOOKUP(B55,'Statement of Marks'!$B$8:'Statement of Marks'!$HI$207,37,0),"")</f>
        <v>A</v>
      </c>
      <c r="BN55" s="17" t="str">
        <f>IFERROR(VLOOKUP(B55,'Statement of Marks'!$B$8:'Statement of Marks'!$HI$207,60,0),"")</f>
        <v>A</v>
      </c>
      <c r="BO55" s="17" t="str">
        <f>IFERROR(VLOOKUP(B55,'Statement of Marks'!$B$8:'Statement of Marks'!$HI$207,83,0),"")</f>
        <v>A</v>
      </c>
      <c r="BP55" s="17" t="str">
        <f>IFERROR(VLOOKUP(B55,'Statement of Marks'!$B$8:'Statement of Marks'!$HI$207,107,0),"")</f>
        <v/>
      </c>
    </row>
    <row r="56" spans="1:68">
      <c r="A56" s="806">
        <f>IF('Statement of Marks'!A55="","",'Statement of Marks'!A55)</f>
        <v>48</v>
      </c>
      <c r="B56" s="807" t="str">
        <f>IF(OR($E$3="",$P$3=""),"",IF('Statement of Marks'!B55="","",'Statement of Marks'!B55))</f>
        <v/>
      </c>
      <c r="C56" s="816" t="str">
        <f>IF(OR($E$3="",$P$3=""),"",IF('Marks Entry'!C55="","",'Marks Entry'!C55))</f>
        <v/>
      </c>
      <c r="D56" s="808" t="str">
        <f>IF(OR($E$3="",$P$3=""),"",IF('Statement of Marks'!C55="","",'Statement of Marks'!C55))</f>
        <v/>
      </c>
      <c r="E56" s="809" t="str">
        <f>IF(OR($E$3="",$P$3=""),"",IF('Statement of Marks'!D55="","",'Statement of Marks'!D55))</f>
        <v/>
      </c>
      <c r="F56" s="810" t="str">
        <f>IF(OR($E$3="",$P$3=""),"",IF('Statement of Marks'!E55="","",'Statement of Marks'!E55))</f>
        <v/>
      </c>
      <c r="G56" s="810" t="str">
        <f>IF(OR($E$3="",$P$3=""),"",IF('Statement of Marks'!F55="","",'Statement of Marks'!F55))</f>
        <v/>
      </c>
      <c r="H56" s="810" t="str">
        <f>IF(OR($E$3="",$P$3=""),"",IF('Statement of Marks'!G55="","",'Statement of Marks'!G55))</f>
        <v/>
      </c>
      <c r="I56" s="811" t="str">
        <f>IF(OR($E$3="",$P$3=""),"",IF('Statement of Marks'!H55="","",'Statement of Marks'!H55))</f>
        <v/>
      </c>
      <c r="J56" s="811" t="str">
        <f>IF(OR($E$3="",$P$3=""),"",IF('Statement of Marks'!I55="","",'Statement of Marks'!I55))</f>
        <v/>
      </c>
      <c r="K56" s="811" t="str">
        <f>IFERROR(IF(B56="","",IF($P$3=$AT$10,IF(AND(BM56="A"),'Marks Entry'!$U$2,IF(AND(BM56="B"),'Marks Entry'!$Y$2,IF(AND(BM56="C"),'Marks Entry'!$AA$2,""))),IF($P$3=$AT$11,IF(AND(BN56="A"),'Marks Entry'!$AC$2,IF(AND(BN56="B"),'Marks Entry'!$AG$2,IF(AND(BN56="C"),'Marks Entry'!$AI$2,""))),IF($P$3=$AT$12,IF(AND(BO56="A"),'Marks Entry'!$AK$2,IF(AND(BO56="B"),'Marks Entry'!$AO$2,IF(AND(BO56="C"),'Marks Entry'!$AQ$2,""))),IF($P$3=$AT$13,IF(AND(BP56="A"),'Marks Entry'!$AS$2,IF(AND(BP56="B"),'Marks Entry'!$AW$2,IF(AND(BP56="C"),'Marks Entry'!$AY$2,""))),"-"))))),"")</f>
        <v/>
      </c>
      <c r="L56" s="812" t="str">
        <f>IFERROR(IF(B56="","",IF($P$3=$AT$8,'Statement of Marks'!J55,IF($P$3=$AT$9,'Statement of Marks'!X55,IF($P$3=$AT$10,'Statement of Marks'!AM55,IF($P$3=$AT$11,'Statement of Marks'!BJ55,IF($P$3=$AT$12,'Statement of Marks'!CG55,IF($P$3=$AT$13,'Statement of Marks'!DE55,IF($P$3=$AT$14,"",IF($P$3=$AT$15,'Statement of Marks'!EY55,""))))))))),"")</f>
        <v/>
      </c>
      <c r="M56" s="812" t="str">
        <f>IFERROR(IF(B56="","",IF($P$3=$AT$8,'Statement of Marks'!K55,IF($P$3=$AT$9,'Statement of Marks'!Y55,IF($P$3=$AT$10,'Statement of Marks'!AN55,IF($P$3=$AT$11,'Statement of Marks'!BK55,IF($P$3=$AT$12,'Statement of Marks'!CH55,IF($P$3=$AT$13,'Statement of Marks'!DF55,IF($P$3=$AT$14,"",IF($P$3=$AT$15,'Statement of Marks'!EZ55,""))))))))),"")</f>
        <v/>
      </c>
      <c r="N56" s="812" t="str">
        <f>IFERROR(IF(B56="","",IF($P$3=$AT$8,'Statement of Marks'!L55,IF($P$3=$AT$9,'Statement of Marks'!Z55,IF($P$3=$AT$10,'Statement of Marks'!AO55,IF($P$3=$AT$11,'Statement of Marks'!BL55,IF($P$3=$AT$12,'Statement of Marks'!CI55,IF($P$3=$AT$13,'Statement of Marks'!DG55,IF($P$3=$AT$14,"",IF($P$3=$AT$15,'Statement of Marks'!FA55,""))))))))),"")</f>
        <v/>
      </c>
      <c r="O56" s="813" t="str">
        <f t="shared" si="4"/>
        <v/>
      </c>
      <c r="P56" s="812" t="str">
        <f>IFERROR(IF(B56="","",IF($P$3=$AT$8,'Statement of Marks'!N55,IF($P$3=$AT$9,'Statement of Marks'!AB55,IF($P$3=$AT$10,'Statement of Marks'!AQ55,IF($P$3=$AT$11,'Statement of Marks'!BN55,IF($P$3=$AT$12,'Statement of Marks'!CK55,IF($P$3=$AT$13,'Statement of Marks'!DI55,IF($P$3=$AT$14,"",IF($P$3=$AT$15,'Statement of Marks'!FC55,""))))))))),"")</f>
        <v/>
      </c>
      <c r="Q56" s="812" t="str">
        <f>IFERROR(IF(B56="","",IF($P$3=$AT$8,"",IF($P$3=$AT$9,"",IF($P$3=$AT$10,'Statement of Marks'!AR55,IF($P$3=$AT$11,'Statement of Marks'!BO55,IF($P$3=$AT$12,'Statement of Marks'!CL55,IF($P$3=$AT$13,'Statement of Marks'!DJ55,IF($P$3=$AT$14,"",IF($P$3=$AT$15,"",""))))))))),"")</f>
        <v/>
      </c>
      <c r="R56" s="824" t="str">
        <f>IFERROR(IF(B56="","",IF(AND(P56="",Q56="",$P$3=""),"",IF($P$3=$AT$14,'Statement of Marks'!EC55,SUM(P56,Q56)))),"")</f>
        <v/>
      </c>
      <c r="S56" s="823" t="str">
        <f>IFERROR(IF(B56="","",IF($P$3=$AT$14,'Statement of Marks'!ED55,IF(AND(O56="NA",P56="NA",Q56="NA"),"NA",IF(AND(O56="",P56="",Q56=""),"",SUM(O56,P56,Q56))))),"")</f>
        <v/>
      </c>
      <c r="T56" s="812" t="str">
        <f>IFERROR(IF(B56="","",IF($P$3=$AT$8,'Statement of Marks'!P55,IF($P$3=$AT$9,'Statement of Marks'!AD55,IF($P$3=$AT$10,'Statement of Marks'!AU55,IF($P$3=$AT$11,'Statement of Marks'!BR55,IF($P$3=$AT$12,'Statement of Marks'!CO55,IF($P$3=$AT$13,'Statement of Marks'!DM55,IF($P$3=$AT$14,"",IF($P$3=$AT$15,'Statement of Marks'!FD55,""))))))))),"")</f>
        <v/>
      </c>
      <c r="U56" s="812" t="str">
        <f>IFERROR(IF(B56="","",IF($P$3=$AT$8,"",IF($P$3=$AT$9,"",IF($P$3=$AT$10,'Statement of Marks'!AV55,IF($P$3=$AT$11,'Statement of Marks'!BS55,IF($P$3=$AT$12,'Statement of Marks'!CP55,IF($P$3=$AT$13,'Statement of Marks'!DN55,IF($P$3=$AT$14,"",IF($P$3=$AT$15,"",""))))))))),"")</f>
        <v/>
      </c>
      <c r="V56" s="824" t="str">
        <f>IFERROR(IF(B56="","",IF(AND(T56="",U56="",$P$3=""),"",IF($P$3=$AT$14,'Statement of Marks'!EE55,SUM(T56,U56)))),"")</f>
        <v/>
      </c>
      <c r="W56" s="814" t="str">
        <f t="shared" si="5"/>
        <v/>
      </c>
      <c r="X56" s="815">
        <f t="shared" si="6"/>
        <v>0</v>
      </c>
      <c r="Y56" s="815">
        <f t="shared" si="7"/>
        <v>0</v>
      </c>
      <c r="Z56" s="815">
        <f t="shared" si="8"/>
        <v>0</v>
      </c>
      <c r="AA56" s="815" t="str">
        <f t="shared" si="9"/>
        <v/>
      </c>
      <c r="AB56" s="815" t="str">
        <f t="shared" si="10"/>
        <v/>
      </c>
      <c r="AC56" s="815" t="str">
        <f t="shared" si="11"/>
        <v/>
      </c>
      <c r="AD56" s="815" t="str">
        <f t="shared" si="12"/>
        <v/>
      </c>
      <c r="AE56" s="816" t="str">
        <f t="shared" si="13"/>
        <v/>
      </c>
      <c r="AF56" s="817" t="str">
        <f t="shared" si="14"/>
        <v/>
      </c>
      <c r="AG56" s="818" t="str">
        <f t="shared" si="15"/>
        <v/>
      </c>
      <c r="AW56" s="17" t="str">
        <f t="shared" si="16"/>
        <v/>
      </c>
      <c r="AX56" s="17" t="str">
        <f t="shared" si="17"/>
        <v/>
      </c>
      <c r="BM56" s="17" t="str">
        <f>IFERROR(VLOOKUP(B56,'Statement of Marks'!$B$8:'Statement of Marks'!$HI$207,37,0),"")</f>
        <v>A</v>
      </c>
      <c r="BN56" s="17" t="str">
        <f>IFERROR(VLOOKUP(B56,'Statement of Marks'!$B$8:'Statement of Marks'!$HI$207,60,0),"")</f>
        <v>A</v>
      </c>
      <c r="BO56" s="17" t="str">
        <f>IFERROR(VLOOKUP(B56,'Statement of Marks'!$B$8:'Statement of Marks'!$HI$207,83,0),"")</f>
        <v>A</v>
      </c>
      <c r="BP56" s="17" t="str">
        <f>IFERROR(VLOOKUP(B56,'Statement of Marks'!$B$8:'Statement of Marks'!$HI$207,107,0),"")</f>
        <v/>
      </c>
    </row>
    <row r="57" spans="1:68">
      <c r="A57" s="806">
        <f>IF('Statement of Marks'!A56="","",'Statement of Marks'!A56)</f>
        <v>49</v>
      </c>
      <c r="B57" s="807" t="str">
        <f>IF(OR($E$3="",$P$3=""),"",IF('Statement of Marks'!B56="","",'Statement of Marks'!B56))</f>
        <v/>
      </c>
      <c r="C57" s="816" t="str">
        <f>IF(OR($E$3="",$P$3=""),"",IF('Marks Entry'!C56="","",'Marks Entry'!C56))</f>
        <v/>
      </c>
      <c r="D57" s="808" t="str">
        <f>IF(OR($E$3="",$P$3=""),"",IF('Statement of Marks'!C56="","",'Statement of Marks'!C56))</f>
        <v/>
      </c>
      <c r="E57" s="809" t="str">
        <f>IF(OR($E$3="",$P$3=""),"",IF('Statement of Marks'!D56="","",'Statement of Marks'!D56))</f>
        <v/>
      </c>
      <c r="F57" s="810" t="str">
        <f>IF(OR($E$3="",$P$3=""),"",IF('Statement of Marks'!E56="","",'Statement of Marks'!E56))</f>
        <v/>
      </c>
      <c r="G57" s="810" t="str">
        <f>IF(OR($E$3="",$P$3=""),"",IF('Statement of Marks'!F56="","",'Statement of Marks'!F56))</f>
        <v/>
      </c>
      <c r="H57" s="810" t="str">
        <f>IF(OR($E$3="",$P$3=""),"",IF('Statement of Marks'!G56="","",'Statement of Marks'!G56))</f>
        <v/>
      </c>
      <c r="I57" s="811" t="str">
        <f>IF(OR($E$3="",$P$3=""),"",IF('Statement of Marks'!H56="","",'Statement of Marks'!H56))</f>
        <v/>
      </c>
      <c r="J57" s="811" t="str">
        <f>IF(OR($E$3="",$P$3=""),"",IF('Statement of Marks'!I56="","",'Statement of Marks'!I56))</f>
        <v/>
      </c>
      <c r="K57" s="811" t="str">
        <f>IFERROR(IF(B57="","",IF($P$3=$AT$10,IF(AND(BM57="A"),'Marks Entry'!$U$2,IF(AND(BM57="B"),'Marks Entry'!$Y$2,IF(AND(BM57="C"),'Marks Entry'!$AA$2,""))),IF($P$3=$AT$11,IF(AND(BN57="A"),'Marks Entry'!$AC$2,IF(AND(BN57="B"),'Marks Entry'!$AG$2,IF(AND(BN57="C"),'Marks Entry'!$AI$2,""))),IF($P$3=$AT$12,IF(AND(BO57="A"),'Marks Entry'!$AK$2,IF(AND(BO57="B"),'Marks Entry'!$AO$2,IF(AND(BO57="C"),'Marks Entry'!$AQ$2,""))),IF($P$3=$AT$13,IF(AND(BP57="A"),'Marks Entry'!$AS$2,IF(AND(BP57="B"),'Marks Entry'!$AW$2,IF(AND(BP57="C"),'Marks Entry'!$AY$2,""))),"-"))))),"")</f>
        <v/>
      </c>
      <c r="L57" s="812" t="str">
        <f>IFERROR(IF(B57="","",IF($P$3=$AT$8,'Statement of Marks'!J56,IF($P$3=$AT$9,'Statement of Marks'!X56,IF($P$3=$AT$10,'Statement of Marks'!AM56,IF($P$3=$AT$11,'Statement of Marks'!BJ56,IF($P$3=$AT$12,'Statement of Marks'!CG56,IF($P$3=$AT$13,'Statement of Marks'!DE56,IF($P$3=$AT$14,"",IF($P$3=$AT$15,'Statement of Marks'!EY56,""))))))))),"")</f>
        <v/>
      </c>
      <c r="M57" s="812" t="str">
        <f>IFERROR(IF(B57="","",IF($P$3=$AT$8,'Statement of Marks'!K56,IF($P$3=$AT$9,'Statement of Marks'!Y56,IF($P$3=$AT$10,'Statement of Marks'!AN56,IF($P$3=$AT$11,'Statement of Marks'!BK56,IF($P$3=$AT$12,'Statement of Marks'!CH56,IF($P$3=$AT$13,'Statement of Marks'!DF56,IF($P$3=$AT$14,"",IF($P$3=$AT$15,'Statement of Marks'!EZ56,""))))))))),"")</f>
        <v/>
      </c>
      <c r="N57" s="812" t="str">
        <f>IFERROR(IF(B57="","",IF($P$3=$AT$8,'Statement of Marks'!L56,IF($P$3=$AT$9,'Statement of Marks'!Z56,IF($P$3=$AT$10,'Statement of Marks'!AO56,IF($P$3=$AT$11,'Statement of Marks'!BL56,IF($P$3=$AT$12,'Statement of Marks'!CI56,IF($P$3=$AT$13,'Statement of Marks'!DG56,IF($P$3=$AT$14,"",IF($P$3=$AT$15,'Statement of Marks'!FA56,""))))))))),"")</f>
        <v/>
      </c>
      <c r="O57" s="813" t="str">
        <f t="shared" si="4"/>
        <v/>
      </c>
      <c r="P57" s="812" t="str">
        <f>IFERROR(IF(B57="","",IF($P$3=$AT$8,'Statement of Marks'!N56,IF($P$3=$AT$9,'Statement of Marks'!AB56,IF($P$3=$AT$10,'Statement of Marks'!AQ56,IF($P$3=$AT$11,'Statement of Marks'!BN56,IF($P$3=$AT$12,'Statement of Marks'!CK56,IF($P$3=$AT$13,'Statement of Marks'!DI56,IF($P$3=$AT$14,"",IF($P$3=$AT$15,'Statement of Marks'!FC56,""))))))))),"")</f>
        <v/>
      </c>
      <c r="Q57" s="812" t="str">
        <f>IFERROR(IF(B57="","",IF($P$3=$AT$8,"",IF($P$3=$AT$9,"",IF($P$3=$AT$10,'Statement of Marks'!AR56,IF($P$3=$AT$11,'Statement of Marks'!BO56,IF($P$3=$AT$12,'Statement of Marks'!CL56,IF($P$3=$AT$13,'Statement of Marks'!DJ56,IF($P$3=$AT$14,"",IF($P$3=$AT$15,"",""))))))))),"")</f>
        <v/>
      </c>
      <c r="R57" s="824" t="str">
        <f>IFERROR(IF(B57="","",IF(AND(P57="",Q57="",$P$3=""),"",IF($P$3=$AT$14,'Statement of Marks'!EC56,SUM(P57,Q57)))),"")</f>
        <v/>
      </c>
      <c r="S57" s="823" t="str">
        <f>IFERROR(IF(B57="","",IF($P$3=$AT$14,'Statement of Marks'!ED56,IF(AND(O57="NA",P57="NA",Q57="NA"),"NA",IF(AND(O57="",P57="",Q57=""),"",SUM(O57,P57,Q57))))),"")</f>
        <v/>
      </c>
      <c r="T57" s="812" t="str">
        <f>IFERROR(IF(B57="","",IF($P$3=$AT$8,'Statement of Marks'!P56,IF($P$3=$AT$9,'Statement of Marks'!AD56,IF($P$3=$AT$10,'Statement of Marks'!AU56,IF($P$3=$AT$11,'Statement of Marks'!BR56,IF($P$3=$AT$12,'Statement of Marks'!CO56,IF($P$3=$AT$13,'Statement of Marks'!DM56,IF($P$3=$AT$14,"",IF($P$3=$AT$15,'Statement of Marks'!FD56,""))))))))),"")</f>
        <v/>
      </c>
      <c r="U57" s="812" t="str">
        <f>IFERROR(IF(B57="","",IF($P$3=$AT$8,"",IF($P$3=$AT$9,"",IF($P$3=$AT$10,'Statement of Marks'!AV56,IF($P$3=$AT$11,'Statement of Marks'!BS56,IF($P$3=$AT$12,'Statement of Marks'!CP56,IF($P$3=$AT$13,'Statement of Marks'!DN56,IF($P$3=$AT$14,"",IF($P$3=$AT$15,"",""))))))))),"")</f>
        <v/>
      </c>
      <c r="V57" s="824" t="str">
        <f>IFERROR(IF(B57="","",IF(AND(T57="",U57="",$P$3=""),"",IF($P$3=$AT$14,'Statement of Marks'!EE56,SUM(T57,U57)))),"")</f>
        <v/>
      </c>
      <c r="W57" s="814" t="str">
        <f t="shared" si="5"/>
        <v/>
      </c>
      <c r="X57" s="815">
        <f t="shared" si="6"/>
        <v>0</v>
      </c>
      <c r="Y57" s="815">
        <f t="shared" si="7"/>
        <v>0</v>
      </c>
      <c r="Z57" s="815">
        <f t="shared" si="8"/>
        <v>0</v>
      </c>
      <c r="AA57" s="815" t="str">
        <f t="shared" si="9"/>
        <v/>
      </c>
      <c r="AB57" s="815" t="str">
        <f t="shared" si="10"/>
        <v/>
      </c>
      <c r="AC57" s="815" t="str">
        <f t="shared" si="11"/>
        <v/>
      </c>
      <c r="AD57" s="815" t="str">
        <f t="shared" si="12"/>
        <v/>
      </c>
      <c r="AE57" s="816" t="str">
        <f t="shared" si="13"/>
        <v/>
      </c>
      <c r="AF57" s="817" t="str">
        <f t="shared" si="14"/>
        <v/>
      </c>
      <c r="AG57" s="818" t="str">
        <f t="shared" si="15"/>
        <v/>
      </c>
      <c r="AW57" s="17" t="str">
        <f t="shared" si="16"/>
        <v/>
      </c>
      <c r="AX57" s="17" t="str">
        <f t="shared" si="17"/>
        <v/>
      </c>
      <c r="BM57" s="17" t="str">
        <f>IFERROR(VLOOKUP(B57,'Statement of Marks'!$B$8:'Statement of Marks'!$HI$207,37,0),"")</f>
        <v>A</v>
      </c>
      <c r="BN57" s="17" t="str">
        <f>IFERROR(VLOOKUP(B57,'Statement of Marks'!$B$8:'Statement of Marks'!$HI$207,60,0),"")</f>
        <v>A</v>
      </c>
      <c r="BO57" s="17" t="str">
        <f>IFERROR(VLOOKUP(B57,'Statement of Marks'!$B$8:'Statement of Marks'!$HI$207,83,0),"")</f>
        <v>A</v>
      </c>
      <c r="BP57" s="17" t="str">
        <f>IFERROR(VLOOKUP(B57,'Statement of Marks'!$B$8:'Statement of Marks'!$HI$207,107,0),"")</f>
        <v/>
      </c>
    </row>
    <row r="58" spans="1:68">
      <c r="A58" s="806">
        <f>IF('Statement of Marks'!A57="","",'Statement of Marks'!A57)</f>
        <v>50</v>
      </c>
      <c r="B58" s="807" t="str">
        <f>IF(OR($E$3="",$P$3=""),"",IF('Statement of Marks'!B57="","",'Statement of Marks'!B57))</f>
        <v/>
      </c>
      <c r="C58" s="816" t="str">
        <f>IF(OR($E$3="",$P$3=""),"",IF('Marks Entry'!C57="","",'Marks Entry'!C57))</f>
        <v/>
      </c>
      <c r="D58" s="808" t="str">
        <f>IF(OR($E$3="",$P$3=""),"",IF('Statement of Marks'!C57="","",'Statement of Marks'!C57))</f>
        <v/>
      </c>
      <c r="E58" s="809" t="str">
        <f>IF(OR($E$3="",$P$3=""),"",IF('Statement of Marks'!D57="","",'Statement of Marks'!D57))</f>
        <v/>
      </c>
      <c r="F58" s="810" t="str">
        <f>IF(OR($E$3="",$P$3=""),"",IF('Statement of Marks'!E57="","",'Statement of Marks'!E57))</f>
        <v/>
      </c>
      <c r="G58" s="810" t="str">
        <f>IF(OR($E$3="",$P$3=""),"",IF('Statement of Marks'!F57="","",'Statement of Marks'!F57))</f>
        <v/>
      </c>
      <c r="H58" s="810" t="str">
        <f>IF(OR($E$3="",$P$3=""),"",IF('Statement of Marks'!G57="","",'Statement of Marks'!G57))</f>
        <v/>
      </c>
      <c r="I58" s="811" t="str">
        <f>IF(OR($E$3="",$P$3=""),"",IF('Statement of Marks'!H57="","",'Statement of Marks'!H57))</f>
        <v/>
      </c>
      <c r="J58" s="811" t="str">
        <f>IF(OR($E$3="",$P$3=""),"",IF('Statement of Marks'!I57="","",'Statement of Marks'!I57))</f>
        <v/>
      </c>
      <c r="K58" s="811" t="str">
        <f>IFERROR(IF(B58="","",IF($P$3=$AT$10,IF(AND(BM58="A"),'Marks Entry'!$U$2,IF(AND(BM58="B"),'Marks Entry'!$Y$2,IF(AND(BM58="C"),'Marks Entry'!$AA$2,""))),IF($P$3=$AT$11,IF(AND(BN58="A"),'Marks Entry'!$AC$2,IF(AND(BN58="B"),'Marks Entry'!$AG$2,IF(AND(BN58="C"),'Marks Entry'!$AI$2,""))),IF($P$3=$AT$12,IF(AND(BO58="A"),'Marks Entry'!$AK$2,IF(AND(BO58="B"),'Marks Entry'!$AO$2,IF(AND(BO58="C"),'Marks Entry'!$AQ$2,""))),IF($P$3=$AT$13,IF(AND(BP58="A"),'Marks Entry'!$AS$2,IF(AND(BP58="B"),'Marks Entry'!$AW$2,IF(AND(BP58="C"),'Marks Entry'!$AY$2,""))),"-"))))),"")</f>
        <v/>
      </c>
      <c r="L58" s="812" t="str">
        <f>IFERROR(IF(B58="","",IF($P$3=$AT$8,'Statement of Marks'!J57,IF($P$3=$AT$9,'Statement of Marks'!X57,IF($P$3=$AT$10,'Statement of Marks'!AM57,IF($P$3=$AT$11,'Statement of Marks'!BJ57,IF($P$3=$AT$12,'Statement of Marks'!CG57,IF($P$3=$AT$13,'Statement of Marks'!DE57,IF($P$3=$AT$14,"",IF($P$3=$AT$15,'Statement of Marks'!EY57,""))))))))),"")</f>
        <v/>
      </c>
      <c r="M58" s="812" t="str">
        <f>IFERROR(IF(B58="","",IF($P$3=$AT$8,'Statement of Marks'!K57,IF($P$3=$AT$9,'Statement of Marks'!Y57,IF($P$3=$AT$10,'Statement of Marks'!AN57,IF($P$3=$AT$11,'Statement of Marks'!BK57,IF($P$3=$AT$12,'Statement of Marks'!CH57,IF($P$3=$AT$13,'Statement of Marks'!DF57,IF($P$3=$AT$14,"",IF($P$3=$AT$15,'Statement of Marks'!EZ57,""))))))))),"")</f>
        <v/>
      </c>
      <c r="N58" s="812" t="str">
        <f>IFERROR(IF(B58="","",IF($P$3=$AT$8,'Statement of Marks'!L57,IF($P$3=$AT$9,'Statement of Marks'!Z57,IF($P$3=$AT$10,'Statement of Marks'!AO57,IF($P$3=$AT$11,'Statement of Marks'!BL57,IF($P$3=$AT$12,'Statement of Marks'!CI57,IF($P$3=$AT$13,'Statement of Marks'!DG57,IF($P$3=$AT$14,"",IF($P$3=$AT$15,'Statement of Marks'!FA57,""))))))))),"")</f>
        <v/>
      </c>
      <c r="O58" s="813" t="str">
        <f t="shared" si="4"/>
        <v/>
      </c>
      <c r="P58" s="812" t="str">
        <f>IFERROR(IF(B58="","",IF($P$3=$AT$8,'Statement of Marks'!N57,IF($P$3=$AT$9,'Statement of Marks'!AB57,IF($P$3=$AT$10,'Statement of Marks'!AQ57,IF($P$3=$AT$11,'Statement of Marks'!BN57,IF($P$3=$AT$12,'Statement of Marks'!CK57,IF($P$3=$AT$13,'Statement of Marks'!DI57,IF($P$3=$AT$14,"",IF($P$3=$AT$15,'Statement of Marks'!FC57,""))))))))),"")</f>
        <v/>
      </c>
      <c r="Q58" s="812" t="str">
        <f>IFERROR(IF(B58="","",IF($P$3=$AT$8,"",IF($P$3=$AT$9,"",IF($P$3=$AT$10,'Statement of Marks'!AR57,IF($P$3=$AT$11,'Statement of Marks'!BO57,IF($P$3=$AT$12,'Statement of Marks'!CL57,IF($P$3=$AT$13,'Statement of Marks'!DJ57,IF($P$3=$AT$14,"",IF($P$3=$AT$15,"",""))))))))),"")</f>
        <v/>
      </c>
      <c r="R58" s="824" t="str">
        <f>IFERROR(IF(B58="","",IF(AND(P58="",Q58="",$P$3=""),"",IF($P$3=$AT$14,'Statement of Marks'!EC57,SUM(P58,Q58)))),"")</f>
        <v/>
      </c>
      <c r="S58" s="823" t="str">
        <f>IFERROR(IF(B58="","",IF($P$3=$AT$14,'Statement of Marks'!ED57,IF(AND(O58="NA",P58="NA",Q58="NA"),"NA",IF(AND(O58="",P58="",Q58=""),"",SUM(O58,P58,Q58))))),"")</f>
        <v/>
      </c>
      <c r="T58" s="812" t="str">
        <f>IFERROR(IF(B58="","",IF($P$3=$AT$8,'Statement of Marks'!P57,IF($P$3=$AT$9,'Statement of Marks'!AD57,IF($P$3=$AT$10,'Statement of Marks'!AU57,IF($P$3=$AT$11,'Statement of Marks'!BR57,IF($P$3=$AT$12,'Statement of Marks'!CO57,IF($P$3=$AT$13,'Statement of Marks'!DM57,IF($P$3=$AT$14,"",IF($P$3=$AT$15,'Statement of Marks'!FD57,""))))))))),"")</f>
        <v/>
      </c>
      <c r="U58" s="812" t="str">
        <f>IFERROR(IF(B58="","",IF($P$3=$AT$8,"",IF($P$3=$AT$9,"",IF($P$3=$AT$10,'Statement of Marks'!AV57,IF($P$3=$AT$11,'Statement of Marks'!BS57,IF($P$3=$AT$12,'Statement of Marks'!CP57,IF($P$3=$AT$13,'Statement of Marks'!DN57,IF($P$3=$AT$14,"",IF($P$3=$AT$15,"",""))))))))),"")</f>
        <v/>
      </c>
      <c r="V58" s="824" t="str">
        <f>IFERROR(IF(B58="","",IF(AND(T58="",U58="",$P$3=""),"",IF($P$3=$AT$14,'Statement of Marks'!EE57,SUM(T58,U58)))),"")</f>
        <v/>
      </c>
      <c r="W58" s="814" t="str">
        <f t="shared" si="5"/>
        <v/>
      </c>
      <c r="X58" s="815">
        <f t="shared" si="6"/>
        <v>0</v>
      </c>
      <c r="Y58" s="815">
        <f t="shared" si="7"/>
        <v>0</v>
      </c>
      <c r="Z58" s="815">
        <f t="shared" si="8"/>
        <v>0</v>
      </c>
      <c r="AA58" s="815" t="str">
        <f t="shared" si="9"/>
        <v/>
      </c>
      <c r="AB58" s="815" t="str">
        <f t="shared" si="10"/>
        <v/>
      </c>
      <c r="AC58" s="815" t="str">
        <f t="shared" si="11"/>
        <v/>
      </c>
      <c r="AD58" s="815" t="str">
        <f t="shared" si="12"/>
        <v/>
      </c>
      <c r="AE58" s="816" t="str">
        <f t="shared" si="13"/>
        <v/>
      </c>
      <c r="AF58" s="817" t="str">
        <f t="shared" si="14"/>
        <v/>
      </c>
      <c r="AG58" s="818" t="str">
        <f t="shared" si="15"/>
        <v/>
      </c>
      <c r="AW58" s="17" t="str">
        <f t="shared" si="16"/>
        <v/>
      </c>
      <c r="AX58" s="17" t="str">
        <f t="shared" si="17"/>
        <v/>
      </c>
      <c r="BM58" s="17" t="str">
        <f>IFERROR(VLOOKUP(B58,'Statement of Marks'!$B$8:'Statement of Marks'!$HI$207,37,0),"")</f>
        <v>A</v>
      </c>
      <c r="BN58" s="17" t="str">
        <f>IFERROR(VLOOKUP(B58,'Statement of Marks'!$B$8:'Statement of Marks'!$HI$207,60,0),"")</f>
        <v>A</v>
      </c>
      <c r="BO58" s="17" t="str">
        <f>IFERROR(VLOOKUP(B58,'Statement of Marks'!$B$8:'Statement of Marks'!$HI$207,83,0),"")</f>
        <v>A</v>
      </c>
      <c r="BP58" s="17" t="str">
        <f>IFERROR(VLOOKUP(B58,'Statement of Marks'!$B$8:'Statement of Marks'!$HI$207,107,0),"")</f>
        <v/>
      </c>
    </row>
    <row r="59" spans="1:68">
      <c r="A59" s="806">
        <f>IF('Statement of Marks'!A58="","",'Statement of Marks'!A58)</f>
        <v>51</v>
      </c>
      <c r="B59" s="807" t="str">
        <f>IF(OR($E$3="",$P$3=""),"",IF('Statement of Marks'!B58="","",'Statement of Marks'!B58))</f>
        <v/>
      </c>
      <c r="C59" s="816" t="str">
        <f>IF(OR($E$3="",$P$3=""),"",IF('Marks Entry'!C58="","",'Marks Entry'!C58))</f>
        <v/>
      </c>
      <c r="D59" s="808" t="str">
        <f>IF(OR($E$3="",$P$3=""),"",IF('Statement of Marks'!C58="","",'Statement of Marks'!C58))</f>
        <v/>
      </c>
      <c r="E59" s="809" t="str">
        <f>IF(OR($E$3="",$P$3=""),"",IF('Statement of Marks'!D58="","",'Statement of Marks'!D58))</f>
        <v/>
      </c>
      <c r="F59" s="810" t="str">
        <f>IF(OR($E$3="",$P$3=""),"",IF('Statement of Marks'!E58="","",'Statement of Marks'!E58))</f>
        <v/>
      </c>
      <c r="G59" s="810" t="str">
        <f>IF(OR($E$3="",$P$3=""),"",IF('Statement of Marks'!F58="","",'Statement of Marks'!F58))</f>
        <v/>
      </c>
      <c r="H59" s="810" t="str">
        <f>IF(OR($E$3="",$P$3=""),"",IF('Statement of Marks'!G58="","",'Statement of Marks'!G58))</f>
        <v/>
      </c>
      <c r="I59" s="811" t="str">
        <f>IF(OR($E$3="",$P$3=""),"",IF('Statement of Marks'!H58="","",'Statement of Marks'!H58))</f>
        <v/>
      </c>
      <c r="J59" s="811" t="str">
        <f>IF(OR($E$3="",$P$3=""),"",IF('Statement of Marks'!I58="","",'Statement of Marks'!I58))</f>
        <v/>
      </c>
      <c r="K59" s="811" t="str">
        <f>IFERROR(IF(B59="","",IF($P$3=$AT$10,IF(AND(BM59="A"),'Marks Entry'!$U$2,IF(AND(BM59="B"),'Marks Entry'!$Y$2,IF(AND(BM59="C"),'Marks Entry'!$AA$2,""))),IF($P$3=$AT$11,IF(AND(BN59="A"),'Marks Entry'!$AC$2,IF(AND(BN59="B"),'Marks Entry'!$AG$2,IF(AND(BN59="C"),'Marks Entry'!$AI$2,""))),IF($P$3=$AT$12,IF(AND(BO59="A"),'Marks Entry'!$AK$2,IF(AND(BO59="B"),'Marks Entry'!$AO$2,IF(AND(BO59="C"),'Marks Entry'!$AQ$2,""))),IF($P$3=$AT$13,IF(AND(BP59="A"),'Marks Entry'!$AS$2,IF(AND(BP59="B"),'Marks Entry'!$AW$2,IF(AND(BP59="C"),'Marks Entry'!$AY$2,""))),"-"))))),"")</f>
        <v/>
      </c>
      <c r="L59" s="812" t="str">
        <f>IFERROR(IF(B59="","",IF($P$3=$AT$8,'Statement of Marks'!J58,IF($P$3=$AT$9,'Statement of Marks'!X58,IF($P$3=$AT$10,'Statement of Marks'!AM58,IF($P$3=$AT$11,'Statement of Marks'!BJ58,IF($P$3=$AT$12,'Statement of Marks'!CG58,IF($P$3=$AT$13,'Statement of Marks'!DE58,IF($P$3=$AT$14,"",IF($P$3=$AT$15,'Statement of Marks'!EY58,""))))))))),"")</f>
        <v/>
      </c>
      <c r="M59" s="812" t="str">
        <f>IFERROR(IF(B59="","",IF($P$3=$AT$8,'Statement of Marks'!K58,IF($P$3=$AT$9,'Statement of Marks'!Y58,IF($P$3=$AT$10,'Statement of Marks'!AN58,IF($P$3=$AT$11,'Statement of Marks'!BK58,IF($P$3=$AT$12,'Statement of Marks'!CH58,IF($P$3=$AT$13,'Statement of Marks'!DF58,IF($P$3=$AT$14,"",IF($P$3=$AT$15,'Statement of Marks'!EZ58,""))))))))),"")</f>
        <v/>
      </c>
      <c r="N59" s="812" t="str">
        <f>IFERROR(IF(B59="","",IF($P$3=$AT$8,'Statement of Marks'!L58,IF($P$3=$AT$9,'Statement of Marks'!Z58,IF($P$3=$AT$10,'Statement of Marks'!AO58,IF($P$3=$AT$11,'Statement of Marks'!BL58,IF($P$3=$AT$12,'Statement of Marks'!CI58,IF($P$3=$AT$13,'Statement of Marks'!DG58,IF($P$3=$AT$14,"",IF($P$3=$AT$15,'Statement of Marks'!FA58,""))))))))),"")</f>
        <v/>
      </c>
      <c r="O59" s="813" t="str">
        <f t="shared" si="4"/>
        <v/>
      </c>
      <c r="P59" s="812" t="str">
        <f>IFERROR(IF(B59="","",IF($P$3=$AT$8,'Statement of Marks'!N58,IF($P$3=$AT$9,'Statement of Marks'!AB58,IF($P$3=$AT$10,'Statement of Marks'!AQ58,IF($P$3=$AT$11,'Statement of Marks'!BN58,IF($P$3=$AT$12,'Statement of Marks'!CK58,IF($P$3=$AT$13,'Statement of Marks'!DI58,IF($P$3=$AT$14,"",IF($P$3=$AT$15,'Statement of Marks'!FC58,""))))))))),"")</f>
        <v/>
      </c>
      <c r="Q59" s="812" t="str">
        <f>IFERROR(IF(B59="","",IF($P$3=$AT$8,"",IF($P$3=$AT$9,"",IF($P$3=$AT$10,'Statement of Marks'!AR58,IF($P$3=$AT$11,'Statement of Marks'!BO58,IF($P$3=$AT$12,'Statement of Marks'!CL58,IF($P$3=$AT$13,'Statement of Marks'!DJ58,IF($P$3=$AT$14,"",IF($P$3=$AT$15,"",""))))))))),"")</f>
        <v/>
      </c>
      <c r="R59" s="824" t="str">
        <f>IFERROR(IF(B59="","",IF(AND(P59="",Q59="",$P$3=""),"",IF($P$3=$AT$14,'Statement of Marks'!EC58,SUM(P59,Q59)))),"")</f>
        <v/>
      </c>
      <c r="S59" s="823" t="str">
        <f>IFERROR(IF(B59="","",IF($P$3=$AT$14,'Statement of Marks'!ED58,IF(AND(O59="NA",P59="NA",Q59="NA"),"NA",IF(AND(O59="",P59="",Q59=""),"",SUM(O59,P59,Q59))))),"")</f>
        <v/>
      </c>
      <c r="T59" s="812" t="str">
        <f>IFERROR(IF(B59="","",IF($P$3=$AT$8,'Statement of Marks'!P58,IF($P$3=$AT$9,'Statement of Marks'!AD58,IF($P$3=$AT$10,'Statement of Marks'!AU58,IF($P$3=$AT$11,'Statement of Marks'!BR58,IF($P$3=$AT$12,'Statement of Marks'!CO58,IF($P$3=$AT$13,'Statement of Marks'!DM58,IF($P$3=$AT$14,"",IF($P$3=$AT$15,'Statement of Marks'!FD58,""))))))))),"")</f>
        <v/>
      </c>
      <c r="U59" s="812" t="str">
        <f>IFERROR(IF(B59="","",IF($P$3=$AT$8,"",IF($P$3=$AT$9,"",IF($P$3=$AT$10,'Statement of Marks'!AV58,IF($P$3=$AT$11,'Statement of Marks'!BS58,IF($P$3=$AT$12,'Statement of Marks'!CP58,IF($P$3=$AT$13,'Statement of Marks'!DN58,IF($P$3=$AT$14,"",IF($P$3=$AT$15,"",""))))))))),"")</f>
        <v/>
      </c>
      <c r="V59" s="824" t="str">
        <f>IFERROR(IF(B59="","",IF(AND(T59="",U59="",$P$3=""),"",IF($P$3=$AT$14,'Statement of Marks'!EE58,SUM(T59,U59)))),"")</f>
        <v/>
      </c>
      <c r="W59" s="814" t="str">
        <f t="shared" si="5"/>
        <v/>
      </c>
      <c r="X59" s="815">
        <f t="shared" si="6"/>
        <v>0</v>
      </c>
      <c r="Y59" s="815">
        <f t="shared" si="7"/>
        <v>0</v>
      </c>
      <c r="Z59" s="815">
        <f t="shared" si="8"/>
        <v>0</v>
      </c>
      <c r="AA59" s="815" t="str">
        <f t="shared" si="9"/>
        <v/>
      </c>
      <c r="AB59" s="815" t="str">
        <f t="shared" si="10"/>
        <v/>
      </c>
      <c r="AC59" s="815" t="str">
        <f t="shared" si="11"/>
        <v/>
      </c>
      <c r="AD59" s="815" t="str">
        <f t="shared" si="12"/>
        <v/>
      </c>
      <c r="AE59" s="816" t="str">
        <f t="shared" si="13"/>
        <v/>
      </c>
      <c r="AF59" s="817" t="str">
        <f t="shared" si="14"/>
        <v/>
      </c>
      <c r="AG59" s="818" t="str">
        <f t="shared" si="15"/>
        <v/>
      </c>
      <c r="AW59" s="17" t="str">
        <f t="shared" si="16"/>
        <v/>
      </c>
      <c r="AX59" s="17" t="str">
        <f t="shared" si="17"/>
        <v/>
      </c>
      <c r="BM59" s="17" t="str">
        <f>IFERROR(VLOOKUP(B59,'Statement of Marks'!$B$8:'Statement of Marks'!$HI$207,37,0),"")</f>
        <v>A</v>
      </c>
      <c r="BN59" s="17" t="str">
        <f>IFERROR(VLOOKUP(B59,'Statement of Marks'!$B$8:'Statement of Marks'!$HI$207,60,0),"")</f>
        <v>A</v>
      </c>
      <c r="BO59" s="17" t="str">
        <f>IFERROR(VLOOKUP(B59,'Statement of Marks'!$B$8:'Statement of Marks'!$HI$207,83,0),"")</f>
        <v>A</v>
      </c>
      <c r="BP59" s="17" t="str">
        <f>IFERROR(VLOOKUP(B59,'Statement of Marks'!$B$8:'Statement of Marks'!$HI$207,107,0),"")</f>
        <v/>
      </c>
    </row>
    <row r="60" spans="1:68">
      <c r="A60" s="806">
        <f>IF('Statement of Marks'!A59="","",'Statement of Marks'!A59)</f>
        <v>52</v>
      </c>
      <c r="B60" s="807" t="str">
        <f>IF(OR($E$3="",$P$3=""),"",IF('Statement of Marks'!B59="","",'Statement of Marks'!B59))</f>
        <v/>
      </c>
      <c r="C60" s="816" t="str">
        <f>IF(OR($E$3="",$P$3=""),"",IF('Marks Entry'!C59="","",'Marks Entry'!C59))</f>
        <v/>
      </c>
      <c r="D60" s="808" t="str">
        <f>IF(OR($E$3="",$P$3=""),"",IF('Statement of Marks'!C59="","",'Statement of Marks'!C59))</f>
        <v/>
      </c>
      <c r="E60" s="809" t="str">
        <f>IF(OR($E$3="",$P$3=""),"",IF('Statement of Marks'!D59="","",'Statement of Marks'!D59))</f>
        <v/>
      </c>
      <c r="F60" s="810" t="str">
        <f>IF(OR($E$3="",$P$3=""),"",IF('Statement of Marks'!E59="","",'Statement of Marks'!E59))</f>
        <v/>
      </c>
      <c r="G60" s="810" t="str">
        <f>IF(OR($E$3="",$P$3=""),"",IF('Statement of Marks'!F59="","",'Statement of Marks'!F59))</f>
        <v/>
      </c>
      <c r="H60" s="810" t="str">
        <f>IF(OR($E$3="",$P$3=""),"",IF('Statement of Marks'!G59="","",'Statement of Marks'!G59))</f>
        <v/>
      </c>
      <c r="I60" s="811" t="str">
        <f>IF(OR($E$3="",$P$3=""),"",IF('Statement of Marks'!H59="","",'Statement of Marks'!H59))</f>
        <v/>
      </c>
      <c r="J60" s="811" t="str">
        <f>IF(OR($E$3="",$P$3=""),"",IF('Statement of Marks'!I59="","",'Statement of Marks'!I59))</f>
        <v/>
      </c>
      <c r="K60" s="811" t="str">
        <f>IFERROR(IF(B60="","",IF($P$3=$AT$10,IF(AND(BM60="A"),'Marks Entry'!$U$2,IF(AND(BM60="B"),'Marks Entry'!$Y$2,IF(AND(BM60="C"),'Marks Entry'!$AA$2,""))),IF($P$3=$AT$11,IF(AND(BN60="A"),'Marks Entry'!$AC$2,IF(AND(BN60="B"),'Marks Entry'!$AG$2,IF(AND(BN60="C"),'Marks Entry'!$AI$2,""))),IF($P$3=$AT$12,IF(AND(BO60="A"),'Marks Entry'!$AK$2,IF(AND(BO60="B"),'Marks Entry'!$AO$2,IF(AND(BO60="C"),'Marks Entry'!$AQ$2,""))),IF($P$3=$AT$13,IF(AND(BP60="A"),'Marks Entry'!$AS$2,IF(AND(BP60="B"),'Marks Entry'!$AW$2,IF(AND(BP60="C"),'Marks Entry'!$AY$2,""))),"-"))))),"")</f>
        <v/>
      </c>
      <c r="L60" s="812" t="str">
        <f>IFERROR(IF(B60="","",IF($P$3=$AT$8,'Statement of Marks'!J59,IF($P$3=$AT$9,'Statement of Marks'!X59,IF($P$3=$AT$10,'Statement of Marks'!AM59,IF($P$3=$AT$11,'Statement of Marks'!BJ59,IF($P$3=$AT$12,'Statement of Marks'!CG59,IF($P$3=$AT$13,'Statement of Marks'!DE59,IF($P$3=$AT$14,"",IF($P$3=$AT$15,'Statement of Marks'!EY59,""))))))))),"")</f>
        <v/>
      </c>
      <c r="M60" s="812" t="str">
        <f>IFERROR(IF(B60="","",IF($P$3=$AT$8,'Statement of Marks'!K59,IF($P$3=$AT$9,'Statement of Marks'!Y59,IF($P$3=$AT$10,'Statement of Marks'!AN59,IF($P$3=$AT$11,'Statement of Marks'!BK59,IF($P$3=$AT$12,'Statement of Marks'!CH59,IF($P$3=$AT$13,'Statement of Marks'!DF59,IF($P$3=$AT$14,"",IF($P$3=$AT$15,'Statement of Marks'!EZ59,""))))))))),"")</f>
        <v/>
      </c>
      <c r="N60" s="812" t="str">
        <f>IFERROR(IF(B60="","",IF($P$3=$AT$8,'Statement of Marks'!L59,IF($P$3=$AT$9,'Statement of Marks'!Z59,IF($P$3=$AT$10,'Statement of Marks'!AO59,IF($P$3=$AT$11,'Statement of Marks'!BL59,IF($P$3=$AT$12,'Statement of Marks'!CI59,IF($P$3=$AT$13,'Statement of Marks'!DG59,IF($P$3=$AT$14,"",IF($P$3=$AT$15,'Statement of Marks'!FA59,""))))))))),"")</f>
        <v/>
      </c>
      <c r="O60" s="813" t="str">
        <f t="shared" si="4"/>
        <v/>
      </c>
      <c r="P60" s="812" t="str">
        <f>IFERROR(IF(B60="","",IF($P$3=$AT$8,'Statement of Marks'!N59,IF($P$3=$AT$9,'Statement of Marks'!AB59,IF($P$3=$AT$10,'Statement of Marks'!AQ59,IF($P$3=$AT$11,'Statement of Marks'!BN59,IF($P$3=$AT$12,'Statement of Marks'!CK59,IF($P$3=$AT$13,'Statement of Marks'!DI59,IF($P$3=$AT$14,"",IF($P$3=$AT$15,'Statement of Marks'!FC59,""))))))))),"")</f>
        <v/>
      </c>
      <c r="Q60" s="812" t="str">
        <f>IFERROR(IF(B60="","",IF($P$3=$AT$8,"",IF($P$3=$AT$9,"",IF($P$3=$AT$10,'Statement of Marks'!AR59,IF($P$3=$AT$11,'Statement of Marks'!BO59,IF($P$3=$AT$12,'Statement of Marks'!CL59,IF($P$3=$AT$13,'Statement of Marks'!DJ59,IF($P$3=$AT$14,"",IF($P$3=$AT$15,"",""))))))))),"")</f>
        <v/>
      </c>
      <c r="R60" s="824" t="str">
        <f>IFERROR(IF(B60="","",IF(AND(P60="",Q60="",$P$3=""),"",IF($P$3=$AT$14,'Statement of Marks'!EC59,SUM(P60,Q60)))),"")</f>
        <v/>
      </c>
      <c r="S60" s="823" t="str">
        <f>IFERROR(IF(B60="","",IF($P$3=$AT$14,'Statement of Marks'!ED59,IF(AND(O60="NA",P60="NA",Q60="NA"),"NA",IF(AND(O60="",P60="",Q60=""),"",SUM(O60,P60,Q60))))),"")</f>
        <v/>
      </c>
      <c r="T60" s="812" t="str">
        <f>IFERROR(IF(B60="","",IF($P$3=$AT$8,'Statement of Marks'!P59,IF($P$3=$AT$9,'Statement of Marks'!AD59,IF($P$3=$AT$10,'Statement of Marks'!AU59,IF($P$3=$AT$11,'Statement of Marks'!BR59,IF($P$3=$AT$12,'Statement of Marks'!CO59,IF($P$3=$AT$13,'Statement of Marks'!DM59,IF($P$3=$AT$14,"",IF($P$3=$AT$15,'Statement of Marks'!FD59,""))))))))),"")</f>
        <v/>
      </c>
      <c r="U60" s="812" t="str">
        <f>IFERROR(IF(B60="","",IF($P$3=$AT$8,"",IF($P$3=$AT$9,"",IF($P$3=$AT$10,'Statement of Marks'!AV59,IF($P$3=$AT$11,'Statement of Marks'!BS59,IF($P$3=$AT$12,'Statement of Marks'!CP59,IF($P$3=$AT$13,'Statement of Marks'!DN59,IF($P$3=$AT$14,"",IF($P$3=$AT$15,"",""))))))))),"")</f>
        <v/>
      </c>
      <c r="V60" s="824" t="str">
        <f>IFERROR(IF(B60="","",IF(AND(T60="",U60="",$P$3=""),"",IF($P$3=$AT$14,'Statement of Marks'!EE59,SUM(T60,U60)))),"")</f>
        <v/>
      </c>
      <c r="W60" s="814" t="str">
        <f t="shared" si="5"/>
        <v/>
      </c>
      <c r="X60" s="815">
        <f t="shared" si="6"/>
        <v>0</v>
      </c>
      <c r="Y60" s="815">
        <f t="shared" si="7"/>
        <v>0</v>
      </c>
      <c r="Z60" s="815">
        <f t="shared" si="8"/>
        <v>0</v>
      </c>
      <c r="AA60" s="815" t="str">
        <f t="shared" si="9"/>
        <v/>
      </c>
      <c r="AB60" s="815" t="str">
        <f t="shared" si="10"/>
        <v/>
      </c>
      <c r="AC60" s="815" t="str">
        <f t="shared" si="11"/>
        <v/>
      </c>
      <c r="AD60" s="815" t="str">
        <f t="shared" si="12"/>
        <v/>
      </c>
      <c r="AE60" s="816" t="str">
        <f t="shared" si="13"/>
        <v/>
      </c>
      <c r="AF60" s="817" t="str">
        <f t="shared" si="14"/>
        <v/>
      </c>
      <c r="AG60" s="818" t="str">
        <f t="shared" si="15"/>
        <v/>
      </c>
      <c r="AW60" s="17" t="str">
        <f t="shared" si="16"/>
        <v/>
      </c>
      <c r="AX60" s="17" t="str">
        <f t="shared" si="17"/>
        <v/>
      </c>
      <c r="BM60" s="17" t="str">
        <f>IFERROR(VLOOKUP(B60,'Statement of Marks'!$B$8:'Statement of Marks'!$HI$207,37,0),"")</f>
        <v>A</v>
      </c>
      <c r="BN60" s="17" t="str">
        <f>IFERROR(VLOOKUP(B60,'Statement of Marks'!$B$8:'Statement of Marks'!$HI$207,60,0),"")</f>
        <v>A</v>
      </c>
      <c r="BO60" s="17" t="str">
        <f>IFERROR(VLOOKUP(B60,'Statement of Marks'!$B$8:'Statement of Marks'!$HI$207,83,0),"")</f>
        <v>A</v>
      </c>
      <c r="BP60" s="17" t="str">
        <f>IFERROR(VLOOKUP(B60,'Statement of Marks'!$B$8:'Statement of Marks'!$HI$207,107,0),"")</f>
        <v/>
      </c>
    </row>
    <row r="61" spans="1:68">
      <c r="A61" s="806">
        <f>IF('Statement of Marks'!A60="","",'Statement of Marks'!A60)</f>
        <v>53</v>
      </c>
      <c r="B61" s="807" t="str">
        <f>IF(OR($E$3="",$P$3=""),"",IF('Statement of Marks'!B60="","",'Statement of Marks'!B60))</f>
        <v/>
      </c>
      <c r="C61" s="816" t="str">
        <f>IF(OR($E$3="",$P$3=""),"",IF('Marks Entry'!C60="","",'Marks Entry'!C60))</f>
        <v/>
      </c>
      <c r="D61" s="808" t="str">
        <f>IF(OR($E$3="",$P$3=""),"",IF('Statement of Marks'!C60="","",'Statement of Marks'!C60))</f>
        <v/>
      </c>
      <c r="E61" s="809" t="str">
        <f>IF(OR($E$3="",$P$3=""),"",IF('Statement of Marks'!D60="","",'Statement of Marks'!D60))</f>
        <v/>
      </c>
      <c r="F61" s="810" t="str">
        <f>IF(OR($E$3="",$P$3=""),"",IF('Statement of Marks'!E60="","",'Statement of Marks'!E60))</f>
        <v/>
      </c>
      <c r="G61" s="810" t="str">
        <f>IF(OR($E$3="",$P$3=""),"",IF('Statement of Marks'!F60="","",'Statement of Marks'!F60))</f>
        <v/>
      </c>
      <c r="H61" s="810" t="str">
        <f>IF(OR($E$3="",$P$3=""),"",IF('Statement of Marks'!G60="","",'Statement of Marks'!G60))</f>
        <v/>
      </c>
      <c r="I61" s="811" t="str">
        <f>IF(OR($E$3="",$P$3=""),"",IF('Statement of Marks'!H60="","",'Statement of Marks'!H60))</f>
        <v/>
      </c>
      <c r="J61" s="811" t="str">
        <f>IF(OR($E$3="",$P$3=""),"",IF('Statement of Marks'!I60="","",'Statement of Marks'!I60))</f>
        <v/>
      </c>
      <c r="K61" s="811" t="str">
        <f>IFERROR(IF(B61="","",IF($P$3=$AT$10,IF(AND(BM61="A"),'Marks Entry'!$U$2,IF(AND(BM61="B"),'Marks Entry'!$Y$2,IF(AND(BM61="C"),'Marks Entry'!$AA$2,""))),IF($P$3=$AT$11,IF(AND(BN61="A"),'Marks Entry'!$AC$2,IF(AND(BN61="B"),'Marks Entry'!$AG$2,IF(AND(BN61="C"),'Marks Entry'!$AI$2,""))),IF($P$3=$AT$12,IF(AND(BO61="A"),'Marks Entry'!$AK$2,IF(AND(BO61="B"),'Marks Entry'!$AO$2,IF(AND(BO61="C"),'Marks Entry'!$AQ$2,""))),IF($P$3=$AT$13,IF(AND(BP61="A"),'Marks Entry'!$AS$2,IF(AND(BP61="B"),'Marks Entry'!$AW$2,IF(AND(BP61="C"),'Marks Entry'!$AY$2,""))),"-"))))),"")</f>
        <v/>
      </c>
      <c r="L61" s="812" t="str">
        <f>IFERROR(IF(B61="","",IF($P$3=$AT$8,'Statement of Marks'!J60,IF($P$3=$AT$9,'Statement of Marks'!X60,IF($P$3=$AT$10,'Statement of Marks'!AM60,IF($P$3=$AT$11,'Statement of Marks'!BJ60,IF($P$3=$AT$12,'Statement of Marks'!CG60,IF($P$3=$AT$13,'Statement of Marks'!DE60,IF($P$3=$AT$14,"",IF($P$3=$AT$15,'Statement of Marks'!EY60,""))))))))),"")</f>
        <v/>
      </c>
      <c r="M61" s="812" t="str">
        <f>IFERROR(IF(B61="","",IF($P$3=$AT$8,'Statement of Marks'!K60,IF($P$3=$AT$9,'Statement of Marks'!Y60,IF($P$3=$AT$10,'Statement of Marks'!AN60,IF($P$3=$AT$11,'Statement of Marks'!BK60,IF($P$3=$AT$12,'Statement of Marks'!CH60,IF($P$3=$AT$13,'Statement of Marks'!DF60,IF($P$3=$AT$14,"",IF($P$3=$AT$15,'Statement of Marks'!EZ60,""))))))))),"")</f>
        <v/>
      </c>
      <c r="N61" s="812" t="str">
        <f>IFERROR(IF(B61="","",IF($P$3=$AT$8,'Statement of Marks'!L60,IF($P$3=$AT$9,'Statement of Marks'!Z60,IF($P$3=$AT$10,'Statement of Marks'!AO60,IF($P$3=$AT$11,'Statement of Marks'!BL60,IF($P$3=$AT$12,'Statement of Marks'!CI60,IF($P$3=$AT$13,'Statement of Marks'!DG60,IF($P$3=$AT$14,"",IF($P$3=$AT$15,'Statement of Marks'!FA60,""))))))))),"")</f>
        <v/>
      </c>
      <c r="O61" s="813" t="str">
        <f t="shared" si="4"/>
        <v/>
      </c>
      <c r="P61" s="812" t="str">
        <f>IFERROR(IF(B61="","",IF($P$3=$AT$8,'Statement of Marks'!N60,IF($P$3=$AT$9,'Statement of Marks'!AB60,IF($P$3=$AT$10,'Statement of Marks'!AQ60,IF($P$3=$AT$11,'Statement of Marks'!BN60,IF($P$3=$AT$12,'Statement of Marks'!CK60,IF($P$3=$AT$13,'Statement of Marks'!DI60,IF($P$3=$AT$14,"",IF($P$3=$AT$15,'Statement of Marks'!FC60,""))))))))),"")</f>
        <v/>
      </c>
      <c r="Q61" s="812" t="str">
        <f>IFERROR(IF(B61="","",IF($P$3=$AT$8,"",IF($P$3=$AT$9,"",IF($P$3=$AT$10,'Statement of Marks'!AR60,IF($P$3=$AT$11,'Statement of Marks'!BO60,IF($P$3=$AT$12,'Statement of Marks'!CL60,IF($P$3=$AT$13,'Statement of Marks'!DJ60,IF($P$3=$AT$14,"",IF($P$3=$AT$15,"",""))))))))),"")</f>
        <v/>
      </c>
      <c r="R61" s="824" t="str">
        <f>IFERROR(IF(B61="","",IF(AND(P61="",Q61="",$P$3=""),"",IF($P$3=$AT$14,'Statement of Marks'!EC60,SUM(P61,Q61)))),"")</f>
        <v/>
      </c>
      <c r="S61" s="823" t="str">
        <f>IFERROR(IF(B61="","",IF($P$3=$AT$14,'Statement of Marks'!ED60,IF(AND(O61="NA",P61="NA",Q61="NA"),"NA",IF(AND(O61="",P61="",Q61=""),"",SUM(O61,P61,Q61))))),"")</f>
        <v/>
      </c>
      <c r="T61" s="812" t="str">
        <f>IFERROR(IF(B61="","",IF($P$3=$AT$8,'Statement of Marks'!P60,IF($P$3=$AT$9,'Statement of Marks'!AD60,IF($P$3=$AT$10,'Statement of Marks'!AU60,IF($P$3=$AT$11,'Statement of Marks'!BR60,IF($P$3=$AT$12,'Statement of Marks'!CO60,IF($P$3=$AT$13,'Statement of Marks'!DM60,IF($P$3=$AT$14,"",IF($P$3=$AT$15,'Statement of Marks'!FD60,""))))))))),"")</f>
        <v/>
      </c>
      <c r="U61" s="812" t="str">
        <f>IFERROR(IF(B61="","",IF($P$3=$AT$8,"",IF($P$3=$AT$9,"",IF($P$3=$AT$10,'Statement of Marks'!AV60,IF($P$3=$AT$11,'Statement of Marks'!BS60,IF($P$3=$AT$12,'Statement of Marks'!CP60,IF($P$3=$AT$13,'Statement of Marks'!DN60,IF($P$3=$AT$14,"",IF($P$3=$AT$15,"",""))))))))),"")</f>
        <v/>
      </c>
      <c r="V61" s="824" t="str">
        <f>IFERROR(IF(B61="","",IF(AND(T61="",U61="",$P$3=""),"",IF($P$3=$AT$14,'Statement of Marks'!EE60,SUM(T61,U61)))),"")</f>
        <v/>
      </c>
      <c r="W61" s="814" t="str">
        <f t="shared" si="5"/>
        <v/>
      </c>
      <c r="X61" s="815">
        <f t="shared" si="6"/>
        <v>0</v>
      </c>
      <c r="Y61" s="815">
        <f t="shared" si="7"/>
        <v>0</v>
      </c>
      <c r="Z61" s="815">
        <f t="shared" si="8"/>
        <v>0</v>
      </c>
      <c r="AA61" s="815" t="str">
        <f t="shared" si="9"/>
        <v/>
      </c>
      <c r="AB61" s="815" t="str">
        <f t="shared" si="10"/>
        <v/>
      </c>
      <c r="AC61" s="815" t="str">
        <f t="shared" si="11"/>
        <v/>
      </c>
      <c r="AD61" s="815" t="str">
        <f t="shared" si="12"/>
        <v/>
      </c>
      <c r="AE61" s="816" t="str">
        <f t="shared" si="13"/>
        <v/>
      </c>
      <c r="AF61" s="817" t="str">
        <f t="shared" si="14"/>
        <v/>
      </c>
      <c r="AG61" s="818" t="str">
        <f t="shared" si="15"/>
        <v/>
      </c>
      <c r="AW61" s="17" t="str">
        <f t="shared" si="16"/>
        <v/>
      </c>
      <c r="AX61" s="17" t="str">
        <f t="shared" si="17"/>
        <v/>
      </c>
      <c r="BM61" s="17" t="str">
        <f>IFERROR(VLOOKUP(B61,'Statement of Marks'!$B$8:'Statement of Marks'!$HI$207,37,0),"")</f>
        <v>A</v>
      </c>
      <c r="BN61" s="17" t="str">
        <f>IFERROR(VLOOKUP(B61,'Statement of Marks'!$B$8:'Statement of Marks'!$HI$207,60,0),"")</f>
        <v>A</v>
      </c>
      <c r="BO61" s="17" t="str">
        <f>IFERROR(VLOOKUP(B61,'Statement of Marks'!$B$8:'Statement of Marks'!$HI$207,83,0),"")</f>
        <v>A</v>
      </c>
      <c r="BP61" s="17" t="str">
        <f>IFERROR(VLOOKUP(B61,'Statement of Marks'!$B$8:'Statement of Marks'!$HI$207,107,0),"")</f>
        <v/>
      </c>
    </row>
    <row r="62" spans="1:68">
      <c r="A62" s="806">
        <f>IF('Statement of Marks'!A61="","",'Statement of Marks'!A61)</f>
        <v>54</v>
      </c>
      <c r="B62" s="807" t="str">
        <f>IF(OR($E$3="",$P$3=""),"",IF('Statement of Marks'!B61="","",'Statement of Marks'!B61))</f>
        <v/>
      </c>
      <c r="C62" s="816" t="str">
        <f>IF(OR($E$3="",$P$3=""),"",IF('Marks Entry'!C61="","",'Marks Entry'!C61))</f>
        <v/>
      </c>
      <c r="D62" s="808" t="str">
        <f>IF(OR($E$3="",$P$3=""),"",IF('Statement of Marks'!C61="","",'Statement of Marks'!C61))</f>
        <v/>
      </c>
      <c r="E62" s="809" t="str">
        <f>IF(OR($E$3="",$P$3=""),"",IF('Statement of Marks'!D61="","",'Statement of Marks'!D61))</f>
        <v/>
      </c>
      <c r="F62" s="810" t="str">
        <f>IF(OR($E$3="",$P$3=""),"",IF('Statement of Marks'!E61="","",'Statement of Marks'!E61))</f>
        <v/>
      </c>
      <c r="G62" s="810" t="str">
        <f>IF(OR($E$3="",$P$3=""),"",IF('Statement of Marks'!F61="","",'Statement of Marks'!F61))</f>
        <v/>
      </c>
      <c r="H62" s="810" t="str">
        <f>IF(OR($E$3="",$P$3=""),"",IF('Statement of Marks'!G61="","",'Statement of Marks'!G61))</f>
        <v/>
      </c>
      <c r="I62" s="811" t="str">
        <f>IF(OR($E$3="",$P$3=""),"",IF('Statement of Marks'!H61="","",'Statement of Marks'!H61))</f>
        <v/>
      </c>
      <c r="J62" s="811" t="str">
        <f>IF(OR($E$3="",$P$3=""),"",IF('Statement of Marks'!I61="","",'Statement of Marks'!I61))</f>
        <v/>
      </c>
      <c r="K62" s="811" t="str">
        <f>IFERROR(IF(B62="","",IF($P$3=$AT$10,IF(AND(BM62="A"),'Marks Entry'!$U$2,IF(AND(BM62="B"),'Marks Entry'!$Y$2,IF(AND(BM62="C"),'Marks Entry'!$AA$2,""))),IF($P$3=$AT$11,IF(AND(BN62="A"),'Marks Entry'!$AC$2,IF(AND(BN62="B"),'Marks Entry'!$AG$2,IF(AND(BN62="C"),'Marks Entry'!$AI$2,""))),IF($P$3=$AT$12,IF(AND(BO62="A"),'Marks Entry'!$AK$2,IF(AND(BO62="B"),'Marks Entry'!$AO$2,IF(AND(BO62="C"),'Marks Entry'!$AQ$2,""))),IF($P$3=$AT$13,IF(AND(BP62="A"),'Marks Entry'!$AS$2,IF(AND(BP62="B"),'Marks Entry'!$AW$2,IF(AND(BP62="C"),'Marks Entry'!$AY$2,""))),"-"))))),"")</f>
        <v/>
      </c>
      <c r="L62" s="812" t="str">
        <f>IFERROR(IF(B62="","",IF($P$3=$AT$8,'Statement of Marks'!J61,IF($P$3=$AT$9,'Statement of Marks'!X61,IF($P$3=$AT$10,'Statement of Marks'!AM61,IF($P$3=$AT$11,'Statement of Marks'!BJ61,IF($P$3=$AT$12,'Statement of Marks'!CG61,IF($P$3=$AT$13,'Statement of Marks'!DE61,IF($P$3=$AT$14,"",IF($P$3=$AT$15,'Statement of Marks'!EY61,""))))))))),"")</f>
        <v/>
      </c>
      <c r="M62" s="812" t="str">
        <f>IFERROR(IF(B62="","",IF($P$3=$AT$8,'Statement of Marks'!K61,IF($P$3=$AT$9,'Statement of Marks'!Y61,IF($P$3=$AT$10,'Statement of Marks'!AN61,IF($P$3=$AT$11,'Statement of Marks'!BK61,IF($P$3=$AT$12,'Statement of Marks'!CH61,IF($P$3=$AT$13,'Statement of Marks'!DF61,IF($P$3=$AT$14,"",IF($P$3=$AT$15,'Statement of Marks'!EZ61,""))))))))),"")</f>
        <v/>
      </c>
      <c r="N62" s="812" t="str">
        <f>IFERROR(IF(B62="","",IF($P$3=$AT$8,'Statement of Marks'!L61,IF($P$3=$AT$9,'Statement of Marks'!Z61,IF($P$3=$AT$10,'Statement of Marks'!AO61,IF($P$3=$AT$11,'Statement of Marks'!BL61,IF($P$3=$AT$12,'Statement of Marks'!CI61,IF($P$3=$AT$13,'Statement of Marks'!DG61,IF($P$3=$AT$14,"",IF($P$3=$AT$15,'Statement of Marks'!FA61,""))))))))),"")</f>
        <v/>
      </c>
      <c r="O62" s="813" t="str">
        <f t="shared" si="4"/>
        <v/>
      </c>
      <c r="P62" s="812" t="str">
        <f>IFERROR(IF(B62="","",IF($P$3=$AT$8,'Statement of Marks'!N61,IF($P$3=$AT$9,'Statement of Marks'!AB61,IF($P$3=$AT$10,'Statement of Marks'!AQ61,IF($P$3=$AT$11,'Statement of Marks'!BN61,IF($P$3=$AT$12,'Statement of Marks'!CK61,IF($P$3=$AT$13,'Statement of Marks'!DI61,IF($P$3=$AT$14,"",IF($P$3=$AT$15,'Statement of Marks'!FC61,""))))))))),"")</f>
        <v/>
      </c>
      <c r="Q62" s="812" t="str">
        <f>IFERROR(IF(B62="","",IF($P$3=$AT$8,"",IF($P$3=$AT$9,"",IF($P$3=$AT$10,'Statement of Marks'!AR61,IF($P$3=$AT$11,'Statement of Marks'!BO61,IF($P$3=$AT$12,'Statement of Marks'!CL61,IF($P$3=$AT$13,'Statement of Marks'!DJ61,IF($P$3=$AT$14,"",IF($P$3=$AT$15,"",""))))))))),"")</f>
        <v/>
      </c>
      <c r="R62" s="824" t="str">
        <f>IFERROR(IF(B62="","",IF(AND(P62="",Q62="",$P$3=""),"",IF($P$3=$AT$14,'Statement of Marks'!EC61,SUM(P62,Q62)))),"")</f>
        <v/>
      </c>
      <c r="S62" s="823" t="str">
        <f>IFERROR(IF(B62="","",IF($P$3=$AT$14,'Statement of Marks'!ED61,IF(AND(O62="NA",P62="NA",Q62="NA"),"NA",IF(AND(O62="",P62="",Q62=""),"",SUM(O62,P62,Q62))))),"")</f>
        <v/>
      </c>
      <c r="T62" s="812" t="str">
        <f>IFERROR(IF(B62="","",IF($P$3=$AT$8,'Statement of Marks'!P61,IF($P$3=$AT$9,'Statement of Marks'!AD61,IF($P$3=$AT$10,'Statement of Marks'!AU61,IF($P$3=$AT$11,'Statement of Marks'!BR61,IF($P$3=$AT$12,'Statement of Marks'!CO61,IF($P$3=$AT$13,'Statement of Marks'!DM61,IF($P$3=$AT$14,"",IF($P$3=$AT$15,'Statement of Marks'!FD61,""))))))))),"")</f>
        <v/>
      </c>
      <c r="U62" s="812" t="str">
        <f>IFERROR(IF(B62="","",IF($P$3=$AT$8,"",IF($P$3=$AT$9,"",IF($P$3=$AT$10,'Statement of Marks'!AV61,IF($P$3=$AT$11,'Statement of Marks'!BS61,IF($P$3=$AT$12,'Statement of Marks'!CP61,IF($P$3=$AT$13,'Statement of Marks'!DN61,IF($P$3=$AT$14,"",IF($P$3=$AT$15,"",""))))))))),"")</f>
        <v/>
      </c>
      <c r="V62" s="824" t="str">
        <f>IFERROR(IF(B62="","",IF(AND(T62="",U62="",$P$3=""),"",IF($P$3=$AT$14,'Statement of Marks'!EE61,SUM(T62,U62)))),"")</f>
        <v/>
      </c>
      <c r="W62" s="814" t="str">
        <f t="shared" si="5"/>
        <v/>
      </c>
      <c r="X62" s="815">
        <f t="shared" si="6"/>
        <v>0</v>
      </c>
      <c r="Y62" s="815">
        <f t="shared" si="7"/>
        <v>0</v>
      </c>
      <c r="Z62" s="815">
        <f t="shared" si="8"/>
        <v>0</v>
      </c>
      <c r="AA62" s="815" t="str">
        <f t="shared" si="9"/>
        <v/>
      </c>
      <c r="AB62" s="815" t="str">
        <f t="shared" si="10"/>
        <v/>
      </c>
      <c r="AC62" s="815" t="str">
        <f t="shared" si="11"/>
        <v/>
      </c>
      <c r="AD62" s="815" t="str">
        <f t="shared" si="12"/>
        <v/>
      </c>
      <c r="AE62" s="816" t="str">
        <f t="shared" si="13"/>
        <v/>
      </c>
      <c r="AF62" s="817" t="str">
        <f t="shared" si="14"/>
        <v/>
      </c>
      <c r="AG62" s="818" t="str">
        <f t="shared" si="15"/>
        <v/>
      </c>
      <c r="AW62" s="17" t="str">
        <f t="shared" si="16"/>
        <v/>
      </c>
      <c r="AX62" s="17" t="str">
        <f t="shared" si="17"/>
        <v/>
      </c>
      <c r="BM62" s="17" t="str">
        <f>IFERROR(VLOOKUP(B62,'Statement of Marks'!$B$8:'Statement of Marks'!$HI$207,37,0),"")</f>
        <v>A</v>
      </c>
      <c r="BN62" s="17" t="str">
        <f>IFERROR(VLOOKUP(B62,'Statement of Marks'!$B$8:'Statement of Marks'!$HI$207,60,0),"")</f>
        <v>A</v>
      </c>
      <c r="BO62" s="17" t="str">
        <f>IFERROR(VLOOKUP(B62,'Statement of Marks'!$B$8:'Statement of Marks'!$HI$207,83,0),"")</f>
        <v>A</v>
      </c>
      <c r="BP62" s="17" t="str">
        <f>IFERROR(VLOOKUP(B62,'Statement of Marks'!$B$8:'Statement of Marks'!$HI$207,107,0),"")</f>
        <v/>
      </c>
    </row>
    <row r="63" spans="1:68">
      <c r="A63" s="806">
        <f>IF('Statement of Marks'!A62="","",'Statement of Marks'!A62)</f>
        <v>55</v>
      </c>
      <c r="B63" s="807" t="str">
        <f>IF(OR($E$3="",$P$3=""),"",IF('Statement of Marks'!B62="","",'Statement of Marks'!B62))</f>
        <v/>
      </c>
      <c r="C63" s="816" t="str">
        <f>IF(OR($E$3="",$P$3=""),"",IF('Marks Entry'!C62="","",'Marks Entry'!C62))</f>
        <v/>
      </c>
      <c r="D63" s="808" t="str">
        <f>IF(OR($E$3="",$P$3=""),"",IF('Statement of Marks'!C62="","",'Statement of Marks'!C62))</f>
        <v/>
      </c>
      <c r="E63" s="809" t="str">
        <f>IF(OR($E$3="",$P$3=""),"",IF('Statement of Marks'!D62="","",'Statement of Marks'!D62))</f>
        <v/>
      </c>
      <c r="F63" s="810" t="str">
        <f>IF(OR($E$3="",$P$3=""),"",IF('Statement of Marks'!E62="","",'Statement of Marks'!E62))</f>
        <v/>
      </c>
      <c r="G63" s="810" t="str">
        <f>IF(OR($E$3="",$P$3=""),"",IF('Statement of Marks'!F62="","",'Statement of Marks'!F62))</f>
        <v/>
      </c>
      <c r="H63" s="810" t="str">
        <f>IF(OR($E$3="",$P$3=""),"",IF('Statement of Marks'!G62="","",'Statement of Marks'!G62))</f>
        <v/>
      </c>
      <c r="I63" s="811" t="str">
        <f>IF(OR($E$3="",$P$3=""),"",IF('Statement of Marks'!H62="","",'Statement of Marks'!H62))</f>
        <v/>
      </c>
      <c r="J63" s="811" t="str">
        <f>IF(OR($E$3="",$P$3=""),"",IF('Statement of Marks'!I62="","",'Statement of Marks'!I62))</f>
        <v/>
      </c>
      <c r="K63" s="811" t="str">
        <f>IFERROR(IF(B63="","",IF($P$3=$AT$10,IF(AND(BM63="A"),'Marks Entry'!$U$2,IF(AND(BM63="B"),'Marks Entry'!$Y$2,IF(AND(BM63="C"),'Marks Entry'!$AA$2,""))),IF($P$3=$AT$11,IF(AND(BN63="A"),'Marks Entry'!$AC$2,IF(AND(BN63="B"),'Marks Entry'!$AG$2,IF(AND(BN63="C"),'Marks Entry'!$AI$2,""))),IF($P$3=$AT$12,IF(AND(BO63="A"),'Marks Entry'!$AK$2,IF(AND(BO63="B"),'Marks Entry'!$AO$2,IF(AND(BO63="C"),'Marks Entry'!$AQ$2,""))),IF($P$3=$AT$13,IF(AND(BP63="A"),'Marks Entry'!$AS$2,IF(AND(BP63="B"),'Marks Entry'!$AW$2,IF(AND(BP63="C"),'Marks Entry'!$AY$2,""))),"-"))))),"")</f>
        <v/>
      </c>
      <c r="L63" s="812" t="str">
        <f>IFERROR(IF(B63="","",IF($P$3=$AT$8,'Statement of Marks'!J62,IF($P$3=$AT$9,'Statement of Marks'!X62,IF($P$3=$AT$10,'Statement of Marks'!AM62,IF($P$3=$AT$11,'Statement of Marks'!BJ62,IF($P$3=$AT$12,'Statement of Marks'!CG62,IF($P$3=$AT$13,'Statement of Marks'!DE62,IF($P$3=$AT$14,"",IF($P$3=$AT$15,'Statement of Marks'!EY62,""))))))))),"")</f>
        <v/>
      </c>
      <c r="M63" s="812" t="str">
        <f>IFERROR(IF(B63="","",IF($P$3=$AT$8,'Statement of Marks'!K62,IF($P$3=$AT$9,'Statement of Marks'!Y62,IF($P$3=$AT$10,'Statement of Marks'!AN62,IF($P$3=$AT$11,'Statement of Marks'!BK62,IF($P$3=$AT$12,'Statement of Marks'!CH62,IF($P$3=$AT$13,'Statement of Marks'!DF62,IF($P$3=$AT$14,"",IF($P$3=$AT$15,'Statement of Marks'!EZ62,""))))))))),"")</f>
        <v/>
      </c>
      <c r="N63" s="812" t="str">
        <f>IFERROR(IF(B63="","",IF($P$3=$AT$8,'Statement of Marks'!L62,IF($P$3=$AT$9,'Statement of Marks'!Z62,IF($P$3=$AT$10,'Statement of Marks'!AO62,IF($P$3=$AT$11,'Statement of Marks'!BL62,IF($P$3=$AT$12,'Statement of Marks'!CI62,IF($P$3=$AT$13,'Statement of Marks'!DG62,IF($P$3=$AT$14,"",IF($P$3=$AT$15,'Statement of Marks'!FA62,""))))))))),"")</f>
        <v/>
      </c>
      <c r="O63" s="813" t="str">
        <f t="shared" si="4"/>
        <v/>
      </c>
      <c r="P63" s="812" t="str">
        <f>IFERROR(IF(B63="","",IF($P$3=$AT$8,'Statement of Marks'!N62,IF($P$3=$AT$9,'Statement of Marks'!AB62,IF($P$3=$AT$10,'Statement of Marks'!AQ62,IF($P$3=$AT$11,'Statement of Marks'!BN62,IF($P$3=$AT$12,'Statement of Marks'!CK62,IF($P$3=$AT$13,'Statement of Marks'!DI62,IF($P$3=$AT$14,"",IF($P$3=$AT$15,'Statement of Marks'!FC62,""))))))))),"")</f>
        <v/>
      </c>
      <c r="Q63" s="812" t="str">
        <f>IFERROR(IF(B63="","",IF($P$3=$AT$8,"",IF($P$3=$AT$9,"",IF($P$3=$AT$10,'Statement of Marks'!AR62,IF($P$3=$AT$11,'Statement of Marks'!BO62,IF($P$3=$AT$12,'Statement of Marks'!CL62,IF($P$3=$AT$13,'Statement of Marks'!DJ62,IF($P$3=$AT$14,"",IF($P$3=$AT$15,"",""))))))))),"")</f>
        <v/>
      </c>
      <c r="R63" s="824" t="str">
        <f>IFERROR(IF(B63="","",IF(AND(P63="",Q63="",$P$3=""),"",IF($P$3=$AT$14,'Statement of Marks'!EC62,SUM(P63,Q63)))),"")</f>
        <v/>
      </c>
      <c r="S63" s="823" t="str">
        <f>IFERROR(IF(B63="","",IF($P$3=$AT$14,'Statement of Marks'!ED62,IF(AND(O63="NA",P63="NA",Q63="NA"),"NA",IF(AND(O63="",P63="",Q63=""),"",SUM(O63,P63,Q63))))),"")</f>
        <v/>
      </c>
      <c r="T63" s="812" t="str">
        <f>IFERROR(IF(B63="","",IF($P$3=$AT$8,'Statement of Marks'!P62,IF($P$3=$AT$9,'Statement of Marks'!AD62,IF($P$3=$AT$10,'Statement of Marks'!AU62,IF($P$3=$AT$11,'Statement of Marks'!BR62,IF($P$3=$AT$12,'Statement of Marks'!CO62,IF($P$3=$AT$13,'Statement of Marks'!DM62,IF($P$3=$AT$14,"",IF($P$3=$AT$15,'Statement of Marks'!FD62,""))))))))),"")</f>
        <v/>
      </c>
      <c r="U63" s="812" t="str">
        <f>IFERROR(IF(B63="","",IF($P$3=$AT$8,"",IF($P$3=$AT$9,"",IF($P$3=$AT$10,'Statement of Marks'!AV62,IF($P$3=$AT$11,'Statement of Marks'!BS62,IF($P$3=$AT$12,'Statement of Marks'!CP62,IF($P$3=$AT$13,'Statement of Marks'!DN62,IF($P$3=$AT$14,"",IF($P$3=$AT$15,"",""))))))))),"")</f>
        <v/>
      </c>
      <c r="V63" s="824" t="str">
        <f>IFERROR(IF(B63="","",IF(AND(T63="",U63="",$P$3=""),"",IF($P$3=$AT$14,'Statement of Marks'!EE62,SUM(T63,U63)))),"")</f>
        <v/>
      </c>
      <c r="W63" s="814" t="str">
        <f t="shared" si="5"/>
        <v/>
      </c>
      <c r="X63" s="815">
        <f t="shared" si="6"/>
        <v>0</v>
      </c>
      <c r="Y63" s="815">
        <f t="shared" si="7"/>
        <v>0</v>
      </c>
      <c r="Z63" s="815">
        <f t="shared" si="8"/>
        <v>0</v>
      </c>
      <c r="AA63" s="815" t="str">
        <f t="shared" si="9"/>
        <v/>
      </c>
      <c r="AB63" s="815" t="str">
        <f t="shared" si="10"/>
        <v/>
      </c>
      <c r="AC63" s="815" t="str">
        <f t="shared" si="11"/>
        <v/>
      </c>
      <c r="AD63" s="815" t="str">
        <f t="shared" si="12"/>
        <v/>
      </c>
      <c r="AE63" s="816" t="str">
        <f t="shared" si="13"/>
        <v/>
      </c>
      <c r="AF63" s="817" t="str">
        <f t="shared" si="14"/>
        <v/>
      </c>
      <c r="AG63" s="818" t="str">
        <f t="shared" si="15"/>
        <v/>
      </c>
      <c r="AW63" s="17" t="str">
        <f t="shared" si="16"/>
        <v/>
      </c>
      <c r="AX63" s="17" t="str">
        <f t="shared" si="17"/>
        <v/>
      </c>
      <c r="BM63" s="17" t="str">
        <f>IFERROR(VLOOKUP(B63,'Statement of Marks'!$B$8:'Statement of Marks'!$HI$207,37,0),"")</f>
        <v>A</v>
      </c>
      <c r="BN63" s="17" t="str">
        <f>IFERROR(VLOOKUP(B63,'Statement of Marks'!$B$8:'Statement of Marks'!$HI$207,60,0),"")</f>
        <v>A</v>
      </c>
      <c r="BO63" s="17" t="str">
        <f>IFERROR(VLOOKUP(B63,'Statement of Marks'!$B$8:'Statement of Marks'!$HI$207,83,0),"")</f>
        <v>A</v>
      </c>
      <c r="BP63" s="17" t="str">
        <f>IFERROR(VLOOKUP(B63,'Statement of Marks'!$B$8:'Statement of Marks'!$HI$207,107,0),"")</f>
        <v/>
      </c>
    </row>
    <row r="64" spans="1:68">
      <c r="A64" s="806">
        <f>IF('Statement of Marks'!A63="","",'Statement of Marks'!A63)</f>
        <v>56</v>
      </c>
      <c r="B64" s="807" t="str">
        <f>IF(OR($E$3="",$P$3=""),"",IF('Statement of Marks'!B63="","",'Statement of Marks'!B63))</f>
        <v/>
      </c>
      <c r="C64" s="816" t="str">
        <f>IF(OR($E$3="",$P$3=""),"",IF('Marks Entry'!C63="","",'Marks Entry'!C63))</f>
        <v/>
      </c>
      <c r="D64" s="808" t="str">
        <f>IF(OR($E$3="",$P$3=""),"",IF('Statement of Marks'!C63="","",'Statement of Marks'!C63))</f>
        <v/>
      </c>
      <c r="E64" s="809" t="str">
        <f>IF(OR($E$3="",$P$3=""),"",IF('Statement of Marks'!D63="","",'Statement of Marks'!D63))</f>
        <v/>
      </c>
      <c r="F64" s="810" t="str">
        <f>IF(OR($E$3="",$P$3=""),"",IF('Statement of Marks'!E63="","",'Statement of Marks'!E63))</f>
        <v/>
      </c>
      <c r="G64" s="810" t="str">
        <f>IF(OR($E$3="",$P$3=""),"",IF('Statement of Marks'!F63="","",'Statement of Marks'!F63))</f>
        <v/>
      </c>
      <c r="H64" s="810" t="str">
        <f>IF(OR($E$3="",$P$3=""),"",IF('Statement of Marks'!G63="","",'Statement of Marks'!G63))</f>
        <v/>
      </c>
      <c r="I64" s="811" t="str">
        <f>IF(OR($E$3="",$P$3=""),"",IF('Statement of Marks'!H63="","",'Statement of Marks'!H63))</f>
        <v/>
      </c>
      <c r="J64" s="811" t="str">
        <f>IF(OR($E$3="",$P$3=""),"",IF('Statement of Marks'!I63="","",'Statement of Marks'!I63))</f>
        <v/>
      </c>
      <c r="K64" s="811" t="str">
        <f>IFERROR(IF(B64="","",IF($P$3=$AT$10,IF(AND(BM64="A"),'Marks Entry'!$U$2,IF(AND(BM64="B"),'Marks Entry'!$Y$2,IF(AND(BM64="C"),'Marks Entry'!$AA$2,""))),IF($P$3=$AT$11,IF(AND(BN64="A"),'Marks Entry'!$AC$2,IF(AND(BN64="B"),'Marks Entry'!$AG$2,IF(AND(BN64="C"),'Marks Entry'!$AI$2,""))),IF($P$3=$AT$12,IF(AND(BO64="A"),'Marks Entry'!$AK$2,IF(AND(BO64="B"),'Marks Entry'!$AO$2,IF(AND(BO64="C"),'Marks Entry'!$AQ$2,""))),IF($P$3=$AT$13,IF(AND(BP64="A"),'Marks Entry'!$AS$2,IF(AND(BP64="B"),'Marks Entry'!$AW$2,IF(AND(BP64="C"),'Marks Entry'!$AY$2,""))),"-"))))),"")</f>
        <v/>
      </c>
      <c r="L64" s="812" t="str">
        <f>IFERROR(IF(B64="","",IF($P$3=$AT$8,'Statement of Marks'!J63,IF($P$3=$AT$9,'Statement of Marks'!X63,IF($P$3=$AT$10,'Statement of Marks'!AM63,IF($P$3=$AT$11,'Statement of Marks'!BJ63,IF($P$3=$AT$12,'Statement of Marks'!CG63,IF($P$3=$AT$13,'Statement of Marks'!DE63,IF($P$3=$AT$14,"",IF($P$3=$AT$15,'Statement of Marks'!EY63,""))))))))),"")</f>
        <v/>
      </c>
      <c r="M64" s="812" t="str">
        <f>IFERROR(IF(B64="","",IF($P$3=$AT$8,'Statement of Marks'!K63,IF($P$3=$AT$9,'Statement of Marks'!Y63,IF($P$3=$AT$10,'Statement of Marks'!AN63,IF($P$3=$AT$11,'Statement of Marks'!BK63,IF($P$3=$AT$12,'Statement of Marks'!CH63,IF($P$3=$AT$13,'Statement of Marks'!DF63,IF($P$3=$AT$14,"",IF($P$3=$AT$15,'Statement of Marks'!EZ63,""))))))))),"")</f>
        <v/>
      </c>
      <c r="N64" s="812" t="str">
        <f>IFERROR(IF(B64="","",IF($P$3=$AT$8,'Statement of Marks'!L63,IF($P$3=$AT$9,'Statement of Marks'!Z63,IF($P$3=$AT$10,'Statement of Marks'!AO63,IF($P$3=$AT$11,'Statement of Marks'!BL63,IF($P$3=$AT$12,'Statement of Marks'!CI63,IF($P$3=$AT$13,'Statement of Marks'!DG63,IF($P$3=$AT$14,"",IF($P$3=$AT$15,'Statement of Marks'!FA63,""))))))))),"")</f>
        <v/>
      </c>
      <c r="O64" s="813" t="str">
        <f t="shared" si="4"/>
        <v/>
      </c>
      <c r="P64" s="812" t="str">
        <f>IFERROR(IF(B64="","",IF($P$3=$AT$8,'Statement of Marks'!N63,IF($P$3=$AT$9,'Statement of Marks'!AB63,IF($P$3=$AT$10,'Statement of Marks'!AQ63,IF($P$3=$AT$11,'Statement of Marks'!BN63,IF($P$3=$AT$12,'Statement of Marks'!CK63,IF($P$3=$AT$13,'Statement of Marks'!DI63,IF($P$3=$AT$14,"",IF($P$3=$AT$15,'Statement of Marks'!FC63,""))))))))),"")</f>
        <v/>
      </c>
      <c r="Q64" s="812" t="str">
        <f>IFERROR(IF(B64="","",IF($P$3=$AT$8,"",IF($P$3=$AT$9,"",IF($P$3=$AT$10,'Statement of Marks'!AR63,IF($P$3=$AT$11,'Statement of Marks'!BO63,IF($P$3=$AT$12,'Statement of Marks'!CL63,IF($P$3=$AT$13,'Statement of Marks'!DJ63,IF($P$3=$AT$14,"",IF($P$3=$AT$15,"",""))))))))),"")</f>
        <v/>
      </c>
      <c r="R64" s="824" t="str">
        <f>IFERROR(IF(B64="","",IF(AND(P64="",Q64="",$P$3=""),"",IF($P$3=$AT$14,'Statement of Marks'!EC63,SUM(P64,Q64)))),"")</f>
        <v/>
      </c>
      <c r="S64" s="823" t="str">
        <f>IFERROR(IF(B64="","",IF($P$3=$AT$14,'Statement of Marks'!ED63,IF(AND(O64="NA",P64="NA",Q64="NA"),"NA",IF(AND(O64="",P64="",Q64=""),"",SUM(O64,P64,Q64))))),"")</f>
        <v/>
      </c>
      <c r="T64" s="812" t="str">
        <f>IFERROR(IF(B64="","",IF($P$3=$AT$8,'Statement of Marks'!P63,IF($P$3=$AT$9,'Statement of Marks'!AD63,IF($P$3=$AT$10,'Statement of Marks'!AU63,IF($P$3=$AT$11,'Statement of Marks'!BR63,IF($P$3=$AT$12,'Statement of Marks'!CO63,IF($P$3=$AT$13,'Statement of Marks'!DM63,IF($P$3=$AT$14,"",IF($P$3=$AT$15,'Statement of Marks'!FD63,""))))))))),"")</f>
        <v/>
      </c>
      <c r="U64" s="812" t="str">
        <f>IFERROR(IF(B64="","",IF($P$3=$AT$8,"",IF($P$3=$AT$9,"",IF($P$3=$AT$10,'Statement of Marks'!AV63,IF($P$3=$AT$11,'Statement of Marks'!BS63,IF($P$3=$AT$12,'Statement of Marks'!CP63,IF($P$3=$AT$13,'Statement of Marks'!DN63,IF($P$3=$AT$14,"",IF($P$3=$AT$15,"",""))))))))),"")</f>
        <v/>
      </c>
      <c r="V64" s="824" t="str">
        <f>IFERROR(IF(B64="","",IF(AND(T64="",U64="",$P$3=""),"",IF($P$3=$AT$14,'Statement of Marks'!EE63,SUM(T64,U64)))),"")</f>
        <v/>
      </c>
      <c r="W64" s="814" t="str">
        <f t="shared" si="5"/>
        <v/>
      </c>
      <c r="X64" s="815">
        <f t="shared" si="6"/>
        <v>0</v>
      </c>
      <c r="Y64" s="815">
        <f t="shared" si="7"/>
        <v>0</v>
      </c>
      <c r="Z64" s="815">
        <f t="shared" si="8"/>
        <v>0</v>
      </c>
      <c r="AA64" s="815" t="str">
        <f t="shared" si="9"/>
        <v/>
      </c>
      <c r="AB64" s="815" t="str">
        <f t="shared" si="10"/>
        <v/>
      </c>
      <c r="AC64" s="815" t="str">
        <f t="shared" si="11"/>
        <v/>
      </c>
      <c r="AD64" s="815" t="str">
        <f t="shared" si="12"/>
        <v/>
      </c>
      <c r="AE64" s="816" t="str">
        <f t="shared" si="13"/>
        <v/>
      </c>
      <c r="AF64" s="817" t="str">
        <f t="shared" si="14"/>
        <v/>
      </c>
      <c r="AG64" s="818" t="str">
        <f t="shared" si="15"/>
        <v/>
      </c>
      <c r="AW64" s="17" t="str">
        <f t="shared" si="16"/>
        <v/>
      </c>
      <c r="AX64" s="17" t="str">
        <f t="shared" si="17"/>
        <v/>
      </c>
      <c r="BM64" s="17" t="str">
        <f>IFERROR(VLOOKUP(B64,'Statement of Marks'!$B$8:'Statement of Marks'!$HI$207,37,0),"")</f>
        <v>A</v>
      </c>
      <c r="BN64" s="17" t="str">
        <f>IFERROR(VLOOKUP(B64,'Statement of Marks'!$B$8:'Statement of Marks'!$HI$207,60,0),"")</f>
        <v>A</v>
      </c>
      <c r="BO64" s="17" t="str">
        <f>IFERROR(VLOOKUP(B64,'Statement of Marks'!$B$8:'Statement of Marks'!$HI$207,83,0),"")</f>
        <v>A</v>
      </c>
      <c r="BP64" s="17" t="str">
        <f>IFERROR(VLOOKUP(B64,'Statement of Marks'!$B$8:'Statement of Marks'!$HI$207,107,0),"")</f>
        <v/>
      </c>
    </row>
    <row r="65" spans="1:68">
      <c r="A65" s="806">
        <f>IF('Statement of Marks'!A64="","",'Statement of Marks'!A64)</f>
        <v>57</v>
      </c>
      <c r="B65" s="807" t="str">
        <f>IF(OR($E$3="",$P$3=""),"",IF('Statement of Marks'!B64="","",'Statement of Marks'!B64))</f>
        <v/>
      </c>
      <c r="C65" s="816" t="str">
        <f>IF(OR($E$3="",$P$3=""),"",IF('Marks Entry'!C64="","",'Marks Entry'!C64))</f>
        <v/>
      </c>
      <c r="D65" s="808" t="str">
        <f>IF(OR($E$3="",$P$3=""),"",IF('Statement of Marks'!C64="","",'Statement of Marks'!C64))</f>
        <v/>
      </c>
      <c r="E65" s="809" t="str">
        <f>IF(OR($E$3="",$P$3=""),"",IF('Statement of Marks'!D64="","",'Statement of Marks'!D64))</f>
        <v/>
      </c>
      <c r="F65" s="810" t="str">
        <f>IF(OR($E$3="",$P$3=""),"",IF('Statement of Marks'!E64="","",'Statement of Marks'!E64))</f>
        <v/>
      </c>
      <c r="G65" s="810" t="str">
        <f>IF(OR($E$3="",$P$3=""),"",IF('Statement of Marks'!F64="","",'Statement of Marks'!F64))</f>
        <v/>
      </c>
      <c r="H65" s="810" t="str">
        <f>IF(OR($E$3="",$P$3=""),"",IF('Statement of Marks'!G64="","",'Statement of Marks'!G64))</f>
        <v/>
      </c>
      <c r="I65" s="811" t="str">
        <f>IF(OR($E$3="",$P$3=""),"",IF('Statement of Marks'!H64="","",'Statement of Marks'!H64))</f>
        <v/>
      </c>
      <c r="J65" s="811" t="str">
        <f>IF(OR($E$3="",$P$3=""),"",IF('Statement of Marks'!I64="","",'Statement of Marks'!I64))</f>
        <v/>
      </c>
      <c r="K65" s="811" t="str">
        <f>IFERROR(IF(B65="","",IF($P$3=$AT$10,IF(AND(BM65="A"),'Marks Entry'!$U$2,IF(AND(BM65="B"),'Marks Entry'!$Y$2,IF(AND(BM65="C"),'Marks Entry'!$AA$2,""))),IF($P$3=$AT$11,IF(AND(BN65="A"),'Marks Entry'!$AC$2,IF(AND(BN65="B"),'Marks Entry'!$AG$2,IF(AND(BN65="C"),'Marks Entry'!$AI$2,""))),IF($P$3=$AT$12,IF(AND(BO65="A"),'Marks Entry'!$AK$2,IF(AND(BO65="B"),'Marks Entry'!$AO$2,IF(AND(BO65="C"),'Marks Entry'!$AQ$2,""))),IF($P$3=$AT$13,IF(AND(BP65="A"),'Marks Entry'!$AS$2,IF(AND(BP65="B"),'Marks Entry'!$AW$2,IF(AND(BP65="C"),'Marks Entry'!$AY$2,""))),"-"))))),"")</f>
        <v/>
      </c>
      <c r="L65" s="812" t="str">
        <f>IFERROR(IF(B65="","",IF($P$3=$AT$8,'Statement of Marks'!J64,IF($P$3=$AT$9,'Statement of Marks'!X64,IF($P$3=$AT$10,'Statement of Marks'!AM64,IF($P$3=$AT$11,'Statement of Marks'!BJ64,IF($P$3=$AT$12,'Statement of Marks'!CG64,IF($P$3=$AT$13,'Statement of Marks'!DE64,IF($P$3=$AT$14,"",IF($P$3=$AT$15,'Statement of Marks'!EY64,""))))))))),"")</f>
        <v/>
      </c>
      <c r="M65" s="812" t="str">
        <f>IFERROR(IF(B65="","",IF($P$3=$AT$8,'Statement of Marks'!K64,IF($P$3=$AT$9,'Statement of Marks'!Y64,IF($P$3=$AT$10,'Statement of Marks'!AN64,IF($P$3=$AT$11,'Statement of Marks'!BK64,IF($P$3=$AT$12,'Statement of Marks'!CH64,IF($P$3=$AT$13,'Statement of Marks'!DF64,IF($P$3=$AT$14,"",IF($P$3=$AT$15,'Statement of Marks'!EZ64,""))))))))),"")</f>
        <v/>
      </c>
      <c r="N65" s="812" t="str">
        <f>IFERROR(IF(B65="","",IF($P$3=$AT$8,'Statement of Marks'!L64,IF($P$3=$AT$9,'Statement of Marks'!Z64,IF($P$3=$AT$10,'Statement of Marks'!AO64,IF($P$3=$AT$11,'Statement of Marks'!BL64,IF($P$3=$AT$12,'Statement of Marks'!CI64,IF($P$3=$AT$13,'Statement of Marks'!DG64,IF($P$3=$AT$14,"",IF($P$3=$AT$15,'Statement of Marks'!FA64,""))))))))),"")</f>
        <v/>
      </c>
      <c r="O65" s="813" t="str">
        <f t="shared" si="4"/>
        <v/>
      </c>
      <c r="P65" s="812" t="str">
        <f>IFERROR(IF(B65="","",IF($P$3=$AT$8,'Statement of Marks'!N64,IF($P$3=$AT$9,'Statement of Marks'!AB64,IF($P$3=$AT$10,'Statement of Marks'!AQ64,IF($P$3=$AT$11,'Statement of Marks'!BN64,IF($P$3=$AT$12,'Statement of Marks'!CK64,IF($P$3=$AT$13,'Statement of Marks'!DI64,IF($P$3=$AT$14,"",IF($P$3=$AT$15,'Statement of Marks'!FC64,""))))))))),"")</f>
        <v/>
      </c>
      <c r="Q65" s="812" t="str">
        <f>IFERROR(IF(B65="","",IF($P$3=$AT$8,"",IF($P$3=$AT$9,"",IF($P$3=$AT$10,'Statement of Marks'!AR64,IF($P$3=$AT$11,'Statement of Marks'!BO64,IF($P$3=$AT$12,'Statement of Marks'!CL64,IF($P$3=$AT$13,'Statement of Marks'!DJ64,IF($P$3=$AT$14,"",IF($P$3=$AT$15,"",""))))))))),"")</f>
        <v/>
      </c>
      <c r="R65" s="824" t="str">
        <f>IFERROR(IF(B65="","",IF(AND(P65="",Q65="",$P$3=""),"",IF($P$3=$AT$14,'Statement of Marks'!EC64,SUM(P65,Q65)))),"")</f>
        <v/>
      </c>
      <c r="S65" s="823" t="str">
        <f>IFERROR(IF(B65="","",IF($P$3=$AT$14,'Statement of Marks'!ED64,IF(AND(O65="NA",P65="NA",Q65="NA"),"NA",IF(AND(O65="",P65="",Q65=""),"",SUM(O65,P65,Q65))))),"")</f>
        <v/>
      </c>
      <c r="T65" s="812" t="str">
        <f>IFERROR(IF(B65="","",IF($P$3=$AT$8,'Statement of Marks'!P64,IF($P$3=$AT$9,'Statement of Marks'!AD64,IF($P$3=$AT$10,'Statement of Marks'!AU64,IF($P$3=$AT$11,'Statement of Marks'!BR64,IF($P$3=$AT$12,'Statement of Marks'!CO64,IF($P$3=$AT$13,'Statement of Marks'!DM64,IF($P$3=$AT$14,"",IF($P$3=$AT$15,'Statement of Marks'!FD64,""))))))))),"")</f>
        <v/>
      </c>
      <c r="U65" s="812" t="str">
        <f>IFERROR(IF(B65="","",IF($P$3=$AT$8,"",IF($P$3=$AT$9,"",IF($P$3=$AT$10,'Statement of Marks'!AV64,IF($P$3=$AT$11,'Statement of Marks'!BS64,IF($P$3=$AT$12,'Statement of Marks'!CP64,IF($P$3=$AT$13,'Statement of Marks'!DN64,IF($P$3=$AT$14,"",IF($P$3=$AT$15,"",""))))))))),"")</f>
        <v/>
      </c>
      <c r="V65" s="824" t="str">
        <f>IFERROR(IF(B65="","",IF(AND(T65="",U65="",$P$3=""),"",IF($P$3=$AT$14,'Statement of Marks'!EE64,SUM(T65,U65)))),"")</f>
        <v/>
      </c>
      <c r="W65" s="814" t="str">
        <f t="shared" si="5"/>
        <v/>
      </c>
      <c r="X65" s="815">
        <f t="shared" si="6"/>
        <v>0</v>
      </c>
      <c r="Y65" s="815">
        <f t="shared" si="7"/>
        <v>0</v>
      </c>
      <c r="Z65" s="815">
        <f t="shared" si="8"/>
        <v>0</v>
      </c>
      <c r="AA65" s="815" t="str">
        <f t="shared" si="9"/>
        <v/>
      </c>
      <c r="AB65" s="815" t="str">
        <f t="shared" si="10"/>
        <v/>
      </c>
      <c r="AC65" s="815" t="str">
        <f t="shared" si="11"/>
        <v/>
      </c>
      <c r="AD65" s="815" t="str">
        <f t="shared" si="12"/>
        <v/>
      </c>
      <c r="AE65" s="816" t="str">
        <f t="shared" si="13"/>
        <v/>
      </c>
      <c r="AF65" s="817" t="str">
        <f t="shared" si="14"/>
        <v/>
      </c>
      <c r="AG65" s="818" t="str">
        <f t="shared" si="15"/>
        <v/>
      </c>
      <c r="AW65" s="17" t="str">
        <f t="shared" si="16"/>
        <v/>
      </c>
      <c r="AX65" s="17" t="str">
        <f t="shared" si="17"/>
        <v/>
      </c>
      <c r="BM65" s="17" t="str">
        <f>IFERROR(VLOOKUP(B65,'Statement of Marks'!$B$8:'Statement of Marks'!$HI$207,37,0),"")</f>
        <v>A</v>
      </c>
      <c r="BN65" s="17" t="str">
        <f>IFERROR(VLOOKUP(B65,'Statement of Marks'!$B$8:'Statement of Marks'!$HI$207,60,0),"")</f>
        <v>A</v>
      </c>
      <c r="BO65" s="17" t="str">
        <f>IFERROR(VLOOKUP(B65,'Statement of Marks'!$B$8:'Statement of Marks'!$HI$207,83,0),"")</f>
        <v>A</v>
      </c>
      <c r="BP65" s="17" t="str">
        <f>IFERROR(VLOOKUP(B65,'Statement of Marks'!$B$8:'Statement of Marks'!$HI$207,107,0),"")</f>
        <v/>
      </c>
    </row>
    <row r="66" spans="1:68">
      <c r="A66" s="806">
        <f>IF('Statement of Marks'!A65="","",'Statement of Marks'!A65)</f>
        <v>58</v>
      </c>
      <c r="B66" s="807" t="str">
        <f>IF(OR($E$3="",$P$3=""),"",IF('Statement of Marks'!B65="","",'Statement of Marks'!B65))</f>
        <v/>
      </c>
      <c r="C66" s="816" t="str">
        <f>IF(OR($E$3="",$P$3=""),"",IF('Marks Entry'!C65="","",'Marks Entry'!C65))</f>
        <v/>
      </c>
      <c r="D66" s="808" t="str">
        <f>IF(OR($E$3="",$P$3=""),"",IF('Statement of Marks'!C65="","",'Statement of Marks'!C65))</f>
        <v/>
      </c>
      <c r="E66" s="809" t="str">
        <f>IF(OR($E$3="",$P$3=""),"",IF('Statement of Marks'!D65="","",'Statement of Marks'!D65))</f>
        <v/>
      </c>
      <c r="F66" s="810" t="str">
        <f>IF(OR($E$3="",$P$3=""),"",IF('Statement of Marks'!E65="","",'Statement of Marks'!E65))</f>
        <v/>
      </c>
      <c r="G66" s="810" t="str">
        <f>IF(OR($E$3="",$P$3=""),"",IF('Statement of Marks'!F65="","",'Statement of Marks'!F65))</f>
        <v/>
      </c>
      <c r="H66" s="810" t="str">
        <f>IF(OR($E$3="",$P$3=""),"",IF('Statement of Marks'!G65="","",'Statement of Marks'!G65))</f>
        <v/>
      </c>
      <c r="I66" s="811" t="str">
        <f>IF(OR($E$3="",$P$3=""),"",IF('Statement of Marks'!H65="","",'Statement of Marks'!H65))</f>
        <v/>
      </c>
      <c r="J66" s="811" t="str">
        <f>IF(OR($E$3="",$P$3=""),"",IF('Statement of Marks'!I65="","",'Statement of Marks'!I65))</f>
        <v/>
      </c>
      <c r="K66" s="811" t="str">
        <f>IFERROR(IF(B66="","",IF($P$3=$AT$10,IF(AND(BM66="A"),'Marks Entry'!$U$2,IF(AND(BM66="B"),'Marks Entry'!$Y$2,IF(AND(BM66="C"),'Marks Entry'!$AA$2,""))),IF($P$3=$AT$11,IF(AND(BN66="A"),'Marks Entry'!$AC$2,IF(AND(BN66="B"),'Marks Entry'!$AG$2,IF(AND(BN66="C"),'Marks Entry'!$AI$2,""))),IF($P$3=$AT$12,IF(AND(BO66="A"),'Marks Entry'!$AK$2,IF(AND(BO66="B"),'Marks Entry'!$AO$2,IF(AND(BO66="C"),'Marks Entry'!$AQ$2,""))),IF($P$3=$AT$13,IF(AND(BP66="A"),'Marks Entry'!$AS$2,IF(AND(BP66="B"),'Marks Entry'!$AW$2,IF(AND(BP66="C"),'Marks Entry'!$AY$2,""))),"-"))))),"")</f>
        <v/>
      </c>
      <c r="L66" s="812" t="str">
        <f>IFERROR(IF(B66="","",IF($P$3=$AT$8,'Statement of Marks'!J65,IF($P$3=$AT$9,'Statement of Marks'!X65,IF($P$3=$AT$10,'Statement of Marks'!AM65,IF($P$3=$AT$11,'Statement of Marks'!BJ65,IF($P$3=$AT$12,'Statement of Marks'!CG65,IF($P$3=$AT$13,'Statement of Marks'!DE65,IF($P$3=$AT$14,"",IF($P$3=$AT$15,'Statement of Marks'!EY65,""))))))))),"")</f>
        <v/>
      </c>
      <c r="M66" s="812" t="str">
        <f>IFERROR(IF(B66="","",IF($P$3=$AT$8,'Statement of Marks'!K65,IF($P$3=$AT$9,'Statement of Marks'!Y65,IF($P$3=$AT$10,'Statement of Marks'!AN65,IF($P$3=$AT$11,'Statement of Marks'!BK65,IF($P$3=$AT$12,'Statement of Marks'!CH65,IF($P$3=$AT$13,'Statement of Marks'!DF65,IF($P$3=$AT$14,"",IF($P$3=$AT$15,'Statement of Marks'!EZ65,""))))))))),"")</f>
        <v/>
      </c>
      <c r="N66" s="812" t="str">
        <f>IFERROR(IF(B66="","",IF($P$3=$AT$8,'Statement of Marks'!L65,IF($P$3=$AT$9,'Statement of Marks'!Z65,IF($P$3=$AT$10,'Statement of Marks'!AO65,IF($P$3=$AT$11,'Statement of Marks'!BL65,IF($P$3=$AT$12,'Statement of Marks'!CI65,IF($P$3=$AT$13,'Statement of Marks'!DG65,IF($P$3=$AT$14,"",IF($P$3=$AT$15,'Statement of Marks'!FA65,""))))))))),"")</f>
        <v/>
      </c>
      <c r="O66" s="813" t="str">
        <f t="shared" si="4"/>
        <v/>
      </c>
      <c r="P66" s="812" t="str">
        <f>IFERROR(IF(B66="","",IF($P$3=$AT$8,'Statement of Marks'!N65,IF($P$3=$AT$9,'Statement of Marks'!AB65,IF($P$3=$AT$10,'Statement of Marks'!AQ65,IF($P$3=$AT$11,'Statement of Marks'!BN65,IF($P$3=$AT$12,'Statement of Marks'!CK65,IF($P$3=$AT$13,'Statement of Marks'!DI65,IF($P$3=$AT$14,"",IF($P$3=$AT$15,'Statement of Marks'!FC65,""))))))))),"")</f>
        <v/>
      </c>
      <c r="Q66" s="812" t="str">
        <f>IFERROR(IF(B66="","",IF($P$3=$AT$8,"",IF($P$3=$AT$9,"",IF($P$3=$AT$10,'Statement of Marks'!AR65,IF($P$3=$AT$11,'Statement of Marks'!BO65,IF($P$3=$AT$12,'Statement of Marks'!CL65,IF($P$3=$AT$13,'Statement of Marks'!DJ65,IF($P$3=$AT$14,"",IF($P$3=$AT$15,"",""))))))))),"")</f>
        <v/>
      </c>
      <c r="R66" s="824" t="str">
        <f>IFERROR(IF(B66="","",IF(AND(P66="",Q66="",$P$3=""),"",IF($P$3=$AT$14,'Statement of Marks'!EC65,SUM(P66,Q66)))),"")</f>
        <v/>
      </c>
      <c r="S66" s="823" t="str">
        <f>IFERROR(IF(B66="","",IF($P$3=$AT$14,'Statement of Marks'!ED65,IF(AND(O66="NA",P66="NA",Q66="NA"),"NA",IF(AND(O66="",P66="",Q66=""),"",SUM(O66,P66,Q66))))),"")</f>
        <v/>
      </c>
      <c r="T66" s="812" t="str">
        <f>IFERROR(IF(B66="","",IF($P$3=$AT$8,'Statement of Marks'!P65,IF($P$3=$AT$9,'Statement of Marks'!AD65,IF($P$3=$AT$10,'Statement of Marks'!AU65,IF($P$3=$AT$11,'Statement of Marks'!BR65,IF($P$3=$AT$12,'Statement of Marks'!CO65,IF($P$3=$AT$13,'Statement of Marks'!DM65,IF($P$3=$AT$14,"",IF($P$3=$AT$15,'Statement of Marks'!FD65,""))))))))),"")</f>
        <v/>
      </c>
      <c r="U66" s="812" t="str">
        <f>IFERROR(IF(B66="","",IF($P$3=$AT$8,"",IF($P$3=$AT$9,"",IF($P$3=$AT$10,'Statement of Marks'!AV65,IF($P$3=$AT$11,'Statement of Marks'!BS65,IF($P$3=$AT$12,'Statement of Marks'!CP65,IF($P$3=$AT$13,'Statement of Marks'!DN65,IF($P$3=$AT$14,"",IF($P$3=$AT$15,"",""))))))))),"")</f>
        <v/>
      </c>
      <c r="V66" s="824" t="str">
        <f>IFERROR(IF(B66="","",IF(AND(T66="",U66="",$P$3=""),"",IF($P$3=$AT$14,'Statement of Marks'!EE65,SUM(T66,U66)))),"")</f>
        <v/>
      </c>
      <c r="W66" s="814" t="str">
        <f t="shared" si="5"/>
        <v/>
      </c>
      <c r="X66" s="815">
        <f t="shared" si="6"/>
        <v>0</v>
      </c>
      <c r="Y66" s="815">
        <f t="shared" si="7"/>
        <v>0</v>
      </c>
      <c r="Z66" s="815">
        <f t="shared" si="8"/>
        <v>0</v>
      </c>
      <c r="AA66" s="815" t="str">
        <f t="shared" si="9"/>
        <v/>
      </c>
      <c r="AB66" s="815" t="str">
        <f t="shared" si="10"/>
        <v/>
      </c>
      <c r="AC66" s="815" t="str">
        <f t="shared" si="11"/>
        <v/>
      </c>
      <c r="AD66" s="815" t="str">
        <f t="shared" si="12"/>
        <v/>
      </c>
      <c r="AE66" s="816" t="str">
        <f t="shared" si="13"/>
        <v/>
      </c>
      <c r="AF66" s="817" t="str">
        <f t="shared" si="14"/>
        <v/>
      </c>
      <c r="AG66" s="818" t="str">
        <f t="shared" si="15"/>
        <v/>
      </c>
      <c r="AW66" s="17" t="str">
        <f t="shared" si="16"/>
        <v/>
      </c>
      <c r="AX66" s="17" t="str">
        <f t="shared" si="17"/>
        <v/>
      </c>
      <c r="BM66" s="17" t="str">
        <f>IFERROR(VLOOKUP(B66,'Statement of Marks'!$B$8:'Statement of Marks'!$HI$207,37,0),"")</f>
        <v>A</v>
      </c>
      <c r="BN66" s="17" t="str">
        <f>IFERROR(VLOOKUP(B66,'Statement of Marks'!$B$8:'Statement of Marks'!$HI$207,60,0),"")</f>
        <v>A</v>
      </c>
      <c r="BO66" s="17" t="str">
        <f>IFERROR(VLOOKUP(B66,'Statement of Marks'!$B$8:'Statement of Marks'!$HI$207,83,0),"")</f>
        <v>A</v>
      </c>
      <c r="BP66" s="17" t="str">
        <f>IFERROR(VLOOKUP(B66,'Statement of Marks'!$B$8:'Statement of Marks'!$HI$207,107,0),"")</f>
        <v/>
      </c>
    </row>
    <row r="67" spans="1:68">
      <c r="A67" s="806">
        <f>IF('Statement of Marks'!A66="","",'Statement of Marks'!A66)</f>
        <v>59</v>
      </c>
      <c r="B67" s="807" t="str">
        <f>IF(OR($E$3="",$P$3=""),"",IF('Statement of Marks'!B66="","",'Statement of Marks'!B66))</f>
        <v/>
      </c>
      <c r="C67" s="816" t="str">
        <f>IF(OR($E$3="",$P$3=""),"",IF('Marks Entry'!C66="","",'Marks Entry'!C66))</f>
        <v/>
      </c>
      <c r="D67" s="808" t="str">
        <f>IF(OR($E$3="",$P$3=""),"",IF('Statement of Marks'!C66="","",'Statement of Marks'!C66))</f>
        <v/>
      </c>
      <c r="E67" s="809" t="str">
        <f>IF(OR($E$3="",$P$3=""),"",IF('Statement of Marks'!D66="","",'Statement of Marks'!D66))</f>
        <v/>
      </c>
      <c r="F67" s="810" t="str">
        <f>IF(OR($E$3="",$P$3=""),"",IF('Statement of Marks'!E66="","",'Statement of Marks'!E66))</f>
        <v/>
      </c>
      <c r="G67" s="810" t="str">
        <f>IF(OR($E$3="",$P$3=""),"",IF('Statement of Marks'!F66="","",'Statement of Marks'!F66))</f>
        <v/>
      </c>
      <c r="H67" s="810" t="str">
        <f>IF(OR($E$3="",$P$3=""),"",IF('Statement of Marks'!G66="","",'Statement of Marks'!G66))</f>
        <v/>
      </c>
      <c r="I67" s="811" t="str">
        <f>IF(OR($E$3="",$P$3=""),"",IF('Statement of Marks'!H66="","",'Statement of Marks'!H66))</f>
        <v/>
      </c>
      <c r="J67" s="811" t="str">
        <f>IF(OR($E$3="",$P$3=""),"",IF('Statement of Marks'!I66="","",'Statement of Marks'!I66))</f>
        <v/>
      </c>
      <c r="K67" s="811" t="str">
        <f>IFERROR(IF(B67="","",IF($P$3=$AT$10,IF(AND(BM67="A"),'Marks Entry'!$U$2,IF(AND(BM67="B"),'Marks Entry'!$Y$2,IF(AND(BM67="C"),'Marks Entry'!$AA$2,""))),IF($P$3=$AT$11,IF(AND(BN67="A"),'Marks Entry'!$AC$2,IF(AND(BN67="B"),'Marks Entry'!$AG$2,IF(AND(BN67="C"),'Marks Entry'!$AI$2,""))),IF($P$3=$AT$12,IF(AND(BO67="A"),'Marks Entry'!$AK$2,IF(AND(BO67="B"),'Marks Entry'!$AO$2,IF(AND(BO67="C"),'Marks Entry'!$AQ$2,""))),IF($P$3=$AT$13,IF(AND(BP67="A"),'Marks Entry'!$AS$2,IF(AND(BP67="B"),'Marks Entry'!$AW$2,IF(AND(BP67="C"),'Marks Entry'!$AY$2,""))),"-"))))),"")</f>
        <v/>
      </c>
      <c r="L67" s="812" t="str">
        <f>IFERROR(IF(B67="","",IF($P$3=$AT$8,'Statement of Marks'!J66,IF($P$3=$AT$9,'Statement of Marks'!X66,IF($P$3=$AT$10,'Statement of Marks'!AM66,IF($P$3=$AT$11,'Statement of Marks'!BJ66,IF($P$3=$AT$12,'Statement of Marks'!CG66,IF($P$3=$AT$13,'Statement of Marks'!DE66,IF($P$3=$AT$14,"",IF($P$3=$AT$15,'Statement of Marks'!EY66,""))))))))),"")</f>
        <v/>
      </c>
      <c r="M67" s="812" t="str">
        <f>IFERROR(IF(B67="","",IF($P$3=$AT$8,'Statement of Marks'!K66,IF($P$3=$AT$9,'Statement of Marks'!Y66,IF($P$3=$AT$10,'Statement of Marks'!AN66,IF($P$3=$AT$11,'Statement of Marks'!BK66,IF($P$3=$AT$12,'Statement of Marks'!CH66,IF($P$3=$AT$13,'Statement of Marks'!DF66,IF($P$3=$AT$14,"",IF($P$3=$AT$15,'Statement of Marks'!EZ66,""))))))))),"")</f>
        <v/>
      </c>
      <c r="N67" s="812" t="str">
        <f>IFERROR(IF(B67="","",IF($P$3=$AT$8,'Statement of Marks'!L66,IF($P$3=$AT$9,'Statement of Marks'!Z66,IF($P$3=$AT$10,'Statement of Marks'!AO66,IF($P$3=$AT$11,'Statement of Marks'!BL66,IF($P$3=$AT$12,'Statement of Marks'!CI66,IF($P$3=$AT$13,'Statement of Marks'!DG66,IF($P$3=$AT$14,"",IF($P$3=$AT$15,'Statement of Marks'!FA66,""))))))))),"")</f>
        <v/>
      </c>
      <c r="O67" s="813" t="str">
        <f t="shared" si="4"/>
        <v/>
      </c>
      <c r="P67" s="812" t="str">
        <f>IFERROR(IF(B67="","",IF($P$3=$AT$8,'Statement of Marks'!N66,IF($P$3=$AT$9,'Statement of Marks'!AB66,IF($P$3=$AT$10,'Statement of Marks'!AQ66,IF($P$3=$AT$11,'Statement of Marks'!BN66,IF($P$3=$AT$12,'Statement of Marks'!CK66,IF($P$3=$AT$13,'Statement of Marks'!DI66,IF($P$3=$AT$14,"",IF($P$3=$AT$15,'Statement of Marks'!FC66,""))))))))),"")</f>
        <v/>
      </c>
      <c r="Q67" s="812" t="str">
        <f>IFERROR(IF(B67="","",IF($P$3=$AT$8,"",IF($P$3=$AT$9,"",IF($P$3=$AT$10,'Statement of Marks'!AR66,IF($P$3=$AT$11,'Statement of Marks'!BO66,IF($P$3=$AT$12,'Statement of Marks'!CL66,IF($P$3=$AT$13,'Statement of Marks'!DJ66,IF($P$3=$AT$14,"",IF($P$3=$AT$15,"",""))))))))),"")</f>
        <v/>
      </c>
      <c r="R67" s="824" t="str">
        <f>IFERROR(IF(B67="","",IF(AND(P67="",Q67="",$P$3=""),"",IF($P$3=$AT$14,'Statement of Marks'!EC66,SUM(P67,Q67)))),"")</f>
        <v/>
      </c>
      <c r="S67" s="823" t="str">
        <f>IFERROR(IF(B67="","",IF($P$3=$AT$14,'Statement of Marks'!ED66,IF(AND(O67="NA",P67="NA",Q67="NA"),"NA",IF(AND(O67="",P67="",Q67=""),"",SUM(O67,P67,Q67))))),"")</f>
        <v/>
      </c>
      <c r="T67" s="812" t="str">
        <f>IFERROR(IF(B67="","",IF($P$3=$AT$8,'Statement of Marks'!P66,IF($P$3=$AT$9,'Statement of Marks'!AD66,IF($P$3=$AT$10,'Statement of Marks'!AU66,IF($P$3=$AT$11,'Statement of Marks'!BR66,IF($P$3=$AT$12,'Statement of Marks'!CO66,IF($P$3=$AT$13,'Statement of Marks'!DM66,IF($P$3=$AT$14,"",IF($P$3=$AT$15,'Statement of Marks'!FD66,""))))))))),"")</f>
        <v/>
      </c>
      <c r="U67" s="812" t="str">
        <f>IFERROR(IF(B67="","",IF($P$3=$AT$8,"",IF($P$3=$AT$9,"",IF($P$3=$AT$10,'Statement of Marks'!AV66,IF($P$3=$AT$11,'Statement of Marks'!BS66,IF($P$3=$AT$12,'Statement of Marks'!CP66,IF($P$3=$AT$13,'Statement of Marks'!DN66,IF($P$3=$AT$14,"",IF($P$3=$AT$15,"",""))))))))),"")</f>
        <v/>
      </c>
      <c r="V67" s="824" t="str">
        <f>IFERROR(IF(B67="","",IF(AND(T67="",U67="",$P$3=""),"",IF($P$3=$AT$14,'Statement of Marks'!EE66,SUM(T67,U67)))),"")</f>
        <v/>
      </c>
      <c r="W67" s="814" t="str">
        <f t="shared" si="5"/>
        <v/>
      </c>
      <c r="X67" s="815">
        <f t="shared" si="6"/>
        <v>0</v>
      </c>
      <c r="Y67" s="815">
        <f t="shared" si="7"/>
        <v>0</v>
      </c>
      <c r="Z67" s="815">
        <f t="shared" si="8"/>
        <v>0</v>
      </c>
      <c r="AA67" s="815" t="str">
        <f t="shared" si="9"/>
        <v/>
      </c>
      <c r="AB67" s="815" t="str">
        <f t="shared" si="10"/>
        <v/>
      </c>
      <c r="AC67" s="815" t="str">
        <f t="shared" si="11"/>
        <v/>
      </c>
      <c r="AD67" s="815" t="str">
        <f t="shared" si="12"/>
        <v/>
      </c>
      <c r="AE67" s="816" t="str">
        <f t="shared" si="13"/>
        <v/>
      </c>
      <c r="AF67" s="817" t="str">
        <f t="shared" si="14"/>
        <v/>
      </c>
      <c r="AG67" s="818" t="str">
        <f t="shared" si="15"/>
        <v/>
      </c>
      <c r="AW67" s="17" t="str">
        <f t="shared" si="16"/>
        <v/>
      </c>
      <c r="AX67" s="17" t="str">
        <f t="shared" si="17"/>
        <v/>
      </c>
      <c r="BM67" s="17" t="str">
        <f>IFERROR(VLOOKUP(B67,'Statement of Marks'!$B$8:'Statement of Marks'!$HI$207,37,0),"")</f>
        <v>A</v>
      </c>
      <c r="BN67" s="17" t="str">
        <f>IFERROR(VLOOKUP(B67,'Statement of Marks'!$B$8:'Statement of Marks'!$HI$207,60,0),"")</f>
        <v>A</v>
      </c>
      <c r="BO67" s="17" t="str">
        <f>IFERROR(VLOOKUP(B67,'Statement of Marks'!$B$8:'Statement of Marks'!$HI$207,83,0),"")</f>
        <v>A</v>
      </c>
      <c r="BP67" s="17" t="str">
        <f>IFERROR(VLOOKUP(B67,'Statement of Marks'!$B$8:'Statement of Marks'!$HI$207,107,0),"")</f>
        <v/>
      </c>
    </row>
    <row r="68" spans="1:68">
      <c r="A68" s="806">
        <f>IF('Statement of Marks'!A67="","",'Statement of Marks'!A67)</f>
        <v>60</v>
      </c>
      <c r="B68" s="807" t="str">
        <f>IF(OR($E$3="",$P$3=""),"",IF('Statement of Marks'!B67="","",'Statement of Marks'!B67))</f>
        <v/>
      </c>
      <c r="C68" s="816" t="str">
        <f>IF(OR($E$3="",$P$3=""),"",IF('Marks Entry'!C67="","",'Marks Entry'!C67))</f>
        <v/>
      </c>
      <c r="D68" s="808" t="str">
        <f>IF(OR($E$3="",$P$3=""),"",IF('Statement of Marks'!C67="","",'Statement of Marks'!C67))</f>
        <v/>
      </c>
      <c r="E68" s="809" t="str">
        <f>IF(OR($E$3="",$P$3=""),"",IF('Statement of Marks'!D67="","",'Statement of Marks'!D67))</f>
        <v/>
      </c>
      <c r="F68" s="810" t="str">
        <f>IF(OR($E$3="",$P$3=""),"",IF('Statement of Marks'!E67="","",'Statement of Marks'!E67))</f>
        <v/>
      </c>
      <c r="G68" s="810" t="str">
        <f>IF(OR($E$3="",$P$3=""),"",IF('Statement of Marks'!F67="","",'Statement of Marks'!F67))</f>
        <v/>
      </c>
      <c r="H68" s="810" t="str">
        <f>IF(OR($E$3="",$P$3=""),"",IF('Statement of Marks'!G67="","",'Statement of Marks'!G67))</f>
        <v/>
      </c>
      <c r="I68" s="811" t="str">
        <f>IF(OR($E$3="",$P$3=""),"",IF('Statement of Marks'!H67="","",'Statement of Marks'!H67))</f>
        <v/>
      </c>
      <c r="J68" s="811" t="str">
        <f>IF(OR($E$3="",$P$3=""),"",IF('Statement of Marks'!I67="","",'Statement of Marks'!I67))</f>
        <v/>
      </c>
      <c r="K68" s="811" t="str">
        <f>IFERROR(IF(B68="","",IF($P$3=$AT$10,IF(AND(BM68="A"),'Marks Entry'!$U$2,IF(AND(BM68="B"),'Marks Entry'!$Y$2,IF(AND(BM68="C"),'Marks Entry'!$AA$2,""))),IF($P$3=$AT$11,IF(AND(BN68="A"),'Marks Entry'!$AC$2,IF(AND(BN68="B"),'Marks Entry'!$AG$2,IF(AND(BN68="C"),'Marks Entry'!$AI$2,""))),IF($P$3=$AT$12,IF(AND(BO68="A"),'Marks Entry'!$AK$2,IF(AND(BO68="B"),'Marks Entry'!$AO$2,IF(AND(BO68="C"),'Marks Entry'!$AQ$2,""))),IF($P$3=$AT$13,IF(AND(BP68="A"),'Marks Entry'!$AS$2,IF(AND(BP68="B"),'Marks Entry'!$AW$2,IF(AND(BP68="C"),'Marks Entry'!$AY$2,""))),"-"))))),"")</f>
        <v/>
      </c>
      <c r="L68" s="812" t="str">
        <f>IFERROR(IF(B68="","",IF($P$3=$AT$8,'Statement of Marks'!J67,IF($P$3=$AT$9,'Statement of Marks'!X67,IF($P$3=$AT$10,'Statement of Marks'!AM67,IF($P$3=$AT$11,'Statement of Marks'!BJ67,IF($P$3=$AT$12,'Statement of Marks'!CG67,IF($P$3=$AT$13,'Statement of Marks'!DE67,IF($P$3=$AT$14,"",IF($P$3=$AT$15,'Statement of Marks'!EY67,""))))))))),"")</f>
        <v/>
      </c>
      <c r="M68" s="812" t="str">
        <f>IFERROR(IF(B68="","",IF($P$3=$AT$8,'Statement of Marks'!K67,IF($P$3=$AT$9,'Statement of Marks'!Y67,IF($P$3=$AT$10,'Statement of Marks'!AN67,IF($P$3=$AT$11,'Statement of Marks'!BK67,IF($P$3=$AT$12,'Statement of Marks'!CH67,IF($P$3=$AT$13,'Statement of Marks'!DF67,IF($P$3=$AT$14,"",IF($P$3=$AT$15,'Statement of Marks'!EZ67,""))))))))),"")</f>
        <v/>
      </c>
      <c r="N68" s="812" t="str">
        <f>IFERROR(IF(B68="","",IF($P$3=$AT$8,'Statement of Marks'!L67,IF($P$3=$AT$9,'Statement of Marks'!Z67,IF($P$3=$AT$10,'Statement of Marks'!AO67,IF($P$3=$AT$11,'Statement of Marks'!BL67,IF($P$3=$AT$12,'Statement of Marks'!CI67,IF($P$3=$AT$13,'Statement of Marks'!DG67,IF($P$3=$AT$14,"",IF($P$3=$AT$15,'Statement of Marks'!FA67,""))))))))),"")</f>
        <v/>
      </c>
      <c r="O68" s="813" t="str">
        <f t="shared" si="4"/>
        <v/>
      </c>
      <c r="P68" s="812" t="str">
        <f>IFERROR(IF(B68="","",IF($P$3=$AT$8,'Statement of Marks'!N67,IF($P$3=$AT$9,'Statement of Marks'!AB67,IF($P$3=$AT$10,'Statement of Marks'!AQ67,IF($P$3=$AT$11,'Statement of Marks'!BN67,IF($P$3=$AT$12,'Statement of Marks'!CK67,IF($P$3=$AT$13,'Statement of Marks'!DI67,IF($P$3=$AT$14,"",IF($P$3=$AT$15,'Statement of Marks'!FC67,""))))))))),"")</f>
        <v/>
      </c>
      <c r="Q68" s="812" t="str">
        <f>IFERROR(IF(B68="","",IF($P$3=$AT$8,"",IF($P$3=$AT$9,"",IF($P$3=$AT$10,'Statement of Marks'!AR67,IF($P$3=$AT$11,'Statement of Marks'!BO67,IF($P$3=$AT$12,'Statement of Marks'!CL67,IF($P$3=$AT$13,'Statement of Marks'!DJ67,IF($P$3=$AT$14,"",IF($P$3=$AT$15,"",""))))))))),"")</f>
        <v/>
      </c>
      <c r="R68" s="824" t="str">
        <f>IFERROR(IF(B68="","",IF(AND(P68="",Q68="",$P$3=""),"",IF($P$3=$AT$14,'Statement of Marks'!EC67,SUM(P68,Q68)))),"")</f>
        <v/>
      </c>
      <c r="S68" s="823" t="str">
        <f>IFERROR(IF(B68="","",IF($P$3=$AT$14,'Statement of Marks'!ED67,IF(AND(O68="NA",P68="NA",Q68="NA"),"NA",IF(AND(O68="",P68="",Q68=""),"",SUM(O68,P68,Q68))))),"")</f>
        <v/>
      </c>
      <c r="T68" s="812" t="str">
        <f>IFERROR(IF(B68="","",IF($P$3=$AT$8,'Statement of Marks'!P67,IF($P$3=$AT$9,'Statement of Marks'!AD67,IF($P$3=$AT$10,'Statement of Marks'!AU67,IF($P$3=$AT$11,'Statement of Marks'!BR67,IF($P$3=$AT$12,'Statement of Marks'!CO67,IF($P$3=$AT$13,'Statement of Marks'!DM67,IF($P$3=$AT$14,"",IF($P$3=$AT$15,'Statement of Marks'!FD67,""))))))))),"")</f>
        <v/>
      </c>
      <c r="U68" s="812" t="str">
        <f>IFERROR(IF(B68="","",IF($P$3=$AT$8,"",IF($P$3=$AT$9,"",IF($P$3=$AT$10,'Statement of Marks'!AV67,IF($P$3=$AT$11,'Statement of Marks'!BS67,IF($P$3=$AT$12,'Statement of Marks'!CP67,IF($P$3=$AT$13,'Statement of Marks'!DN67,IF($P$3=$AT$14,"",IF($P$3=$AT$15,"",""))))))))),"")</f>
        <v/>
      </c>
      <c r="V68" s="824" t="str">
        <f>IFERROR(IF(B68="","",IF(AND(T68="",U68="",$P$3=""),"",IF($P$3=$AT$14,'Statement of Marks'!EE67,SUM(T68,U68)))),"")</f>
        <v/>
      </c>
      <c r="W68" s="814" t="str">
        <f t="shared" si="5"/>
        <v/>
      </c>
      <c r="X68" s="815">
        <f t="shared" si="6"/>
        <v>0</v>
      </c>
      <c r="Y68" s="815">
        <f t="shared" si="7"/>
        <v>0</v>
      </c>
      <c r="Z68" s="815">
        <f t="shared" si="8"/>
        <v>0</v>
      </c>
      <c r="AA68" s="815" t="str">
        <f t="shared" si="9"/>
        <v/>
      </c>
      <c r="AB68" s="815" t="str">
        <f t="shared" si="10"/>
        <v/>
      </c>
      <c r="AC68" s="815" t="str">
        <f t="shared" si="11"/>
        <v/>
      </c>
      <c r="AD68" s="815" t="str">
        <f t="shared" si="12"/>
        <v/>
      </c>
      <c r="AE68" s="816" t="str">
        <f t="shared" si="13"/>
        <v/>
      </c>
      <c r="AF68" s="817" t="str">
        <f t="shared" si="14"/>
        <v/>
      </c>
      <c r="AG68" s="818" t="str">
        <f t="shared" si="15"/>
        <v/>
      </c>
      <c r="AW68" s="17" t="str">
        <f t="shared" si="16"/>
        <v/>
      </c>
      <c r="AX68" s="17" t="str">
        <f t="shared" si="17"/>
        <v/>
      </c>
      <c r="BM68" s="17" t="str">
        <f>IFERROR(VLOOKUP(B68,'Statement of Marks'!$B$8:'Statement of Marks'!$HI$207,37,0),"")</f>
        <v>A</v>
      </c>
      <c r="BN68" s="17" t="str">
        <f>IFERROR(VLOOKUP(B68,'Statement of Marks'!$B$8:'Statement of Marks'!$HI$207,60,0),"")</f>
        <v>A</v>
      </c>
      <c r="BO68" s="17" t="str">
        <f>IFERROR(VLOOKUP(B68,'Statement of Marks'!$B$8:'Statement of Marks'!$HI$207,83,0),"")</f>
        <v>A</v>
      </c>
      <c r="BP68" s="17" t="str">
        <f>IFERROR(VLOOKUP(B68,'Statement of Marks'!$B$8:'Statement of Marks'!$HI$207,107,0),"")</f>
        <v/>
      </c>
    </row>
    <row r="69" spans="1:68">
      <c r="A69" s="806">
        <f>IF('Statement of Marks'!A68="","",'Statement of Marks'!A68)</f>
        <v>61</v>
      </c>
      <c r="B69" s="807" t="str">
        <f>IF(OR($E$3="",$P$3=""),"",IF('Statement of Marks'!B68="","",'Statement of Marks'!B68))</f>
        <v/>
      </c>
      <c r="C69" s="816" t="str">
        <f>IF(OR($E$3="",$P$3=""),"",IF('Marks Entry'!C68="","",'Marks Entry'!C68))</f>
        <v/>
      </c>
      <c r="D69" s="808" t="str">
        <f>IF(OR($E$3="",$P$3=""),"",IF('Statement of Marks'!C68="","",'Statement of Marks'!C68))</f>
        <v/>
      </c>
      <c r="E69" s="809" t="str">
        <f>IF(OR($E$3="",$P$3=""),"",IF('Statement of Marks'!D68="","",'Statement of Marks'!D68))</f>
        <v/>
      </c>
      <c r="F69" s="810" t="str">
        <f>IF(OR($E$3="",$P$3=""),"",IF('Statement of Marks'!E68="","",'Statement of Marks'!E68))</f>
        <v/>
      </c>
      <c r="G69" s="810" t="str">
        <f>IF(OR($E$3="",$P$3=""),"",IF('Statement of Marks'!F68="","",'Statement of Marks'!F68))</f>
        <v/>
      </c>
      <c r="H69" s="810" t="str">
        <f>IF(OR($E$3="",$P$3=""),"",IF('Statement of Marks'!G68="","",'Statement of Marks'!G68))</f>
        <v/>
      </c>
      <c r="I69" s="811" t="str">
        <f>IF(OR($E$3="",$P$3=""),"",IF('Statement of Marks'!H68="","",'Statement of Marks'!H68))</f>
        <v/>
      </c>
      <c r="J69" s="811" t="str">
        <f>IF(OR($E$3="",$P$3=""),"",IF('Statement of Marks'!I68="","",'Statement of Marks'!I68))</f>
        <v/>
      </c>
      <c r="K69" s="811" t="str">
        <f>IFERROR(IF(B69="","",IF($P$3=$AT$10,IF(AND(BM69="A"),'Marks Entry'!$U$2,IF(AND(BM69="B"),'Marks Entry'!$Y$2,IF(AND(BM69="C"),'Marks Entry'!$AA$2,""))),IF($P$3=$AT$11,IF(AND(BN69="A"),'Marks Entry'!$AC$2,IF(AND(BN69="B"),'Marks Entry'!$AG$2,IF(AND(BN69="C"),'Marks Entry'!$AI$2,""))),IF($P$3=$AT$12,IF(AND(BO69="A"),'Marks Entry'!$AK$2,IF(AND(BO69="B"),'Marks Entry'!$AO$2,IF(AND(BO69="C"),'Marks Entry'!$AQ$2,""))),IF($P$3=$AT$13,IF(AND(BP69="A"),'Marks Entry'!$AS$2,IF(AND(BP69="B"),'Marks Entry'!$AW$2,IF(AND(BP69="C"),'Marks Entry'!$AY$2,""))),"-"))))),"")</f>
        <v/>
      </c>
      <c r="L69" s="812" t="str">
        <f>IFERROR(IF(B69="","",IF($P$3=$AT$8,'Statement of Marks'!J68,IF($P$3=$AT$9,'Statement of Marks'!X68,IF($P$3=$AT$10,'Statement of Marks'!AM68,IF($P$3=$AT$11,'Statement of Marks'!BJ68,IF($P$3=$AT$12,'Statement of Marks'!CG68,IF($P$3=$AT$13,'Statement of Marks'!DE68,IF($P$3=$AT$14,"",IF($P$3=$AT$15,'Statement of Marks'!EY68,""))))))))),"")</f>
        <v/>
      </c>
      <c r="M69" s="812" t="str">
        <f>IFERROR(IF(B69="","",IF($P$3=$AT$8,'Statement of Marks'!K68,IF($P$3=$AT$9,'Statement of Marks'!Y68,IF($P$3=$AT$10,'Statement of Marks'!AN68,IF($P$3=$AT$11,'Statement of Marks'!BK68,IF($P$3=$AT$12,'Statement of Marks'!CH68,IF($P$3=$AT$13,'Statement of Marks'!DF68,IF($P$3=$AT$14,"",IF($P$3=$AT$15,'Statement of Marks'!EZ68,""))))))))),"")</f>
        <v/>
      </c>
      <c r="N69" s="812" t="str">
        <f>IFERROR(IF(B69="","",IF($P$3=$AT$8,'Statement of Marks'!L68,IF($P$3=$AT$9,'Statement of Marks'!Z68,IF($P$3=$AT$10,'Statement of Marks'!AO68,IF($P$3=$AT$11,'Statement of Marks'!BL68,IF($P$3=$AT$12,'Statement of Marks'!CI68,IF($P$3=$AT$13,'Statement of Marks'!DG68,IF($P$3=$AT$14,"",IF($P$3=$AT$15,'Statement of Marks'!FA68,""))))))))),"")</f>
        <v/>
      </c>
      <c r="O69" s="813" t="str">
        <f t="shared" si="4"/>
        <v/>
      </c>
      <c r="P69" s="812" t="str">
        <f>IFERROR(IF(B69="","",IF($P$3=$AT$8,'Statement of Marks'!N68,IF($P$3=$AT$9,'Statement of Marks'!AB68,IF($P$3=$AT$10,'Statement of Marks'!AQ68,IF($P$3=$AT$11,'Statement of Marks'!BN68,IF($P$3=$AT$12,'Statement of Marks'!CK68,IF($P$3=$AT$13,'Statement of Marks'!DI68,IF($P$3=$AT$14,"",IF($P$3=$AT$15,'Statement of Marks'!FC68,""))))))))),"")</f>
        <v/>
      </c>
      <c r="Q69" s="812" t="str">
        <f>IFERROR(IF(B69="","",IF($P$3=$AT$8,"",IF($P$3=$AT$9,"",IF($P$3=$AT$10,'Statement of Marks'!AR68,IF($P$3=$AT$11,'Statement of Marks'!BO68,IF($P$3=$AT$12,'Statement of Marks'!CL68,IF($P$3=$AT$13,'Statement of Marks'!DJ68,IF($P$3=$AT$14,"",IF($P$3=$AT$15,"",""))))))))),"")</f>
        <v/>
      </c>
      <c r="R69" s="824" t="str">
        <f>IFERROR(IF(B69="","",IF(AND(P69="",Q69="",$P$3=""),"",IF($P$3=$AT$14,'Statement of Marks'!EC68,SUM(P69,Q69)))),"")</f>
        <v/>
      </c>
      <c r="S69" s="823" t="str">
        <f>IFERROR(IF(B69="","",IF($P$3=$AT$14,'Statement of Marks'!ED68,IF(AND(O69="NA",P69="NA",Q69="NA"),"NA",IF(AND(O69="",P69="",Q69=""),"",SUM(O69,P69,Q69))))),"")</f>
        <v/>
      </c>
      <c r="T69" s="812" t="str">
        <f>IFERROR(IF(B69="","",IF($P$3=$AT$8,'Statement of Marks'!P68,IF($P$3=$AT$9,'Statement of Marks'!AD68,IF($P$3=$AT$10,'Statement of Marks'!AU68,IF($P$3=$AT$11,'Statement of Marks'!BR68,IF($P$3=$AT$12,'Statement of Marks'!CO68,IF($P$3=$AT$13,'Statement of Marks'!DM68,IF($P$3=$AT$14,"",IF($P$3=$AT$15,'Statement of Marks'!FD68,""))))))))),"")</f>
        <v/>
      </c>
      <c r="U69" s="812" t="str">
        <f>IFERROR(IF(B69="","",IF($P$3=$AT$8,"",IF($P$3=$AT$9,"",IF($P$3=$AT$10,'Statement of Marks'!AV68,IF($P$3=$AT$11,'Statement of Marks'!BS68,IF($P$3=$AT$12,'Statement of Marks'!CP68,IF($P$3=$AT$13,'Statement of Marks'!DN68,IF($P$3=$AT$14,"",IF($P$3=$AT$15,"",""))))))))),"")</f>
        <v/>
      </c>
      <c r="V69" s="824" t="str">
        <f>IFERROR(IF(B69="","",IF(AND(T69="",U69="",$P$3=""),"",IF($P$3=$AT$14,'Statement of Marks'!EE68,SUM(T69,U69)))),"")</f>
        <v/>
      </c>
      <c r="W69" s="814" t="str">
        <f t="shared" si="5"/>
        <v/>
      </c>
      <c r="X69" s="815">
        <f t="shared" si="6"/>
        <v>0</v>
      </c>
      <c r="Y69" s="815">
        <f t="shared" si="7"/>
        <v>0</v>
      </c>
      <c r="Z69" s="815">
        <f t="shared" si="8"/>
        <v>0</v>
      </c>
      <c r="AA69" s="815" t="str">
        <f t="shared" si="9"/>
        <v/>
      </c>
      <c r="AB69" s="815" t="str">
        <f t="shared" si="10"/>
        <v/>
      </c>
      <c r="AC69" s="815" t="str">
        <f t="shared" si="11"/>
        <v/>
      </c>
      <c r="AD69" s="815" t="str">
        <f t="shared" si="12"/>
        <v/>
      </c>
      <c r="AE69" s="816" t="str">
        <f t="shared" si="13"/>
        <v/>
      </c>
      <c r="AF69" s="817" t="str">
        <f t="shared" si="14"/>
        <v/>
      </c>
      <c r="AG69" s="818" t="str">
        <f t="shared" si="15"/>
        <v/>
      </c>
      <c r="AW69" s="17" t="str">
        <f t="shared" si="16"/>
        <v/>
      </c>
      <c r="AX69" s="17" t="str">
        <f t="shared" si="17"/>
        <v/>
      </c>
      <c r="BM69" s="17" t="str">
        <f>IFERROR(VLOOKUP(B69,'Statement of Marks'!$B$8:'Statement of Marks'!$HI$207,37,0),"")</f>
        <v>A</v>
      </c>
      <c r="BN69" s="17" t="str">
        <f>IFERROR(VLOOKUP(B69,'Statement of Marks'!$B$8:'Statement of Marks'!$HI$207,60,0),"")</f>
        <v>A</v>
      </c>
      <c r="BO69" s="17" t="str">
        <f>IFERROR(VLOOKUP(B69,'Statement of Marks'!$B$8:'Statement of Marks'!$HI$207,83,0),"")</f>
        <v>A</v>
      </c>
      <c r="BP69" s="17" t="str">
        <f>IFERROR(VLOOKUP(B69,'Statement of Marks'!$B$8:'Statement of Marks'!$HI$207,107,0),"")</f>
        <v/>
      </c>
    </row>
    <row r="70" spans="1:68">
      <c r="A70" s="806">
        <f>IF('Statement of Marks'!A69="","",'Statement of Marks'!A69)</f>
        <v>62</v>
      </c>
      <c r="B70" s="807" t="str">
        <f>IF(OR($E$3="",$P$3=""),"",IF('Statement of Marks'!B69="","",'Statement of Marks'!B69))</f>
        <v/>
      </c>
      <c r="C70" s="816" t="str">
        <f>IF(OR($E$3="",$P$3=""),"",IF('Marks Entry'!C69="","",'Marks Entry'!C69))</f>
        <v/>
      </c>
      <c r="D70" s="808" t="str">
        <f>IF(OR($E$3="",$P$3=""),"",IF('Statement of Marks'!C69="","",'Statement of Marks'!C69))</f>
        <v/>
      </c>
      <c r="E70" s="809" t="str">
        <f>IF(OR($E$3="",$P$3=""),"",IF('Statement of Marks'!D69="","",'Statement of Marks'!D69))</f>
        <v/>
      </c>
      <c r="F70" s="810" t="str">
        <f>IF(OR($E$3="",$P$3=""),"",IF('Statement of Marks'!E69="","",'Statement of Marks'!E69))</f>
        <v/>
      </c>
      <c r="G70" s="810" t="str">
        <f>IF(OR($E$3="",$P$3=""),"",IF('Statement of Marks'!F69="","",'Statement of Marks'!F69))</f>
        <v/>
      </c>
      <c r="H70" s="810" t="str">
        <f>IF(OR($E$3="",$P$3=""),"",IF('Statement of Marks'!G69="","",'Statement of Marks'!G69))</f>
        <v/>
      </c>
      <c r="I70" s="811" t="str">
        <f>IF(OR($E$3="",$P$3=""),"",IF('Statement of Marks'!H69="","",'Statement of Marks'!H69))</f>
        <v/>
      </c>
      <c r="J70" s="811" t="str">
        <f>IF(OR($E$3="",$P$3=""),"",IF('Statement of Marks'!I69="","",'Statement of Marks'!I69))</f>
        <v/>
      </c>
      <c r="K70" s="811" t="str">
        <f>IFERROR(IF(B70="","",IF($P$3=$AT$10,IF(AND(BM70="A"),'Marks Entry'!$U$2,IF(AND(BM70="B"),'Marks Entry'!$Y$2,IF(AND(BM70="C"),'Marks Entry'!$AA$2,""))),IF($P$3=$AT$11,IF(AND(BN70="A"),'Marks Entry'!$AC$2,IF(AND(BN70="B"),'Marks Entry'!$AG$2,IF(AND(BN70="C"),'Marks Entry'!$AI$2,""))),IF($P$3=$AT$12,IF(AND(BO70="A"),'Marks Entry'!$AK$2,IF(AND(BO70="B"),'Marks Entry'!$AO$2,IF(AND(BO70="C"),'Marks Entry'!$AQ$2,""))),IF($P$3=$AT$13,IF(AND(BP70="A"),'Marks Entry'!$AS$2,IF(AND(BP70="B"),'Marks Entry'!$AW$2,IF(AND(BP70="C"),'Marks Entry'!$AY$2,""))),"-"))))),"")</f>
        <v/>
      </c>
      <c r="L70" s="812" t="str">
        <f>IFERROR(IF(B70="","",IF($P$3=$AT$8,'Statement of Marks'!J69,IF($P$3=$AT$9,'Statement of Marks'!X69,IF($P$3=$AT$10,'Statement of Marks'!AM69,IF($P$3=$AT$11,'Statement of Marks'!BJ69,IF($P$3=$AT$12,'Statement of Marks'!CG69,IF($P$3=$AT$13,'Statement of Marks'!DE69,IF($P$3=$AT$14,"",IF($P$3=$AT$15,'Statement of Marks'!EY69,""))))))))),"")</f>
        <v/>
      </c>
      <c r="M70" s="812" t="str">
        <f>IFERROR(IF(B70="","",IF($P$3=$AT$8,'Statement of Marks'!K69,IF($P$3=$AT$9,'Statement of Marks'!Y69,IF($P$3=$AT$10,'Statement of Marks'!AN69,IF($P$3=$AT$11,'Statement of Marks'!BK69,IF($P$3=$AT$12,'Statement of Marks'!CH69,IF($P$3=$AT$13,'Statement of Marks'!DF69,IF($P$3=$AT$14,"",IF($P$3=$AT$15,'Statement of Marks'!EZ69,""))))))))),"")</f>
        <v/>
      </c>
      <c r="N70" s="812" t="str">
        <f>IFERROR(IF(B70="","",IF($P$3=$AT$8,'Statement of Marks'!L69,IF($P$3=$AT$9,'Statement of Marks'!Z69,IF($P$3=$AT$10,'Statement of Marks'!AO69,IF($P$3=$AT$11,'Statement of Marks'!BL69,IF($P$3=$AT$12,'Statement of Marks'!CI69,IF($P$3=$AT$13,'Statement of Marks'!DG69,IF($P$3=$AT$14,"",IF($P$3=$AT$15,'Statement of Marks'!FA69,""))))))))),"")</f>
        <v/>
      </c>
      <c r="O70" s="813" t="str">
        <f t="shared" si="4"/>
        <v/>
      </c>
      <c r="P70" s="812" t="str">
        <f>IFERROR(IF(B70="","",IF($P$3=$AT$8,'Statement of Marks'!N69,IF($P$3=$AT$9,'Statement of Marks'!AB69,IF($P$3=$AT$10,'Statement of Marks'!AQ69,IF($P$3=$AT$11,'Statement of Marks'!BN69,IF($P$3=$AT$12,'Statement of Marks'!CK69,IF($P$3=$AT$13,'Statement of Marks'!DI69,IF($P$3=$AT$14,"",IF($P$3=$AT$15,'Statement of Marks'!FC69,""))))))))),"")</f>
        <v/>
      </c>
      <c r="Q70" s="812" t="str">
        <f>IFERROR(IF(B70="","",IF($P$3=$AT$8,"",IF($P$3=$AT$9,"",IF($P$3=$AT$10,'Statement of Marks'!AR69,IF($P$3=$AT$11,'Statement of Marks'!BO69,IF($P$3=$AT$12,'Statement of Marks'!CL69,IF($P$3=$AT$13,'Statement of Marks'!DJ69,IF($P$3=$AT$14,"",IF($P$3=$AT$15,"",""))))))))),"")</f>
        <v/>
      </c>
      <c r="R70" s="824" t="str">
        <f>IFERROR(IF(B70="","",IF(AND(P70="",Q70="",$P$3=""),"",IF($P$3=$AT$14,'Statement of Marks'!EC69,SUM(P70,Q70)))),"")</f>
        <v/>
      </c>
      <c r="S70" s="823" t="str">
        <f>IFERROR(IF(B70="","",IF($P$3=$AT$14,'Statement of Marks'!ED69,IF(AND(O70="NA",P70="NA",Q70="NA"),"NA",IF(AND(O70="",P70="",Q70=""),"",SUM(O70,P70,Q70))))),"")</f>
        <v/>
      </c>
      <c r="T70" s="812" t="str">
        <f>IFERROR(IF(B70="","",IF($P$3=$AT$8,'Statement of Marks'!P69,IF($P$3=$AT$9,'Statement of Marks'!AD69,IF($P$3=$AT$10,'Statement of Marks'!AU69,IF($P$3=$AT$11,'Statement of Marks'!BR69,IF($P$3=$AT$12,'Statement of Marks'!CO69,IF($P$3=$AT$13,'Statement of Marks'!DM69,IF($P$3=$AT$14,"",IF($P$3=$AT$15,'Statement of Marks'!FD69,""))))))))),"")</f>
        <v/>
      </c>
      <c r="U70" s="812" t="str">
        <f>IFERROR(IF(B70="","",IF($P$3=$AT$8,"",IF($P$3=$AT$9,"",IF($P$3=$AT$10,'Statement of Marks'!AV69,IF($P$3=$AT$11,'Statement of Marks'!BS69,IF($P$3=$AT$12,'Statement of Marks'!CP69,IF($P$3=$AT$13,'Statement of Marks'!DN69,IF($P$3=$AT$14,"",IF($P$3=$AT$15,"",""))))))))),"")</f>
        <v/>
      </c>
      <c r="V70" s="824" t="str">
        <f>IFERROR(IF(B70="","",IF(AND(T70="",U70="",$P$3=""),"",IF($P$3=$AT$14,'Statement of Marks'!EE69,SUM(T70,U70)))),"")</f>
        <v/>
      </c>
      <c r="W70" s="814" t="str">
        <f t="shared" si="5"/>
        <v/>
      </c>
      <c r="X70" s="815">
        <f t="shared" si="6"/>
        <v>0</v>
      </c>
      <c r="Y70" s="815">
        <f t="shared" si="7"/>
        <v>0</v>
      </c>
      <c r="Z70" s="815">
        <f t="shared" si="8"/>
        <v>0</v>
      </c>
      <c r="AA70" s="815" t="str">
        <f t="shared" si="9"/>
        <v/>
      </c>
      <c r="AB70" s="815" t="str">
        <f t="shared" si="10"/>
        <v/>
      </c>
      <c r="AC70" s="815" t="str">
        <f t="shared" si="11"/>
        <v/>
      </c>
      <c r="AD70" s="815" t="str">
        <f t="shared" si="12"/>
        <v/>
      </c>
      <c r="AE70" s="816" t="str">
        <f t="shared" si="13"/>
        <v/>
      </c>
      <c r="AF70" s="817" t="str">
        <f t="shared" si="14"/>
        <v/>
      </c>
      <c r="AG70" s="818" t="str">
        <f t="shared" si="15"/>
        <v/>
      </c>
      <c r="AW70" s="17" t="str">
        <f t="shared" si="16"/>
        <v/>
      </c>
      <c r="AX70" s="17" t="str">
        <f t="shared" si="17"/>
        <v/>
      </c>
      <c r="BM70" s="17" t="str">
        <f>IFERROR(VLOOKUP(B70,'Statement of Marks'!$B$8:'Statement of Marks'!$HI$207,37,0),"")</f>
        <v>A</v>
      </c>
      <c r="BN70" s="17" t="str">
        <f>IFERROR(VLOOKUP(B70,'Statement of Marks'!$B$8:'Statement of Marks'!$HI$207,60,0),"")</f>
        <v>A</v>
      </c>
      <c r="BO70" s="17" t="str">
        <f>IFERROR(VLOOKUP(B70,'Statement of Marks'!$B$8:'Statement of Marks'!$HI$207,83,0),"")</f>
        <v>A</v>
      </c>
      <c r="BP70" s="17" t="str">
        <f>IFERROR(VLOOKUP(B70,'Statement of Marks'!$B$8:'Statement of Marks'!$HI$207,107,0),"")</f>
        <v/>
      </c>
    </row>
    <row r="71" spans="1:68">
      <c r="A71" s="806">
        <f>IF('Statement of Marks'!A70="","",'Statement of Marks'!A70)</f>
        <v>63</v>
      </c>
      <c r="B71" s="807" t="str">
        <f>IF(OR($E$3="",$P$3=""),"",IF('Statement of Marks'!B70="","",'Statement of Marks'!B70))</f>
        <v/>
      </c>
      <c r="C71" s="816" t="str">
        <f>IF(OR($E$3="",$P$3=""),"",IF('Marks Entry'!C70="","",'Marks Entry'!C70))</f>
        <v/>
      </c>
      <c r="D71" s="808" t="str">
        <f>IF(OR($E$3="",$P$3=""),"",IF('Statement of Marks'!C70="","",'Statement of Marks'!C70))</f>
        <v/>
      </c>
      <c r="E71" s="809" t="str">
        <f>IF(OR($E$3="",$P$3=""),"",IF('Statement of Marks'!D70="","",'Statement of Marks'!D70))</f>
        <v/>
      </c>
      <c r="F71" s="810" t="str">
        <f>IF(OR($E$3="",$P$3=""),"",IF('Statement of Marks'!E70="","",'Statement of Marks'!E70))</f>
        <v/>
      </c>
      <c r="G71" s="810" t="str">
        <f>IF(OR($E$3="",$P$3=""),"",IF('Statement of Marks'!F70="","",'Statement of Marks'!F70))</f>
        <v/>
      </c>
      <c r="H71" s="810" t="str">
        <f>IF(OR($E$3="",$P$3=""),"",IF('Statement of Marks'!G70="","",'Statement of Marks'!G70))</f>
        <v/>
      </c>
      <c r="I71" s="811" t="str">
        <f>IF(OR($E$3="",$P$3=""),"",IF('Statement of Marks'!H70="","",'Statement of Marks'!H70))</f>
        <v/>
      </c>
      <c r="J71" s="811" t="str">
        <f>IF(OR($E$3="",$P$3=""),"",IF('Statement of Marks'!I70="","",'Statement of Marks'!I70))</f>
        <v/>
      </c>
      <c r="K71" s="811" t="str">
        <f>IFERROR(IF(B71="","",IF($P$3=$AT$10,IF(AND(BM71="A"),'Marks Entry'!$U$2,IF(AND(BM71="B"),'Marks Entry'!$Y$2,IF(AND(BM71="C"),'Marks Entry'!$AA$2,""))),IF($P$3=$AT$11,IF(AND(BN71="A"),'Marks Entry'!$AC$2,IF(AND(BN71="B"),'Marks Entry'!$AG$2,IF(AND(BN71="C"),'Marks Entry'!$AI$2,""))),IF($P$3=$AT$12,IF(AND(BO71="A"),'Marks Entry'!$AK$2,IF(AND(BO71="B"),'Marks Entry'!$AO$2,IF(AND(BO71="C"),'Marks Entry'!$AQ$2,""))),IF($P$3=$AT$13,IF(AND(BP71="A"),'Marks Entry'!$AS$2,IF(AND(BP71="B"),'Marks Entry'!$AW$2,IF(AND(BP71="C"),'Marks Entry'!$AY$2,""))),"-"))))),"")</f>
        <v/>
      </c>
      <c r="L71" s="812" t="str">
        <f>IFERROR(IF(B71="","",IF($P$3=$AT$8,'Statement of Marks'!J70,IF($P$3=$AT$9,'Statement of Marks'!X70,IF($P$3=$AT$10,'Statement of Marks'!AM70,IF($P$3=$AT$11,'Statement of Marks'!BJ70,IF($P$3=$AT$12,'Statement of Marks'!CG70,IF($P$3=$AT$13,'Statement of Marks'!DE70,IF($P$3=$AT$14,"",IF($P$3=$AT$15,'Statement of Marks'!EY70,""))))))))),"")</f>
        <v/>
      </c>
      <c r="M71" s="812" t="str">
        <f>IFERROR(IF(B71="","",IF($P$3=$AT$8,'Statement of Marks'!K70,IF($P$3=$AT$9,'Statement of Marks'!Y70,IF($P$3=$AT$10,'Statement of Marks'!AN70,IF($P$3=$AT$11,'Statement of Marks'!BK70,IF($P$3=$AT$12,'Statement of Marks'!CH70,IF($P$3=$AT$13,'Statement of Marks'!DF70,IF($P$3=$AT$14,"",IF($P$3=$AT$15,'Statement of Marks'!EZ70,""))))))))),"")</f>
        <v/>
      </c>
      <c r="N71" s="812" t="str">
        <f>IFERROR(IF(B71="","",IF($P$3=$AT$8,'Statement of Marks'!L70,IF($P$3=$AT$9,'Statement of Marks'!Z70,IF($P$3=$AT$10,'Statement of Marks'!AO70,IF($P$3=$AT$11,'Statement of Marks'!BL70,IF($P$3=$AT$12,'Statement of Marks'!CI70,IF($P$3=$AT$13,'Statement of Marks'!DG70,IF($P$3=$AT$14,"",IF($P$3=$AT$15,'Statement of Marks'!FA70,""))))))))),"")</f>
        <v/>
      </c>
      <c r="O71" s="813" t="str">
        <f t="shared" si="4"/>
        <v/>
      </c>
      <c r="P71" s="812" t="str">
        <f>IFERROR(IF(B71="","",IF($P$3=$AT$8,'Statement of Marks'!N70,IF($P$3=$AT$9,'Statement of Marks'!AB70,IF($P$3=$AT$10,'Statement of Marks'!AQ70,IF($P$3=$AT$11,'Statement of Marks'!BN70,IF($P$3=$AT$12,'Statement of Marks'!CK70,IF($P$3=$AT$13,'Statement of Marks'!DI70,IF($P$3=$AT$14,"",IF($P$3=$AT$15,'Statement of Marks'!FC70,""))))))))),"")</f>
        <v/>
      </c>
      <c r="Q71" s="812" t="str">
        <f>IFERROR(IF(B71="","",IF($P$3=$AT$8,"",IF($P$3=$AT$9,"",IF($P$3=$AT$10,'Statement of Marks'!AR70,IF($P$3=$AT$11,'Statement of Marks'!BO70,IF($P$3=$AT$12,'Statement of Marks'!CL70,IF($P$3=$AT$13,'Statement of Marks'!DJ70,IF($P$3=$AT$14,"",IF($P$3=$AT$15,"",""))))))))),"")</f>
        <v/>
      </c>
      <c r="R71" s="824" t="str">
        <f>IFERROR(IF(B71="","",IF(AND(P71="",Q71="",$P$3=""),"",IF($P$3=$AT$14,'Statement of Marks'!EC70,SUM(P71,Q71)))),"")</f>
        <v/>
      </c>
      <c r="S71" s="823" t="str">
        <f>IFERROR(IF(B71="","",IF($P$3=$AT$14,'Statement of Marks'!ED70,IF(AND(O71="NA",P71="NA",Q71="NA"),"NA",IF(AND(O71="",P71="",Q71=""),"",SUM(O71,P71,Q71))))),"")</f>
        <v/>
      </c>
      <c r="T71" s="812" t="str">
        <f>IFERROR(IF(B71="","",IF($P$3=$AT$8,'Statement of Marks'!P70,IF($P$3=$AT$9,'Statement of Marks'!AD70,IF($P$3=$AT$10,'Statement of Marks'!AU70,IF($P$3=$AT$11,'Statement of Marks'!BR70,IF($P$3=$AT$12,'Statement of Marks'!CO70,IF($P$3=$AT$13,'Statement of Marks'!DM70,IF($P$3=$AT$14,"",IF($P$3=$AT$15,'Statement of Marks'!FD70,""))))))))),"")</f>
        <v/>
      </c>
      <c r="U71" s="812" t="str">
        <f>IFERROR(IF(B71="","",IF($P$3=$AT$8,"",IF($P$3=$AT$9,"",IF($P$3=$AT$10,'Statement of Marks'!AV70,IF($P$3=$AT$11,'Statement of Marks'!BS70,IF($P$3=$AT$12,'Statement of Marks'!CP70,IF($P$3=$AT$13,'Statement of Marks'!DN70,IF($P$3=$AT$14,"",IF($P$3=$AT$15,"",""))))))))),"")</f>
        <v/>
      </c>
      <c r="V71" s="824" t="str">
        <f>IFERROR(IF(B71="","",IF(AND(T71="",U71="",$P$3=""),"",IF($P$3=$AT$14,'Statement of Marks'!EE70,SUM(T71,U71)))),"")</f>
        <v/>
      </c>
      <c r="W71" s="814" t="str">
        <f t="shared" si="5"/>
        <v/>
      </c>
      <c r="X71" s="815">
        <f t="shared" si="6"/>
        <v>0</v>
      </c>
      <c r="Y71" s="815">
        <f t="shared" si="7"/>
        <v>0</v>
      </c>
      <c r="Z71" s="815">
        <f t="shared" si="8"/>
        <v>0</v>
      </c>
      <c r="AA71" s="815" t="str">
        <f t="shared" si="9"/>
        <v/>
      </c>
      <c r="AB71" s="815" t="str">
        <f t="shared" si="10"/>
        <v/>
      </c>
      <c r="AC71" s="815" t="str">
        <f t="shared" si="11"/>
        <v/>
      </c>
      <c r="AD71" s="815" t="str">
        <f t="shared" si="12"/>
        <v/>
      </c>
      <c r="AE71" s="816" t="str">
        <f t="shared" si="13"/>
        <v/>
      </c>
      <c r="AF71" s="817" t="str">
        <f t="shared" si="14"/>
        <v/>
      </c>
      <c r="AG71" s="818" t="str">
        <f t="shared" si="15"/>
        <v/>
      </c>
      <c r="AW71" s="17" t="str">
        <f t="shared" si="16"/>
        <v/>
      </c>
      <c r="AX71" s="17" t="str">
        <f t="shared" si="17"/>
        <v/>
      </c>
      <c r="BM71" s="17" t="str">
        <f>IFERROR(VLOOKUP(B71,'Statement of Marks'!$B$8:'Statement of Marks'!$HI$207,37,0),"")</f>
        <v>A</v>
      </c>
      <c r="BN71" s="17" t="str">
        <f>IFERROR(VLOOKUP(B71,'Statement of Marks'!$B$8:'Statement of Marks'!$HI$207,60,0),"")</f>
        <v>A</v>
      </c>
      <c r="BO71" s="17" t="str">
        <f>IFERROR(VLOOKUP(B71,'Statement of Marks'!$B$8:'Statement of Marks'!$HI$207,83,0),"")</f>
        <v>A</v>
      </c>
      <c r="BP71" s="17" t="str">
        <f>IFERROR(VLOOKUP(B71,'Statement of Marks'!$B$8:'Statement of Marks'!$HI$207,107,0),"")</f>
        <v/>
      </c>
    </row>
    <row r="72" spans="1:68">
      <c r="A72" s="806">
        <f>IF('Statement of Marks'!A71="","",'Statement of Marks'!A71)</f>
        <v>64</v>
      </c>
      <c r="B72" s="807" t="str">
        <f>IF(OR($E$3="",$P$3=""),"",IF('Statement of Marks'!B71="","",'Statement of Marks'!B71))</f>
        <v/>
      </c>
      <c r="C72" s="816" t="str">
        <f>IF(OR($E$3="",$P$3=""),"",IF('Marks Entry'!C71="","",'Marks Entry'!C71))</f>
        <v/>
      </c>
      <c r="D72" s="808" t="str">
        <f>IF(OR($E$3="",$P$3=""),"",IF('Statement of Marks'!C71="","",'Statement of Marks'!C71))</f>
        <v/>
      </c>
      <c r="E72" s="809" t="str">
        <f>IF(OR($E$3="",$P$3=""),"",IF('Statement of Marks'!D71="","",'Statement of Marks'!D71))</f>
        <v/>
      </c>
      <c r="F72" s="810" t="str">
        <f>IF(OR($E$3="",$P$3=""),"",IF('Statement of Marks'!E71="","",'Statement of Marks'!E71))</f>
        <v/>
      </c>
      <c r="G72" s="810" t="str">
        <f>IF(OR($E$3="",$P$3=""),"",IF('Statement of Marks'!F71="","",'Statement of Marks'!F71))</f>
        <v/>
      </c>
      <c r="H72" s="810" t="str">
        <f>IF(OR($E$3="",$P$3=""),"",IF('Statement of Marks'!G71="","",'Statement of Marks'!G71))</f>
        <v/>
      </c>
      <c r="I72" s="811" t="str">
        <f>IF(OR($E$3="",$P$3=""),"",IF('Statement of Marks'!H71="","",'Statement of Marks'!H71))</f>
        <v/>
      </c>
      <c r="J72" s="811" t="str">
        <f>IF(OR($E$3="",$P$3=""),"",IF('Statement of Marks'!I71="","",'Statement of Marks'!I71))</f>
        <v/>
      </c>
      <c r="K72" s="811" t="str">
        <f>IFERROR(IF(B72="","",IF($P$3=$AT$10,IF(AND(BM72="A"),'Marks Entry'!$U$2,IF(AND(BM72="B"),'Marks Entry'!$Y$2,IF(AND(BM72="C"),'Marks Entry'!$AA$2,""))),IF($P$3=$AT$11,IF(AND(BN72="A"),'Marks Entry'!$AC$2,IF(AND(BN72="B"),'Marks Entry'!$AG$2,IF(AND(BN72="C"),'Marks Entry'!$AI$2,""))),IF($P$3=$AT$12,IF(AND(BO72="A"),'Marks Entry'!$AK$2,IF(AND(BO72="B"),'Marks Entry'!$AO$2,IF(AND(BO72="C"),'Marks Entry'!$AQ$2,""))),IF($P$3=$AT$13,IF(AND(BP72="A"),'Marks Entry'!$AS$2,IF(AND(BP72="B"),'Marks Entry'!$AW$2,IF(AND(BP72="C"),'Marks Entry'!$AY$2,""))),"-"))))),"")</f>
        <v/>
      </c>
      <c r="L72" s="812" t="str">
        <f>IFERROR(IF(B72="","",IF($P$3=$AT$8,'Statement of Marks'!J71,IF($P$3=$AT$9,'Statement of Marks'!X71,IF($P$3=$AT$10,'Statement of Marks'!AM71,IF($P$3=$AT$11,'Statement of Marks'!BJ71,IF($P$3=$AT$12,'Statement of Marks'!CG71,IF($P$3=$AT$13,'Statement of Marks'!DE71,IF($P$3=$AT$14,"",IF($P$3=$AT$15,'Statement of Marks'!EY71,""))))))))),"")</f>
        <v/>
      </c>
      <c r="M72" s="812" t="str">
        <f>IFERROR(IF(B72="","",IF($P$3=$AT$8,'Statement of Marks'!K71,IF($P$3=$AT$9,'Statement of Marks'!Y71,IF($P$3=$AT$10,'Statement of Marks'!AN71,IF($P$3=$AT$11,'Statement of Marks'!BK71,IF($P$3=$AT$12,'Statement of Marks'!CH71,IF($P$3=$AT$13,'Statement of Marks'!DF71,IF($P$3=$AT$14,"",IF($P$3=$AT$15,'Statement of Marks'!EZ71,""))))))))),"")</f>
        <v/>
      </c>
      <c r="N72" s="812" t="str">
        <f>IFERROR(IF(B72="","",IF($P$3=$AT$8,'Statement of Marks'!L71,IF($P$3=$AT$9,'Statement of Marks'!Z71,IF($P$3=$AT$10,'Statement of Marks'!AO71,IF($P$3=$AT$11,'Statement of Marks'!BL71,IF($P$3=$AT$12,'Statement of Marks'!CI71,IF($P$3=$AT$13,'Statement of Marks'!DG71,IF($P$3=$AT$14,"",IF($P$3=$AT$15,'Statement of Marks'!FA71,""))))))))),"")</f>
        <v/>
      </c>
      <c r="O72" s="813" t="str">
        <f t="shared" si="4"/>
        <v/>
      </c>
      <c r="P72" s="812" t="str">
        <f>IFERROR(IF(B72="","",IF($P$3=$AT$8,'Statement of Marks'!N71,IF($P$3=$AT$9,'Statement of Marks'!AB71,IF($P$3=$AT$10,'Statement of Marks'!AQ71,IF($P$3=$AT$11,'Statement of Marks'!BN71,IF($P$3=$AT$12,'Statement of Marks'!CK71,IF($P$3=$AT$13,'Statement of Marks'!DI71,IF($P$3=$AT$14,"",IF($P$3=$AT$15,'Statement of Marks'!FC71,""))))))))),"")</f>
        <v/>
      </c>
      <c r="Q72" s="812" t="str">
        <f>IFERROR(IF(B72="","",IF($P$3=$AT$8,"",IF($P$3=$AT$9,"",IF($P$3=$AT$10,'Statement of Marks'!AR71,IF($P$3=$AT$11,'Statement of Marks'!BO71,IF($P$3=$AT$12,'Statement of Marks'!CL71,IF($P$3=$AT$13,'Statement of Marks'!DJ71,IF($P$3=$AT$14,"",IF($P$3=$AT$15,"",""))))))))),"")</f>
        <v/>
      </c>
      <c r="R72" s="824" t="str">
        <f>IFERROR(IF(B72="","",IF(AND(P72="",Q72="",$P$3=""),"",IF($P$3=$AT$14,'Statement of Marks'!EC71,SUM(P72,Q72)))),"")</f>
        <v/>
      </c>
      <c r="S72" s="823" t="str">
        <f>IFERROR(IF(B72="","",IF($P$3=$AT$14,'Statement of Marks'!ED71,IF(AND(O72="NA",P72="NA",Q72="NA"),"NA",IF(AND(O72="",P72="",Q72=""),"",SUM(O72,P72,Q72))))),"")</f>
        <v/>
      </c>
      <c r="T72" s="812" t="str">
        <f>IFERROR(IF(B72="","",IF($P$3=$AT$8,'Statement of Marks'!P71,IF($P$3=$AT$9,'Statement of Marks'!AD71,IF($P$3=$AT$10,'Statement of Marks'!AU71,IF($P$3=$AT$11,'Statement of Marks'!BR71,IF($P$3=$AT$12,'Statement of Marks'!CO71,IF($P$3=$AT$13,'Statement of Marks'!DM71,IF($P$3=$AT$14,"",IF($P$3=$AT$15,'Statement of Marks'!FD71,""))))))))),"")</f>
        <v/>
      </c>
      <c r="U72" s="812" t="str">
        <f>IFERROR(IF(B72="","",IF($P$3=$AT$8,"",IF($P$3=$AT$9,"",IF($P$3=$AT$10,'Statement of Marks'!AV71,IF($P$3=$AT$11,'Statement of Marks'!BS71,IF($P$3=$AT$12,'Statement of Marks'!CP71,IF($P$3=$AT$13,'Statement of Marks'!DN71,IF($P$3=$AT$14,"",IF($P$3=$AT$15,"",""))))))))),"")</f>
        <v/>
      </c>
      <c r="V72" s="824" t="str">
        <f>IFERROR(IF(B72="","",IF(AND(T72="",U72="",$P$3=""),"",IF($P$3=$AT$14,'Statement of Marks'!EE71,SUM(T72,U72)))),"")</f>
        <v/>
      </c>
      <c r="W72" s="814" t="str">
        <f t="shared" si="5"/>
        <v/>
      </c>
      <c r="X72" s="815">
        <f t="shared" si="6"/>
        <v>0</v>
      </c>
      <c r="Y72" s="815">
        <f t="shared" si="7"/>
        <v>0</v>
      </c>
      <c r="Z72" s="815">
        <f t="shared" si="8"/>
        <v>0</v>
      </c>
      <c r="AA72" s="815" t="str">
        <f t="shared" si="9"/>
        <v/>
      </c>
      <c r="AB72" s="815" t="str">
        <f t="shared" si="10"/>
        <v/>
      </c>
      <c r="AC72" s="815" t="str">
        <f t="shared" si="11"/>
        <v/>
      </c>
      <c r="AD72" s="815" t="str">
        <f t="shared" si="12"/>
        <v/>
      </c>
      <c r="AE72" s="816" t="str">
        <f t="shared" si="13"/>
        <v/>
      </c>
      <c r="AF72" s="817" t="str">
        <f t="shared" si="14"/>
        <v/>
      </c>
      <c r="AG72" s="818" t="str">
        <f t="shared" si="15"/>
        <v/>
      </c>
      <c r="AW72" s="17" t="str">
        <f t="shared" si="16"/>
        <v/>
      </c>
      <c r="AX72" s="17" t="str">
        <f t="shared" si="17"/>
        <v/>
      </c>
      <c r="BM72" s="17" t="str">
        <f>IFERROR(VLOOKUP(B72,'Statement of Marks'!$B$8:'Statement of Marks'!$HI$207,37,0),"")</f>
        <v>A</v>
      </c>
      <c r="BN72" s="17" t="str">
        <f>IFERROR(VLOOKUP(B72,'Statement of Marks'!$B$8:'Statement of Marks'!$HI$207,60,0),"")</f>
        <v>A</v>
      </c>
      <c r="BO72" s="17" t="str">
        <f>IFERROR(VLOOKUP(B72,'Statement of Marks'!$B$8:'Statement of Marks'!$HI$207,83,0),"")</f>
        <v>A</v>
      </c>
      <c r="BP72" s="17" t="str">
        <f>IFERROR(VLOOKUP(B72,'Statement of Marks'!$B$8:'Statement of Marks'!$HI$207,107,0),"")</f>
        <v/>
      </c>
    </row>
    <row r="73" spans="1:68">
      <c r="A73" s="806">
        <f>IF('Statement of Marks'!A72="","",'Statement of Marks'!A72)</f>
        <v>65</v>
      </c>
      <c r="B73" s="807" t="str">
        <f>IF(OR($E$3="",$P$3=""),"",IF('Statement of Marks'!B72="","",'Statement of Marks'!B72))</f>
        <v/>
      </c>
      <c r="C73" s="816" t="str">
        <f>IF(OR($E$3="",$P$3=""),"",IF('Marks Entry'!C72="","",'Marks Entry'!C72))</f>
        <v/>
      </c>
      <c r="D73" s="808" t="str">
        <f>IF(OR($E$3="",$P$3=""),"",IF('Statement of Marks'!C72="","",'Statement of Marks'!C72))</f>
        <v/>
      </c>
      <c r="E73" s="809" t="str">
        <f>IF(OR($E$3="",$P$3=""),"",IF('Statement of Marks'!D72="","",'Statement of Marks'!D72))</f>
        <v/>
      </c>
      <c r="F73" s="810" t="str">
        <f>IF(OR($E$3="",$P$3=""),"",IF('Statement of Marks'!E72="","",'Statement of Marks'!E72))</f>
        <v/>
      </c>
      <c r="G73" s="810" t="str">
        <f>IF(OR($E$3="",$P$3=""),"",IF('Statement of Marks'!F72="","",'Statement of Marks'!F72))</f>
        <v/>
      </c>
      <c r="H73" s="810" t="str">
        <f>IF(OR($E$3="",$P$3=""),"",IF('Statement of Marks'!G72="","",'Statement of Marks'!G72))</f>
        <v/>
      </c>
      <c r="I73" s="811" t="str">
        <f>IF(OR($E$3="",$P$3=""),"",IF('Statement of Marks'!H72="","",'Statement of Marks'!H72))</f>
        <v/>
      </c>
      <c r="J73" s="811" t="str">
        <f>IF(OR($E$3="",$P$3=""),"",IF('Statement of Marks'!I72="","",'Statement of Marks'!I72))</f>
        <v/>
      </c>
      <c r="K73" s="811" t="str">
        <f>IFERROR(IF(B73="","",IF($P$3=$AT$10,IF(AND(BM73="A"),'Marks Entry'!$U$2,IF(AND(BM73="B"),'Marks Entry'!$Y$2,IF(AND(BM73="C"),'Marks Entry'!$AA$2,""))),IF($P$3=$AT$11,IF(AND(BN73="A"),'Marks Entry'!$AC$2,IF(AND(BN73="B"),'Marks Entry'!$AG$2,IF(AND(BN73="C"),'Marks Entry'!$AI$2,""))),IF($P$3=$AT$12,IF(AND(BO73="A"),'Marks Entry'!$AK$2,IF(AND(BO73="B"),'Marks Entry'!$AO$2,IF(AND(BO73="C"),'Marks Entry'!$AQ$2,""))),IF($P$3=$AT$13,IF(AND(BP73="A"),'Marks Entry'!$AS$2,IF(AND(BP73="B"),'Marks Entry'!$AW$2,IF(AND(BP73="C"),'Marks Entry'!$AY$2,""))),"-"))))),"")</f>
        <v/>
      </c>
      <c r="L73" s="812" t="str">
        <f>IFERROR(IF(B73="","",IF($P$3=$AT$8,'Statement of Marks'!J72,IF($P$3=$AT$9,'Statement of Marks'!X72,IF($P$3=$AT$10,'Statement of Marks'!AM72,IF($P$3=$AT$11,'Statement of Marks'!BJ72,IF($P$3=$AT$12,'Statement of Marks'!CG72,IF($P$3=$AT$13,'Statement of Marks'!DE72,IF($P$3=$AT$14,"",IF($P$3=$AT$15,'Statement of Marks'!EY72,""))))))))),"")</f>
        <v/>
      </c>
      <c r="M73" s="812" t="str">
        <f>IFERROR(IF(B73="","",IF($P$3=$AT$8,'Statement of Marks'!K72,IF($P$3=$AT$9,'Statement of Marks'!Y72,IF($P$3=$AT$10,'Statement of Marks'!AN72,IF($P$3=$AT$11,'Statement of Marks'!BK72,IF($P$3=$AT$12,'Statement of Marks'!CH72,IF($P$3=$AT$13,'Statement of Marks'!DF72,IF($P$3=$AT$14,"",IF($P$3=$AT$15,'Statement of Marks'!EZ72,""))))))))),"")</f>
        <v/>
      </c>
      <c r="N73" s="812" t="str">
        <f>IFERROR(IF(B73="","",IF($P$3=$AT$8,'Statement of Marks'!L72,IF($P$3=$AT$9,'Statement of Marks'!Z72,IF($P$3=$AT$10,'Statement of Marks'!AO72,IF($P$3=$AT$11,'Statement of Marks'!BL72,IF($P$3=$AT$12,'Statement of Marks'!CI72,IF($P$3=$AT$13,'Statement of Marks'!DG72,IF($P$3=$AT$14,"",IF($P$3=$AT$15,'Statement of Marks'!FA72,""))))))))),"")</f>
        <v/>
      </c>
      <c r="O73" s="813" t="str">
        <f t="shared" si="4"/>
        <v/>
      </c>
      <c r="P73" s="812" t="str">
        <f>IFERROR(IF(B73="","",IF($P$3=$AT$8,'Statement of Marks'!N72,IF($P$3=$AT$9,'Statement of Marks'!AB72,IF($P$3=$AT$10,'Statement of Marks'!AQ72,IF($P$3=$AT$11,'Statement of Marks'!BN72,IF($P$3=$AT$12,'Statement of Marks'!CK72,IF($P$3=$AT$13,'Statement of Marks'!DI72,IF($P$3=$AT$14,"",IF($P$3=$AT$15,'Statement of Marks'!FC72,""))))))))),"")</f>
        <v/>
      </c>
      <c r="Q73" s="812" t="str">
        <f>IFERROR(IF(B73="","",IF($P$3=$AT$8,"",IF($P$3=$AT$9,"",IF($P$3=$AT$10,'Statement of Marks'!AR72,IF($P$3=$AT$11,'Statement of Marks'!BO72,IF($P$3=$AT$12,'Statement of Marks'!CL72,IF($P$3=$AT$13,'Statement of Marks'!DJ72,IF($P$3=$AT$14,"",IF($P$3=$AT$15,"",""))))))))),"")</f>
        <v/>
      </c>
      <c r="R73" s="824" t="str">
        <f>IFERROR(IF(B73="","",IF(AND(P73="",Q73="",$P$3=""),"",IF($P$3=$AT$14,'Statement of Marks'!EC72,SUM(P73,Q73)))),"")</f>
        <v/>
      </c>
      <c r="S73" s="823" t="str">
        <f>IFERROR(IF(B73="","",IF($P$3=$AT$14,'Statement of Marks'!ED72,IF(AND(O73="NA",P73="NA",Q73="NA"),"NA",IF(AND(O73="",P73="",Q73=""),"",SUM(O73,P73,Q73))))),"")</f>
        <v/>
      </c>
      <c r="T73" s="812" t="str">
        <f>IFERROR(IF(B73="","",IF($P$3=$AT$8,'Statement of Marks'!P72,IF($P$3=$AT$9,'Statement of Marks'!AD72,IF($P$3=$AT$10,'Statement of Marks'!AU72,IF($P$3=$AT$11,'Statement of Marks'!BR72,IF($P$3=$AT$12,'Statement of Marks'!CO72,IF($P$3=$AT$13,'Statement of Marks'!DM72,IF($P$3=$AT$14,"",IF($P$3=$AT$15,'Statement of Marks'!FD72,""))))))))),"")</f>
        <v/>
      </c>
      <c r="U73" s="812" t="str">
        <f>IFERROR(IF(B73="","",IF($P$3=$AT$8,"",IF($P$3=$AT$9,"",IF($P$3=$AT$10,'Statement of Marks'!AV72,IF($P$3=$AT$11,'Statement of Marks'!BS72,IF($P$3=$AT$12,'Statement of Marks'!CP72,IF($P$3=$AT$13,'Statement of Marks'!DN72,IF($P$3=$AT$14,"",IF($P$3=$AT$15,"",""))))))))),"")</f>
        <v/>
      </c>
      <c r="V73" s="824" t="str">
        <f>IFERROR(IF(B73="","",IF(AND(T73="",U73="",$P$3=""),"",IF($P$3=$AT$14,'Statement of Marks'!EE72,SUM(T73,U73)))),"")</f>
        <v/>
      </c>
      <c r="W73" s="814" t="str">
        <f t="shared" si="5"/>
        <v/>
      </c>
      <c r="X73" s="815">
        <f t="shared" si="6"/>
        <v>0</v>
      </c>
      <c r="Y73" s="815">
        <f t="shared" si="7"/>
        <v>0</v>
      </c>
      <c r="Z73" s="815">
        <f t="shared" si="8"/>
        <v>0</v>
      </c>
      <c r="AA73" s="815" t="str">
        <f t="shared" si="9"/>
        <v/>
      </c>
      <c r="AB73" s="815" t="str">
        <f t="shared" si="10"/>
        <v/>
      </c>
      <c r="AC73" s="815" t="str">
        <f t="shared" si="11"/>
        <v/>
      </c>
      <c r="AD73" s="815" t="str">
        <f t="shared" si="12"/>
        <v/>
      </c>
      <c r="AE73" s="816" t="str">
        <f t="shared" si="13"/>
        <v/>
      </c>
      <c r="AF73" s="817" t="str">
        <f t="shared" si="14"/>
        <v/>
      </c>
      <c r="AG73" s="818" t="str">
        <f t="shared" si="15"/>
        <v/>
      </c>
      <c r="AW73" s="17" t="str">
        <f t="shared" si="16"/>
        <v/>
      </c>
      <c r="AX73" s="17" t="str">
        <f t="shared" si="17"/>
        <v/>
      </c>
      <c r="BM73" s="17" t="str">
        <f>IFERROR(VLOOKUP(B73,'Statement of Marks'!$B$8:'Statement of Marks'!$HI$207,37,0),"")</f>
        <v>A</v>
      </c>
      <c r="BN73" s="17" t="str">
        <f>IFERROR(VLOOKUP(B73,'Statement of Marks'!$B$8:'Statement of Marks'!$HI$207,60,0),"")</f>
        <v>A</v>
      </c>
      <c r="BO73" s="17" t="str">
        <f>IFERROR(VLOOKUP(B73,'Statement of Marks'!$B$8:'Statement of Marks'!$HI$207,83,0),"")</f>
        <v>A</v>
      </c>
      <c r="BP73" s="17" t="str">
        <f>IFERROR(VLOOKUP(B73,'Statement of Marks'!$B$8:'Statement of Marks'!$HI$207,107,0),"")</f>
        <v/>
      </c>
    </row>
    <row r="74" spans="1:68">
      <c r="A74" s="806">
        <f>IF('Statement of Marks'!A73="","",'Statement of Marks'!A73)</f>
        <v>66</v>
      </c>
      <c r="B74" s="807" t="str">
        <f>IF(OR($E$3="",$P$3=""),"",IF('Statement of Marks'!B73="","",'Statement of Marks'!B73))</f>
        <v/>
      </c>
      <c r="C74" s="816" t="str">
        <f>IF(OR($E$3="",$P$3=""),"",IF('Marks Entry'!C73="","",'Marks Entry'!C73))</f>
        <v/>
      </c>
      <c r="D74" s="808" t="str">
        <f>IF(OR($E$3="",$P$3=""),"",IF('Statement of Marks'!C73="","",'Statement of Marks'!C73))</f>
        <v/>
      </c>
      <c r="E74" s="809" t="str">
        <f>IF(OR($E$3="",$P$3=""),"",IF('Statement of Marks'!D73="","",'Statement of Marks'!D73))</f>
        <v/>
      </c>
      <c r="F74" s="810" t="str">
        <f>IF(OR($E$3="",$P$3=""),"",IF('Statement of Marks'!E73="","",'Statement of Marks'!E73))</f>
        <v/>
      </c>
      <c r="G74" s="810" t="str">
        <f>IF(OR($E$3="",$P$3=""),"",IF('Statement of Marks'!F73="","",'Statement of Marks'!F73))</f>
        <v/>
      </c>
      <c r="H74" s="810" t="str">
        <f>IF(OR($E$3="",$P$3=""),"",IF('Statement of Marks'!G73="","",'Statement of Marks'!G73))</f>
        <v/>
      </c>
      <c r="I74" s="811" t="str">
        <f>IF(OR($E$3="",$P$3=""),"",IF('Statement of Marks'!H73="","",'Statement of Marks'!H73))</f>
        <v/>
      </c>
      <c r="J74" s="811" t="str">
        <f>IF(OR($E$3="",$P$3=""),"",IF('Statement of Marks'!I73="","",'Statement of Marks'!I73))</f>
        <v/>
      </c>
      <c r="K74" s="811" t="str">
        <f>IFERROR(IF(B74="","",IF($P$3=$AT$10,IF(AND(BM74="A"),'Marks Entry'!$U$2,IF(AND(BM74="B"),'Marks Entry'!$Y$2,IF(AND(BM74="C"),'Marks Entry'!$AA$2,""))),IF($P$3=$AT$11,IF(AND(BN74="A"),'Marks Entry'!$AC$2,IF(AND(BN74="B"),'Marks Entry'!$AG$2,IF(AND(BN74="C"),'Marks Entry'!$AI$2,""))),IF($P$3=$AT$12,IF(AND(BO74="A"),'Marks Entry'!$AK$2,IF(AND(BO74="B"),'Marks Entry'!$AO$2,IF(AND(BO74="C"),'Marks Entry'!$AQ$2,""))),IF($P$3=$AT$13,IF(AND(BP74="A"),'Marks Entry'!$AS$2,IF(AND(BP74="B"),'Marks Entry'!$AW$2,IF(AND(BP74="C"),'Marks Entry'!$AY$2,""))),"-"))))),"")</f>
        <v/>
      </c>
      <c r="L74" s="812" t="str">
        <f>IFERROR(IF(B74="","",IF($P$3=$AT$8,'Statement of Marks'!J73,IF($P$3=$AT$9,'Statement of Marks'!X73,IF($P$3=$AT$10,'Statement of Marks'!AM73,IF($P$3=$AT$11,'Statement of Marks'!BJ73,IF($P$3=$AT$12,'Statement of Marks'!CG73,IF($P$3=$AT$13,'Statement of Marks'!DE73,IF($P$3=$AT$14,"",IF($P$3=$AT$15,'Statement of Marks'!EY73,""))))))))),"")</f>
        <v/>
      </c>
      <c r="M74" s="812" t="str">
        <f>IFERROR(IF(B74="","",IF($P$3=$AT$8,'Statement of Marks'!K73,IF($P$3=$AT$9,'Statement of Marks'!Y73,IF($P$3=$AT$10,'Statement of Marks'!AN73,IF($P$3=$AT$11,'Statement of Marks'!BK73,IF($P$3=$AT$12,'Statement of Marks'!CH73,IF($P$3=$AT$13,'Statement of Marks'!DF73,IF($P$3=$AT$14,"",IF($P$3=$AT$15,'Statement of Marks'!EZ73,""))))))))),"")</f>
        <v/>
      </c>
      <c r="N74" s="812" t="str">
        <f>IFERROR(IF(B74="","",IF($P$3=$AT$8,'Statement of Marks'!L73,IF($P$3=$AT$9,'Statement of Marks'!Z73,IF($P$3=$AT$10,'Statement of Marks'!AO73,IF($P$3=$AT$11,'Statement of Marks'!BL73,IF($P$3=$AT$12,'Statement of Marks'!CI73,IF($P$3=$AT$13,'Statement of Marks'!DG73,IF($P$3=$AT$14,"",IF($P$3=$AT$15,'Statement of Marks'!FA73,""))))))))),"")</f>
        <v/>
      </c>
      <c r="O74" s="813" t="str">
        <f t="shared" ref="O74:O137" si="18">IF(AND(L74="",M74="",N74="",$P$3=""),"",IF(OR($P$3=$AT$14,$P$3=$AT$14),"",IF(B74="","",SUM(L74:N74))))</f>
        <v/>
      </c>
      <c r="P74" s="812" t="str">
        <f>IFERROR(IF(B74="","",IF($P$3=$AT$8,'Statement of Marks'!N73,IF($P$3=$AT$9,'Statement of Marks'!AB73,IF($P$3=$AT$10,'Statement of Marks'!AQ73,IF($P$3=$AT$11,'Statement of Marks'!BN73,IF($P$3=$AT$12,'Statement of Marks'!CK73,IF($P$3=$AT$13,'Statement of Marks'!DI73,IF($P$3=$AT$14,"",IF($P$3=$AT$15,'Statement of Marks'!FC73,""))))))))),"")</f>
        <v/>
      </c>
      <c r="Q74" s="812" t="str">
        <f>IFERROR(IF(B74="","",IF($P$3=$AT$8,"",IF($P$3=$AT$9,"",IF($P$3=$AT$10,'Statement of Marks'!AR73,IF($P$3=$AT$11,'Statement of Marks'!BO73,IF($P$3=$AT$12,'Statement of Marks'!CL73,IF($P$3=$AT$13,'Statement of Marks'!DJ73,IF($P$3=$AT$14,"",IF($P$3=$AT$15,"",""))))))))),"")</f>
        <v/>
      </c>
      <c r="R74" s="824" t="str">
        <f>IFERROR(IF(B74="","",IF(AND(P74="",Q74="",$P$3=""),"",IF($P$3=$AT$14,'Statement of Marks'!EC73,SUM(P74,Q74)))),"")</f>
        <v/>
      </c>
      <c r="S74" s="823" t="str">
        <f>IFERROR(IF(B74="","",IF($P$3=$AT$14,'Statement of Marks'!ED73,IF(AND(O74="NA",P74="NA",Q74="NA"),"NA",IF(AND(O74="",P74="",Q74=""),"",SUM(O74,P74,Q74))))),"")</f>
        <v/>
      </c>
      <c r="T74" s="812" t="str">
        <f>IFERROR(IF(B74="","",IF($P$3=$AT$8,'Statement of Marks'!P73,IF($P$3=$AT$9,'Statement of Marks'!AD73,IF($P$3=$AT$10,'Statement of Marks'!AU73,IF($P$3=$AT$11,'Statement of Marks'!BR73,IF($P$3=$AT$12,'Statement of Marks'!CO73,IF($P$3=$AT$13,'Statement of Marks'!DM73,IF($P$3=$AT$14,"",IF($P$3=$AT$15,'Statement of Marks'!FD73,""))))))))),"")</f>
        <v/>
      </c>
      <c r="U74" s="812" t="str">
        <f>IFERROR(IF(B74="","",IF($P$3=$AT$8,"",IF($P$3=$AT$9,"",IF($P$3=$AT$10,'Statement of Marks'!AV73,IF($P$3=$AT$11,'Statement of Marks'!BS73,IF($P$3=$AT$12,'Statement of Marks'!CP73,IF($P$3=$AT$13,'Statement of Marks'!DN73,IF($P$3=$AT$14,"",IF($P$3=$AT$15,"",""))))))))),"")</f>
        <v/>
      </c>
      <c r="V74" s="824" t="str">
        <f>IFERROR(IF(B74="","",IF(AND(T74="",U74="",$P$3=""),"",IF($P$3=$AT$14,'Statement of Marks'!EE73,SUM(T74,U74)))),"")</f>
        <v/>
      </c>
      <c r="W74" s="814" t="str">
        <f t="shared" ref="W74:W137" si="19">IFERROR(IF(B74="","",IF($P$3="","",IF(OR($P$3=$AT$14),SUM(R74,S74,V74),SUM(S74,V74)))),"")</f>
        <v/>
      </c>
      <c r="X74" s="815">
        <f t="shared" ref="X74:X137" si="20">IFERROR(IF($P$3="","",IF(OR($P$3=$AT$8,$P$3=$AT$9,$P$3=$AT$10,$P$3=$AT$11,$P$3=$AT$12,$P$3=$AT$13,$P$3=$AT$15),COUNTIF(L74:N74,"NA")*$L$7+(COUNTIF(L74:N74,"ML")*$L$7)+(COUNTIF(P74,"ML")*$P$7)+(COUNTIF(T74,"ML")*$T$8)+(COUNTIF(T74,"ML")*$T$7),COUNTIF(R74,"NA")*$R$7+(COUNTIF(R74,"ML")*$R$7)+(COUNTIF(S74,"ML")*$S$7)+(COUNTIF(V74,"ML")*$V$7))),0)</f>
        <v>0</v>
      </c>
      <c r="Y74" s="815">
        <f t="shared" ref="Y74:Y137" si="21">SUM(Q74,U74)</f>
        <v>0</v>
      </c>
      <c r="Z74" s="815">
        <f t="shared" ref="Z74:Z137" si="22">SUM(O74,P74,T74)</f>
        <v>0</v>
      </c>
      <c r="AA74" s="815" t="str">
        <f t="shared" ref="AA74:AA137" si="23">IF(OR($B74="NSO",$B74=0,T74=""),"",IF(AND(Q74="",U74=""),SUM($T$8),SUM($T$7)))</f>
        <v/>
      </c>
      <c r="AB74" s="815" t="str">
        <f t="shared" ref="AB74:AB137" si="24">IF(OR($B74="NSO",$B74=0,U74=""),"",IF(AND(Q74="",U74=""),"",SUM($Q$7+$U$7)-(COUNTIF(Q74,"ML")*$Q$7)-(COUNTIF(U74,"ML")*$U$7)))</f>
        <v/>
      </c>
      <c r="AC74" s="815" t="str">
        <f t="shared" ref="AC74:AC137" si="25">IF(OR($B74="NSO",$B74=0,B74=""),"",IF(AND(Q74="",U74=""),IF(OR($P$3=$AT$8,$P$3=$AT$9,$P$3=$AT$10,$P$3=$AT$11,$P$3=$AT$12,$P$3=$AT$13,$P$3=$AT$15,$P$3=$AT$16,$P$3=$AT$17),IF(AND(L74="NA",N74="NA",M74="NA"),$O$7-X74,IF(AND(P74="ML"),$P$7-X74,IF(AND(T74="ML"),$T$7-X74,$W$7-X74))),IF(AND(R74="NA"),$R$7-X74,IF(AND(S74="ML"),$S$7-X74,IF(AND(V74="ML"),$V$7-X74,$W$7-X74)))),IF(AND(L74="NA",N74="NA",M74="NA"),$O$7-X74,IF(AND(P74="ML"),$P$7-X74,IF(AND(T74="ML"),$T$7-X74,$Z$7-X74)))))</f>
        <v/>
      </c>
      <c r="AD74" s="815" t="str">
        <f t="shared" ref="AD74:AD137" si="26">IF(AND(OR(L74="ab",L74="ml"),OR(M74="ab",M74="ml"),OR(P74="ab",P74="ml"),OR(P74="ab",P74="ml"),OR(S74="ab",S74="ml")),"AB",IF(AND(OR(M74="ab",M74="ml"),OR(N74="ab",N74="ml"),OR(P74="ab",P74="ml"),OR(S74="ab",S74="ml")),"AB",IF(AND(OR(N74="ab",N74="ml"),OR(L74="ab",L74="ml"),OR(P74="ab",P74="ml"),OR(T74="ab",T74="ml")),"AB",IF(AND(OR(P74="ab",P74="ml"),OR(T74="ab",T74="ml"),OR(Q74="ab",Q74="ml"),OR(P74="ab",P74="ml"),OR(T74="ab",T74="ml")),"AB",IF(AND(OR(P74="ab",P74="ml"),OR(M74="ab",M74="ml"),OR(T74="ab",T74="ml"),OR(P74="ab",P74="ml"),OR(U74="ab",U74="ml")),"AB","")))))</f>
        <v/>
      </c>
      <c r="AE74" s="816" t="str">
        <f t="shared" ref="AE74:AE137" si="27">IFERROR(IF(B74="","",IF(OR($P$3=$AT$14),AX74,AW74)),"")</f>
        <v/>
      </c>
      <c r="AF74" s="817" t="str">
        <f t="shared" ref="AF74:AF137" si="28">IF(OR(AE74="",AE74=0,AE74="S",AE74="RE",AE74="F",AE74="AB",B74="NSO"),"",IF(AE74="G","G",IF(W74&gt;=75%*SUM(AB74,AC74),"I",IF(W74&gt;=60%*SUM(AB74,AC74),"I",IF(W74&gt;=48%*SUM(AB74,AC74),"II",IF(W74&gt;=36%*SUM(AB74,AC74),"III",""))))))</f>
        <v/>
      </c>
      <c r="AG74" s="818" t="str">
        <f t="shared" ref="AG74:AG137" si="29">IF(W74="","",IF(OR(AE74="",AE74=0,AE74="RE",AE74="AB"),"",IF(B74="NSO","NSO",IF(AE74="G","By Grace",IF(AE74="S","Supplementary",IF(AE74="F","Fail",IF(W74&gt;=75%*AC74,"D",IF(AE74="FP","Fail in Practical",""))))))))</f>
        <v/>
      </c>
      <c r="AW74" s="17" t="str">
        <f t="shared" ref="AW74:AW137" si="30">IF(B74="","",IF(OR(T74="AB",U74="AB",AD74="AB"),"AB",IF(OR(T74="ML",V74="ML"),"RE",IF(U74="MLP","REP",IF(U74&lt;33%*$U$7,"FP",IF(Q74&lt;33%*$Q$7,"FP",IF(AND(Z74&gt;=36%*AC74,SUM(T74)&gt;=20%*AA74,Y74&gt;=SUM(AB74)*36%),"P",IF(AND(Z74&gt;=34%*AC74,SUM(T74)&gt;=20%*AA74,Y74&gt;=SUM(AB74)*36%),"G",IF(AND(Z74&gt;=31%*AC74,SUM(T74)&gt;=20%*AA74,Y74&gt;=SUM(AB74)*36%),"G",IF(AND(Z74&gt;=25%*AC74,SUM(T74)&gt;=20%*AA74),"S","F"))))))))))</f>
        <v/>
      </c>
      <c r="AX74" s="17" t="str">
        <f t="shared" ref="AX74:AX137" si="31">IF(B74="","",IF(AND(W74&gt;=36%*AC74,SUM(V74)&gt;=20%*$V$7),"P",""))</f>
        <v/>
      </c>
      <c r="BM74" s="17" t="str">
        <f>IFERROR(VLOOKUP(B74,'Statement of Marks'!$B$8:'Statement of Marks'!$HI$207,37,0),"")</f>
        <v>A</v>
      </c>
      <c r="BN74" s="17" t="str">
        <f>IFERROR(VLOOKUP(B74,'Statement of Marks'!$B$8:'Statement of Marks'!$HI$207,60,0),"")</f>
        <v>A</v>
      </c>
      <c r="BO74" s="17" t="str">
        <f>IFERROR(VLOOKUP(B74,'Statement of Marks'!$B$8:'Statement of Marks'!$HI$207,83,0),"")</f>
        <v>A</v>
      </c>
      <c r="BP74" s="17" t="str">
        <f>IFERROR(VLOOKUP(B74,'Statement of Marks'!$B$8:'Statement of Marks'!$HI$207,107,0),"")</f>
        <v/>
      </c>
    </row>
    <row r="75" spans="1:68">
      <c r="A75" s="806">
        <f>IF('Statement of Marks'!A74="","",'Statement of Marks'!A74)</f>
        <v>67</v>
      </c>
      <c r="B75" s="807" t="str">
        <f>IF(OR($E$3="",$P$3=""),"",IF('Statement of Marks'!B74="","",'Statement of Marks'!B74))</f>
        <v/>
      </c>
      <c r="C75" s="816" t="str">
        <f>IF(OR($E$3="",$P$3=""),"",IF('Marks Entry'!C74="","",'Marks Entry'!C74))</f>
        <v/>
      </c>
      <c r="D75" s="808" t="str">
        <f>IF(OR($E$3="",$P$3=""),"",IF('Statement of Marks'!C74="","",'Statement of Marks'!C74))</f>
        <v/>
      </c>
      <c r="E75" s="809" t="str">
        <f>IF(OR($E$3="",$P$3=""),"",IF('Statement of Marks'!D74="","",'Statement of Marks'!D74))</f>
        <v/>
      </c>
      <c r="F75" s="810" t="str">
        <f>IF(OR($E$3="",$P$3=""),"",IF('Statement of Marks'!E74="","",'Statement of Marks'!E74))</f>
        <v/>
      </c>
      <c r="G75" s="810" t="str">
        <f>IF(OR($E$3="",$P$3=""),"",IF('Statement of Marks'!F74="","",'Statement of Marks'!F74))</f>
        <v/>
      </c>
      <c r="H75" s="810" t="str">
        <f>IF(OR($E$3="",$P$3=""),"",IF('Statement of Marks'!G74="","",'Statement of Marks'!G74))</f>
        <v/>
      </c>
      <c r="I75" s="811" t="str">
        <f>IF(OR($E$3="",$P$3=""),"",IF('Statement of Marks'!H74="","",'Statement of Marks'!H74))</f>
        <v/>
      </c>
      <c r="J75" s="811" t="str">
        <f>IF(OR($E$3="",$P$3=""),"",IF('Statement of Marks'!I74="","",'Statement of Marks'!I74))</f>
        <v/>
      </c>
      <c r="K75" s="811" t="str">
        <f>IFERROR(IF(B75="","",IF($P$3=$AT$10,IF(AND(BM75="A"),'Marks Entry'!$U$2,IF(AND(BM75="B"),'Marks Entry'!$Y$2,IF(AND(BM75="C"),'Marks Entry'!$AA$2,""))),IF($P$3=$AT$11,IF(AND(BN75="A"),'Marks Entry'!$AC$2,IF(AND(BN75="B"),'Marks Entry'!$AG$2,IF(AND(BN75="C"),'Marks Entry'!$AI$2,""))),IF($P$3=$AT$12,IF(AND(BO75="A"),'Marks Entry'!$AK$2,IF(AND(BO75="B"),'Marks Entry'!$AO$2,IF(AND(BO75="C"),'Marks Entry'!$AQ$2,""))),IF($P$3=$AT$13,IF(AND(BP75="A"),'Marks Entry'!$AS$2,IF(AND(BP75="B"),'Marks Entry'!$AW$2,IF(AND(BP75="C"),'Marks Entry'!$AY$2,""))),"-"))))),"")</f>
        <v/>
      </c>
      <c r="L75" s="812" t="str">
        <f>IFERROR(IF(B75="","",IF($P$3=$AT$8,'Statement of Marks'!J74,IF($P$3=$AT$9,'Statement of Marks'!X74,IF($P$3=$AT$10,'Statement of Marks'!AM74,IF($P$3=$AT$11,'Statement of Marks'!BJ74,IF($P$3=$AT$12,'Statement of Marks'!CG74,IF($P$3=$AT$13,'Statement of Marks'!DE74,IF($P$3=$AT$14,"",IF($P$3=$AT$15,'Statement of Marks'!EY74,""))))))))),"")</f>
        <v/>
      </c>
      <c r="M75" s="812" t="str">
        <f>IFERROR(IF(B75="","",IF($P$3=$AT$8,'Statement of Marks'!K74,IF($P$3=$AT$9,'Statement of Marks'!Y74,IF($P$3=$AT$10,'Statement of Marks'!AN74,IF($P$3=$AT$11,'Statement of Marks'!BK74,IF($P$3=$AT$12,'Statement of Marks'!CH74,IF($P$3=$AT$13,'Statement of Marks'!DF74,IF($P$3=$AT$14,"",IF($P$3=$AT$15,'Statement of Marks'!EZ74,""))))))))),"")</f>
        <v/>
      </c>
      <c r="N75" s="812" t="str">
        <f>IFERROR(IF(B75="","",IF($P$3=$AT$8,'Statement of Marks'!L74,IF($P$3=$AT$9,'Statement of Marks'!Z74,IF($P$3=$AT$10,'Statement of Marks'!AO74,IF($P$3=$AT$11,'Statement of Marks'!BL74,IF($P$3=$AT$12,'Statement of Marks'!CI74,IF($P$3=$AT$13,'Statement of Marks'!DG74,IF($P$3=$AT$14,"",IF($P$3=$AT$15,'Statement of Marks'!FA74,""))))))))),"")</f>
        <v/>
      </c>
      <c r="O75" s="813" t="str">
        <f t="shared" si="18"/>
        <v/>
      </c>
      <c r="P75" s="812" t="str">
        <f>IFERROR(IF(B75="","",IF($P$3=$AT$8,'Statement of Marks'!N74,IF($P$3=$AT$9,'Statement of Marks'!AB74,IF($P$3=$AT$10,'Statement of Marks'!AQ74,IF($P$3=$AT$11,'Statement of Marks'!BN74,IF($P$3=$AT$12,'Statement of Marks'!CK74,IF($P$3=$AT$13,'Statement of Marks'!DI74,IF($P$3=$AT$14,"",IF($P$3=$AT$15,'Statement of Marks'!FC74,""))))))))),"")</f>
        <v/>
      </c>
      <c r="Q75" s="812" t="str">
        <f>IFERROR(IF(B75="","",IF($P$3=$AT$8,"",IF($P$3=$AT$9,"",IF($P$3=$AT$10,'Statement of Marks'!AR74,IF($P$3=$AT$11,'Statement of Marks'!BO74,IF($P$3=$AT$12,'Statement of Marks'!CL74,IF($P$3=$AT$13,'Statement of Marks'!DJ74,IF($P$3=$AT$14,"",IF($P$3=$AT$15,"",""))))))))),"")</f>
        <v/>
      </c>
      <c r="R75" s="824" t="str">
        <f>IFERROR(IF(B75="","",IF(AND(P75="",Q75="",$P$3=""),"",IF($P$3=$AT$14,'Statement of Marks'!EC74,SUM(P75,Q75)))),"")</f>
        <v/>
      </c>
      <c r="S75" s="823" t="str">
        <f>IFERROR(IF(B75="","",IF($P$3=$AT$14,'Statement of Marks'!ED74,IF(AND(O75="NA",P75="NA",Q75="NA"),"NA",IF(AND(O75="",P75="",Q75=""),"",SUM(O75,P75,Q75))))),"")</f>
        <v/>
      </c>
      <c r="T75" s="812" t="str">
        <f>IFERROR(IF(B75="","",IF($P$3=$AT$8,'Statement of Marks'!P74,IF($P$3=$AT$9,'Statement of Marks'!AD74,IF($P$3=$AT$10,'Statement of Marks'!AU74,IF($P$3=$AT$11,'Statement of Marks'!BR74,IF($P$3=$AT$12,'Statement of Marks'!CO74,IF($P$3=$AT$13,'Statement of Marks'!DM74,IF($P$3=$AT$14,"",IF($P$3=$AT$15,'Statement of Marks'!FD74,""))))))))),"")</f>
        <v/>
      </c>
      <c r="U75" s="812" t="str">
        <f>IFERROR(IF(B75="","",IF($P$3=$AT$8,"",IF($P$3=$AT$9,"",IF($P$3=$AT$10,'Statement of Marks'!AV74,IF($P$3=$AT$11,'Statement of Marks'!BS74,IF($P$3=$AT$12,'Statement of Marks'!CP74,IF($P$3=$AT$13,'Statement of Marks'!DN74,IF($P$3=$AT$14,"",IF($P$3=$AT$15,"",""))))))))),"")</f>
        <v/>
      </c>
      <c r="V75" s="824" t="str">
        <f>IFERROR(IF(B75="","",IF(AND(T75="",U75="",$P$3=""),"",IF($P$3=$AT$14,'Statement of Marks'!EE74,SUM(T75,U75)))),"")</f>
        <v/>
      </c>
      <c r="W75" s="814" t="str">
        <f t="shared" si="19"/>
        <v/>
      </c>
      <c r="X75" s="815">
        <f t="shared" si="20"/>
        <v>0</v>
      </c>
      <c r="Y75" s="815">
        <f t="shared" si="21"/>
        <v>0</v>
      </c>
      <c r="Z75" s="815">
        <f t="shared" si="22"/>
        <v>0</v>
      </c>
      <c r="AA75" s="815" t="str">
        <f t="shared" si="23"/>
        <v/>
      </c>
      <c r="AB75" s="815" t="str">
        <f t="shared" si="24"/>
        <v/>
      </c>
      <c r="AC75" s="815" t="str">
        <f t="shared" si="25"/>
        <v/>
      </c>
      <c r="AD75" s="815" t="str">
        <f t="shared" si="26"/>
        <v/>
      </c>
      <c r="AE75" s="816" t="str">
        <f t="shared" si="27"/>
        <v/>
      </c>
      <c r="AF75" s="817" t="str">
        <f t="shared" si="28"/>
        <v/>
      </c>
      <c r="AG75" s="818" t="str">
        <f t="shared" si="29"/>
        <v/>
      </c>
      <c r="AW75" s="17" t="str">
        <f t="shared" si="30"/>
        <v/>
      </c>
      <c r="AX75" s="17" t="str">
        <f t="shared" si="31"/>
        <v/>
      </c>
      <c r="BM75" s="17" t="str">
        <f>IFERROR(VLOOKUP(B75,'Statement of Marks'!$B$8:'Statement of Marks'!$HI$207,37,0),"")</f>
        <v>A</v>
      </c>
      <c r="BN75" s="17" t="str">
        <f>IFERROR(VLOOKUP(B75,'Statement of Marks'!$B$8:'Statement of Marks'!$HI$207,60,0),"")</f>
        <v>A</v>
      </c>
      <c r="BO75" s="17" t="str">
        <f>IFERROR(VLOOKUP(B75,'Statement of Marks'!$B$8:'Statement of Marks'!$HI$207,83,0),"")</f>
        <v>A</v>
      </c>
      <c r="BP75" s="17" t="str">
        <f>IFERROR(VLOOKUP(B75,'Statement of Marks'!$B$8:'Statement of Marks'!$HI$207,107,0),"")</f>
        <v/>
      </c>
    </row>
    <row r="76" spans="1:68">
      <c r="A76" s="806">
        <f>IF('Statement of Marks'!A75="","",'Statement of Marks'!A75)</f>
        <v>68</v>
      </c>
      <c r="B76" s="807" t="str">
        <f>IF(OR($E$3="",$P$3=""),"",IF('Statement of Marks'!B75="","",'Statement of Marks'!B75))</f>
        <v/>
      </c>
      <c r="C76" s="816" t="str">
        <f>IF(OR($E$3="",$P$3=""),"",IF('Marks Entry'!C75="","",'Marks Entry'!C75))</f>
        <v/>
      </c>
      <c r="D76" s="808" t="str">
        <f>IF(OR($E$3="",$P$3=""),"",IF('Statement of Marks'!C75="","",'Statement of Marks'!C75))</f>
        <v/>
      </c>
      <c r="E76" s="809" t="str">
        <f>IF(OR($E$3="",$P$3=""),"",IF('Statement of Marks'!D75="","",'Statement of Marks'!D75))</f>
        <v/>
      </c>
      <c r="F76" s="810" t="str">
        <f>IF(OR($E$3="",$P$3=""),"",IF('Statement of Marks'!E75="","",'Statement of Marks'!E75))</f>
        <v/>
      </c>
      <c r="G76" s="810" t="str">
        <f>IF(OR($E$3="",$P$3=""),"",IF('Statement of Marks'!F75="","",'Statement of Marks'!F75))</f>
        <v/>
      </c>
      <c r="H76" s="810" t="str">
        <f>IF(OR($E$3="",$P$3=""),"",IF('Statement of Marks'!G75="","",'Statement of Marks'!G75))</f>
        <v/>
      </c>
      <c r="I76" s="811" t="str">
        <f>IF(OR($E$3="",$P$3=""),"",IF('Statement of Marks'!H75="","",'Statement of Marks'!H75))</f>
        <v/>
      </c>
      <c r="J76" s="811" t="str">
        <f>IF(OR($E$3="",$P$3=""),"",IF('Statement of Marks'!I75="","",'Statement of Marks'!I75))</f>
        <v/>
      </c>
      <c r="K76" s="811" t="str">
        <f>IFERROR(IF(B76="","",IF($P$3=$AT$10,IF(AND(BM76="A"),'Marks Entry'!$U$2,IF(AND(BM76="B"),'Marks Entry'!$Y$2,IF(AND(BM76="C"),'Marks Entry'!$AA$2,""))),IF($P$3=$AT$11,IF(AND(BN76="A"),'Marks Entry'!$AC$2,IF(AND(BN76="B"),'Marks Entry'!$AG$2,IF(AND(BN76="C"),'Marks Entry'!$AI$2,""))),IF($P$3=$AT$12,IF(AND(BO76="A"),'Marks Entry'!$AK$2,IF(AND(BO76="B"),'Marks Entry'!$AO$2,IF(AND(BO76="C"),'Marks Entry'!$AQ$2,""))),IF($P$3=$AT$13,IF(AND(BP76="A"),'Marks Entry'!$AS$2,IF(AND(BP76="B"),'Marks Entry'!$AW$2,IF(AND(BP76="C"),'Marks Entry'!$AY$2,""))),"-"))))),"")</f>
        <v/>
      </c>
      <c r="L76" s="812" t="str">
        <f>IFERROR(IF(B76="","",IF($P$3=$AT$8,'Statement of Marks'!J75,IF($P$3=$AT$9,'Statement of Marks'!X75,IF($P$3=$AT$10,'Statement of Marks'!AM75,IF($P$3=$AT$11,'Statement of Marks'!BJ75,IF($P$3=$AT$12,'Statement of Marks'!CG75,IF($P$3=$AT$13,'Statement of Marks'!DE75,IF($P$3=$AT$14,"",IF($P$3=$AT$15,'Statement of Marks'!EY75,""))))))))),"")</f>
        <v/>
      </c>
      <c r="M76" s="812" t="str">
        <f>IFERROR(IF(B76="","",IF($P$3=$AT$8,'Statement of Marks'!K75,IF($P$3=$AT$9,'Statement of Marks'!Y75,IF($P$3=$AT$10,'Statement of Marks'!AN75,IF($P$3=$AT$11,'Statement of Marks'!BK75,IF($P$3=$AT$12,'Statement of Marks'!CH75,IF($P$3=$AT$13,'Statement of Marks'!DF75,IF($P$3=$AT$14,"",IF($P$3=$AT$15,'Statement of Marks'!EZ75,""))))))))),"")</f>
        <v/>
      </c>
      <c r="N76" s="812" t="str">
        <f>IFERROR(IF(B76="","",IF($P$3=$AT$8,'Statement of Marks'!L75,IF($P$3=$AT$9,'Statement of Marks'!Z75,IF($P$3=$AT$10,'Statement of Marks'!AO75,IF($P$3=$AT$11,'Statement of Marks'!BL75,IF($P$3=$AT$12,'Statement of Marks'!CI75,IF($P$3=$AT$13,'Statement of Marks'!DG75,IF($P$3=$AT$14,"",IF($P$3=$AT$15,'Statement of Marks'!FA75,""))))))))),"")</f>
        <v/>
      </c>
      <c r="O76" s="813" t="str">
        <f t="shared" si="18"/>
        <v/>
      </c>
      <c r="P76" s="812" t="str">
        <f>IFERROR(IF(B76="","",IF($P$3=$AT$8,'Statement of Marks'!N75,IF($P$3=$AT$9,'Statement of Marks'!AB75,IF($P$3=$AT$10,'Statement of Marks'!AQ75,IF($P$3=$AT$11,'Statement of Marks'!BN75,IF($P$3=$AT$12,'Statement of Marks'!CK75,IF($P$3=$AT$13,'Statement of Marks'!DI75,IF($P$3=$AT$14,"",IF($P$3=$AT$15,'Statement of Marks'!FC75,""))))))))),"")</f>
        <v/>
      </c>
      <c r="Q76" s="812" t="str">
        <f>IFERROR(IF(B76="","",IF($P$3=$AT$8,"",IF($P$3=$AT$9,"",IF($P$3=$AT$10,'Statement of Marks'!AR75,IF($P$3=$AT$11,'Statement of Marks'!BO75,IF($P$3=$AT$12,'Statement of Marks'!CL75,IF($P$3=$AT$13,'Statement of Marks'!DJ75,IF($P$3=$AT$14,"",IF($P$3=$AT$15,"",""))))))))),"")</f>
        <v/>
      </c>
      <c r="R76" s="824" t="str">
        <f>IFERROR(IF(B76="","",IF(AND(P76="",Q76="",$P$3=""),"",IF($P$3=$AT$14,'Statement of Marks'!EC75,SUM(P76,Q76)))),"")</f>
        <v/>
      </c>
      <c r="S76" s="823" t="str">
        <f>IFERROR(IF(B76="","",IF($P$3=$AT$14,'Statement of Marks'!ED75,IF(AND(O76="NA",P76="NA",Q76="NA"),"NA",IF(AND(O76="",P76="",Q76=""),"",SUM(O76,P76,Q76))))),"")</f>
        <v/>
      </c>
      <c r="T76" s="812" t="str">
        <f>IFERROR(IF(B76="","",IF($P$3=$AT$8,'Statement of Marks'!P75,IF($P$3=$AT$9,'Statement of Marks'!AD75,IF($P$3=$AT$10,'Statement of Marks'!AU75,IF($P$3=$AT$11,'Statement of Marks'!BR75,IF($P$3=$AT$12,'Statement of Marks'!CO75,IF($P$3=$AT$13,'Statement of Marks'!DM75,IF($P$3=$AT$14,"",IF($P$3=$AT$15,'Statement of Marks'!FD75,""))))))))),"")</f>
        <v/>
      </c>
      <c r="U76" s="812" t="str">
        <f>IFERROR(IF(B76="","",IF($P$3=$AT$8,"",IF($P$3=$AT$9,"",IF($P$3=$AT$10,'Statement of Marks'!AV75,IF($P$3=$AT$11,'Statement of Marks'!BS75,IF($P$3=$AT$12,'Statement of Marks'!CP75,IF($P$3=$AT$13,'Statement of Marks'!DN75,IF($P$3=$AT$14,"",IF($P$3=$AT$15,"",""))))))))),"")</f>
        <v/>
      </c>
      <c r="V76" s="824" t="str">
        <f>IFERROR(IF(B76="","",IF(AND(T76="",U76="",$P$3=""),"",IF($P$3=$AT$14,'Statement of Marks'!EE75,SUM(T76,U76)))),"")</f>
        <v/>
      </c>
      <c r="W76" s="814" t="str">
        <f t="shared" si="19"/>
        <v/>
      </c>
      <c r="X76" s="815">
        <f t="shared" si="20"/>
        <v>0</v>
      </c>
      <c r="Y76" s="815">
        <f t="shared" si="21"/>
        <v>0</v>
      </c>
      <c r="Z76" s="815">
        <f t="shared" si="22"/>
        <v>0</v>
      </c>
      <c r="AA76" s="815" t="str">
        <f t="shared" si="23"/>
        <v/>
      </c>
      <c r="AB76" s="815" t="str">
        <f t="shared" si="24"/>
        <v/>
      </c>
      <c r="AC76" s="815" t="str">
        <f t="shared" si="25"/>
        <v/>
      </c>
      <c r="AD76" s="815" t="str">
        <f t="shared" si="26"/>
        <v/>
      </c>
      <c r="AE76" s="816" t="str">
        <f t="shared" si="27"/>
        <v/>
      </c>
      <c r="AF76" s="817" t="str">
        <f t="shared" si="28"/>
        <v/>
      </c>
      <c r="AG76" s="818" t="str">
        <f t="shared" si="29"/>
        <v/>
      </c>
      <c r="AW76" s="17" t="str">
        <f t="shared" si="30"/>
        <v/>
      </c>
      <c r="AX76" s="17" t="str">
        <f t="shared" si="31"/>
        <v/>
      </c>
      <c r="BM76" s="17" t="str">
        <f>IFERROR(VLOOKUP(B76,'Statement of Marks'!$B$8:'Statement of Marks'!$HI$207,37,0),"")</f>
        <v>A</v>
      </c>
      <c r="BN76" s="17" t="str">
        <f>IFERROR(VLOOKUP(B76,'Statement of Marks'!$B$8:'Statement of Marks'!$HI$207,60,0),"")</f>
        <v>A</v>
      </c>
      <c r="BO76" s="17" t="str">
        <f>IFERROR(VLOOKUP(B76,'Statement of Marks'!$B$8:'Statement of Marks'!$HI$207,83,0),"")</f>
        <v>A</v>
      </c>
      <c r="BP76" s="17" t="str">
        <f>IFERROR(VLOOKUP(B76,'Statement of Marks'!$B$8:'Statement of Marks'!$HI$207,107,0),"")</f>
        <v/>
      </c>
    </row>
    <row r="77" spans="1:68">
      <c r="A77" s="806">
        <f>IF('Statement of Marks'!A76="","",'Statement of Marks'!A76)</f>
        <v>69</v>
      </c>
      <c r="B77" s="807" t="str">
        <f>IF(OR($E$3="",$P$3=""),"",IF('Statement of Marks'!B76="","",'Statement of Marks'!B76))</f>
        <v/>
      </c>
      <c r="C77" s="816" t="str">
        <f>IF(OR($E$3="",$P$3=""),"",IF('Marks Entry'!C76="","",'Marks Entry'!C76))</f>
        <v/>
      </c>
      <c r="D77" s="808" t="str">
        <f>IF(OR($E$3="",$P$3=""),"",IF('Statement of Marks'!C76="","",'Statement of Marks'!C76))</f>
        <v/>
      </c>
      <c r="E77" s="809" t="str">
        <f>IF(OR($E$3="",$P$3=""),"",IF('Statement of Marks'!D76="","",'Statement of Marks'!D76))</f>
        <v/>
      </c>
      <c r="F77" s="810" t="str">
        <f>IF(OR($E$3="",$P$3=""),"",IF('Statement of Marks'!E76="","",'Statement of Marks'!E76))</f>
        <v/>
      </c>
      <c r="G77" s="810" t="str">
        <f>IF(OR($E$3="",$P$3=""),"",IF('Statement of Marks'!F76="","",'Statement of Marks'!F76))</f>
        <v/>
      </c>
      <c r="H77" s="810" t="str">
        <f>IF(OR($E$3="",$P$3=""),"",IF('Statement of Marks'!G76="","",'Statement of Marks'!G76))</f>
        <v/>
      </c>
      <c r="I77" s="811" t="str">
        <f>IF(OR($E$3="",$P$3=""),"",IF('Statement of Marks'!H76="","",'Statement of Marks'!H76))</f>
        <v/>
      </c>
      <c r="J77" s="811" t="str">
        <f>IF(OR($E$3="",$P$3=""),"",IF('Statement of Marks'!I76="","",'Statement of Marks'!I76))</f>
        <v/>
      </c>
      <c r="K77" s="811" t="str">
        <f>IFERROR(IF(B77="","",IF($P$3=$AT$10,IF(AND(BM77="A"),'Marks Entry'!$U$2,IF(AND(BM77="B"),'Marks Entry'!$Y$2,IF(AND(BM77="C"),'Marks Entry'!$AA$2,""))),IF($P$3=$AT$11,IF(AND(BN77="A"),'Marks Entry'!$AC$2,IF(AND(BN77="B"),'Marks Entry'!$AG$2,IF(AND(BN77="C"),'Marks Entry'!$AI$2,""))),IF($P$3=$AT$12,IF(AND(BO77="A"),'Marks Entry'!$AK$2,IF(AND(BO77="B"),'Marks Entry'!$AO$2,IF(AND(BO77="C"),'Marks Entry'!$AQ$2,""))),IF($P$3=$AT$13,IF(AND(BP77="A"),'Marks Entry'!$AS$2,IF(AND(BP77="B"),'Marks Entry'!$AW$2,IF(AND(BP77="C"),'Marks Entry'!$AY$2,""))),"-"))))),"")</f>
        <v/>
      </c>
      <c r="L77" s="812" t="str">
        <f>IFERROR(IF(B77="","",IF($P$3=$AT$8,'Statement of Marks'!J76,IF($P$3=$AT$9,'Statement of Marks'!X76,IF($P$3=$AT$10,'Statement of Marks'!AM76,IF($P$3=$AT$11,'Statement of Marks'!BJ76,IF($P$3=$AT$12,'Statement of Marks'!CG76,IF($P$3=$AT$13,'Statement of Marks'!DE76,IF($P$3=$AT$14,"",IF($P$3=$AT$15,'Statement of Marks'!EY76,""))))))))),"")</f>
        <v/>
      </c>
      <c r="M77" s="812" t="str">
        <f>IFERROR(IF(B77="","",IF($P$3=$AT$8,'Statement of Marks'!K76,IF($P$3=$AT$9,'Statement of Marks'!Y76,IF($P$3=$AT$10,'Statement of Marks'!AN76,IF($P$3=$AT$11,'Statement of Marks'!BK76,IF($P$3=$AT$12,'Statement of Marks'!CH76,IF($P$3=$AT$13,'Statement of Marks'!DF76,IF($P$3=$AT$14,"",IF($P$3=$AT$15,'Statement of Marks'!EZ76,""))))))))),"")</f>
        <v/>
      </c>
      <c r="N77" s="812" t="str">
        <f>IFERROR(IF(B77="","",IF($P$3=$AT$8,'Statement of Marks'!L76,IF($P$3=$AT$9,'Statement of Marks'!Z76,IF($P$3=$AT$10,'Statement of Marks'!AO76,IF($P$3=$AT$11,'Statement of Marks'!BL76,IF($P$3=$AT$12,'Statement of Marks'!CI76,IF($P$3=$AT$13,'Statement of Marks'!DG76,IF($P$3=$AT$14,"",IF($P$3=$AT$15,'Statement of Marks'!FA76,""))))))))),"")</f>
        <v/>
      </c>
      <c r="O77" s="813" t="str">
        <f t="shared" si="18"/>
        <v/>
      </c>
      <c r="P77" s="812" t="str">
        <f>IFERROR(IF(B77="","",IF($P$3=$AT$8,'Statement of Marks'!N76,IF($P$3=$AT$9,'Statement of Marks'!AB76,IF($P$3=$AT$10,'Statement of Marks'!AQ76,IF($P$3=$AT$11,'Statement of Marks'!BN76,IF($P$3=$AT$12,'Statement of Marks'!CK76,IF($P$3=$AT$13,'Statement of Marks'!DI76,IF($P$3=$AT$14,"",IF($P$3=$AT$15,'Statement of Marks'!FC76,""))))))))),"")</f>
        <v/>
      </c>
      <c r="Q77" s="812" t="str">
        <f>IFERROR(IF(B77="","",IF($P$3=$AT$8,"",IF($P$3=$AT$9,"",IF($P$3=$AT$10,'Statement of Marks'!AR76,IF($P$3=$AT$11,'Statement of Marks'!BO76,IF($P$3=$AT$12,'Statement of Marks'!CL76,IF($P$3=$AT$13,'Statement of Marks'!DJ76,IF($P$3=$AT$14,"",IF($P$3=$AT$15,"",""))))))))),"")</f>
        <v/>
      </c>
      <c r="R77" s="824" t="str">
        <f>IFERROR(IF(B77="","",IF(AND(P77="",Q77="",$P$3=""),"",IF($P$3=$AT$14,'Statement of Marks'!EC76,SUM(P77,Q77)))),"")</f>
        <v/>
      </c>
      <c r="S77" s="823" t="str">
        <f>IFERROR(IF(B77="","",IF($P$3=$AT$14,'Statement of Marks'!ED76,IF(AND(O77="NA",P77="NA",Q77="NA"),"NA",IF(AND(O77="",P77="",Q77=""),"",SUM(O77,P77,Q77))))),"")</f>
        <v/>
      </c>
      <c r="T77" s="812" t="str">
        <f>IFERROR(IF(B77="","",IF($P$3=$AT$8,'Statement of Marks'!P76,IF($P$3=$AT$9,'Statement of Marks'!AD76,IF($P$3=$AT$10,'Statement of Marks'!AU76,IF($P$3=$AT$11,'Statement of Marks'!BR76,IF($P$3=$AT$12,'Statement of Marks'!CO76,IF($P$3=$AT$13,'Statement of Marks'!DM76,IF($P$3=$AT$14,"",IF($P$3=$AT$15,'Statement of Marks'!FD76,""))))))))),"")</f>
        <v/>
      </c>
      <c r="U77" s="812" t="str">
        <f>IFERROR(IF(B77="","",IF($P$3=$AT$8,"",IF($P$3=$AT$9,"",IF($P$3=$AT$10,'Statement of Marks'!AV76,IF($P$3=$AT$11,'Statement of Marks'!BS76,IF($P$3=$AT$12,'Statement of Marks'!CP76,IF($P$3=$AT$13,'Statement of Marks'!DN76,IF($P$3=$AT$14,"",IF($P$3=$AT$15,"",""))))))))),"")</f>
        <v/>
      </c>
      <c r="V77" s="824" t="str">
        <f>IFERROR(IF(B77="","",IF(AND(T77="",U77="",$P$3=""),"",IF($P$3=$AT$14,'Statement of Marks'!EE76,SUM(T77,U77)))),"")</f>
        <v/>
      </c>
      <c r="W77" s="814" t="str">
        <f t="shared" si="19"/>
        <v/>
      </c>
      <c r="X77" s="815">
        <f t="shared" si="20"/>
        <v>0</v>
      </c>
      <c r="Y77" s="815">
        <f t="shared" si="21"/>
        <v>0</v>
      </c>
      <c r="Z77" s="815">
        <f t="shared" si="22"/>
        <v>0</v>
      </c>
      <c r="AA77" s="815" t="str">
        <f t="shared" si="23"/>
        <v/>
      </c>
      <c r="AB77" s="815" t="str">
        <f t="shared" si="24"/>
        <v/>
      </c>
      <c r="AC77" s="815" t="str">
        <f t="shared" si="25"/>
        <v/>
      </c>
      <c r="AD77" s="815" t="str">
        <f t="shared" si="26"/>
        <v/>
      </c>
      <c r="AE77" s="816" t="str">
        <f t="shared" si="27"/>
        <v/>
      </c>
      <c r="AF77" s="817" t="str">
        <f t="shared" si="28"/>
        <v/>
      </c>
      <c r="AG77" s="818" t="str">
        <f t="shared" si="29"/>
        <v/>
      </c>
      <c r="AW77" s="17" t="str">
        <f t="shared" si="30"/>
        <v/>
      </c>
      <c r="AX77" s="17" t="str">
        <f t="shared" si="31"/>
        <v/>
      </c>
      <c r="BM77" s="17" t="str">
        <f>IFERROR(VLOOKUP(B77,'Statement of Marks'!$B$8:'Statement of Marks'!$HI$207,37,0),"")</f>
        <v>A</v>
      </c>
      <c r="BN77" s="17" t="str">
        <f>IFERROR(VLOOKUP(B77,'Statement of Marks'!$B$8:'Statement of Marks'!$HI$207,60,0),"")</f>
        <v>A</v>
      </c>
      <c r="BO77" s="17" t="str">
        <f>IFERROR(VLOOKUP(B77,'Statement of Marks'!$B$8:'Statement of Marks'!$HI$207,83,0),"")</f>
        <v>A</v>
      </c>
      <c r="BP77" s="17" t="str">
        <f>IFERROR(VLOOKUP(B77,'Statement of Marks'!$B$8:'Statement of Marks'!$HI$207,107,0),"")</f>
        <v/>
      </c>
    </row>
    <row r="78" spans="1:68">
      <c r="A78" s="806">
        <f>IF('Statement of Marks'!A77="","",'Statement of Marks'!A77)</f>
        <v>70</v>
      </c>
      <c r="B78" s="807" t="str">
        <f>IF(OR($E$3="",$P$3=""),"",IF('Statement of Marks'!B77="","",'Statement of Marks'!B77))</f>
        <v/>
      </c>
      <c r="C78" s="816" t="str">
        <f>IF(OR($E$3="",$P$3=""),"",IF('Marks Entry'!C77="","",'Marks Entry'!C77))</f>
        <v/>
      </c>
      <c r="D78" s="808" t="str">
        <f>IF(OR($E$3="",$P$3=""),"",IF('Statement of Marks'!C77="","",'Statement of Marks'!C77))</f>
        <v/>
      </c>
      <c r="E78" s="809" t="str">
        <f>IF(OR($E$3="",$P$3=""),"",IF('Statement of Marks'!D77="","",'Statement of Marks'!D77))</f>
        <v/>
      </c>
      <c r="F78" s="810" t="str">
        <f>IF(OR($E$3="",$P$3=""),"",IF('Statement of Marks'!E77="","",'Statement of Marks'!E77))</f>
        <v/>
      </c>
      <c r="G78" s="810" t="str">
        <f>IF(OR($E$3="",$P$3=""),"",IF('Statement of Marks'!F77="","",'Statement of Marks'!F77))</f>
        <v/>
      </c>
      <c r="H78" s="810" t="str">
        <f>IF(OR($E$3="",$P$3=""),"",IF('Statement of Marks'!G77="","",'Statement of Marks'!G77))</f>
        <v/>
      </c>
      <c r="I78" s="811" t="str">
        <f>IF(OR($E$3="",$P$3=""),"",IF('Statement of Marks'!H77="","",'Statement of Marks'!H77))</f>
        <v/>
      </c>
      <c r="J78" s="811" t="str">
        <f>IF(OR($E$3="",$P$3=""),"",IF('Statement of Marks'!I77="","",'Statement of Marks'!I77))</f>
        <v/>
      </c>
      <c r="K78" s="811" t="str">
        <f>IFERROR(IF(B78="","",IF($P$3=$AT$10,IF(AND(BM78="A"),'Marks Entry'!$U$2,IF(AND(BM78="B"),'Marks Entry'!$Y$2,IF(AND(BM78="C"),'Marks Entry'!$AA$2,""))),IF($P$3=$AT$11,IF(AND(BN78="A"),'Marks Entry'!$AC$2,IF(AND(BN78="B"),'Marks Entry'!$AG$2,IF(AND(BN78="C"),'Marks Entry'!$AI$2,""))),IF($P$3=$AT$12,IF(AND(BO78="A"),'Marks Entry'!$AK$2,IF(AND(BO78="B"),'Marks Entry'!$AO$2,IF(AND(BO78="C"),'Marks Entry'!$AQ$2,""))),IF($P$3=$AT$13,IF(AND(BP78="A"),'Marks Entry'!$AS$2,IF(AND(BP78="B"),'Marks Entry'!$AW$2,IF(AND(BP78="C"),'Marks Entry'!$AY$2,""))),"-"))))),"")</f>
        <v/>
      </c>
      <c r="L78" s="812" t="str">
        <f>IFERROR(IF(B78="","",IF($P$3=$AT$8,'Statement of Marks'!J77,IF($P$3=$AT$9,'Statement of Marks'!X77,IF($P$3=$AT$10,'Statement of Marks'!AM77,IF($P$3=$AT$11,'Statement of Marks'!BJ77,IF($P$3=$AT$12,'Statement of Marks'!CG77,IF($P$3=$AT$13,'Statement of Marks'!DE77,IF($P$3=$AT$14,"",IF($P$3=$AT$15,'Statement of Marks'!EY77,""))))))))),"")</f>
        <v/>
      </c>
      <c r="M78" s="812" t="str">
        <f>IFERROR(IF(B78="","",IF($P$3=$AT$8,'Statement of Marks'!K77,IF($P$3=$AT$9,'Statement of Marks'!Y77,IF($P$3=$AT$10,'Statement of Marks'!AN77,IF($P$3=$AT$11,'Statement of Marks'!BK77,IF($P$3=$AT$12,'Statement of Marks'!CH77,IF($P$3=$AT$13,'Statement of Marks'!DF77,IF($P$3=$AT$14,"",IF($P$3=$AT$15,'Statement of Marks'!EZ77,""))))))))),"")</f>
        <v/>
      </c>
      <c r="N78" s="812" t="str">
        <f>IFERROR(IF(B78="","",IF($P$3=$AT$8,'Statement of Marks'!L77,IF($P$3=$AT$9,'Statement of Marks'!Z77,IF($P$3=$AT$10,'Statement of Marks'!AO77,IF($P$3=$AT$11,'Statement of Marks'!BL77,IF($P$3=$AT$12,'Statement of Marks'!CI77,IF($P$3=$AT$13,'Statement of Marks'!DG77,IF($P$3=$AT$14,"",IF($P$3=$AT$15,'Statement of Marks'!FA77,""))))))))),"")</f>
        <v/>
      </c>
      <c r="O78" s="813" t="str">
        <f t="shared" si="18"/>
        <v/>
      </c>
      <c r="P78" s="812" t="str">
        <f>IFERROR(IF(B78="","",IF($P$3=$AT$8,'Statement of Marks'!N77,IF($P$3=$AT$9,'Statement of Marks'!AB77,IF($P$3=$AT$10,'Statement of Marks'!AQ77,IF($P$3=$AT$11,'Statement of Marks'!BN77,IF($P$3=$AT$12,'Statement of Marks'!CK77,IF($P$3=$AT$13,'Statement of Marks'!DI77,IF($P$3=$AT$14,"",IF($P$3=$AT$15,'Statement of Marks'!FC77,""))))))))),"")</f>
        <v/>
      </c>
      <c r="Q78" s="812" t="str">
        <f>IFERROR(IF(B78="","",IF($P$3=$AT$8,"",IF($P$3=$AT$9,"",IF($P$3=$AT$10,'Statement of Marks'!AR77,IF($P$3=$AT$11,'Statement of Marks'!BO77,IF($P$3=$AT$12,'Statement of Marks'!CL77,IF($P$3=$AT$13,'Statement of Marks'!DJ77,IF($P$3=$AT$14,"",IF($P$3=$AT$15,"",""))))))))),"")</f>
        <v/>
      </c>
      <c r="R78" s="824" t="str">
        <f>IFERROR(IF(B78="","",IF(AND(P78="",Q78="",$P$3=""),"",IF($P$3=$AT$14,'Statement of Marks'!EC77,SUM(P78,Q78)))),"")</f>
        <v/>
      </c>
      <c r="S78" s="823" t="str">
        <f>IFERROR(IF(B78="","",IF($P$3=$AT$14,'Statement of Marks'!ED77,IF(AND(O78="NA",P78="NA",Q78="NA"),"NA",IF(AND(O78="",P78="",Q78=""),"",SUM(O78,P78,Q78))))),"")</f>
        <v/>
      </c>
      <c r="T78" s="812" t="str">
        <f>IFERROR(IF(B78="","",IF($P$3=$AT$8,'Statement of Marks'!P77,IF($P$3=$AT$9,'Statement of Marks'!AD77,IF($P$3=$AT$10,'Statement of Marks'!AU77,IF($P$3=$AT$11,'Statement of Marks'!BR77,IF($P$3=$AT$12,'Statement of Marks'!CO77,IF($P$3=$AT$13,'Statement of Marks'!DM77,IF($P$3=$AT$14,"",IF($P$3=$AT$15,'Statement of Marks'!FD77,""))))))))),"")</f>
        <v/>
      </c>
      <c r="U78" s="812" t="str">
        <f>IFERROR(IF(B78="","",IF($P$3=$AT$8,"",IF($P$3=$AT$9,"",IF($P$3=$AT$10,'Statement of Marks'!AV77,IF($P$3=$AT$11,'Statement of Marks'!BS77,IF($P$3=$AT$12,'Statement of Marks'!CP77,IF($P$3=$AT$13,'Statement of Marks'!DN77,IF($P$3=$AT$14,"",IF($P$3=$AT$15,"",""))))))))),"")</f>
        <v/>
      </c>
      <c r="V78" s="824" t="str">
        <f>IFERROR(IF(B78="","",IF(AND(T78="",U78="",$P$3=""),"",IF($P$3=$AT$14,'Statement of Marks'!EE77,SUM(T78,U78)))),"")</f>
        <v/>
      </c>
      <c r="W78" s="814" t="str">
        <f t="shared" si="19"/>
        <v/>
      </c>
      <c r="X78" s="815">
        <f t="shared" si="20"/>
        <v>0</v>
      </c>
      <c r="Y78" s="815">
        <f t="shared" si="21"/>
        <v>0</v>
      </c>
      <c r="Z78" s="815">
        <f t="shared" si="22"/>
        <v>0</v>
      </c>
      <c r="AA78" s="815" t="str">
        <f t="shared" si="23"/>
        <v/>
      </c>
      <c r="AB78" s="815" t="str">
        <f t="shared" si="24"/>
        <v/>
      </c>
      <c r="AC78" s="815" t="str">
        <f t="shared" si="25"/>
        <v/>
      </c>
      <c r="AD78" s="815" t="str">
        <f t="shared" si="26"/>
        <v/>
      </c>
      <c r="AE78" s="816" t="str">
        <f t="shared" si="27"/>
        <v/>
      </c>
      <c r="AF78" s="817" t="str">
        <f t="shared" si="28"/>
        <v/>
      </c>
      <c r="AG78" s="818" t="str">
        <f t="shared" si="29"/>
        <v/>
      </c>
      <c r="AW78" s="17" t="str">
        <f t="shared" si="30"/>
        <v/>
      </c>
      <c r="AX78" s="17" t="str">
        <f t="shared" si="31"/>
        <v/>
      </c>
      <c r="BM78" s="17" t="str">
        <f>IFERROR(VLOOKUP(B78,'Statement of Marks'!$B$8:'Statement of Marks'!$HI$207,37,0),"")</f>
        <v>A</v>
      </c>
      <c r="BN78" s="17" t="str">
        <f>IFERROR(VLOOKUP(B78,'Statement of Marks'!$B$8:'Statement of Marks'!$HI$207,60,0),"")</f>
        <v>A</v>
      </c>
      <c r="BO78" s="17" t="str">
        <f>IFERROR(VLOOKUP(B78,'Statement of Marks'!$B$8:'Statement of Marks'!$HI$207,83,0),"")</f>
        <v>A</v>
      </c>
      <c r="BP78" s="17" t="str">
        <f>IFERROR(VLOOKUP(B78,'Statement of Marks'!$B$8:'Statement of Marks'!$HI$207,107,0),"")</f>
        <v/>
      </c>
    </row>
    <row r="79" spans="1:68">
      <c r="A79" s="806">
        <f>IF('Statement of Marks'!A78="","",'Statement of Marks'!A78)</f>
        <v>71</v>
      </c>
      <c r="B79" s="807" t="str">
        <f>IF(OR($E$3="",$P$3=""),"",IF('Statement of Marks'!B78="","",'Statement of Marks'!B78))</f>
        <v/>
      </c>
      <c r="C79" s="816" t="str">
        <f>IF(OR($E$3="",$P$3=""),"",IF('Marks Entry'!C78="","",'Marks Entry'!C78))</f>
        <v/>
      </c>
      <c r="D79" s="808" t="str">
        <f>IF(OR($E$3="",$P$3=""),"",IF('Statement of Marks'!C78="","",'Statement of Marks'!C78))</f>
        <v/>
      </c>
      <c r="E79" s="809" t="str">
        <f>IF(OR($E$3="",$P$3=""),"",IF('Statement of Marks'!D78="","",'Statement of Marks'!D78))</f>
        <v/>
      </c>
      <c r="F79" s="810" t="str">
        <f>IF(OR($E$3="",$P$3=""),"",IF('Statement of Marks'!E78="","",'Statement of Marks'!E78))</f>
        <v/>
      </c>
      <c r="G79" s="810" t="str">
        <f>IF(OR($E$3="",$P$3=""),"",IF('Statement of Marks'!F78="","",'Statement of Marks'!F78))</f>
        <v/>
      </c>
      <c r="H79" s="810" t="str">
        <f>IF(OR($E$3="",$P$3=""),"",IF('Statement of Marks'!G78="","",'Statement of Marks'!G78))</f>
        <v/>
      </c>
      <c r="I79" s="811" t="str">
        <f>IF(OR($E$3="",$P$3=""),"",IF('Statement of Marks'!H78="","",'Statement of Marks'!H78))</f>
        <v/>
      </c>
      <c r="J79" s="811" t="str">
        <f>IF(OR($E$3="",$P$3=""),"",IF('Statement of Marks'!I78="","",'Statement of Marks'!I78))</f>
        <v/>
      </c>
      <c r="K79" s="811" t="str">
        <f>IFERROR(IF(B79="","",IF($P$3=$AT$10,IF(AND(BM79="A"),'Marks Entry'!$U$2,IF(AND(BM79="B"),'Marks Entry'!$Y$2,IF(AND(BM79="C"),'Marks Entry'!$AA$2,""))),IF($P$3=$AT$11,IF(AND(BN79="A"),'Marks Entry'!$AC$2,IF(AND(BN79="B"),'Marks Entry'!$AG$2,IF(AND(BN79="C"),'Marks Entry'!$AI$2,""))),IF($P$3=$AT$12,IF(AND(BO79="A"),'Marks Entry'!$AK$2,IF(AND(BO79="B"),'Marks Entry'!$AO$2,IF(AND(BO79="C"),'Marks Entry'!$AQ$2,""))),IF($P$3=$AT$13,IF(AND(BP79="A"),'Marks Entry'!$AS$2,IF(AND(BP79="B"),'Marks Entry'!$AW$2,IF(AND(BP79="C"),'Marks Entry'!$AY$2,""))),"-"))))),"")</f>
        <v/>
      </c>
      <c r="L79" s="812" t="str">
        <f>IFERROR(IF(B79="","",IF($P$3=$AT$8,'Statement of Marks'!J78,IF($P$3=$AT$9,'Statement of Marks'!X78,IF($P$3=$AT$10,'Statement of Marks'!AM78,IF($P$3=$AT$11,'Statement of Marks'!BJ78,IF($P$3=$AT$12,'Statement of Marks'!CG78,IF($P$3=$AT$13,'Statement of Marks'!DE78,IF($P$3=$AT$14,"",IF($P$3=$AT$15,'Statement of Marks'!EY78,""))))))))),"")</f>
        <v/>
      </c>
      <c r="M79" s="812" t="str">
        <f>IFERROR(IF(B79="","",IF($P$3=$AT$8,'Statement of Marks'!K78,IF($P$3=$AT$9,'Statement of Marks'!Y78,IF($P$3=$AT$10,'Statement of Marks'!AN78,IF($P$3=$AT$11,'Statement of Marks'!BK78,IF($P$3=$AT$12,'Statement of Marks'!CH78,IF($P$3=$AT$13,'Statement of Marks'!DF78,IF($P$3=$AT$14,"",IF($P$3=$AT$15,'Statement of Marks'!EZ78,""))))))))),"")</f>
        <v/>
      </c>
      <c r="N79" s="812" t="str">
        <f>IFERROR(IF(B79="","",IF($P$3=$AT$8,'Statement of Marks'!L78,IF($P$3=$AT$9,'Statement of Marks'!Z78,IF($P$3=$AT$10,'Statement of Marks'!AO78,IF($P$3=$AT$11,'Statement of Marks'!BL78,IF($P$3=$AT$12,'Statement of Marks'!CI78,IF($P$3=$AT$13,'Statement of Marks'!DG78,IF($P$3=$AT$14,"",IF($P$3=$AT$15,'Statement of Marks'!FA78,""))))))))),"")</f>
        <v/>
      </c>
      <c r="O79" s="813" t="str">
        <f t="shared" si="18"/>
        <v/>
      </c>
      <c r="P79" s="812" t="str">
        <f>IFERROR(IF(B79="","",IF($P$3=$AT$8,'Statement of Marks'!N78,IF($P$3=$AT$9,'Statement of Marks'!AB78,IF($P$3=$AT$10,'Statement of Marks'!AQ78,IF($P$3=$AT$11,'Statement of Marks'!BN78,IF($P$3=$AT$12,'Statement of Marks'!CK78,IF($P$3=$AT$13,'Statement of Marks'!DI78,IF($P$3=$AT$14,"",IF($P$3=$AT$15,'Statement of Marks'!FC78,""))))))))),"")</f>
        <v/>
      </c>
      <c r="Q79" s="812" t="str">
        <f>IFERROR(IF(B79="","",IF($P$3=$AT$8,"",IF($P$3=$AT$9,"",IF($P$3=$AT$10,'Statement of Marks'!AR78,IF($P$3=$AT$11,'Statement of Marks'!BO78,IF($P$3=$AT$12,'Statement of Marks'!CL78,IF($P$3=$AT$13,'Statement of Marks'!DJ78,IF($P$3=$AT$14,"",IF($P$3=$AT$15,"",""))))))))),"")</f>
        <v/>
      </c>
      <c r="R79" s="824" t="str">
        <f>IFERROR(IF(B79="","",IF(AND(P79="",Q79="",$P$3=""),"",IF($P$3=$AT$14,'Statement of Marks'!EC78,SUM(P79,Q79)))),"")</f>
        <v/>
      </c>
      <c r="S79" s="823" t="str">
        <f>IFERROR(IF(B79="","",IF($P$3=$AT$14,'Statement of Marks'!ED78,IF(AND(O79="NA",P79="NA",Q79="NA"),"NA",IF(AND(O79="",P79="",Q79=""),"",SUM(O79,P79,Q79))))),"")</f>
        <v/>
      </c>
      <c r="T79" s="812" t="str">
        <f>IFERROR(IF(B79="","",IF($P$3=$AT$8,'Statement of Marks'!P78,IF($P$3=$AT$9,'Statement of Marks'!AD78,IF($P$3=$AT$10,'Statement of Marks'!AU78,IF($P$3=$AT$11,'Statement of Marks'!BR78,IF($P$3=$AT$12,'Statement of Marks'!CO78,IF($P$3=$AT$13,'Statement of Marks'!DM78,IF($P$3=$AT$14,"",IF($P$3=$AT$15,'Statement of Marks'!FD78,""))))))))),"")</f>
        <v/>
      </c>
      <c r="U79" s="812" t="str">
        <f>IFERROR(IF(B79="","",IF($P$3=$AT$8,"",IF($P$3=$AT$9,"",IF($P$3=$AT$10,'Statement of Marks'!AV78,IF($P$3=$AT$11,'Statement of Marks'!BS78,IF($P$3=$AT$12,'Statement of Marks'!CP78,IF($P$3=$AT$13,'Statement of Marks'!DN78,IF($P$3=$AT$14,"",IF($P$3=$AT$15,"",""))))))))),"")</f>
        <v/>
      </c>
      <c r="V79" s="824" t="str">
        <f>IFERROR(IF(B79="","",IF(AND(T79="",U79="",$P$3=""),"",IF($P$3=$AT$14,'Statement of Marks'!EE78,SUM(T79,U79)))),"")</f>
        <v/>
      </c>
      <c r="W79" s="814" t="str">
        <f t="shared" si="19"/>
        <v/>
      </c>
      <c r="X79" s="815">
        <f t="shared" si="20"/>
        <v>0</v>
      </c>
      <c r="Y79" s="815">
        <f t="shared" si="21"/>
        <v>0</v>
      </c>
      <c r="Z79" s="815">
        <f t="shared" si="22"/>
        <v>0</v>
      </c>
      <c r="AA79" s="815" t="str">
        <f t="shared" si="23"/>
        <v/>
      </c>
      <c r="AB79" s="815" t="str">
        <f t="shared" si="24"/>
        <v/>
      </c>
      <c r="AC79" s="815" t="str">
        <f t="shared" si="25"/>
        <v/>
      </c>
      <c r="AD79" s="815" t="str">
        <f t="shared" si="26"/>
        <v/>
      </c>
      <c r="AE79" s="816" t="str">
        <f t="shared" si="27"/>
        <v/>
      </c>
      <c r="AF79" s="817" t="str">
        <f t="shared" si="28"/>
        <v/>
      </c>
      <c r="AG79" s="818" t="str">
        <f t="shared" si="29"/>
        <v/>
      </c>
      <c r="AW79" s="17" t="str">
        <f t="shared" si="30"/>
        <v/>
      </c>
      <c r="AX79" s="17" t="str">
        <f t="shared" si="31"/>
        <v/>
      </c>
      <c r="BM79" s="17" t="str">
        <f>IFERROR(VLOOKUP(B79,'Statement of Marks'!$B$8:'Statement of Marks'!$HI$207,37,0),"")</f>
        <v>A</v>
      </c>
      <c r="BN79" s="17" t="str">
        <f>IFERROR(VLOOKUP(B79,'Statement of Marks'!$B$8:'Statement of Marks'!$HI$207,60,0),"")</f>
        <v>A</v>
      </c>
      <c r="BO79" s="17" t="str">
        <f>IFERROR(VLOOKUP(B79,'Statement of Marks'!$B$8:'Statement of Marks'!$HI$207,83,0),"")</f>
        <v>A</v>
      </c>
      <c r="BP79" s="17" t="str">
        <f>IFERROR(VLOOKUP(B79,'Statement of Marks'!$B$8:'Statement of Marks'!$HI$207,107,0),"")</f>
        <v/>
      </c>
    </row>
    <row r="80" spans="1:68">
      <c r="A80" s="806">
        <f>IF('Statement of Marks'!A79="","",'Statement of Marks'!A79)</f>
        <v>72</v>
      </c>
      <c r="B80" s="807" t="str">
        <f>IF(OR($E$3="",$P$3=""),"",IF('Statement of Marks'!B79="","",'Statement of Marks'!B79))</f>
        <v/>
      </c>
      <c r="C80" s="816" t="str">
        <f>IF(OR($E$3="",$P$3=""),"",IF('Marks Entry'!C79="","",'Marks Entry'!C79))</f>
        <v/>
      </c>
      <c r="D80" s="808" t="str">
        <f>IF(OR($E$3="",$P$3=""),"",IF('Statement of Marks'!C79="","",'Statement of Marks'!C79))</f>
        <v/>
      </c>
      <c r="E80" s="809" t="str">
        <f>IF(OR($E$3="",$P$3=""),"",IF('Statement of Marks'!D79="","",'Statement of Marks'!D79))</f>
        <v/>
      </c>
      <c r="F80" s="810" t="str">
        <f>IF(OR($E$3="",$P$3=""),"",IF('Statement of Marks'!E79="","",'Statement of Marks'!E79))</f>
        <v/>
      </c>
      <c r="G80" s="810" t="str">
        <f>IF(OR($E$3="",$P$3=""),"",IF('Statement of Marks'!F79="","",'Statement of Marks'!F79))</f>
        <v/>
      </c>
      <c r="H80" s="810" t="str">
        <f>IF(OR($E$3="",$P$3=""),"",IF('Statement of Marks'!G79="","",'Statement of Marks'!G79))</f>
        <v/>
      </c>
      <c r="I80" s="811" t="str">
        <f>IF(OR($E$3="",$P$3=""),"",IF('Statement of Marks'!H79="","",'Statement of Marks'!H79))</f>
        <v/>
      </c>
      <c r="J80" s="811" t="str">
        <f>IF(OR($E$3="",$P$3=""),"",IF('Statement of Marks'!I79="","",'Statement of Marks'!I79))</f>
        <v/>
      </c>
      <c r="K80" s="811" t="str">
        <f>IFERROR(IF(B80="","",IF($P$3=$AT$10,IF(AND(BM80="A"),'Marks Entry'!$U$2,IF(AND(BM80="B"),'Marks Entry'!$Y$2,IF(AND(BM80="C"),'Marks Entry'!$AA$2,""))),IF($P$3=$AT$11,IF(AND(BN80="A"),'Marks Entry'!$AC$2,IF(AND(BN80="B"),'Marks Entry'!$AG$2,IF(AND(BN80="C"),'Marks Entry'!$AI$2,""))),IF($P$3=$AT$12,IF(AND(BO80="A"),'Marks Entry'!$AK$2,IF(AND(BO80="B"),'Marks Entry'!$AO$2,IF(AND(BO80="C"),'Marks Entry'!$AQ$2,""))),IF($P$3=$AT$13,IF(AND(BP80="A"),'Marks Entry'!$AS$2,IF(AND(BP80="B"),'Marks Entry'!$AW$2,IF(AND(BP80="C"),'Marks Entry'!$AY$2,""))),"-"))))),"")</f>
        <v/>
      </c>
      <c r="L80" s="812" t="str">
        <f>IFERROR(IF(B80="","",IF($P$3=$AT$8,'Statement of Marks'!J79,IF($P$3=$AT$9,'Statement of Marks'!X79,IF($P$3=$AT$10,'Statement of Marks'!AM79,IF($P$3=$AT$11,'Statement of Marks'!BJ79,IF($P$3=$AT$12,'Statement of Marks'!CG79,IF($P$3=$AT$13,'Statement of Marks'!DE79,IF($P$3=$AT$14,"",IF($P$3=$AT$15,'Statement of Marks'!EY79,""))))))))),"")</f>
        <v/>
      </c>
      <c r="M80" s="812" t="str">
        <f>IFERROR(IF(B80="","",IF($P$3=$AT$8,'Statement of Marks'!K79,IF($P$3=$AT$9,'Statement of Marks'!Y79,IF($P$3=$AT$10,'Statement of Marks'!AN79,IF($P$3=$AT$11,'Statement of Marks'!BK79,IF($P$3=$AT$12,'Statement of Marks'!CH79,IF($P$3=$AT$13,'Statement of Marks'!DF79,IF($P$3=$AT$14,"",IF($P$3=$AT$15,'Statement of Marks'!EZ79,""))))))))),"")</f>
        <v/>
      </c>
      <c r="N80" s="812" t="str">
        <f>IFERROR(IF(B80="","",IF($P$3=$AT$8,'Statement of Marks'!L79,IF($P$3=$AT$9,'Statement of Marks'!Z79,IF($P$3=$AT$10,'Statement of Marks'!AO79,IF($P$3=$AT$11,'Statement of Marks'!BL79,IF($P$3=$AT$12,'Statement of Marks'!CI79,IF($P$3=$AT$13,'Statement of Marks'!DG79,IF($P$3=$AT$14,"",IF($P$3=$AT$15,'Statement of Marks'!FA79,""))))))))),"")</f>
        <v/>
      </c>
      <c r="O80" s="813" t="str">
        <f t="shared" si="18"/>
        <v/>
      </c>
      <c r="P80" s="812" t="str">
        <f>IFERROR(IF(B80="","",IF($P$3=$AT$8,'Statement of Marks'!N79,IF($P$3=$AT$9,'Statement of Marks'!AB79,IF($P$3=$AT$10,'Statement of Marks'!AQ79,IF($P$3=$AT$11,'Statement of Marks'!BN79,IF($P$3=$AT$12,'Statement of Marks'!CK79,IF($P$3=$AT$13,'Statement of Marks'!DI79,IF($P$3=$AT$14,"",IF($P$3=$AT$15,'Statement of Marks'!FC79,""))))))))),"")</f>
        <v/>
      </c>
      <c r="Q80" s="812" t="str">
        <f>IFERROR(IF(B80="","",IF($P$3=$AT$8,"",IF($P$3=$AT$9,"",IF($P$3=$AT$10,'Statement of Marks'!AR79,IF($P$3=$AT$11,'Statement of Marks'!BO79,IF($P$3=$AT$12,'Statement of Marks'!CL79,IF($P$3=$AT$13,'Statement of Marks'!DJ79,IF($P$3=$AT$14,"",IF($P$3=$AT$15,"",""))))))))),"")</f>
        <v/>
      </c>
      <c r="R80" s="824" t="str">
        <f>IFERROR(IF(B80="","",IF(AND(P80="",Q80="",$P$3=""),"",IF($P$3=$AT$14,'Statement of Marks'!EC79,SUM(P80,Q80)))),"")</f>
        <v/>
      </c>
      <c r="S80" s="823" t="str">
        <f>IFERROR(IF(B80="","",IF($P$3=$AT$14,'Statement of Marks'!ED79,IF(AND(O80="NA",P80="NA",Q80="NA"),"NA",IF(AND(O80="",P80="",Q80=""),"",SUM(O80,P80,Q80))))),"")</f>
        <v/>
      </c>
      <c r="T80" s="812" t="str">
        <f>IFERROR(IF(B80="","",IF($P$3=$AT$8,'Statement of Marks'!P79,IF($P$3=$AT$9,'Statement of Marks'!AD79,IF($P$3=$AT$10,'Statement of Marks'!AU79,IF($P$3=$AT$11,'Statement of Marks'!BR79,IF($P$3=$AT$12,'Statement of Marks'!CO79,IF($P$3=$AT$13,'Statement of Marks'!DM79,IF($P$3=$AT$14,"",IF($P$3=$AT$15,'Statement of Marks'!FD79,""))))))))),"")</f>
        <v/>
      </c>
      <c r="U80" s="812" t="str">
        <f>IFERROR(IF(B80="","",IF($P$3=$AT$8,"",IF($P$3=$AT$9,"",IF($P$3=$AT$10,'Statement of Marks'!AV79,IF($P$3=$AT$11,'Statement of Marks'!BS79,IF($P$3=$AT$12,'Statement of Marks'!CP79,IF($P$3=$AT$13,'Statement of Marks'!DN79,IF($P$3=$AT$14,"",IF($P$3=$AT$15,"",""))))))))),"")</f>
        <v/>
      </c>
      <c r="V80" s="824" t="str">
        <f>IFERROR(IF(B80="","",IF(AND(T80="",U80="",$P$3=""),"",IF($P$3=$AT$14,'Statement of Marks'!EE79,SUM(T80,U80)))),"")</f>
        <v/>
      </c>
      <c r="W80" s="814" t="str">
        <f t="shared" si="19"/>
        <v/>
      </c>
      <c r="X80" s="815">
        <f t="shared" si="20"/>
        <v>0</v>
      </c>
      <c r="Y80" s="815">
        <f t="shared" si="21"/>
        <v>0</v>
      </c>
      <c r="Z80" s="815">
        <f t="shared" si="22"/>
        <v>0</v>
      </c>
      <c r="AA80" s="815" t="str">
        <f t="shared" si="23"/>
        <v/>
      </c>
      <c r="AB80" s="815" t="str">
        <f t="shared" si="24"/>
        <v/>
      </c>
      <c r="AC80" s="815" t="str">
        <f t="shared" si="25"/>
        <v/>
      </c>
      <c r="AD80" s="815" t="str">
        <f t="shared" si="26"/>
        <v/>
      </c>
      <c r="AE80" s="816" t="str">
        <f t="shared" si="27"/>
        <v/>
      </c>
      <c r="AF80" s="817" t="str">
        <f t="shared" si="28"/>
        <v/>
      </c>
      <c r="AG80" s="818" t="str">
        <f t="shared" si="29"/>
        <v/>
      </c>
      <c r="AW80" s="17" t="str">
        <f t="shared" si="30"/>
        <v/>
      </c>
      <c r="AX80" s="17" t="str">
        <f t="shared" si="31"/>
        <v/>
      </c>
      <c r="BM80" s="17" t="str">
        <f>IFERROR(VLOOKUP(B80,'Statement of Marks'!$B$8:'Statement of Marks'!$HI$207,37,0),"")</f>
        <v>A</v>
      </c>
      <c r="BN80" s="17" t="str">
        <f>IFERROR(VLOOKUP(B80,'Statement of Marks'!$B$8:'Statement of Marks'!$HI$207,60,0),"")</f>
        <v>A</v>
      </c>
      <c r="BO80" s="17" t="str">
        <f>IFERROR(VLOOKUP(B80,'Statement of Marks'!$B$8:'Statement of Marks'!$HI$207,83,0),"")</f>
        <v>A</v>
      </c>
      <c r="BP80" s="17" t="str">
        <f>IFERROR(VLOOKUP(B80,'Statement of Marks'!$B$8:'Statement of Marks'!$HI$207,107,0),"")</f>
        <v/>
      </c>
    </row>
    <row r="81" spans="1:68">
      <c r="A81" s="806">
        <f>IF('Statement of Marks'!A80="","",'Statement of Marks'!A80)</f>
        <v>73</v>
      </c>
      <c r="B81" s="807" t="str">
        <f>IF(OR($E$3="",$P$3=""),"",IF('Statement of Marks'!B80="","",'Statement of Marks'!B80))</f>
        <v/>
      </c>
      <c r="C81" s="816" t="str">
        <f>IF(OR($E$3="",$P$3=""),"",IF('Marks Entry'!C80="","",'Marks Entry'!C80))</f>
        <v/>
      </c>
      <c r="D81" s="808" t="str">
        <f>IF(OR($E$3="",$P$3=""),"",IF('Statement of Marks'!C80="","",'Statement of Marks'!C80))</f>
        <v/>
      </c>
      <c r="E81" s="809" t="str">
        <f>IF(OR($E$3="",$P$3=""),"",IF('Statement of Marks'!D80="","",'Statement of Marks'!D80))</f>
        <v/>
      </c>
      <c r="F81" s="810" t="str">
        <f>IF(OR($E$3="",$P$3=""),"",IF('Statement of Marks'!E80="","",'Statement of Marks'!E80))</f>
        <v/>
      </c>
      <c r="G81" s="810" t="str">
        <f>IF(OR($E$3="",$P$3=""),"",IF('Statement of Marks'!F80="","",'Statement of Marks'!F80))</f>
        <v/>
      </c>
      <c r="H81" s="810" t="str">
        <f>IF(OR($E$3="",$P$3=""),"",IF('Statement of Marks'!G80="","",'Statement of Marks'!G80))</f>
        <v/>
      </c>
      <c r="I81" s="811" t="str">
        <f>IF(OR($E$3="",$P$3=""),"",IF('Statement of Marks'!H80="","",'Statement of Marks'!H80))</f>
        <v/>
      </c>
      <c r="J81" s="811" t="str">
        <f>IF(OR($E$3="",$P$3=""),"",IF('Statement of Marks'!I80="","",'Statement of Marks'!I80))</f>
        <v/>
      </c>
      <c r="K81" s="811" t="str">
        <f>IFERROR(IF(B81="","",IF($P$3=$AT$10,IF(AND(BM81="A"),'Marks Entry'!$U$2,IF(AND(BM81="B"),'Marks Entry'!$Y$2,IF(AND(BM81="C"),'Marks Entry'!$AA$2,""))),IF($P$3=$AT$11,IF(AND(BN81="A"),'Marks Entry'!$AC$2,IF(AND(BN81="B"),'Marks Entry'!$AG$2,IF(AND(BN81="C"),'Marks Entry'!$AI$2,""))),IF($P$3=$AT$12,IF(AND(BO81="A"),'Marks Entry'!$AK$2,IF(AND(BO81="B"),'Marks Entry'!$AO$2,IF(AND(BO81="C"),'Marks Entry'!$AQ$2,""))),IF($P$3=$AT$13,IF(AND(BP81="A"),'Marks Entry'!$AS$2,IF(AND(BP81="B"),'Marks Entry'!$AW$2,IF(AND(BP81="C"),'Marks Entry'!$AY$2,""))),"-"))))),"")</f>
        <v/>
      </c>
      <c r="L81" s="812" t="str">
        <f>IFERROR(IF(B81="","",IF($P$3=$AT$8,'Statement of Marks'!J80,IF($P$3=$AT$9,'Statement of Marks'!X80,IF($P$3=$AT$10,'Statement of Marks'!AM80,IF($P$3=$AT$11,'Statement of Marks'!BJ80,IF($P$3=$AT$12,'Statement of Marks'!CG80,IF($P$3=$AT$13,'Statement of Marks'!DE80,IF($P$3=$AT$14,"",IF($P$3=$AT$15,'Statement of Marks'!EY80,""))))))))),"")</f>
        <v/>
      </c>
      <c r="M81" s="812" t="str">
        <f>IFERROR(IF(B81="","",IF($P$3=$AT$8,'Statement of Marks'!K80,IF($P$3=$AT$9,'Statement of Marks'!Y80,IF($P$3=$AT$10,'Statement of Marks'!AN80,IF($P$3=$AT$11,'Statement of Marks'!BK80,IF($P$3=$AT$12,'Statement of Marks'!CH80,IF($P$3=$AT$13,'Statement of Marks'!DF80,IF($P$3=$AT$14,"",IF($P$3=$AT$15,'Statement of Marks'!EZ80,""))))))))),"")</f>
        <v/>
      </c>
      <c r="N81" s="812" t="str">
        <f>IFERROR(IF(B81="","",IF($P$3=$AT$8,'Statement of Marks'!L80,IF($P$3=$AT$9,'Statement of Marks'!Z80,IF($P$3=$AT$10,'Statement of Marks'!AO80,IF($P$3=$AT$11,'Statement of Marks'!BL80,IF($P$3=$AT$12,'Statement of Marks'!CI80,IF($P$3=$AT$13,'Statement of Marks'!DG80,IF($P$3=$AT$14,"",IF($P$3=$AT$15,'Statement of Marks'!FA80,""))))))))),"")</f>
        <v/>
      </c>
      <c r="O81" s="813" t="str">
        <f t="shared" si="18"/>
        <v/>
      </c>
      <c r="P81" s="812" t="str">
        <f>IFERROR(IF(B81="","",IF($P$3=$AT$8,'Statement of Marks'!N80,IF($P$3=$AT$9,'Statement of Marks'!AB80,IF($P$3=$AT$10,'Statement of Marks'!AQ80,IF($P$3=$AT$11,'Statement of Marks'!BN80,IF($P$3=$AT$12,'Statement of Marks'!CK80,IF($P$3=$AT$13,'Statement of Marks'!DI80,IF($P$3=$AT$14,"",IF($P$3=$AT$15,'Statement of Marks'!FC80,""))))))))),"")</f>
        <v/>
      </c>
      <c r="Q81" s="812" t="str">
        <f>IFERROR(IF(B81="","",IF($P$3=$AT$8,"",IF($P$3=$AT$9,"",IF($P$3=$AT$10,'Statement of Marks'!AR80,IF($P$3=$AT$11,'Statement of Marks'!BO80,IF($P$3=$AT$12,'Statement of Marks'!CL80,IF($P$3=$AT$13,'Statement of Marks'!DJ80,IF($P$3=$AT$14,"",IF($P$3=$AT$15,"",""))))))))),"")</f>
        <v/>
      </c>
      <c r="R81" s="824" t="str">
        <f>IFERROR(IF(B81="","",IF(AND(P81="",Q81="",$P$3=""),"",IF($P$3=$AT$14,'Statement of Marks'!EC80,SUM(P81,Q81)))),"")</f>
        <v/>
      </c>
      <c r="S81" s="823" t="str">
        <f>IFERROR(IF(B81="","",IF($P$3=$AT$14,'Statement of Marks'!ED80,IF(AND(O81="NA",P81="NA",Q81="NA"),"NA",IF(AND(O81="",P81="",Q81=""),"",SUM(O81,P81,Q81))))),"")</f>
        <v/>
      </c>
      <c r="T81" s="812" t="str">
        <f>IFERROR(IF(B81="","",IF($P$3=$AT$8,'Statement of Marks'!P80,IF($P$3=$AT$9,'Statement of Marks'!AD80,IF($P$3=$AT$10,'Statement of Marks'!AU80,IF($P$3=$AT$11,'Statement of Marks'!BR80,IF($P$3=$AT$12,'Statement of Marks'!CO80,IF($P$3=$AT$13,'Statement of Marks'!DM80,IF($P$3=$AT$14,"",IF($P$3=$AT$15,'Statement of Marks'!FD80,""))))))))),"")</f>
        <v/>
      </c>
      <c r="U81" s="812" t="str">
        <f>IFERROR(IF(B81="","",IF($P$3=$AT$8,"",IF($P$3=$AT$9,"",IF($P$3=$AT$10,'Statement of Marks'!AV80,IF($P$3=$AT$11,'Statement of Marks'!BS80,IF($P$3=$AT$12,'Statement of Marks'!CP80,IF($P$3=$AT$13,'Statement of Marks'!DN80,IF($P$3=$AT$14,"",IF($P$3=$AT$15,"",""))))))))),"")</f>
        <v/>
      </c>
      <c r="V81" s="824" t="str">
        <f>IFERROR(IF(B81="","",IF(AND(T81="",U81="",$P$3=""),"",IF($P$3=$AT$14,'Statement of Marks'!EE80,SUM(T81,U81)))),"")</f>
        <v/>
      </c>
      <c r="W81" s="814" t="str">
        <f t="shared" si="19"/>
        <v/>
      </c>
      <c r="X81" s="815">
        <f t="shared" si="20"/>
        <v>0</v>
      </c>
      <c r="Y81" s="815">
        <f t="shared" si="21"/>
        <v>0</v>
      </c>
      <c r="Z81" s="815">
        <f t="shared" si="22"/>
        <v>0</v>
      </c>
      <c r="AA81" s="815" t="str">
        <f t="shared" si="23"/>
        <v/>
      </c>
      <c r="AB81" s="815" t="str">
        <f t="shared" si="24"/>
        <v/>
      </c>
      <c r="AC81" s="815" t="str">
        <f t="shared" si="25"/>
        <v/>
      </c>
      <c r="AD81" s="815" t="str">
        <f t="shared" si="26"/>
        <v/>
      </c>
      <c r="AE81" s="816" t="str">
        <f t="shared" si="27"/>
        <v/>
      </c>
      <c r="AF81" s="817" t="str">
        <f t="shared" si="28"/>
        <v/>
      </c>
      <c r="AG81" s="818" t="str">
        <f t="shared" si="29"/>
        <v/>
      </c>
      <c r="AW81" s="17" t="str">
        <f t="shared" si="30"/>
        <v/>
      </c>
      <c r="AX81" s="17" t="str">
        <f t="shared" si="31"/>
        <v/>
      </c>
      <c r="BM81" s="17" t="str">
        <f>IFERROR(VLOOKUP(B81,'Statement of Marks'!$B$8:'Statement of Marks'!$HI$207,37,0),"")</f>
        <v>A</v>
      </c>
      <c r="BN81" s="17" t="str">
        <f>IFERROR(VLOOKUP(B81,'Statement of Marks'!$B$8:'Statement of Marks'!$HI$207,60,0),"")</f>
        <v>A</v>
      </c>
      <c r="BO81" s="17" t="str">
        <f>IFERROR(VLOOKUP(B81,'Statement of Marks'!$B$8:'Statement of Marks'!$HI$207,83,0),"")</f>
        <v>A</v>
      </c>
      <c r="BP81" s="17" t="str">
        <f>IFERROR(VLOOKUP(B81,'Statement of Marks'!$B$8:'Statement of Marks'!$HI$207,107,0),"")</f>
        <v/>
      </c>
    </row>
    <row r="82" spans="1:68">
      <c r="A82" s="806">
        <f>IF('Statement of Marks'!A81="","",'Statement of Marks'!A81)</f>
        <v>74</v>
      </c>
      <c r="B82" s="807" t="str">
        <f>IF(OR($E$3="",$P$3=""),"",IF('Statement of Marks'!B81="","",'Statement of Marks'!B81))</f>
        <v/>
      </c>
      <c r="C82" s="816" t="str">
        <f>IF(OR($E$3="",$P$3=""),"",IF('Marks Entry'!C81="","",'Marks Entry'!C81))</f>
        <v/>
      </c>
      <c r="D82" s="808" t="str">
        <f>IF(OR($E$3="",$P$3=""),"",IF('Statement of Marks'!C81="","",'Statement of Marks'!C81))</f>
        <v/>
      </c>
      <c r="E82" s="809" t="str">
        <f>IF(OR($E$3="",$P$3=""),"",IF('Statement of Marks'!D81="","",'Statement of Marks'!D81))</f>
        <v/>
      </c>
      <c r="F82" s="810" t="str">
        <f>IF(OR($E$3="",$P$3=""),"",IF('Statement of Marks'!E81="","",'Statement of Marks'!E81))</f>
        <v/>
      </c>
      <c r="G82" s="810" t="str">
        <f>IF(OR($E$3="",$P$3=""),"",IF('Statement of Marks'!F81="","",'Statement of Marks'!F81))</f>
        <v/>
      </c>
      <c r="H82" s="810" t="str">
        <f>IF(OR($E$3="",$P$3=""),"",IF('Statement of Marks'!G81="","",'Statement of Marks'!G81))</f>
        <v/>
      </c>
      <c r="I82" s="811" t="str">
        <f>IF(OR($E$3="",$P$3=""),"",IF('Statement of Marks'!H81="","",'Statement of Marks'!H81))</f>
        <v/>
      </c>
      <c r="J82" s="811" t="str">
        <f>IF(OR($E$3="",$P$3=""),"",IF('Statement of Marks'!I81="","",'Statement of Marks'!I81))</f>
        <v/>
      </c>
      <c r="K82" s="811" t="str">
        <f>IFERROR(IF(B82="","",IF($P$3=$AT$10,IF(AND(BM82="A"),'Marks Entry'!$U$2,IF(AND(BM82="B"),'Marks Entry'!$Y$2,IF(AND(BM82="C"),'Marks Entry'!$AA$2,""))),IF($P$3=$AT$11,IF(AND(BN82="A"),'Marks Entry'!$AC$2,IF(AND(BN82="B"),'Marks Entry'!$AG$2,IF(AND(BN82="C"),'Marks Entry'!$AI$2,""))),IF($P$3=$AT$12,IF(AND(BO82="A"),'Marks Entry'!$AK$2,IF(AND(BO82="B"),'Marks Entry'!$AO$2,IF(AND(BO82="C"),'Marks Entry'!$AQ$2,""))),IF($P$3=$AT$13,IF(AND(BP82="A"),'Marks Entry'!$AS$2,IF(AND(BP82="B"),'Marks Entry'!$AW$2,IF(AND(BP82="C"),'Marks Entry'!$AY$2,""))),"-"))))),"")</f>
        <v/>
      </c>
      <c r="L82" s="812" t="str">
        <f>IFERROR(IF(B82="","",IF($P$3=$AT$8,'Statement of Marks'!J81,IF($P$3=$AT$9,'Statement of Marks'!X81,IF($P$3=$AT$10,'Statement of Marks'!AM81,IF($P$3=$AT$11,'Statement of Marks'!BJ81,IF($P$3=$AT$12,'Statement of Marks'!CG81,IF($P$3=$AT$13,'Statement of Marks'!DE81,IF($P$3=$AT$14,"",IF($P$3=$AT$15,'Statement of Marks'!EY81,""))))))))),"")</f>
        <v/>
      </c>
      <c r="M82" s="812" t="str">
        <f>IFERROR(IF(B82="","",IF($P$3=$AT$8,'Statement of Marks'!K81,IF($P$3=$AT$9,'Statement of Marks'!Y81,IF($P$3=$AT$10,'Statement of Marks'!AN81,IF($P$3=$AT$11,'Statement of Marks'!BK81,IF($P$3=$AT$12,'Statement of Marks'!CH81,IF($P$3=$AT$13,'Statement of Marks'!DF81,IF($P$3=$AT$14,"",IF($P$3=$AT$15,'Statement of Marks'!EZ81,""))))))))),"")</f>
        <v/>
      </c>
      <c r="N82" s="812" t="str">
        <f>IFERROR(IF(B82="","",IF($P$3=$AT$8,'Statement of Marks'!L81,IF($P$3=$AT$9,'Statement of Marks'!Z81,IF($P$3=$AT$10,'Statement of Marks'!AO81,IF($P$3=$AT$11,'Statement of Marks'!BL81,IF($P$3=$AT$12,'Statement of Marks'!CI81,IF($P$3=$AT$13,'Statement of Marks'!DG81,IF($P$3=$AT$14,"",IF($P$3=$AT$15,'Statement of Marks'!FA81,""))))))))),"")</f>
        <v/>
      </c>
      <c r="O82" s="813" t="str">
        <f t="shared" si="18"/>
        <v/>
      </c>
      <c r="P82" s="812" t="str">
        <f>IFERROR(IF(B82="","",IF($P$3=$AT$8,'Statement of Marks'!N81,IF($P$3=$AT$9,'Statement of Marks'!AB81,IF($P$3=$AT$10,'Statement of Marks'!AQ81,IF($P$3=$AT$11,'Statement of Marks'!BN81,IF($P$3=$AT$12,'Statement of Marks'!CK81,IF($P$3=$AT$13,'Statement of Marks'!DI81,IF($P$3=$AT$14,"",IF($P$3=$AT$15,'Statement of Marks'!FC81,""))))))))),"")</f>
        <v/>
      </c>
      <c r="Q82" s="812" t="str">
        <f>IFERROR(IF(B82="","",IF($P$3=$AT$8,"",IF($P$3=$AT$9,"",IF($P$3=$AT$10,'Statement of Marks'!AR81,IF($P$3=$AT$11,'Statement of Marks'!BO81,IF($P$3=$AT$12,'Statement of Marks'!CL81,IF($P$3=$AT$13,'Statement of Marks'!DJ81,IF($P$3=$AT$14,"",IF($P$3=$AT$15,"",""))))))))),"")</f>
        <v/>
      </c>
      <c r="R82" s="824" t="str">
        <f>IFERROR(IF(B82="","",IF(AND(P82="",Q82="",$P$3=""),"",IF($P$3=$AT$14,'Statement of Marks'!EC81,SUM(P82,Q82)))),"")</f>
        <v/>
      </c>
      <c r="S82" s="823" t="str">
        <f>IFERROR(IF(B82="","",IF($P$3=$AT$14,'Statement of Marks'!ED81,IF(AND(O82="NA",P82="NA",Q82="NA"),"NA",IF(AND(O82="",P82="",Q82=""),"",SUM(O82,P82,Q82))))),"")</f>
        <v/>
      </c>
      <c r="T82" s="812" t="str">
        <f>IFERROR(IF(B82="","",IF($P$3=$AT$8,'Statement of Marks'!P81,IF($P$3=$AT$9,'Statement of Marks'!AD81,IF($P$3=$AT$10,'Statement of Marks'!AU81,IF($P$3=$AT$11,'Statement of Marks'!BR81,IF($P$3=$AT$12,'Statement of Marks'!CO81,IF($P$3=$AT$13,'Statement of Marks'!DM81,IF($P$3=$AT$14,"",IF($P$3=$AT$15,'Statement of Marks'!FD81,""))))))))),"")</f>
        <v/>
      </c>
      <c r="U82" s="812" t="str">
        <f>IFERROR(IF(B82="","",IF($P$3=$AT$8,"",IF($P$3=$AT$9,"",IF($P$3=$AT$10,'Statement of Marks'!AV81,IF($P$3=$AT$11,'Statement of Marks'!BS81,IF($P$3=$AT$12,'Statement of Marks'!CP81,IF($P$3=$AT$13,'Statement of Marks'!DN81,IF($P$3=$AT$14,"",IF($P$3=$AT$15,"",""))))))))),"")</f>
        <v/>
      </c>
      <c r="V82" s="824" t="str">
        <f>IFERROR(IF(B82="","",IF(AND(T82="",U82="",$P$3=""),"",IF($P$3=$AT$14,'Statement of Marks'!EE81,SUM(T82,U82)))),"")</f>
        <v/>
      </c>
      <c r="W82" s="814" t="str">
        <f t="shared" si="19"/>
        <v/>
      </c>
      <c r="X82" s="815">
        <f t="shared" si="20"/>
        <v>0</v>
      </c>
      <c r="Y82" s="815">
        <f t="shared" si="21"/>
        <v>0</v>
      </c>
      <c r="Z82" s="815">
        <f t="shared" si="22"/>
        <v>0</v>
      </c>
      <c r="AA82" s="815" t="str">
        <f t="shared" si="23"/>
        <v/>
      </c>
      <c r="AB82" s="815" t="str">
        <f t="shared" si="24"/>
        <v/>
      </c>
      <c r="AC82" s="815" t="str">
        <f t="shared" si="25"/>
        <v/>
      </c>
      <c r="AD82" s="815" t="str">
        <f t="shared" si="26"/>
        <v/>
      </c>
      <c r="AE82" s="816" t="str">
        <f t="shared" si="27"/>
        <v/>
      </c>
      <c r="AF82" s="817" t="str">
        <f t="shared" si="28"/>
        <v/>
      </c>
      <c r="AG82" s="818" t="str">
        <f t="shared" si="29"/>
        <v/>
      </c>
      <c r="AW82" s="17" t="str">
        <f t="shared" si="30"/>
        <v/>
      </c>
      <c r="AX82" s="17" t="str">
        <f t="shared" si="31"/>
        <v/>
      </c>
      <c r="BM82" s="17" t="str">
        <f>IFERROR(VLOOKUP(B82,'Statement of Marks'!$B$8:'Statement of Marks'!$HI$207,37,0),"")</f>
        <v>A</v>
      </c>
      <c r="BN82" s="17" t="str">
        <f>IFERROR(VLOOKUP(B82,'Statement of Marks'!$B$8:'Statement of Marks'!$HI$207,60,0),"")</f>
        <v>A</v>
      </c>
      <c r="BO82" s="17" t="str">
        <f>IFERROR(VLOOKUP(B82,'Statement of Marks'!$B$8:'Statement of Marks'!$HI$207,83,0),"")</f>
        <v>A</v>
      </c>
      <c r="BP82" s="17" t="str">
        <f>IFERROR(VLOOKUP(B82,'Statement of Marks'!$B$8:'Statement of Marks'!$HI$207,107,0),"")</f>
        <v/>
      </c>
    </row>
    <row r="83" spans="1:68">
      <c r="A83" s="806">
        <f>IF('Statement of Marks'!A82="","",'Statement of Marks'!A82)</f>
        <v>75</v>
      </c>
      <c r="B83" s="807" t="str">
        <f>IF(OR($E$3="",$P$3=""),"",IF('Statement of Marks'!B82="","",'Statement of Marks'!B82))</f>
        <v/>
      </c>
      <c r="C83" s="816" t="str">
        <f>IF(OR($E$3="",$P$3=""),"",IF('Marks Entry'!C82="","",'Marks Entry'!C82))</f>
        <v/>
      </c>
      <c r="D83" s="808" t="str">
        <f>IF(OR($E$3="",$P$3=""),"",IF('Statement of Marks'!C82="","",'Statement of Marks'!C82))</f>
        <v/>
      </c>
      <c r="E83" s="809" t="str">
        <f>IF(OR($E$3="",$P$3=""),"",IF('Statement of Marks'!D82="","",'Statement of Marks'!D82))</f>
        <v/>
      </c>
      <c r="F83" s="810" t="str">
        <f>IF(OR($E$3="",$P$3=""),"",IF('Statement of Marks'!E82="","",'Statement of Marks'!E82))</f>
        <v/>
      </c>
      <c r="G83" s="810" t="str">
        <f>IF(OR($E$3="",$P$3=""),"",IF('Statement of Marks'!F82="","",'Statement of Marks'!F82))</f>
        <v/>
      </c>
      <c r="H83" s="810" t="str">
        <f>IF(OR($E$3="",$P$3=""),"",IF('Statement of Marks'!G82="","",'Statement of Marks'!G82))</f>
        <v/>
      </c>
      <c r="I83" s="811" t="str">
        <f>IF(OR($E$3="",$P$3=""),"",IF('Statement of Marks'!H82="","",'Statement of Marks'!H82))</f>
        <v/>
      </c>
      <c r="J83" s="811" t="str">
        <f>IF(OR($E$3="",$P$3=""),"",IF('Statement of Marks'!I82="","",'Statement of Marks'!I82))</f>
        <v/>
      </c>
      <c r="K83" s="811" t="str">
        <f>IFERROR(IF(B83="","",IF($P$3=$AT$10,IF(AND(BM83="A"),'Marks Entry'!$U$2,IF(AND(BM83="B"),'Marks Entry'!$Y$2,IF(AND(BM83="C"),'Marks Entry'!$AA$2,""))),IF($P$3=$AT$11,IF(AND(BN83="A"),'Marks Entry'!$AC$2,IF(AND(BN83="B"),'Marks Entry'!$AG$2,IF(AND(BN83="C"),'Marks Entry'!$AI$2,""))),IF($P$3=$AT$12,IF(AND(BO83="A"),'Marks Entry'!$AK$2,IF(AND(BO83="B"),'Marks Entry'!$AO$2,IF(AND(BO83="C"),'Marks Entry'!$AQ$2,""))),IF($P$3=$AT$13,IF(AND(BP83="A"),'Marks Entry'!$AS$2,IF(AND(BP83="B"),'Marks Entry'!$AW$2,IF(AND(BP83="C"),'Marks Entry'!$AY$2,""))),"-"))))),"")</f>
        <v/>
      </c>
      <c r="L83" s="812" t="str">
        <f>IFERROR(IF(B83="","",IF($P$3=$AT$8,'Statement of Marks'!J82,IF($P$3=$AT$9,'Statement of Marks'!X82,IF($P$3=$AT$10,'Statement of Marks'!AM82,IF($P$3=$AT$11,'Statement of Marks'!BJ82,IF($P$3=$AT$12,'Statement of Marks'!CG82,IF($P$3=$AT$13,'Statement of Marks'!DE82,IF($P$3=$AT$14,"",IF($P$3=$AT$15,'Statement of Marks'!EY82,""))))))))),"")</f>
        <v/>
      </c>
      <c r="M83" s="812" t="str">
        <f>IFERROR(IF(B83="","",IF($P$3=$AT$8,'Statement of Marks'!K82,IF($P$3=$AT$9,'Statement of Marks'!Y82,IF($P$3=$AT$10,'Statement of Marks'!AN82,IF($P$3=$AT$11,'Statement of Marks'!BK82,IF($P$3=$AT$12,'Statement of Marks'!CH82,IF($P$3=$AT$13,'Statement of Marks'!DF82,IF($P$3=$AT$14,"",IF($P$3=$AT$15,'Statement of Marks'!EZ82,""))))))))),"")</f>
        <v/>
      </c>
      <c r="N83" s="812" t="str">
        <f>IFERROR(IF(B83="","",IF($P$3=$AT$8,'Statement of Marks'!L82,IF($P$3=$AT$9,'Statement of Marks'!Z82,IF($P$3=$AT$10,'Statement of Marks'!AO82,IF($P$3=$AT$11,'Statement of Marks'!BL82,IF($P$3=$AT$12,'Statement of Marks'!CI82,IF($P$3=$AT$13,'Statement of Marks'!DG82,IF($P$3=$AT$14,"",IF($P$3=$AT$15,'Statement of Marks'!FA82,""))))))))),"")</f>
        <v/>
      </c>
      <c r="O83" s="813" t="str">
        <f t="shared" si="18"/>
        <v/>
      </c>
      <c r="P83" s="812" t="str">
        <f>IFERROR(IF(B83="","",IF($P$3=$AT$8,'Statement of Marks'!N82,IF($P$3=$AT$9,'Statement of Marks'!AB82,IF($P$3=$AT$10,'Statement of Marks'!AQ82,IF($P$3=$AT$11,'Statement of Marks'!BN82,IF($P$3=$AT$12,'Statement of Marks'!CK82,IF($P$3=$AT$13,'Statement of Marks'!DI82,IF($P$3=$AT$14,"",IF($P$3=$AT$15,'Statement of Marks'!FC82,""))))))))),"")</f>
        <v/>
      </c>
      <c r="Q83" s="812" t="str">
        <f>IFERROR(IF(B83="","",IF($P$3=$AT$8,"",IF($P$3=$AT$9,"",IF($P$3=$AT$10,'Statement of Marks'!AR82,IF($P$3=$AT$11,'Statement of Marks'!BO82,IF($P$3=$AT$12,'Statement of Marks'!CL82,IF($P$3=$AT$13,'Statement of Marks'!DJ82,IF($P$3=$AT$14,"",IF($P$3=$AT$15,"",""))))))))),"")</f>
        <v/>
      </c>
      <c r="R83" s="824" t="str">
        <f>IFERROR(IF(B83="","",IF(AND(P83="",Q83="",$P$3=""),"",IF($P$3=$AT$14,'Statement of Marks'!EC82,SUM(P83,Q83)))),"")</f>
        <v/>
      </c>
      <c r="S83" s="823" t="str">
        <f>IFERROR(IF(B83="","",IF($P$3=$AT$14,'Statement of Marks'!ED82,IF(AND(O83="NA",P83="NA",Q83="NA"),"NA",IF(AND(O83="",P83="",Q83=""),"",SUM(O83,P83,Q83))))),"")</f>
        <v/>
      </c>
      <c r="T83" s="812" t="str">
        <f>IFERROR(IF(B83="","",IF($P$3=$AT$8,'Statement of Marks'!P82,IF($P$3=$AT$9,'Statement of Marks'!AD82,IF($P$3=$AT$10,'Statement of Marks'!AU82,IF($P$3=$AT$11,'Statement of Marks'!BR82,IF($P$3=$AT$12,'Statement of Marks'!CO82,IF($P$3=$AT$13,'Statement of Marks'!DM82,IF($P$3=$AT$14,"",IF($P$3=$AT$15,'Statement of Marks'!FD82,""))))))))),"")</f>
        <v/>
      </c>
      <c r="U83" s="812" t="str">
        <f>IFERROR(IF(B83="","",IF($P$3=$AT$8,"",IF($P$3=$AT$9,"",IF($P$3=$AT$10,'Statement of Marks'!AV82,IF($P$3=$AT$11,'Statement of Marks'!BS82,IF($P$3=$AT$12,'Statement of Marks'!CP82,IF($P$3=$AT$13,'Statement of Marks'!DN82,IF($P$3=$AT$14,"",IF($P$3=$AT$15,"",""))))))))),"")</f>
        <v/>
      </c>
      <c r="V83" s="824" t="str">
        <f>IFERROR(IF(B83="","",IF(AND(T83="",U83="",$P$3=""),"",IF($P$3=$AT$14,'Statement of Marks'!EE82,SUM(T83,U83)))),"")</f>
        <v/>
      </c>
      <c r="W83" s="814" t="str">
        <f t="shared" si="19"/>
        <v/>
      </c>
      <c r="X83" s="815">
        <f t="shared" si="20"/>
        <v>0</v>
      </c>
      <c r="Y83" s="815">
        <f t="shared" si="21"/>
        <v>0</v>
      </c>
      <c r="Z83" s="815">
        <f t="shared" si="22"/>
        <v>0</v>
      </c>
      <c r="AA83" s="815" t="str">
        <f t="shared" si="23"/>
        <v/>
      </c>
      <c r="AB83" s="815" t="str">
        <f t="shared" si="24"/>
        <v/>
      </c>
      <c r="AC83" s="815" t="str">
        <f t="shared" si="25"/>
        <v/>
      </c>
      <c r="AD83" s="815" t="str">
        <f t="shared" si="26"/>
        <v/>
      </c>
      <c r="AE83" s="816" t="str">
        <f t="shared" si="27"/>
        <v/>
      </c>
      <c r="AF83" s="817" t="str">
        <f t="shared" si="28"/>
        <v/>
      </c>
      <c r="AG83" s="818" t="str">
        <f t="shared" si="29"/>
        <v/>
      </c>
      <c r="AW83" s="17" t="str">
        <f t="shared" si="30"/>
        <v/>
      </c>
      <c r="AX83" s="17" t="str">
        <f t="shared" si="31"/>
        <v/>
      </c>
      <c r="BM83" s="17" t="str">
        <f>IFERROR(VLOOKUP(B83,'Statement of Marks'!$B$8:'Statement of Marks'!$HI$207,37,0),"")</f>
        <v>A</v>
      </c>
      <c r="BN83" s="17" t="str">
        <f>IFERROR(VLOOKUP(B83,'Statement of Marks'!$B$8:'Statement of Marks'!$HI$207,60,0),"")</f>
        <v>A</v>
      </c>
      <c r="BO83" s="17" t="str">
        <f>IFERROR(VLOOKUP(B83,'Statement of Marks'!$B$8:'Statement of Marks'!$HI$207,83,0),"")</f>
        <v>A</v>
      </c>
      <c r="BP83" s="17" t="str">
        <f>IFERROR(VLOOKUP(B83,'Statement of Marks'!$B$8:'Statement of Marks'!$HI$207,107,0),"")</f>
        <v/>
      </c>
    </row>
    <row r="84" spans="1:68">
      <c r="A84" s="806">
        <f>IF('Statement of Marks'!A83="","",'Statement of Marks'!A83)</f>
        <v>76</v>
      </c>
      <c r="B84" s="807" t="str">
        <f>IF(OR($E$3="",$P$3=""),"",IF('Statement of Marks'!B83="","",'Statement of Marks'!B83))</f>
        <v/>
      </c>
      <c r="C84" s="816" t="str">
        <f>IF(OR($E$3="",$P$3=""),"",IF('Marks Entry'!C83="","",'Marks Entry'!C83))</f>
        <v/>
      </c>
      <c r="D84" s="808" t="str">
        <f>IF(OR($E$3="",$P$3=""),"",IF('Statement of Marks'!C83="","",'Statement of Marks'!C83))</f>
        <v/>
      </c>
      <c r="E84" s="809" t="str">
        <f>IF(OR($E$3="",$P$3=""),"",IF('Statement of Marks'!D83="","",'Statement of Marks'!D83))</f>
        <v/>
      </c>
      <c r="F84" s="810" t="str">
        <f>IF(OR($E$3="",$P$3=""),"",IF('Statement of Marks'!E83="","",'Statement of Marks'!E83))</f>
        <v/>
      </c>
      <c r="G84" s="810" t="str">
        <f>IF(OR($E$3="",$P$3=""),"",IF('Statement of Marks'!F83="","",'Statement of Marks'!F83))</f>
        <v/>
      </c>
      <c r="H84" s="810" t="str">
        <f>IF(OR($E$3="",$P$3=""),"",IF('Statement of Marks'!G83="","",'Statement of Marks'!G83))</f>
        <v/>
      </c>
      <c r="I84" s="811" t="str">
        <f>IF(OR($E$3="",$P$3=""),"",IF('Statement of Marks'!H83="","",'Statement of Marks'!H83))</f>
        <v/>
      </c>
      <c r="J84" s="811" t="str">
        <f>IF(OR($E$3="",$P$3=""),"",IF('Statement of Marks'!I83="","",'Statement of Marks'!I83))</f>
        <v/>
      </c>
      <c r="K84" s="811" t="str">
        <f>IFERROR(IF(B84="","",IF($P$3=$AT$10,IF(AND(BM84="A"),'Marks Entry'!$U$2,IF(AND(BM84="B"),'Marks Entry'!$Y$2,IF(AND(BM84="C"),'Marks Entry'!$AA$2,""))),IF($P$3=$AT$11,IF(AND(BN84="A"),'Marks Entry'!$AC$2,IF(AND(BN84="B"),'Marks Entry'!$AG$2,IF(AND(BN84="C"),'Marks Entry'!$AI$2,""))),IF($P$3=$AT$12,IF(AND(BO84="A"),'Marks Entry'!$AK$2,IF(AND(BO84="B"),'Marks Entry'!$AO$2,IF(AND(BO84="C"),'Marks Entry'!$AQ$2,""))),IF($P$3=$AT$13,IF(AND(BP84="A"),'Marks Entry'!$AS$2,IF(AND(BP84="B"),'Marks Entry'!$AW$2,IF(AND(BP84="C"),'Marks Entry'!$AY$2,""))),"-"))))),"")</f>
        <v/>
      </c>
      <c r="L84" s="812" t="str">
        <f>IFERROR(IF(B84="","",IF($P$3=$AT$8,'Statement of Marks'!J83,IF($P$3=$AT$9,'Statement of Marks'!X83,IF($P$3=$AT$10,'Statement of Marks'!AM83,IF($P$3=$AT$11,'Statement of Marks'!BJ83,IF($P$3=$AT$12,'Statement of Marks'!CG83,IF($P$3=$AT$13,'Statement of Marks'!DE83,IF($P$3=$AT$14,"",IF($P$3=$AT$15,'Statement of Marks'!EY83,""))))))))),"")</f>
        <v/>
      </c>
      <c r="M84" s="812" t="str">
        <f>IFERROR(IF(B84="","",IF($P$3=$AT$8,'Statement of Marks'!K83,IF($P$3=$AT$9,'Statement of Marks'!Y83,IF($P$3=$AT$10,'Statement of Marks'!AN83,IF($P$3=$AT$11,'Statement of Marks'!BK83,IF($P$3=$AT$12,'Statement of Marks'!CH83,IF($P$3=$AT$13,'Statement of Marks'!DF83,IF($P$3=$AT$14,"",IF($P$3=$AT$15,'Statement of Marks'!EZ83,""))))))))),"")</f>
        <v/>
      </c>
      <c r="N84" s="812" t="str">
        <f>IFERROR(IF(B84="","",IF($P$3=$AT$8,'Statement of Marks'!L83,IF($P$3=$AT$9,'Statement of Marks'!Z83,IF($P$3=$AT$10,'Statement of Marks'!AO83,IF($P$3=$AT$11,'Statement of Marks'!BL83,IF($P$3=$AT$12,'Statement of Marks'!CI83,IF($P$3=$AT$13,'Statement of Marks'!DG83,IF($P$3=$AT$14,"",IF($P$3=$AT$15,'Statement of Marks'!FA83,""))))))))),"")</f>
        <v/>
      </c>
      <c r="O84" s="813" t="str">
        <f t="shared" si="18"/>
        <v/>
      </c>
      <c r="P84" s="812" t="str">
        <f>IFERROR(IF(B84="","",IF($P$3=$AT$8,'Statement of Marks'!N83,IF($P$3=$AT$9,'Statement of Marks'!AB83,IF($P$3=$AT$10,'Statement of Marks'!AQ83,IF($P$3=$AT$11,'Statement of Marks'!BN83,IF($P$3=$AT$12,'Statement of Marks'!CK83,IF($P$3=$AT$13,'Statement of Marks'!DI83,IF($P$3=$AT$14,"",IF($P$3=$AT$15,'Statement of Marks'!FC83,""))))))))),"")</f>
        <v/>
      </c>
      <c r="Q84" s="812" t="str">
        <f>IFERROR(IF(B84="","",IF($P$3=$AT$8,"",IF($P$3=$AT$9,"",IF($P$3=$AT$10,'Statement of Marks'!AR83,IF($P$3=$AT$11,'Statement of Marks'!BO83,IF($P$3=$AT$12,'Statement of Marks'!CL83,IF($P$3=$AT$13,'Statement of Marks'!DJ83,IF($P$3=$AT$14,"",IF($P$3=$AT$15,"",""))))))))),"")</f>
        <v/>
      </c>
      <c r="R84" s="824" t="str">
        <f>IFERROR(IF(B84="","",IF(AND(P84="",Q84="",$P$3=""),"",IF($P$3=$AT$14,'Statement of Marks'!EC83,SUM(P84,Q84)))),"")</f>
        <v/>
      </c>
      <c r="S84" s="823" t="str">
        <f>IFERROR(IF(B84="","",IF($P$3=$AT$14,'Statement of Marks'!ED83,IF(AND(O84="NA",P84="NA",Q84="NA"),"NA",IF(AND(O84="",P84="",Q84=""),"",SUM(O84,P84,Q84))))),"")</f>
        <v/>
      </c>
      <c r="T84" s="812" t="str">
        <f>IFERROR(IF(B84="","",IF($P$3=$AT$8,'Statement of Marks'!P83,IF($P$3=$AT$9,'Statement of Marks'!AD83,IF($P$3=$AT$10,'Statement of Marks'!AU83,IF($P$3=$AT$11,'Statement of Marks'!BR83,IF($P$3=$AT$12,'Statement of Marks'!CO83,IF($P$3=$AT$13,'Statement of Marks'!DM83,IF($P$3=$AT$14,"",IF($P$3=$AT$15,'Statement of Marks'!FD83,""))))))))),"")</f>
        <v/>
      </c>
      <c r="U84" s="812" t="str">
        <f>IFERROR(IF(B84="","",IF($P$3=$AT$8,"",IF($P$3=$AT$9,"",IF($P$3=$AT$10,'Statement of Marks'!AV83,IF($P$3=$AT$11,'Statement of Marks'!BS83,IF($P$3=$AT$12,'Statement of Marks'!CP83,IF($P$3=$AT$13,'Statement of Marks'!DN83,IF($P$3=$AT$14,"",IF($P$3=$AT$15,"",""))))))))),"")</f>
        <v/>
      </c>
      <c r="V84" s="824" t="str">
        <f>IFERROR(IF(B84="","",IF(AND(T84="",U84="",$P$3=""),"",IF($P$3=$AT$14,'Statement of Marks'!EE83,SUM(T84,U84)))),"")</f>
        <v/>
      </c>
      <c r="W84" s="814" t="str">
        <f t="shared" si="19"/>
        <v/>
      </c>
      <c r="X84" s="815">
        <f t="shared" si="20"/>
        <v>0</v>
      </c>
      <c r="Y84" s="815">
        <f t="shared" si="21"/>
        <v>0</v>
      </c>
      <c r="Z84" s="815">
        <f t="shared" si="22"/>
        <v>0</v>
      </c>
      <c r="AA84" s="815" t="str">
        <f t="shared" si="23"/>
        <v/>
      </c>
      <c r="AB84" s="815" t="str">
        <f t="shared" si="24"/>
        <v/>
      </c>
      <c r="AC84" s="815" t="str">
        <f t="shared" si="25"/>
        <v/>
      </c>
      <c r="AD84" s="815" t="str">
        <f t="shared" si="26"/>
        <v/>
      </c>
      <c r="AE84" s="816" t="str">
        <f t="shared" si="27"/>
        <v/>
      </c>
      <c r="AF84" s="817" t="str">
        <f t="shared" si="28"/>
        <v/>
      </c>
      <c r="AG84" s="818" t="str">
        <f t="shared" si="29"/>
        <v/>
      </c>
      <c r="AW84" s="17" t="str">
        <f t="shared" si="30"/>
        <v/>
      </c>
      <c r="AX84" s="17" t="str">
        <f t="shared" si="31"/>
        <v/>
      </c>
      <c r="BM84" s="17" t="str">
        <f>IFERROR(VLOOKUP(B84,'Statement of Marks'!$B$8:'Statement of Marks'!$HI$207,37,0),"")</f>
        <v>A</v>
      </c>
      <c r="BN84" s="17" t="str">
        <f>IFERROR(VLOOKUP(B84,'Statement of Marks'!$B$8:'Statement of Marks'!$HI$207,60,0),"")</f>
        <v>A</v>
      </c>
      <c r="BO84" s="17" t="str">
        <f>IFERROR(VLOOKUP(B84,'Statement of Marks'!$B$8:'Statement of Marks'!$HI$207,83,0),"")</f>
        <v>A</v>
      </c>
      <c r="BP84" s="17" t="str">
        <f>IFERROR(VLOOKUP(B84,'Statement of Marks'!$B$8:'Statement of Marks'!$HI$207,107,0),"")</f>
        <v/>
      </c>
    </row>
    <row r="85" spans="1:68">
      <c r="A85" s="806">
        <f>IF('Statement of Marks'!A84="","",'Statement of Marks'!A84)</f>
        <v>77</v>
      </c>
      <c r="B85" s="807" t="str">
        <f>IF(OR($E$3="",$P$3=""),"",IF('Statement of Marks'!B84="","",'Statement of Marks'!B84))</f>
        <v/>
      </c>
      <c r="C85" s="816" t="str">
        <f>IF(OR($E$3="",$P$3=""),"",IF('Marks Entry'!C84="","",'Marks Entry'!C84))</f>
        <v/>
      </c>
      <c r="D85" s="808" t="str">
        <f>IF(OR($E$3="",$P$3=""),"",IF('Statement of Marks'!C84="","",'Statement of Marks'!C84))</f>
        <v/>
      </c>
      <c r="E85" s="809" t="str">
        <f>IF(OR($E$3="",$P$3=""),"",IF('Statement of Marks'!D84="","",'Statement of Marks'!D84))</f>
        <v/>
      </c>
      <c r="F85" s="810" t="str">
        <f>IF(OR($E$3="",$P$3=""),"",IF('Statement of Marks'!E84="","",'Statement of Marks'!E84))</f>
        <v/>
      </c>
      <c r="G85" s="810" t="str">
        <f>IF(OR($E$3="",$P$3=""),"",IF('Statement of Marks'!F84="","",'Statement of Marks'!F84))</f>
        <v/>
      </c>
      <c r="H85" s="810" t="str">
        <f>IF(OR($E$3="",$P$3=""),"",IF('Statement of Marks'!G84="","",'Statement of Marks'!G84))</f>
        <v/>
      </c>
      <c r="I85" s="811" t="str">
        <f>IF(OR($E$3="",$P$3=""),"",IF('Statement of Marks'!H84="","",'Statement of Marks'!H84))</f>
        <v/>
      </c>
      <c r="J85" s="811" t="str">
        <f>IF(OR($E$3="",$P$3=""),"",IF('Statement of Marks'!I84="","",'Statement of Marks'!I84))</f>
        <v/>
      </c>
      <c r="K85" s="811" t="str">
        <f>IFERROR(IF(B85="","",IF($P$3=$AT$10,IF(AND(BM85="A"),'Marks Entry'!$U$2,IF(AND(BM85="B"),'Marks Entry'!$Y$2,IF(AND(BM85="C"),'Marks Entry'!$AA$2,""))),IF($P$3=$AT$11,IF(AND(BN85="A"),'Marks Entry'!$AC$2,IF(AND(BN85="B"),'Marks Entry'!$AG$2,IF(AND(BN85="C"),'Marks Entry'!$AI$2,""))),IF($P$3=$AT$12,IF(AND(BO85="A"),'Marks Entry'!$AK$2,IF(AND(BO85="B"),'Marks Entry'!$AO$2,IF(AND(BO85="C"),'Marks Entry'!$AQ$2,""))),IF($P$3=$AT$13,IF(AND(BP85="A"),'Marks Entry'!$AS$2,IF(AND(BP85="B"),'Marks Entry'!$AW$2,IF(AND(BP85="C"),'Marks Entry'!$AY$2,""))),"-"))))),"")</f>
        <v/>
      </c>
      <c r="L85" s="812" t="str">
        <f>IFERROR(IF(B85="","",IF($P$3=$AT$8,'Statement of Marks'!J84,IF($P$3=$AT$9,'Statement of Marks'!X84,IF($P$3=$AT$10,'Statement of Marks'!AM84,IF($P$3=$AT$11,'Statement of Marks'!BJ84,IF($P$3=$AT$12,'Statement of Marks'!CG84,IF($P$3=$AT$13,'Statement of Marks'!DE84,IF($P$3=$AT$14,"",IF($P$3=$AT$15,'Statement of Marks'!EY84,""))))))))),"")</f>
        <v/>
      </c>
      <c r="M85" s="812" t="str">
        <f>IFERROR(IF(B85="","",IF($P$3=$AT$8,'Statement of Marks'!K84,IF($P$3=$AT$9,'Statement of Marks'!Y84,IF($P$3=$AT$10,'Statement of Marks'!AN84,IF($P$3=$AT$11,'Statement of Marks'!BK84,IF($P$3=$AT$12,'Statement of Marks'!CH84,IF($P$3=$AT$13,'Statement of Marks'!DF84,IF($P$3=$AT$14,"",IF($P$3=$AT$15,'Statement of Marks'!EZ84,""))))))))),"")</f>
        <v/>
      </c>
      <c r="N85" s="812" t="str">
        <f>IFERROR(IF(B85="","",IF($P$3=$AT$8,'Statement of Marks'!L84,IF($P$3=$AT$9,'Statement of Marks'!Z84,IF($P$3=$AT$10,'Statement of Marks'!AO84,IF($P$3=$AT$11,'Statement of Marks'!BL84,IF($P$3=$AT$12,'Statement of Marks'!CI84,IF($P$3=$AT$13,'Statement of Marks'!DG84,IF($P$3=$AT$14,"",IF($P$3=$AT$15,'Statement of Marks'!FA84,""))))))))),"")</f>
        <v/>
      </c>
      <c r="O85" s="813" t="str">
        <f t="shared" si="18"/>
        <v/>
      </c>
      <c r="P85" s="812" t="str">
        <f>IFERROR(IF(B85="","",IF($P$3=$AT$8,'Statement of Marks'!N84,IF($P$3=$AT$9,'Statement of Marks'!AB84,IF($P$3=$AT$10,'Statement of Marks'!AQ84,IF($P$3=$AT$11,'Statement of Marks'!BN84,IF($P$3=$AT$12,'Statement of Marks'!CK84,IF($P$3=$AT$13,'Statement of Marks'!DI84,IF($P$3=$AT$14,"",IF($P$3=$AT$15,'Statement of Marks'!FC84,""))))))))),"")</f>
        <v/>
      </c>
      <c r="Q85" s="812" t="str">
        <f>IFERROR(IF(B85="","",IF($P$3=$AT$8,"",IF($P$3=$AT$9,"",IF($P$3=$AT$10,'Statement of Marks'!AR84,IF($P$3=$AT$11,'Statement of Marks'!BO84,IF($P$3=$AT$12,'Statement of Marks'!CL84,IF($P$3=$AT$13,'Statement of Marks'!DJ84,IF($P$3=$AT$14,"",IF($P$3=$AT$15,"",""))))))))),"")</f>
        <v/>
      </c>
      <c r="R85" s="824" t="str">
        <f>IFERROR(IF(B85="","",IF(AND(P85="",Q85="",$P$3=""),"",IF($P$3=$AT$14,'Statement of Marks'!EC84,SUM(P85,Q85)))),"")</f>
        <v/>
      </c>
      <c r="S85" s="823" t="str">
        <f>IFERROR(IF(B85="","",IF($P$3=$AT$14,'Statement of Marks'!ED84,IF(AND(O85="NA",P85="NA",Q85="NA"),"NA",IF(AND(O85="",P85="",Q85=""),"",SUM(O85,P85,Q85))))),"")</f>
        <v/>
      </c>
      <c r="T85" s="812" t="str">
        <f>IFERROR(IF(B85="","",IF($P$3=$AT$8,'Statement of Marks'!P84,IF($P$3=$AT$9,'Statement of Marks'!AD84,IF($P$3=$AT$10,'Statement of Marks'!AU84,IF($P$3=$AT$11,'Statement of Marks'!BR84,IF($P$3=$AT$12,'Statement of Marks'!CO84,IF($P$3=$AT$13,'Statement of Marks'!DM84,IF($P$3=$AT$14,"",IF($P$3=$AT$15,'Statement of Marks'!FD84,""))))))))),"")</f>
        <v/>
      </c>
      <c r="U85" s="812" t="str">
        <f>IFERROR(IF(B85="","",IF($P$3=$AT$8,"",IF($P$3=$AT$9,"",IF($P$3=$AT$10,'Statement of Marks'!AV84,IF($P$3=$AT$11,'Statement of Marks'!BS84,IF($P$3=$AT$12,'Statement of Marks'!CP84,IF($P$3=$AT$13,'Statement of Marks'!DN84,IF($P$3=$AT$14,"",IF($P$3=$AT$15,"",""))))))))),"")</f>
        <v/>
      </c>
      <c r="V85" s="824" t="str">
        <f>IFERROR(IF(B85="","",IF(AND(T85="",U85="",$P$3=""),"",IF($P$3=$AT$14,'Statement of Marks'!EE84,SUM(T85,U85)))),"")</f>
        <v/>
      </c>
      <c r="W85" s="814" t="str">
        <f t="shared" si="19"/>
        <v/>
      </c>
      <c r="X85" s="815">
        <f t="shared" si="20"/>
        <v>0</v>
      </c>
      <c r="Y85" s="815">
        <f t="shared" si="21"/>
        <v>0</v>
      </c>
      <c r="Z85" s="815">
        <f t="shared" si="22"/>
        <v>0</v>
      </c>
      <c r="AA85" s="815" t="str">
        <f t="shared" si="23"/>
        <v/>
      </c>
      <c r="AB85" s="815" t="str">
        <f t="shared" si="24"/>
        <v/>
      </c>
      <c r="AC85" s="815" t="str">
        <f t="shared" si="25"/>
        <v/>
      </c>
      <c r="AD85" s="815" t="str">
        <f t="shared" si="26"/>
        <v/>
      </c>
      <c r="AE85" s="816" t="str">
        <f t="shared" si="27"/>
        <v/>
      </c>
      <c r="AF85" s="817" t="str">
        <f t="shared" si="28"/>
        <v/>
      </c>
      <c r="AG85" s="818" t="str">
        <f t="shared" si="29"/>
        <v/>
      </c>
      <c r="AW85" s="17" t="str">
        <f t="shared" si="30"/>
        <v/>
      </c>
      <c r="AX85" s="17" t="str">
        <f t="shared" si="31"/>
        <v/>
      </c>
      <c r="BM85" s="17" t="str">
        <f>IFERROR(VLOOKUP(B85,'Statement of Marks'!$B$8:'Statement of Marks'!$HI$207,37,0),"")</f>
        <v>A</v>
      </c>
      <c r="BN85" s="17" t="str">
        <f>IFERROR(VLOOKUP(B85,'Statement of Marks'!$B$8:'Statement of Marks'!$HI$207,60,0),"")</f>
        <v>A</v>
      </c>
      <c r="BO85" s="17" t="str">
        <f>IFERROR(VLOOKUP(B85,'Statement of Marks'!$B$8:'Statement of Marks'!$HI$207,83,0),"")</f>
        <v>A</v>
      </c>
      <c r="BP85" s="17" t="str">
        <f>IFERROR(VLOOKUP(B85,'Statement of Marks'!$B$8:'Statement of Marks'!$HI$207,107,0),"")</f>
        <v/>
      </c>
    </row>
    <row r="86" spans="1:68">
      <c r="A86" s="806">
        <f>IF('Statement of Marks'!A85="","",'Statement of Marks'!A85)</f>
        <v>78</v>
      </c>
      <c r="B86" s="807" t="str">
        <f>IF(OR($E$3="",$P$3=""),"",IF('Statement of Marks'!B85="","",'Statement of Marks'!B85))</f>
        <v/>
      </c>
      <c r="C86" s="816" t="str">
        <f>IF(OR($E$3="",$P$3=""),"",IF('Marks Entry'!C85="","",'Marks Entry'!C85))</f>
        <v/>
      </c>
      <c r="D86" s="808" t="str">
        <f>IF(OR($E$3="",$P$3=""),"",IF('Statement of Marks'!C85="","",'Statement of Marks'!C85))</f>
        <v/>
      </c>
      <c r="E86" s="809" t="str">
        <f>IF(OR($E$3="",$P$3=""),"",IF('Statement of Marks'!D85="","",'Statement of Marks'!D85))</f>
        <v/>
      </c>
      <c r="F86" s="810" t="str">
        <f>IF(OR($E$3="",$P$3=""),"",IF('Statement of Marks'!E85="","",'Statement of Marks'!E85))</f>
        <v/>
      </c>
      <c r="G86" s="810" t="str">
        <f>IF(OR($E$3="",$P$3=""),"",IF('Statement of Marks'!F85="","",'Statement of Marks'!F85))</f>
        <v/>
      </c>
      <c r="H86" s="810" t="str">
        <f>IF(OR($E$3="",$P$3=""),"",IF('Statement of Marks'!G85="","",'Statement of Marks'!G85))</f>
        <v/>
      </c>
      <c r="I86" s="811" t="str">
        <f>IF(OR($E$3="",$P$3=""),"",IF('Statement of Marks'!H85="","",'Statement of Marks'!H85))</f>
        <v/>
      </c>
      <c r="J86" s="811" t="str">
        <f>IF(OR($E$3="",$P$3=""),"",IF('Statement of Marks'!I85="","",'Statement of Marks'!I85))</f>
        <v/>
      </c>
      <c r="K86" s="811" t="str">
        <f>IFERROR(IF(B86="","",IF($P$3=$AT$10,IF(AND(BM86="A"),'Marks Entry'!$U$2,IF(AND(BM86="B"),'Marks Entry'!$Y$2,IF(AND(BM86="C"),'Marks Entry'!$AA$2,""))),IF($P$3=$AT$11,IF(AND(BN86="A"),'Marks Entry'!$AC$2,IF(AND(BN86="B"),'Marks Entry'!$AG$2,IF(AND(BN86="C"),'Marks Entry'!$AI$2,""))),IF($P$3=$AT$12,IF(AND(BO86="A"),'Marks Entry'!$AK$2,IF(AND(BO86="B"),'Marks Entry'!$AO$2,IF(AND(BO86="C"),'Marks Entry'!$AQ$2,""))),IF($P$3=$AT$13,IF(AND(BP86="A"),'Marks Entry'!$AS$2,IF(AND(BP86="B"),'Marks Entry'!$AW$2,IF(AND(BP86="C"),'Marks Entry'!$AY$2,""))),"-"))))),"")</f>
        <v/>
      </c>
      <c r="L86" s="812" t="str">
        <f>IFERROR(IF(B86="","",IF($P$3=$AT$8,'Statement of Marks'!J85,IF($P$3=$AT$9,'Statement of Marks'!X85,IF($P$3=$AT$10,'Statement of Marks'!AM85,IF($P$3=$AT$11,'Statement of Marks'!BJ85,IF($P$3=$AT$12,'Statement of Marks'!CG85,IF($P$3=$AT$13,'Statement of Marks'!DE85,IF($P$3=$AT$14,"",IF($P$3=$AT$15,'Statement of Marks'!EY85,""))))))))),"")</f>
        <v/>
      </c>
      <c r="M86" s="812" t="str">
        <f>IFERROR(IF(B86="","",IF($P$3=$AT$8,'Statement of Marks'!K85,IF($P$3=$AT$9,'Statement of Marks'!Y85,IF($P$3=$AT$10,'Statement of Marks'!AN85,IF($P$3=$AT$11,'Statement of Marks'!BK85,IF($P$3=$AT$12,'Statement of Marks'!CH85,IF($P$3=$AT$13,'Statement of Marks'!DF85,IF($P$3=$AT$14,"",IF($P$3=$AT$15,'Statement of Marks'!EZ85,""))))))))),"")</f>
        <v/>
      </c>
      <c r="N86" s="812" t="str">
        <f>IFERROR(IF(B86="","",IF($P$3=$AT$8,'Statement of Marks'!L85,IF($P$3=$AT$9,'Statement of Marks'!Z85,IF($P$3=$AT$10,'Statement of Marks'!AO85,IF($P$3=$AT$11,'Statement of Marks'!BL85,IF($P$3=$AT$12,'Statement of Marks'!CI85,IF($P$3=$AT$13,'Statement of Marks'!DG85,IF($P$3=$AT$14,"",IF($P$3=$AT$15,'Statement of Marks'!FA85,""))))))))),"")</f>
        <v/>
      </c>
      <c r="O86" s="813" t="str">
        <f t="shared" si="18"/>
        <v/>
      </c>
      <c r="P86" s="812" t="str">
        <f>IFERROR(IF(B86="","",IF($P$3=$AT$8,'Statement of Marks'!N85,IF($P$3=$AT$9,'Statement of Marks'!AB85,IF($P$3=$AT$10,'Statement of Marks'!AQ85,IF($P$3=$AT$11,'Statement of Marks'!BN85,IF($P$3=$AT$12,'Statement of Marks'!CK85,IF($P$3=$AT$13,'Statement of Marks'!DI85,IF($P$3=$AT$14,"",IF($P$3=$AT$15,'Statement of Marks'!FC85,""))))))))),"")</f>
        <v/>
      </c>
      <c r="Q86" s="812" t="str">
        <f>IFERROR(IF(B86="","",IF($P$3=$AT$8,"",IF($P$3=$AT$9,"",IF($P$3=$AT$10,'Statement of Marks'!AR85,IF($P$3=$AT$11,'Statement of Marks'!BO85,IF($P$3=$AT$12,'Statement of Marks'!CL85,IF($P$3=$AT$13,'Statement of Marks'!DJ85,IF($P$3=$AT$14,"",IF($P$3=$AT$15,"",""))))))))),"")</f>
        <v/>
      </c>
      <c r="R86" s="824" t="str">
        <f>IFERROR(IF(B86="","",IF(AND(P86="",Q86="",$P$3=""),"",IF($P$3=$AT$14,'Statement of Marks'!EC85,SUM(P86,Q86)))),"")</f>
        <v/>
      </c>
      <c r="S86" s="823" t="str">
        <f>IFERROR(IF(B86="","",IF($P$3=$AT$14,'Statement of Marks'!ED85,IF(AND(O86="NA",P86="NA",Q86="NA"),"NA",IF(AND(O86="",P86="",Q86=""),"",SUM(O86,P86,Q86))))),"")</f>
        <v/>
      </c>
      <c r="T86" s="812" t="str">
        <f>IFERROR(IF(B86="","",IF($P$3=$AT$8,'Statement of Marks'!P85,IF($P$3=$AT$9,'Statement of Marks'!AD85,IF($P$3=$AT$10,'Statement of Marks'!AU85,IF($P$3=$AT$11,'Statement of Marks'!BR85,IF($P$3=$AT$12,'Statement of Marks'!CO85,IF($P$3=$AT$13,'Statement of Marks'!DM85,IF($P$3=$AT$14,"",IF($P$3=$AT$15,'Statement of Marks'!FD85,""))))))))),"")</f>
        <v/>
      </c>
      <c r="U86" s="812" t="str">
        <f>IFERROR(IF(B86="","",IF($P$3=$AT$8,"",IF($P$3=$AT$9,"",IF($P$3=$AT$10,'Statement of Marks'!AV85,IF($P$3=$AT$11,'Statement of Marks'!BS85,IF($P$3=$AT$12,'Statement of Marks'!CP85,IF($P$3=$AT$13,'Statement of Marks'!DN85,IF($P$3=$AT$14,"",IF($P$3=$AT$15,"",""))))))))),"")</f>
        <v/>
      </c>
      <c r="V86" s="824" t="str">
        <f>IFERROR(IF(B86="","",IF(AND(T86="",U86="",$P$3=""),"",IF($P$3=$AT$14,'Statement of Marks'!EE85,SUM(T86,U86)))),"")</f>
        <v/>
      </c>
      <c r="W86" s="814" t="str">
        <f t="shared" si="19"/>
        <v/>
      </c>
      <c r="X86" s="815">
        <f t="shared" si="20"/>
        <v>0</v>
      </c>
      <c r="Y86" s="815">
        <f t="shared" si="21"/>
        <v>0</v>
      </c>
      <c r="Z86" s="815">
        <f t="shared" si="22"/>
        <v>0</v>
      </c>
      <c r="AA86" s="815" t="str">
        <f t="shared" si="23"/>
        <v/>
      </c>
      <c r="AB86" s="815" t="str">
        <f t="shared" si="24"/>
        <v/>
      </c>
      <c r="AC86" s="815" t="str">
        <f t="shared" si="25"/>
        <v/>
      </c>
      <c r="AD86" s="815" t="str">
        <f t="shared" si="26"/>
        <v/>
      </c>
      <c r="AE86" s="816" t="str">
        <f t="shared" si="27"/>
        <v/>
      </c>
      <c r="AF86" s="817" t="str">
        <f t="shared" si="28"/>
        <v/>
      </c>
      <c r="AG86" s="818" t="str">
        <f t="shared" si="29"/>
        <v/>
      </c>
      <c r="AW86" s="17" t="str">
        <f t="shared" si="30"/>
        <v/>
      </c>
      <c r="AX86" s="17" t="str">
        <f t="shared" si="31"/>
        <v/>
      </c>
      <c r="BM86" s="17" t="str">
        <f>IFERROR(VLOOKUP(B86,'Statement of Marks'!$B$8:'Statement of Marks'!$HI$207,37,0),"")</f>
        <v>A</v>
      </c>
      <c r="BN86" s="17" t="str">
        <f>IFERROR(VLOOKUP(B86,'Statement of Marks'!$B$8:'Statement of Marks'!$HI$207,60,0),"")</f>
        <v>A</v>
      </c>
      <c r="BO86" s="17" t="str">
        <f>IFERROR(VLOOKUP(B86,'Statement of Marks'!$B$8:'Statement of Marks'!$HI$207,83,0),"")</f>
        <v>A</v>
      </c>
      <c r="BP86" s="17" t="str">
        <f>IFERROR(VLOOKUP(B86,'Statement of Marks'!$B$8:'Statement of Marks'!$HI$207,107,0),"")</f>
        <v/>
      </c>
    </row>
    <row r="87" spans="1:68">
      <c r="A87" s="806">
        <f>IF('Statement of Marks'!A86="","",'Statement of Marks'!A86)</f>
        <v>79</v>
      </c>
      <c r="B87" s="807" t="str">
        <f>IF(OR($E$3="",$P$3=""),"",IF('Statement of Marks'!B86="","",'Statement of Marks'!B86))</f>
        <v/>
      </c>
      <c r="C87" s="816" t="str">
        <f>IF(OR($E$3="",$P$3=""),"",IF('Marks Entry'!C86="","",'Marks Entry'!C86))</f>
        <v/>
      </c>
      <c r="D87" s="808" t="str">
        <f>IF(OR($E$3="",$P$3=""),"",IF('Statement of Marks'!C86="","",'Statement of Marks'!C86))</f>
        <v/>
      </c>
      <c r="E87" s="809" t="str">
        <f>IF(OR($E$3="",$P$3=""),"",IF('Statement of Marks'!D86="","",'Statement of Marks'!D86))</f>
        <v/>
      </c>
      <c r="F87" s="810" t="str">
        <f>IF(OR($E$3="",$P$3=""),"",IF('Statement of Marks'!E86="","",'Statement of Marks'!E86))</f>
        <v/>
      </c>
      <c r="G87" s="810" t="str">
        <f>IF(OR($E$3="",$P$3=""),"",IF('Statement of Marks'!F86="","",'Statement of Marks'!F86))</f>
        <v/>
      </c>
      <c r="H87" s="810" t="str">
        <f>IF(OR($E$3="",$P$3=""),"",IF('Statement of Marks'!G86="","",'Statement of Marks'!G86))</f>
        <v/>
      </c>
      <c r="I87" s="811" t="str">
        <f>IF(OR($E$3="",$P$3=""),"",IF('Statement of Marks'!H86="","",'Statement of Marks'!H86))</f>
        <v/>
      </c>
      <c r="J87" s="811" t="str">
        <f>IF(OR($E$3="",$P$3=""),"",IF('Statement of Marks'!I86="","",'Statement of Marks'!I86))</f>
        <v/>
      </c>
      <c r="K87" s="811" t="str">
        <f>IFERROR(IF(B87="","",IF($P$3=$AT$10,IF(AND(BM87="A"),'Marks Entry'!$U$2,IF(AND(BM87="B"),'Marks Entry'!$Y$2,IF(AND(BM87="C"),'Marks Entry'!$AA$2,""))),IF($P$3=$AT$11,IF(AND(BN87="A"),'Marks Entry'!$AC$2,IF(AND(BN87="B"),'Marks Entry'!$AG$2,IF(AND(BN87="C"),'Marks Entry'!$AI$2,""))),IF($P$3=$AT$12,IF(AND(BO87="A"),'Marks Entry'!$AK$2,IF(AND(BO87="B"),'Marks Entry'!$AO$2,IF(AND(BO87="C"),'Marks Entry'!$AQ$2,""))),IF($P$3=$AT$13,IF(AND(BP87="A"),'Marks Entry'!$AS$2,IF(AND(BP87="B"),'Marks Entry'!$AW$2,IF(AND(BP87="C"),'Marks Entry'!$AY$2,""))),"-"))))),"")</f>
        <v/>
      </c>
      <c r="L87" s="812" t="str">
        <f>IFERROR(IF(B87="","",IF($P$3=$AT$8,'Statement of Marks'!J86,IF($P$3=$AT$9,'Statement of Marks'!X86,IF($P$3=$AT$10,'Statement of Marks'!AM86,IF($P$3=$AT$11,'Statement of Marks'!BJ86,IF($P$3=$AT$12,'Statement of Marks'!CG86,IF($P$3=$AT$13,'Statement of Marks'!DE86,IF($P$3=$AT$14,"",IF($P$3=$AT$15,'Statement of Marks'!EY86,""))))))))),"")</f>
        <v/>
      </c>
      <c r="M87" s="812" t="str">
        <f>IFERROR(IF(B87="","",IF($P$3=$AT$8,'Statement of Marks'!K86,IF($P$3=$AT$9,'Statement of Marks'!Y86,IF($P$3=$AT$10,'Statement of Marks'!AN86,IF($P$3=$AT$11,'Statement of Marks'!BK86,IF($P$3=$AT$12,'Statement of Marks'!CH86,IF($P$3=$AT$13,'Statement of Marks'!DF86,IF($P$3=$AT$14,"",IF($P$3=$AT$15,'Statement of Marks'!EZ86,""))))))))),"")</f>
        <v/>
      </c>
      <c r="N87" s="812" t="str">
        <f>IFERROR(IF(B87="","",IF($P$3=$AT$8,'Statement of Marks'!L86,IF($P$3=$AT$9,'Statement of Marks'!Z86,IF($P$3=$AT$10,'Statement of Marks'!AO86,IF($P$3=$AT$11,'Statement of Marks'!BL86,IF($P$3=$AT$12,'Statement of Marks'!CI86,IF($P$3=$AT$13,'Statement of Marks'!DG86,IF($P$3=$AT$14,"",IF($P$3=$AT$15,'Statement of Marks'!FA86,""))))))))),"")</f>
        <v/>
      </c>
      <c r="O87" s="813" t="str">
        <f t="shared" si="18"/>
        <v/>
      </c>
      <c r="P87" s="812" t="str">
        <f>IFERROR(IF(B87="","",IF($P$3=$AT$8,'Statement of Marks'!N86,IF($P$3=$AT$9,'Statement of Marks'!AB86,IF($P$3=$AT$10,'Statement of Marks'!AQ86,IF($P$3=$AT$11,'Statement of Marks'!BN86,IF($P$3=$AT$12,'Statement of Marks'!CK86,IF($P$3=$AT$13,'Statement of Marks'!DI86,IF($P$3=$AT$14,"",IF($P$3=$AT$15,'Statement of Marks'!FC86,""))))))))),"")</f>
        <v/>
      </c>
      <c r="Q87" s="812" t="str">
        <f>IFERROR(IF(B87="","",IF($P$3=$AT$8,"",IF($P$3=$AT$9,"",IF($P$3=$AT$10,'Statement of Marks'!AR86,IF($P$3=$AT$11,'Statement of Marks'!BO86,IF($P$3=$AT$12,'Statement of Marks'!CL86,IF($P$3=$AT$13,'Statement of Marks'!DJ86,IF($P$3=$AT$14,"",IF($P$3=$AT$15,"",""))))))))),"")</f>
        <v/>
      </c>
      <c r="R87" s="824" t="str">
        <f>IFERROR(IF(B87="","",IF(AND(P87="",Q87="",$P$3=""),"",IF($P$3=$AT$14,'Statement of Marks'!EC86,SUM(P87,Q87)))),"")</f>
        <v/>
      </c>
      <c r="S87" s="823" t="str">
        <f>IFERROR(IF(B87="","",IF($P$3=$AT$14,'Statement of Marks'!ED86,IF(AND(O87="NA",P87="NA",Q87="NA"),"NA",IF(AND(O87="",P87="",Q87=""),"",SUM(O87,P87,Q87))))),"")</f>
        <v/>
      </c>
      <c r="T87" s="812" t="str">
        <f>IFERROR(IF(B87="","",IF($P$3=$AT$8,'Statement of Marks'!P86,IF($P$3=$AT$9,'Statement of Marks'!AD86,IF($P$3=$AT$10,'Statement of Marks'!AU86,IF($P$3=$AT$11,'Statement of Marks'!BR86,IF($P$3=$AT$12,'Statement of Marks'!CO86,IF($P$3=$AT$13,'Statement of Marks'!DM86,IF($P$3=$AT$14,"",IF($P$3=$AT$15,'Statement of Marks'!FD86,""))))))))),"")</f>
        <v/>
      </c>
      <c r="U87" s="812" t="str">
        <f>IFERROR(IF(B87="","",IF($P$3=$AT$8,"",IF($P$3=$AT$9,"",IF($P$3=$AT$10,'Statement of Marks'!AV86,IF($P$3=$AT$11,'Statement of Marks'!BS86,IF($P$3=$AT$12,'Statement of Marks'!CP86,IF($P$3=$AT$13,'Statement of Marks'!DN86,IF($P$3=$AT$14,"",IF($P$3=$AT$15,"",""))))))))),"")</f>
        <v/>
      </c>
      <c r="V87" s="824" t="str">
        <f>IFERROR(IF(B87="","",IF(AND(T87="",U87="",$P$3=""),"",IF($P$3=$AT$14,'Statement of Marks'!EE86,SUM(T87,U87)))),"")</f>
        <v/>
      </c>
      <c r="W87" s="814" t="str">
        <f t="shared" si="19"/>
        <v/>
      </c>
      <c r="X87" s="815">
        <f t="shared" si="20"/>
        <v>0</v>
      </c>
      <c r="Y87" s="815">
        <f t="shared" si="21"/>
        <v>0</v>
      </c>
      <c r="Z87" s="815">
        <f t="shared" si="22"/>
        <v>0</v>
      </c>
      <c r="AA87" s="815" t="str">
        <f t="shared" si="23"/>
        <v/>
      </c>
      <c r="AB87" s="815" t="str">
        <f t="shared" si="24"/>
        <v/>
      </c>
      <c r="AC87" s="815" t="str">
        <f t="shared" si="25"/>
        <v/>
      </c>
      <c r="AD87" s="815" t="str">
        <f t="shared" si="26"/>
        <v/>
      </c>
      <c r="AE87" s="816" t="str">
        <f t="shared" si="27"/>
        <v/>
      </c>
      <c r="AF87" s="817" t="str">
        <f t="shared" si="28"/>
        <v/>
      </c>
      <c r="AG87" s="818" t="str">
        <f t="shared" si="29"/>
        <v/>
      </c>
      <c r="AW87" s="17" t="str">
        <f t="shared" si="30"/>
        <v/>
      </c>
      <c r="AX87" s="17" t="str">
        <f t="shared" si="31"/>
        <v/>
      </c>
      <c r="BM87" s="17" t="str">
        <f>IFERROR(VLOOKUP(B87,'Statement of Marks'!$B$8:'Statement of Marks'!$HI$207,37,0),"")</f>
        <v>A</v>
      </c>
      <c r="BN87" s="17" t="str">
        <f>IFERROR(VLOOKUP(B87,'Statement of Marks'!$B$8:'Statement of Marks'!$HI$207,60,0),"")</f>
        <v>A</v>
      </c>
      <c r="BO87" s="17" t="str">
        <f>IFERROR(VLOOKUP(B87,'Statement of Marks'!$B$8:'Statement of Marks'!$HI$207,83,0),"")</f>
        <v>A</v>
      </c>
      <c r="BP87" s="17" t="str">
        <f>IFERROR(VLOOKUP(B87,'Statement of Marks'!$B$8:'Statement of Marks'!$HI$207,107,0),"")</f>
        <v/>
      </c>
    </row>
    <row r="88" spans="1:68">
      <c r="A88" s="806">
        <f>IF('Statement of Marks'!A87="","",'Statement of Marks'!A87)</f>
        <v>80</v>
      </c>
      <c r="B88" s="807" t="str">
        <f>IF(OR($E$3="",$P$3=""),"",IF('Statement of Marks'!B87="","",'Statement of Marks'!B87))</f>
        <v/>
      </c>
      <c r="C88" s="816" t="str">
        <f>IF(OR($E$3="",$P$3=""),"",IF('Marks Entry'!C87="","",'Marks Entry'!C87))</f>
        <v/>
      </c>
      <c r="D88" s="808" t="str">
        <f>IF(OR($E$3="",$P$3=""),"",IF('Statement of Marks'!C87="","",'Statement of Marks'!C87))</f>
        <v/>
      </c>
      <c r="E88" s="809" t="str">
        <f>IF(OR($E$3="",$P$3=""),"",IF('Statement of Marks'!D87="","",'Statement of Marks'!D87))</f>
        <v/>
      </c>
      <c r="F88" s="810" t="str">
        <f>IF(OR($E$3="",$P$3=""),"",IF('Statement of Marks'!E87="","",'Statement of Marks'!E87))</f>
        <v/>
      </c>
      <c r="G88" s="810" t="str">
        <f>IF(OR($E$3="",$P$3=""),"",IF('Statement of Marks'!F87="","",'Statement of Marks'!F87))</f>
        <v/>
      </c>
      <c r="H88" s="810" t="str">
        <f>IF(OR($E$3="",$P$3=""),"",IF('Statement of Marks'!G87="","",'Statement of Marks'!G87))</f>
        <v/>
      </c>
      <c r="I88" s="811" t="str">
        <f>IF(OR($E$3="",$P$3=""),"",IF('Statement of Marks'!H87="","",'Statement of Marks'!H87))</f>
        <v/>
      </c>
      <c r="J88" s="811" t="str">
        <f>IF(OR($E$3="",$P$3=""),"",IF('Statement of Marks'!I87="","",'Statement of Marks'!I87))</f>
        <v/>
      </c>
      <c r="K88" s="811" t="str">
        <f>IFERROR(IF(B88="","",IF($P$3=$AT$10,IF(AND(BM88="A"),'Marks Entry'!$U$2,IF(AND(BM88="B"),'Marks Entry'!$Y$2,IF(AND(BM88="C"),'Marks Entry'!$AA$2,""))),IF($P$3=$AT$11,IF(AND(BN88="A"),'Marks Entry'!$AC$2,IF(AND(BN88="B"),'Marks Entry'!$AG$2,IF(AND(BN88="C"),'Marks Entry'!$AI$2,""))),IF($P$3=$AT$12,IF(AND(BO88="A"),'Marks Entry'!$AK$2,IF(AND(BO88="B"),'Marks Entry'!$AO$2,IF(AND(BO88="C"),'Marks Entry'!$AQ$2,""))),IF($P$3=$AT$13,IF(AND(BP88="A"),'Marks Entry'!$AS$2,IF(AND(BP88="B"),'Marks Entry'!$AW$2,IF(AND(BP88="C"),'Marks Entry'!$AY$2,""))),"-"))))),"")</f>
        <v/>
      </c>
      <c r="L88" s="812" t="str">
        <f>IFERROR(IF(B88="","",IF($P$3=$AT$8,'Statement of Marks'!J87,IF($P$3=$AT$9,'Statement of Marks'!X87,IF($P$3=$AT$10,'Statement of Marks'!AM87,IF($P$3=$AT$11,'Statement of Marks'!BJ87,IF($P$3=$AT$12,'Statement of Marks'!CG87,IF($P$3=$AT$13,'Statement of Marks'!DE87,IF($P$3=$AT$14,"",IF($P$3=$AT$15,'Statement of Marks'!EY87,""))))))))),"")</f>
        <v/>
      </c>
      <c r="M88" s="812" t="str">
        <f>IFERROR(IF(B88="","",IF($P$3=$AT$8,'Statement of Marks'!K87,IF($P$3=$AT$9,'Statement of Marks'!Y87,IF($P$3=$AT$10,'Statement of Marks'!AN87,IF($P$3=$AT$11,'Statement of Marks'!BK87,IF($P$3=$AT$12,'Statement of Marks'!CH87,IF($P$3=$AT$13,'Statement of Marks'!DF87,IF($P$3=$AT$14,"",IF($P$3=$AT$15,'Statement of Marks'!EZ87,""))))))))),"")</f>
        <v/>
      </c>
      <c r="N88" s="812" t="str">
        <f>IFERROR(IF(B88="","",IF($P$3=$AT$8,'Statement of Marks'!L87,IF($P$3=$AT$9,'Statement of Marks'!Z87,IF($P$3=$AT$10,'Statement of Marks'!AO87,IF($P$3=$AT$11,'Statement of Marks'!BL87,IF($P$3=$AT$12,'Statement of Marks'!CI87,IF($P$3=$AT$13,'Statement of Marks'!DG87,IF($P$3=$AT$14,"",IF($P$3=$AT$15,'Statement of Marks'!FA87,""))))))))),"")</f>
        <v/>
      </c>
      <c r="O88" s="813" t="str">
        <f t="shared" si="18"/>
        <v/>
      </c>
      <c r="P88" s="812" t="str">
        <f>IFERROR(IF(B88="","",IF($P$3=$AT$8,'Statement of Marks'!N87,IF($P$3=$AT$9,'Statement of Marks'!AB87,IF($P$3=$AT$10,'Statement of Marks'!AQ87,IF($P$3=$AT$11,'Statement of Marks'!BN87,IF($P$3=$AT$12,'Statement of Marks'!CK87,IF($P$3=$AT$13,'Statement of Marks'!DI87,IF($P$3=$AT$14,"",IF($P$3=$AT$15,'Statement of Marks'!FC87,""))))))))),"")</f>
        <v/>
      </c>
      <c r="Q88" s="812" t="str">
        <f>IFERROR(IF(B88="","",IF($P$3=$AT$8,"",IF($P$3=$AT$9,"",IF($P$3=$AT$10,'Statement of Marks'!AR87,IF($P$3=$AT$11,'Statement of Marks'!BO87,IF($P$3=$AT$12,'Statement of Marks'!CL87,IF($P$3=$AT$13,'Statement of Marks'!DJ87,IF($P$3=$AT$14,"",IF($P$3=$AT$15,"",""))))))))),"")</f>
        <v/>
      </c>
      <c r="R88" s="824" t="str">
        <f>IFERROR(IF(B88="","",IF(AND(P88="",Q88="",$P$3=""),"",IF($P$3=$AT$14,'Statement of Marks'!EC87,SUM(P88,Q88)))),"")</f>
        <v/>
      </c>
      <c r="S88" s="823" t="str">
        <f>IFERROR(IF(B88="","",IF($P$3=$AT$14,'Statement of Marks'!ED87,IF(AND(O88="NA",P88="NA",Q88="NA"),"NA",IF(AND(O88="",P88="",Q88=""),"",SUM(O88,P88,Q88))))),"")</f>
        <v/>
      </c>
      <c r="T88" s="812" t="str">
        <f>IFERROR(IF(B88="","",IF($P$3=$AT$8,'Statement of Marks'!P87,IF($P$3=$AT$9,'Statement of Marks'!AD87,IF($P$3=$AT$10,'Statement of Marks'!AU87,IF($P$3=$AT$11,'Statement of Marks'!BR87,IF($P$3=$AT$12,'Statement of Marks'!CO87,IF($P$3=$AT$13,'Statement of Marks'!DM87,IF($P$3=$AT$14,"",IF($P$3=$AT$15,'Statement of Marks'!FD87,""))))))))),"")</f>
        <v/>
      </c>
      <c r="U88" s="812" t="str">
        <f>IFERROR(IF(B88="","",IF($P$3=$AT$8,"",IF($P$3=$AT$9,"",IF($P$3=$AT$10,'Statement of Marks'!AV87,IF($P$3=$AT$11,'Statement of Marks'!BS87,IF($P$3=$AT$12,'Statement of Marks'!CP87,IF($P$3=$AT$13,'Statement of Marks'!DN87,IF($P$3=$AT$14,"",IF($P$3=$AT$15,"",""))))))))),"")</f>
        <v/>
      </c>
      <c r="V88" s="824" t="str">
        <f>IFERROR(IF(B88="","",IF(AND(T88="",U88="",$P$3=""),"",IF($P$3=$AT$14,'Statement of Marks'!EE87,SUM(T88,U88)))),"")</f>
        <v/>
      </c>
      <c r="W88" s="814" t="str">
        <f t="shared" si="19"/>
        <v/>
      </c>
      <c r="X88" s="815">
        <f t="shared" si="20"/>
        <v>0</v>
      </c>
      <c r="Y88" s="815">
        <f t="shared" si="21"/>
        <v>0</v>
      </c>
      <c r="Z88" s="815">
        <f t="shared" si="22"/>
        <v>0</v>
      </c>
      <c r="AA88" s="815" t="str">
        <f t="shared" si="23"/>
        <v/>
      </c>
      <c r="AB88" s="815" t="str">
        <f t="shared" si="24"/>
        <v/>
      </c>
      <c r="AC88" s="815" t="str">
        <f t="shared" si="25"/>
        <v/>
      </c>
      <c r="AD88" s="815" t="str">
        <f t="shared" si="26"/>
        <v/>
      </c>
      <c r="AE88" s="816" t="str">
        <f t="shared" si="27"/>
        <v/>
      </c>
      <c r="AF88" s="817" t="str">
        <f t="shared" si="28"/>
        <v/>
      </c>
      <c r="AG88" s="818" t="str">
        <f t="shared" si="29"/>
        <v/>
      </c>
      <c r="AW88" s="17" t="str">
        <f t="shared" si="30"/>
        <v/>
      </c>
      <c r="AX88" s="17" t="str">
        <f t="shared" si="31"/>
        <v/>
      </c>
      <c r="BM88" s="17" t="str">
        <f>IFERROR(VLOOKUP(B88,'Statement of Marks'!$B$8:'Statement of Marks'!$HI$207,37,0),"")</f>
        <v>A</v>
      </c>
      <c r="BN88" s="17" t="str">
        <f>IFERROR(VLOOKUP(B88,'Statement of Marks'!$B$8:'Statement of Marks'!$HI$207,60,0),"")</f>
        <v>A</v>
      </c>
      <c r="BO88" s="17" t="str">
        <f>IFERROR(VLOOKUP(B88,'Statement of Marks'!$B$8:'Statement of Marks'!$HI$207,83,0),"")</f>
        <v>A</v>
      </c>
      <c r="BP88" s="17" t="str">
        <f>IFERROR(VLOOKUP(B88,'Statement of Marks'!$B$8:'Statement of Marks'!$HI$207,107,0),"")</f>
        <v/>
      </c>
    </row>
    <row r="89" spans="1:68">
      <c r="A89" s="806">
        <f>IF('Statement of Marks'!A88="","",'Statement of Marks'!A88)</f>
        <v>81</v>
      </c>
      <c r="B89" s="807" t="str">
        <f>IF(OR($E$3="",$P$3=""),"",IF('Statement of Marks'!B88="","",'Statement of Marks'!B88))</f>
        <v/>
      </c>
      <c r="C89" s="816" t="str">
        <f>IF(OR($E$3="",$P$3=""),"",IF('Marks Entry'!C88="","",'Marks Entry'!C88))</f>
        <v/>
      </c>
      <c r="D89" s="808" t="str">
        <f>IF(OR($E$3="",$P$3=""),"",IF('Statement of Marks'!C88="","",'Statement of Marks'!C88))</f>
        <v/>
      </c>
      <c r="E89" s="809" t="str">
        <f>IF(OR($E$3="",$P$3=""),"",IF('Statement of Marks'!D88="","",'Statement of Marks'!D88))</f>
        <v/>
      </c>
      <c r="F89" s="810" t="str">
        <f>IF(OR($E$3="",$P$3=""),"",IF('Statement of Marks'!E88="","",'Statement of Marks'!E88))</f>
        <v/>
      </c>
      <c r="G89" s="810" t="str">
        <f>IF(OR($E$3="",$P$3=""),"",IF('Statement of Marks'!F88="","",'Statement of Marks'!F88))</f>
        <v/>
      </c>
      <c r="H89" s="810" t="str">
        <f>IF(OR($E$3="",$P$3=""),"",IF('Statement of Marks'!G88="","",'Statement of Marks'!G88))</f>
        <v/>
      </c>
      <c r="I89" s="811" t="str">
        <f>IF(OR($E$3="",$P$3=""),"",IF('Statement of Marks'!H88="","",'Statement of Marks'!H88))</f>
        <v/>
      </c>
      <c r="J89" s="811" t="str">
        <f>IF(OR($E$3="",$P$3=""),"",IF('Statement of Marks'!I88="","",'Statement of Marks'!I88))</f>
        <v/>
      </c>
      <c r="K89" s="811" t="str">
        <f>IFERROR(IF(B89="","",IF($P$3=$AT$10,IF(AND(BM89="A"),'Marks Entry'!$U$2,IF(AND(BM89="B"),'Marks Entry'!$Y$2,IF(AND(BM89="C"),'Marks Entry'!$AA$2,""))),IF($P$3=$AT$11,IF(AND(BN89="A"),'Marks Entry'!$AC$2,IF(AND(BN89="B"),'Marks Entry'!$AG$2,IF(AND(BN89="C"),'Marks Entry'!$AI$2,""))),IF($P$3=$AT$12,IF(AND(BO89="A"),'Marks Entry'!$AK$2,IF(AND(BO89="B"),'Marks Entry'!$AO$2,IF(AND(BO89="C"),'Marks Entry'!$AQ$2,""))),IF($P$3=$AT$13,IF(AND(BP89="A"),'Marks Entry'!$AS$2,IF(AND(BP89="B"),'Marks Entry'!$AW$2,IF(AND(BP89="C"),'Marks Entry'!$AY$2,""))),"-"))))),"")</f>
        <v/>
      </c>
      <c r="L89" s="812" t="str">
        <f>IFERROR(IF(B89="","",IF($P$3=$AT$8,'Statement of Marks'!J88,IF($P$3=$AT$9,'Statement of Marks'!X88,IF($P$3=$AT$10,'Statement of Marks'!AM88,IF($P$3=$AT$11,'Statement of Marks'!BJ88,IF($P$3=$AT$12,'Statement of Marks'!CG88,IF($P$3=$AT$13,'Statement of Marks'!DE88,IF($P$3=$AT$14,"",IF($P$3=$AT$15,'Statement of Marks'!EY88,""))))))))),"")</f>
        <v/>
      </c>
      <c r="M89" s="812" t="str">
        <f>IFERROR(IF(B89="","",IF($P$3=$AT$8,'Statement of Marks'!K88,IF($P$3=$AT$9,'Statement of Marks'!Y88,IF($P$3=$AT$10,'Statement of Marks'!AN88,IF($P$3=$AT$11,'Statement of Marks'!BK88,IF($P$3=$AT$12,'Statement of Marks'!CH88,IF($P$3=$AT$13,'Statement of Marks'!DF88,IF($P$3=$AT$14,"",IF($P$3=$AT$15,'Statement of Marks'!EZ88,""))))))))),"")</f>
        <v/>
      </c>
      <c r="N89" s="812" t="str">
        <f>IFERROR(IF(B89="","",IF($P$3=$AT$8,'Statement of Marks'!L88,IF($P$3=$AT$9,'Statement of Marks'!Z88,IF($P$3=$AT$10,'Statement of Marks'!AO88,IF($P$3=$AT$11,'Statement of Marks'!BL88,IF($P$3=$AT$12,'Statement of Marks'!CI88,IF($P$3=$AT$13,'Statement of Marks'!DG88,IF($P$3=$AT$14,"",IF($P$3=$AT$15,'Statement of Marks'!FA88,""))))))))),"")</f>
        <v/>
      </c>
      <c r="O89" s="813" t="str">
        <f t="shared" si="18"/>
        <v/>
      </c>
      <c r="P89" s="812" t="str">
        <f>IFERROR(IF(B89="","",IF($P$3=$AT$8,'Statement of Marks'!N88,IF($P$3=$AT$9,'Statement of Marks'!AB88,IF($P$3=$AT$10,'Statement of Marks'!AQ88,IF($P$3=$AT$11,'Statement of Marks'!BN88,IF($P$3=$AT$12,'Statement of Marks'!CK88,IF($P$3=$AT$13,'Statement of Marks'!DI88,IF($P$3=$AT$14,"",IF($P$3=$AT$15,'Statement of Marks'!FC88,""))))))))),"")</f>
        <v/>
      </c>
      <c r="Q89" s="812" t="str">
        <f>IFERROR(IF(B89="","",IF($P$3=$AT$8,"",IF($P$3=$AT$9,"",IF($P$3=$AT$10,'Statement of Marks'!AR88,IF($P$3=$AT$11,'Statement of Marks'!BO88,IF($P$3=$AT$12,'Statement of Marks'!CL88,IF($P$3=$AT$13,'Statement of Marks'!DJ88,IF($P$3=$AT$14,"",IF($P$3=$AT$15,"",""))))))))),"")</f>
        <v/>
      </c>
      <c r="R89" s="824" t="str">
        <f>IFERROR(IF(B89="","",IF(AND(P89="",Q89="",$P$3=""),"",IF($P$3=$AT$14,'Statement of Marks'!EC88,SUM(P89,Q89)))),"")</f>
        <v/>
      </c>
      <c r="S89" s="823" t="str">
        <f>IFERROR(IF(B89="","",IF($P$3=$AT$14,'Statement of Marks'!ED88,IF(AND(O89="NA",P89="NA",Q89="NA"),"NA",IF(AND(O89="",P89="",Q89=""),"",SUM(O89,P89,Q89))))),"")</f>
        <v/>
      </c>
      <c r="T89" s="812" t="str">
        <f>IFERROR(IF(B89="","",IF($P$3=$AT$8,'Statement of Marks'!P88,IF($P$3=$AT$9,'Statement of Marks'!AD88,IF($P$3=$AT$10,'Statement of Marks'!AU88,IF($P$3=$AT$11,'Statement of Marks'!BR88,IF($P$3=$AT$12,'Statement of Marks'!CO88,IF($P$3=$AT$13,'Statement of Marks'!DM88,IF($P$3=$AT$14,"",IF($P$3=$AT$15,'Statement of Marks'!FD88,""))))))))),"")</f>
        <v/>
      </c>
      <c r="U89" s="812" t="str">
        <f>IFERROR(IF(B89="","",IF($P$3=$AT$8,"",IF($P$3=$AT$9,"",IF($P$3=$AT$10,'Statement of Marks'!AV88,IF($P$3=$AT$11,'Statement of Marks'!BS88,IF($P$3=$AT$12,'Statement of Marks'!CP88,IF($P$3=$AT$13,'Statement of Marks'!DN88,IF($P$3=$AT$14,"",IF($P$3=$AT$15,"",""))))))))),"")</f>
        <v/>
      </c>
      <c r="V89" s="824" t="str">
        <f>IFERROR(IF(B89="","",IF(AND(T89="",U89="",$P$3=""),"",IF($P$3=$AT$14,'Statement of Marks'!EE88,SUM(T89,U89)))),"")</f>
        <v/>
      </c>
      <c r="W89" s="814" t="str">
        <f t="shared" si="19"/>
        <v/>
      </c>
      <c r="X89" s="815">
        <f t="shared" si="20"/>
        <v>0</v>
      </c>
      <c r="Y89" s="815">
        <f t="shared" si="21"/>
        <v>0</v>
      </c>
      <c r="Z89" s="815">
        <f t="shared" si="22"/>
        <v>0</v>
      </c>
      <c r="AA89" s="815" t="str">
        <f t="shared" si="23"/>
        <v/>
      </c>
      <c r="AB89" s="815" t="str">
        <f t="shared" si="24"/>
        <v/>
      </c>
      <c r="AC89" s="815" t="str">
        <f t="shared" si="25"/>
        <v/>
      </c>
      <c r="AD89" s="815" t="str">
        <f t="shared" si="26"/>
        <v/>
      </c>
      <c r="AE89" s="816" t="str">
        <f t="shared" si="27"/>
        <v/>
      </c>
      <c r="AF89" s="817" t="str">
        <f t="shared" si="28"/>
        <v/>
      </c>
      <c r="AG89" s="818" t="str">
        <f t="shared" si="29"/>
        <v/>
      </c>
      <c r="AW89" s="17" t="str">
        <f t="shared" si="30"/>
        <v/>
      </c>
      <c r="AX89" s="17" t="str">
        <f t="shared" si="31"/>
        <v/>
      </c>
      <c r="BM89" s="17" t="str">
        <f>IFERROR(VLOOKUP(B89,'Statement of Marks'!$B$8:'Statement of Marks'!$HI$207,37,0),"")</f>
        <v>A</v>
      </c>
      <c r="BN89" s="17" t="str">
        <f>IFERROR(VLOOKUP(B89,'Statement of Marks'!$B$8:'Statement of Marks'!$HI$207,60,0),"")</f>
        <v>A</v>
      </c>
      <c r="BO89" s="17" t="str">
        <f>IFERROR(VLOOKUP(B89,'Statement of Marks'!$B$8:'Statement of Marks'!$HI$207,83,0),"")</f>
        <v>A</v>
      </c>
      <c r="BP89" s="17" t="str">
        <f>IFERROR(VLOOKUP(B89,'Statement of Marks'!$B$8:'Statement of Marks'!$HI$207,107,0),"")</f>
        <v/>
      </c>
    </row>
    <row r="90" spans="1:68">
      <c r="A90" s="806">
        <f>IF('Statement of Marks'!A89="","",'Statement of Marks'!A89)</f>
        <v>82</v>
      </c>
      <c r="B90" s="807" t="str">
        <f>IF(OR($E$3="",$P$3=""),"",IF('Statement of Marks'!B89="","",'Statement of Marks'!B89))</f>
        <v/>
      </c>
      <c r="C90" s="816" t="str">
        <f>IF(OR($E$3="",$P$3=""),"",IF('Marks Entry'!C89="","",'Marks Entry'!C89))</f>
        <v/>
      </c>
      <c r="D90" s="808" t="str">
        <f>IF(OR($E$3="",$P$3=""),"",IF('Statement of Marks'!C89="","",'Statement of Marks'!C89))</f>
        <v/>
      </c>
      <c r="E90" s="809" t="str">
        <f>IF(OR($E$3="",$P$3=""),"",IF('Statement of Marks'!D89="","",'Statement of Marks'!D89))</f>
        <v/>
      </c>
      <c r="F90" s="810" t="str">
        <f>IF(OR($E$3="",$P$3=""),"",IF('Statement of Marks'!E89="","",'Statement of Marks'!E89))</f>
        <v/>
      </c>
      <c r="G90" s="810" t="str">
        <f>IF(OR($E$3="",$P$3=""),"",IF('Statement of Marks'!F89="","",'Statement of Marks'!F89))</f>
        <v/>
      </c>
      <c r="H90" s="810" t="str">
        <f>IF(OR($E$3="",$P$3=""),"",IF('Statement of Marks'!G89="","",'Statement of Marks'!G89))</f>
        <v/>
      </c>
      <c r="I90" s="811" t="str">
        <f>IF(OR($E$3="",$P$3=""),"",IF('Statement of Marks'!H89="","",'Statement of Marks'!H89))</f>
        <v/>
      </c>
      <c r="J90" s="811" t="str">
        <f>IF(OR($E$3="",$P$3=""),"",IF('Statement of Marks'!I89="","",'Statement of Marks'!I89))</f>
        <v/>
      </c>
      <c r="K90" s="811" t="str">
        <f>IFERROR(IF(B90="","",IF($P$3=$AT$10,IF(AND(BM90="A"),'Marks Entry'!$U$2,IF(AND(BM90="B"),'Marks Entry'!$Y$2,IF(AND(BM90="C"),'Marks Entry'!$AA$2,""))),IF($P$3=$AT$11,IF(AND(BN90="A"),'Marks Entry'!$AC$2,IF(AND(BN90="B"),'Marks Entry'!$AG$2,IF(AND(BN90="C"),'Marks Entry'!$AI$2,""))),IF($P$3=$AT$12,IF(AND(BO90="A"),'Marks Entry'!$AK$2,IF(AND(BO90="B"),'Marks Entry'!$AO$2,IF(AND(BO90="C"),'Marks Entry'!$AQ$2,""))),IF($P$3=$AT$13,IF(AND(BP90="A"),'Marks Entry'!$AS$2,IF(AND(BP90="B"),'Marks Entry'!$AW$2,IF(AND(BP90="C"),'Marks Entry'!$AY$2,""))),"-"))))),"")</f>
        <v/>
      </c>
      <c r="L90" s="812" t="str">
        <f>IFERROR(IF(B90="","",IF($P$3=$AT$8,'Statement of Marks'!J89,IF($P$3=$AT$9,'Statement of Marks'!X89,IF($P$3=$AT$10,'Statement of Marks'!AM89,IF($P$3=$AT$11,'Statement of Marks'!BJ89,IF($P$3=$AT$12,'Statement of Marks'!CG89,IF($P$3=$AT$13,'Statement of Marks'!DE89,IF($P$3=$AT$14,"",IF($P$3=$AT$15,'Statement of Marks'!EY89,""))))))))),"")</f>
        <v/>
      </c>
      <c r="M90" s="812" t="str">
        <f>IFERROR(IF(B90="","",IF($P$3=$AT$8,'Statement of Marks'!K89,IF($P$3=$AT$9,'Statement of Marks'!Y89,IF($P$3=$AT$10,'Statement of Marks'!AN89,IF($P$3=$AT$11,'Statement of Marks'!BK89,IF($P$3=$AT$12,'Statement of Marks'!CH89,IF($P$3=$AT$13,'Statement of Marks'!DF89,IF($P$3=$AT$14,"",IF($P$3=$AT$15,'Statement of Marks'!EZ89,""))))))))),"")</f>
        <v/>
      </c>
      <c r="N90" s="812" t="str">
        <f>IFERROR(IF(B90="","",IF($P$3=$AT$8,'Statement of Marks'!L89,IF($P$3=$AT$9,'Statement of Marks'!Z89,IF($P$3=$AT$10,'Statement of Marks'!AO89,IF($P$3=$AT$11,'Statement of Marks'!BL89,IF($P$3=$AT$12,'Statement of Marks'!CI89,IF($P$3=$AT$13,'Statement of Marks'!DG89,IF($P$3=$AT$14,"",IF($P$3=$AT$15,'Statement of Marks'!FA89,""))))))))),"")</f>
        <v/>
      </c>
      <c r="O90" s="813" t="str">
        <f t="shared" si="18"/>
        <v/>
      </c>
      <c r="P90" s="812" t="str">
        <f>IFERROR(IF(B90="","",IF($P$3=$AT$8,'Statement of Marks'!N89,IF($P$3=$AT$9,'Statement of Marks'!AB89,IF($P$3=$AT$10,'Statement of Marks'!AQ89,IF($P$3=$AT$11,'Statement of Marks'!BN89,IF($P$3=$AT$12,'Statement of Marks'!CK89,IF($P$3=$AT$13,'Statement of Marks'!DI89,IF($P$3=$AT$14,"",IF($P$3=$AT$15,'Statement of Marks'!FC89,""))))))))),"")</f>
        <v/>
      </c>
      <c r="Q90" s="812" t="str">
        <f>IFERROR(IF(B90="","",IF($P$3=$AT$8,"",IF($P$3=$AT$9,"",IF($P$3=$AT$10,'Statement of Marks'!AR89,IF($P$3=$AT$11,'Statement of Marks'!BO89,IF($P$3=$AT$12,'Statement of Marks'!CL89,IF($P$3=$AT$13,'Statement of Marks'!DJ89,IF($P$3=$AT$14,"",IF($P$3=$AT$15,"",""))))))))),"")</f>
        <v/>
      </c>
      <c r="R90" s="824" t="str">
        <f>IFERROR(IF(B90="","",IF(AND(P90="",Q90="",$P$3=""),"",IF($P$3=$AT$14,'Statement of Marks'!EC89,SUM(P90,Q90)))),"")</f>
        <v/>
      </c>
      <c r="S90" s="823" t="str">
        <f>IFERROR(IF(B90="","",IF($P$3=$AT$14,'Statement of Marks'!ED89,IF(AND(O90="NA",P90="NA",Q90="NA"),"NA",IF(AND(O90="",P90="",Q90=""),"",SUM(O90,P90,Q90))))),"")</f>
        <v/>
      </c>
      <c r="T90" s="812" t="str">
        <f>IFERROR(IF(B90="","",IF($P$3=$AT$8,'Statement of Marks'!P89,IF($P$3=$AT$9,'Statement of Marks'!AD89,IF($P$3=$AT$10,'Statement of Marks'!AU89,IF($P$3=$AT$11,'Statement of Marks'!BR89,IF($P$3=$AT$12,'Statement of Marks'!CO89,IF($P$3=$AT$13,'Statement of Marks'!DM89,IF($P$3=$AT$14,"",IF($P$3=$AT$15,'Statement of Marks'!FD89,""))))))))),"")</f>
        <v/>
      </c>
      <c r="U90" s="812" t="str">
        <f>IFERROR(IF(B90="","",IF($P$3=$AT$8,"",IF($P$3=$AT$9,"",IF($P$3=$AT$10,'Statement of Marks'!AV89,IF($P$3=$AT$11,'Statement of Marks'!BS89,IF($P$3=$AT$12,'Statement of Marks'!CP89,IF($P$3=$AT$13,'Statement of Marks'!DN89,IF($P$3=$AT$14,"",IF($P$3=$AT$15,"",""))))))))),"")</f>
        <v/>
      </c>
      <c r="V90" s="824" t="str">
        <f>IFERROR(IF(B90="","",IF(AND(T90="",U90="",$P$3=""),"",IF($P$3=$AT$14,'Statement of Marks'!EE89,SUM(T90,U90)))),"")</f>
        <v/>
      </c>
      <c r="W90" s="814" t="str">
        <f t="shared" si="19"/>
        <v/>
      </c>
      <c r="X90" s="815">
        <f t="shared" si="20"/>
        <v>0</v>
      </c>
      <c r="Y90" s="815">
        <f t="shared" si="21"/>
        <v>0</v>
      </c>
      <c r="Z90" s="815">
        <f t="shared" si="22"/>
        <v>0</v>
      </c>
      <c r="AA90" s="815" t="str">
        <f t="shared" si="23"/>
        <v/>
      </c>
      <c r="AB90" s="815" t="str">
        <f t="shared" si="24"/>
        <v/>
      </c>
      <c r="AC90" s="815" t="str">
        <f t="shared" si="25"/>
        <v/>
      </c>
      <c r="AD90" s="815" t="str">
        <f t="shared" si="26"/>
        <v/>
      </c>
      <c r="AE90" s="816" t="str">
        <f t="shared" si="27"/>
        <v/>
      </c>
      <c r="AF90" s="817" t="str">
        <f t="shared" si="28"/>
        <v/>
      </c>
      <c r="AG90" s="818" t="str">
        <f t="shared" si="29"/>
        <v/>
      </c>
      <c r="AW90" s="17" t="str">
        <f t="shared" si="30"/>
        <v/>
      </c>
      <c r="AX90" s="17" t="str">
        <f t="shared" si="31"/>
        <v/>
      </c>
      <c r="BM90" s="17" t="str">
        <f>IFERROR(VLOOKUP(B90,'Statement of Marks'!$B$8:'Statement of Marks'!$HI$207,37,0),"")</f>
        <v>A</v>
      </c>
      <c r="BN90" s="17" t="str">
        <f>IFERROR(VLOOKUP(B90,'Statement of Marks'!$B$8:'Statement of Marks'!$HI$207,60,0),"")</f>
        <v>A</v>
      </c>
      <c r="BO90" s="17" t="str">
        <f>IFERROR(VLOOKUP(B90,'Statement of Marks'!$B$8:'Statement of Marks'!$HI$207,83,0),"")</f>
        <v>A</v>
      </c>
      <c r="BP90" s="17" t="str">
        <f>IFERROR(VLOOKUP(B90,'Statement of Marks'!$B$8:'Statement of Marks'!$HI$207,107,0),"")</f>
        <v/>
      </c>
    </row>
    <row r="91" spans="1:68">
      <c r="A91" s="806">
        <f>IF('Statement of Marks'!A90="","",'Statement of Marks'!A90)</f>
        <v>83</v>
      </c>
      <c r="B91" s="807" t="str">
        <f>IF(OR($E$3="",$P$3=""),"",IF('Statement of Marks'!B90="","",'Statement of Marks'!B90))</f>
        <v/>
      </c>
      <c r="C91" s="816" t="str">
        <f>IF(OR($E$3="",$P$3=""),"",IF('Marks Entry'!C90="","",'Marks Entry'!C90))</f>
        <v/>
      </c>
      <c r="D91" s="808" t="str">
        <f>IF(OR($E$3="",$P$3=""),"",IF('Statement of Marks'!C90="","",'Statement of Marks'!C90))</f>
        <v/>
      </c>
      <c r="E91" s="809" t="str">
        <f>IF(OR($E$3="",$P$3=""),"",IF('Statement of Marks'!D90="","",'Statement of Marks'!D90))</f>
        <v/>
      </c>
      <c r="F91" s="810" t="str">
        <f>IF(OR($E$3="",$P$3=""),"",IF('Statement of Marks'!E90="","",'Statement of Marks'!E90))</f>
        <v/>
      </c>
      <c r="G91" s="810" t="str">
        <f>IF(OR($E$3="",$P$3=""),"",IF('Statement of Marks'!F90="","",'Statement of Marks'!F90))</f>
        <v/>
      </c>
      <c r="H91" s="810" t="str">
        <f>IF(OR($E$3="",$P$3=""),"",IF('Statement of Marks'!G90="","",'Statement of Marks'!G90))</f>
        <v/>
      </c>
      <c r="I91" s="811" t="str">
        <f>IF(OR($E$3="",$P$3=""),"",IF('Statement of Marks'!H90="","",'Statement of Marks'!H90))</f>
        <v/>
      </c>
      <c r="J91" s="811" t="str">
        <f>IF(OR($E$3="",$P$3=""),"",IF('Statement of Marks'!I90="","",'Statement of Marks'!I90))</f>
        <v/>
      </c>
      <c r="K91" s="811" t="str">
        <f>IFERROR(IF(B91="","",IF($P$3=$AT$10,IF(AND(BM91="A"),'Marks Entry'!$U$2,IF(AND(BM91="B"),'Marks Entry'!$Y$2,IF(AND(BM91="C"),'Marks Entry'!$AA$2,""))),IF($P$3=$AT$11,IF(AND(BN91="A"),'Marks Entry'!$AC$2,IF(AND(BN91="B"),'Marks Entry'!$AG$2,IF(AND(BN91="C"),'Marks Entry'!$AI$2,""))),IF($P$3=$AT$12,IF(AND(BO91="A"),'Marks Entry'!$AK$2,IF(AND(BO91="B"),'Marks Entry'!$AO$2,IF(AND(BO91="C"),'Marks Entry'!$AQ$2,""))),IF($P$3=$AT$13,IF(AND(BP91="A"),'Marks Entry'!$AS$2,IF(AND(BP91="B"),'Marks Entry'!$AW$2,IF(AND(BP91="C"),'Marks Entry'!$AY$2,""))),"-"))))),"")</f>
        <v/>
      </c>
      <c r="L91" s="812" t="str">
        <f>IFERROR(IF(B91="","",IF($P$3=$AT$8,'Statement of Marks'!J90,IF($P$3=$AT$9,'Statement of Marks'!X90,IF($P$3=$AT$10,'Statement of Marks'!AM90,IF($P$3=$AT$11,'Statement of Marks'!BJ90,IF($P$3=$AT$12,'Statement of Marks'!CG90,IF($P$3=$AT$13,'Statement of Marks'!DE90,IF($P$3=$AT$14,"",IF($P$3=$AT$15,'Statement of Marks'!EY90,""))))))))),"")</f>
        <v/>
      </c>
      <c r="M91" s="812" t="str">
        <f>IFERROR(IF(B91="","",IF($P$3=$AT$8,'Statement of Marks'!K90,IF($P$3=$AT$9,'Statement of Marks'!Y90,IF($P$3=$AT$10,'Statement of Marks'!AN90,IF($P$3=$AT$11,'Statement of Marks'!BK90,IF($P$3=$AT$12,'Statement of Marks'!CH90,IF($P$3=$AT$13,'Statement of Marks'!DF90,IF($P$3=$AT$14,"",IF($P$3=$AT$15,'Statement of Marks'!EZ90,""))))))))),"")</f>
        <v/>
      </c>
      <c r="N91" s="812" t="str">
        <f>IFERROR(IF(B91="","",IF($P$3=$AT$8,'Statement of Marks'!L90,IF($P$3=$AT$9,'Statement of Marks'!Z90,IF($P$3=$AT$10,'Statement of Marks'!AO90,IF($P$3=$AT$11,'Statement of Marks'!BL90,IF($P$3=$AT$12,'Statement of Marks'!CI90,IF($P$3=$AT$13,'Statement of Marks'!DG90,IF($P$3=$AT$14,"",IF($P$3=$AT$15,'Statement of Marks'!FA90,""))))))))),"")</f>
        <v/>
      </c>
      <c r="O91" s="813" t="str">
        <f t="shared" si="18"/>
        <v/>
      </c>
      <c r="P91" s="812" t="str">
        <f>IFERROR(IF(B91="","",IF($P$3=$AT$8,'Statement of Marks'!N90,IF($P$3=$AT$9,'Statement of Marks'!AB90,IF($P$3=$AT$10,'Statement of Marks'!AQ90,IF($P$3=$AT$11,'Statement of Marks'!BN90,IF($P$3=$AT$12,'Statement of Marks'!CK90,IF($P$3=$AT$13,'Statement of Marks'!DI90,IF($P$3=$AT$14,"",IF($P$3=$AT$15,'Statement of Marks'!FC90,""))))))))),"")</f>
        <v/>
      </c>
      <c r="Q91" s="812" t="str">
        <f>IFERROR(IF(B91="","",IF($P$3=$AT$8,"",IF($P$3=$AT$9,"",IF($P$3=$AT$10,'Statement of Marks'!AR90,IF($P$3=$AT$11,'Statement of Marks'!BO90,IF($P$3=$AT$12,'Statement of Marks'!CL90,IF($P$3=$AT$13,'Statement of Marks'!DJ90,IF($P$3=$AT$14,"",IF($P$3=$AT$15,"",""))))))))),"")</f>
        <v/>
      </c>
      <c r="R91" s="824" t="str">
        <f>IFERROR(IF(B91="","",IF(AND(P91="",Q91="",$P$3=""),"",IF($P$3=$AT$14,'Statement of Marks'!EC90,SUM(P91,Q91)))),"")</f>
        <v/>
      </c>
      <c r="S91" s="823" t="str">
        <f>IFERROR(IF(B91="","",IF($P$3=$AT$14,'Statement of Marks'!ED90,IF(AND(O91="NA",P91="NA",Q91="NA"),"NA",IF(AND(O91="",P91="",Q91=""),"",SUM(O91,P91,Q91))))),"")</f>
        <v/>
      </c>
      <c r="T91" s="812" t="str">
        <f>IFERROR(IF(B91="","",IF($P$3=$AT$8,'Statement of Marks'!P90,IF($P$3=$AT$9,'Statement of Marks'!AD90,IF($P$3=$AT$10,'Statement of Marks'!AU90,IF($P$3=$AT$11,'Statement of Marks'!BR90,IF($P$3=$AT$12,'Statement of Marks'!CO90,IF($P$3=$AT$13,'Statement of Marks'!DM90,IF($P$3=$AT$14,"",IF($P$3=$AT$15,'Statement of Marks'!FD90,""))))))))),"")</f>
        <v/>
      </c>
      <c r="U91" s="812" t="str">
        <f>IFERROR(IF(B91="","",IF($P$3=$AT$8,"",IF($P$3=$AT$9,"",IF($P$3=$AT$10,'Statement of Marks'!AV90,IF($P$3=$AT$11,'Statement of Marks'!BS90,IF($P$3=$AT$12,'Statement of Marks'!CP90,IF($P$3=$AT$13,'Statement of Marks'!DN90,IF($P$3=$AT$14,"",IF($P$3=$AT$15,"",""))))))))),"")</f>
        <v/>
      </c>
      <c r="V91" s="824" t="str">
        <f>IFERROR(IF(B91="","",IF(AND(T91="",U91="",$P$3=""),"",IF($P$3=$AT$14,'Statement of Marks'!EE90,SUM(T91,U91)))),"")</f>
        <v/>
      </c>
      <c r="W91" s="814" t="str">
        <f t="shared" si="19"/>
        <v/>
      </c>
      <c r="X91" s="815">
        <f t="shared" si="20"/>
        <v>0</v>
      </c>
      <c r="Y91" s="815">
        <f t="shared" si="21"/>
        <v>0</v>
      </c>
      <c r="Z91" s="815">
        <f t="shared" si="22"/>
        <v>0</v>
      </c>
      <c r="AA91" s="815" t="str">
        <f t="shared" si="23"/>
        <v/>
      </c>
      <c r="AB91" s="815" t="str">
        <f t="shared" si="24"/>
        <v/>
      </c>
      <c r="AC91" s="815" t="str">
        <f t="shared" si="25"/>
        <v/>
      </c>
      <c r="AD91" s="815" t="str">
        <f t="shared" si="26"/>
        <v/>
      </c>
      <c r="AE91" s="816" t="str">
        <f t="shared" si="27"/>
        <v/>
      </c>
      <c r="AF91" s="817" t="str">
        <f t="shared" si="28"/>
        <v/>
      </c>
      <c r="AG91" s="818" t="str">
        <f t="shared" si="29"/>
        <v/>
      </c>
      <c r="AW91" s="17" t="str">
        <f t="shared" si="30"/>
        <v/>
      </c>
      <c r="AX91" s="17" t="str">
        <f t="shared" si="31"/>
        <v/>
      </c>
      <c r="BM91" s="17" t="str">
        <f>IFERROR(VLOOKUP(B91,'Statement of Marks'!$B$8:'Statement of Marks'!$HI$207,37,0),"")</f>
        <v>A</v>
      </c>
      <c r="BN91" s="17" t="str">
        <f>IFERROR(VLOOKUP(B91,'Statement of Marks'!$B$8:'Statement of Marks'!$HI$207,60,0),"")</f>
        <v>A</v>
      </c>
      <c r="BO91" s="17" t="str">
        <f>IFERROR(VLOOKUP(B91,'Statement of Marks'!$B$8:'Statement of Marks'!$HI$207,83,0),"")</f>
        <v>A</v>
      </c>
      <c r="BP91" s="17" t="str">
        <f>IFERROR(VLOOKUP(B91,'Statement of Marks'!$B$8:'Statement of Marks'!$HI$207,107,0),"")</f>
        <v/>
      </c>
    </row>
    <row r="92" spans="1:68">
      <c r="A92" s="806">
        <f>IF('Statement of Marks'!A91="","",'Statement of Marks'!A91)</f>
        <v>84</v>
      </c>
      <c r="B92" s="807" t="str">
        <f>IF(OR($E$3="",$P$3=""),"",IF('Statement of Marks'!B91="","",'Statement of Marks'!B91))</f>
        <v/>
      </c>
      <c r="C92" s="816" t="str">
        <f>IF(OR($E$3="",$P$3=""),"",IF('Marks Entry'!C91="","",'Marks Entry'!C91))</f>
        <v/>
      </c>
      <c r="D92" s="808" t="str">
        <f>IF(OR($E$3="",$P$3=""),"",IF('Statement of Marks'!C91="","",'Statement of Marks'!C91))</f>
        <v/>
      </c>
      <c r="E92" s="809" t="str">
        <f>IF(OR($E$3="",$P$3=""),"",IF('Statement of Marks'!D91="","",'Statement of Marks'!D91))</f>
        <v/>
      </c>
      <c r="F92" s="810" t="str">
        <f>IF(OR($E$3="",$P$3=""),"",IF('Statement of Marks'!E91="","",'Statement of Marks'!E91))</f>
        <v/>
      </c>
      <c r="G92" s="810" t="str">
        <f>IF(OR($E$3="",$P$3=""),"",IF('Statement of Marks'!F91="","",'Statement of Marks'!F91))</f>
        <v/>
      </c>
      <c r="H92" s="810" t="str">
        <f>IF(OR($E$3="",$P$3=""),"",IF('Statement of Marks'!G91="","",'Statement of Marks'!G91))</f>
        <v/>
      </c>
      <c r="I92" s="811" t="str">
        <f>IF(OR($E$3="",$P$3=""),"",IF('Statement of Marks'!H91="","",'Statement of Marks'!H91))</f>
        <v/>
      </c>
      <c r="J92" s="811" t="str">
        <f>IF(OR($E$3="",$P$3=""),"",IF('Statement of Marks'!I91="","",'Statement of Marks'!I91))</f>
        <v/>
      </c>
      <c r="K92" s="811" t="str">
        <f>IFERROR(IF(B92="","",IF($P$3=$AT$10,IF(AND(BM92="A"),'Marks Entry'!$U$2,IF(AND(BM92="B"),'Marks Entry'!$Y$2,IF(AND(BM92="C"),'Marks Entry'!$AA$2,""))),IF($P$3=$AT$11,IF(AND(BN92="A"),'Marks Entry'!$AC$2,IF(AND(BN92="B"),'Marks Entry'!$AG$2,IF(AND(BN92="C"),'Marks Entry'!$AI$2,""))),IF($P$3=$AT$12,IF(AND(BO92="A"),'Marks Entry'!$AK$2,IF(AND(BO92="B"),'Marks Entry'!$AO$2,IF(AND(BO92="C"),'Marks Entry'!$AQ$2,""))),IF($P$3=$AT$13,IF(AND(BP92="A"),'Marks Entry'!$AS$2,IF(AND(BP92="B"),'Marks Entry'!$AW$2,IF(AND(BP92="C"),'Marks Entry'!$AY$2,""))),"-"))))),"")</f>
        <v/>
      </c>
      <c r="L92" s="812" t="str">
        <f>IFERROR(IF(B92="","",IF($P$3=$AT$8,'Statement of Marks'!J91,IF($P$3=$AT$9,'Statement of Marks'!X91,IF($P$3=$AT$10,'Statement of Marks'!AM91,IF($P$3=$AT$11,'Statement of Marks'!BJ91,IF($P$3=$AT$12,'Statement of Marks'!CG91,IF($P$3=$AT$13,'Statement of Marks'!DE91,IF($P$3=$AT$14,"",IF($P$3=$AT$15,'Statement of Marks'!EY91,""))))))))),"")</f>
        <v/>
      </c>
      <c r="M92" s="812" t="str">
        <f>IFERROR(IF(B92="","",IF($P$3=$AT$8,'Statement of Marks'!K91,IF($P$3=$AT$9,'Statement of Marks'!Y91,IF($P$3=$AT$10,'Statement of Marks'!AN91,IF($P$3=$AT$11,'Statement of Marks'!BK91,IF($P$3=$AT$12,'Statement of Marks'!CH91,IF($P$3=$AT$13,'Statement of Marks'!DF91,IF($P$3=$AT$14,"",IF($P$3=$AT$15,'Statement of Marks'!EZ91,""))))))))),"")</f>
        <v/>
      </c>
      <c r="N92" s="812" t="str">
        <f>IFERROR(IF(B92="","",IF($P$3=$AT$8,'Statement of Marks'!L91,IF($P$3=$AT$9,'Statement of Marks'!Z91,IF($P$3=$AT$10,'Statement of Marks'!AO91,IF($P$3=$AT$11,'Statement of Marks'!BL91,IF($P$3=$AT$12,'Statement of Marks'!CI91,IF($P$3=$AT$13,'Statement of Marks'!DG91,IF($P$3=$AT$14,"",IF($P$3=$AT$15,'Statement of Marks'!FA91,""))))))))),"")</f>
        <v/>
      </c>
      <c r="O92" s="813" t="str">
        <f t="shared" si="18"/>
        <v/>
      </c>
      <c r="P92" s="812" t="str">
        <f>IFERROR(IF(B92="","",IF($P$3=$AT$8,'Statement of Marks'!N91,IF($P$3=$AT$9,'Statement of Marks'!AB91,IF($P$3=$AT$10,'Statement of Marks'!AQ91,IF($P$3=$AT$11,'Statement of Marks'!BN91,IF($P$3=$AT$12,'Statement of Marks'!CK91,IF($P$3=$AT$13,'Statement of Marks'!DI91,IF($P$3=$AT$14,"",IF($P$3=$AT$15,'Statement of Marks'!FC91,""))))))))),"")</f>
        <v/>
      </c>
      <c r="Q92" s="812" t="str">
        <f>IFERROR(IF(B92="","",IF($P$3=$AT$8,"",IF($P$3=$AT$9,"",IF($P$3=$AT$10,'Statement of Marks'!AR91,IF($P$3=$AT$11,'Statement of Marks'!BO91,IF($P$3=$AT$12,'Statement of Marks'!CL91,IF($P$3=$AT$13,'Statement of Marks'!DJ91,IF($P$3=$AT$14,"",IF($P$3=$AT$15,"",""))))))))),"")</f>
        <v/>
      </c>
      <c r="R92" s="824" t="str">
        <f>IFERROR(IF(B92="","",IF(AND(P92="",Q92="",$P$3=""),"",IF($P$3=$AT$14,'Statement of Marks'!EC91,SUM(P92,Q92)))),"")</f>
        <v/>
      </c>
      <c r="S92" s="823" t="str">
        <f>IFERROR(IF(B92="","",IF($P$3=$AT$14,'Statement of Marks'!ED91,IF(AND(O92="NA",P92="NA",Q92="NA"),"NA",IF(AND(O92="",P92="",Q92=""),"",SUM(O92,P92,Q92))))),"")</f>
        <v/>
      </c>
      <c r="T92" s="812" t="str">
        <f>IFERROR(IF(B92="","",IF($P$3=$AT$8,'Statement of Marks'!P91,IF($P$3=$AT$9,'Statement of Marks'!AD91,IF($P$3=$AT$10,'Statement of Marks'!AU91,IF($P$3=$AT$11,'Statement of Marks'!BR91,IF($P$3=$AT$12,'Statement of Marks'!CO91,IF($P$3=$AT$13,'Statement of Marks'!DM91,IF($P$3=$AT$14,"",IF($P$3=$AT$15,'Statement of Marks'!FD91,""))))))))),"")</f>
        <v/>
      </c>
      <c r="U92" s="812" t="str">
        <f>IFERROR(IF(B92="","",IF($P$3=$AT$8,"",IF($P$3=$AT$9,"",IF($P$3=$AT$10,'Statement of Marks'!AV91,IF($P$3=$AT$11,'Statement of Marks'!BS91,IF($P$3=$AT$12,'Statement of Marks'!CP91,IF($P$3=$AT$13,'Statement of Marks'!DN91,IF($P$3=$AT$14,"",IF($P$3=$AT$15,"",""))))))))),"")</f>
        <v/>
      </c>
      <c r="V92" s="824" t="str">
        <f>IFERROR(IF(B92="","",IF(AND(T92="",U92="",$P$3=""),"",IF($P$3=$AT$14,'Statement of Marks'!EE91,SUM(T92,U92)))),"")</f>
        <v/>
      </c>
      <c r="W92" s="814" t="str">
        <f t="shared" si="19"/>
        <v/>
      </c>
      <c r="X92" s="815">
        <f t="shared" si="20"/>
        <v>0</v>
      </c>
      <c r="Y92" s="815">
        <f t="shared" si="21"/>
        <v>0</v>
      </c>
      <c r="Z92" s="815">
        <f t="shared" si="22"/>
        <v>0</v>
      </c>
      <c r="AA92" s="815" t="str">
        <f t="shared" si="23"/>
        <v/>
      </c>
      <c r="AB92" s="815" t="str">
        <f t="shared" si="24"/>
        <v/>
      </c>
      <c r="AC92" s="815" t="str">
        <f t="shared" si="25"/>
        <v/>
      </c>
      <c r="AD92" s="815" t="str">
        <f t="shared" si="26"/>
        <v/>
      </c>
      <c r="AE92" s="816" t="str">
        <f t="shared" si="27"/>
        <v/>
      </c>
      <c r="AF92" s="817" t="str">
        <f t="shared" si="28"/>
        <v/>
      </c>
      <c r="AG92" s="818" t="str">
        <f t="shared" si="29"/>
        <v/>
      </c>
      <c r="AW92" s="17" t="str">
        <f t="shared" si="30"/>
        <v/>
      </c>
      <c r="AX92" s="17" t="str">
        <f t="shared" si="31"/>
        <v/>
      </c>
      <c r="BM92" s="17" t="str">
        <f>IFERROR(VLOOKUP(B92,'Statement of Marks'!$B$8:'Statement of Marks'!$HI$207,37,0),"")</f>
        <v>A</v>
      </c>
      <c r="BN92" s="17" t="str">
        <f>IFERROR(VLOOKUP(B92,'Statement of Marks'!$B$8:'Statement of Marks'!$HI$207,60,0),"")</f>
        <v>A</v>
      </c>
      <c r="BO92" s="17" t="str">
        <f>IFERROR(VLOOKUP(B92,'Statement of Marks'!$B$8:'Statement of Marks'!$HI$207,83,0),"")</f>
        <v>A</v>
      </c>
      <c r="BP92" s="17" t="str">
        <f>IFERROR(VLOOKUP(B92,'Statement of Marks'!$B$8:'Statement of Marks'!$HI$207,107,0),"")</f>
        <v/>
      </c>
    </row>
    <row r="93" spans="1:68">
      <c r="A93" s="806">
        <f>IF('Statement of Marks'!A92="","",'Statement of Marks'!A92)</f>
        <v>85</v>
      </c>
      <c r="B93" s="807" t="str">
        <f>IF(OR($E$3="",$P$3=""),"",IF('Statement of Marks'!B92="","",'Statement of Marks'!B92))</f>
        <v/>
      </c>
      <c r="C93" s="816" t="str">
        <f>IF(OR($E$3="",$P$3=""),"",IF('Marks Entry'!C92="","",'Marks Entry'!C92))</f>
        <v/>
      </c>
      <c r="D93" s="808" t="str">
        <f>IF(OR($E$3="",$P$3=""),"",IF('Statement of Marks'!C92="","",'Statement of Marks'!C92))</f>
        <v/>
      </c>
      <c r="E93" s="809" t="str">
        <f>IF(OR($E$3="",$P$3=""),"",IF('Statement of Marks'!D92="","",'Statement of Marks'!D92))</f>
        <v/>
      </c>
      <c r="F93" s="810" t="str">
        <f>IF(OR($E$3="",$P$3=""),"",IF('Statement of Marks'!E92="","",'Statement of Marks'!E92))</f>
        <v/>
      </c>
      <c r="G93" s="810" t="str">
        <f>IF(OR($E$3="",$P$3=""),"",IF('Statement of Marks'!F92="","",'Statement of Marks'!F92))</f>
        <v/>
      </c>
      <c r="H93" s="810" t="str">
        <f>IF(OR($E$3="",$P$3=""),"",IF('Statement of Marks'!G92="","",'Statement of Marks'!G92))</f>
        <v/>
      </c>
      <c r="I93" s="811" t="str">
        <f>IF(OR($E$3="",$P$3=""),"",IF('Statement of Marks'!H92="","",'Statement of Marks'!H92))</f>
        <v/>
      </c>
      <c r="J93" s="811" t="str">
        <f>IF(OR($E$3="",$P$3=""),"",IF('Statement of Marks'!I92="","",'Statement of Marks'!I92))</f>
        <v/>
      </c>
      <c r="K93" s="811" t="str">
        <f>IFERROR(IF(B93="","",IF($P$3=$AT$10,IF(AND(BM93="A"),'Marks Entry'!$U$2,IF(AND(BM93="B"),'Marks Entry'!$Y$2,IF(AND(BM93="C"),'Marks Entry'!$AA$2,""))),IF($P$3=$AT$11,IF(AND(BN93="A"),'Marks Entry'!$AC$2,IF(AND(BN93="B"),'Marks Entry'!$AG$2,IF(AND(BN93="C"),'Marks Entry'!$AI$2,""))),IF($P$3=$AT$12,IF(AND(BO93="A"),'Marks Entry'!$AK$2,IF(AND(BO93="B"),'Marks Entry'!$AO$2,IF(AND(BO93="C"),'Marks Entry'!$AQ$2,""))),IF($P$3=$AT$13,IF(AND(BP93="A"),'Marks Entry'!$AS$2,IF(AND(BP93="B"),'Marks Entry'!$AW$2,IF(AND(BP93="C"),'Marks Entry'!$AY$2,""))),"-"))))),"")</f>
        <v/>
      </c>
      <c r="L93" s="812" t="str">
        <f>IFERROR(IF(B93="","",IF($P$3=$AT$8,'Statement of Marks'!J92,IF($P$3=$AT$9,'Statement of Marks'!X92,IF($P$3=$AT$10,'Statement of Marks'!AM92,IF($P$3=$AT$11,'Statement of Marks'!BJ92,IF($P$3=$AT$12,'Statement of Marks'!CG92,IF($P$3=$AT$13,'Statement of Marks'!DE92,IF($P$3=$AT$14,"",IF($P$3=$AT$15,'Statement of Marks'!EY92,""))))))))),"")</f>
        <v/>
      </c>
      <c r="M93" s="812" t="str">
        <f>IFERROR(IF(B93="","",IF($P$3=$AT$8,'Statement of Marks'!K92,IF($P$3=$AT$9,'Statement of Marks'!Y92,IF($P$3=$AT$10,'Statement of Marks'!AN92,IF($P$3=$AT$11,'Statement of Marks'!BK92,IF($P$3=$AT$12,'Statement of Marks'!CH92,IF($P$3=$AT$13,'Statement of Marks'!DF92,IF($P$3=$AT$14,"",IF($P$3=$AT$15,'Statement of Marks'!EZ92,""))))))))),"")</f>
        <v/>
      </c>
      <c r="N93" s="812" t="str">
        <f>IFERROR(IF(B93="","",IF($P$3=$AT$8,'Statement of Marks'!L92,IF($P$3=$AT$9,'Statement of Marks'!Z92,IF($P$3=$AT$10,'Statement of Marks'!AO92,IF($P$3=$AT$11,'Statement of Marks'!BL92,IF($P$3=$AT$12,'Statement of Marks'!CI92,IF($P$3=$AT$13,'Statement of Marks'!DG92,IF($P$3=$AT$14,"",IF($P$3=$AT$15,'Statement of Marks'!FA92,""))))))))),"")</f>
        <v/>
      </c>
      <c r="O93" s="813" t="str">
        <f t="shared" si="18"/>
        <v/>
      </c>
      <c r="P93" s="812" t="str">
        <f>IFERROR(IF(B93="","",IF($P$3=$AT$8,'Statement of Marks'!N92,IF($P$3=$AT$9,'Statement of Marks'!AB92,IF($P$3=$AT$10,'Statement of Marks'!AQ92,IF($P$3=$AT$11,'Statement of Marks'!BN92,IF($P$3=$AT$12,'Statement of Marks'!CK92,IF($P$3=$AT$13,'Statement of Marks'!DI92,IF($P$3=$AT$14,"",IF($P$3=$AT$15,'Statement of Marks'!FC92,""))))))))),"")</f>
        <v/>
      </c>
      <c r="Q93" s="812" t="str">
        <f>IFERROR(IF(B93="","",IF($P$3=$AT$8,"",IF($P$3=$AT$9,"",IF($P$3=$AT$10,'Statement of Marks'!AR92,IF($P$3=$AT$11,'Statement of Marks'!BO92,IF($P$3=$AT$12,'Statement of Marks'!CL92,IF($P$3=$AT$13,'Statement of Marks'!DJ92,IF($P$3=$AT$14,"",IF($P$3=$AT$15,"",""))))))))),"")</f>
        <v/>
      </c>
      <c r="R93" s="824" t="str">
        <f>IFERROR(IF(B93="","",IF(AND(P93="",Q93="",$P$3=""),"",IF($P$3=$AT$14,'Statement of Marks'!EC92,SUM(P93,Q93)))),"")</f>
        <v/>
      </c>
      <c r="S93" s="823" t="str">
        <f>IFERROR(IF(B93="","",IF($P$3=$AT$14,'Statement of Marks'!ED92,IF(AND(O93="NA",P93="NA",Q93="NA"),"NA",IF(AND(O93="",P93="",Q93=""),"",SUM(O93,P93,Q93))))),"")</f>
        <v/>
      </c>
      <c r="T93" s="812" t="str">
        <f>IFERROR(IF(B93="","",IF($P$3=$AT$8,'Statement of Marks'!P92,IF($P$3=$AT$9,'Statement of Marks'!AD92,IF($P$3=$AT$10,'Statement of Marks'!AU92,IF($P$3=$AT$11,'Statement of Marks'!BR92,IF($P$3=$AT$12,'Statement of Marks'!CO92,IF($P$3=$AT$13,'Statement of Marks'!DM92,IF($P$3=$AT$14,"",IF($P$3=$AT$15,'Statement of Marks'!FD92,""))))))))),"")</f>
        <v/>
      </c>
      <c r="U93" s="812" t="str">
        <f>IFERROR(IF(B93="","",IF($P$3=$AT$8,"",IF($P$3=$AT$9,"",IF($P$3=$AT$10,'Statement of Marks'!AV92,IF($P$3=$AT$11,'Statement of Marks'!BS92,IF($P$3=$AT$12,'Statement of Marks'!CP92,IF($P$3=$AT$13,'Statement of Marks'!DN92,IF($P$3=$AT$14,"",IF($P$3=$AT$15,"",""))))))))),"")</f>
        <v/>
      </c>
      <c r="V93" s="824" t="str">
        <f>IFERROR(IF(B93="","",IF(AND(T93="",U93="",$P$3=""),"",IF($P$3=$AT$14,'Statement of Marks'!EE92,SUM(T93,U93)))),"")</f>
        <v/>
      </c>
      <c r="W93" s="814" t="str">
        <f t="shared" si="19"/>
        <v/>
      </c>
      <c r="X93" s="815">
        <f t="shared" si="20"/>
        <v>0</v>
      </c>
      <c r="Y93" s="815">
        <f t="shared" si="21"/>
        <v>0</v>
      </c>
      <c r="Z93" s="815">
        <f t="shared" si="22"/>
        <v>0</v>
      </c>
      <c r="AA93" s="815" t="str">
        <f t="shared" si="23"/>
        <v/>
      </c>
      <c r="AB93" s="815" t="str">
        <f t="shared" si="24"/>
        <v/>
      </c>
      <c r="AC93" s="815" t="str">
        <f t="shared" si="25"/>
        <v/>
      </c>
      <c r="AD93" s="815" t="str">
        <f t="shared" si="26"/>
        <v/>
      </c>
      <c r="AE93" s="816" t="str">
        <f t="shared" si="27"/>
        <v/>
      </c>
      <c r="AF93" s="817" t="str">
        <f t="shared" si="28"/>
        <v/>
      </c>
      <c r="AG93" s="818" t="str">
        <f t="shared" si="29"/>
        <v/>
      </c>
      <c r="AW93" s="17" t="str">
        <f t="shared" si="30"/>
        <v/>
      </c>
      <c r="AX93" s="17" t="str">
        <f t="shared" si="31"/>
        <v/>
      </c>
      <c r="BM93" s="17" t="str">
        <f>IFERROR(VLOOKUP(B93,'Statement of Marks'!$B$8:'Statement of Marks'!$HI$207,37,0),"")</f>
        <v>A</v>
      </c>
      <c r="BN93" s="17" t="str">
        <f>IFERROR(VLOOKUP(B93,'Statement of Marks'!$B$8:'Statement of Marks'!$HI$207,60,0),"")</f>
        <v>A</v>
      </c>
      <c r="BO93" s="17" t="str">
        <f>IFERROR(VLOOKUP(B93,'Statement of Marks'!$B$8:'Statement of Marks'!$HI$207,83,0),"")</f>
        <v>A</v>
      </c>
      <c r="BP93" s="17" t="str">
        <f>IFERROR(VLOOKUP(B93,'Statement of Marks'!$B$8:'Statement of Marks'!$HI$207,107,0),"")</f>
        <v/>
      </c>
    </row>
    <row r="94" spans="1:68">
      <c r="A94" s="806">
        <f>IF('Statement of Marks'!A93="","",'Statement of Marks'!A93)</f>
        <v>86</v>
      </c>
      <c r="B94" s="807" t="str">
        <f>IF(OR($E$3="",$P$3=""),"",IF('Statement of Marks'!B93="","",'Statement of Marks'!B93))</f>
        <v/>
      </c>
      <c r="C94" s="816" t="str">
        <f>IF(OR($E$3="",$P$3=""),"",IF('Marks Entry'!C93="","",'Marks Entry'!C93))</f>
        <v/>
      </c>
      <c r="D94" s="808" t="str">
        <f>IF(OR($E$3="",$P$3=""),"",IF('Statement of Marks'!C93="","",'Statement of Marks'!C93))</f>
        <v/>
      </c>
      <c r="E94" s="809" t="str">
        <f>IF(OR($E$3="",$P$3=""),"",IF('Statement of Marks'!D93="","",'Statement of Marks'!D93))</f>
        <v/>
      </c>
      <c r="F94" s="810" t="str">
        <f>IF(OR($E$3="",$P$3=""),"",IF('Statement of Marks'!E93="","",'Statement of Marks'!E93))</f>
        <v/>
      </c>
      <c r="G94" s="810" t="str">
        <f>IF(OR($E$3="",$P$3=""),"",IF('Statement of Marks'!F93="","",'Statement of Marks'!F93))</f>
        <v/>
      </c>
      <c r="H94" s="810" t="str">
        <f>IF(OR($E$3="",$P$3=""),"",IF('Statement of Marks'!G93="","",'Statement of Marks'!G93))</f>
        <v/>
      </c>
      <c r="I94" s="811" t="str">
        <f>IF(OR($E$3="",$P$3=""),"",IF('Statement of Marks'!H93="","",'Statement of Marks'!H93))</f>
        <v/>
      </c>
      <c r="J94" s="811" t="str">
        <f>IF(OR($E$3="",$P$3=""),"",IF('Statement of Marks'!I93="","",'Statement of Marks'!I93))</f>
        <v/>
      </c>
      <c r="K94" s="811" t="str">
        <f>IFERROR(IF(B94="","",IF($P$3=$AT$10,IF(AND(BM94="A"),'Marks Entry'!$U$2,IF(AND(BM94="B"),'Marks Entry'!$Y$2,IF(AND(BM94="C"),'Marks Entry'!$AA$2,""))),IF($P$3=$AT$11,IF(AND(BN94="A"),'Marks Entry'!$AC$2,IF(AND(BN94="B"),'Marks Entry'!$AG$2,IF(AND(BN94="C"),'Marks Entry'!$AI$2,""))),IF($P$3=$AT$12,IF(AND(BO94="A"),'Marks Entry'!$AK$2,IF(AND(BO94="B"),'Marks Entry'!$AO$2,IF(AND(BO94="C"),'Marks Entry'!$AQ$2,""))),IF($P$3=$AT$13,IF(AND(BP94="A"),'Marks Entry'!$AS$2,IF(AND(BP94="B"),'Marks Entry'!$AW$2,IF(AND(BP94="C"),'Marks Entry'!$AY$2,""))),"-"))))),"")</f>
        <v/>
      </c>
      <c r="L94" s="812" t="str">
        <f>IFERROR(IF(B94="","",IF($P$3=$AT$8,'Statement of Marks'!J93,IF($P$3=$AT$9,'Statement of Marks'!X93,IF($P$3=$AT$10,'Statement of Marks'!AM93,IF($P$3=$AT$11,'Statement of Marks'!BJ93,IF($P$3=$AT$12,'Statement of Marks'!CG93,IF($P$3=$AT$13,'Statement of Marks'!DE93,IF($P$3=$AT$14,"",IF($P$3=$AT$15,'Statement of Marks'!EY93,""))))))))),"")</f>
        <v/>
      </c>
      <c r="M94" s="812" t="str">
        <f>IFERROR(IF(B94="","",IF($P$3=$AT$8,'Statement of Marks'!K93,IF($P$3=$AT$9,'Statement of Marks'!Y93,IF($P$3=$AT$10,'Statement of Marks'!AN93,IF($P$3=$AT$11,'Statement of Marks'!BK93,IF($P$3=$AT$12,'Statement of Marks'!CH93,IF($P$3=$AT$13,'Statement of Marks'!DF93,IF($P$3=$AT$14,"",IF($P$3=$AT$15,'Statement of Marks'!EZ93,""))))))))),"")</f>
        <v/>
      </c>
      <c r="N94" s="812" t="str">
        <f>IFERROR(IF(B94="","",IF($P$3=$AT$8,'Statement of Marks'!L93,IF($P$3=$AT$9,'Statement of Marks'!Z93,IF($P$3=$AT$10,'Statement of Marks'!AO93,IF($P$3=$AT$11,'Statement of Marks'!BL93,IF($P$3=$AT$12,'Statement of Marks'!CI93,IF($P$3=$AT$13,'Statement of Marks'!DG93,IF($P$3=$AT$14,"",IF($P$3=$AT$15,'Statement of Marks'!FA93,""))))))))),"")</f>
        <v/>
      </c>
      <c r="O94" s="813" t="str">
        <f t="shared" si="18"/>
        <v/>
      </c>
      <c r="P94" s="812" t="str">
        <f>IFERROR(IF(B94="","",IF($P$3=$AT$8,'Statement of Marks'!N93,IF($P$3=$AT$9,'Statement of Marks'!AB93,IF($P$3=$AT$10,'Statement of Marks'!AQ93,IF($P$3=$AT$11,'Statement of Marks'!BN93,IF($P$3=$AT$12,'Statement of Marks'!CK93,IF($P$3=$AT$13,'Statement of Marks'!DI93,IF($P$3=$AT$14,"",IF($P$3=$AT$15,'Statement of Marks'!FC93,""))))))))),"")</f>
        <v/>
      </c>
      <c r="Q94" s="812" t="str">
        <f>IFERROR(IF(B94="","",IF($P$3=$AT$8,"",IF($P$3=$AT$9,"",IF($P$3=$AT$10,'Statement of Marks'!AR93,IF($P$3=$AT$11,'Statement of Marks'!BO93,IF($P$3=$AT$12,'Statement of Marks'!CL93,IF($P$3=$AT$13,'Statement of Marks'!DJ93,IF($P$3=$AT$14,"",IF($P$3=$AT$15,"",""))))))))),"")</f>
        <v/>
      </c>
      <c r="R94" s="824" t="str">
        <f>IFERROR(IF(B94="","",IF(AND(P94="",Q94="",$P$3=""),"",IF($P$3=$AT$14,'Statement of Marks'!EC93,SUM(P94,Q94)))),"")</f>
        <v/>
      </c>
      <c r="S94" s="823" t="str">
        <f>IFERROR(IF(B94="","",IF($P$3=$AT$14,'Statement of Marks'!ED93,IF(AND(O94="NA",P94="NA",Q94="NA"),"NA",IF(AND(O94="",P94="",Q94=""),"",SUM(O94,P94,Q94))))),"")</f>
        <v/>
      </c>
      <c r="T94" s="812" t="str">
        <f>IFERROR(IF(B94="","",IF($P$3=$AT$8,'Statement of Marks'!P93,IF($P$3=$AT$9,'Statement of Marks'!AD93,IF($P$3=$AT$10,'Statement of Marks'!AU93,IF($P$3=$AT$11,'Statement of Marks'!BR93,IF($P$3=$AT$12,'Statement of Marks'!CO93,IF($P$3=$AT$13,'Statement of Marks'!DM93,IF($P$3=$AT$14,"",IF($P$3=$AT$15,'Statement of Marks'!FD93,""))))))))),"")</f>
        <v/>
      </c>
      <c r="U94" s="812" t="str">
        <f>IFERROR(IF(B94="","",IF($P$3=$AT$8,"",IF($P$3=$AT$9,"",IF($P$3=$AT$10,'Statement of Marks'!AV93,IF($P$3=$AT$11,'Statement of Marks'!BS93,IF($P$3=$AT$12,'Statement of Marks'!CP93,IF($P$3=$AT$13,'Statement of Marks'!DN93,IF($P$3=$AT$14,"",IF($P$3=$AT$15,"",""))))))))),"")</f>
        <v/>
      </c>
      <c r="V94" s="824" t="str">
        <f>IFERROR(IF(B94="","",IF(AND(T94="",U94="",$P$3=""),"",IF($P$3=$AT$14,'Statement of Marks'!EE93,SUM(T94,U94)))),"")</f>
        <v/>
      </c>
      <c r="W94" s="814" t="str">
        <f t="shared" si="19"/>
        <v/>
      </c>
      <c r="X94" s="815">
        <f t="shared" si="20"/>
        <v>0</v>
      </c>
      <c r="Y94" s="815">
        <f t="shared" si="21"/>
        <v>0</v>
      </c>
      <c r="Z94" s="815">
        <f t="shared" si="22"/>
        <v>0</v>
      </c>
      <c r="AA94" s="815" t="str">
        <f t="shared" si="23"/>
        <v/>
      </c>
      <c r="AB94" s="815" t="str">
        <f t="shared" si="24"/>
        <v/>
      </c>
      <c r="AC94" s="815" t="str">
        <f t="shared" si="25"/>
        <v/>
      </c>
      <c r="AD94" s="815" t="str">
        <f t="shared" si="26"/>
        <v/>
      </c>
      <c r="AE94" s="816" t="str">
        <f t="shared" si="27"/>
        <v/>
      </c>
      <c r="AF94" s="817" t="str">
        <f t="shared" si="28"/>
        <v/>
      </c>
      <c r="AG94" s="818" t="str">
        <f t="shared" si="29"/>
        <v/>
      </c>
      <c r="AW94" s="17" t="str">
        <f t="shared" si="30"/>
        <v/>
      </c>
      <c r="AX94" s="17" t="str">
        <f t="shared" si="31"/>
        <v/>
      </c>
      <c r="BM94" s="17" t="str">
        <f>IFERROR(VLOOKUP(B94,'Statement of Marks'!$B$8:'Statement of Marks'!$HI$207,37,0),"")</f>
        <v>A</v>
      </c>
      <c r="BN94" s="17" t="str">
        <f>IFERROR(VLOOKUP(B94,'Statement of Marks'!$B$8:'Statement of Marks'!$HI$207,60,0),"")</f>
        <v>A</v>
      </c>
      <c r="BO94" s="17" t="str">
        <f>IFERROR(VLOOKUP(B94,'Statement of Marks'!$B$8:'Statement of Marks'!$HI$207,83,0),"")</f>
        <v>A</v>
      </c>
      <c r="BP94" s="17" t="str">
        <f>IFERROR(VLOOKUP(B94,'Statement of Marks'!$B$8:'Statement of Marks'!$HI$207,107,0),"")</f>
        <v/>
      </c>
    </row>
    <row r="95" spans="1:68">
      <c r="A95" s="806">
        <f>IF('Statement of Marks'!A94="","",'Statement of Marks'!A94)</f>
        <v>87</v>
      </c>
      <c r="B95" s="807" t="str">
        <f>IF(OR($E$3="",$P$3=""),"",IF('Statement of Marks'!B94="","",'Statement of Marks'!B94))</f>
        <v/>
      </c>
      <c r="C95" s="816" t="str">
        <f>IF(OR($E$3="",$P$3=""),"",IF('Marks Entry'!C94="","",'Marks Entry'!C94))</f>
        <v/>
      </c>
      <c r="D95" s="808" t="str">
        <f>IF(OR($E$3="",$P$3=""),"",IF('Statement of Marks'!C94="","",'Statement of Marks'!C94))</f>
        <v/>
      </c>
      <c r="E95" s="809" t="str">
        <f>IF(OR($E$3="",$P$3=""),"",IF('Statement of Marks'!D94="","",'Statement of Marks'!D94))</f>
        <v/>
      </c>
      <c r="F95" s="810" t="str">
        <f>IF(OR($E$3="",$P$3=""),"",IF('Statement of Marks'!E94="","",'Statement of Marks'!E94))</f>
        <v/>
      </c>
      <c r="G95" s="810" t="str">
        <f>IF(OR($E$3="",$P$3=""),"",IF('Statement of Marks'!F94="","",'Statement of Marks'!F94))</f>
        <v/>
      </c>
      <c r="H95" s="810" t="str">
        <f>IF(OR($E$3="",$P$3=""),"",IF('Statement of Marks'!G94="","",'Statement of Marks'!G94))</f>
        <v/>
      </c>
      <c r="I95" s="811" t="str">
        <f>IF(OR($E$3="",$P$3=""),"",IF('Statement of Marks'!H94="","",'Statement of Marks'!H94))</f>
        <v/>
      </c>
      <c r="J95" s="811" t="str">
        <f>IF(OR($E$3="",$P$3=""),"",IF('Statement of Marks'!I94="","",'Statement of Marks'!I94))</f>
        <v/>
      </c>
      <c r="K95" s="811" t="str">
        <f>IFERROR(IF(B95="","",IF($P$3=$AT$10,IF(AND(BM95="A"),'Marks Entry'!$U$2,IF(AND(BM95="B"),'Marks Entry'!$Y$2,IF(AND(BM95="C"),'Marks Entry'!$AA$2,""))),IF($P$3=$AT$11,IF(AND(BN95="A"),'Marks Entry'!$AC$2,IF(AND(BN95="B"),'Marks Entry'!$AG$2,IF(AND(BN95="C"),'Marks Entry'!$AI$2,""))),IF($P$3=$AT$12,IF(AND(BO95="A"),'Marks Entry'!$AK$2,IF(AND(BO95="B"),'Marks Entry'!$AO$2,IF(AND(BO95="C"),'Marks Entry'!$AQ$2,""))),IF($P$3=$AT$13,IF(AND(BP95="A"),'Marks Entry'!$AS$2,IF(AND(BP95="B"),'Marks Entry'!$AW$2,IF(AND(BP95="C"),'Marks Entry'!$AY$2,""))),"-"))))),"")</f>
        <v/>
      </c>
      <c r="L95" s="812" t="str">
        <f>IFERROR(IF(B95="","",IF($P$3=$AT$8,'Statement of Marks'!J94,IF($P$3=$AT$9,'Statement of Marks'!X94,IF($P$3=$AT$10,'Statement of Marks'!AM94,IF($P$3=$AT$11,'Statement of Marks'!BJ94,IF($P$3=$AT$12,'Statement of Marks'!CG94,IF($P$3=$AT$13,'Statement of Marks'!DE94,IF($P$3=$AT$14,"",IF($P$3=$AT$15,'Statement of Marks'!EY94,""))))))))),"")</f>
        <v/>
      </c>
      <c r="M95" s="812" t="str">
        <f>IFERROR(IF(B95="","",IF($P$3=$AT$8,'Statement of Marks'!K94,IF($P$3=$AT$9,'Statement of Marks'!Y94,IF($P$3=$AT$10,'Statement of Marks'!AN94,IF($P$3=$AT$11,'Statement of Marks'!BK94,IF($P$3=$AT$12,'Statement of Marks'!CH94,IF($P$3=$AT$13,'Statement of Marks'!DF94,IF($P$3=$AT$14,"",IF($P$3=$AT$15,'Statement of Marks'!EZ94,""))))))))),"")</f>
        <v/>
      </c>
      <c r="N95" s="812" t="str">
        <f>IFERROR(IF(B95="","",IF($P$3=$AT$8,'Statement of Marks'!L94,IF($P$3=$AT$9,'Statement of Marks'!Z94,IF($P$3=$AT$10,'Statement of Marks'!AO94,IF($P$3=$AT$11,'Statement of Marks'!BL94,IF($P$3=$AT$12,'Statement of Marks'!CI94,IF($P$3=$AT$13,'Statement of Marks'!DG94,IF($P$3=$AT$14,"",IF($P$3=$AT$15,'Statement of Marks'!FA94,""))))))))),"")</f>
        <v/>
      </c>
      <c r="O95" s="813" t="str">
        <f t="shared" si="18"/>
        <v/>
      </c>
      <c r="P95" s="812" t="str">
        <f>IFERROR(IF(B95="","",IF($P$3=$AT$8,'Statement of Marks'!N94,IF($P$3=$AT$9,'Statement of Marks'!AB94,IF($P$3=$AT$10,'Statement of Marks'!AQ94,IF($P$3=$AT$11,'Statement of Marks'!BN94,IF($P$3=$AT$12,'Statement of Marks'!CK94,IF($P$3=$AT$13,'Statement of Marks'!DI94,IF($P$3=$AT$14,"",IF($P$3=$AT$15,'Statement of Marks'!FC94,""))))))))),"")</f>
        <v/>
      </c>
      <c r="Q95" s="812" t="str">
        <f>IFERROR(IF(B95="","",IF($P$3=$AT$8,"",IF($P$3=$AT$9,"",IF($P$3=$AT$10,'Statement of Marks'!AR94,IF($P$3=$AT$11,'Statement of Marks'!BO94,IF($P$3=$AT$12,'Statement of Marks'!CL94,IF($P$3=$AT$13,'Statement of Marks'!DJ94,IF($P$3=$AT$14,"",IF($P$3=$AT$15,"",""))))))))),"")</f>
        <v/>
      </c>
      <c r="R95" s="824" t="str">
        <f>IFERROR(IF(B95="","",IF(AND(P95="",Q95="",$P$3=""),"",IF($P$3=$AT$14,'Statement of Marks'!EC94,SUM(P95,Q95)))),"")</f>
        <v/>
      </c>
      <c r="S95" s="823" t="str">
        <f>IFERROR(IF(B95="","",IF($P$3=$AT$14,'Statement of Marks'!ED94,IF(AND(O95="NA",P95="NA",Q95="NA"),"NA",IF(AND(O95="",P95="",Q95=""),"",SUM(O95,P95,Q95))))),"")</f>
        <v/>
      </c>
      <c r="T95" s="812" t="str">
        <f>IFERROR(IF(B95="","",IF($P$3=$AT$8,'Statement of Marks'!P94,IF($P$3=$AT$9,'Statement of Marks'!AD94,IF($P$3=$AT$10,'Statement of Marks'!AU94,IF($P$3=$AT$11,'Statement of Marks'!BR94,IF($P$3=$AT$12,'Statement of Marks'!CO94,IF($P$3=$AT$13,'Statement of Marks'!DM94,IF($P$3=$AT$14,"",IF($P$3=$AT$15,'Statement of Marks'!FD94,""))))))))),"")</f>
        <v/>
      </c>
      <c r="U95" s="812" t="str">
        <f>IFERROR(IF(B95="","",IF($P$3=$AT$8,"",IF($P$3=$AT$9,"",IF($P$3=$AT$10,'Statement of Marks'!AV94,IF($P$3=$AT$11,'Statement of Marks'!BS94,IF($P$3=$AT$12,'Statement of Marks'!CP94,IF($P$3=$AT$13,'Statement of Marks'!DN94,IF($P$3=$AT$14,"",IF($P$3=$AT$15,"",""))))))))),"")</f>
        <v/>
      </c>
      <c r="V95" s="824" t="str">
        <f>IFERROR(IF(B95="","",IF(AND(T95="",U95="",$P$3=""),"",IF($P$3=$AT$14,'Statement of Marks'!EE94,SUM(T95,U95)))),"")</f>
        <v/>
      </c>
      <c r="W95" s="814" t="str">
        <f t="shared" si="19"/>
        <v/>
      </c>
      <c r="X95" s="815">
        <f t="shared" si="20"/>
        <v>0</v>
      </c>
      <c r="Y95" s="815">
        <f t="shared" si="21"/>
        <v>0</v>
      </c>
      <c r="Z95" s="815">
        <f t="shared" si="22"/>
        <v>0</v>
      </c>
      <c r="AA95" s="815" t="str">
        <f t="shared" si="23"/>
        <v/>
      </c>
      <c r="AB95" s="815" t="str">
        <f t="shared" si="24"/>
        <v/>
      </c>
      <c r="AC95" s="815" t="str">
        <f t="shared" si="25"/>
        <v/>
      </c>
      <c r="AD95" s="815" t="str">
        <f t="shared" si="26"/>
        <v/>
      </c>
      <c r="AE95" s="816" t="str">
        <f t="shared" si="27"/>
        <v/>
      </c>
      <c r="AF95" s="817" t="str">
        <f t="shared" si="28"/>
        <v/>
      </c>
      <c r="AG95" s="818" t="str">
        <f t="shared" si="29"/>
        <v/>
      </c>
      <c r="AW95" s="17" t="str">
        <f t="shared" si="30"/>
        <v/>
      </c>
      <c r="AX95" s="17" t="str">
        <f t="shared" si="31"/>
        <v/>
      </c>
      <c r="BM95" s="17" t="str">
        <f>IFERROR(VLOOKUP(B95,'Statement of Marks'!$B$8:'Statement of Marks'!$HI$207,37,0),"")</f>
        <v>A</v>
      </c>
      <c r="BN95" s="17" t="str">
        <f>IFERROR(VLOOKUP(B95,'Statement of Marks'!$B$8:'Statement of Marks'!$HI$207,60,0),"")</f>
        <v>A</v>
      </c>
      <c r="BO95" s="17" t="str">
        <f>IFERROR(VLOOKUP(B95,'Statement of Marks'!$B$8:'Statement of Marks'!$HI$207,83,0),"")</f>
        <v>A</v>
      </c>
      <c r="BP95" s="17" t="str">
        <f>IFERROR(VLOOKUP(B95,'Statement of Marks'!$B$8:'Statement of Marks'!$HI$207,107,0),"")</f>
        <v/>
      </c>
    </row>
    <row r="96" spans="1:68">
      <c r="A96" s="806">
        <f>IF('Statement of Marks'!A95="","",'Statement of Marks'!A95)</f>
        <v>88</v>
      </c>
      <c r="B96" s="807" t="str">
        <f>IF(OR($E$3="",$P$3=""),"",IF('Statement of Marks'!B95="","",'Statement of Marks'!B95))</f>
        <v/>
      </c>
      <c r="C96" s="816" t="str">
        <f>IF(OR($E$3="",$P$3=""),"",IF('Marks Entry'!C95="","",'Marks Entry'!C95))</f>
        <v/>
      </c>
      <c r="D96" s="808" t="str">
        <f>IF(OR($E$3="",$P$3=""),"",IF('Statement of Marks'!C95="","",'Statement of Marks'!C95))</f>
        <v/>
      </c>
      <c r="E96" s="809" t="str">
        <f>IF(OR($E$3="",$P$3=""),"",IF('Statement of Marks'!D95="","",'Statement of Marks'!D95))</f>
        <v/>
      </c>
      <c r="F96" s="810" t="str">
        <f>IF(OR($E$3="",$P$3=""),"",IF('Statement of Marks'!E95="","",'Statement of Marks'!E95))</f>
        <v/>
      </c>
      <c r="G96" s="810" t="str">
        <f>IF(OR($E$3="",$P$3=""),"",IF('Statement of Marks'!F95="","",'Statement of Marks'!F95))</f>
        <v/>
      </c>
      <c r="H96" s="810" t="str">
        <f>IF(OR($E$3="",$P$3=""),"",IF('Statement of Marks'!G95="","",'Statement of Marks'!G95))</f>
        <v/>
      </c>
      <c r="I96" s="811" t="str">
        <f>IF(OR($E$3="",$P$3=""),"",IF('Statement of Marks'!H95="","",'Statement of Marks'!H95))</f>
        <v/>
      </c>
      <c r="J96" s="811" t="str">
        <f>IF(OR($E$3="",$P$3=""),"",IF('Statement of Marks'!I95="","",'Statement of Marks'!I95))</f>
        <v/>
      </c>
      <c r="K96" s="811" t="str">
        <f>IFERROR(IF(B96="","",IF($P$3=$AT$10,IF(AND(BM96="A"),'Marks Entry'!$U$2,IF(AND(BM96="B"),'Marks Entry'!$Y$2,IF(AND(BM96="C"),'Marks Entry'!$AA$2,""))),IF($P$3=$AT$11,IF(AND(BN96="A"),'Marks Entry'!$AC$2,IF(AND(BN96="B"),'Marks Entry'!$AG$2,IF(AND(BN96="C"),'Marks Entry'!$AI$2,""))),IF($P$3=$AT$12,IF(AND(BO96="A"),'Marks Entry'!$AK$2,IF(AND(BO96="B"),'Marks Entry'!$AO$2,IF(AND(BO96="C"),'Marks Entry'!$AQ$2,""))),IF($P$3=$AT$13,IF(AND(BP96="A"),'Marks Entry'!$AS$2,IF(AND(BP96="B"),'Marks Entry'!$AW$2,IF(AND(BP96="C"),'Marks Entry'!$AY$2,""))),"-"))))),"")</f>
        <v/>
      </c>
      <c r="L96" s="812" t="str">
        <f>IFERROR(IF(B96="","",IF($P$3=$AT$8,'Statement of Marks'!J95,IF($P$3=$AT$9,'Statement of Marks'!X95,IF($P$3=$AT$10,'Statement of Marks'!AM95,IF($P$3=$AT$11,'Statement of Marks'!BJ95,IF($P$3=$AT$12,'Statement of Marks'!CG95,IF($P$3=$AT$13,'Statement of Marks'!DE95,IF($P$3=$AT$14,"",IF($P$3=$AT$15,'Statement of Marks'!EY95,""))))))))),"")</f>
        <v/>
      </c>
      <c r="M96" s="812" t="str">
        <f>IFERROR(IF(B96="","",IF($P$3=$AT$8,'Statement of Marks'!K95,IF($P$3=$AT$9,'Statement of Marks'!Y95,IF($P$3=$AT$10,'Statement of Marks'!AN95,IF($P$3=$AT$11,'Statement of Marks'!BK95,IF($P$3=$AT$12,'Statement of Marks'!CH95,IF($P$3=$AT$13,'Statement of Marks'!DF95,IF($P$3=$AT$14,"",IF($P$3=$AT$15,'Statement of Marks'!EZ95,""))))))))),"")</f>
        <v/>
      </c>
      <c r="N96" s="812" t="str">
        <f>IFERROR(IF(B96="","",IF($P$3=$AT$8,'Statement of Marks'!L95,IF($P$3=$AT$9,'Statement of Marks'!Z95,IF($P$3=$AT$10,'Statement of Marks'!AO95,IF($P$3=$AT$11,'Statement of Marks'!BL95,IF($P$3=$AT$12,'Statement of Marks'!CI95,IF($P$3=$AT$13,'Statement of Marks'!DG95,IF($P$3=$AT$14,"",IF($P$3=$AT$15,'Statement of Marks'!FA95,""))))))))),"")</f>
        <v/>
      </c>
      <c r="O96" s="813" t="str">
        <f t="shared" si="18"/>
        <v/>
      </c>
      <c r="P96" s="812" t="str">
        <f>IFERROR(IF(B96="","",IF($P$3=$AT$8,'Statement of Marks'!N95,IF($P$3=$AT$9,'Statement of Marks'!AB95,IF($P$3=$AT$10,'Statement of Marks'!AQ95,IF($P$3=$AT$11,'Statement of Marks'!BN95,IF($P$3=$AT$12,'Statement of Marks'!CK95,IF($P$3=$AT$13,'Statement of Marks'!DI95,IF($P$3=$AT$14,"",IF($P$3=$AT$15,'Statement of Marks'!FC95,""))))))))),"")</f>
        <v/>
      </c>
      <c r="Q96" s="812" t="str">
        <f>IFERROR(IF(B96="","",IF($P$3=$AT$8,"",IF($P$3=$AT$9,"",IF($P$3=$AT$10,'Statement of Marks'!AR95,IF($P$3=$AT$11,'Statement of Marks'!BO95,IF($P$3=$AT$12,'Statement of Marks'!CL95,IF($P$3=$AT$13,'Statement of Marks'!DJ95,IF($P$3=$AT$14,"",IF($P$3=$AT$15,"",""))))))))),"")</f>
        <v/>
      </c>
      <c r="R96" s="824" t="str">
        <f>IFERROR(IF(B96="","",IF(AND(P96="",Q96="",$P$3=""),"",IF($P$3=$AT$14,'Statement of Marks'!EC95,SUM(P96,Q96)))),"")</f>
        <v/>
      </c>
      <c r="S96" s="823" t="str">
        <f>IFERROR(IF(B96="","",IF($P$3=$AT$14,'Statement of Marks'!ED95,IF(AND(O96="NA",P96="NA",Q96="NA"),"NA",IF(AND(O96="",P96="",Q96=""),"",SUM(O96,P96,Q96))))),"")</f>
        <v/>
      </c>
      <c r="T96" s="812" t="str">
        <f>IFERROR(IF(B96="","",IF($P$3=$AT$8,'Statement of Marks'!P95,IF($P$3=$AT$9,'Statement of Marks'!AD95,IF($P$3=$AT$10,'Statement of Marks'!AU95,IF($P$3=$AT$11,'Statement of Marks'!BR95,IF($P$3=$AT$12,'Statement of Marks'!CO95,IF($P$3=$AT$13,'Statement of Marks'!DM95,IF($P$3=$AT$14,"",IF($P$3=$AT$15,'Statement of Marks'!FD95,""))))))))),"")</f>
        <v/>
      </c>
      <c r="U96" s="812" t="str">
        <f>IFERROR(IF(B96="","",IF($P$3=$AT$8,"",IF($P$3=$AT$9,"",IF($P$3=$AT$10,'Statement of Marks'!AV95,IF($P$3=$AT$11,'Statement of Marks'!BS95,IF($P$3=$AT$12,'Statement of Marks'!CP95,IF($P$3=$AT$13,'Statement of Marks'!DN95,IF($P$3=$AT$14,"",IF($P$3=$AT$15,"",""))))))))),"")</f>
        <v/>
      </c>
      <c r="V96" s="824" t="str">
        <f>IFERROR(IF(B96="","",IF(AND(T96="",U96="",$P$3=""),"",IF($P$3=$AT$14,'Statement of Marks'!EE95,SUM(T96,U96)))),"")</f>
        <v/>
      </c>
      <c r="W96" s="814" t="str">
        <f t="shared" si="19"/>
        <v/>
      </c>
      <c r="X96" s="815">
        <f t="shared" si="20"/>
        <v>0</v>
      </c>
      <c r="Y96" s="815">
        <f t="shared" si="21"/>
        <v>0</v>
      </c>
      <c r="Z96" s="815">
        <f t="shared" si="22"/>
        <v>0</v>
      </c>
      <c r="AA96" s="815" t="str">
        <f t="shared" si="23"/>
        <v/>
      </c>
      <c r="AB96" s="815" t="str">
        <f t="shared" si="24"/>
        <v/>
      </c>
      <c r="AC96" s="815" t="str">
        <f t="shared" si="25"/>
        <v/>
      </c>
      <c r="AD96" s="815" t="str">
        <f t="shared" si="26"/>
        <v/>
      </c>
      <c r="AE96" s="816" t="str">
        <f t="shared" si="27"/>
        <v/>
      </c>
      <c r="AF96" s="817" t="str">
        <f t="shared" si="28"/>
        <v/>
      </c>
      <c r="AG96" s="818" t="str">
        <f t="shared" si="29"/>
        <v/>
      </c>
      <c r="AW96" s="17" t="str">
        <f t="shared" si="30"/>
        <v/>
      </c>
      <c r="AX96" s="17" t="str">
        <f t="shared" si="31"/>
        <v/>
      </c>
      <c r="BM96" s="17" t="str">
        <f>IFERROR(VLOOKUP(B96,'Statement of Marks'!$B$8:'Statement of Marks'!$HI$207,37,0),"")</f>
        <v>A</v>
      </c>
      <c r="BN96" s="17" t="str">
        <f>IFERROR(VLOOKUP(B96,'Statement of Marks'!$B$8:'Statement of Marks'!$HI$207,60,0),"")</f>
        <v>A</v>
      </c>
      <c r="BO96" s="17" t="str">
        <f>IFERROR(VLOOKUP(B96,'Statement of Marks'!$B$8:'Statement of Marks'!$HI$207,83,0),"")</f>
        <v>A</v>
      </c>
      <c r="BP96" s="17" t="str">
        <f>IFERROR(VLOOKUP(B96,'Statement of Marks'!$B$8:'Statement of Marks'!$HI$207,107,0),"")</f>
        <v/>
      </c>
    </row>
    <row r="97" spans="1:68">
      <c r="A97" s="806">
        <f>IF('Statement of Marks'!A96="","",'Statement of Marks'!A96)</f>
        <v>89</v>
      </c>
      <c r="B97" s="807" t="str">
        <f>IF(OR($E$3="",$P$3=""),"",IF('Statement of Marks'!B96="","",'Statement of Marks'!B96))</f>
        <v/>
      </c>
      <c r="C97" s="816" t="str">
        <f>IF(OR($E$3="",$P$3=""),"",IF('Marks Entry'!C96="","",'Marks Entry'!C96))</f>
        <v/>
      </c>
      <c r="D97" s="808" t="str">
        <f>IF(OR($E$3="",$P$3=""),"",IF('Statement of Marks'!C96="","",'Statement of Marks'!C96))</f>
        <v/>
      </c>
      <c r="E97" s="809" t="str">
        <f>IF(OR($E$3="",$P$3=""),"",IF('Statement of Marks'!D96="","",'Statement of Marks'!D96))</f>
        <v/>
      </c>
      <c r="F97" s="810" t="str">
        <f>IF(OR($E$3="",$P$3=""),"",IF('Statement of Marks'!E96="","",'Statement of Marks'!E96))</f>
        <v/>
      </c>
      <c r="G97" s="810" t="str">
        <f>IF(OR($E$3="",$P$3=""),"",IF('Statement of Marks'!F96="","",'Statement of Marks'!F96))</f>
        <v/>
      </c>
      <c r="H97" s="810" t="str">
        <f>IF(OR($E$3="",$P$3=""),"",IF('Statement of Marks'!G96="","",'Statement of Marks'!G96))</f>
        <v/>
      </c>
      <c r="I97" s="811" t="str">
        <f>IF(OR($E$3="",$P$3=""),"",IF('Statement of Marks'!H96="","",'Statement of Marks'!H96))</f>
        <v/>
      </c>
      <c r="J97" s="811" t="str">
        <f>IF(OR($E$3="",$P$3=""),"",IF('Statement of Marks'!I96="","",'Statement of Marks'!I96))</f>
        <v/>
      </c>
      <c r="K97" s="811" t="str">
        <f>IFERROR(IF(B97="","",IF($P$3=$AT$10,IF(AND(BM97="A"),'Marks Entry'!$U$2,IF(AND(BM97="B"),'Marks Entry'!$Y$2,IF(AND(BM97="C"),'Marks Entry'!$AA$2,""))),IF($P$3=$AT$11,IF(AND(BN97="A"),'Marks Entry'!$AC$2,IF(AND(BN97="B"),'Marks Entry'!$AG$2,IF(AND(BN97="C"),'Marks Entry'!$AI$2,""))),IF($P$3=$AT$12,IF(AND(BO97="A"),'Marks Entry'!$AK$2,IF(AND(BO97="B"),'Marks Entry'!$AO$2,IF(AND(BO97="C"),'Marks Entry'!$AQ$2,""))),IF($P$3=$AT$13,IF(AND(BP97="A"),'Marks Entry'!$AS$2,IF(AND(BP97="B"),'Marks Entry'!$AW$2,IF(AND(BP97="C"),'Marks Entry'!$AY$2,""))),"-"))))),"")</f>
        <v/>
      </c>
      <c r="L97" s="812" t="str">
        <f>IFERROR(IF(B97="","",IF($P$3=$AT$8,'Statement of Marks'!J96,IF($P$3=$AT$9,'Statement of Marks'!X96,IF($P$3=$AT$10,'Statement of Marks'!AM96,IF($P$3=$AT$11,'Statement of Marks'!BJ96,IF($P$3=$AT$12,'Statement of Marks'!CG96,IF($P$3=$AT$13,'Statement of Marks'!DE96,IF($P$3=$AT$14,"",IF($P$3=$AT$15,'Statement of Marks'!EY96,""))))))))),"")</f>
        <v/>
      </c>
      <c r="M97" s="812" t="str">
        <f>IFERROR(IF(B97="","",IF($P$3=$AT$8,'Statement of Marks'!K96,IF($P$3=$AT$9,'Statement of Marks'!Y96,IF($P$3=$AT$10,'Statement of Marks'!AN96,IF($P$3=$AT$11,'Statement of Marks'!BK96,IF($P$3=$AT$12,'Statement of Marks'!CH96,IF($P$3=$AT$13,'Statement of Marks'!DF96,IF($P$3=$AT$14,"",IF($P$3=$AT$15,'Statement of Marks'!EZ96,""))))))))),"")</f>
        <v/>
      </c>
      <c r="N97" s="812" t="str">
        <f>IFERROR(IF(B97="","",IF($P$3=$AT$8,'Statement of Marks'!L96,IF($P$3=$AT$9,'Statement of Marks'!Z96,IF($P$3=$AT$10,'Statement of Marks'!AO96,IF($P$3=$AT$11,'Statement of Marks'!BL96,IF($P$3=$AT$12,'Statement of Marks'!CI96,IF($P$3=$AT$13,'Statement of Marks'!DG96,IF($P$3=$AT$14,"",IF($P$3=$AT$15,'Statement of Marks'!FA96,""))))))))),"")</f>
        <v/>
      </c>
      <c r="O97" s="813" t="str">
        <f t="shared" si="18"/>
        <v/>
      </c>
      <c r="P97" s="812" t="str">
        <f>IFERROR(IF(B97="","",IF($P$3=$AT$8,'Statement of Marks'!N96,IF($P$3=$AT$9,'Statement of Marks'!AB96,IF($P$3=$AT$10,'Statement of Marks'!AQ96,IF($P$3=$AT$11,'Statement of Marks'!BN96,IF($P$3=$AT$12,'Statement of Marks'!CK96,IF($P$3=$AT$13,'Statement of Marks'!DI96,IF($P$3=$AT$14,"",IF($P$3=$AT$15,'Statement of Marks'!FC96,""))))))))),"")</f>
        <v/>
      </c>
      <c r="Q97" s="812" t="str">
        <f>IFERROR(IF(B97="","",IF($P$3=$AT$8,"",IF($P$3=$AT$9,"",IF($P$3=$AT$10,'Statement of Marks'!AR96,IF($P$3=$AT$11,'Statement of Marks'!BO96,IF($P$3=$AT$12,'Statement of Marks'!CL96,IF($P$3=$AT$13,'Statement of Marks'!DJ96,IF($P$3=$AT$14,"",IF($P$3=$AT$15,"",""))))))))),"")</f>
        <v/>
      </c>
      <c r="R97" s="824" t="str">
        <f>IFERROR(IF(B97="","",IF(AND(P97="",Q97="",$P$3=""),"",IF($P$3=$AT$14,'Statement of Marks'!EC96,SUM(P97,Q97)))),"")</f>
        <v/>
      </c>
      <c r="S97" s="823" t="str">
        <f>IFERROR(IF(B97="","",IF($P$3=$AT$14,'Statement of Marks'!ED96,IF(AND(O97="NA",P97="NA",Q97="NA"),"NA",IF(AND(O97="",P97="",Q97=""),"",SUM(O97,P97,Q97))))),"")</f>
        <v/>
      </c>
      <c r="T97" s="812" t="str">
        <f>IFERROR(IF(B97="","",IF($P$3=$AT$8,'Statement of Marks'!P96,IF($P$3=$AT$9,'Statement of Marks'!AD96,IF($P$3=$AT$10,'Statement of Marks'!AU96,IF($P$3=$AT$11,'Statement of Marks'!BR96,IF($P$3=$AT$12,'Statement of Marks'!CO96,IF($P$3=$AT$13,'Statement of Marks'!DM96,IF($P$3=$AT$14,"",IF($P$3=$AT$15,'Statement of Marks'!FD96,""))))))))),"")</f>
        <v/>
      </c>
      <c r="U97" s="812" t="str">
        <f>IFERROR(IF(B97="","",IF($P$3=$AT$8,"",IF($P$3=$AT$9,"",IF($P$3=$AT$10,'Statement of Marks'!AV96,IF($P$3=$AT$11,'Statement of Marks'!BS96,IF($P$3=$AT$12,'Statement of Marks'!CP96,IF($P$3=$AT$13,'Statement of Marks'!DN96,IF($P$3=$AT$14,"",IF($P$3=$AT$15,"",""))))))))),"")</f>
        <v/>
      </c>
      <c r="V97" s="824" t="str">
        <f>IFERROR(IF(B97="","",IF(AND(T97="",U97="",$P$3=""),"",IF($P$3=$AT$14,'Statement of Marks'!EE96,SUM(T97,U97)))),"")</f>
        <v/>
      </c>
      <c r="W97" s="814" t="str">
        <f t="shared" si="19"/>
        <v/>
      </c>
      <c r="X97" s="815">
        <f t="shared" si="20"/>
        <v>0</v>
      </c>
      <c r="Y97" s="815">
        <f t="shared" si="21"/>
        <v>0</v>
      </c>
      <c r="Z97" s="815">
        <f t="shared" si="22"/>
        <v>0</v>
      </c>
      <c r="AA97" s="815" t="str">
        <f t="shared" si="23"/>
        <v/>
      </c>
      <c r="AB97" s="815" t="str">
        <f t="shared" si="24"/>
        <v/>
      </c>
      <c r="AC97" s="815" t="str">
        <f t="shared" si="25"/>
        <v/>
      </c>
      <c r="AD97" s="815" t="str">
        <f t="shared" si="26"/>
        <v/>
      </c>
      <c r="AE97" s="816" t="str">
        <f t="shared" si="27"/>
        <v/>
      </c>
      <c r="AF97" s="817" t="str">
        <f t="shared" si="28"/>
        <v/>
      </c>
      <c r="AG97" s="818" t="str">
        <f t="shared" si="29"/>
        <v/>
      </c>
      <c r="AW97" s="17" t="str">
        <f t="shared" si="30"/>
        <v/>
      </c>
      <c r="AX97" s="17" t="str">
        <f t="shared" si="31"/>
        <v/>
      </c>
      <c r="BM97" s="17" t="str">
        <f>IFERROR(VLOOKUP(B97,'Statement of Marks'!$B$8:'Statement of Marks'!$HI$207,37,0),"")</f>
        <v>A</v>
      </c>
      <c r="BN97" s="17" t="str">
        <f>IFERROR(VLOOKUP(B97,'Statement of Marks'!$B$8:'Statement of Marks'!$HI$207,60,0),"")</f>
        <v>A</v>
      </c>
      <c r="BO97" s="17" t="str">
        <f>IFERROR(VLOOKUP(B97,'Statement of Marks'!$B$8:'Statement of Marks'!$HI$207,83,0),"")</f>
        <v>A</v>
      </c>
      <c r="BP97" s="17" t="str">
        <f>IFERROR(VLOOKUP(B97,'Statement of Marks'!$B$8:'Statement of Marks'!$HI$207,107,0),"")</f>
        <v/>
      </c>
    </row>
    <row r="98" spans="1:68">
      <c r="A98" s="806">
        <f>IF('Statement of Marks'!A97="","",'Statement of Marks'!A97)</f>
        <v>90</v>
      </c>
      <c r="B98" s="807" t="str">
        <f>IF(OR($E$3="",$P$3=""),"",IF('Statement of Marks'!B97="","",'Statement of Marks'!B97))</f>
        <v/>
      </c>
      <c r="C98" s="816" t="str">
        <f>IF(OR($E$3="",$P$3=""),"",IF('Marks Entry'!C97="","",'Marks Entry'!C97))</f>
        <v/>
      </c>
      <c r="D98" s="808" t="str">
        <f>IF(OR($E$3="",$P$3=""),"",IF('Statement of Marks'!C97="","",'Statement of Marks'!C97))</f>
        <v/>
      </c>
      <c r="E98" s="809" t="str">
        <f>IF(OR($E$3="",$P$3=""),"",IF('Statement of Marks'!D97="","",'Statement of Marks'!D97))</f>
        <v/>
      </c>
      <c r="F98" s="810" t="str">
        <f>IF(OR($E$3="",$P$3=""),"",IF('Statement of Marks'!E97="","",'Statement of Marks'!E97))</f>
        <v/>
      </c>
      <c r="G98" s="810" t="str">
        <f>IF(OR($E$3="",$P$3=""),"",IF('Statement of Marks'!F97="","",'Statement of Marks'!F97))</f>
        <v/>
      </c>
      <c r="H98" s="810" t="str">
        <f>IF(OR($E$3="",$P$3=""),"",IF('Statement of Marks'!G97="","",'Statement of Marks'!G97))</f>
        <v/>
      </c>
      <c r="I98" s="811" t="str">
        <f>IF(OR($E$3="",$P$3=""),"",IF('Statement of Marks'!H97="","",'Statement of Marks'!H97))</f>
        <v/>
      </c>
      <c r="J98" s="811" t="str">
        <f>IF(OR($E$3="",$P$3=""),"",IF('Statement of Marks'!I97="","",'Statement of Marks'!I97))</f>
        <v/>
      </c>
      <c r="K98" s="811" t="str">
        <f>IFERROR(IF(B98="","",IF($P$3=$AT$10,IF(AND(BM98="A"),'Marks Entry'!$U$2,IF(AND(BM98="B"),'Marks Entry'!$Y$2,IF(AND(BM98="C"),'Marks Entry'!$AA$2,""))),IF($P$3=$AT$11,IF(AND(BN98="A"),'Marks Entry'!$AC$2,IF(AND(BN98="B"),'Marks Entry'!$AG$2,IF(AND(BN98="C"),'Marks Entry'!$AI$2,""))),IF($P$3=$AT$12,IF(AND(BO98="A"),'Marks Entry'!$AK$2,IF(AND(BO98="B"),'Marks Entry'!$AO$2,IF(AND(BO98="C"),'Marks Entry'!$AQ$2,""))),IF($P$3=$AT$13,IF(AND(BP98="A"),'Marks Entry'!$AS$2,IF(AND(BP98="B"),'Marks Entry'!$AW$2,IF(AND(BP98="C"),'Marks Entry'!$AY$2,""))),"-"))))),"")</f>
        <v/>
      </c>
      <c r="L98" s="812" t="str">
        <f>IFERROR(IF(B98="","",IF($P$3=$AT$8,'Statement of Marks'!J97,IF($P$3=$AT$9,'Statement of Marks'!X97,IF($P$3=$AT$10,'Statement of Marks'!AM97,IF($P$3=$AT$11,'Statement of Marks'!BJ97,IF($P$3=$AT$12,'Statement of Marks'!CG97,IF($P$3=$AT$13,'Statement of Marks'!DE97,IF($P$3=$AT$14,"",IF($P$3=$AT$15,'Statement of Marks'!EY97,""))))))))),"")</f>
        <v/>
      </c>
      <c r="M98" s="812" t="str">
        <f>IFERROR(IF(B98="","",IF($P$3=$AT$8,'Statement of Marks'!K97,IF($P$3=$AT$9,'Statement of Marks'!Y97,IF($P$3=$AT$10,'Statement of Marks'!AN97,IF($P$3=$AT$11,'Statement of Marks'!BK97,IF($P$3=$AT$12,'Statement of Marks'!CH97,IF($P$3=$AT$13,'Statement of Marks'!DF97,IF($P$3=$AT$14,"",IF($P$3=$AT$15,'Statement of Marks'!EZ97,""))))))))),"")</f>
        <v/>
      </c>
      <c r="N98" s="812" t="str">
        <f>IFERROR(IF(B98="","",IF($P$3=$AT$8,'Statement of Marks'!L97,IF($P$3=$AT$9,'Statement of Marks'!Z97,IF($P$3=$AT$10,'Statement of Marks'!AO97,IF($P$3=$AT$11,'Statement of Marks'!BL97,IF($P$3=$AT$12,'Statement of Marks'!CI97,IF($P$3=$AT$13,'Statement of Marks'!DG97,IF($P$3=$AT$14,"",IF($P$3=$AT$15,'Statement of Marks'!FA97,""))))))))),"")</f>
        <v/>
      </c>
      <c r="O98" s="813" t="str">
        <f t="shared" si="18"/>
        <v/>
      </c>
      <c r="P98" s="812" t="str">
        <f>IFERROR(IF(B98="","",IF($P$3=$AT$8,'Statement of Marks'!N97,IF($P$3=$AT$9,'Statement of Marks'!AB97,IF($P$3=$AT$10,'Statement of Marks'!AQ97,IF($P$3=$AT$11,'Statement of Marks'!BN97,IF($P$3=$AT$12,'Statement of Marks'!CK97,IF($P$3=$AT$13,'Statement of Marks'!DI97,IF($P$3=$AT$14,"",IF($P$3=$AT$15,'Statement of Marks'!FC97,""))))))))),"")</f>
        <v/>
      </c>
      <c r="Q98" s="812" t="str">
        <f>IFERROR(IF(B98="","",IF($P$3=$AT$8,"",IF($P$3=$AT$9,"",IF($P$3=$AT$10,'Statement of Marks'!AR97,IF($P$3=$AT$11,'Statement of Marks'!BO97,IF($P$3=$AT$12,'Statement of Marks'!CL97,IF($P$3=$AT$13,'Statement of Marks'!DJ97,IF($P$3=$AT$14,"",IF($P$3=$AT$15,"",""))))))))),"")</f>
        <v/>
      </c>
      <c r="R98" s="824" t="str">
        <f>IFERROR(IF(B98="","",IF(AND(P98="",Q98="",$P$3=""),"",IF($P$3=$AT$14,'Statement of Marks'!EC97,SUM(P98,Q98)))),"")</f>
        <v/>
      </c>
      <c r="S98" s="823" t="str">
        <f>IFERROR(IF(B98="","",IF($P$3=$AT$14,'Statement of Marks'!ED97,IF(AND(O98="NA",P98="NA",Q98="NA"),"NA",IF(AND(O98="",P98="",Q98=""),"",SUM(O98,P98,Q98))))),"")</f>
        <v/>
      </c>
      <c r="T98" s="812" t="str">
        <f>IFERROR(IF(B98="","",IF($P$3=$AT$8,'Statement of Marks'!P97,IF($P$3=$AT$9,'Statement of Marks'!AD97,IF($P$3=$AT$10,'Statement of Marks'!AU97,IF($P$3=$AT$11,'Statement of Marks'!BR97,IF($P$3=$AT$12,'Statement of Marks'!CO97,IF($P$3=$AT$13,'Statement of Marks'!DM97,IF($P$3=$AT$14,"",IF($P$3=$AT$15,'Statement of Marks'!FD97,""))))))))),"")</f>
        <v/>
      </c>
      <c r="U98" s="812" t="str">
        <f>IFERROR(IF(B98="","",IF($P$3=$AT$8,"",IF($P$3=$AT$9,"",IF($P$3=$AT$10,'Statement of Marks'!AV97,IF($P$3=$AT$11,'Statement of Marks'!BS97,IF($P$3=$AT$12,'Statement of Marks'!CP97,IF($P$3=$AT$13,'Statement of Marks'!DN97,IF($P$3=$AT$14,"",IF($P$3=$AT$15,"",""))))))))),"")</f>
        <v/>
      </c>
      <c r="V98" s="824" t="str">
        <f>IFERROR(IF(B98="","",IF(AND(T98="",U98="",$P$3=""),"",IF($P$3=$AT$14,'Statement of Marks'!EE97,SUM(T98,U98)))),"")</f>
        <v/>
      </c>
      <c r="W98" s="814" t="str">
        <f t="shared" si="19"/>
        <v/>
      </c>
      <c r="X98" s="815">
        <f t="shared" si="20"/>
        <v>0</v>
      </c>
      <c r="Y98" s="815">
        <f t="shared" si="21"/>
        <v>0</v>
      </c>
      <c r="Z98" s="815">
        <f t="shared" si="22"/>
        <v>0</v>
      </c>
      <c r="AA98" s="815" t="str">
        <f t="shared" si="23"/>
        <v/>
      </c>
      <c r="AB98" s="815" t="str">
        <f t="shared" si="24"/>
        <v/>
      </c>
      <c r="AC98" s="815" t="str">
        <f t="shared" si="25"/>
        <v/>
      </c>
      <c r="AD98" s="815" t="str">
        <f t="shared" si="26"/>
        <v/>
      </c>
      <c r="AE98" s="816" t="str">
        <f t="shared" si="27"/>
        <v/>
      </c>
      <c r="AF98" s="817" t="str">
        <f t="shared" si="28"/>
        <v/>
      </c>
      <c r="AG98" s="818" t="str">
        <f t="shared" si="29"/>
        <v/>
      </c>
      <c r="AW98" s="17" t="str">
        <f t="shared" si="30"/>
        <v/>
      </c>
      <c r="AX98" s="17" t="str">
        <f t="shared" si="31"/>
        <v/>
      </c>
      <c r="BM98" s="17" t="str">
        <f>IFERROR(VLOOKUP(B98,'Statement of Marks'!$B$8:'Statement of Marks'!$HI$207,37,0),"")</f>
        <v>A</v>
      </c>
      <c r="BN98" s="17" t="str">
        <f>IFERROR(VLOOKUP(B98,'Statement of Marks'!$B$8:'Statement of Marks'!$HI$207,60,0),"")</f>
        <v>A</v>
      </c>
      <c r="BO98" s="17" t="str">
        <f>IFERROR(VLOOKUP(B98,'Statement of Marks'!$B$8:'Statement of Marks'!$HI$207,83,0),"")</f>
        <v>A</v>
      </c>
      <c r="BP98" s="17" t="str">
        <f>IFERROR(VLOOKUP(B98,'Statement of Marks'!$B$8:'Statement of Marks'!$HI$207,107,0),"")</f>
        <v/>
      </c>
    </row>
    <row r="99" spans="1:68">
      <c r="A99" s="806">
        <f>IF('Statement of Marks'!A98="","",'Statement of Marks'!A98)</f>
        <v>91</v>
      </c>
      <c r="B99" s="807" t="str">
        <f>IF(OR($E$3="",$P$3=""),"",IF('Statement of Marks'!B98="","",'Statement of Marks'!B98))</f>
        <v/>
      </c>
      <c r="C99" s="816" t="str">
        <f>IF(OR($E$3="",$P$3=""),"",IF('Marks Entry'!C98="","",'Marks Entry'!C98))</f>
        <v/>
      </c>
      <c r="D99" s="808" t="str">
        <f>IF(OR($E$3="",$P$3=""),"",IF('Statement of Marks'!C98="","",'Statement of Marks'!C98))</f>
        <v/>
      </c>
      <c r="E99" s="809" t="str">
        <f>IF(OR($E$3="",$P$3=""),"",IF('Statement of Marks'!D98="","",'Statement of Marks'!D98))</f>
        <v/>
      </c>
      <c r="F99" s="810" t="str">
        <f>IF(OR($E$3="",$P$3=""),"",IF('Statement of Marks'!E98="","",'Statement of Marks'!E98))</f>
        <v/>
      </c>
      <c r="G99" s="810" t="str">
        <f>IF(OR($E$3="",$P$3=""),"",IF('Statement of Marks'!F98="","",'Statement of Marks'!F98))</f>
        <v/>
      </c>
      <c r="H99" s="810" t="str">
        <f>IF(OR($E$3="",$P$3=""),"",IF('Statement of Marks'!G98="","",'Statement of Marks'!G98))</f>
        <v/>
      </c>
      <c r="I99" s="811" t="str">
        <f>IF(OR($E$3="",$P$3=""),"",IF('Statement of Marks'!H98="","",'Statement of Marks'!H98))</f>
        <v/>
      </c>
      <c r="J99" s="811" t="str">
        <f>IF(OR($E$3="",$P$3=""),"",IF('Statement of Marks'!I98="","",'Statement of Marks'!I98))</f>
        <v/>
      </c>
      <c r="K99" s="811" t="str">
        <f>IFERROR(IF(B99="","",IF($P$3=$AT$10,IF(AND(BM99="A"),'Marks Entry'!$U$2,IF(AND(BM99="B"),'Marks Entry'!$Y$2,IF(AND(BM99="C"),'Marks Entry'!$AA$2,""))),IF($P$3=$AT$11,IF(AND(BN99="A"),'Marks Entry'!$AC$2,IF(AND(BN99="B"),'Marks Entry'!$AG$2,IF(AND(BN99="C"),'Marks Entry'!$AI$2,""))),IF($P$3=$AT$12,IF(AND(BO99="A"),'Marks Entry'!$AK$2,IF(AND(BO99="B"),'Marks Entry'!$AO$2,IF(AND(BO99="C"),'Marks Entry'!$AQ$2,""))),IF($P$3=$AT$13,IF(AND(BP99="A"),'Marks Entry'!$AS$2,IF(AND(BP99="B"),'Marks Entry'!$AW$2,IF(AND(BP99="C"),'Marks Entry'!$AY$2,""))),"-"))))),"")</f>
        <v/>
      </c>
      <c r="L99" s="812" t="str">
        <f>IFERROR(IF(B99="","",IF($P$3=$AT$8,'Statement of Marks'!J98,IF($P$3=$AT$9,'Statement of Marks'!X98,IF($P$3=$AT$10,'Statement of Marks'!AM98,IF($P$3=$AT$11,'Statement of Marks'!BJ98,IF($P$3=$AT$12,'Statement of Marks'!CG98,IF($P$3=$AT$13,'Statement of Marks'!DE98,IF($P$3=$AT$14,"",IF($P$3=$AT$15,'Statement of Marks'!EY98,""))))))))),"")</f>
        <v/>
      </c>
      <c r="M99" s="812" t="str">
        <f>IFERROR(IF(B99="","",IF($P$3=$AT$8,'Statement of Marks'!K98,IF($P$3=$AT$9,'Statement of Marks'!Y98,IF($P$3=$AT$10,'Statement of Marks'!AN98,IF($P$3=$AT$11,'Statement of Marks'!BK98,IF($P$3=$AT$12,'Statement of Marks'!CH98,IF($P$3=$AT$13,'Statement of Marks'!DF98,IF($P$3=$AT$14,"",IF($P$3=$AT$15,'Statement of Marks'!EZ98,""))))))))),"")</f>
        <v/>
      </c>
      <c r="N99" s="812" t="str">
        <f>IFERROR(IF(B99="","",IF($P$3=$AT$8,'Statement of Marks'!L98,IF($P$3=$AT$9,'Statement of Marks'!Z98,IF($P$3=$AT$10,'Statement of Marks'!AO98,IF($P$3=$AT$11,'Statement of Marks'!BL98,IF($P$3=$AT$12,'Statement of Marks'!CI98,IF($P$3=$AT$13,'Statement of Marks'!DG98,IF($P$3=$AT$14,"",IF($P$3=$AT$15,'Statement of Marks'!FA98,""))))))))),"")</f>
        <v/>
      </c>
      <c r="O99" s="813" t="str">
        <f t="shared" si="18"/>
        <v/>
      </c>
      <c r="P99" s="812" t="str">
        <f>IFERROR(IF(B99="","",IF($P$3=$AT$8,'Statement of Marks'!N98,IF($P$3=$AT$9,'Statement of Marks'!AB98,IF($P$3=$AT$10,'Statement of Marks'!AQ98,IF($P$3=$AT$11,'Statement of Marks'!BN98,IF($P$3=$AT$12,'Statement of Marks'!CK98,IF($P$3=$AT$13,'Statement of Marks'!DI98,IF($P$3=$AT$14,"",IF($P$3=$AT$15,'Statement of Marks'!FC98,""))))))))),"")</f>
        <v/>
      </c>
      <c r="Q99" s="812" t="str">
        <f>IFERROR(IF(B99="","",IF($P$3=$AT$8,"",IF($P$3=$AT$9,"",IF($P$3=$AT$10,'Statement of Marks'!AR98,IF($P$3=$AT$11,'Statement of Marks'!BO98,IF($P$3=$AT$12,'Statement of Marks'!CL98,IF($P$3=$AT$13,'Statement of Marks'!DJ98,IF($P$3=$AT$14,"",IF($P$3=$AT$15,"",""))))))))),"")</f>
        <v/>
      </c>
      <c r="R99" s="824" t="str">
        <f>IFERROR(IF(B99="","",IF(AND(P99="",Q99="",$P$3=""),"",IF($P$3=$AT$14,'Statement of Marks'!EC98,SUM(P99,Q99)))),"")</f>
        <v/>
      </c>
      <c r="S99" s="823" t="str">
        <f>IFERROR(IF(B99="","",IF($P$3=$AT$14,'Statement of Marks'!ED98,IF(AND(O99="NA",P99="NA",Q99="NA"),"NA",IF(AND(O99="",P99="",Q99=""),"",SUM(O99,P99,Q99))))),"")</f>
        <v/>
      </c>
      <c r="T99" s="812" t="str">
        <f>IFERROR(IF(B99="","",IF($P$3=$AT$8,'Statement of Marks'!P98,IF($P$3=$AT$9,'Statement of Marks'!AD98,IF($P$3=$AT$10,'Statement of Marks'!AU98,IF($P$3=$AT$11,'Statement of Marks'!BR98,IF($P$3=$AT$12,'Statement of Marks'!CO98,IF($P$3=$AT$13,'Statement of Marks'!DM98,IF($P$3=$AT$14,"",IF($P$3=$AT$15,'Statement of Marks'!FD98,""))))))))),"")</f>
        <v/>
      </c>
      <c r="U99" s="812" t="str">
        <f>IFERROR(IF(B99="","",IF($P$3=$AT$8,"",IF($P$3=$AT$9,"",IF($P$3=$AT$10,'Statement of Marks'!AV98,IF($P$3=$AT$11,'Statement of Marks'!BS98,IF($P$3=$AT$12,'Statement of Marks'!CP98,IF($P$3=$AT$13,'Statement of Marks'!DN98,IF($P$3=$AT$14,"",IF($P$3=$AT$15,"",""))))))))),"")</f>
        <v/>
      </c>
      <c r="V99" s="824" t="str">
        <f>IFERROR(IF(B99="","",IF(AND(T99="",U99="",$P$3=""),"",IF($P$3=$AT$14,'Statement of Marks'!EE98,SUM(T99,U99)))),"")</f>
        <v/>
      </c>
      <c r="W99" s="814" t="str">
        <f t="shared" si="19"/>
        <v/>
      </c>
      <c r="X99" s="815">
        <f t="shared" si="20"/>
        <v>0</v>
      </c>
      <c r="Y99" s="815">
        <f t="shared" si="21"/>
        <v>0</v>
      </c>
      <c r="Z99" s="815">
        <f t="shared" si="22"/>
        <v>0</v>
      </c>
      <c r="AA99" s="815" t="str">
        <f t="shared" si="23"/>
        <v/>
      </c>
      <c r="AB99" s="815" t="str">
        <f t="shared" si="24"/>
        <v/>
      </c>
      <c r="AC99" s="815" t="str">
        <f t="shared" si="25"/>
        <v/>
      </c>
      <c r="AD99" s="815" t="str">
        <f t="shared" si="26"/>
        <v/>
      </c>
      <c r="AE99" s="816" t="str">
        <f t="shared" si="27"/>
        <v/>
      </c>
      <c r="AF99" s="817" t="str">
        <f t="shared" si="28"/>
        <v/>
      </c>
      <c r="AG99" s="818" t="str">
        <f t="shared" si="29"/>
        <v/>
      </c>
      <c r="AW99" s="17" t="str">
        <f t="shared" si="30"/>
        <v/>
      </c>
      <c r="AX99" s="17" t="str">
        <f t="shared" si="31"/>
        <v/>
      </c>
      <c r="BM99" s="17" t="str">
        <f>IFERROR(VLOOKUP(B99,'Statement of Marks'!$B$8:'Statement of Marks'!$HI$207,37,0),"")</f>
        <v>A</v>
      </c>
      <c r="BN99" s="17" t="str">
        <f>IFERROR(VLOOKUP(B99,'Statement of Marks'!$B$8:'Statement of Marks'!$HI$207,60,0),"")</f>
        <v>A</v>
      </c>
      <c r="BO99" s="17" t="str">
        <f>IFERROR(VLOOKUP(B99,'Statement of Marks'!$B$8:'Statement of Marks'!$HI$207,83,0),"")</f>
        <v>A</v>
      </c>
      <c r="BP99" s="17" t="str">
        <f>IFERROR(VLOOKUP(B99,'Statement of Marks'!$B$8:'Statement of Marks'!$HI$207,107,0),"")</f>
        <v/>
      </c>
    </row>
    <row r="100" spans="1:68">
      <c r="A100" s="806">
        <f>IF('Statement of Marks'!A99="","",'Statement of Marks'!A99)</f>
        <v>92</v>
      </c>
      <c r="B100" s="807" t="str">
        <f>IF(OR($E$3="",$P$3=""),"",IF('Statement of Marks'!B99="","",'Statement of Marks'!B99))</f>
        <v/>
      </c>
      <c r="C100" s="816" t="str">
        <f>IF(OR($E$3="",$P$3=""),"",IF('Marks Entry'!C99="","",'Marks Entry'!C99))</f>
        <v/>
      </c>
      <c r="D100" s="808" t="str">
        <f>IF(OR($E$3="",$P$3=""),"",IF('Statement of Marks'!C99="","",'Statement of Marks'!C99))</f>
        <v/>
      </c>
      <c r="E100" s="809" t="str">
        <f>IF(OR($E$3="",$P$3=""),"",IF('Statement of Marks'!D99="","",'Statement of Marks'!D99))</f>
        <v/>
      </c>
      <c r="F100" s="810" t="str">
        <f>IF(OR($E$3="",$P$3=""),"",IF('Statement of Marks'!E99="","",'Statement of Marks'!E99))</f>
        <v/>
      </c>
      <c r="G100" s="810" t="str">
        <f>IF(OR($E$3="",$P$3=""),"",IF('Statement of Marks'!F99="","",'Statement of Marks'!F99))</f>
        <v/>
      </c>
      <c r="H100" s="810" t="str">
        <f>IF(OR($E$3="",$P$3=""),"",IF('Statement of Marks'!G99="","",'Statement of Marks'!G99))</f>
        <v/>
      </c>
      <c r="I100" s="811" t="str">
        <f>IF(OR($E$3="",$P$3=""),"",IF('Statement of Marks'!H99="","",'Statement of Marks'!H99))</f>
        <v/>
      </c>
      <c r="J100" s="811" t="str">
        <f>IF(OR($E$3="",$P$3=""),"",IF('Statement of Marks'!I99="","",'Statement of Marks'!I99))</f>
        <v/>
      </c>
      <c r="K100" s="811" t="str">
        <f>IFERROR(IF(B100="","",IF($P$3=$AT$10,IF(AND(BM100="A"),'Marks Entry'!$U$2,IF(AND(BM100="B"),'Marks Entry'!$Y$2,IF(AND(BM100="C"),'Marks Entry'!$AA$2,""))),IF($P$3=$AT$11,IF(AND(BN100="A"),'Marks Entry'!$AC$2,IF(AND(BN100="B"),'Marks Entry'!$AG$2,IF(AND(BN100="C"),'Marks Entry'!$AI$2,""))),IF($P$3=$AT$12,IF(AND(BO100="A"),'Marks Entry'!$AK$2,IF(AND(BO100="B"),'Marks Entry'!$AO$2,IF(AND(BO100="C"),'Marks Entry'!$AQ$2,""))),IF($P$3=$AT$13,IF(AND(BP100="A"),'Marks Entry'!$AS$2,IF(AND(BP100="B"),'Marks Entry'!$AW$2,IF(AND(BP100="C"),'Marks Entry'!$AY$2,""))),"-"))))),"")</f>
        <v/>
      </c>
      <c r="L100" s="812" t="str">
        <f>IFERROR(IF(B100="","",IF($P$3=$AT$8,'Statement of Marks'!J99,IF($P$3=$AT$9,'Statement of Marks'!X99,IF($P$3=$AT$10,'Statement of Marks'!AM99,IF($P$3=$AT$11,'Statement of Marks'!BJ99,IF($P$3=$AT$12,'Statement of Marks'!CG99,IF($P$3=$AT$13,'Statement of Marks'!DE99,IF($P$3=$AT$14,"",IF($P$3=$AT$15,'Statement of Marks'!EY99,""))))))))),"")</f>
        <v/>
      </c>
      <c r="M100" s="812" t="str">
        <f>IFERROR(IF(B100="","",IF($P$3=$AT$8,'Statement of Marks'!K99,IF($P$3=$AT$9,'Statement of Marks'!Y99,IF($P$3=$AT$10,'Statement of Marks'!AN99,IF($P$3=$AT$11,'Statement of Marks'!BK99,IF($P$3=$AT$12,'Statement of Marks'!CH99,IF($P$3=$AT$13,'Statement of Marks'!DF99,IF($P$3=$AT$14,"",IF($P$3=$AT$15,'Statement of Marks'!EZ99,""))))))))),"")</f>
        <v/>
      </c>
      <c r="N100" s="812" t="str">
        <f>IFERROR(IF(B100="","",IF($P$3=$AT$8,'Statement of Marks'!L99,IF($P$3=$AT$9,'Statement of Marks'!Z99,IF($P$3=$AT$10,'Statement of Marks'!AO99,IF($P$3=$AT$11,'Statement of Marks'!BL99,IF($P$3=$AT$12,'Statement of Marks'!CI99,IF($P$3=$AT$13,'Statement of Marks'!DG99,IF($P$3=$AT$14,"",IF($P$3=$AT$15,'Statement of Marks'!FA99,""))))))))),"")</f>
        <v/>
      </c>
      <c r="O100" s="813" t="str">
        <f t="shared" si="18"/>
        <v/>
      </c>
      <c r="P100" s="812" t="str">
        <f>IFERROR(IF(B100="","",IF($P$3=$AT$8,'Statement of Marks'!N99,IF($P$3=$AT$9,'Statement of Marks'!AB99,IF($P$3=$AT$10,'Statement of Marks'!AQ99,IF($P$3=$AT$11,'Statement of Marks'!BN99,IF($P$3=$AT$12,'Statement of Marks'!CK99,IF($P$3=$AT$13,'Statement of Marks'!DI99,IF($P$3=$AT$14,"",IF($P$3=$AT$15,'Statement of Marks'!FC99,""))))))))),"")</f>
        <v/>
      </c>
      <c r="Q100" s="812" t="str">
        <f>IFERROR(IF(B100="","",IF($P$3=$AT$8,"",IF($P$3=$AT$9,"",IF($P$3=$AT$10,'Statement of Marks'!AR99,IF($P$3=$AT$11,'Statement of Marks'!BO99,IF($P$3=$AT$12,'Statement of Marks'!CL99,IF($P$3=$AT$13,'Statement of Marks'!DJ99,IF($P$3=$AT$14,"",IF($P$3=$AT$15,"",""))))))))),"")</f>
        <v/>
      </c>
      <c r="R100" s="824" t="str">
        <f>IFERROR(IF(B100="","",IF(AND(P100="",Q100="",$P$3=""),"",IF($P$3=$AT$14,'Statement of Marks'!EC99,SUM(P100,Q100)))),"")</f>
        <v/>
      </c>
      <c r="S100" s="823" t="str">
        <f>IFERROR(IF(B100="","",IF($P$3=$AT$14,'Statement of Marks'!ED99,IF(AND(O100="NA",P100="NA",Q100="NA"),"NA",IF(AND(O100="",P100="",Q100=""),"",SUM(O100,P100,Q100))))),"")</f>
        <v/>
      </c>
      <c r="T100" s="812" t="str">
        <f>IFERROR(IF(B100="","",IF($P$3=$AT$8,'Statement of Marks'!P99,IF($P$3=$AT$9,'Statement of Marks'!AD99,IF($P$3=$AT$10,'Statement of Marks'!AU99,IF($P$3=$AT$11,'Statement of Marks'!BR99,IF($P$3=$AT$12,'Statement of Marks'!CO99,IF($P$3=$AT$13,'Statement of Marks'!DM99,IF($P$3=$AT$14,"",IF($P$3=$AT$15,'Statement of Marks'!FD99,""))))))))),"")</f>
        <v/>
      </c>
      <c r="U100" s="812" t="str">
        <f>IFERROR(IF(B100="","",IF($P$3=$AT$8,"",IF($P$3=$AT$9,"",IF($P$3=$AT$10,'Statement of Marks'!AV99,IF($P$3=$AT$11,'Statement of Marks'!BS99,IF($P$3=$AT$12,'Statement of Marks'!CP99,IF($P$3=$AT$13,'Statement of Marks'!DN99,IF($P$3=$AT$14,"",IF($P$3=$AT$15,"",""))))))))),"")</f>
        <v/>
      </c>
      <c r="V100" s="824" t="str">
        <f>IFERROR(IF(B100="","",IF(AND(T100="",U100="",$P$3=""),"",IF($P$3=$AT$14,'Statement of Marks'!EE99,SUM(T100,U100)))),"")</f>
        <v/>
      </c>
      <c r="W100" s="814" t="str">
        <f t="shared" si="19"/>
        <v/>
      </c>
      <c r="X100" s="815">
        <f t="shared" si="20"/>
        <v>0</v>
      </c>
      <c r="Y100" s="815">
        <f t="shared" si="21"/>
        <v>0</v>
      </c>
      <c r="Z100" s="815">
        <f t="shared" si="22"/>
        <v>0</v>
      </c>
      <c r="AA100" s="815" t="str">
        <f t="shared" si="23"/>
        <v/>
      </c>
      <c r="AB100" s="815" t="str">
        <f t="shared" si="24"/>
        <v/>
      </c>
      <c r="AC100" s="815" t="str">
        <f t="shared" si="25"/>
        <v/>
      </c>
      <c r="AD100" s="815" t="str">
        <f t="shared" si="26"/>
        <v/>
      </c>
      <c r="AE100" s="816" t="str">
        <f t="shared" si="27"/>
        <v/>
      </c>
      <c r="AF100" s="817" t="str">
        <f t="shared" si="28"/>
        <v/>
      </c>
      <c r="AG100" s="818" t="str">
        <f t="shared" si="29"/>
        <v/>
      </c>
      <c r="AW100" s="17" t="str">
        <f t="shared" si="30"/>
        <v/>
      </c>
      <c r="AX100" s="17" t="str">
        <f t="shared" si="31"/>
        <v/>
      </c>
      <c r="BM100" s="17" t="str">
        <f>IFERROR(VLOOKUP(B100,'Statement of Marks'!$B$8:'Statement of Marks'!$HI$207,37,0),"")</f>
        <v>A</v>
      </c>
      <c r="BN100" s="17" t="str">
        <f>IFERROR(VLOOKUP(B100,'Statement of Marks'!$B$8:'Statement of Marks'!$HI$207,60,0),"")</f>
        <v>A</v>
      </c>
      <c r="BO100" s="17" t="str">
        <f>IFERROR(VLOOKUP(B100,'Statement of Marks'!$B$8:'Statement of Marks'!$HI$207,83,0),"")</f>
        <v>A</v>
      </c>
      <c r="BP100" s="17" t="str">
        <f>IFERROR(VLOOKUP(B100,'Statement of Marks'!$B$8:'Statement of Marks'!$HI$207,107,0),"")</f>
        <v/>
      </c>
    </row>
    <row r="101" spans="1:68">
      <c r="A101" s="806">
        <f>IF('Statement of Marks'!A100="","",'Statement of Marks'!A100)</f>
        <v>93</v>
      </c>
      <c r="B101" s="807" t="str">
        <f>IF(OR($E$3="",$P$3=""),"",IF('Statement of Marks'!B100="","",'Statement of Marks'!B100))</f>
        <v/>
      </c>
      <c r="C101" s="816" t="str">
        <f>IF(OR($E$3="",$P$3=""),"",IF('Marks Entry'!C100="","",'Marks Entry'!C100))</f>
        <v/>
      </c>
      <c r="D101" s="808" t="str">
        <f>IF(OR($E$3="",$P$3=""),"",IF('Statement of Marks'!C100="","",'Statement of Marks'!C100))</f>
        <v/>
      </c>
      <c r="E101" s="809" t="str">
        <f>IF(OR($E$3="",$P$3=""),"",IF('Statement of Marks'!D100="","",'Statement of Marks'!D100))</f>
        <v/>
      </c>
      <c r="F101" s="810" t="str">
        <f>IF(OR($E$3="",$P$3=""),"",IF('Statement of Marks'!E100="","",'Statement of Marks'!E100))</f>
        <v/>
      </c>
      <c r="G101" s="810" t="str">
        <f>IF(OR($E$3="",$P$3=""),"",IF('Statement of Marks'!F100="","",'Statement of Marks'!F100))</f>
        <v/>
      </c>
      <c r="H101" s="810" t="str">
        <f>IF(OR($E$3="",$P$3=""),"",IF('Statement of Marks'!G100="","",'Statement of Marks'!G100))</f>
        <v/>
      </c>
      <c r="I101" s="811" t="str">
        <f>IF(OR($E$3="",$P$3=""),"",IF('Statement of Marks'!H100="","",'Statement of Marks'!H100))</f>
        <v/>
      </c>
      <c r="J101" s="811" t="str">
        <f>IF(OR($E$3="",$P$3=""),"",IF('Statement of Marks'!I100="","",'Statement of Marks'!I100))</f>
        <v/>
      </c>
      <c r="K101" s="811" t="str">
        <f>IFERROR(IF(B101="","",IF($P$3=$AT$10,IF(AND(BM101="A"),'Marks Entry'!$U$2,IF(AND(BM101="B"),'Marks Entry'!$Y$2,IF(AND(BM101="C"),'Marks Entry'!$AA$2,""))),IF($P$3=$AT$11,IF(AND(BN101="A"),'Marks Entry'!$AC$2,IF(AND(BN101="B"),'Marks Entry'!$AG$2,IF(AND(BN101="C"),'Marks Entry'!$AI$2,""))),IF($P$3=$AT$12,IF(AND(BO101="A"),'Marks Entry'!$AK$2,IF(AND(BO101="B"),'Marks Entry'!$AO$2,IF(AND(BO101="C"),'Marks Entry'!$AQ$2,""))),IF($P$3=$AT$13,IF(AND(BP101="A"),'Marks Entry'!$AS$2,IF(AND(BP101="B"),'Marks Entry'!$AW$2,IF(AND(BP101="C"),'Marks Entry'!$AY$2,""))),"-"))))),"")</f>
        <v/>
      </c>
      <c r="L101" s="812" t="str">
        <f>IFERROR(IF(B101="","",IF($P$3=$AT$8,'Statement of Marks'!J100,IF($P$3=$AT$9,'Statement of Marks'!X100,IF($P$3=$AT$10,'Statement of Marks'!AM100,IF($P$3=$AT$11,'Statement of Marks'!BJ100,IF($P$3=$AT$12,'Statement of Marks'!CG100,IF($P$3=$AT$13,'Statement of Marks'!DE100,IF($P$3=$AT$14,"",IF($P$3=$AT$15,'Statement of Marks'!EY100,""))))))))),"")</f>
        <v/>
      </c>
      <c r="M101" s="812" t="str">
        <f>IFERROR(IF(B101="","",IF($P$3=$AT$8,'Statement of Marks'!K100,IF($P$3=$AT$9,'Statement of Marks'!Y100,IF($P$3=$AT$10,'Statement of Marks'!AN100,IF($P$3=$AT$11,'Statement of Marks'!BK100,IF($P$3=$AT$12,'Statement of Marks'!CH100,IF($P$3=$AT$13,'Statement of Marks'!DF100,IF($P$3=$AT$14,"",IF($P$3=$AT$15,'Statement of Marks'!EZ100,""))))))))),"")</f>
        <v/>
      </c>
      <c r="N101" s="812" t="str">
        <f>IFERROR(IF(B101="","",IF($P$3=$AT$8,'Statement of Marks'!L100,IF($P$3=$AT$9,'Statement of Marks'!Z100,IF($P$3=$AT$10,'Statement of Marks'!AO100,IF($P$3=$AT$11,'Statement of Marks'!BL100,IF($P$3=$AT$12,'Statement of Marks'!CI100,IF($P$3=$AT$13,'Statement of Marks'!DG100,IF($P$3=$AT$14,"",IF($P$3=$AT$15,'Statement of Marks'!FA100,""))))))))),"")</f>
        <v/>
      </c>
      <c r="O101" s="813" t="str">
        <f t="shared" si="18"/>
        <v/>
      </c>
      <c r="P101" s="812" t="str">
        <f>IFERROR(IF(B101="","",IF($P$3=$AT$8,'Statement of Marks'!N100,IF($P$3=$AT$9,'Statement of Marks'!AB100,IF($P$3=$AT$10,'Statement of Marks'!AQ100,IF($P$3=$AT$11,'Statement of Marks'!BN100,IF($P$3=$AT$12,'Statement of Marks'!CK100,IF($P$3=$AT$13,'Statement of Marks'!DI100,IF($P$3=$AT$14,"",IF($P$3=$AT$15,'Statement of Marks'!FC100,""))))))))),"")</f>
        <v/>
      </c>
      <c r="Q101" s="812" t="str">
        <f>IFERROR(IF(B101="","",IF($P$3=$AT$8,"",IF($P$3=$AT$9,"",IF($P$3=$AT$10,'Statement of Marks'!AR100,IF($P$3=$AT$11,'Statement of Marks'!BO100,IF($P$3=$AT$12,'Statement of Marks'!CL100,IF($P$3=$AT$13,'Statement of Marks'!DJ100,IF($P$3=$AT$14,"",IF($P$3=$AT$15,"",""))))))))),"")</f>
        <v/>
      </c>
      <c r="R101" s="824" t="str">
        <f>IFERROR(IF(B101="","",IF(AND(P101="",Q101="",$P$3=""),"",IF($P$3=$AT$14,'Statement of Marks'!EC100,SUM(P101,Q101)))),"")</f>
        <v/>
      </c>
      <c r="S101" s="823" t="str">
        <f>IFERROR(IF(B101="","",IF($P$3=$AT$14,'Statement of Marks'!ED100,IF(AND(O101="NA",P101="NA",Q101="NA"),"NA",IF(AND(O101="",P101="",Q101=""),"",SUM(O101,P101,Q101))))),"")</f>
        <v/>
      </c>
      <c r="T101" s="812" t="str">
        <f>IFERROR(IF(B101="","",IF($P$3=$AT$8,'Statement of Marks'!P100,IF($P$3=$AT$9,'Statement of Marks'!AD100,IF($P$3=$AT$10,'Statement of Marks'!AU100,IF($P$3=$AT$11,'Statement of Marks'!BR100,IF($P$3=$AT$12,'Statement of Marks'!CO100,IF($P$3=$AT$13,'Statement of Marks'!DM100,IF($P$3=$AT$14,"",IF($P$3=$AT$15,'Statement of Marks'!FD100,""))))))))),"")</f>
        <v/>
      </c>
      <c r="U101" s="812" t="str">
        <f>IFERROR(IF(B101="","",IF($P$3=$AT$8,"",IF($P$3=$AT$9,"",IF($P$3=$AT$10,'Statement of Marks'!AV100,IF($P$3=$AT$11,'Statement of Marks'!BS100,IF($P$3=$AT$12,'Statement of Marks'!CP100,IF($P$3=$AT$13,'Statement of Marks'!DN100,IF($P$3=$AT$14,"",IF($P$3=$AT$15,"",""))))))))),"")</f>
        <v/>
      </c>
      <c r="V101" s="824" t="str">
        <f>IFERROR(IF(B101="","",IF(AND(T101="",U101="",$P$3=""),"",IF($P$3=$AT$14,'Statement of Marks'!EE100,SUM(T101,U101)))),"")</f>
        <v/>
      </c>
      <c r="W101" s="814" t="str">
        <f t="shared" si="19"/>
        <v/>
      </c>
      <c r="X101" s="815">
        <f t="shared" si="20"/>
        <v>0</v>
      </c>
      <c r="Y101" s="815">
        <f t="shared" si="21"/>
        <v>0</v>
      </c>
      <c r="Z101" s="815">
        <f t="shared" si="22"/>
        <v>0</v>
      </c>
      <c r="AA101" s="815" t="str">
        <f t="shared" si="23"/>
        <v/>
      </c>
      <c r="AB101" s="815" t="str">
        <f t="shared" si="24"/>
        <v/>
      </c>
      <c r="AC101" s="815" t="str">
        <f t="shared" si="25"/>
        <v/>
      </c>
      <c r="AD101" s="815" t="str">
        <f t="shared" si="26"/>
        <v/>
      </c>
      <c r="AE101" s="816" t="str">
        <f t="shared" si="27"/>
        <v/>
      </c>
      <c r="AF101" s="817" t="str">
        <f t="shared" si="28"/>
        <v/>
      </c>
      <c r="AG101" s="818" t="str">
        <f t="shared" si="29"/>
        <v/>
      </c>
      <c r="AW101" s="17" t="str">
        <f t="shared" si="30"/>
        <v/>
      </c>
      <c r="AX101" s="17" t="str">
        <f t="shared" si="31"/>
        <v/>
      </c>
      <c r="BM101" s="17" t="str">
        <f>IFERROR(VLOOKUP(B101,'Statement of Marks'!$B$8:'Statement of Marks'!$HI$207,37,0),"")</f>
        <v>A</v>
      </c>
      <c r="BN101" s="17" t="str">
        <f>IFERROR(VLOOKUP(B101,'Statement of Marks'!$B$8:'Statement of Marks'!$HI$207,60,0),"")</f>
        <v>A</v>
      </c>
      <c r="BO101" s="17" t="str">
        <f>IFERROR(VLOOKUP(B101,'Statement of Marks'!$B$8:'Statement of Marks'!$HI$207,83,0),"")</f>
        <v>A</v>
      </c>
      <c r="BP101" s="17" t="str">
        <f>IFERROR(VLOOKUP(B101,'Statement of Marks'!$B$8:'Statement of Marks'!$HI$207,107,0),"")</f>
        <v/>
      </c>
    </row>
    <row r="102" spans="1:68">
      <c r="A102" s="806">
        <f>IF('Statement of Marks'!A101="","",'Statement of Marks'!A101)</f>
        <v>94</v>
      </c>
      <c r="B102" s="807" t="str">
        <f>IF(OR($E$3="",$P$3=""),"",IF('Statement of Marks'!B101="","",'Statement of Marks'!B101))</f>
        <v/>
      </c>
      <c r="C102" s="816" t="str">
        <f>IF(OR($E$3="",$P$3=""),"",IF('Marks Entry'!C101="","",'Marks Entry'!C101))</f>
        <v/>
      </c>
      <c r="D102" s="808" t="str">
        <f>IF(OR($E$3="",$P$3=""),"",IF('Statement of Marks'!C101="","",'Statement of Marks'!C101))</f>
        <v/>
      </c>
      <c r="E102" s="809" t="str">
        <f>IF(OR($E$3="",$P$3=""),"",IF('Statement of Marks'!D101="","",'Statement of Marks'!D101))</f>
        <v/>
      </c>
      <c r="F102" s="810" t="str">
        <f>IF(OR($E$3="",$P$3=""),"",IF('Statement of Marks'!E101="","",'Statement of Marks'!E101))</f>
        <v/>
      </c>
      <c r="G102" s="810" t="str">
        <f>IF(OR($E$3="",$P$3=""),"",IF('Statement of Marks'!F101="","",'Statement of Marks'!F101))</f>
        <v/>
      </c>
      <c r="H102" s="810" t="str">
        <f>IF(OR($E$3="",$P$3=""),"",IF('Statement of Marks'!G101="","",'Statement of Marks'!G101))</f>
        <v/>
      </c>
      <c r="I102" s="811" t="str">
        <f>IF(OR($E$3="",$P$3=""),"",IF('Statement of Marks'!H101="","",'Statement of Marks'!H101))</f>
        <v/>
      </c>
      <c r="J102" s="811" t="str">
        <f>IF(OR($E$3="",$P$3=""),"",IF('Statement of Marks'!I101="","",'Statement of Marks'!I101))</f>
        <v/>
      </c>
      <c r="K102" s="811" t="str">
        <f>IFERROR(IF(B102="","",IF($P$3=$AT$10,IF(AND(BM102="A"),'Marks Entry'!$U$2,IF(AND(BM102="B"),'Marks Entry'!$Y$2,IF(AND(BM102="C"),'Marks Entry'!$AA$2,""))),IF($P$3=$AT$11,IF(AND(BN102="A"),'Marks Entry'!$AC$2,IF(AND(BN102="B"),'Marks Entry'!$AG$2,IF(AND(BN102="C"),'Marks Entry'!$AI$2,""))),IF($P$3=$AT$12,IF(AND(BO102="A"),'Marks Entry'!$AK$2,IF(AND(BO102="B"),'Marks Entry'!$AO$2,IF(AND(BO102="C"),'Marks Entry'!$AQ$2,""))),IF($P$3=$AT$13,IF(AND(BP102="A"),'Marks Entry'!$AS$2,IF(AND(BP102="B"),'Marks Entry'!$AW$2,IF(AND(BP102="C"),'Marks Entry'!$AY$2,""))),"-"))))),"")</f>
        <v/>
      </c>
      <c r="L102" s="812" t="str">
        <f>IFERROR(IF(B102="","",IF($P$3=$AT$8,'Statement of Marks'!J101,IF($P$3=$AT$9,'Statement of Marks'!X101,IF($P$3=$AT$10,'Statement of Marks'!AM101,IF($P$3=$AT$11,'Statement of Marks'!BJ101,IF($P$3=$AT$12,'Statement of Marks'!CG101,IF($P$3=$AT$13,'Statement of Marks'!DE101,IF($P$3=$AT$14,"",IF($P$3=$AT$15,'Statement of Marks'!EY101,""))))))))),"")</f>
        <v/>
      </c>
      <c r="M102" s="812" t="str">
        <f>IFERROR(IF(B102="","",IF($P$3=$AT$8,'Statement of Marks'!K101,IF($P$3=$AT$9,'Statement of Marks'!Y101,IF($P$3=$AT$10,'Statement of Marks'!AN101,IF($P$3=$AT$11,'Statement of Marks'!BK101,IF($P$3=$AT$12,'Statement of Marks'!CH101,IF($P$3=$AT$13,'Statement of Marks'!DF101,IF($P$3=$AT$14,"",IF($P$3=$AT$15,'Statement of Marks'!EZ101,""))))))))),"")</f>
        <v/>
      </c>
      <c r="N102" s="812" t="str">
        <f>IFERROR(IF(B102="","",IF($P$3=$AT$8,'Statement of Marks'!L101,IF($P$3=$AT$9,'Statement of Marks'!Z101,IF($P$3=$AT$10,'Statement of Marks'!AO101,IF($P$3=$AT$11,'Statement of Marks'!BL101,IF($P$3=$AT$12,'Statement of Marks'!CI101,IF($P$3=$AT$13,'Statement of Marks'!DG101,IF($P$3=$AT$14,"",IF($P$3=$AT$15,'Statement of Marks'!FA101,""))))))))),"")</f>
        <v/>
      </c>
      <c r="O102" s="813" t="str">
        <f t="shared" si="18"/>
        <v/>
      </c>
      <c r="P102" s="812" t="str">
        <f>IFERROR(IF(B102="","",IF($P$3=$AT$8,'Statement of Marks'!N101,IF($P$3=$AT$9,'Statement of Marks'!AB101,IF($P$3=$AT$10,'Statement of Marks'!AQ101,IF($P$3=$AT$11,'Statement of Marks'!BN101,IF($P$3=$AT$12,'Statement of Marks'!CK101,IF($P$3=$AT$13,'Statement of Marks'!DI101,IF($P$3=$AT$14,"",IF($P$3=$AT$15,'Statement of Marks'!FC101,""))))))))),"")</f>
        <v/>
      </c>
      <c r="Q102" s="812" t="str">
        <f>IFERROR(IF(B102="","",IF($P$3=$AT$8,"",IF($P$3=$AT$9,"",IF($P$3=$AT$10,'Statement of Marks'!AR101,IF($P$3=$AT$11,'Statement of Marks'!BO101,IF($P$3=$AT$12,'Statement of Marks'!CL101,IF($P$3=$AT$13,'Statement of Marks'!DJ101,IF($P$3=$AT$14,"",IF($P$3=$AT$15,"",""))))))))),"")</f>
        <v/>
      </c>
      <c r="R102" s="824" t="str">
        <f>IFERROR(IF(B102="","",IF(AND(P102="",Q102="",$P$3=""),"",IF($P$3=$AT$14,'Statement of Marks'!EC101,SUM(P102,Q102)))),"")</f>
        <v/>
      </c>
      <c r="S102" s="823" t="str">
        <f>IFERROR(IF(B102="","",IF($P$3=$AT$14,'Statement of Marks'!ED101,IF(AND(O102="NA",P102="NA",Q102="NA"),"NA",IF(AND(O102="",P102="",Q102=""),"",SUM(O102,P102,Q102))))),"")</f>
        <v/>
      </c>
      <c r="T102" s="812" t="str">
        <f>IFERROR(IF(B102="","",IF($P$3=$AT$8,'Statement of Marks'!P101,IF($P$3=$AT$9,'Statement of Marks'!AD101,IF($P$3=$AT$10,'Statement of Marks'!AU101,IF($P$3=$AT$11,'Statement of Marks'!BR101,IF($P$3=$AT$12,'Statement of Marks'!CO101,IF($P$3=$AT$13,'Statement of Marks'!DM101,IF($P$3=$AT$14,"",IF($P$3=$AT$15,'Statement of Marks'!FD101,""))))))))),"")</f>
        <v/>
      </c>
      <c r="U102" s="812" t="str">
        <f>IFERROR(IF(B102="","",IF($P$3=$AT$8,"",IF($P$3=$AT$9,"",IF($P$3=$AT$10,'Statement of Marks'!AV101,IF($P$3=$AT$11,'Statement of Marks'!BS101,IF($P$3=$AT$12,'Statement of Marks'!CP101,IF($P$3=$AT$13,'Statement of Marks'!DN101,IF($P$3=$AT$14,"",IF($P$3=$AT$15,"",""))))))))),"")</f>
        <v/>
      </c>
      <c r="V102" s="824" t="str">
        <f>IFERROR(IF(B102="","",IF(AND(T102="",U102="",$P$3=""),"",IF($P$3=$AT$14,'Statement of Marks'!EE101,SUM(T102,U102)))),"")</f>
        <v/>
      </c>
      <c r="W102" s="814" t="str">
        <f t="shared" si="19"/>
        <v/>
      </c>
      <c r="X102" s="815">
        <f t="shared" si="20"/>
        <v>0</v>
      </c>
      <c r="Y102" s="815">
        <f t="shared" si="21"/>
        <v>0</v>
      </c>
      <c r="Z102" s="815">
        <f t="shared" si="22"/>
        <v>0</v>
      </c>
      <c r="AA102" s="815" t="str">
        <f t="shared" si="23"/>
        <v/>
      </c>
      <c r="AB102" s="815" t="str">
        <f t="shared" si="24"/>
        <v/>
      </c>
      <c r="AC102" s="815" t="str">
        <f t="shared" si="25"/>
        <v/>
      </c>
      <c r="AD102" s="815" t="str">
        <f t="shared" si="26"/>
        <v/>
      </c>
      <c r="AE102" s="816" t="str">
        <f t="shared" si="27"/>
        <v/>
      </c>
      <c r="AF102" s="817" t="str">
        <f t="shared" si="28"/>
        <v/>
      </c>
      <c r="AG102" s="818" t="str">
        <f t="shared" si="29"/>
        <v/>
      </c>
      <c r="AW102" s="17" t="str">
        <f t="shared" si="30"/>
        <v/>
      </c>
      <c r="AX102" s="17" t="str">
        <f t="shared" si="31"/>
        <v/>
      </c>
      <c r="BM102" s="17" t="str">
        <f>IFERROR(VLOOKUP(B102,'Statement of Marks'!$B$8:'Statement of Marks'!$HI$207,37,0),"")</f>
        <v>A</v>
      </c>
      <c r="BN102" s="17" t="str">
        <f>IFERROR(VLOOKUP(B102,'Statement of Marks'!$B$8:'Statement of Marks'!$HI$207,60,0),"")</f>
        <v>A</v>
      </c>
      <c r="BO102" s="17" t="str">
        <f>IFERROR(VLOOKUP(B102,'Statement of Marks'!$B$8:'Statement of Marks'!$HI$207,83,0),"")</f>
        <v>A</v>
      </c>
      <c r="BP102" s="17" t="str">
        <f>IFERROR(VLOOKUP(B102,'Statement of Marks'!$B$8:'Statement of Marks'!$HI$207,107,0),"")</f>
        <v/>
      </c>
    </row>
    <row r="103" spans="1:68">
      <c r="A103" s="806">
        <f>IF('Statement of Marks'!A102="","",'Statement of Marks'!A102)</f>
        <v>95</v>
      </c>
      <c r="B103" s="807" t="str">
        <f>IF(OR($E$3="",$P$3=""),"",IF('Statement of Marks'!B102="","",'Statement of Marks'!B102))</f>
        <v/>
      </c>
      <c r="C103" s="816" t="str">
        <f>IF(OR($E$3="",$P$3=""),"",IF('Marks Entry'!C102="","",'Marks Entry'!C102))</f>
        <v/>
      </c>
      <c r="D103" s="808" t="str">
        <f>IF(OR($E$3="",$P$3=""),"",IF('Statement of Marks'!C102="","",'Statement of Marks'!C102))</f>
        <v/>
      </c>
      <c r="E103" s="809" t="str">
        <f>IF(OR($E$3="",$P$3=""),"",IF('Statement of Marks'!D102="","",'Statement of Marks'!D102))</f>
        <v/>
      </c>
      <c r="F103" s="810" t="str">
        <f>IF(OR($E$3="",$P$3=""),"",IF('Statement of Marks'!E102="","",'Statement of Marks'!E102))</f>
        <v/>
      </c>
      <c r="G103" s="810" t="str">
        <f>IF(OR($E$3="",$P$3=""),"",IF('Statement of Marks'!F102="","",'Statement of Marks'!F102))</f>
        <v/>
      </c>
      <c r="H103" s="810" t="str">
        <f>IF(OR($E$3="",$P$3=""),"",IF('Statement of Marks'!G102="","",'Statement of Marks'!G102))</f>
        <v/>
      </c>
      <c r="I103" s="811" t="str">
        <f>IF(OR($E$3="",$P$3=""),"",IF('Statement of Marks'!H102="","",'Statement of Marks'!H102))</f>
        <v/>
      </c>
      <c r="J103" s="811" t="str">
        <f>IF(OR($E$3="",$P$3=""),"",IF('Statement of Marks'!I102="","",'Statement of Marks'!I102))</f>
        <v/>
      </c>
      <c r="K103" s="811" t="str">
        <f>IFERROR(IF(B103="","",IF($P$3=$AT$10,IF(AND(BM103="A"),'Marks Entry'!$U$2,IF(AND(BM103="B"),'Marks Entry'!$Y$2,IF(AND(BM103="C"),'Marks Entry'!$AA$2,""))),IF($P$3=$AT$11,IF(AND(BN103="A"),'Marks Entry'!$AC$2,IF(AND(BN103="B"),'Marks Entry'!$AG$2,IF(AND(BN103="C"),'Marks Entry'!$AI$2,""))),IF($P$3=$AT$12,IF(AND(BO103="A"),'Marks Entry'!$AK$2,IF(AND(BO103="B"),'Marks Entry'!$AO$2,IF(AND(BO103="C"),'Marks Entry'!$AQ$2,""))),IF($P$3=$AT$13,IF(AND(BP103="A"),'Marks Entry'!$AS$2,IF(AND(BP103="B"),'Marks Entry'!$AW$2,IF(AND(BP103="C"),'Marks Entry'!$AY$2,""))),"-"))))),"")</f>
        <v/>
      </c>
      <c r="L103" s="812" t="str">
        <f>IFERROR(IF(B103="","",IF($P$3=$AT$8,'Statement of Marks'!J102,IF($P$3=$AT$9,'Statement of Marks'!X102,IF($P$3=$AT$10,'Statement of Marks'!AM102,IF($P$3=$AT$11,'Statement of Marks'!BJ102,IF($P$3=$AT$12,'Statement of Marks'!CG102,IF($P$3=$AT$13,'Statement of Marks'!DE102,IF($P$3=$AT$14,"",IF($P$3=$AT$15,'Statement of Marks'!EY102,""))))))))),"")</f>
        <v/>
      </c>
      <c r="M103" s="812" t="str">
        <f>IFERROR(IF(B103="","",IF($P$3=$AT$8,'Statement of Marks'!K102,IF($P$3=$AT$9,'Statement of Marks'!Y102,IF($P$3=$AT$10,'Statement of Marks'!AN102,IF($P$3=$AT$11,'Statement of Marks'!BK102,IF($P$3=$AT$12,'Statement of Marks'!CH102,IF($P$3=$AT$13,'Statement of Marks'!DF102,IF($P$3=$AT$14,"",IF($P$3=$AT$15,'Statement of Marks'!EZ102,""))))))))),"")</f>
        <v/>
      </c>
      <c r="N103" s="812" t="str">
        <f>IFERROR(IF(B103="","",IF($P$3=$AT$8,'Statement of Marks'!L102,IF($P$3=$AT$9,'Statement of Marks'!Z102,IF($P$3=$AT$10,'Statement of Marks'!AO102,IF($P$3=$AT$11,'Statement of Marks'!BL102,IF($P$3=$AT$12,'Statement of Marks'!CI102,IF($P$3=$AT$13,'Statement of Marks'!DG102,IF($P$3=$AT$14,"",IF($P$3=$AT$15,'Statement of Marks'!FA102,""))))))))),"")</f>
        <v/>
      </c>
      <c r="O103" s="813" t="str">
        <f t="shared" si="18"/>
        <v/>
      </c>
      <c r="P103" s="812" t="str">
        <f>IFERROR(IF(B103="","",IF($P$3=$AT$8,'Statement of Marks'!N102,IF($P$3=$AT$9,'Statement of Marks'!AB102,IF($P$3=$AT$10,'Statement of Marks'!AQ102,IF($P$3=$AT$11,'Statement of Marks'!BN102,IF($P$3=$AT$12,'Statement of Marks'!CK102,IF($P$3=$AT$13,'Statement of Marks'!DI102,IF($P$3=$AT$14,"",IF($P$3=$AT$15,'Statement of Marks'!FC102,""))))))))),"")</f>
        <v/>
      </c>
      <c r="Q103" s="812" t="str">
        <f>IFERROR(IF(B103="","",IF($P$3=$AT$8,"",IF($P$3=$AT$9,"",IF($P$3=$AT$10,'Statement of Marks'!AR102,IF($P$3=$AT$11,'Statement of Marks'!BO102,IF($P$3=$AT$12,'Statement of Marks'!CL102,IF($P$3=$AT$13,'Statement of Marks'!DJ102,IF($P$3=$AT$14,"",IF($P$3=$AT$15,"",""))))))))),"")</f>
        <v/>
      </c>
      <c r="R103" s="824" t="str">
        <f>IFERROR(IF(B103="","",IF(AND(P103="",Q103="",$P$3=""),"",IF($P$3=$AT$14,'Statement of Marks'!EC102,SUM(P103,Q103)))),"")</f>
        <v/>
      </c>
      <c r="S103" s="823" t="str">
        <f>IFERROR(IF(B103="","",IF($P$3=$AT$14,'Statement of Marks'!ED102,IF(AND(O103="NA",P103="NA",Q103="NA"),"NA",IF(AND(O103="",P103="",Q103=""),"",SUM(O103,P103,Q103))))),"")</f>
        <v/>
      </c>
      <c r="T103" s="812" t="str">
        <f>IFERROR(IF(B103="","",IF($P$3=$AT$8,'Statement of Marks'!P102,IF($P$3=$AT$9,'Statement of Marks'!AD102,IF($P$3=$AT$10,'Statement of Marks'!AU102,IF($P$3=$AT$11,'Statement of Marks'!BR102,IF($P$3=$AT$12,'Statement of Marks'!CO102,IF($P$3=$AT$13,'Statement of Marks'!DM102,IF($P$3=$AT$14,"",IF($P$3=$AT$15,'Statement of Marks'!FD102,""))))))))),"")</f>
        <v/>
      </c>
      <c r="U103" s="812" t="str">
        <f>IFERROR(IF(B103="","",IF($P$3=$AT$8,"",IF($P$3=$AT$9,"",IF($P$3=$AT$10,'Statement of Marks'!AV102,IF($P$3=$AT$11,'Statement of Marks'!BS102,IF($P$3=$AT$12,'Statement of Marks'!CP102,IF($P$3=$AT$13,'Statement of Marks'!DN102,IF($P$3=$AT$14,"",IF($P$3=$AT$15,"",""))))))))),"")</f>
        <v/>
      </c>
      <c r="V103" s="824" t="str">
        <f>IFERROR(IF(B103="","",IF(AND(T103="",U103="",$P$3=""),"",IF($P$3=$AT$14,'Statement of Marks'!EE102,SUM(T103,U103)))),"")</f>
        <v/>
      </c>
      <c r="W103" s="814" t="str">
        <f t="shared" si="19"/>
        <v/>
      </c>
      <c r="X103" s="815">
        <f t="shared" si="20"/>
        <v>0</v>
      </c>
      <c r="Y103" s="815">
        <f t="shared" si="21"/>
        <v>0</v>
      </c>
      <c r="Z103" s="815">
        <f t="shared" si="22"/>
        <v>0</v>
      </c>
      <c r="AA103" s="815" t="str">
        <f t="shared" si="23"/>
        <v/>
      </c>
      <c r="AB103" s="815" t="str">
        <f t="shared" si="24"/>
        <v/>
      </c>
      <c r="AC103" s="815" t="str">
        <f t="shared" si="25"/>
        <v/>
      </c>
      <c r="AD103" s="815" t="str">
        <f t="shared" si="26"/>
        <v/>
      </c>
      <c r="AE103" s="816" t="str">
        <f t="shared" si="27"/>
        <v/>
      </c>
      <c r="AF103" s="817" t="str">
        <f t="shared" si="28"/>
        <v/>
      </c>
      <c r="AG103" s="818" t="str">
        <f t="shared" si="29"/>
        <v/>
      </c>
      <c r="AW103" s="17" t="str">
        <f t="shared" si="30"/>
        <v/>
      </c>
      <c r="AX103" s="17" t="str">
        <f t="shared" si="31"/>
        <v/>
      </c>
      <c r="BM103" s="17" t="str">
        <f>IFERROR(VLOOKUP(B103,'Statement of Marks'!$B$8:'Statement of Marks'!$HI$207,37,0),"")</f>
        <v>A</v>
      </c>
      <c r="BN103" s="17" t="str">
        <f>IFERROR(VLOOKUP(B103,'Statement of Marks'!$B$8:'Statement of Marks'!$HI$207,60,0),"")</f>
        <v>A</v>
      </c>
      <c r="BO103" s="17" t="str">
        <f>IFERROR(VLOOKUP(B103,'Statement of Marks'!$B$8:'Statement of Marks'!$HI$207,83,0),"")</f>
        <v>A</v>
      </c>
      <c r="BP103" s="17" t="str">
        <f>IFERROR(VLOOKUP(B103,'Statement of Marks'!$B$8:'Statement of Marks'!$HI$207,107,0),"")</f>
        <v/>
      </c>
    </row>
    <row r="104" spans="1:68">
      <c r="A104" s="806">
        <f>IF('Statement of Marks'!A103="","",'Statement of Marks'!A103)</f>
        <v>96</v>
      </c>
      <c r="B104" s="807" t="str">
        <f>IF(OR($E$3="",$P$3=""),"",IF('Statement of Marks'!B103="","",'Statement of Marks'!B103))</f>
        <v/>
      </c>
      <c r="C104" s="816" t="str">
        <f>IF(OR($E$3="",$P$3=""),"",IF('Marks Entry'!C103="","",'Marks Entry'!C103))</f>
        <v/>
      </c>
      <c r="D104" s="808" t="str">
        <f>IF(OR($E$3="",$P$3=""),"",IF('Statement of Marks'!C103="","",'Statement of Marks'!C103))</f>
        <v/>
      </c>
      <c r="E104" s="809" t="str">
        <f>IF(OR($E$3="",$P$3=""),"",IF('Statement of Marks'!D103="","",'Statement of Marks'!D103))</f>
        <v/>
      </c>
      <c r="F104" s="810" t="str">
        <f>IF(OR($E$3="",$P$3=""),"",IF('Statement of Marks'!E103="","",'Statement of Marks'!E103))</f>
        <v/>
      </c>
      <c r="G104" s="810" t="str">
        <f>IF(OR($E$3="",$P$3=""),"",IF('Statement of Marks'!F103="","",'Statement of Marks'!F103))</f>
        <v/>
      </c>
      <c r="H104" s="810" t="str">
        <f>IF(OR($E$3="",$P$3=""),"",IF('Statement of Marks'!G103="","",'Statement of Marks'!G103))</f>
        <v/>
      </c>
      <c r="I104" s="811" t="str">
        <f>IF(OR($E$3="",$P$3=""),"",IF('Statement of Marks'!H103="","",'Statement of Marks'!H103))</f>
        <v/>
      </c>
      <c r="J104" s="811" t="str">
        <f>IF(OR($E$3="",$P$3=""),"",IF('Statement of Marks'!I103="","",'Statement of Marks'!I103))</f>
        <v/>
      </c>
      <c r="K104" s="811" t="str">
        <f>IFERROR(IF(B104="","",IF($P$3=$AT$10,IF(AND(BM104="A"),'Marks Entry'!$U$2,IF(AND(BM104="B"),'Marks Entry'!$Y$2,IF(AND(BM104="C"),'Marks Entry'!$AA$2,""))),IF($P$3=$AT$11,IF(AND(BN104="A"),'Marks Entry'!$AC$2,IF(AND(BN104="B"),'Marks Entry'!$AG$2,IF(AND(BN104="C"),'Marks Entry'!$AI$2,""))),IF($P$3=$AT$12,IF(AND(BO104="A"),'Marks Entry'!$AK$2,IF(AND(BO104="B"),'Marks Entry'!$AO$2,IF(AND(BO104="C"),'Marks Entry'!$AQ$2,""))),IF($P$3=$AT$13,IF(AND(BP104="A"),'Marks Entry'!$AS$2,IF(AND(BP104="B"),'Marks Entry'!$AW$2,IF(AND(BP104="C"),'Marks Entry'!$AY$2,""))),"-"))))),"")</f>
        <v/>
      </c>
      <c r="L104" s="812" t="str">
        <f>IFERROR(IF(B104="","",IF($P$3=$AT$8,'Statement of Marks'!J103,IF($P$3=$AT$9,'Statement of Marks'!X103,IF($P$3=$AT$10,'Statement of Marks'!AM103,IF($P$3=$AT$11,'Statement of Marks'!BJ103,IF($P$3=$AT$12,'Statement of Marks'!CG103,IF($P$3=$AT$13,'Statement of Marks'!DE103,IF($P$3=$AT$14,"",IF($P$3=$AT$15,'Statement of Marks'!EY103,""))))))))),"")</f>
        <v/>
      </c>
      <c r="M104" s="812" t="str">
        <f>IFERROR(IF(B104="","",IF($P$3=$AT$8,'Statement of Marks'!K103,IF($P$3=$AT$9,'Statement of Marks'!Y103,IF($P$3=$AT$10,'Statement of Marks'!AN103,IF($P$3=$AT$11,'Statement of Marks'!BK103,IF($P$3=$AT$12,'Statement of Marks'!CH103,IF($P$3=$AT$13,'Statement of Marks'!DF103,IF($P$3=$AT$14,"",IF($P$3=$AT$15,'Statement of Marks'!EZ103,""))))))))),"")</f>
        <v/>
      </c>
      <c r="N104" s="812" t="str">
        <f>IFERROR(IF(B104="","",IF($P$3=$AT$8,'Statement of Marks'!L103,IF($P$3=$AT$9,'Statement of Marks'!Z103,IF($P$3=$AT$10,'Statement of Marks'!AO103,IF($P$3=$AT$11,'Statement of Marks'!BL103,IF($P$3=$AT$12,'Statement of Marks'!CI103,IF($P$3=$AT$13,'Statement of Marks'!DG103,IF($P$3=$AT$14,"",IF($P$3=$AT$15,'Statement of Marks'!FA103,""))))))))),"")</f>
        <v/>
      </c>
      <c r="O104" s="813" t="str">
        <f t="shared" si="18"/>
        <v/>
      </c>
      <c r="P104" s="812" t="str">
        <f>IFERROR(IF(B104="","",IF($P$3=$AT$8,'Statement of Marks'!N103,IF($P$3=$AT$9,'Statement of Marks'!AB103,IF($P$3=$AT$10,'Statement of Marks'!AQ103,IF($P$3=$AT$11,'Statement of Marks'!BN103,IF($P$3=$AT$12,'Statement of Marks'!CK103,IF($P$3=$AT$13,'Statement of Marks'!DI103,IF($P$3=$AT$14,"",IF($P$3=$AT$15,'Statement of Marks'!FC103,""))))))))),"")</f>
        <v/>
      </c>
      <c r="Q104" s="812" t="str">
        <f>IFERROR(IF(B104="","",IF($P$3=$AT$8,"",IF($P$3=$AT$9,"",IF($P$3=$AT$10,'Statement of Marks'!AR103,IF($P$3=$AT$11,'Statement of Marks'!BO103,IF($P$3=$AT$12,'Statement of Marks'!CL103,IF($P$3=$AT$13,'Statement of Marks'!DJ103,IF($P$3=$AT$14,"",IF($P$3=$AT$15,"",""))))))))),"")</f>
        <v/>
      </c>
      <c r="R104" s="824" t="str">
        <f>IFERROR(IF(B104="","",IF(AND(P104="",Q104="",$P$3=""),"",IF($P$3=$AT$14,'Statement of Marks'!EC103,SUM(P104,Q104)))),"")</f>
        <v/>
      </c>
      <c r="S104" s="823" t="str">
        <f>IFERROR(IF(B104="","",IF($P$3=$AT$14,'Statement of Marks'!ED103,IF(AND(O104="NA",P104="NA",Q104="NA"),"NA",IF(AND(O104="",P104="",Q104=""),"",SUM(O104,P104,Q104))))),"")</f>
        <v/>
      </c>
      <c r="T104" s="812" t="str">
        <f>IFERROR(IF(B104="","",IF($P$3=$AT$8,'Statement of Marks'!P103,IF($P$3=$AT$9,'Statement of Marks'!AD103,IF($P$3=$AT$10,'Statement of Marks'!AU103,IF($P$3=$AT$11,'Statement of Marks'!BR103,IF($P$3=$AT$12,'Statement of Marks'!CO103,IF($P$3=$AT$13,'Statement of Marks'!DM103,IF($P$3=$AT$14,"",IF($P$3=$AT$15,'Statement of Marks'!FD103,""))))))))),"")</f>
        <v/>
      </c>
      <c r="U104" s="812" t="str">
        <f>IFERROR(IF(B104="","",IF($P$3=$AT$8,"",IF($P$3=$AT$9,"",IF($P$3=$AT$10,'Statement of Marks'!AV103,IF($P$3=$AT$11,'Statement of Marks'!BS103,IF($P$3=$AT$12,'Statement of Marks'!CP103,IF($P$3=$AT$13,'Statement of Marks'!DN103,IF($P$3=$AT$14,"",IF($P$3=$AT$15,"",""))))))))),"")</f>
        <v/>
      </c>
      <c r="V104" s="824" t="str">
        <f>IFERROR(IF(B104="","",IF(AND(T104="",U104="",$P$3=""),"",IF($P$3=$AT$14,'Statement of Marks'!EE103,SUM(T104,U104)))),"")</f>
        <v/>
      </c>
      <c r="W104" s="814" t="str">
        <f t="shared" si="19"/>
        <v/>
      </c>
      <c r="X104" s="815">
        <f t="shared" si="20"/>
        <v>0</v>
      </c>
      <c r="Y104" s="815">
        <f t="shared" si="21"/>
        <v>0</v>
      </c>
      <c r="Z104" s="815">
        <f t="shared" si="22"/>
        <v>0</v>
      </c>
      <c r="AA104" s="815" t="str">
        <f t="shared" si="23"/>
        <v/>
      </c>
      <c r="AB104" s="815" t="str">
        <f t="shared" si="24"/>
        <v/>
      </c>
      <c r="AC104" s="815" t="str">
        <f t="shared" si="25"/>
        <v/>
      </c>
      <c r="AD104" s="815" t="str">
        <f t="shared" si="26"/>
        <v/>
      </c>
      <c r="AE104" s="816" t="str">
        <f t="shared" si="27"/>
        <v/>
      </c>
      <c r="AF104" s="817" t="str">
        <f t="shared" si="28"/>
        <v/>
      </c>
      <c r="AG104" s="818" t="str">
        <f t="shared" si="29"/>
        <v/>
      </c>
      <c r="AW104" s="17" t="str">
        <f t="shared" si="30"/>
        <v/>
      </c>
      <c r="AX104" s="17" t="str">
        <f t="shared" si="31"/>
        <v/>
      </c>
      <c r="BM104" s="17" t="str">
        <f>IFERROR(VLOOKUP(B104,'Statement of Marks'!$B$8:'Statement of Marks'!$HI$207,37,0),"")</f>
        <v>A</v>
      </c>
      <c r="BN104" s="17" t="str">
        <f>IFERROR(VLOOKUP(B104,'Statement of Marks'!$B$8:'Statement of Marks'!$HI$207,60,0),"")</f>
        <v>A</v>
      </c>
      <c r="BO104" s="17" t="str">
        <f>IFERROR(VLOOKUP(B104,'Statement of Marks'!$B$8:'Statement of Marks'!$HI$207,83,0),"")</f>
        <v>A</v>
      </c>
      <c r="BP104" s="17" t="str">
        <f>IFERROR(VLOOKUP(B104,'Statement of Marks'!$B$8:'Statement of Marks'!$HI$207,107,0),"")</f>
        <v/>
      </c>
    </row>
    <row r="105" spans="1:68">
      <c r="A105" s="806">
        <f>IF('Statement of Marks'!A104="","",'Statement of Marks'!A104)</f>
        <v>97</v>
      </c>
      <c r="B105" s="807" t="str">
        <f>IF(OR($E$3="",$P$3=""),"",IF('Statement of Marks'!B104="","",'Statement of Marks'!B104))</f>
        <v/>
      </c>
      <c r="C105" s="816" t="str">
        <f>IF(OR($E$3="",$P$3=""),"",IF('Marks Entry'!C104="","",'Marks Entry'!C104))</f>
        <v/>
      </c>
      <c r="D105" s="808" t="str">
        <f>IF(OR($E$3="",$P$3=""),"",IF('Statement of Marks'!C104="","",'Statement of Marks'!C104))</f>
        <v/>
      </c>
      <c r="E105" s="809" t="str">
        <f>IF(OR($E$3="",$P$3=""),"",IF('Statement of Marks'!D104="","",'Statement of Marks'!D104))</f>
        <v/>
      </c>
      <c r="F105" s="810" t="str">
        <f>IF(OR($E$3="",$P$3=""),"",IF('Statement of Marks'!E104="","",'Statement of Marks'!E104))</f>
        <v/>
      </c>
      <c r="G105" s="810" t="str">
        <f>IF(OR($E$3="",$P$3=""),"",IF('Statement of Marks'!F104="","",'Statement of Marks'!F104))</f>
        <v/>
      </c>
      <c r="H105" s="810" t="str">
        <f>IF(OR($E$3="",$P$3=""),"",IF('Statement of Marks'!G104="","",'Statement of Marks'!G104))</f>
        <v/>
      </c>
      <c r="I105" s="811" t="str">
        <f>IF(OR($E$3="",$P$3=""),"",IF('Statement of Marks'!H104="","",'Statement of Marks'!H104))</f>
        <v/>
      </c>
      <c r="J105" s="811" t="str">
        <f>IF(OR($E$3="",$P$3=""),"",IF('Statement of Marks'!I104="","",'Statement of Marks'!I104))</f>
        <v/>
      </c>
      <c r="K105" s="811" t="str">
        <f>IFERROR(IF(B105="","",IF($P$3=$AT$10,IF(AND(BM105="A"),'Marks Entry'!$U$2,IF(AND(BM105="B"),'Marks Entry'!$Y$2,IF(AND(BM105="C"),'Marks Entry'!$AA$2,""))),IF($P$3=$AT$11,IF(AND(BN105="A"),'Marks Entry'!$AC$2,IF(AND(BN105="B"),'Marks Entry'!$AG$2,IF(AND(BN105="C"),'Marks Entry'!$AI$2,""))),IF($P$3=$AT$12,IF(AND(BO105="A"),'Marks Entry'!$AK$2,IF(AND(BO105="B"),'Marks Entry'!$AO$2,IF(AND(BO105="C"),'Marks Entry'!$AQ$2,""))),IF($P$3=$AT$13,IF(AND(BP105="A"),'Marks Entry'!$AS$2,IF(AND(BP105="B"),'Marks Entry'!$AW$2,IF(AND(BP105="C"),'Marks Entry'!$AY$2,""))),"-"))))),"")</f>
        <v/>
      </c>
      <c r="L105" s="812" t="str">
        <f>IFERROR(IF(B105="","",IF($P$3=$AT$8,'Statement of Marks'!J104,IF($P$3=$AT$9,'Statement of Marks'!X104,IF($P$3=$AT$10,'Statement of Marks'!AM104,IF($P$3=$AT$11,'Statement of Marks'!BJ104,IF($P$3=$AT$12,'Statement of Marks'!CG104,IF($P$3=$AT$13,'Statement of Marks'!DE104,IF($P$3=$AT$14,"",IF($P$3=$AT$15,'Statement of Marks'!EY104,""))))))))),"")</f>
        <v/>
      </c>
      <c r="M105" s="812" t="str">
        <f>IFERROR(IF(B105="","",IF($P$3=$AT$8,'Statement of Marks'!K104,IF($P$3=$AT$9,'Statement of Marks'!Y104,IF($P$3=$AT$10,'Statement of Marks'!AN104,IF($P$3=$AT$11,'Statement of Marks'!BK104,IF($P$3=$AT$12,'Statement of Marks'!CH104,IF($P$3=$AT$13,'Statement of Marks'!DF104,IF($P$3=$AT$14,"",IF($P$3=$AT$15,'Statement of Marks'!EZ104,""))))))))),"")</f>
        <v/>
      </c>
      <c r="N105" s="812" t="str">
        <f>IFERROR(IF(B105="","",IF($P$3=$AT$8,'Statement of Marks'!L104,IF($P$3=$AT$9,'Statement of Marks'!Z104,IF($P$3=$AT$10,'Statement of Marks'!AO104,IF($P$3=$AT$11,'Statement of Marks'!BL104,IF($P$3=$AT$12,'Statement of Marks'!CI104,IF($P$3=$AT$13,'Statement of Marks'!DG104,IF($P$3=$AT$14,"",IF($P$3=$AT$15,'Statement of Marks'!FA104,""))))))))),"")</f>
        <v/>
      </c>
      <c r="O105" s="813" t="str">
        <f t="shared" si="18"/>
        <v/>
      </c>
      <c r="P105" s="812" t="str">
        <f>IFERROR(IF(B105="","",IF($P$3=$AT$8,'Statement of Marks'!N104,IF($P$3=$AT$9,'Statement of Marks'!AB104,IF($P$3=$AT$10,'Statement of Marks'!AQ104,IF($P$3=$AT$11,'Statement of Marks'!BN104,IF($P$3=$AT$12,'Statement of Marks'!CK104,IF($P$3=$AT$13,'Statement of Marks'!DI104,IF($P$3=$AT$14,"",IF($P$3=$AT$15,'Statement of Marks'!FC104,""))))))))),"")</f>
        <v/>
      </c>
      <c r="Q105" s="812" t="str">
        <f>IFERROR(IF(B105="","",IF($P$3=$AT$8,"",IF($P$3=$AT$9,"",IF($P$3=$AT$10,'Statement of Marks'!AR104,IF($P$3=$AT$11,'Statement of Marks'!BO104,IF($P$3=$AT$12,'Statement of Marks'!CL104,IF($P$3=$AT$13,'Statement of Marks'!DJ104,IF($P$3=$AT$14,"",IF($P$3=$AT$15,"",""))))))))),"")</f>
        <v/>
      </c>
      <c r="R105" s="824" t="str">
        <f>IFERROR(IF(B105="","",IF(AND(P105="",Q105="",$P$3=""),"",IF($P$3=$AT$14,'Statement of Marks'!EC104,SUM(P105,Q105)))),"")</f>
        <v/>
      </c>
      <c r="S105" s="823" t="str">
        <f>IFERROR(IF(B105="","",IF($P$3=$AT$14,'Statement of Marks'!ED104,IF(AND(O105="NA",P105="NA",Q105="NA"),"NA",IF(AND(O105="",P105="",Q105=""),"",SUM(O105,P105,Q105))))),"")</f>
        <v/>
      </c>
      <c r="T105" s="812" t="str">
        <f>IFERROR(IF(B105="","",IF($P$3=$AT$8,'Statement of Marks'!P104,IF($P$3=$AT$9,'Statement of Marks'!AD104,IF($P$3=$AT$10,'Statement of Marks'!AU104,IF($P$3=$AT$11,'Statement of Marks'!BR104,IF($P$3=$AT$12,'Statement of Marks'!CO104,IF($P$3=$AT$13,'Statement of Marks'!DM104,IF($P$3=$AT$14,"",IF($P$3=$AT$15,'Statement of Marks'!FD104,""))))))))),"")</f>
        <v/>
      </c>
      <c r="U105" s="812" t="str">
        <f>IFERROR(IF(B105="","",IF($P$3=$AT$8,"",IF($P$3=$AT$9,"",IF($P$3=$AT$10,'Statement of Marks'!AV104,IF($P$3=$AT$11,'Statement of Marks'!BS104,IF($P$3=$AT$12,'Statement of Marks'!CP104,IF($P$3=$AT$13,'Statement of Marks'!DN104,IF($P$3=$AT$14,"",IF($P$3=$AT$15,"",""))))))))),"")</f>
        <v/>
      </c>
      <c r="V105" s="824" t="str">
        <f>IFERROR(IF(B105="","",IF(AND(T105="",U105="",$P$3=""),"",IF($P$3=$AT$14,'Statement of Marks'!EE104,SUM(T105,U105)))),"")</f>
        <v/>
      </c>
      <c r="W105" s="814" t="str">
        <f t="shared" si="19"/>
        <v/>
      </c>
      <c r="X105" s="815">
        <f t="shared" si="20"/>
        <v>0</v>
      </c>
      <c r="Y105" s="815">
        <f t="shared" si="21"/>
        <v>0</v>
      </c>
      <c r="Z105" s="815">
        <f t="shared" si="22"/>
        <v>0</v>
      </c>
      <c r="AA105" s="815" t="str">
        <f t="shared" si="23"/>
        <v/>
      </c>
      <c r="AB105" s="815" t="str">
        <f t="shared" si="24"/>
        <v/>
      </c>
      <c r="AC105" s="815" t="str">
        <f t="shared" si="25"/>
        <v/>
      </c>
      <c r="AD105" s="815" t="str">
        <f t="shared" si="26"/>
        <v/>
      </c>
      <c r="AE105" s="816" t="str">
        <f t="shared" si="27"/>
        <v/>
      </c>
      <c r="AF105" s="817" t="str">
        <f t="shared" si="28"/>
        <v/>
      </c>
      <c r="AG105" s="818" t="str">
        <f t="shared" si="29"/>
        <v/>
      </c>
      <c r="AW105" s="17" t="str">
        <f t="shared" si="30"/>
        <v/>
      </c>
      <c r="AX105" s="17" t="str">
        <f t="shared" si="31"/>
        <v/>
      </c>
      <c r="BM105" s="17" t="str">
        <f>IFERROR(VLOOKUP(B105,'Statement of Marks'!$B$8:'Statement of Marks'!$HI$207,37,0),"")</f>
        <v>A</v>
      </c>
      <c r="BN105" s="17" t="str">
        <f>IFERROR(VLOOKUP(B105,'Statement of Marks'!$B$8:'Statement of Marks'!$HI$207,60,0),"")</f>
        <v>A</v>
      </c>
      <c r="BO105" s="17" t="str">
        <f>IFERROR(VLOOKUP(B105,'Statement of Marks'!$B$8:'Statement of Marks'!$HI$207,83,0),"")</f>
        <v>A</v>
      </c>
      <c r="BP105" s="17" t="str">
        <f>IFERROR(VLOOKUP(B105,'Statement of Marks'!$B$8:'Statement of Marks'!$HI$207,107,0),"")</f>
        <v/>
      </c>
    </row>
    <row r="106" spans="1:68">
      <c r="A106" s="806">
        <f>IF('Statement of Marks'!A105="","",'Statement of Marks'!A105)</f>
        <v>98</v>
      </c>
      <c r="B106" s="807" t="str">
        <f>IF(OR($E$3="",$P$3=""),"",IF('Statement of Marks'!B105="","",'Statement of Marks'!B105))</f>
        <v/>
      </c>
      <c r="C106" s="816" t="str">
        <f>IF(OR($E$3="",$P$3=""),"",IF('Marks Entry'!C105="","",'Marks Entry'!C105))</f>
        <v/>
      </c>
      <c r="D106" s="808" t="str">
        <f>IF(OR($E$3="",$P$3=""),"",IF('Statement of Marks'!C105="","",'Statement of Marks'!C105))</f>
        <v/>
      </c>
      <c r="E106" s="809" t="str">
        <f>IF(OR($E$3="",$P$3=""),"",IF('Statement of Marks'!D105="","",'Statement of Marks'!D105))</f>
        <v/>
      </c>
      <c r="F106" s="810" t="str">
        <f>IF(OR($E$3="",$P$3=""),"",IF('Statement of Marks'!E105="","",'Statement of Marks'!E105))</f>
        <v/>
      </c>
      <c r="G106" s="810" t="str">
        <f>IF(OR($E$3="",$P$3=""),"",IF('Statement of Marks'!F105="","",'Statement of Marks'!F105))</f>
        <v/>
      </c>
      <c r="H106" s="810" t="str">
        <f>IF(OR($E$3="",$P$3=""),"",IF('Statement of Marks'!G105="","",'Statement of Marks'!G105))</f>
        <v/>
      </c>
      <c r="I106" s="811" t="str">
        <f>IF(OR($E$3="",$P$3=""),"",IF('Statement of Marks'!H105="","",'Statement of Marks'!H105))</f>
        <v/>
      </c>
      <c r="J106" s="811" t="str">
        <f>IF(OR($E$3="",$P$3=""),"",IF('Statement of Marks'!I105="","",'Statement of Marks'!I105))</f>
        <v/>
      </c>
      <c r="K106" s="811" t="str">
        <f>IFERROR(IF(B106="","",IF($P$3=$AT$10,IF(AND(BM106="A"),'Marks Entry'!$U$2,IF(AND(BM106="B"),'Marks Entry'!$Y$2,IF(AND(BM106="C"),'Marks Entry'!$AA$2,""))),IF($P$3=$AT$11,IF(AND(BN106="A"),'Marks Entry'!$AC$2,IF(AND(BN106="B"),'Marks Entry'!$AG$2,IF(AND(BN106="C"),'Marks Entry'!$AI$2,""))),IF($P$3=$AT$12,IF(AND(BO106="A"),'Marks Entry'!$AK$2,IF(AND(BO106="B"),'Marks Entry'!$AO$2,IF(AND(BO106="C"),'Marks Entry'!$AQ$2,""))),IF($P$3=$AT$13,IF(AND(BP106="A"),'Marks Entry'!$AS$2,IF(AND(BP106="B"),'Marks Entry'!$AW$2,IF(AND(BP106="C"),'Marks Entry'!$AY$2,""))),"-"))))),"")</f>
        <v/>
      </c>
      <c r="L106" s="812" t="str">
        <f>IFERROR(IF(B106="","",IF($P$3=$AT$8,'Statement of Marks'!J105,IF($P$3=$AT$9,'Statement of Marks'!X105,IF($P$3=$AT$10,'Statement of Marks'!AM105,IF($P$3=$AT$11,'Statement of Marks'!BJ105,IF($P$3=$AT$12,'Statement of Marks'!CG105,IF($P$3=$AT$13,'Statement of Marks'!DE105,IF($P$3=$AT$14,"",IF($P$3=$AT$15,'Statement of Marks'!EY105,""))))))))),"")</f>
        <v/>
      </c>
      <c r="M106" s="812" t="str">
        <f>IFERROR(IF(B106="","",IF($P$3=$AT$8,'Statement of Marks'!K105,IF($P$3=$AT$9,'Statement of Marks'!Y105,IF($P$3=$AT$10,'Statement of Marks'!AN105,IF($P$3=$AT$11,'Statement of Marks'!BK105,IF($P$3=$AT$12,'Statement of Marks'!CH105,IF($P$3=$AT$13,'Statement of Marks'!DF105,IF($P$3=$AT$14,"",IF($P$3=$AT$15,'Statement of Marks'!EZ105,""))))))))),"")</f>
        <v/>
      </c>
      <c r="N106" s="812" t="str">
        <f>IFERROR(IF(B106="","",IF($P$3=$AT$8,'Statement of Marks'!L105,IF($P$3=$AT$9,'Statement of Marks'!Z105,IF($P$3=$AT$10,'Statement of Marks'!AO105,IF($P$3=$AT$11,'Statement of Marks'!BL105,IF($P$3=$AT$12,'Statement of Marks'!CI105,IF($P$3=$AT$13,'Statement of Marks'!DG105,IF($P$3=$AT$14,"",IF($P$3=$AT$15,'Statement of Marks'!FA105,""))))))))),"")</f>
        <v/>
      </c>
      <c r="O106" s="813" t="str">
        <f t="shared" si="18"/>
        <v/>
      </c>
      <c r="P106" s="812" t="str">
        <f>IFERROR(IF(B106="","",IF($P$3=$AT$8,'Statement of Marks'!N105,IF($P$3=$AT$9,'Statement of Marks'!AB105,IF($P$3=$AT$10,'Statement of Marks'!AQ105,IF($P$3=$AT$11,'Statement of Marks'!BN105,IF($P$3=$AT$12,'Statement of Marks'!CK105,IF($P$3=$AT$13,'Statement of Marks'!DI105,IF($P$3=$AT$14,"",IF($P$3=$AT$15,'Statement of Marks'!FC105,""))))))))),"")</f>
        <v/>
      </c>
      <c r="Q106" s="812" t="str">
        <f>IFERROR(IF(B106="","",IF($P$3=$AT$8,"",IF($P$3=$AT$9,"",IF($P$3=$AT$10,'Statement of Marks'!AR105,IF($P$3=$AT$11,'Statement of Marks'!BO105,IF($P$3=$AT$12,'Statement of Marks'!CL105,IF($P$3=$AT$13,'Statement of Marks'!DJ105,IF($P$3=$AT$14,"",IF($P$3=$AT$15,"",""))))))))),"")</f>
        <v/>
      </c>
      <c r="R106" s="824" t="str">
        <f>IFERROR(IF(B106="","",IF(AND(P106="",Q106="",$P$3=""),"",IF($P$3=$AT$14,'Statement of Marks'!EC105,SUM(P106,Q106)))),"")</f>
        <v/>
      </c>
      <c r="S106" s="823" t="str">
        <f>IFERROR(IF(B106="","",IF($P$3=$AT$14,'Statement of Marks'!ED105,IF(AND(O106="NA",P106="NA",Q106="NA"),"NA",IF(AND(O106="",P106="",Q106=""),"",SUM(O106,P106,Q106))))),"")</f>
        <v/>
      </c>
      <c r="T106" s="812" t="str">
        <f>IFERROR(IF(B106="","",IF($P$3=$AT$8,'Statement of Marks'!P105,IF($P$3=$AT$9,'Statement of Marks'!AD105,IF($P$3=$AT$10,'Statement of Marks'!AU105,IF($P$3=$AT$11,'Statement of Marks'!BR105,IF($P$3=$AT$12,'Statement of Marks'!CO105,IF($P$3=$AT$13,'Statement of Marks'!DM105,IF($P$3=$AT$14,"",IF($P$3=$AT$15,'Statement of Marks'!FD105,""))))))))),"")</f>
        <v/>
      </c>
      <c r="U106" s="812" t="str">
        <f>IFERROR(IF(B106="","",IF($P$3=$AT$8,"",IF($P$3=$AT$9,"",IF($P$3=$AT$10,'Statement of Marks'!AV105,IF($P$3=$AT$11,'Statement of Marks'!BS105,IF($P$3=$AT$12,'Statement of Marks'!CP105,IF($P$3=$AT$13,'Statement of Marks'!DN105,IF($P$3=$AT$14,"",IF($P$3=$AT$15,"",""))))))))),"")</f>
        <v/>
      </c>
      <c r="V106" s="824" t="str">
        <f>IFERROR(IF(B106="","",IF(AND(T106="",U106="",$P$3=""),"",IF($P$3=$AT$14,'Statement of Marks'!EE105,SUM(T106,U106)))),"")</f>
        <v/>
      </c>
      <c r="W106" s="814" t="str">
        <f t="shared" si="19"/>
        <v/>
      </c>
      <c r="X106" s="815">
        <f t="shared" si="20"/>
        <v>0</v>
      </c>
      <c r="Y106" s="815">
        <f t="shared" si="21"/>
        <v>0</v>
      </c>
      <c r="Z106" s="815">
        <f t="shared" si="22"/>
        <v>0</v>
      </c>
      <c r="AA106" s="815" t="str">
        <f t="shared" si="23"/>
        <v/>
      </c>
      <c r="AB106" s="815" t="str">
        <f t="shared" si="24"/>
        <v/>
      </c>
      <c r="AC106" s="815" t="str">
        <f t="shared" si="25"/>
        <v/>
      </c>
      <c r="AD106" s="815" t="str">
        <f t="shared" si="26"/>
        <v/>
      </c>
      <c r="AE106" s="816" t="str">
        <f t="shared" si="27"/>
        <v/>
      </c>
      <c r="AF106" s="817" t="str">
        <f t="shared" si="28"/>
        <v/>
      </c>
      <c r="AG106" s="818" t="str">
        <f t="shared" si="29"/>
        <v/>
      </c>
      <c r="AW106" s="17" t="str">
        <f t="shared" si="30"/>
        <v/>
      </c>
      <c r="AX106" s="17" t="str">
        <f t="shared" si="31"/>
        <v/>
      </c>
      <c r="BM106" s="17" t="str">
        <f>IFERROR(VLOOKUP(B106,'Statement of Marks'!$B$8:'Statement of Marks'!$HI$207,37,0),"")</f>
        <v>A</v>
      </c>
      <c r="BN106" s="17" t="str">
        <f>IFERROR(VLOOKUP(B106,'Statement of Marks'!$B$8:'Statement of Marks'!$HI$207,60,0),"")</f>
        <v>A</v>
      </c>
      <c r="BO106" s="17" t="str">
        <f>IFERROR(VLOOKUP(B106,'Statement of Marks'!$B$8:'Statement of Marks'!$HI$207,83,0),"")</f>
        <v>A</v>
      </c>
      <c r="BP106" s="17" t="str">
        <f>IFERROR(VLOOKUP(B106,'Statement of Marks'!$B$8:'Statement of Marks'!$HI$207,107,0),"")</f>
        <v/>
      </c>
    </row>
    <row r="107" spans="1:68">
      <c r="A107" s="806">
        <f>IF('Statement of Marks'!A106="","",'Statement of Marks'!A106)</f>
        <v>99</v>
      </c>
      <c r="B107" s="807" t="str">
        <f>IF(OR($E$3="",$P$3=""),"",IF('Statement of Marks'!B106="","",'Statement of Marks'!B106))</f>
        <v/>
      </c>
      <c r="C107" s="816" t="str">
        <f>IF(OR($E$3="",$P$3=""),"",IF('Marks Entry'!C106="","",'Marks Entry'!C106))</f>
        <v/>
      </c>
      <c r="D107" s="808" t="str">
        <f>IF(OR($E$3="",$P$3=""),"",IF('Statement of Marks'!C106="","",'Statement of Marks'!C106))</f>
        <v/>
      </c>
      <c r="E107" s="809" t="str">
        <f>IF(OR($E$3="",$P$3=""),"",IF('Statement of Marks'!D106="","",'Statement of Marks'!D106))</f>
        <v/>
      </c>
      <c r="F107" s="810" t="str">
        <f>IF(OR($E$3="",$P$3=""),"",IF('Statement of Marks'!E106="","",'Statement of Marks'!E106))</f>
        <v/>
      </c>
      <c r="G107" s="810" t="str">
        <f>IF(OR($E$3="",$P$3=""),"",IF('Statement of Marks'!F106="","",'Statement of Marks'!F106))</f>
        <v/>
      </c>
      <c r="H107" s="810" t="str">
        <f>IF(OR($E$3="",$P$3=""),"",IF('Statement of Marks'!G106="","",'Statement of Marks'!G106))</f>
        <v/>
      </c>
      <c r="I107" s="811" t="str">
        <f>IF(OR($E$3="",$P$3=""),"",IF('Statement of Marks'!H106="","",'Statement of Marks'!H106))</f>
        <v/>
      </c>
      <c r="J107" s="811" t="str">
        <f>IF(OR($E$3="",$P$3=""),"",IF('Statement of Marks'!I106="","",'Statement of Marks'!I106))</f>
        <v/>
      </c>
      <c r="K107" s="811" t="str">
        <f>IFERROR(IF(B107="","",IF($P$3=$AT$10,IF(AND(BM107="A"),'Marks Entry'!$U$2,IF(AND(BM107="B"),'Marks Entry'!$Y$2,IF(AND(BM107="C"),'Marks Entry'!$AA$2,""))),IF($P$3=$AT$11,IF(AND(BN107="A"),'Marks Entry'!$AC$2,IF(AND(BN107="B"),'Marks Entry'!$AG$2,IF(AND(BN107="C"),'Marks Entry'!$AI$2,""))),IF($P$3=$AT$12,IF(AND(BO107="A"),'Marks Entry'!$AK$2,IF(AND(BO107="B"),'Marks Entry'!$AO$2,IF(AND(BO107="C"),'Marks Entry'!$AQ$2,""))),IF($P$3=$AT$13,IF(AND(BP107="A"),'Marks Entry'!$AS$2,IF(AND(BP107="B"),'Marks Entry'!$AW$2,IF(AND(BP107="C"),'Marks Entry'!$AY$2,""))),"-"))))),"")</f>
        <v/>
      </c>
      <c r="L107" s="812" t="str">
        <f>IFERROR(IF(B107="","",IF($P$3=$AT$8,'Statement of Marks'!J106,IF($P$3=$AT$9,'Statement of Marks'!X106,IF($P$3=$AT$10,'Statement of Marks'!AM106,IF($P$3=$AT$11,'Statement of Marks'!BJ106,IF($P$3=$AT$12,'Statement of Marks'!CG106,IF($P$3=$AT$13,'Statement of Marks'!DE106,IF($P$3=$AT$14,"",IF($P$3=$AT$15,'Statement of Marks'!EY106,""))))))))),"")</f>
        <v/>
      </c>
      <c r="M107" s="812" t="str">
        <f>IFERROR(IF(B107="","",IF($P$3=$AT$8,'Statement of Marks'!K106,IF($P$3=$AT$9,'Statement of Marks'!Y106,IF($P$3=$AT$10,'Statement of Marks'!AN106,IF($P$3=$AT$11,'Statement of Marks'!BK106,IF($P$3=$AT$12,'Statement of Marks'!CH106,IF($P$3=$AT$13,'Statement of Marks'!DF106,IF($P$3=$AT$14,"",IF($P$3=$AT$15,'Statement of Marks'!EZ106,""))))))))),"")</f>
        <v/>
      </c>
      <c r="N107" s="812" t="str">
        <f>IFERROR(IF(B107="","",IF($P$3=$AT$8,'Statement of Marks'!L106,IF($P$3=$AT$9,'Statement of Marks'!Z106,IF($P$3=$AT$10,'Statement of Marks'!AO106,IF($P$3=$AT$11,'Statement of Marks'!BL106,IF($P$3=$AT$12,'Statement of Marks'!CI106,IF($P$3=$AT$13,'Statement of Marks'!DG106,IF($P$3=$AT$14,"",IF($P$3=$AT$15,'Statement of Marks'!FA106,""))))))))),"")</f>
        <v/>
      </c>
      <c r="O107" s="813" t="str">
        <f t="shared" si="18"/>
        <v/>
      </c>
      <c r="P107" s="812" t="str">
        <f>IFERROR(IF(B107="","",IF($P$3=$AT$8,'Statement of Marks'!N106,IF($P$3=$AT$9,'Statement of Marks'!AB106,IF($P$3=$AT$10,'Statement of Marks'!AQ106,IF($P$3=$AT$11,'Statement of Marks'!BN106,IF($P$3=$AT$12,'Statement of Marks'!CK106,IF($P$3=$AT$13,'Statement of Marks'!DI106,IF($P$3=$AT$14,"",IF($P$3=$AT$15,'Statement of Marks'!FC106,""))))))))),"")</f>
        <v/>
      </c>
      <c r="Q107" s="812" t="str">
        <f>IFERROR(IF(B107="","",IF($P$3=$AT$8,"",IF($P$3=$AT$9,"",IF($P$3=$AT$10,'Statement of Marks'!AR106,IF($P$3=$AT$11,'Statement of Marks'!BO106,IF($P$3=$AT$12,'Statement of Marks'!CL106,IF($P$3=$AT$13,'Statement of Marks'!DJ106,IF($P$3=$AT$14,"",IF($P$3=$AT$15,"",""))))))))),"")</f>
        <v/>
      </c>
      <c r="R107" s="824" t="str">
        <f>IFERROR(IF(B107="","",IF(AND(P107="",Q107="",$P$3=""),"",IF($P$3=$AT$14,'Statement of Marks'!EC106,SUM(P107,Q107)))),"")</f>
        <v/>
      </c>
      <c r="S107" s="823" t="str">
        <f>IFERROR(IF(B107="","",IF($P$3=$AT$14,'Statement of Marks'!ED106,IF(AND(O107="NA",P107="NA",Q107="NA"),"NA",IF(AND(O107="",P107="",Q107=""),"",SUM(O107,P107,Q107))))),"")</f>
        <v/>
      </c>
      <c r="T107" s="812" t="str">
        <f>IFERROR(IF(B107="","",IF($P$3=$AT$8,'Statement of Marks'!P106,IF($P$3=$AT$9,'Statement of Marks'!AD106,IF($P$3=$AT$10,'Statement of Marks'!AU106,IF($P$3=$AT$11,'Statement of Marks'!BR106,IF($P$3=$AT$12,'Statement of Marks'!CO106,IF($P$3=$AT$13,'Statement of Marks'!DM106,IF($P$3=$AT$14,"",IF($P$3=$AT$15,'Statement of Marks'!FD106,""))))))))),"")</f>
        <v/>
      </c>
      <c r="U107" s="812" t="str">
        <f>IFERROR(IF(B107="","",IF($P$3=$AT$8,"",IF($P$3=$AT$9,"",IF($P$3=$AT$10,'Statement of Marks'!AV106,IF($P$3=$AT$11,'Statement of Marks'!BS106,IF($P$3=$AT$12,'Statement of Marks'!CP106,IF($P$3=$AT$13,'Statement of Marks'!DN106,IF($P$3=$AT$14,"",IF($P$3=$AT$15,"",""))))))))),"")</f>
        <v/>
      </c>
      <c r="V107" s="824" t="str">
        <f>IFERROR(IF(B107="","",IF(AND(T107="",U107="",$P$3=""),"",IF($P$3=$AT$14,'Statement of Marks'!EE106,SUM(T107,U107)))),"")</f>
        <v/>
      </c>
      <c r="W107" s="814" t="str">
        <f t="shared" si="19"/>
        <v/>
      </c>
      <c r="X107" s="815">
        <f t="shared" si="20"/>
        <v>0</v>
      </c>
      <c r="Y107" s="815">
        <f t="shared" si="21"/>
        <v>0</v>
      </c>
      <c r="Z107" s="815">
        <f t="shared" si="22"/>
        <v>0</v>
      </c>
      <c r="AA107" s="815" t="str">
        <f t="shared" si="23"/>
        <v/>
      </c>
      <c r="AB107" s="815" t="str">
        <f t="shared" si="24"/>
        <v/>
      </c>
      <c r="AC107" s="815" t="str">
        <f t="shared" si="25"/>
        <v/>
      </c>
      <c r="AD107" s="815" t="str">
        <f t="shared" si="26"/>
        <v/>
      </c>
      <c r="AE107" s="816" t="str">
        <f t="shared" si="27"/>
        <v/>
      </c>
      <c r="AF107" s="817" t="str">
        <f t="shared" si="28"/>
        <v/>
      </c>
      <c r="AG107" s="818" t="str">
        <f t="shared" si="29"/>
        <v/>
      </c>
      <c r="AW107" s="17" t="str">
        <f t="shared" si="30"/>
        <v/>
      </c>
      <c r="AX107" s="17" t="str">
        <f t="shared" si="31"/>
        <v/>
      </c>
      <c r="BM107" s="17" t="str">
        <f>IFERROR(VLOOKUP(B107,'Statement of Marks'!$B$8:'Statement of Marks'!$HI$207,37,0),"")</f>
        <v>A</v>
      </c>
      <c r="BN107" s="17" t="str">
        <f>IFERROR(VLOOKUP(B107,'Statement of Marks'!$B$8:'Statement of Marks'!$HI$207,60,0),"")</f>
        <v>A</v>
      </c>
      <c r="BO107" s="17" t="str">
        <f>IFERROR(VLOOKUP(B107,'Statement of Marks'!$B$8:'Statement of Marks'!$HI$207,83,0),"")</f>
        <v>A</v>
      </c>
      <c r="BP107" s="17" t="str">
        <f>IFERROR(VLOOKUP(B107,'Statement of Marks'!$B$8:'Statement of Marks'!$HI$207,107,0),"")</f>
        <v/>
      </c>
    </row>
    <row r="108" spans="1:68">
      <c r="A108" s="806">
        <f>IF('Statement of Marks'!A107="","",'Statement of Marks'!A107)</f>
        <v>100</v>
      </c>
      <c r="B108" s="807" t="str">
        <f>IF(OR($E$3="",$P$3=""),"",IF('Statement of Marks'!B107="","",'Statement of Marks'!B107))</f>
        <v/>
      </c>
      <c r="C108" s="816" t="str">
        <f>IF(OR($E$3="",$P$3=""),"",IF('Marks Entry'!C107="","",'Marks Entry'!C107))</f>
        <v/>
      </c>
      <c r="D108" s="808" t="str">
        <f>IF(OR($E$3="",$P$3=""),"",IF('Statement of Marks'!C107="","",'Statement of Marks'!C107))</f>
        <v/>
      </c>
      <c r="E108" s="809" t="str">
        <f>IF(OR($E$3="",$P$3=""),"",IF('Statement of Marks'!D107="","",'Statement of Marks'!D107))</f>
        <v/>
      </c>
      <c r="F108" s="810" t="str">
        <f>IF(OR($E$3="",$P$3=""),"",IF('Statement of Marks'!E107="","",'Statement of Marks'!E107))</f>
        <v/>
      </c>
      <c r="G108" s="810" t="str">
        <f>IF(OR($E$3="",$P$3=""),"",IF('Statement of Marks'!F107="","",'Statement of Marks'!F107))</f>
        <v/>
      </c>
      <c r="H108" s="810" t="str">
        <f>IF(OR($E$3="",$P$3=""),"",IF('Statement of Marks'!G107="","",'Statement of Marks'!G107))</f>
        <v/>
      </c>
      <c r="I108" s="811" t="str">
        <f>IF(OR($E$3="",$P$3=""),"",IF('Statement of Marks'!H107="","",'Statement of Marks'!H107))</f>
        <v/>
      </c>
      <c r="J108" s="811" t="str">
        <f>IF(OR($E$3="",$P$3=""),"",IF('Statement of Marks'!I107="","",'Statement of Marks'!I107))</f>
        <v/>
      </c>
      <c r="K108" s="811" t="str">
        <f>IFERROR(IF(B108="","",IF($P$3=$AT$10,IF(AND(BM108="A"),'Marks Entry'!$U$2,IF(AND(BM108="B"),'Marks Entry'!$Y$2,IF(AND(BM108="C"),'Marks Entry'!$AA$2,""))),IF($P$3=$AT$11,IF(AND(BN108="A"),'Marks Entry'!$AC$2,IF(AND(BN108="B"),'Marks Entry'!$AG$2,IF(AND(BN108="C"),'Marks Entry'!$AI$2,""))),IF($P$3=$AT$12,IF(AND(BO108="A"),'Marks Entry'!$AK$2,IF(AND(BO108="B"),'Marks Entry'!$AO$2,IF(AND(BO108="C"),'Marks Entry'!$AQ$2,""))),IF($P$3=$AT$13,IF(AND(BP108="A"),'Marks Entry'!$AS$2,IF(AND(BP108="B"),'Marks Entry'!$AW$2,IF(AND(BP108="C"),'Marks Entry'!$AY$2,""))),"-"))))),"")</f>
        <v/>
      </c>
      <c r="L108" s="812" t="str">
        <f>IFERROR(IF(B108="","",IF($P$3=$AT$8,'Statement of Marks'!J107,IF($P$3=$AT$9,'Statement of Marks'!X107,IF($P$3=$AT$10,'Statement of Marks'!AM107,IF($P$3=$AT$11,'Statement of Marks'!BJ107,IF($P$3=$AT$12,'Statement of Marks'!CG107,IF($P$3=$AT$13,'Statement of Marks'!DE107,IF($P$3=$AT$14,"",IF($P$3=$AT$15,'Statement of Marks'!EY107,""))))))))),"")</f>
        <v/>
      </c>
      <c r="M108" s="812" t="str">
        <f>IFERROR(IF(B108="","",IF($P$3=$AT$8,'Statement of Marks'!K107,IF($P$3=$AT$9,'Statement of Marks'!Y107,IF($P$3=$AT$10,'Statement of Marks'!AN107,IF($P$3=$AT$11,'Statement of Marks'!BK107,IF($P$3=$AT$12,'Statement of Marks'!CH107,IF($P$3=$AT$13,'Statement of Marks'!DF107,IF($P$3=$AT$14,"",IF($P$3=$AT$15,'Statement of Marks'!EZ107,""))))))))),"")</f>
        <v/>
      </c>
      <c r="N108" s="812" t="str">
        <f>IFERROR(IF(B108="","",IF($P$3=$AT$8,'Statement of Marks'!L107,IF($P$3=$AT$9,'Statement of Marks'!Z107,IF($P$3=$AT$10,'Statement of Marks'!AO107,IF($P$3=$AT$11,'Statement of Marks'!BL107,IF($P$3=$AT$12,'Statement of Marks'!CI107,IF($P$3=$AT$13,'Statement of Marks'!DG107,IF($P$3=$AT$14,"",IF($P$3=$AT$15,'Statement of Marks'!FA107,""))))))))),"")</f>
        <v/>
      </c>
      <c r="O108" s="813" t="str">
        <f t="shared" si="18"/>
        <v/>
      </c>
      <c r="P108" s="812" t="str">
        <f>IFERROR(IF(B108="","",IF($P$3=$AT$8,'Statement of Marks'!N107,IF($P$3=$AT$9,'Statement of Marks'!AB107,IF($P$3=$AT$10,'Statement of Marks'!AQ107,IF($P$3=$AT$11,'Statement of Marks'!BN107,IF($P$3=$AT$12,'Statement of Marks'!CK107,IF($P$3=$AT$13,'Statement of Marks'!DI107,IF($P$3=$AT$14,"",IF($P$3=$AT$15,'Statement of Marks'!FC107,""))))))))),"")</f>
        <v/>
      </c>
      <c r="Q108" s="812" t="str">
        <f>IFERROR(IF(B108="","",IF($P$3=$AT$8,"",IF($P$3=$AT$9,"",IF($P$3=$AT$10,'Statement of Marks'!AR107,IF($P$3=$AT$11,'Statement of Marks'!BO107,IF($P$3=$AT$12,'Statement of Marks'!CL107,IF($P$3=$AT$13,'Statement of Marks'!DJ107,IF($P$3=$AT$14,"",IF($P$3=$AT$15,"",""))))))))),"")</f>
        <v/>
      </c>
      <c r="R108" s="824" t="str">
        <f>IFERROR(IF(B108="","",IF(AND(P108="",Q108="",$P$3=""),"",IF($P$3=$AT$14,'Statement of Marks'!EC107,SUM(P108,Q108)))),"")</f>
        <v/>
      </c>
      <c r="S108" s="823" t="str">
        <f>IFERROR(IF(B108="","",IF($P$3=$AT$14,'Statement of Marks'!ED107,IF(AND(O108="NA",P108="NA",Q108="NA"),"NA",IF(AND(O108="",P108="",Q108=""),"",SUM(O108,P108,Q108))))),"")</f>
        <v/>
      </c>
      <c r="T108" s="812" t="str">
        <f>IFERROR(IF(B108="","",IF($P$3=$AT$8,'Statement of Marks'!P107,IF($P$3=$AT$9,'Statement of Marks'!AD107,IF($P$3=$AT$10,'Statement of Marks'!AU107,IF($P$3=$AT$11,'Statement of Marks'!BR107,IF($P$3=$AT$12,'Statement of Marks'!CO107,IF($P$3=$AT$13,'Statement of Marks'!DM107,IF($P$3=$AT$14,"",IF($P$3=$AT$15,'Statement of Marks'!FD107,""))))))))),"")</f>
        <v/>
      </c>
      <c r="U108" s="812" t="str">
        <f>IFERROR(IF(B108="","",IF($P$3=$AT$8,"",IF($P$3=$AT$9,"",IF($P$3=$AT$10,'Statement of Marks'!AV107,IF($P$3=$AT$11,'Statement of Marks'!BS107,IF($P$3=$AT$12,'Statement of Marks'!CP107,IF($P$3=$AT$13,'Statement of Marks'!DN107,IF($P$3=$AT$14,"",IF($P$3=$AT$15,"",""))))))))),"")</f>
        <v/>
      </c>
      <c r="V108" s="824" t="str">
        <f>IFERROR(IF(B108="","",IF(AND(T108="",U108="",$P$3=""),"",IF($P$3=$AT$14,'Statement of Marks'!EE107,SUM(T108,U108)))),"")</f>
        <v/>
      </c>
      <c r="W108" s="814" t="str">
        <f t="shared" si="19"/>
        <v/>
      </c>
      <c r="X108" s="815">
        <f t="shared" si="20"/>
        <v>0</v>
      </c>
      <c r="Y108" s="815">
        <f t="shared" si="21"/>
        <v>0</v>
      </c>
      <c r="Z108" s="815">
        <f t="shared" si="22"/>
        <v>0</v>
      </c>
      <c r="AA108" s="815" t="str">
        <f t="shared" si="23"/>
        <v/>
      </c>
      <c r="AB108" s="815" t="str">
        <f t="shared" si="24"/>
        <v/>
      </c>
      <c r="AC108" s="815" t="str">
        <f t="shared" si="25"/>
        <v/>
      </c>
      <c r="AD108" s="815" t="str">
        <f t="shared" si="26"/>
        <v/>
      </c>
      <c r="AE108" s="816" t="str">
        <f t="shared" si="27"/>
        <v/>
      </c>
      <c r="AF108" s="817" t="str">
        <f t="shared" si="28"/>
        <v/>
      </c>
      <c r="AG108" s="818" t="str">
        <f t="shared" si="29"/>
        <v/>
      </c>
      <c r="AW108" s="17" t="str">
        <f t="shared" si="30"/>
        <v/>
      </c>
      <c r="AX108" s="17" t="str">
        <f t="shared" si="31"/>
        <v/>
      </c>
      <c r="BM108" s="17" t="str">
        <f>IFERROR(VLOOKUP(B108,'Statement of Marks'!$B$8:'Statement of Marks'!$HI$207,37,0),"")</f>
        <v>A</v>
      </c>
      <c r="BN108" s="17" t="str">
        <f>IFERROR(VLOOKUP(B108,'Statement of Marks'!$B$8:'Statement of Marks'!$HI$207,60,0),"")</f>
        <v>A</v>
      </c>
      <c r="BO108" s="17" t="str">
        <f>IFERROR(VLOOKUP(B108,'Statement of Marks'!$B$8:'Statement of Marks'!$HI$207,83,0),"")</f>
        <v>A</v>
      </c>
      <c r="BP108" s="17" t="str">
        <f>IFERROR(VLOOKUP(B108,'Statement of Marks'!$B$8:'Statement of Marks'!$HI$207,107,0),"")</f>
        <v/>
      </c>
    </row>
    <row r="109" spans="1:68">
      <c r="A109" s="806">
        <f>IF('Statement of Marks'!A108="","",'Statement of Marks'!A108)</f>
        <v>101</v>
      </c>
      <c r="B109" s="807" t="str">
        <f>IF(OR($E$3="",$P$3=""),"",IF('Statement of Marks'!B108="","",'Statement of Marks'!B108))</f>
        <v/>
      </c>
      <c r="C109" s="816" t="str">
        <f>IF(OR($E$3="",$P$3=""),"",IF('Marks Entry'!C108="","",'Marks Entry'!C108))</f>
        <v/>
      </c>
      <c r="D109" s="808" t="str">
        <f>IF(OR($E$3="",$P$3=""),"",IF('Statement of Marks'!C108="","",'Statement of Marks'!C108))</f>
        <v/>
      </c>
      <c r="E109" s="809" t="str">
        <f>IF(OR($E$3="",$P$3=""),"",IF('Statement of Marks'!D108="","",'Statement of Marks'!D108))</f>
        <v/>
      </c>
      <c r="F109" s="810" t="str">
        <f>IF(OR($E$3="",$P$3=""),"",IF('Statement of Marks'!E108="","",'Statement of Marks'!E108))</f>
        <v/>
      </c>
      <c r="G109" s="810" t="str">
        <f>IF(OR($E$3="",$P$3=""),"",IF('Statement of Marks'!F108="","",'Statement of Marks'!F108))</f>
        <v/>
      </c>
      <c r="H109" s="810" t="str">
        <f>IF(OR($E$3="",$P$3=""),"",IF('Statement of Marks'!G108="","",'Statement of Marks'!G108))</f>
        <v/>
      </c>
      <c r="I109" s="811" t="str">
        <f>IF(OR($E$3="",$P$3=""),"",IF('Statement of Marks'!H108="","",'Statement of Marks'!H108))</f>
        <v/>
      </c>
      <c r="J109" s="811" t="str">
        <f>IF(OR($E$3="",$P$3=""),"",IF('Statement of Marks'!I108="","",'Statement of Marks'!I108))</f>
        <v/>
      </c>
      <c r="K109" s="811" t="str">
        <f>IFERROR(IF(B109="","",IF($P$3=$AT$10,IF(AND(BM109="A"),'Marks Entry'!$U$2,IF(AND(BM109="B"),'Marks Entry'!$Y$2,IF(AND(BM109="C"),'Marks Entry'!$AA$2,""))),IF($P$3=$AT$11,IF(AND(BN109="A"),'Marks Entry'!$AC$2,IF(AND(BN109="B"),'Marks Entry'!$AG$2,IF(AND(BN109="C"),'Marks Entry'!$AI$2,""))),IF($P$3=$AT$12,IF(AND(BO109="A"),'Marks Entry'!$AK$2,IF(AND(BO109="B"),'Marks Entry'!$AO$2,IF(AND(BO109="C"),'Marks Entry'!$AQ$2,""))),IF($P$3=$AT$13,IF(AND(BP109="A"),'Marks Entry'!$AS$2,IF(AND(BP109="B"),'Marks Entry'!$AW$2,IF(AND(BP109="C"),'Marks Entry'!$AY$2,""))),"-"))))),"")</f>
        <v/>
      </c>
      <c r="L109" s="812" t="str">
        <f>IFERROR(IF(B109="","",IF($P$3=$AT$8,'Statement of Marks'!J108,IF($P$3=$AT$9,'Statement of Marks'!X108,IF($P$3=$AT$10,'Statement of Marks'!AM108,IF($P$3=$AT$11,'Statement of Marks'!BJ108,IF($P$3=$AT$12,'Statement of Marks'!CG108,IF($P$3=$AT$13,'Statement of Marks'!DE108,IF($P$3=$AT$14,"",IF($P$3=$AT$15,'Statement of Marks'!EY108,""))))))))),"")</f>
        <v/>
      </c>
      <c r="M109" s="812" t="str">
        <f>IFERROR(IF(B109="","",IF($P$3=$AT$8,'Statement of Marks'!K108,IF($P$3=$AT$9,'Statement of Marks'!Y108,IF($P$3=$AT$10,'Statement of Marks'!AN108,IF($P$3=$AT$11,'Statement of Marks'!BK108,IF($P$3=$AT$12,'Statement of Marks'!CH108,IF($P$3=$AT$13,'Statement of Marks'!DF108,IF($P$3=$AT$14,"",IF($P$3=$AT$15,'Statement of Marks'!EZ108,""))))))))),"")</f>
        <v/>
      </c>
      <c r="N109" s="812" t="str">
        <f>IFERROR(IF(B109="","",IF($P$3=$AT$8,'Statement of Marks'!L108,IF($P$3=$AT$9,'Statement of Marks'!Z108,IF($P$3=$AT$10,'Statement of Marks'!AO108,IF($P$3=$AT$11,'Statement of Marks'!BL108,IF($P$3=$AT$12,'Statement of Marks'!CI108,IF($P$3=$AT$13,'Statement of Marks'!DG108,IF($P$3=$AT$14,"",IF($P$3=$AT$15,'Statement of Marks'!FA108,""))))))))),"")</f>
        <v/>
      </c>
      <c r="O109" s="813" t="str">
        <f t="shared" si="18"/>
        <v/>
      </c>
      <c r="P109" s="812" t="str">
        <f>IFERROR(IF(B109="","",IF($P$3=$AT$8,'Statement of Marks'!N108,IF($P$3=$AT$9,'Statement of Marks'!AB108,IF($P$3=$AT$10,'Statement of Marks'!AQ108,IF($P$3=$AT$11,'Statement of Marks'!BN108,IF($P$3=$AT$12,'Statement of Marks'!CK108,IF($P$3=$AT$13,'Statement of Marks'!DI108,IF($P$3=$AT$14,"",IF($P$3=$AT$15,'Statement of Marks'!FC108,""))))))))),"")</f>
        <v/>
      </c>
      <c r="Q109" s="812" t="str">
        <f>IFERROR(IF(B109="","",IF($P$3=$AT$8,"",IF($P$3=$AT$9,"",IF($P$3=$AT$10,'Statement of Marks'!AR108,IF($P$3=$AT$11,'Statement of Marks'!BO108,IF($P$3=$AT$12,'Statement of Marks'!CL108,IF($P$3=$AT$13,'Statement of Marks'!DJ108,IF($P$3=$AT$14,"",IF($P$3=$AT$15,"",""))))))))),"")</f>
        <v/>
      </c>
      <c r="R109" s="824" t="str">
        <f>IFERROR(IF(B109="","",IF(AND(P109="",Q109="",$P$3=""),"",IF($P$3=$AT$14,'Statement of Marks'!EC108,SUM(P109,Q109)))),"")</f>
        <v/>
      </c>
      <c r="S109" s="823" t="str">
        <f>IFERROR(IF(B109="","",IF($P$3=$AT$14,'Statement of Marks'!ED108,IF(AND(O109="NA",P109="NA",Q109="NA"),"NA",IF(AND(O109="",P109="",Q109=""),"",SUM(O109,P109,Q109))))),"")</f>
        <v/>
      </c>
      <c r="T109" s="812" t="str">
        <f>IFERROR(IF(B109="","",IF($P$3=$AT$8,'Statement of Marks'!P108,IF($P$3=$AT$9,'Statement of Marks'!AD108,IF($P$3=$AT$10,'Statement of Marks'!AU108,IF($P$3=$AT$11,'Statement of Marks'!BR108,IF($P$3=$AT$12,'Statement of Marks'!CO108,IF($P$3=$AT$13,'Statement of Marks'!DM108,IF($P$3=$AT$14,"",IF($P$3=$AT$15,'Statement of Marks'!FD108,""))))))))),"")</f>
        <v/>
      </c>
      <c r="U109" s="812" t="str">
        <f>IFERROR(IF(B109="","",IF($P$3=$AT$8,"",IF($P$3=$AT$9,"",IF($P$3=$AT$10,'Statement of Marks'!AV108,IF($P$3=$AT$11,'Statement of Marks'!BS108,IF($P$3=$AT$12,'Statement of Marks'!CP108,IF($P$3=$AT$13,'Statement of Marks'!DN108,IF($P$3=$AT$14,"",IF($P$3=$AT$15,"",""))))))))),"")</f>
        <v/>
      </c>
      <c r="V109" s="824" t="str">
        <f>IFERROR(IF(B109="","",IF(AND(T109="",U109="",$P$3=""),"",IF($P$3=$AT$14,'Statement of Marks'!EE108,SUM(T109,U109)))),"")</f>
        <v/>
      </c>
      <c r="W109" s="814" t="str">
        <f t="shared" si="19"/>
        <v/>
      </c>
      <c r="X109" s="815">
        <f t="shared" si="20"/>
        <v>0</v>
      </c>
      <c r="Y109" s="815">
        <f t="shared" si="21"/>
        <v>0</v>
      </c>
      <c r="Z109" s="815">
        <f t="shared" si="22"/>
        <v>0</v>
      </c>
      <c r="AA109" s="815" t="str">
        <f t="shared" si="23"/>
        <v/>
      </c>
      <c r="AB109" s="815" t="str">
        <f t="shared" si="24"/>
        <v/>
      </c>
      <c r="AC109" s="815" t="str">
        <f t="shared" si="25"/>
        <v/>
      </c>
      <c r="AD109" s="815" t="str">
        <f t="shared" si="26"/>
        <v/>
      </c>
      <c r="AE109" s="816" t="str">
        <f t="shared" si="27"/>
        <v/>
      </c>
      <c r="AF109" s="817" t="str">
        <f t="shared" si="28"/>
        <v/>
      </c>
      <c r="AG109" s="818" t="str">
        <f t="shared" si="29"/>
        <v/>
      </c>
      <c r="AW109" s="17" t="str">
        <f t="shared" si="30"/>
        <v/>
      </c>
      <c r="AX109" s="17" t="str">
        <f t="shared" si="31"/>
        <v/>
      </c>
      <c r="BM109" s="17" t="str">
        <f>IFERROR(VLOOKUP(B109,'Statement of Marks'!$B$8:'Statement of Marks'!$HI$207,37,0),"")</f>
        <v>A</v>
      </c>
      <c r="BN109" s="17" t="str">
        <f>IFERROR(VLOOKUP(B109,'Statement of Marks'!$B$8:'Statement of Marks'!$HI$207,60,0),"")</f>
        <v>A</v>
      </c>
      <c r="BO109" s="17" t="str">
        <f>IFERROR(VLOOKUP(B109,'Statement of Marks'!$B$8:'Statement of Marks'!$HI$207,83,0),"")</f>
        <v>A</v>
      </c>
      <c r="BP109" s="17" t="str">
        <f>IFERROR(VLOOKUP(B109,'Statement of Marks'!$B$8:'Statement of Marks'!$HI$207,107,0),"")</f>
        <v/>
      </c>
    </row>
    <row r="110" spans="1:68">
      <c r="A110" s="806">
        <f>IF('Statement of Marks'!A109="","",'Statement of Marks'!A109)</f>
        <v>102</v>
      </c>
      <c r="B110" s="807" t="str">
        <f>IF(OR($E$3="",$P$3=""),"",IF('Statement of Marks'!B109="","",'Statement of Marks'!B109))</f>
        <v/>
      </c>
      <c r="C110" s="816" t="str">
        <f>IF(OR($E$3="",$P$3=""),"",IF('Marks Entry'!C109="","",'Marks Entry'!C109))</f>
        <v/>
      </c>
      <c r="D110" s="808" t="str">
        <f>IF(OR($E$3="",$P$3=""),"",IF('Statement of Marks'!C109="","",'Statement of Marks'!C109))</f>
        <v/>
      </c>
      <c r="E110" s="809" t="str">
        <f>IF(OR($E$3="",$P$3=""),"",IF('Statement of Marks'!D109="","",'Statement of Marks'!D109))</f>
        <v/>
      </c>
      <c r="F110" s="810" t="str">
        <f>IF(OR($E$3="",$P$3=""),"",IF('Statement of Marks'!E109="","",'Statement of Marks'!E109))</f>
        <v/>
      </c>
      <c r="G110" s="810" t="str">
        <f>IF(OR($E$3="",$P$3=""),"",IF('Statement of Marks'!F109="","",'Statement of Marks'!F109))</f>
        <v/>
      </c>
      <c r="H110" s="810" t="str">
        <f>IF(OR($E$3="",$P$3=""),"",IF('Statement of Marks'!G109="","",'Statement of Marks'!G109))</f>
        <v/>
      </c>
      <c r="I110" s="811" t="str">
        <f>IF(OR($E$3="",$P$3=""),"",IF('Statement of Marks'!H109="","",'Statement of Marks'!H109))</f>
        <v/>
      </c>
      <c r="J110" s="811" t="str">
        <f>IF(OR($E$3="",$P$3=""),"",IF('Statement of Marks'!I109="","",'Statement of Marks'!I109))</f>
        <v/>
      </c>
      <c r="K110" s="811" t="str">
        <f>IFERROR(IF(B110="","",IF($P$3=$AT$10,IF(AND(BM110="A"),'Marks Entry'!$U$2,IF(AND(BM110="B"),'Marks Entry'!$Y$2,IF(AND(BM110="C"),'Marks Entry'!$AA$2,""))),IF($P$3=$AT$11,IF(AND(BN110="A"),'Marks Entry'!$AC$2,IF(AND(BN110="B"),'Marks Entry'!$AG$2,IF(AND(BN110="C"),'Marks Entry'!$AI$2,""))),IF($P$3=$AT$12,IF(AND(BO110="A"),'Marks Entry'!$AK$2,IF(AND(BO110="B"),'Marks Entry'!$AO$2,IF(AND(BO110="C"),'Marks Entry'!$AQ$2,""))),IF($P$3=$AT$13,IF(AND(BP110="A"),'Marks Entry'!$AS$2,IF(AND(BP110="B"),'Marks Entry'!$AW$2,IF(AND(BP110="C"),'Marks Entry'!$AY$2,""))),"-"))))),"")</f>
        <v/>
      </c>
      <c r="L110" s="812" t="str">
        <f>IFERROR(IF(B110="","",IF($P$3=$AT$8,'Statement of Marks'!J109,IF($P$3=$AT$9,'Statement of Marks'!X109,IF($P$3=$AT$10,'Statement of Marks'!AM109,IF($P$3=$AT$11,'Statement of Marks'!BJ109,IF($P$3=$AT$12,'Statement of Marks'!CG109,IF($P$3=$AT$13,'Statement of Marks'!DE109,IF($P$3=$AT$14,"",IF($P$3=$AT$15,'Statement of Marks'!EY109,""))))))))),"")</f>
        <v/>
      </c>
      <c r="M110" s="812" t="str">
        <f>IFERROR(IF(B110="","",IF($P$3=$AT$8,'Statement of Marks'!K109,IF($P$3=$AT$9,'Statement of Marks'!Y109,IF($P$3=$AT$10,'Statement of Marks'!AN109,IF($P$3=$AT$11,'Statement of Marks'!BK109,IF($P$3=$AT$12,'Statement of Marks'!CH109,IF($P$3=$AT$13,'Statement of Marks'!DF109,IF($P$3=$AT$14,"",IF($P$3=$AT$15,'Statement of Marks'!EZ109,""))))))))),"")</f>
        <v/>
      </c>
      <c r="N110" s="812" t="str">
        <f>IFERROR(IF(B110="","",IF($P$3=$AT$8,'Statement of Marks'!L109,IF($P$3=$AT$9,'Statement of Marks'!Z109,IF($P$3=$AT$10,'Statement of Marks'!AO109,IF($P$3=$AT$11,'Statement of Marks'!BL109,IF($P$3=$AT$12,'Statement of Marks'!CI109,IF($P$3=$AT$13,'Statement of Marks'!DG109,IF($P$3=$AT$14,"",IF($P$3=$AT$15,'Statement of Marks'!FA109,""))))))))),"")</f>
        <v/>
      </c>
      <c r="O110" s="813" t="str">
        <f t="shared" si="18"/>
        <v/>
      </c>
      <c r="P110" s="812" t="str">
        <f>IFERROR(IF(B110="","",IF($P$3=$AT$8,'Statement of Marks'!N109,IF($P$3=$AT$9,'Statement of Marks'!AB109,IF($P$3=$AT$10,'Statement of Marks'!AQ109,IF($P$3=$AT$11,'Statement of Marks'!BN109,IF($P$3=$AT$12,'Statement of Marks'!CK109,IF($P$3=$AT$13,'Statement of Marks'!DI109,IF($P$3=$AT$14,"",IF($P$3=$AT$15,'Statement of Marks'!FC109,""))))))))),"")</f>
        <v/>
      </c>
      <c r="Q110" s="812" t="str">
        <f>IFERROR(IF(B110="","",IF($P$3=$AT$8,"",IF($P$3=$AT$9,"",IF($P$3=$AT$10,'Statement of Marks'!AR109,IF($P$3=$AT$11,'Statement of Marks'!BO109,IF($P$3=$AT$12,'Statement of Marks'!CL109,IF($P$3=$AT$13,'Statement of Marks'!DJ109,IF($P$3=$AT$14,"",IF($P$3=$AT$15,"",""))))))))),"")</f>
        <v/>
      </c>
      <c r="R110" s="824" t="str">
        <f>IFERROR(IF(B110="","",IF(AND(P110="",Q110="",$P$3=""),"",IF($P$3=$AT$14,'Statement of Marks'!EC109,SUM(P110,Q110)))),"")</f>
        <v/>
      </c>
      <c r="S110" s="823" t="str">
        <f>IFERROR(IF(B110="","",IF($P$3=$AT$14,'Statement of Marks'!ED109,IF(AND(O110="NA",P110="NA",Q110="NA"),"NA",IF(AND(O110="",P110="",Q110=""),"",SUM(O110,P110,Q110))))),"")</f>
        <v/>
      </c>
      <c r="T110" s="812" t="str">
        <f>IFERROR(IF(B110="","",IF($P$3=$AT$8,'Statement of Marks'!P109,IF($P$3=$AT$9,'Statement of Marks'!AD109,IF($P$3=$AT$10,'Statement of Marks'!AU109,IF($P$3=$AT$11,'Statement of Marks'!BR109,IF($P$3=$AT$12,'Statement of Marks'!CO109,IF($P$3=$AT$13,'Statement of Marks'!DM109,IF($P$3=$AT$14,"",IF($P$3=$AT$15,'Statement of Marks'!FD109,""))))))))),"")</f>
        <v/>
      </c>
      <c r="U110" s="812" t="str">
        <f>IFERROR(IF(B110="","",IF($P$3=$AT$8,"",IF($P$3=$AT$9,"",IF($P$3=$AT$10,'Statement of Marks'!AV109,IF($P$3=$AT$11,'Statement of Marks'!BS109,IF($P$3=$AT$12,'Statement of Marks'!CP109,IF($P$3=$AT$13,'Statement of Marks'!DN109,IF($P$3=$AT$14,"",IF($P$3=$AT$15,"",""))))))))),"")</f>
        <v/>
      </c>
      <c r="V110" s="824" t="str">
        <f>IFERROR(IF(B110="","",IF(AND(T110="",U110="",$P$3=""),"",IF($P$3=$AT$14,'Statement of Marks'!EE109,SUM(T110,U110)))),"")</f>
        <v/>
      </c>
      <c r="W110" s="814" t="str">
        <f t="shared" si="19"/>
        <v/>
      </c>
      <c r="X110" s="815">
        <f t="shared" si="20"/>
        <v>0</v>
      </c>
      <c r="Y110" s="815">
        <f t="shared" si="21"/>
        <v>0</v>
      </c>
      <c r="Z110" s="815">
        <f t="shared" si="22"/>
        <v>0</v>
      </c>
      <c r="AA110" s="815" t="str">
        <f t="shared" si="23"/>
        <v/>
      </c>
      <c r="AB110" s="815" t="str">
        <f t="shared" si="24"/>
        <v/>
      </c>
      <c r="AC110" s="815" t="str">
        <f t="shared" si="25"/>
        <v/>
      </c>
      <c r="AD110" s="815" t="str">
        <f t="shared" si="26"/>
        <v/>
      </c>
      <c r="AE110" s="816" t="str">
        <f t="shared" si="27"/>
        <v/>
      </c>
      <c r="AF110" s="817" t="str">
        <f t="shared" si="28"/>
        <v/>
      </c>
      <c r="AG110" s="818" t="str">
        <f t="shared" si="29"/>
        <v/>
      </c>
      <c r="AW110" s="17" t="str">
        <f t="shared" si="30"/>
        <v/>
      </c>
      <c r="AX110" s="17" t="str">
        <f t="shared" si="31"/>
        <v/>
      </c>
      <c r="BM110" s="17" t="str">
        <f>IFERROR(VLOOKUP(B110,'Statement of Marks'!$B$8:'Statement of Marks'!$HI$207,37,0),"")</f>
        <v>A</v>
      </c>
      <c r="BN110" s="17" t="str">
        <f>IFERROR(VLOOKUP(B110,'Statement of Marks'!$B$8:'Statement of Marks'!$HI$207,60,0),"")</f>
        <v>A</v>
      </c>
      <c r="BO110" s="17" t="str">
        <f>IFERROR(VLOOKUP(B110,'Statement of Marks'!$B$8:'Statement of Marks'!$HI$207,83,0),"")</f>
        <v>A</v>
      </c>
      <c r="BP110" s="17" t="str">
        <f>IFERROR(VLOOKUP(B110,'Statement of Marks'!$B$8:'Statement of Marks'!$HI$207,107,0),"")</f>
        <v/>
      </c>
    </row>
    <row r="111" spans="1:68">
      <c r="A111" s="806">
        <f>IF('Statement of Marks'!A110="","",'Statement of Marks'!A110)</f>
        <v>103</v>
      </c>
      <c r="B111" s="807" t="str">
        <f>IF(OR($E$3="",$P$3=""),"",IF('Statement of Marks'!B110="","",'Statement of Marks'!B110))</f>
        <v/>
      </c>
      <c r="C111" s="816" t="str">
        <f>IF(OR($E$3="",$P$3=""),"",IF('Marks Entry'!C110="","",'Marks Entry'!C110))</f>
        <v/>
      </c>
      <c r="D111" s="808" t="str">
        <f>IF(OR($E$3="",$P$3=""),"",IF('Statement of Marks'!C110="","",'Statement of Marks'!C110))</f>
        <v/>
      </c>
      <c r="E111" s="809" t="str">
        <f>IF(OR($E$3="",$P$3=""),"",IF('Statement of Marks'!D110="","",'Statement of Marks'!D110))</f>
        <v/>
      </c>
      <c r="F111" s="810" t="str">
        <f>IF(OR($E$3="",$P$3=""),"",IF('Statement of Marks'!E110="","",'Statement of Marks'!E110))</f>
        <v/>
      </c>
      <c r="G111" s="810" t="str">
        <f>IF(OR($E$3="",$P$3=""),"",IF('Statement of Marks'!F110="","",'Statement of Marks'!F110))</f>
        <v/>
      </c>
      <c r="H111" s="810" t="str">
        <f>IF(OR($E$3="",$P$3=""),"",IF('Statement of Marks'!G110="","",'Statement of Marks'!G110))</f>
        <v/>
      </c>
      <c r="I111" s="811" t="str">
        <f>IF(OR($E$3="",$P$3=""),"",IF('Statement of Marks'!H110="","",'Statement of Marks'!H110))</f>
        <v/>
      </c>
      <c r="J111" s="811" t="str">
        <f>IF(OR($E$3="",$P$3=""),"",IF('Statement of Marks'!I110="","",'Statement of Marks'!I110))</f>
        <v/>
      </c>
      <c r="K111" s="811" t="str">
        <f>IFERROR(IF(B111="","",IF($P$3=$AT$10,IF(AND(BM111="A"),'Marks Entry'!$U$2,IF(AND(BM111="B"),'Marks Entry'!$Y$2,IF(AND(BM111="C"),'Marks Entry'!$AA$2,""))),IF($P$3=$AT$11,IF(AND(BN111="A"),'Marks Entry'!$AC$2,IF(AND(BN111="B"),'Marks Entry'!$AG$2,IF(AND(BN111="C"),'Marks Entry'!$AI$2,""))),IF($P$3=$AT$12,IF(AND(BO111="A"),'Marks Entry'!$AK$2,IF(AND(BO111="B"),'Marks Entry'!$AO$2,IF(AND(BO111="C"),'Marks Entry'!$AQ$2,""))),IF($P$3=$AT$13,IF(AND(BP111="A"),'Marks Entry'!$AS$2,IF(AND(BP111="B"),'Marks Entry'!$AW$2,IF(AND(BP111="C"),'Marks Entry'!$AY$2,""))),"-"))))),"")</f>
        <v/>
      </c>
      <c r="L111" s="812" t="str">
        <f>IFERROR(IF(B111="","",IF($P$3=$AT$8,'Statement of Marks'!J110,IF($P$3=$AT$9,'Statement of Marks'!X110,IF($P$3=$AT$10,'Statement of Marks'!AM110,IF($P$3=$AT$11,'Statement of Marks'!BJ110,IF($P$3=$AT$12,'Statement of Marks'!CG110,IF($P$3=$AT$13,'Statement of Marks'!DE110,IF($P$3=$AT$14,"",IF($P$3=$AT$15,'Statement of Marks'!EY110,""))))))))),"")</f>
        <v/>
      </c>
      <c r="M111" s="812" t="str">
        <f>IFERROR(IF(B111="","",IF($P$3=$AT$8,'Statement of Marks'!K110,IF($P$3=$AT$9,'Statement of Marks'!Y110,IF($P$3=$AT$10,'Statement of Marks'!AN110,IF($P$3=$AT$11,'Statement of Marks'!BK110,IF($P$3=$AT$12,'Statement of Marks'!CH110,IF($P$3=$AT$13,'Statement of Marks'!DF110,IF($P$3=$AT$14,"",IF($P$3=$AT$15,'Statement of Marks'!EZ110,""))))))))),"")</f>
        <v/>
      </c>
      <c r="N111" s="812" t="str">
        <f>IFERROR(IF(B111="","",IF($P$3=$AT$8,'Statement of Marks'!L110,IF($P$3=$AT$9,'Statement of Marks'!Z110,IF($P$3=$AT$10,'Statement of Marks'!AO110,IF($P$3=$AT$11,'Statement of Marks'!BL110,IF($P$3=$AT$12,'Statement of Marks'!CI110,IF($P$3=$AT$13,'Statement of Marks'!DG110,IF($P$3=$AT$14,"",IF($P$3=$AT$15,'Statement of Marks'!FA110,""))))))))),"")</f>
        <v/>
      </c>
      <c r="O111" s="813" t="str">
        <f t="shared" si="18"/>
        <v/>
      </c>
      <c r="P111" s="812" t="str">
        <f>IFERROR(IF(B111="","",IF($P$3=$AT$8,'Statement of Marks'!N110,IF($P$3=$AT$9,'Statement of Marks'!AB110,IF($P$3=$AT$10,'Statement of Marks'!AQ110,IF($P$3=$AT$11,'Statement of Marks'!BN110,IF($P$3=$AT$12,'Statement of Marks'!CK110,IF($P$3=$AT$13,'Statement of Marks'!DI110,IF($P$3=$AT$14,"",IF($P$3=$AT$15,'Statement of Marks'!FC110,""))))))))),"")</f>
        <v/>
      </c>
      <c r="Q111" s="812" t="str">
        <f>IFERROR(IF(B111="","",IF($P$3=$AT$8,"",IF($P$3=$AT$9,"",IF($P$3=$AT$10,'Statement of Marks'!AR110,IF($P$3=$AT$11,'Statement of Marks'!BO110,IF($P$3=$AT$12,'Statement of Marks'!CL110,IF($P$3=$AT$13,'Statement of Marks'!DJ110,IF($P$3=$AT$14,"",IF($P$3=$AT$15,"",""))))))))),"")</f>
        <v/>
      </c>
      <c r="R111" s="824" t="str">
        <f>IFERROR(IF(B111="","",IF(AND(P111="",Q111="",$P$3=""),"",IF($P$3=$AT$14,'Statement of Marks'!EC110,SUM(P111,Q111)))),"")</f>
        <v/>
      </c>
      <c r="S111" s="823" t="str">
        <f>IFERROR(IF(B111="","",IF($P$3=$AT$14,'Statement of Marks'!ED110,IF(AND(O111="NA",P111="NA",Q111="NA"),"NA",IF(AND(O111="",P111="",Q111=""),"",SUM(O111,P111,Q111))))),"")</f>
        <v/>
      </c>
      <c r="T111" s="812" t="str">
        <f>IFERROR(IF(B111="","",IF($P$3=$AT$8,'Statement of Marks'!P110,IF($P$3=$AT$9,'Statement of Marks'!AD110,IF($P$3=$AT$10,'Statement of Marks'!AU110,IF($P$3=$AT$11,'Statement of Marks'!BR110,IF($P$3=$AT$12,'Statement of Marks'!CO110,IF($P$3=$AT$13,'Statement of Marks'!DM110,IF($P$3=$AT$14,"",IF($P$3=$AT$15,'Statement of Marks'!FD110,""))))))))),"")</f>
        <v/>
      </c>
      <c r="U111" s="812" t="str">
        <f>IFERROR(IF(B111="","",IF($P$3=$AT$8,"",IF($P$3=$AT$9,"",IF($P$3=$AT$10,'Statement of Marks'!AV110,IF($P$3=$AT$11,'Statement of Marks'!BS110,IF($P$3=$AT$12,'Statement of Marks'!CP110,IF($P$3=$AT$13,'Statement of Marks'!DN110,IF($P$3=$AT$14,"",IF($P$3=$AT$15,"",""))))))))),"")</f>
        <v/>
      </c>
      <c r="V111" s="824" t="str">
        <f>IFERROR(IF(B111="","",IF(AND(T111="",U111="",$P$3=""),"",IF($P$3=$AT$14,'Statement of Marks'!EE110,SUM(T111,U111)))),"")</f>
        <v/>
      </c>
      <c r="W111" s="814" t="str">
        <f t="shared" si="19"/>
        <v/>
      </c>
      <c r="X111" s="815">
        <f t="shared" si="20"/>
        <v>0</v>
      </c>
      <c r="Y111" s="815">
        <f t="shared" si="21"/>
        <v>0</v>
      </c>
      <c r="Z111" s="815">
        <f t="shared" si="22"/>
        <v>0</v>
      </c>
      <c r="AA111" s="815" t="str">
        <f t="shared" si="23"/>
        <v/>
      </c>
      <c r="AB111" s="815" t="str">
        <f t="shared" si="24"/>
        <v/>
      </c>
      <c r="AC111" s="815" t="str">
        <f t="shared" si="25"/>
        <v/>
      </c>
      <c r="AD111" s="815" t="str">
        <f t="shared" si="26"/>
        <v/>
      </c>
      <c r="AE111" s="816" t="str">
        <f t="shared" si="27"/>
        <v/>
      </c>
      <c r="AF111" s="817" t="str">
        <f t="shared" si="28"/>
        <v/>
      </c>
      <c r="AG111" s="818" t="str">
        <f t="shared" si="29"/>
        <v/>
      </c>
      <c r="AW111" s="17" t="str">
        <f t="shared" si="30"/>
        <v/>
      </c>
      <c r="AX111" s="17" t="str">
        <f t="shared" si="31"/>
        <v/>
      </c>
      <c r="BM111" s="17" t="str">
        <f>IFERROR(VLOOKUP(B111,'Statement of Marks'!$B$8:'Statement of Marks'!$HI$207,37,0),"")</f>
        <v>A</v>
      </c>
      <c r="BN111" s="17" t="str">
        <f>IFERROR(VLOOKUP(B111,'Statement of Marks'!$B$8:'Statement of Marks'!$HI$207,60,0),"")</f>
        <v>A</v>
      </c>
      <c r="BO111" s="17" t="str">
        <f>IFERROR(VLOOKUP(B111,'Statement of Marks'!$B$8:'Statement of Marks'!$HI$207,83,0),"")</f>
        <v>A</v>
      </c>
      <c r="BP111" s="17" t="str">
        <f>IFERROR(VLOOKUP(B111,'Statement of Marks'!$B$8:'Statement of Marks'!$HI$207,107,0),"")</f>
        <v/>
      </c>
    </row>
    <row r="112" spans="1:68">
      <c r="A112" s="806">
        <f>IF('Statement of Marks'!A111="","",'Statement of Marks'!A111)</f>
        <v>104</v>
      </c>
      <c r="B112" s="807" t="str">
        <f>IF(OR($E$3="",$P$3=""),"",IF('Statement of Marks'!B111="","",'Statement of Marks'!B111))</f>
        <v/>
      </c>
      <c r="C112" s="816" t="str">
        <f>IF(OR($E$3="",$P$3=""),"",IF('Marks Entry'!C111="","",'Marks Entry'!C111))</f>
        <v/>
      </c>
      <c r="D112" s="808" t="str">
        <f>IF(OR($E$3="",$P$3=""),"",IF('Statement of Marks'!C111="","",'Statement of Marks'!C111))</f>
        <v/>
      </c>
      <c r="E112" s="809" t="str">
        <f>IF(OR($E$3="",$P$3=""),"",IF('Statement of Marks'!D111="","",'Statement of Marks'!D111))</f>
        <v/>
      </c>
      <c r="F112" s="810" t="str">
        <f>IF(OR($E$3="",$P$3=""),"",IF('Statement of Marks'!E111="","",'Statement of Marks'!E111))</f>
        <v/>
      </c>
      <c r="G112" s="810" t="str">
        <f>IF(OR($E$3="",$P$3=""),"",IF('Statement of Marks'!F111="","",'Statement of Marks'!F111))</f>
        <v/>
      </c>
      <c r="H112" s="810" t="str">
        <f>IF(OR($E$3="",$P$3=""),"",IF('Statement of Marks'!G111="","",'Statement of Marks'!G111))</f>
        <v/>
      </c>
      <c r="I112" s="811" t="str">
        <f>IF(OR($E$3="",$P$3=""),"",IF('Statement of Marks'!H111="","",'Statement of Marks'!H111))</f>
        <v/>
      </c>
      <c r="J112" s="811" t="str">
        <f>IF(OR($E$3="",$P$3=""),"",IF('Statement of Marks'!I111="","",'Statement of Marks'!I111))</f>
        <v/>
      </c>
      <c r="K112" s="811" t="str">
        <f>IFERROR(IF(B112="","",IF($P$3=$AT$10,IF(AND(BM112="A"),'Marks Entry'!$U$2,IF(AND(BM112="B"),'Marks Entry'!$Y$2,IF(AND(BM112="C"),'Marks Entry'!$AA$2,""))),IF($P$3=$AT$11,IF(AND(BN112="A"),'Marks Entry'!$AC$2,IF(AND(BN112="B"),'Marks Entry'!$AG$2,IF(AND(BN112="C"),'Marks Entry'!$AI$2,""))),IF($P$3=$AT$12,IF(AND(BO112="A"),'Marks Entry'!$AK$2,IF(AND(BO112="B"),'Marks Entry'!$AO$2,IF(AND(BO112="C"),'Marks Entry'!$AQ$2,""))),IF($P$3=$AT$13,IF(AND(BP112="A"),'Marks Entry'!$AS$2,IF(AND(BP112="B"),'Marks Entry'!$AW$2,IF(AND(BP112="C"),'Marks Entry'!$AY$2,""))),"-"))))),"")</f>
        <v/>
      </c>
      <c r="L112" s="812" t="str">
        <f>IFERROR(IF(B112="","",IF($P$3=$AT$8,'Statement of Marks'!J111,IF($P$3=$AT$9,'Statement of Marks'!X111,IF($P$3=$AT$10,'Statement of Marks'!AM111,IF($P$3=$AT$11,'Statement of Marks'!BJ111,IF($P$3=$AT$12,'Statement of Marks'!CG111,IF($P$3=$AT$13,'Statement of Marks'!DE111,IF($P$3=$AT$14,"",IF($P$3=$AT$15,'Statement of Marks'!EY111,""))))))))),"")</f>
        <v/>
      </c>
      <c r="M112" s="812" t="str">
        <f>IFERROR(IF(B112="","",IF($P$3=$AT$8,'Statement of Marks'!K111,IF($P$3=$AT$9,'Statement of Marks'!Y111,IF($P$3=$AT$10,'Statement of Marks'!AN111,IF($P$3=$AT$11,'Statement of Marks'!BK111,IF($P$3=$AT$12,'Statement of Marks'!CH111,IF($P$3=$AT$13,'Statement of Marks'!DF111,IF($P$3=$AT$14,"",IF($P$3=$AT$15,'Statement of Marks'!EZ111,""))))))))),"")</f>
        <v/>
      </c>
      <c r="N112" s="812" t="str">
        <f>IFERROR(IF(B112="","",IF($P$3=$AT$8,'Statement of Marks'!L111,IF($P$3=$AT$9,'Statement of Marks'!Z111,IF($P$3=$AT$10,'Statement of Marks'!AO111,IF($P$3=$AT$11,'Statement of Marks'!BL111,IF($P$3=$AT$12,'Statement of Marks'!CI111,IF($P$3=$AT$13,'Statement of Marks'!DG111,IF($P$3=$AT$14,"",IF($P$3=$AT$15,'Statement of Marks'!FA111,""))))))))),"")</f>
        <v/>
      </c>
      <c r="O112" s="813" t="str">
        <f t="shared" si="18"/>
        <v/>
      </c>
      <c r="P112" s="812" t="str">
        <f>IFERROR(IF(B112="","",IF($P$3=$AT$8,'Statement of Marks'!N111,IF($P$3=$AT$9,'Statement of Marks'!AB111,IF($P$3=$AT$10,'Statement of Marks'!AQ111,IF($P$3=$AT$11,'Statement of Marks'!BN111,IF($P$3=$AT$12,'Statement of Marks'!CK111,IF($P$3=$AT$13,'Statement of Marks'!DI111,IF($P$3=$AT$14,"",IF($P$3=$AT$15,'Statement of Marks'!FC111,""))))))))),"")</f>
        <v/>
      </c>
      <c r="Q112" s="812" t="str">
        <f>IFERROR(IF(B112="","",IF($P$3=$AT$8,"",IF($P$3=$AT$9,"",IF($P$3=$AT$10,'Statement of Marks'!AR111,IF($P$3=$AT$11,'Statement of Marks'!BO111,IF($P$3=$AT$12,'Statement of Marks'!CL111,IF($P$3=$AT$13,'Statement of Marks'!DJ111,IF($P$3=$AT$14,"",IF($P$3=$AT$15,"",""))))))))),"")</f>
        <v/>
      </c>
      <c r="R112" s="824" t="str">
        <f>IFERROR(IF(B112="","",IF(AND(P112="",Q112="",$P$3=""),"",IF($P$3=$AT$14,'Statement of Marks'!EC111,SUM(P112,Q112)))),"")</f>
        <v/>
      </c>
      <c r="S112" s="823" t="str">
        <f>IFERROR(IF(B112="","",IF($P$3=$AT$14,'Statement of Marks'!ED111,IF(AND(O112="NA",P112="NA",Q112="NA"),"NA",IF(AND(O112="",P112="",Q112=""),"",SUM(O112,P112,Q112))))),"")</f>
        <v/>
      </c>
      <c r="T112" s="812" t="str">
        <f>IFERROR(IF(B112="","",IF($P$3=$AT$8,'Statement of Marks'!P111,IF($P$3=$AT$9,'Statement of Marks'!AD111,IF($P$3=$AT$10,'Statement of Marks'!AU111,IF($P$3=$AT$11,'Statement of Marks'!BR111,IF($P$3=$AT$12,'Statement of Marks'!CO111,IF($P$3=$AT$13,'Statement of Marks'!DM111,IF($P$3=$AT$14,"",IF($P$3=$AT$15,'Statement of Marks'!FD111,""))))))))),"")</f>
        <v/>
      </c>
      <c r="U112" s="812" t="str">
        <f>IFERROR(IF(B112="","",IF($P$3=$AT$8,"",IF($P$3=$AT$9,"",IF($P$3=$AT$10,'Statement of Marks'!AV111,IF($P$3=$AT$11,'Statement of Marks'!BS111,IF($P$3=$AT$12,'Statement of Marks'!CP111,IF($P$3=$AT$13,'Statement of Marks'!DN111,IF($P$3=$AT$14,"",IF($P$3=$AT$15,"",""))))))))),"")</f>
        <v/>
      </c>
      <c r="V112" s="824" t="str">
        <f>IFERROR(IF(B112="","",IF(AND(T112="",U112="",$P$3=""),"",IF($P$3=$AT$14,'Statement of Marks'!EE111,SUM(T112,U112)))),"")</f>
        <v/>
      </c>
      <c r="W112" s="814" t="str">
        <f t="shared" si="19"/>
        <v/>
      </c>
      <c r="X112" s="815">
        <f t="shared" si="20"/>
        <v>0</v>
      </c>
      <c r="Y112" s="815">
        <f t="shared" si="21"/>
        <v>0</v>
      </c>
      <c r="Z112" s="815">
        <f t="shared" si="22"/>
        <v>0</v>
      </c>
      <c r="AA112" s="815" t="str">
        <f t="shared" si="23"/>
        <v/>
      </c>
      <c r="AB112" s="815" t="str">
        <f t="shared" si="24"/>
        <v/>
      </c>
      <c r="AC112" s="815" t="str">
        <f t="shared" si="25"/>
        <v/>
      </c>
      <c r="AD112" s="815" t="str">
        <f t="shared" si="26"/>
        <v/>
      </c>
      <c r="AE112" s="816" t="str">
        <f t="shared" si="27"/>
        <v/>
      </c>
      <c r="AF112" s="817" t="str">
        <f t="shared" si="28"/>
        <v/>
      </c>
      <c r="AG112" s="818" t="str">
        <f t="shared" si="29"/>
        <v/>
      </c>
      <c r="AW112" s="17" t="str">
        <f t="shared" si="30"/>
        <v/>
      </c>
      <c r="AX112" s="17" t="str">
        <f t="shared" si="31"/>
        <v/>
      </c>
      <c r="BM112" s="17" t="str">
        <f>IFERROR(VLOOKUP(B112,'Statement of Marks'!$B$8:'Statement of Marks'!$HI$207,37,0),"")</f>
        <v>A</v>
      </c>
      <c r="BN112" s="17" t="str">
        <f>IFERROR(VLOOKUP(B112,'Statement of Marks'!$B$8:'Statement of Marks'!$HI$207,60,0),"")</f>
        <v>A</v>
      </c>
      <c r="BO112" s="17" t="str">
        <f>IFERROR(VLOOKUP(B112,'Statement of Marks'!$B$8:'Statement of Marks'!$HI$207,83,0),"")</f>
        <v>A</v>
      </c>
      <c r="BP112" s="17" t="str">
        <f>IFERROR(VLOOKUP(B112,'Statement of Marks'!$B$8:'Statement of Marks'!$HI$207,107,0),"")</f>
        <v/>
      </c>
    </row>
    <row r="113" spans="1:68">
      <c r="A113" s="806">
        <f>IF('Statement of Marks'!A112="","",'Statement of Marks'!A112)</f>
        <v>105</v>
      </c>
      <c r="B113" s="807" t="str">
        <f>IF(OR($E$3="",$P$3=""),"",IF('Statement of Marks'!B112="","",'Statement of Marks'!B112))</f>
        <v/>
      </c>
      <c r="C113" s="816" t="str">
        <f>IF(OR($E$3="",$P$3=""),"",IF('Marks Entry'!C112="","",'Marks Entry'!C112))</f>
        <v/>
      </c>
      <c r="D113" s="808" t="str">
        <f>IF(OR($E$3="",$P$3=""),"",IF('Statement of Marks'!C112="","",'Statement of Marks'!C112))</f>
        <v/>
      </c>
      <c r="E113" s="809" t="str">
        <f>IF(OR($E$3="",$P$3=""),"",IF('Statement of Marks'!D112="","",'Statement of Marks'!D112))</f>
        <v/>
      </c>
      <c r="F113" s="810" t="str">
        <f>IF(OR($E$3="",$P$3=""),"",IF('Statement of Marks'!E112="","",'Statement of Marks'!E112))</f>
        <v/>
      </c>
      <c r="G113" s="810" t="str">
        <f>IF(OR($E$3="",$P$3=""),"",IF('Statement of Marks'!F112="","",'Statement of Marks'!F112))</f>
        <v/>
      </c>
      <c r="H113" s="810" t="str">
        <f>IF(OR($E$3="",$P$3=""),"",IF('Statement of Marks'!G112="","",'Statement of Marks'!G112))</f>
        <v/>
      </c>
      <c r="I113" s="811" t="str">
        <f>IF(OR($E$3="",$P$3=""),"",IF('Statement of Marks'!H112="","",'Statement of Marks'!H112))</f>
        <v/>
      </c>
      <c r="J113" s="811" t="str">
        <f>IF(OR($E$3="",$P$3=""),"",IF('Statement of Marks'!I112="","",'Statement of Marks'!I112))</f>
        <v/>
      </c>
      <c r="K113" s="811" t="str">
        <f>IFERROR(IF(B113="","",IF($P$3=$AT$10,IF(AND(BM113="A"),'Marks Entry'!$U$2,IF(AND(BM113="B"),'Marks Entry'!$Y$2,IF(AND(BM113="C"),'Marks Entry'!$AA$2,""))),IF($P$3=$AT$11,IF(AND(BN113="A"),'Marks Entry'!$AC$2,IF(AND(BN113="B"),'Marks Entry'!$AG$2,IF(AND(BN113="C"),'Marks Entry'!$AI$2,""))),IF($P$3=$AT$12,IF(AND(BO113="A"),'Marks Entry'!$AK$2,IF(AND(BO113="B"),'Marks Entry'!$AO$2,IF(AND(BO113="C"),'Marks Entry'!$AQ$2,""))),IF($P$3=$AT$13,IF(AND(BP113="A"),'Marks Entry'!$AS$2,IF(AND(BP113="B"),'Marks Entry'!$AW$2,IF(AND(BP113="C"),'Marks Entry'!$AY$2,""))),"-"))))),"")</f>
        <v/>
      </c>
      <c r="L113" s="812" t="str">
        <f>IFERROR(IF(B113="","",IF($P$3=$AT$8,'Statement of Marks'!J112,IF($P$3=$AT$9,'Statement of Marks'!X112,IF($P$3=$AT$10,'Statement of Marks'!AM112,IF($P$3=$AT$11,'Statement of Marks'!BJ112,IF($P$3=$AT$12,'Statement of Marks'!CG112,IF($P$3=$AT$13,'Statement of Marks'!DE112,IF($P$3=$AT$14,"",IF($P$3=$AT$15,'Statement of Marks'!EY112,""))))))))),"")</f>
        <v/>
      </c>
      <c r="M113" s="812" t="str">
        <f>IFERROR(IF(B113="","",IF($P$3=$AT$8,'Statement of Marks'!K112,IF($P$3=$AT$9,'Statement of Marks'!Y112,IF($P$3=$AT$10,'Statement of Marks'!AN112,IF($P$3=$AT$11,'Statement of Marks'!BK112,IF($P$3=$AT$12,'Statement of Marks'!CH112,IF($P$3=$AT$13,'Statement of Marks'!DF112,IF($P$3=$AT$14,"",IF($P$3=$AT$15,'Statement of Marks'!EZ112,""))))))))),"")</f>
        <v/>
      </c>
      <c r="N113" s="812" t="str">
        <f>IFERROR(IF(B113="","",IF($P$3=$AT$8,'Statement of Marks'!L112,IF($P$3=$AT$9,'Statement of Marks'!Z112,IF($P$3=$AT$10,'Statement of Marks'!AO112,IF($P$3=$AT$11,'Statement of Marks'!BL112,IF($P$3=$AT$12,'Statement of Marks'!CI112,IF($P$3=$AT$13,'Statement of Marks'!DG112,IF($P$3=$AT$14,"",IF($P$3=$AT$15,'Statement of Marks'!FA112,""))))))))),"")</f>
        <v/>
      </c>
      <c r="O113" s="813" t="str">
        <f t="shared" si="18"/>
        <v/>
      </c>
      <c r="P113" s="812" t="str">
        <f>IFERROR(IF(B113="","",IF($P$3=$AT$8,'Statement of Marks'!N112,IF($P$3=$AT$9,'Statement of Marks'!AB112,IF($P$3=$AT$10,'Statement of Marks'!AQ112,IF($P$3=$AT$11,'Statement of Marks'!BN112,IF($P$3=$AT$12,'Statement of Marks'!CK112,IF($P$3=$AT$13,'Statement of Marks'!DI112,IF($P$3=$AT$14,"",IF($P$3=$AT$15,'Statement of Marks'!FC112,""))))))))),"")</f>
        <v/>
      </c>
      <c r="Q113" s="812" t="str">
        <f>IFERROR(IF(B113="","",IF($P$3=$AT$8,"",IF($P$3=$AT$9,"",IF($P$3=$AT$10,'Statement of Marks'!AR112,IF($P$3=$AT$11,'Statement of Marks'!BO112,IF($P$3=$AT$12,'Statement of Marks'!CL112,IF($P$3=$AT$13,'Statement of Marks'!DJ112,IF($P$3=$AT$14,"",IF($P$3=$AT$15,"",""))))))))),"")</f>
        <v/>
      </c>
      <c r="R113" s="824" t="str">
        <f>IFERROR(IF(B113="","",IF(AND(P113="",Q113="",$P$3=""),"",IF($P$3=$AT$14,'Statement of Marks'!EC112,SUM(P113,Q113)))),"")</f>
        <v/>
      </c>
      <c r="S113" s="823" t="str">
        <f>IFERROR(IF(B113="","",IF($P$3=$AT$14,'Statement of Marks'!ED112,IF(AND(O113="NA",P113="NA",Q113="NA"),"NA",IF(AND(O113="",P113="",Q113=""),"",SUM(O113,P113,Q113))))),"")</f>
        <v/>
      </c>
      <c r="T113" s="812" t="str">
        <f>IFERROR(IF(B113="","",IF($P$3=$AT$8,'Statement of Marks'!P112,IF($P$3=$AT$9,'Statement of Marks'!AD112,IF($P$3=$AT$10,'Statement of Marks'!AU112,IF($P$3=$AT$11,'Statement of Marks'!BR112,IF($P$3=$AT$12,'Statement of Marks'!CO112,IF($P$3=$AT$13,'Statement of Marks'!DM112,IF($P$3=$AT$14,"",IF($P$3=$AT$15,'Statement of Marks'!FD112,""))))))))),"")</f>
        <v/>
      </c>
      <c r="U113" s="812" t="str">
        <f>IFERROR(IF(B113="","",IF($P$3=$AT$8,"",IF($P$3=$AT$9,"",IF($P$3=$AT$10,'Statement of Marks'!AV112,IF($P$3=$AT$11,'Statement of Marks'!BS112,IF($P$3=$AT$12,'Statement of Marks'!CP112,IF($P$3=$AT$13,'Statement of Marks'!DN112,IF($P$3=$AT$14,"",IF($P$3=$AT$15,"",""))))))))),"")</f>
        <v/>
      </c>
      <c r="V113" s="824" t="str">
        <f>IFERROR(IF(B113="","",IF(AND(T113="",U113="",$P$3=""),"",IF($P$3=$AT$14,'Statement of Marks'!EE112,SUM(T113,U113)))),"")</f>
        <v/>
      </c>
      <c r="W113" s="814" t="str">
        <f t="shared" si="19"/>
        <v/>
      </c>
      <c r="X113" s="815">
        <f t="shared" si="20"/>
        <v>0</v>
      </c>
      <c r="Y113" s="815">
        <f t="shared" si="21"/>
        <v>0</v>
      </c>
      <c r="Z113" s="815">
        <f t="shared" si="22"/>
        <v>0</v>
      </c>
      <c r="AA113" s="815" t="str">
        <f t="shared" si="23"/>
        <v/>
      </c>
      <c r="AB113" s="815" t="str">
        <f t="shared" si="24"/>
        <v/>
      </c>
      <c r="AC113" s="815" t="str">
        <f t="shared" si="25"/>
        <v/>
      </c>
      <c r="AD113" s="815" t="str">
        <f t="shared" si="26"/>
        <v/>
      </c>
      <c r="AE113" s="816" t="str">
        <f t="shared" si="27"/>
        <v/>
      </c>
      <c r="AF113" s="817" t="str">
        <f t="shared" si="28"/>
        <v/>
      </c>
      <c r="AG113" s="818" t="str">
        <f t="shared" si="29"/>
        <v/>
      </c>
      <c r="AW113" s="17" t="str">
        <f t="shared" si="30"/>
        <v/>
      </c>
      <c r="AX113" s="17" t="str">
        <f t="shared" si="31"/>
        <v/>
      </c>
      <c r="BM113" s="17" t="str">
        <f>IFERROR(VLOOKUP(B113,'Statement of Marks'!$B$8:'Statement of Marks'!$HI$207,37,0),"")</f>
        <v>A</v>
      </c>
      <c r="BN113" s="17" t="str">
        <f>IFERROR(VLOOKUP(B113,'Statement of Marks'!$B$8:'Statement of Marks'!$HI$207,60,0),"")</f>
        <v>A</v>
      </c>
      <c r="BO113" s="17" t="str">
        <f>IFERROR(VLOOKUP(B113,'Statement of Marks'!$B$8:'Statement of Marks'!$HI$207,83,0),"")</f>
        <v>A</v>
      </c>
      <c r="BP113" s="17" t="str">
        <f>IFERROR(VLOOKUP(B113,'Statement of Marks'!$B$8:'Statement of Marks'!$HI$207,107,0),"")</f>
        <v/>
      </c>
    </row>
    <row r="114" spans="1:68">
      <c r="A114" s="806">
        <f>IF('Statement of Marks'!A113="","",'Statement of Marks'!A113)</f>
        <v>106</v>
      </c>
      <c r="B114" s="807" t="str">
        <f>IF(OR($E$3="",$P$3=""),"",IF('Statement of Marks'!B113="","",'Statement of Marks'!B113))</f>
        <v/>
      </c>
      <c r="C114" s="816" t="str">
        <f>IF(OR($E$3="",$P$3=""),"",IF('Marks Entry'!C113="","",'Marks Entry'!C113))</f>
        <v/>
      </c>
      <c r="D114" s="808" t="str">
        <f>IF(OR($E$3="",$P$3=""),"",IF('Statement of Marks'!C113="","",'Statement of Marks'!C113))</f>
        <v/>
      </c>
      <c r="E114" s="809" t="str">
        <f>IF(OR($E$3="",$P$3=""),"",IF('Statement of Marks'!D113="","",'Statement of Marks'!D113))</f>
        <v/>
      </c>
      <c r="F114" s="810" t="str">
        <f>IF(OR($E$3="",$P$3=""),"",IF('Statement of Marks'!E113="","",'Statement of Marks'!E113))</f>
        <v/>
      </c>
      <c r="G114" s="810" t="str">
        <f>IF(OR($E$3="",$P$3=""),"",IF('Statement of Marks'!F113="","",'Statement of Marks'!F113))</f>
        <v/>
      </c>
      <c r="H114" s="810" t="str">
        <f>IF(OR($E$3="",$P$3=""),"",IF('Statement of Marks'!G113="","",'Statement of Marks'!G113))</f>
        <v/>
      </c>
      <c r="I114" s="811" t="str">
        <f>IF(OR($E$3="",$P$3=""),"",IF('Statement of Marks'!H113="","",'Statement of Marks'!H113))</f>
        <v/>
      </c>
      <c r="J114" s="811" t="str">
        <f>IF(OR($E$3="",$P$3=""),"",IF('Statement of Marks'!I113="","",'Statement of Marks'!I113))</f>
        <v/>
      </c>
      <c r="K114" s="811" t="str">
        <f>IFERROR(IF(B114="","",IF($P$3=$AT$10,IF(AND(BM114="A"),'Marks Entry'!$U$2,IF(AND(BM114="B"),'Marks Entry'!$Y$2,IF(AND(BM114="C"),'Marks Entry'!$AA$2,""))),IF($P$3=$AT$11,IF(AND(BN114="A"),'Marks Entry'!$AC$2,IF(AND(BN114="B"),'Marks Entry'!$AG$2,IF(AND(BN114="C"),'Marks Entry'!$AI$2,""))),IF($P$3=$AT$12,IF(AND(BO114="A"),'Marks Entry'!$AK$2,IF(AND(BO114="B"),'Marks Entry'!$AO$2,IF(AND(BO114="C"),'Marks Entry'!$AQ$2,""))),IF($P$3=$AT$13,IF(AND(BP114="A"),'Marks Entry'!$AS$2,IF(AND(BP114="B"),'Marks Entry'!$AW$2,IF(AND(BP114="C"),'Marks Entry'!$AY$2,""))),"-"))))),"")</f>
        <v/>
      </c>
      <c r="L114" s="812" t="str">
        <f>IFERROR(IF(B114="","",IF($P$3=$AT$8,'Statement of Marks'!J113,IF($P$3=$AT$9,'Statement of Marks'!X113,IF($P$3=$AT$10,'Statement of Marks'!AM113,IF($P$3=$AT$11,'Statement of Marks'!BJ113,IF($P$3=$AT$12,'Statement of Marks'!CG113,IF($P$3=$AT$13,'Statement of Marks'!DE113,IF($P$3=$AT$14,"",IF($P$3=$AT$15,'Statement of Marks'!EY113,""))))))))),"")</f>
        <v/>
      </c>
      <c r="M114" s="812" t="str">
        <f>IFERROR(IF(B114="","",IF($P$3=$AT$8,'Statement of Marks'!K113,IF($P$3=$AT$9,'Statement of Marks'!Y113,IF($P$3=$AT$10,'Statement of Marks'!AN113,IF($P$3=$AT$11,'Statement of Marks'!BK113,IF($P$3=$AT$12,'Statement of Marks'!CH113,IF($P$3=$AT$13,'Statement of Marks'!DF113,IF($P$3=$AT$14,"",IF($P$3=$AT$15,'Statement of Marks'!EZ113,""))))))))),"")</f>
        <v/>
      </c>
      <c r="N114" s="812" t="str">
        <f>IFERROR(IF(B114="","",IF($P$3=$AT$8,'Statement of Marks'!L113,IF($P$3=$AT$9,'Statement of Marks'!Z113,IF($P$3=$AT$10,'Statement of Marks'!AO113,IF($P$3=$AT$11,'Statement of Marks'!BL113,IF($P$3=$AT$12,'Statement of Marks'!CI113,IF($P$3=$AT$13,'Statement of Marks'!DG113,IF($P$3=$AT$14,"",IF($P$3=$AT$15,'Statement of Marks'!FA113,""))))))))),"")</f>
        <v/>
      </c>
      <c r="O114" s="813" t="str">
        <f t="shared" si="18"/>
        <v/>
      </c>
      <c r="P114" s="812" t="str">
        <f>IFERROR(IF(B114="","",IF($P$3=$AT$8,'Statement of Marks'!N113,IF($P$3=$AT$9,'Statement of Marks'!AB113,IF($P$3=$AT$10,'Statement of Marks'!AQ113,IF($P$3=$AT$11,'Statement of Marks'!BN113,IF($P$3=$AT$12,'Statement of Marks'!CK113,IF($P$3=$AT$13,'Statement of Marks'!DI113,IF($P$3=$AT$14,"",IF($P$3=$AT$15,'Statement of Marks'!FC113,""))))))))),"")</f>
        <v/>
      </c>
      <c r="Q114" s="812" t="str">
        <f>IFERROR(IF(B114="","",IF($P$3=$AT$8,"",IF($P$3=$AT$9,"",IF($P$3=$AT$10,'Statement of Marks'!AR113,IF($P$3=$AT$11,'Statement of Marks'!BO113,IF($P$3=$AT$12,'Statement of Marks'!CL113,IF($P$3=$AT$13,'Statement of Marks'!DJ113,IF($P$3=$AT$14,"",IF($P$3=$AT$15,"",""))))))))),"")</f>
        <v/>
      </c>
      <c r="R114" s="824" t="str">
        <f>IFERROR(IF(B114="","",IF(AND(P114="",Q114="",$P$3=""),"",IF($P$3=$AT$14,'Statement of Marks'!EC113,SUM(P114,Q114)))),"")</f>
        <v/>
      </c>
      <c r="S114" s="823" t="str">
        <f>IFERROR(IF(B114="","",IF($P$3=$AT$14,'Statement of Marks'!ED113,IF(AND(O114="NA",P114="NA",Q114="NA"),"NA",IF(AND(O114="",P114="",Q114=""),"",SUM(O114,P114,Q114))))),"")</f>
        <v/>
      </c>
      <c r="T114" s="812" t="str">
        <f>IFERROR(IF(B114="","",IF($P$3=$AT$8,'Statement of Marks'!P113,IF($P$3=$AT$9,'Statement of Marks'!AD113,IF($P$3=$AT$10,'Statement of Marks'!AU113,IF($P$3=$AT$11,'Statement of Marks'!BR113,IF($P$3=$AT$12,'Statement of Marks'!CO113,IF($P$3=$AT$13,'Statement of Marks'!DM113,IF($P$3=$AT$14,"",IF($P$3=$AT$15,'Statement of Marks'!FD113,""))))))))),"")</f>
        <v/>
      </c>
      <c r="U114" s="812" t="str">
        <f>IFERROR(IF(B114="","",IF($P$3=$AT$8,"",IF($P$3=$AT$9,"",IF($P$3=$AT$10,'Statement of Marks'!AV113,IF($P$3=$AT$11,'Statement of Marks'!BS113,IF($P$3=$AT$12,'Statement of Marks'!CP113,IF($P$3=$AT$13,'Statement of Marks'!DN113,IF($P$3=$AT$14,"",IF($P$3=$AT$15,"",""))))))))),"")</f>
        <v/>
      </c>
      <c r="V114" s="824" t="str">
        <f>IFERROR(IF(B114="","",IF(AND(T114="",U114="",$P$3=""),"",IF($P$3=$AT$14,'Statement of Marks'!EE113,SUM(T114,U114)))),"")</f>
        <v/>
      </c>
      <c r="W114" s="814" t="str">
        <f t="shared" si="19"/>
        <v/>
      </c>
      <c r="X114" s="815">
        <f t="shared" si="20"/>
        <v>0</v>
      </c>
      <c r="Y114" s="815">
        <f t="shared" si="21"/>
        <v>0</v>
      </c>
      <c r="Z114" s="815">
        <f t="shared" si="22"/>
        <v>0</v>
      </c>
      <c r="AA114" s="815" t="str">
        <f t="shared" si="23"/>
        <v/>
      </c>
      <c r="AB114" s="815" t="str">
        <f t="shared" si="24"/>
        <v/>
      </c>
      <c r="AC114" s="815" t="str">
        <f t="shared" si="25"/>
        <v/>
      </c>
      <c r="AD114" s="815" t="str">
        <f t="shared" si="26"/>
        <v/>
      </c>
      <c r="AE114" s="816" t="str">
        <f t="shared" si="27"/>
        <v/>
      </c>
      <c r="AF114" s="817" t="str">
        <f t="shared" si="28"/>
        <v/>
      </c>
      <c r="AG114" s="818" t="str">
        <f t="shared" si="29"/>
        <v/>
      </c>
      <c r="AW114" s="17" t="str">
        <f t="shared" si="30"/>
        <v/>
      </c>
      <c r="AX114" s="17" t="str">
        <f t="shared" si="31"/>
        <v/>
      </c>
      <c r="BM114" s="17" t="str">
        <f>IFERROR(VLOOKUP(B114,'Statement of Marks'!$B$8:'Statement of Marks'!$HI$207,37,0),"")</f>
        <v>A</v>
      </c>
      <c r="BN114" s="17" t="str">
        <f>IFERROR(VLOOKUP(B114,'Statement of Marks'!$B$8:'Statement of Marks'!$HI$207,60,0),"")</f>
        <v>A</v>
      </c>
      <c r="BO114" s="17" t="str">
        <f>IFERROR(VLOOKUP(B114,'Statement of Marks'!$B$8:'Statement of Marks'!$HI$207,83,0),"")</f>
        <v>A</v>
      </c>
      <c r="BP114" s="17" t="str">
        <f>IFERROR(VLOOKUP(B114,'Statement of Marks'!$B$8:'Statement of Marks'!$HI$207,107,0),"")</f>
        <v/>
      </c>
    </row>
    <row r="115" spans="1:68">
      <c r="A115" s="806">
        <f>IF('Statement of Marks'!A114="","",'Statement of Marks'!A114)</f>
        <v>107</v>
      </c>
      <c r="B115" s="807" t="str">
        <f>IF(OR($E$3="",$P$3=""),"",IF('Statement of Marks'!B114="","",'Statement of Marks'!B114))</f>
        <v/>
      </c>
      <c r="C115" s="816" t="str">
        <f>IF(OR($E$3="",$P$3=""),"",IF('Marks Entry'!C114="","",'Marks Entry'!C114))</f>
        <v/>
      </c>
      <c r="D115" s="808" t="str">
        <f>IF(OR($E$3="",$P$3=""),"",IF('Statement of Marks'!C114="","",'Statement of Marks'!C114))</f>
        <v/>
      </c>
      <c r="E115" s="809" t="str">
        <f>IF(OR($E$3="",$P$3=""),"",IF('Statement of Marks'!D114="","",'Statement of Marks'!D114))</f>
        <v/>
      </c>
      <c r="F115" s="810" t="str">
        <f>IF(OR($E$3="",$P$3=""),"",IF('Statement of Marks'!E114="","",'Statement of Marks'!E114))</f>
        <v/>
      </c>
      <c r="G115" s="810" t="str">
        <f>IF(OR($E$3="",$P$3=""),"",IF('Statement of Marks'!F114="","",'Statement of Marks'!F114))</f>
        <v/>
      </c>
      <c r="H115" s="810" t="str">
        <f>IF(OR($E$3="",$P$3=""),"",IF('Statement of Marks'!G114="","",'Statement of Marks'!G114))</f>
        <v/>
      </c>
      <c r="I115" s="811" t="str">
        <f>IF(OR($E$3="",$P$3=""),"",IF('Statement of Marks'!H114="","",'Statement of Marks'!H114))</f>
        <v/>
      </c>
      <c r="J115" s="811" t="str">
        <f>IF(OR($E$3="",$P$3=""),"",IF('Statement of Marks'!I114="","",'Statement of Marks'!I114))</f>
        <v/>
      </c>
      <c r="K115" s="811" t="str">
        <f>IFERROR(IF(B115="","",IF($P$3=$AT$10,IF(AND(BM115="A"),'Marks Entry'!$U$2,IF(AND(BM115="B"),'Marks Entry'!$Y$2,IF(AND(BM115="C"),'Marks Entry'!$AA$2,""))),IF($P$3=$AT$11,IF(AND(BN115="A"),'Marks Entry'!$AC$2,IF(AND(BN115="B"),'Marks Entry'!$AG$2,IF(AND(BN115="C"),'Marks Entry'!$AI$2,""))),IF($P$3=$AT$12,IF(AND(BO115="A"),'Marks Entry'!$AK$2,IF(AND(BO115="B"),'Marks Entry'!$AO$2,IF(AND(BO115="C"),'Marks Entry'!$AQ$2,""))),IF($P$3=$AT$13,IF(AND(BP115="A"),'Marks Entry'!$AS$2,IF(AND(BP115="B"),'Marks Entry'!$AW$2,IF(AND(BP115="C"),'Marks Entry'!$AY$2,""))),"-"))))),"")</f>
        <v/>
      </c>
      <c r="L115" s="812" t="str">
        <f>IFERROR(IF(B115="","",IF($P$3=$AT$8,'Statement of Marks'!J114,IF($P$3=$AT$9,'Statement of Marks'!X114,IF($P$3=$AT$10,'Statement of Marks'!AM114,IF($P$3=$AT$11,'Statement of Marks'!BJ114,IF($P$3=$AT$12,'Statement of Marks'!CG114,IF($P$3=$AT$13,'Statement of Marks'!DE114,IF($P$3=$AT$14,"",IF($P$3=$AT$15,'Statement of Marks'!EY114,""))))))))),"")</f>
        <v/>
      </c>
      <c r="M115" s="812" t="str">
        <f>IFERROR(IF(B115="","",IF($P$3=$AT$8,'Statement of Marks'!K114,IF($P$3=$AT$9,'Statement of Marks'!Y114,IF($P$3=$AT$10,'Statement of Marks'!AN114,IF($P$3=$AT$11,'Statement of Marks'!BK114,IF($P$3=$AT$12,'Statement of Marks'!CH114,IF($P$3=$AT$13,'Statement of Marks'!DF114,IF($P$3=$AT$14,"",IF($P$3=$AT$15,'Statement of Marks'!EZ114,""))))))))),"")</f>
        <v/>
      </c>
      <c r="N115" s="812" t="str">
        <f>IFERROR(IF(B115="","",IF($P$3=$AT$8,'Statement of Marks'!L114,IF($P$3=$AT$9,'Statement of Marks'!Z114,IF($P$3=$AT$10,'Statement of Marks'!AO114,IF($P$3=$AT$11,'Statement of Marks'!BL114,IF($P$3=$AT$12,'Statement of Marks'!CI114,IF($P$3=$AT$13,'Statement of Marks'!DG114,IF($P$3=$AT$14,"",IF($P$3=$AT$15,'Statement of Marks'!FA114,""))))))))),"")</f>
        <v/>
      </c>
      <c r="O115" s="813" t="str">
        <f t="shared" si="18"/>
        <v/>
      </c>
      <c r="P115" s="812" t="str">
        <f>IFERROR(IF(B115="","",IF($P$3=$AT$8,'Statement of Marks'!N114,IF($P$3=$AT$9,'Statement of Marks'!AB114,IF($P$3=$AT$10,'Statement of Marks'!AQ114,IF($P$3=$AT$11,'Statement of Marks'!BN114,IF($P$3=$AT$12,'Statement of Marks'!CK114,IF($P$3=$AT$13,'Statement of Marks'!DI114,IF($P$3=$AT$14,"",IF($P$3=$AT$15,'Statement of Marks'!FC114,""))))))))),"")</f>
        <v/>
      </c>
      <c r="Q115" s="812" t="str">
        <f>IFERROR(IF(B115="","",IF($P$3=$AT$8,"",IF($P$3=$AT$9,"",IF($P$3=$AT$10,'Statement of Marks'!AR114,IF($P$3=$AT$11,'Statement of Marks'!BO114,IF($P$3=$AT$12,'Statement of Marks'!CL114,IF($P$3=$AT$13,'Statement of Marks'!DJ114,IF($P$3=$AT$14,"",IF($P$3=$AT$15,"",""))))))))),"")</f>
        <v/>
      </c>
      <c r="R115" s="824" t="str">
        <f>IFERROR(IF(B115="","",IF(AND(P115="",Q115="",$P$3=""),"",IF($P$3=$AT$14,'Statement of Marks'!EC114,SUM(P115,Q115)))),"")</f>
        <v/>
      </c>
      <c r="S115" s="823" t="str">
        <f>IFERROR(IF(B115="","",IF($P$3=$AT$14,'Statement of Marks'!ED114,IF(AND(O115="NA",P115="NA",Q115="NA"),"NA",IF(AND(O115="",P115="",Q115=""),"",SUM(O115,P115,Q115))))),"")</f>
        <v/>
      </c>
      <c r="T115" s="812" t="str">
        <f>IFERROR(IF(B115="","",IF($P$3=$AT$8,'Statement of Marks'!P114,IF($P$3=$AT$9,'Statement of Marks'!AD114,IF($P$3=$AT$10,'Statement of Marks'!AU114,IF($P$3=$AT$11,'Statement of Marks'!BR114,IF($P$3=$AT$12,'Statement of Marks'!CO114,IF($P$3=$AT$13,'Statement of Marks'!DM114,IF($P$3=$AT$14,"",IF($P$3=$AT$15,'Statement of Marks'!FD114,""))))))))),"")</f>
        <v/>
      </c>
      <c r="U115" s="812" t="str">
        <f>IFERROR(IF(B115="","",IF($P$3=$AT$8,"",IF($P$3=$AT$9,"",IF($P$3=$AT$10,'Statement of Marks'!AV114,IF($P$3=$AT$11,'Statement of Marks'!BS114,IF($P$3=$AT$12,'Statement of Marks'!CP114,IF($P$3=$AT$13,'Statement of Marks'!DN114,IF($P$3=$AT$14,"",IF($P$3=$AT$15,"",""))))))))),"")</f>
        <v/>
      </c>
      <c r="V115" s="824" t="str">
        <f>IFERROR(IF(B115="","",IF(AND(T115="",U115="",$P$3=""),"",IF($P$3=$AT$14,'Statement of Marks'!EE114,SUM(T115,U115)))),"")</f>
        <v/>
      </c>
      <c r="W115" s="814" t="str">
        <f t="shared" si="19"/>
        <v/>
      </c>
      <c r="X115" s="815">
        <f t="shared" si="20"/>
        <v>0</v>
      </c>
      <c r="Y115" s="815">
        <f t="shared" si="21"/>
        <v>0</v>
      </c>
      <c r="Z115" s="815">
        <f t="shared" si="22"/>
        <v>0</v>
      </c>
      <c r="AA115" s="815" t="str">
        <f t="shared" si="23"/>
        <v/>
      </c>
      <c r="AB115" s="815" t="str">
        <f t="shared" si="24"/>
        <v/>
      </c>
      <c r="AC115" s="815" t="str">
        <f t="shared" si="25"/>
        <v/>
      </c>
      <c r="AD115" s="815" t="str">
        <f t="shared" si="26"/>
        <v/>
      </c>
      <c r="AE115" s="816" t="str">
        <f t="shared" si="27"/>
        <v/>
      </c>
      <c r="AF115" s="817" t="str">
        <f t="shared" si="28"/>
        <v/>
      </c>
      <c r="AG115" s="818" t="str">
        <f t="shared" si="29"/>
        <v/>
      </c>
      <c r="AW115" s="17" t="str">
        <f t="shared" si="30"/>
        <v/>
      </c>
      <c r="AX115" s="17" t="str">
        <f t="shared" si="31"/>
        <v/>
      </c>
      <c r="BM115" s="17" t="str">
        <f>IFERROR(VLOOKUP(B115,'Statement of Marks'!$B$8:'Statement of Marks'!$HI$207,37,0),"")</f>
        <v>A</v>
      </c>
      <c r="BN115" s="17" t="str">
        <f>IFERROR(VLOOKUP(B115,'Statement of Marks'!$B$8:'Statement of Marks'!$HI$207,60,0),"")</f>
        <v>A</v>
      </c>
      <c r="BO115" s="17" t="str">
        <f>IFERROR(VLOOKUP(B115,'Statement of Marks'!$B$8:'Statement of Marks'!$HI$207,83,0),"")</f>
        <v>A</v>
      </c>
      <c r="BP115" s="17" t="str">
        <f>IFERROR(VLOOKUP(B115,'Statement of Marks'!$B$8:'Statement of Marks'!$HI$207,107,0),"")</f>
        <v/>
      </c>
    </row>
    <row r="116" spans="1:68">
      <c r="A116" s="806">
        <f>IF('Statement of Marks'!A115="","",'Statement of Marks'!A115)</f>
        <v>108</v>
      </c>
      <c r="B116" s="807" t="str">
        <f>IF(OR($E$3="",$P$3=""),"",IF('Statement of Marks'!B115="","",'Statement of Marks'!B115))</f>
        <v/>
      </c>
      <c r="C116" s="816" t="str">
        <f>IF(OR($E$3="",$P$3=""),"",IF('Marks Entry'!C115="","",'Marks Entry'!C115))</f>
        <v/>
      </c>
      <c r="D116" s="808" t="str">
        <f>IF(OR($E$3="",$P$3=""),"",IF('Statement of Marks'!C115="","",'Statement of Marks'!C115))</f>
        <v/>
      </c>
      <c r="E116" s="809" t="str">
        <f>IF(OR($E$3="",$P$3=""),"",IF('Statement of Marks'!D115="","",'Statement of Marks'!D115))</f>
        <v/>
      </c>
      <c r="F116" s="810" t="str">
        <f>IF(OR($E$3="",$P$3=""),"",IF('Statement of Marks'!E115="","",'Statement of Marks'!E115))</f>
        <v/>
      </c>
      <c r="G116" s="810" t="str">
        <f>IF(OR($E$3="",$P$3=""),"",IF('Statement of Marks'!F115="","",'Statement of Marks'!F115))</f>
        <v/>
      </c>
      <c r="H116" s="810" t="str">
        <f>IF(OR($E$3="",$P$3=""),"",IF('Statement of Marks'!G115="","",'Statement of Marks'!G115))</f>
        <v/>
      </c>
      <c r="I116" s="811" t="str">
        <f>IF(OR($E$3="",$P$3=""),"",IF('Statement of Marks'!H115="","",'Statement of Marks'!H115))</f>
        <v/>
      </c>
      <c r="J116" s="811" t="str">
        <f>IF(OR($E$3="",$P$3=""),"",IF('Statement of Marks'!I115="","",'Statement of Marks'!I115))</f>
        <v/>
      </c>
      <c r="K116" s="811" t="str">
        <f>IFERROR(IF(B116="","",IF($P$3=$AT$10,IF(AND(BM116="A"),'Marks Entry'!$U$2,IF(AND(BM116="B"),'Marks Entry'!$Y$2,IF(AND(BM116="C"),'Marks Entry'!$AA$2,""))),IF($P$3=$AT$11,IF(AND(BN116="A"),'Marks Entry'!$AC$2,IF(AND(BN116="B"),'Marks Entry'!$AG$2,IF(AND(BN116="C"),'Marks Entry'!$AI$2,""))),IF($P$3=$AT$12,IF(AND(BO116="A"),'Marks Entry'!$AK$2,IF(AND(BO116="B"),'Marks Entry'!$AO$2,IF(AND(BO116="C"),'Marks Entry'!$AQ$2,""))),IF($P$3=$AT$13,IF(AND(BP116="A"),'Marks Entry'!$AS$2,IF(AND(BP116="B"),'Marks Entry'!$AW$2,IF(AND(BP116="C"),'Marks Entry'!$AY$2,""))),"-"))))),"")</f>
        <v/>
      </c>
      <c r="L116" s="812" t="str">
        <f>IFERROR(IF(B116="","",IF($P$3=$AT$8,'Statement of Marks'!J115,IF($P$3=$AT$9,'Statement of Marks'!X115,IF($P$3=$AT$10,'Statement of Marks'!AM115,IF($P$3=$AT$11,'Statement of Marks'!BJ115,IF($P$3=$AT$12,'Statement of Marks'!CG115,IF($P$3=$AT$13,'Statement of Marks'!DE115,IF($P$3=$AT$14,"",IF($P$3=$AT$15,'Statement of Marks'!EY115,""))))))))),"")</f>
        <v/>
      </c>
      <c r="M116" s="812" t="str">
        <f>IFERROR(IF(B116="","",IF($P$3=$AT$8,'Statement of Marks'!K115,IF($P$3=$AT$9,'Statement of Marks'!Y115,IF($P$3=$AT$10,'Statement of Marks'!AN115,IF($P$3=$AT$11,'Statement of Marks'!BK115,IF($P$3=$AT$12,'Statement of Marks'!CH115,IF($P$3=$AT$13,'Statement of Marks'!DF115,IF($P$3=$AT$14,"",IF($P$3=$AT$15,'Statement of Marks'!EZ115,""))))))))),"")</f>
        <v/>
      </c>
      <c r="N116" s="812" t="str">
        <f>IFERROR(IF(B116="","",IF($P$3=$AT$8,'Statement of Marks'!L115,IF($P$3=$AT$9,'Statement of Marks'!Z115,IF($P$3=$AT$10,'Statement of Marks'!AO115,IF($P$3=$AT$11,'Statement of Marks'!BL115,IF($P$3=$AT$12,'Statement of Marks'!CI115,IF($P$3=$AT$13,'Statement of Marks'!DG115,IF($P$3=$AT$14,"",IF($P$3=$AT$15,'Statement of Marks'!FA115,""))))))))),"")</f>
        <v/>
      </c>
      <c r="O116" s="813" t="str">
        <f t="shared" si="18"/>
        <v/>
      </c>
      <c r="P116" s="812" t="str">
        <f>IFERROR(IF(B116="","",IF($P$3=$AT$8,'Statement of Marks'!N115,IF($P$3=$AT$9,'Statement of Marks'!AB115,IF($P$3=$AT$10,'Statement of Marks'!AQ115,IF($P$3=$AT$11,'Statement of Marks'!BN115,IF($P$3=$AT$12,'Statement of Marks'!CK115,IF($P$3=$AT$13,'Statement of Marks'!DI115,IF($P$3=$AT$14,"",IF($P$3=$AT$15,'Statement of Marks'!FC115,""))))))))),"")</f>
        <v/>
      </c>
      <c r="Q116" s="812" t="str">
        <f>IFERROR(IF(B116="","",IF($P$3=$AT$8,"",IF($P$3=$AT$9,"",IF($P$3=$AT$10,'Statement of Marks'!AR115,IF($P$3=$AT$11,'Statement of Marks'!BO115,IF($P$3=$AT$12,'Statement of Marks'!CL115,IF($P$3=$AT$13,'Statement of Marks'!DJ115,IF($P$3=$AT$14,"",IF($P$3=$AT$15,"",""))))))))),"")</f>
        <v/>
      </c>
      <c r="R116" s="824" t="str">
        <f>IFERROR(IF(B116="","",IF(AND(P116="",Q116="",$P$3=""),"",IF($P$3=$AT$14,'Statement of Marks'!EC115,SUM(P116,Q116)))),"")</f>
        <v/>
      </c>
      <c r="S116" s="823" t="str">
        <f>IFERROR(IF(B116="","",IF($P$3=$AT$14,'Statement of Marks'!ED115,IF(AND(O116="NA",P116="NA",Q116="NA"),"NA",IF(AND(O116="",P116="",Q116=""),"",SUM(O116,P116,Q116))))),"")</f>
        <v/>
      </c>
      <c r="T116" s="812" t="str">
        <f>IFERROR(IF(B116="","",IF($P$3=$AT$8,'Statement of Marks'!P115,IF($P$3=$AT$9,'Statement of Marks'!AD115,IF($P$3=$AT$10,'Statement of Marks'!AU115,IF($P$3=$AT$11,'Statement of Marks'!BR115,IF($P$3=$AT$12,'Statement of Marks'!CO115,IF($P$3=$AT$13,'Statement of Marks'!DM115,IF($P$3=$AT$14,"",IF($P$3=$AT$15,'Statement of Marks'!FD115,""))))))))),"")</f>
        <v/>
      </c>
      <c r="U116" s="812" t="str">
        <f>IFERROR(IF(B116="","",IF($P$3=$AT$8,"",IF($P$3=$AT$9,"",IF($P$3=$AT$10,'Statement of Marks'!AV115,IF($P$3=$AT$11,'Statement of Marks'!BS115,IF($P$3=$AT$12,'Statement of Marks'!CP115,IF($P$3=$AT$13,'Statement of Marks'!DN115,IF($P$3=$AT$14,"",IF($P$3=$AT$15,"",""))))))))),"")</f>
        <v/>
      </c>
      <c r="V116" s="824" t="str">
        <f>IFERROR(IF(B116="","",IF(AND(T116="",U116="",$P$3=""),"",IF($P$3=$AT$14,'Statement of Marks'!EE115,SUM(T116,U116)))),"")</f>
        <v/>
      </c>
      <c r="W116" s="814" t="str">
        <f t="shared" si="19"/>
        <v/>
      </c>
      <c r="X116" s="815">
        <f t="shared" si="20"/>
        <v>0</v>
      </c>
      <c r="Y116" s="815">
        <f t="shared" si="21"/>
        <v>0</v>
      </c>
      <c r="Z116" s="815">
        <f t="shared" si="22"/>
        <v>0</v>
      </c>
      <c r="AA116" s="815" t="str">
        <f t="shared" si="23"/>
        <v/>
      </c>
      <c r="AB116" s="815" t="str">
        <f t="shared" si="24"/>
        <v/>
      </c>
      <c r="AC116" s="815" t="str">
        <f t="shared" si="25"/>
        <v/>
      </c>
      <c r="AD116" s="815" t="str">
        <f t="shared" si="26"/>
        <v/>
      </c>
      <c r="AE116" s="816" t="str">
        <f t="shared" si="27"/>
        <v/>
      </c>
      <c r="AF116" s="817" t="str">
        <f t="shared" si="28"/>
        <v/>
      </c>
      <c r="AG116" s="818" t="str">
        <f t="shared" si="29"/>
        <v/>
      </c>
      <c r="AW116" s="17" t="str">
        <f t="shared" si="30"/>
        <v/>
      </c>
      <c r="AX116" s="17" t="str">
        <f t="shared" si="31"/>
        <v/>
      </c>
      <c r="BM116" s="17" t="str">
        <f>IFERROR(VLOOKUP(B116,'Statement of Marks'!$B$8:'Statement of Marks'!$HI$207,37,0),"")</f>
        <v>A</v>
      </c>
      <c r="BN116" s="17" t="str">
        <f>IFERROR(VLOOKUP(B116,'Statement of Marks'!$B$8:'Statement of Marks'!$HI$207,60,0),"")</f>
        <v>A</v>
      </c>
      <c r="BO116" s="17" t="str">
        <f>IFERROR(VLOOKUP(B116,'Statement of Marks'!$B$8:'Statement of Marks'!$HI$207,83,0),"")</f>
        <v>A</v>
      </c>
      <c r="BP116" s="17" t="str">
        <f>IFERROR(VLOOKUP(B116,'Statement of Marks'!$B$8:'Statement of Marks'!$HI$207,107,0),"")</f>
        <v/>
      </c>
    </row>
    <row r="117" spans="1:68">
      <c r="A117" s="806">
        <f>IF('Statement of Marks'!A116="","",'Statement of Marks'!A116)</f>
        <v>109</v>
      </c>
      <c r="B117" s="807" t="str">
        <f>IF(OR($E$3="",$P$3=""),"",IF('Statement of Marks'!B116="","",'Statement of Marks'!B116))</f>
        <v/>
      </c>
      <c r="C117" s="816" t="str">
        <f>IF(OR($E$3="",$P$3=""),"",IF('Marks Entry'!C116="","",'Marks Entry'!C116))</f>
        <v/>
      </c>
      <c r="D117" s="808" t="str">
        <f>IF(OR($E$3="",$P$3=""),"",IF('Statement of Marks'!C116="","",'Statement of Marks'!C116))</f>
        <v/>
      </c>
      <c r="E117" s="809" t="str">
        <f>IF(OR($E$3="",$P$3=""),"",IF('Statement of Marks'!D116="","",'Statement of Marks'!D116))</f>
        <v/>
      </c>
      <c r="F117" s="810" t="str">
        <f>IF(OR($E$3="",$P$3=""),"",IF('Statement of Marks'!E116="","",'Statement of Marks'!E116))</f>
        <v/>
      </c>
      <c r="G117" s="810" t="str">
        <f>IF(OR($E$3="",$P$3=""),"",IF('Statement of Marks'!F116="","",'Statement of Marks'!F116))</f>
        <v/>
      </c>
      <c r="H117" s="810" t="str">
        <f>IF(OR($E$3="",$P$3=""),"",IF('Statement of Marks'!G116="","",'Statement of Marks'!G116))</f>
        <v/>
      </c>
      <c r="I117" s="811" t="str">
        <f>IF(OR($E$3="",$P$3=""),"",IF('Statement of Marks'!H116="","",'Statement of Marks'!H116))</f>
        <v/>
      </c>
      <c r="J117" s="811" t="str">
        <f>IF(OR($E$3="",$P$3=""),"",IF('Statement of Marks'!I116="","",'Statement of Marks'!I116))</f>
        <v/>
      </c>
      <c r="K117" s="811" t="str">
        <f>IFERROR(IF(B117="","",IF($P$3=$AT$10,IF(AND(BM117="A"),'Marks Entry'!$U$2,IF(AND(BM117="B"),'Marks Entry'!$Y$2,IF(AND(BM117="C"),'Marks Entry'!$AA$2,""))),IF($P$3=$AT$11,IF(AND(BN117="A"),'Marks Entry'!$AC$2,IF(AND(BN117="B"),'Marks Entry'!$AG$2,IF(AND(BN117="C"),'Marks Entry'!$AI$2,""))),IF($P$3=$AT$12,IF(AND(BO117="A"),'Marks Entry'!$AK$2,IF(AND(BO117="B"),'Marks Entry'!$AO$2,IF(AND(BO117="C"),'Marks Entry'!$AQ$2,""))),IF($P$3=$AT$13,IF(AND(BP117="A"),'Marks Entry'!$AS$2,IF(AND(BP117="B"),'Marks Entry'!$AW$2,IF(AND(BP117="C"),'Marks Entry'!$AY$2,""))),"-"))))),"")</f>
        <v/>
      </c>
      <c r="L117" s="812" t="str">
        <f>IFERROR(IF(B117="","",IF($P$3=$AT$8,'Statement of Marks'!J116,IF($P$3=$AT$9,'Statement of Marks'!X116,IF($P$3=$AT$10,'Statement of Marks'!AM116,IF($P$3=$AT$11,'Statement of Marks'!BJ116,IF($P$3=$AT$12,'Statement of Marks'!CG116,IF($P$3=$AT$13,'Statement of Marks'!DE116,IF($P$3=$AT$14,"",IF($P$3=$AT$15,'Statement of Marks'!EY116,""))))))))),"")</f>
        <v/>
      </c>
      <c r="M117" s="812" t="str">
        <f>IFERROR(IF(B117="","",IF($P$3=$AT$8,'Statement of Marks'!K116,IF($P$3=$AT$9,'Statement of Marks'!Y116,IF($P$3=$AT$10,'Statement of Marks'!AN116,IF($P$3=$AT$11,'Statement of Marks'!BK116,IF($P$3=$AT$12,'Statement of Marks'!CH116,IF($P$3=$AT$13,'Statement of Marks'!DF116,IF($P$3=$AT$14,"",IF($P$3=$AT$15,'Statement of Marks'!EZ116,""))))))))),"")</f>
        <v/>
      </c>
      <c r="N117" s="812" t="str">
        <f>IFERROR(IF(B117="","",IF($P$3=$AT$8,'Statement of Marks'!L116,IF($P$3=$AT$9,'Statement of Marks'!Z116,IF($P$3=$AT$10,'Statement of Marks'!AO116,IF($P$3=$AT$11,'Statement of Marks'!BL116,IF($P$3=$AT$12,'Statement of Marks'!CI116,IF($P$3=$AT$13,'Statement of Marks'!DG116,IF($P$3=$AT$14,"",IF($P$3=$AT$15,'Statement of Marks'!FA116,""))))))))),"")</f>
        <v/>
      </c>
      <c r="O117" s="813" t="str">
        <f t="shared" si="18"/>
        <v/>
      </c>
      <c r="P117" s="812" t="str">
        <f>IFERROR(IF(B117="","",IF($P$3=$AT$8,'Statement of Marks'!N116,IF($P$3=$AT$9,'Statement of Marks'!AB116,IF($P$3=$AT$10,'Statement of Marks'!AQ116,IF($P$3=$AT$11,'Statement of Marks'!BN116,IF($P$3=$AT$12,'Statement of Marks'!CK116,IF($P$3=$AT$13,'Statement of Marks'!DI116,IF($P$3=$AT$14,"",IF($P$3=$AT$15,'Statement of Marks'!FC116,""))))))))),"")</f>
        <v/>
      </c>
      <c r="Q117" s="812" t="str">
        <f>IFERROR(IF(B117="","",IF($P$3=$AT$8,"",IF($P$3=$AT$9,"",IF($P$3=$AT$10,'Statement of Marks'!AR116,IF($P$3=$AT$11,'Statement of Marks'!BO116,IF($P$3=$AT$12,'Statement of Marks'!CL116,IF($P$3=$AT$13,'Statement of Marks'!DJ116,IF($P$3=$AT$14,"",IF($P$3=$AT$15,"",""))))))))),"")</f>
        <v/>
      </c>
      <c r="R117" s="824" t="str">
        <f>IFERROR(IF(B117="","",IF(AND(P117="",Q117="",$P$3=""),"",IF($P$3=$AT$14,'Statement of Marks'!EC116,SUM(P117,Q117)))),"")</f>
        <v/>
      </c>
      <c r="S117" s="823" t="str">
        <f>IFERROR(IF(B117="","",IF($P$3=$AT$14,'Statement of Marks'!ED116,IF(AND(O117="NA",P117="NA",Q117="NA"),"NA",IF(AND(O117="",P117="",Q117=""),"",SUM(O117,P117,Q117))))),"")</f>
        <v/>
      </c>
      <c r="T117" s="812" t="str">
        <f>IFERROR(IF(B117="","",IF($P$3=$AT$8,'Statement of Marks'!P116,IF($P$3=$AT$9,'Statement of Marks'!AD116,IF($P$3=$AT$10,'Statement of Marks'!AU116,IF($P$3=$AT$11,'Statement of Marks'!BR116,IF($P$3=$AT$12,'Statement of Marks'!CO116,IF($P$3=$AT$13,'Statement of Marks'!DM116,IF($P$3=$AT$14,"",IF($P$3=$AT$15,'Statement of Marks'!FD116,""))))))))),"")</f>
        <v/>
      </c>
      <c r="U117" s="812" t="str">
        <f>IFERROR(IF(B117="","",IF($P$3=$AT$8,"",IF($P$3=$AT$9,"",IF($P$3=$AT$10,'Statement of Marks'!AV116,IF($P$3=$AT$11,'Statement of Marks'!BS116,IF($P$3=$AT$12,'Statement of Marks'!CP116,IF($P$3=$AT$13,'Statement of Marks'!DN116,IF($P$3=$AT$14,"",IF($P$3=$AT$15,"",""))))))))),"")</f>
        <v/>
      </c>
      <c r="V117" s="824" t="str">
        <f>IFERROR(IF(B117="","",IF(AND(T117="",U117="",$P$3=""),"",IF($P$3=$AT$14,'Statement of Marks'!EE116,SUM(T117,U117)))),"")</f>
        <v/>
      </c>
      <c r="W117" s="814" t="str">
        <f t="shared" si="19"/>
        <v/>
      </c>
      <c r="X117" s="815">
        <f t="shared" si="20"/>
        <v>0</v>
      </c>
      <c r="Y117" s="815">
        <f t="shared" si="21"/>
        <v>0</v>
      </c>
      <c r="Z117" s="815">
        <f t="shared" si="22"/>
        <v>0</v>
      </c>
      <c r="AA117" s="815" t="str">
        <f t="shared" si="23"/>
        <v/>
      </c>
      <c r="AB117" s="815" t="str">
        <f t="shared" si="24"/>
        <v/>
      </c>
      <c r="AC117" s="815" t="str">
        <f t="shared" si="25"/>
        <v/>
      </c>
      <c r="AD117" s="815" t="str">
        <f t="shared" si="26"/>
        <v/>
      </c>
      <c r="AE117" s="816" t="str">
        <f t="shared" si="27"/>
        <v/>
      </c>
      <c r="AF117" s="817" t="str">
        <f t="shared" si="28"/>
        <v/>
      </c>
      <c r="AG117" s="818" t="str">
        <f t="shared" si="29"/>
        <v/>
      </c>
      <c r="AW117" s="17" t="str">
        <f t="shared" si="30"/>
        <v/>
      </c>
      <c r="AX117" s="17" t="str">
        <f t="shared" si="31"/>
        <v/>
      </c>
      <c r="BM117" s="17" t="str">
        <f>IFERROR(VLOOKUP(B117,'Statement of Marks'!$B$8:'Statement of Marks'!$HI$207,37,0),"")</f>
        <v>A</v>
      </c>
      <c r="BN117" s="17" t="str">
        <f>IFERROR(VLOOKUP(B117,'Statement of Marks'!$B$8:'Statement of Marks'!$HI$207,60,0),"")</f>
        <v>A</v>
      </c>
      <c r="BO117" s="17" t="str">
        <f>IFERROR(VLOOKUP(B117,'Statement of Marks'!$B$8:'Statement of Marks'!$HI$207,83,0),"")</f>
        <v>A</v>
      </c>
      <c r="BP117" s="17" t="str">
        <f>IFERROR(VLOOKUP(B117,'Statement of Marks'!$B$8:'Statement of Marks'!$HI$207,107,0),"")</f>
        <v/>
      </c>
    </row>
    <row r="118" spans="1:68">
      <c r="A118" s="806">
        <f>IF('Statement of Marks'!A117="","",'Statement of Marks'!A117)</f>
        <v>110</v>
      </c>
      <c r="B118" s="807" t="str">
        <f>IF(OR($E$3="",$P$3=""),"",IF('Statement of Marks'!B117="","",'Statement of Marks'!B117))</f>
        <v/>
      </c>
      <c r="C118" s="816" t="str">
        <f>IF(OR($E$3="",$P$3=""),"",IF('Marks Entry'!C117="","",'Marks Entry'!C117))</f>
        <v/>
      </c>
      <c r="D118" s="808" t="str">
        <f>IF(OR($E$3="",$P$3=""),"",IF('Statement of Marks'!C117="","",'Statement of Marks'!C117))</f>
        <v/>
      </c>
      <c r="E118" s="809" t="str">
        <f>IF(OR($E$3="",$P$3=""),"",IF('Statement of Marks'!D117="","",'Statement of Marks'!D117))</f>
        <v/>
      </c>
      <c r="F118" s="810" t="str">
        <f>IF(OR($E$3="",$P$3=""),"",IF('Statement of Marks'!E117="","",'Statement of Marks'!E117))</f>
        <v/>
      </c>
      <c r="G118" s="810" t="str">
        <f>IF(OR($E$3="",$P$3=""),"",IF('Statement of Marks'!F117="","",'Statement of Marks'!F117))</f>
        <v/>
      </c>
      <c r="H118" s="810" t="str">
        <f>IF(OR($E$3="",$P$3=""),"",IF('Statement of Marks'!G117="","",'Statement of Marks'!G117))</f>
        <v/>
      </c>
      <c r="I118" s="811" t="str">
        <f>IF(OR($E$3="",$P$3=""),"",IF('Statement of Marks'!H117="","",'Statement of Marks'!H117))</f>
        <v/>
      </c>
      <c r="J118" s="811" t="str">
        <f>IF(OR($E$3="",$P$3=""),"",IF('Statement of Marks'!I117="","",'Statement of Marks'!I117))</f>
        <v/>
      </c>
      <c r="K118" s="811" t="str">
        <f>IFERROR(IF(B118="","",IF($P$3=$AT$10,IF(AND(BM118="A"),'Marks Entry'!$U$2,IF(AND(BM118="B"),'Marks Entry'!$Y$2,IF(AND(BM118="C"),'Marks Entry'!$AA$2,""))),IF($P$3=$AT$11,IF(AND(BN118="A"),'Marks Entry'!$AC$2,IF(AND(BN118="B"),'Marks Entry'!$AG$2,IF(AND(BN118="C"),'Marks Entry'!$AI$2,""))),IF($P$3=$AT$12,IF(AND(BO118="A"),'Marks Entry'!$AK$2,IF(AND(BO118="B"),'Marks Entry'!$AO$2,IF(AND(BO118="C"),'Marks Entry'!$AQ$2,""))),IF($P$3=$AT$13,IF(AND(BP118="A"),'Marks Entry'!$AS$2,IF(AND(BP118="B"),'Marks Entry'!$AW$2,IF(AND(BP118="C"),'Marks Entry'!$AY$2,""))),"-"))))),"")</f>
        <v/>
      </c>
      <c r="L118" s="812" t="str">
        <f>IFERROR(IF(B118="","",IF($P$3=$AT$8,'Statement of Marks'!J117,IF($P$3=$AT$9,'Statement of Marks'!X117,IF($P$3=$AT$10,'Statement of Marks'!AM117,IF($P$3=$AT$11,'Statement of Marks'!BJ117,IF($P$3=$AT$12,'Statement of Marks'!CG117,IF($P$3=$AT$13,'Statement of Marks'!DE117,IF($P$3=$AT$14,"",IF($P$3=$AT$15,'Statement of Marks'!EY117,""))))))))),"")</f>
        <v/>
      </c>
      <c r="M118" s="812" t="str">
        <f>IFERROR(IF(B118="","",IF($P$3=$AT$8,'Statement of Marks'!K117,IF($P$3=$AT$9,'Statement of Marks'!Y117,IF($P$3=$AT$10,'Statement of Marks'!AN117,IF($P$3=$AT$11,'Statement of Marks'!BK117,IF($P$3=$AT$12,'Statement of Marks'!CH117,IF($P$3=$AT$13,'Statement of Marks'!DF117,IF($P$3=$AT$14,"",IF($P$3=$AT$15,'Statement of Marks'!EZ117,""))))))))),"")</f>
        <v/>
      </c>
      <c r="N118" s="812" t="str">
        <f>IFERROR(IF(B118="","",IF($P$3=$AT$8,'Statement of Marks'!L117,IF($P$3=$AT$9,'Statement of Marks'!Z117,IF($P$3=$AT$10,'Statement of Marks'!AO117,IF($P$3=$AT$11,'Statement of Marks'!BL117,IF($P$3=$AT$12,'Statement of Marks'!CI117,IF($P$3=$AT$13,'Statement of Marks'!DG117,IF($P$3=$AT$14,"",IF($P$3=$AT$15,'Statement of Marks'!FA117,""))))))))),"")</f>
        <v/>
      </c>
      <c r="O118" s="813" t="str">
        <f t="shared" si="18"/>
        <v/>
      </c>
      <c r="P118" s="812" t="str">
        <f>IFERROR(IF(B118="","",IF($P$3=$AT$8,'Statement of Marks'!N117,IF($P$3=$AT$9,'Statement of Marks'!AB117,IF($P$3=$AT$10,'Statement of Marks'!AQ117,IF($P$3=$AT$11,'Statement of Marks'!BN117,IF($P$3=$AT$12,'Statement of Marks'!CK117,IF($P$3=$AT$13,'Statement of Marks'!DI117,IF($P$3=$AT$14,"",IF($P$3=$AT$15,'Statement of Marks'!FC117,""))))))))),"")</f>
        <v/>
      </c>
      <c r="Q118" s="812" t="str">
        <f>IFERROR(IF(B118="","",IF($P$3=$AT$8,"",IF($P$3=$AT$9,"",IF($P$3=$AT$10,'Statement of Marks'!AR117,IF($P$3=$AT$11,'Statement of Marks'!BO117,IF($P$3=$AT$12,'Statement of Marks'!CL117,IF($P$3=$AT$13,'Statement of Marks'!DJ117,IF($P$3=$AT$14,"",IF($P$3=$AT$15,"",""))))))))),"")</f>
        <v/>
      </c>
      <c r="R118" s="824" t="str">
        <f>IFERROR(IF(B118="","",IF(AND(P118="",Q118="",$P$3=""),"",IF($P$3=$AT$14,'Statement of Marks'!EC117,SUM(P118,Q118)))),"")</f>
        <v/>
      </c>
      <c r="S118" s="823" t="str">
        <f>IFERROR(IF(B118="","",IF($P$3=$AT$14,'Statement of Marks'!ED117,IF(AND(O118="NA",P118="NA",Q118="NA"),"NA",IF(AND(O118="",P118="",Q118=""),"",SUM(O118,P118,Q118))))),"")</f>
        <v/>
      </c>
      <c r="T118" s="812" t="str">
        <f>IFERROR(IF(B118="","",IF($P$3=$AT$8,'Statement of Marks'!P117,IF($P$3=$AT$9,'Statement of Marks'!AD117,IF($P$3=$AT$10,'Statement of Marks'!AU117,IF($P$3=$AT$11,'Statement of Marks'!BR117,IF($P$3=$AT$12,'Statement of Marks'!CO117,IF($P$3=$AT$13,'Statement of Marks'!DM117,IF($P$3=$AT$14,"",IF($P$3=$AT$15,'Statement of Marks'!FD117,""))))))))),"")</f>
        <v/>
      </c>
      <c r="U118" s="812" t="str">
        <f>IFERROR(IF(B118="","",IF($P$3=$AT$8,"",IF($P$3=$AT$9,"",IF($P$3=$AT$10,'Statement of Marks'!AV117,IF($P$3=$AT$11,'Statement of Marks'!BS117,IF($P$3=$AT$12,'Statement of Marks'!CP117,IF($P$3=$AT$13,'Statement of Marks'!DN117,IF($P$3=$AT$14,"",IF($P$3=$AT$15,"",""))))))))),"")</f>
        <v/>
      </c>
      <c r="V118" s="824" t="str">
        <f>IFERROR(IF(B118="","",IF(AND(T118="",U118="",$P$3=""),"",IF($P$3=$AT$14,'Statement of Marks'!EE117,SUM(T118,U118)))),"")</f>
        <v/>
      </c>
      <c r="W118" s="814" t="str">
        <f t="shared" si="19"/>
        <v/>
      </c>
      <c r="X118" s="815">
        <f t="shared" si="20"/>
        <v>0</v>
      </c>
      <c r="Y118" s="815">
        <f t="shared" si="21"/>
        <v>0</v>
      </c>
      <c r="Z118" s="815">
        <f t="shared" si="22"/>
        <v>0</v>
      </c>
      <c r="AA118" s="815" t="str">
        <f t="shared" si="23"/>
        <v/>
      </c>
      <c r="AB118" s="815" t="str">
        <f t="shared" si="24"/>
        <v/>
      </c>
      <c r="AC118" s="815" t="str">
        <f t="shared" si="25"/>
        <v/>
      </c>
      <c r="AD118" s="815" t="str">
        <f t="shared" si="26"/>
        <v/>
      </c>
      <c r="AE118" s="816" t="str">
        <f t="shared" si="27"/>
        <v/>
      </c>
      <c r="AF118" s="817" t="str">
        <f t="shared" si="28"/>
        <v/>
      </c>
      <c r="AG118" s="818" t="str">
        <f t="shared" si="29"/>
        <v/>
      </c>
      <c r="AW118" s="17" t="str">
        <f t="shared" si="30"/>
        <v/>
      </c>
      <c r="AX118" s="17" t="str">
        <f t="shared" si="31"/>
        <v/>
      </c>
      <c r="BM118" s="17" t="str">
        <f>IFERROR(VLOOKUP(B118,'Statement of Marks'!$B$8:'Statement of Marks'!$HI$207,37,0),"")</f>
        <v>A</v>
      </c>
      <c r="BN118" s="17" t="str">
        <f>IFERROR(VLOOKUP(B118,'Statement of Marks'!$B$8:'Statement of Marks'!$HI$207,60,0),"")</f>
        <v>A</v>
      </c>
      <c r="BO118" s="17" t="str">
        <f>IFERROR(VLOOKUP(B118,'Statement of Marks'!$B$8:'Statement of Marks'!$HI$207,83,0),"")</f>
        <v>A</v>
      </c>
      <c r="BP118" s="17" t="str">
        <f>IFERROR(VLOOKUP(B118,'Statement of Marks'!$B$8:'Statement of Marks'!$HI$207,107,0),"")</f>
        <v/>
      </c>
    </row>
    <row r="119" spans="1:68">
      <c r="A119" s="806">
        <f>IF('Statement of Marks'!A118="","",'Statement of Marks'!A118)</f>
        <v>111</v>
      </c>
      <c r="B119" s="807" t="str">
        <f>IF(OR($E$3="",$P$3=""),"",IF('Statement of Marks'!B118="","",'Statement of Marks'!B118))</f>
        <v/>
      </c>
      <c r="C119" s="816" t="str">
        <f>IF(OR($E$3="",$P$3=""),"",IF('Marks Entry'!C118="","",'Marks Entry'!C118))</f>
        <v/>
      </c>
      <c r="D119" s="808" t="str">
        <f>IF(OR($E$3="",$P$3=""),"",IF('Statement of Marks'!C118="","",'Statement of Marks'!C118))</f>
        <v/>
      </c>
      <c r="E119" s="809" t="str">
        <f>IF(OR($E$3="",$P$3=""),"",IF('Statement of Marks'!D118="","",'Statement of Marks'!D118))</f>
        <v/>
      </c>
      <c r="F119" s="810" t="str">
        <f>IF(OR($E$3="",$P$3=""),"",IF('Statement of Marks'!E118="","",'Statement of Marks'!E118))</f>
        <v/>
      </c>
      <c r="G119" s="810" t="str">
        <f>IF(OR($E$3="",$P$3=""),"",IF('Statement of Marks'!F118="","",'Statement of Marks'!F118))</f>
        <v/>
      </c>
      <c r="H119" s="810" t="str">
        <f>IF(OR($E$3="",$P$3=""),"",IF('Statement of Marks'!G118="","",'Statement of Marks'!G118))</f>
        <v/>
      </c>
      <c r="I119" s="811" t="str">
        <f>IF(OR($E$3="",$P$3=""),"",IF('Statement of Marks'!H118="","",'Statement of Marks'!H118))</f>
        <v/>
      </c>
      <c r="J119" s="811" t="str">
        <f>IF(OR($E$3="",$P$3=""),"",IF('Statement of Marks'!I118="","",'Statement of Marks'!I118))</f>
        <v/>
      </c>
      <c r="K119" s="811" t="str">
        <f>IFERROR(IF(B119="","",IF($P$3=$AT$10,IF(AND(BM119="A"),'Marks Entry'!$U$2,IF(AND(BM119="B"),'Marks Entry'!$Y$2,IF(AND(BM119="C"),'Marks Entry'!$AA$2,""))),IF($P$3=$AT$11,IF(AND(BN119="A"),'Marks Entry'!$AC$2,IF(AND(BN119="B"),'Marks Entry'!$AG$2,IF(AND(BN119="C"),'Marks Entry'!$AI$2,""))),IF($P$3=$AT$12,IF(AND(BO119="A"),'Marks Entry'!$AK$2,IF(AND(BO119="B"),'Marks Entry'!$AO$2,IF(AND(BO119="C"),'Marks Entry'!$AQ$2,""))),IF($P$3=$AT$13,IF(AND(BP119="A"),'Marks Entry'!$AS$2,IF(AND(BP119="B"),'Marks Entry'!$AW$2,IF(AND(BP119="C"),'Marks Entry'!$AY$2,""))),"-"))))),"")</f>
        <v/>
      </c>
      <c r="L119" s="812" t="str">
        <f>IFERROR(IF(B119="","",IF($P$3=$AT$8,'Statement of Marks'!J118,IF($P$3=$AT$9,'Statement of Marks'!X118,IF($P$3=$AT$10,'Statement of Marks'!AM118,IF($P$3=$AT$11,'Statement of Marks'!BJ118,IF($P$3=$AT$12,'Statement of Marks'!CG118,IF($P$3=$AT$13,'Statement of Marks'!DE118,IF($P$3=$AT$14,"",IF($P$3=$AT$15,'Statement of Marks'!EY118,""))))))))),"")</f>
        <v/>
      </c>
      <c r="M119" s="812" t="str">
        <f>IFERROR(IF(B119="","",IF($P$3=$AT$8,'Statement of Marks'!K118,IF($P$3=$AT$9,'Statement of Marks'!Y118,IF($P$3=$AT$10,'Statement of Marks'!AN118,IF($P$3=$AT$11,'Statement of Marks'!BK118,IF($P$3=$AT$12,'Statement of Marks'!CH118,IF($P$3=$AT$13,'Statement of Marks'!DF118,IF($P$3=$AT$14,"",IF($P$3=$AT$15,'Statement of Marks'!EZ118,""))))))))),"")</f>
        <v/>
      </c>
      <c r="N119" s="812" t="str">
        <f>IFERROR(IF(B119="","",IF($P$3=$AT$8,'Statement of Marks'!L118,IF($P$3=$AT$9,'Statement of Marks'!Z118,IF($P$3=$AT$10,'Statement of Marks'!AO118,IF($P$3=$AT$11,'Statement of Marks'!BL118,IF($P$3=$AT$12,'Statement of Marks'!CI118,IF($P$3=$AT$13,'Statement of Marks'!DG118,IF($P$3=$AT$14,"",IF($P$3=$AT$15,'Statement of Marks'!FA118,""))))))))),"")</f>
        <v/>
      </c>
      <c r="O119" s="813" t="str">
        <f t="shared" si="18"/>
        <v/>
      </c>
      <c r="P119" s="812" t="str">
        <f>IFERROR(IF(B119="","",IF($P$3=$AT$8,'Statement of Marks'!N118,IF($P$3=$AT$9,'Statement of Marks'!AB118,IF($P$3=$AT$10,'Statement of Marks'!AQ118,IF($P$3=$AT$11,'Statement of Marks'!BN118,IF($P$3=$AT$12,'Statement of Marks'!CK118,IF($P$3=$AT$13,'Statement of Marks'!DI118,IF($P$3=$AT$14,"",IF($P$3=$AT$15,'Statement of Marks'!FC118,""))))))))),"")</f>
        <v/>
      </c>
      <c r="Q119" s="812" t="str">
        <f>IFERROR(IF(B119="","",IF($P$3=$AT$8,"",IF($P$3=$AT$9,"",IF($P$3=$AT$10,'Statement of Marks'!AR118,IF($P$3=$AT$11,'Statement of Marks'!BO118,IF($P$3=$AT$12,'Statement of Marks'!CL118,IF($P$3=$AT$13,'Statement of Marks'!DJ118,IF($P$3=$AT$14,"",IF($P$3=$AT$15,"",""))))))))),"")</f>
        <v/>
      </c>
      <c r="R119" s="824" t="str">
        <f>IFERROR(IF(B119="","",IF(AND(P119="",Q119="",$P$3=""),"",IF($P$3=$AT$14,'Statement of Marks'!EC118,SUM(P119,Q119)))),"")</f>
        <v/>
      </c>
      <c r="S119" s="823" t="str">
        <f>IFERROR(IF(B119="","",IF($P$3=$AT$14,'Statement of Marks'!ED118,IF(AND(O119="NA",P119="NA",Q119="NA"),"NA",IF(AND(O119="",P119="",Q119=""),"",SUM(O119,P119,Q119))))),"")</f>
        <v/>
      </c>
      <c r="T119" s="812" t="str">
        <f>IFERROR(IF(B119="","",IF($P$3=$AT$8,'Statement of Marks'!P118,IF($P$3=$AT$9,'Statement of Marks'!AD118,IF($P$3=$AT$10,'Statement of Marks'!AU118,IF($P$3=$AT$11,'Statement of Marks'!BR118,IF($P$3=$AT$12,'Statement of Marks'!CO118,IF($P$3=$AT$13,'Statement of Marks'!DM118,IF($P$3=$AT$14,"",IF($P$3=$AT$15,'Statement of Marks'!FD118,""))))))))),"")</f>
        <v/>
      </c>
      <c r="U119" s="812" t="str">
        <f>IFERROR(IF(B119="","",IF($P$3=$AT$8,"",IF($P$3=$AT$9,"",IF($P$3=$AT$10,'Statement of Marks'!AV118,IF($P$3=$AT$11,'Statement of Marks'!BS118,IF($P$3=$AT$12,'Statement of Marks'!CP118,IF($P$3=$AT$13,'Statement of Marks'!DN118,IF($P$3=$AT$14,"",IF($P$3=$AT$15,"",""))))))))),"")</f>
        <v/>
      </c>
      <c r="V119" s="824" t="str">
        <f>IFERROR(IF(B119="","",IF(AND(T119="",U119="",$P$3=""),"",IF($P$3=$AT$14,'Statement of Marks'!EE118,SUM(T119,U119)))),"")</f>
        <v/>
      </c>
      <c r="W119" s="814" t="str">
        <f t="shared" si="19"/>
        <v/>
      </c>
      <c r="X119" s="815">
        <f t="shared" si="20"/>
        <v>0</v>
      </c>
      <c r="Y119" s="815">
        <f t="shared" si="21"/>
        <v>0</v>
      </c>
      <c r="Z119" s="815">
        <f t="shared" si="22"/>
        <v>0</v>
      </c>
      <c r="AA119" s="815" t="str">
        <f t="shared" si="23"/>
        <v/>
      </c>
      <c r="AB119" s="815" t="str">
        <f t="shared" si="24"/>
        <v/>
      </c>
      <c r="AC119" s="815" t="str">
        <f t="shared" si="25"/>
        <v/>
      </c>
      <c r="AD119" s="815" t="str">
        <f t="shared" si="26"/>
        <v/>
      </c>
      <c r="AE119" s="816" t="str">
        <f t="shared" si="27"/>
        <v/>
      </c>
      <c r="AF119" s="817" t="str">
        <f t="shared" si="28"/>
        <v/>
      </c>
      <c r="AG119" s="818" t="str">
        <f t="shared" si="29"/>
        <v/>
      </c>
      <c r="AW119" s="17" t="str">
        <f t="shared" si="30"/>
        <v/>
      </c>
      <c r="AX119" s="17" t="str">
        <f t="shared" si="31"/>
        <v/>
      </c>
      <c r="BM119" s="17" t="str">
        <f>IFERROR(VLOOKUP(B119,'Statement of Marks'!$B$8:'Statement of Marks'!$HI$207,37,0),"")</f>
        <v>A</v>
      </c>
      <c r="BN119" s="17" t="str">
        <f>IFERROR(VLOOKUP(B119,'Statement of Marks'!$B$8:'Statement of Marks'!$HI$207,60,0),"")</f>
        <v>A</v>
      </c>
      <c r="BO119" s="17" t="str">
        <f>IFERROR(VLOOKUP(B119,'Statement of Marks'!$B$8:'Statement of Marks'!$HI$207,83,0),"")</f>
        <v>A</v>
      </c>
      <c r="BP119" s="17" t="str">
        <f>IFERROR(VLOOKUP(B119,'Statement of Marks'!$B$8:'Statement of Marks'!$HI$207,107,0),"")</f>
        <v/>
      </c>
    </row>
    <row r="120" spans="1:68">
      <c r="A120" s="806">
        <f>IF('Statement of Marks'!A119="","",'Statement of Marks'!A119)</f>
        <v>112</v>
      </c>
      <c r="B120" s="807" t="str">
        <f>IF(OR($E$3="",$P$3=""),"",IF('Statement of Marks'!B119="","",'Statement of Marks'!B119))</f>
        <v/>
      </c>
      <c r="C120" s="816" t="str">
        <f>IF(OR($E$3="",$P$3=""),"",IF('Marks Entry'!C119="","",'Marks Entry'!C119))</f>
        <v/>
      </c>
      <c r="D120" s="808" t="str">
        <f>IF(OR($E$3="",$P$3=""),"",IF('Statement of Marks'!C119="","",'Statement of Marks'!C119))</f>
        <v/>
      </c>
      <c r="E120" s="809" t="str">
        <f>IF(OR($E$3="",$P$3=""),"",IF('Statement of Marks'!D119="","",'Statement of Marks'!D119))</f>
        <v/>
      </c>
      <c r="F120" s="810" t="str">
        <f>IF(OR($E$3="",$P$3=""),"",IF('Statement of Marks'!E119="","",'Statement of Marks'!E119))</f>
        <v/>
      </c>
      <c r="G120" s="810" t="str">
        <f>IF(OR($E$3="",$P$3=""),"",IF('Statement of Marks'!F119="","",'Statement of Marks'!F119))</f>
        <v/>
      </c>
      <c r="H120" s="810" t="str">
        <f>IF(OR($E$3="",$P$3=""),"",IF('Statement of Marks'!G119="","",'Statement of Marks'!G119))</f>
        <v/>
      </c>
      <c r="I120" s="811" t="str">
        <f>IF(OR($E$3="",$P$3=""),"",IF('Statement of Marks'!H119="","",'Statement of Marks'!H119))</f>
        <v/>
      </c>
      <c r="J120" s="811" t="str">
        <f>IF(OR($E$3="",$P$3=""),"",IF('Statement of Marks'!I119="","",'Statement of Marks'!I119))</f>
        <v/>
      </c>
      <c r="K120" s="811" t="str">
        <f>IFERROR(IF(B120="","",IF($P$3=$AT$10,IF(AND(BM120="A"),'Marks Entry'!$U$2,IF(AND(BM120="B"),'Marks Entry'!$Y$2,IF(AND(BM120="C"),'Marks Entry'!$AA$2,""))),IF($P$3=$AT$11,IF(AND(BN120="A"),'Marks Entry'!$AC$2,IF(AND(BN120="B"),'Marks Entry'!$AG$2,IF(AND(BN120="C"),'Marks Entry'!$AI$2,""))),IF($P$3=$AT$12,IF(AND(BO120="A"),'Marks Entry'!$AK$2,IF(AND(BO120="B"),'Marks Entry'!$AO$2,IF(AND(BO120="C"),'Marks Entry'!$AQ$2,""))),IF($P$3=$AT$13,IF(AND(BP120="A"),'Marks Entry'!$AS$2,IF(AND(BP120="B"),'Marks Entry'!$AW$2,IF(AND(BP120="C"),'Marks Entry'!$AY$2,""))),"-"))))),"")</f>
        <v/>
      </c>
      <c r="L120" s="812" t="str">
        <f>IFERROR(IF(B120="","",IF($P$3=$AT$8,'Statement of Marks'!J119,IF($P$3=$AT$9,'Statement of Marks'!X119,IF($P$3=$AT$10,'Statement of Marks'!AM119,IF($P$3=$AT$11,'Statement of Marks'!BJ119,IF($P$3=$AT$12,'Statement of Marks'!CG119,IF($P$3=$AT$13,'Statement of Marks'!DE119,IF($P$3=$AT$14,"",IF($P$3=$AT$15,'Statement of Marks'!EY119,""))))))))),"")</f>
        <v/>
      </c>
      <c r="M120" s="812" t="str">
        <f>IFERROR(IF(B120="","",IF($P$3=$AT$8,'Statement of Marks'!K119,IF($P$3=$AT$9,'Statement of Marks'!Y119,IF($P$3=$AT$10,'Statement of Marks'!AN119,IF($P$3=$AT$11,'Statement of Marks'!BK119,IF($P$3=$AT$12,'Statement of Marks'!CH119,IF($P$3=$AT$13,'Statement of Marks'!DF119,IF($P$3=$AT$14,"",IF($P$3=$AT$15,'Statement of Marks'!EZ119,""))))))))),"")</f>
        <v/>
      </c>
      <c r="N120" s="812" t="str">
        <f>IFERROR(IF(B120="","",IF($P$3=$AT$8,'Statement of Marks'!L119,IF($P$3=$AT$9,'Statement of Marks'!Z119,IF($P$3=$AT$10,'Statement of Marks'!AO119,IF($P$3=$AT$11,'Statement of Marks'!BL119,IF($P$3=$AT$12,'Statement of Marks'!CI119,IF($P$3=$AT$13,'Statement of Marks'!DG119,IF($P$3=$AT$14,"",IF($P$3=$AT$15,'Statement of Marks'!FA119,""))))))))),"")</f>
        <v/>
      </c>
      <c r="O120" s="813" t="str">
        <f t="shared" si="18"/>
        <v/>
      </c>
      <c r="P120" s="812" t="str">
        <f>IFERROR(IF(B120="","",IF($P$3=$AT$8,'Statement of Marks'!N119,IF($P$3=$AT$9,'Statement of Marks'!AB119,IF($P$3=$AT$10,'Statement of Marks'!AQ119,IF($P$3=$AT$11,'Statement of Marks'!BN119,IF($P$3=$AT$12,'Statement of Marks'!CK119,IF($P$3=$AT$13,'Statement of Marks'!DI119,IF($P$3=$AT$14,"",IF($P$3=$AT$15,'Statement of Marks'!FC119,""))))))))),"")</f>
        <v/>
      </c>
      <c r="Q120" s="812" t="str">
        <f>IFERROR(IF(B120="","",IF($P$3=$AT$8,"",IF($P$3=$AT$9,"",IF($P$3=$AT$10,'Statement of Marks'!AR119,IF($P$3=$AT$11,'Statement of Marks'!BO119,IF($P$3=$AT$12,'Statement of Marks'!CL119,IF($P$3=$AT$13,'Statement of Marks'!DJ119,IF($P$3=$AT$14,"",IF($P$3=$AT$15,"",""))))))))),"")</f>
        <v/>
      </c>
      <c r="R120" s="824" t="str">
        <f>IFERROR(IF(B120="","",IF(AND(P120="",Q120="",$P$3=""),"",IF($P$3=$AT$14,'Statement of Marks'!EC119,SUM(P120,Q120)))),"")</f>
        <v/>
      </c>
      <c r="S120" s="823" t="str">
        <f>IFERROR(IF(B120="","",IF($P$3=$AT$14,'Statement of Marks'!ED119,IF(AND(O120="NA",P120="NA",Q120="NA"),"NA",IF(AND(O120="",P120="",Q120=""),"",SUM(O120,P120,Q120))))),"")</f>
        <v/>
      </c>
      <c r="T120" s="812" t="str">
        <f>IFERROR(IF(B120="","",IF($P$3=$AT$8,'Statement of Marks'!P119,IF($P$3=$AT$9,'Statement of Marks'!AD119,IF($P$3=$AT$10,'Statement of Marks'!AU119,IF($P$3=$AT$11,'Statement of Marks'!BR119,IF($P$3=$AT$12,'Statement of Marks'!CO119,IF($P$3=$AT$13,'Statement of Marks'!DM119,IF($P$3=$AT$14,"",IF($P$3=$AT$15,'Statement of Marks'!FD119,""))))))))),"")</f>
        <v/>
      </c>
      <c r="U120" s="812" t="str">
        <f>IFERROR(IF(B120="","",IF($P$3=$AT$8,"",IF($P$3=$AT$9,"",IF($P$3=$AT$10,'Statement of Marks'!AV119,IF($P$3=$AT$11,'Statement of Marks'!BS119,IF($P$3=$AT$12,'Statement of Marks'!CP119,IF($P$3=$AT$13,'Statement of Marks'!DN119,IF($P$3=$AT$14,"",IF($P$3=$AT$15,"",""))))))))),"")</f>
        <v/>
      </c>
      <c r="V120" s="824" t="str">
        <f>IFERROR(IF(B120="","",IF(AND(T120="",U120="",$P$3=""),"",IF($P$3=$AT$14,'Statement of Marks'!EE119,SUM(T120,U120)))),"")</f>
        <v/>
      </c>
      <c r="W120" s="814" t="str">
        <f t="shared" si="19"/>
        <v/>
      </c>
      <c r="X120" s="815">
        <f t="shared" si="20"/>
        <v>0</v>
      </c>
      <c r="Y120" s="815">
        <f t="shared" si="21"/>
        <v>0</v>
      </c>
      <c r="Z120" s="815">
        <f t="shared" si="22"/>
        <v>0</v>
      </c>
      <c r="AA120" s="815" t="str">
        <f t="shared" si="23"/>
        <v/>
      </c>
      <c r="AB120" s="815" t="str">
        <f t="shared" si="24"/>
        <v/>
      </c>
      <c r="AC120" s="815" t="str">
        <f t="shared" si="25"/>
        <v/>
      </c>
      <c r="AD120" s="815" t="str">
        <f t="shared" si="26"/>
        <v/>
      </c>
      <c r="AE120" s="816" t="str">
        <f t="shared" si="27"/>
        <v/>
      </c>
      <c r="AF120" s="817" t="str">
        <f t="shared" si="28"/>
        <v/>
      </c>
      <c r="AG120" s="818" t="str">
        <f t="shared" si="29"/>
        <v/>
      </c>
      <c r="AW120" s="17" t="str">
        <f t="shared" si="30"/>
        <v/>
      </c>
      <c r="AX120" s="17" t="str">
        <f t="shared" si="31"/>
        <v/>
      </c>
      <c r="BM120" s="17" t="str">
        <f>IFERROR(VLOOKUP(B120,'Statement of Marks'!$B$8:'Statement of Marks'!$HI$207,37,0),"")</f>
        <v>A</v>
      </c>
      <c r="BN120" s="17" t="str">
        <f>IFERROR(VLOOKUP(B120,'Statement of Marks'!$B$8:'Statement of Marks'!$HI$207,60,0),"")</f>
        <v>A</v>
      </c>
      <c r="BO120" s="17" t="str">
        <f>IFERROR(VLOOKUP(B120,'Statement of Marks'!$B$8:'Statement of Marks'!$HI$207,83,0),"")</f>
        <v>A</v>
      </c>
      <c r="BP120" s="17" t="str">
        <f>IFERROR(VLOOKUP(B120,'Statement of Marks'!$B$8:'Statement of Marks'!$HI$207,107,0),"")</f>
        <v/>
      </c>
    </row>
    <row r="121" spans="1:68">
      <c r="A121" s="806">
        <f>IF('Statement of Marks'!A120="","",'Statement of Marks'!A120)</f>
        <v>113</v>
      </c>
      <c r="B121" s="807" t="str">
        <f>IF(OR($E$3="",$P$3=""),"",IF('Statement of Marks'!B120="","",'Statement of Marks'!B120))</f>
        <v/>
      </c>
      <c r="C121" s="816" t="str">
        <f>IF(OR($E$3="",$P$3=""),"",IF('Marks Entry'!C120="","",'Marks Entry'!C120))</f>
        <v/>
      </c>
      <c r="D121" s="808" t="str">
        <f>IF(OR($E$3="",$P$3=""),"",IF('Statement of Marks'!C120="","",'Statement of Marks'!C120))</f>
        <v/>
      </c>
      <c r="E121" s="809" t="str">
        <f>IF(OR($E$3="",$P$3=""),"",IF('Statement of Marks'!D120="","",'Statement of Marks'!D120))</f>
        <v/>
      </c>
      <c r="F121" s="810" t="str">
        <f>IF(OR($E$3="",$P$3=""),"",IF('Statement of Marks'!E120="","",'Statement of Marks'!E120))</f>
        <v/>
      </c>
      <c r="G121" s="810" t="str">
        <f>IF(OR($E$3="",$P$3=""),"",IF('Statement of Marks'!F120="","",'Statement of Marks'!F120))</f>
        <v/>
      </c>
      <c r="H121" s="810" t="str">
        <f>IF(OR($E$3="",$P$3=""),"",IF('Statement of Marks'!G120="","",'Statement of Marks'!G120))</f>
        <v/>
      </c>
      <c r="I121" s="811" t="str">
        <f>IF(OR($E$3="",$P$3=""),"",IF('Statement of Marks'!H120="","",'Statement of Marks'!H120))</f>
        <v/>
      </c>
      <c r="J121" s="811" t="str">
        <f>IF(OR($E$3="",$P$3=""),"",IF('Statement of Marks'!I120="","",'Statement of Marks'!I120))</f>
        <v/>
      </c>
      <c r="K121" s="811" t="str">
        <f>IFERROR(IF(B121="","",IF($P$3=$AT$10,IF(AND(BM121="A"),'Marks Entry'!$U$2,IF(AND(BM121="B"),'Marks Entry'!$Y$2,IF(AND(BM121="C"),'Marks Entry'!$AA$2,""))),IF($P$3=$AT$11,IF(AND(BN121="A"),'Marks Entry'!$AC$2,IF(AND(BN121="B"),'Marks Entry'!$AG$2,IF(AND(BN121="C"),'Marks Entry'!$AI$2,""))),IF($P$3=$AT$12,IF(AND(BO121="A"),'Marks Entry'!$AK$2,IF(AND(BO121="B"),'Marks Entry'!$AO$2,IF(AND(BO121="C"),'Marks Entry'!$AQ$2,""))),IF($P$3=$AT$13,IF(AND(BP121="A"),'Marks Entry'!$AS$2,IF(AND(BP121="B"),'Marks Entry'!$AW$2,IF(AND(BP121="C"),'Marks Entry'!$AY$2,""))),"-"))))),"")</f>
        <v/>
      </c>
      <c r="L121" s="812" t="str">
        <f>IFERROR(IF(B121="","",IF($P$3=$AT$8,'Statement of Marks'!J120,IF($P$3=$AT$9,'Statement of Marks'!X120,IF($P$3=$AT$10,'Statement of Marks'!AM120,IF($P$3=$AT$11,'Statement of Marks'!BJ120,IF($P$3=$AT$12,'Statement of Marks'!CG120,IF($P$3=$AT$13,'Statement of Marks'!DE120,IF($P$3=$AT$14,"",IF($P$3=$AT$15,'Statement of Marks'!EY120,""))))))))),"")</f>
        <v/>
      </c>
      <c r="M121" s="812" t="str">
        <f>IFERROR(IF(B121="","",IF($P$3=$AT$8,'Statement of Marks'!K120,IF($P$3=$AT$9,'Statement of Marks'!Y120,IF($P$3=$AT$10,'Statement of Marks'!AN120,IF($P$3=$AT$11,'Statement of Marks'!BK120,IF($P$3=$AT$12,'Statement of Marks'!CH120,IF($P$3=$AT$13,'Statement of Marks'!DF120,IF($P$3=$AT$14,"",IF($P$3=$AT$15,'Statement of Marks'!EZ120,""))))))))),"")</f>
        <v/>
      </c>
      <c r="N121" s="812" t="str">
        <f>IFERROR(IF(B121="","",IF($P$3=$AT$8,'Statement of Marks'!L120,IF($P$3=$AT$9,'Statement of Marks'!Z120,IF($P$3=$AT$10,'Statement of Marks'!AO120,IF($P$3=$AT$11,'Statement of Marks'!BL120,IF($P$3=$AT$12,'Statement of Marks'!CI120,IF($P$3=$AT$13,'Statement of Marks'!DG120,IF($P$3=$AT$14,"",IF($P$3=$AT$15,'Statement of Marks'!FA120,""))))))))),"")</f>
        <v/>
      </c>
      <c r="O121" s="813" t="str">
        <f t="shared" si="18"/>
        <v/>
      </c>
      <c r="P121" s="812" t="str">
        <f>IFERROR(IF(B121="","",IF($P$3=$AT$8,'Statement of Marks'!N120,IF($P$3=$AT$9,'Statement of Marks'!AB120,IF($P$3=$AT$10,'Statement of Marks'!AQ120,IF($P$3=$AT$11,'Statement of Marks'!BN120,IF($P$3=$AT$12,'Statement of Marks'!CK120,IF($P$3=$AT$13,'Statement of Marks'!DI120,IF($P$3=$AT$14,"",IF($P$3=$AT$15,'Statement of Marks'!FC120,""))))))))),"")</f>
        <v/>
      </c>
      <c r="Q121" s="812" t="str">
        <f>IFERROR(IF(B121="","",IF($P$3=$AT$8,"",IF($P$3=$AT$9,"",IF($P$3=$AT$10,'Statement of Marks'!AR120,IF($P$3=$AT$11,'Statement of Marks'!BO120,IF($P$3=$AT$12,'Statement of Marks'!CL120,IF($P$3=$AT$13,'Statement of Marks'!DJ120,IF($P$3=$AT$14,"",IF($P$3=$AT$15,"",""))))))))),"")</f>
        <v/>
      </c>
      <c r="R121" s="824" t="str">
        <f>IFERROR(IF(B121="","",IF(AND(P121="",Q121="",$P$3=""),"",IF($P$3=$AT$14,'Statement of Marks'!EC120,SUM(P121,Q121)))),"")</f>
        <v/>
      </c>
      <c r="S121" s="823" t="str">
        <f>IFERROR(IF(B121="","",IF($P$3=$AT$14,'Statement of Marks'!ED120,IF(AND(O121="NA",P121="NA",Q121="NA"),"NA",IF(AND(O121="",P121="",Q121=""),"",SUM(O121,P121,Q121))))),"")</f>
        <v/>
      </c>
      <c r="T121" s="812" t="str">
        <f>IFERROR(IF(B121="","",IF($P$3=$AT$8,'Statement of Marks'!P120,IF($P$3=$AT$9,'Statement of Marks'!AD120,IF($P$3=$AT$10,'Statement of Marks'!AU120,IF($P$3=$AT$11,'Statement of Marks'!BR120,IF($P$3=$AT$12,'Statement of Marks'!CO120,IF($P$3=$AT$13,'Statement of Marks'!DM120,IF($P$3=$AT$14,"",IF($P$3=$AT$15,'Statement of Marks'!FD120,""))))))))),"")</f>
        <v/>
      </c>
      <c r="U121" s="812" t="str">
        <f>IFERROR(IF(B121="","",IF($P$3=$AT$8,"",IF($P$3=$AT$9,"",IF($P$3=$AT$10,'Statement of Marks'!AV120,IF($P$3=$AT$11,'Statement of Marks'!BS120,IF($P$3=$AT$12,'Statement of Marks'!CP120,IF($P$3=$AT$13,'Statement of Marks'!DN120,IF($P$3=$AT$14,"",IF($P$3=$AT$15,"",""))))))))),"")</f>
        <v/>
      </c>
      <c r="V121" s="824" t="str">
        <f>IFERROR(IF(B121="","",IF(AND(T121="",U121="",$P$3=""),"",IF($P$3=$AT$14,'Statement of Marks'!EE120,SUM(T121,U121)))),"")</f>
        <v/>
      </c>
      <c r="W121" s="814" t="str">
        <f t="shared" si="19"/>
        <v/>
      </c>
      <c r="X121" s="815">
        <f t="shared" si="20"/>
        <v>0</v>
      </c>
      <c r="Y121" s="815">
        <f t="shared" si="21"/>
        <v>0</v>
      </c>
      <c r="Z121" s="815">
        <f t="shared" si="22"/>
        <v>0</v>
      </c>
      <c r="AA121" s="815" t="str">
        <f t="shared" si="23"/>
        <v/>
      </c>
      <c r="AB121" s="815" t="str">
        <f t="shared" si="24"/>
        <v/>
      </c>
      <c r="AC121" s="815" t="str">
        <f t="shared" si="25"/>
        <v/>
      </c>
      <c r="AD121" s="815" t="str">
        <f t="shared" si="26"/>
        <v/>
      </c>
      <c r="AE121" s="816" t="str">
        <f t="shared" si="27"/>
        <v/>
      </c>
      <c r="AF121" s="817" t="str">
        <f t="shared" si="28"/>
        <v/>
      </c>
      <c r="AG121" s="818" t="str">
        <f t="shared" si="29"/>
        <v/>
      </c>
      <c r="AW121" s="17" t="str">
        <f t="shared" si="30"/>
        <v/>
      </c>
      <c r="AX121" s="17" t="str">
        <f t="shared" si="31"/>
        <v/>
      </c>
      <c r="BM121" s="17" t="str">
        <f>IFERROR(VLOOKUP(B121,'Statement of Marks'!$B$8:'Statement of Marks'!$HI$207,37,0),"")</f>
        <v>A</v>
      </c>
      <c r="BN121" s="17" t="str">
        <f>IFERROR(VLOOKUP(B121,'Statement of Marks'!$B$8:'Statement of Marks'!$HI$207,60,0),"")</f>
        <v>A</v>
      </c>
      <c r="BO121" s="17" t="str">
        <f>IFERROR(VLOOKUP(B121,'Statement of Marks'!$B$8:'Statement of Marks'!$HI$207,83,0),"")</f>
        <v>A</v>
      </c>
      <c r="BP121" s="17" t="str">
        <f>IFERROR(VLOOKUP(B121,'Statement of Marks'!$B$8:'Statement of Marks'!$HI$207,107,0),"")</f>
        <v/>
      </c>
    </row>
    <row r="122" spans="1:68">
      <c r="A122" s="806">
        <f>IF('Statement of Marks'!A121="","",'Statement of Marks'!A121)</f>
        <v>114</v>
      </c>
      <c r="B122" s="807" t="str">
        <f>IF(OR($E$3="",$P$3=""),"",IF('Statement of Marks'!B121="","",'Statement of Marks'!B121))</f>
        <v/>
      </c>
      <c r="C122" s="816" t="str">
        <f>IF(OR($E$3="",$P$3=""),"",IF('Marks Entry'!C121="","",'Marks Entry'!C121))</f>
        <v/>
      </c>
      <c r="D122" s="808" t="str">
        <f>IF(OR($E$3="",$P$3=""),"",IF('Statement of Marks'!C121="","",'Statement of Marks'!C121))</f>
        <v/>
      </c>
      <c r="E122" s="809" t="str">
        <f>IF(OR($E$3="",$P$3=""),"",IF('Statement of Marks'!D121="","",'Statement of Marks'!D121))</f>
        <v/>
      </c>
      <c r="F122" s="810" t="str">
        <f>IF(OR($E$3="",$P$3=""),"",IF('Statement of Marks'!E121="","",'Statement of Marks'!E121))</f>
        <v/>
      </c>
      <c r="G122" s="810" t="str">
        <f>IF(OR($E$3="",$P$3=""),"",IF('Statement of Marks'!F121="","",'Statement of Marks'!F121))</f>
        <v/>
      </c>
      <c r="H122" s="810" t="str">
        <f>IF(OR($E$3="",$P$3=""),"",IF('Statement of Marks'!G121="","",'Statement of Marks'!G121))</f>
        <v/>
      </c>
      <c r="I122" s="811" t="str">
        <f>IF(OR($E$3="",$P$3=""),"",IF('Statement of Marks'!H121="","",'Statement of Marks'!H121))</f>
        <v/>
      </c>
      <c r="J122" s="811" t="str">
        <f>IF(OR($E$3="",$P$3=""),"",IF('Statement of Marks'!I121="","",'Statement of Marks'!I121))</f>
        <v/>
      </c>
      <c r="K122" s="811" t="str">
        <f>IFERROR(IF(B122="","",IF($P$3=$AT$10,IF(AND(BM122="A"),'Marks Entry'!$U$2,IF(AND(BM122="B"),'Marks Entry'!$Y$2,IF(AND(BM122="C"),'Marks Entry'!$AA$2,""))),IF($P$3=$AT$11,IF(AND(BN122="A"),'Marks Entry'!$AC$2,IF(AND(BN122="B"),'Marks Entry'!$AG$2,IF(AND(BN122="C"),'Marks Entry'!$AI$2,""))),IF($P$3=$AT$12,IF(AND(BO122="A"),'Marks Entry'!$AK$2,IF(AND(BO122="B"),'Marks Entry'!$AO$2,IF(AND(BO122="C"),'Marks Entry'!$AQ$2,""))),IF($P$3=$AT$13,IF(AND(BP122="A"),'Marks Entry'!$AS$2,IF(AND(BP122="B"),'Marks Entry'!$AW$2,IF(AND(BP122="C"),'Marks Entry'!$AY$2,""))),"-"))))),"")</f>
        <v/>
      </c>
      <c r="L122" s="812" t="str">
        <f>IFERROR(IF(B122="","",IF($P$3=$AT$8,'Statement of Marks'!J121,IF($P$3=$AT$9,'Statement of Marks'!X121,IF($P$3=$AT$10,'Statement of Marks'!AM121,IF($P$3=$AT$11,'Statement of Marks'!BJ121,IF($P$3=$AT$12,'Statement of Marks'!CG121,IF($P$3=$AT$13,'Statement of Marks'!DE121,IF($P$3=$AT$14,"",IF($P$3=$AT$15,'Statement of Marks'!EY121,""))))))))),"")</f>
        <v/>
      </c>
      <c r="M122" s="812" t="str">
        <f>IFERROR(IF(B122="","",IF($P$3=$AT$8,'Statement of Marks'!K121,IF($P$3=$AT$9,'Statement of Marks'!Y121,IF($P$3=$AT$10,'Statement of Marks'!AN121,IF($P$3=$AT$11,'Statement of Marks'!BK121,IF($P$3=$AT$12,'Statement of Marks'!CH121,IF($P$3=$AT$13,'Statement of Marks'!DF121,IF($P$3=$AT$14,"",IF($P$3=$AT$15,'Statement of Marks'!EZ121,""))))))))),"")</f>
        <v/>
      </c>
      <c r="N122" s="812" t="str">
        <f>IFERROR(IF(B122="","",IF($P$3=$AT$8,'Statement of Marks'!L121,IF($P$3=$AT$9,'Statement of Marks'!Z121,IF($P$3=$AT$10,'Statement of Marks'!AO121,IF($P$3=$AT$11,'Statement of Marks'!BL121,IF($P$3=$AT$12,'Statement of Marks'!CI121,IF($P$3=$AT$13,'Statement of Marks'!DG121,IF($P$3=$AT$14,"",IF($P$3=$AT$15,'Statement of Marks'!FA121,""))))))))),"")</f>
        <v/>
      </c>
      <c r="O122" s="813" t="str">
        <f t="shared" si="18"/>
        <v/>
      </c>
      <c r="P122" s="812" t="str">
        <f>IFERROR(IF(B122="","",IF($P$3=$AT$8,'Statement of Marks'!N121,IF($P$3=$AT$9,'Statement of Marks'!AB121,IF($P$3=$AT$10,'Statement of Marks'!AQ121,IF($P$3=$AT$11,'Statement of Marks'!BN121,IF($P$3=$AT$12,'Statement of Marks'!CK121,IF($P$3=$AT$13,'Statement of Marks'!DI121,IF($P$3=$AT$14,"",IF($P$3=$AT$15,'Statement of Marks'!FC121,""))))))))),"")</f>
        <v/>
      </c>
      <c r="Q122" s="812" t="str">
        <f>IFERROR(IF(B122="","",IF($P$3=$AT$8,"",IF($P$3=$AT$9,"",IF($P$3=$AT$10,'Statement of Marks'!AR121,IF($P$3=$AT$11,'Statement of Marks'!BO121,IF($P$3=$AT$12,'Statement of Marks'!CL121,IF($P$3=$AT$13,'Statement of Marks'!DJ121,IF($P$3=$AT$14,"",IF($P$3=$AT$15,"",""))))))))),"")</f>
        <v/>
      </c>
      <c r="R122" s="824" t="str">
        <f>IFERROR(IF(B122="","",IF(AND(P122="",Q122="",$P$3=""),"",IF($P$3=$AT$14,'Statement of Marks'!EC121,SUM(P122,Q122)))),"")</f>
        <v/>
      </c>
      <c r="S122" s="823" t="str">
        <f>IFERROR(IF(B122="","",IF($P$3=$AT$14,'Statement of Marks'!ED121,IF(AND(O122="NA",P122="NA",Q122="NA"),"NA",IF(AND(O122="",P122="",Q122=""),"",SUM(O122,P122,Q122))))),"")</f>
        <v/>
      </c>
      <c r="T122" s="812" t="str">
        <f>IFERROR(IF(B122="","",IF($P$3=$AT$8,'Statement of Marks'!P121,IF($P$3=$AT$9,'Statement of Marks'!AD121,IF($P$3=$AT$10,'Statement of Marks'!AU121,IF($P$3=$AT$11,'Statement of Marks'!BR121,IF($P$3=$AT$12,'Statement of Marks'!CO121,IF($P$3=$AT$13,'Statement of Marks'!DM121,IF($P$3=$AT$14,"",IF($P$3=$AT$15,'Statement of Marks'!FD121,""))))))))),"")</f>
        <v/>
      </c>
      <c r="U122" s="812" t="str">
        <f>IFERROR(IF(B122="","",IF($P$3=$AT$8,"",IF($P$3=$AT$9,"",IF($P$3=$AT$10,'Statement of Marks'!AV121,IF($P$3=$AT$11,'Statement of Marks'!BS121,IF($P$3=$AT$12,'Statement of Marks'!CP121,IF($P$3=$AT$13,'Statement of Marks'!DN121,IF($P$3=$AT$14,"",IF($P$3=$AT$15,"",""))))))))),"")</f>
        <v/>
      </c>
      <c r="V122" s="824" t="str">
        <f>IFERROR(IF(B122="","",IF(AND(T122="",U122="",$P$3=""),"",IF($P$3=$AT$14,'Statement of Marks'!EE121,SUM(T122,U122)))),"")</f>
        <v/>
      </c>
      <c r="W122" s="814" t="str">
        <f t="shared" si="19"/>
        <v/>
      </c>
      <c r="X122" s="815">
        <f t="shared" si="20"/>
        <v>0</v>
      </c>
      <c r="Y122" s="815">
        <f t="shared" si="21"/>
        <v>0</v>
      </c>
      <c r="Z122" s="815">
        <f t="shared" si="22"/>
        <v>0</v>
      </c>
      <c r="AA122" s="815" t="str">
        <f t="shared" si="23"/>
        <v/>
      </c>
      <c r="AB122" s="815" t="str">
        <f t="shared" si="24"/>
        <v/>
      </c>
      <c r="AC122" s="815" t="str">
        <f t="shared" si="25"/>
        <v/>
      </c>
      <c r="AD122" s="815" t="str">
        <f t="shared" si="26"/>
        <v/>
      </c>
      <c r="AE122" s="816" t="str">
        <f t="shared" si="27"/>
        <v/>
      </c>
      <c r="AF122" s="817" t="str">
        <f t="shared" si="28"/>
        <v/>
      </c>
      <c r="AG122" s="818" t="str">
        <f t="shared" si="29"/>
        <v/>
      </c>
      <c r="AW122" s="17" t="str">
        <f t="shared" si="30"/>
        <v/>
      </c>
      <c r="AX122" s="17" t="str">
        <f t="shared" si="31"/>
        <v/>
      </c>
      <c r="BM122" s="17" t="str">
        <f>IFERROR(VLOOKUP(B122,'Statement of Marks'!$B$8:'Statement of Marks'!$HI$207,37,0),"")</f>
        <v>A</v>
      </c>
      <c r="BN122" s="17" t="str">
        <f>IFERROR(VLOOKUP(B122,'Statement of Marks'!$B$8:'Statement of Marks'!$HI$207,60,0),"")</f>
        <v>A</v>
      </c>
      <c r="BO122" s="17" t="str">
        <f>IFERROR(VLOOKUP(B122,'Statement of Marks'!$B$8:'Statement of Marks'!$HI$207,83,0),"")</f>
        <v>A</v>
      </c>
      <c r="BP122" s="17" t="str">
        <f>IFERROR(VLOOKUP(B122,'Statement of Marks'!$B$8:'Statement of Marks'!$HI$207,107,0),"")</f>
        <v/>
      </c>
    </row>
    <row r="123" spans="1:68">
      <c r="A123" s="806">
        <f>IF('Statement of Marks'!A122="","",'Statement of Marks'!A122)</f>
        <v>115</v>
      </c>
      <c r="B123" s="807" t="str">
        <f>IF(OR($E$3="",$P$3=""),"",IF('Statement of Marks'!B122="","",'Statement of Marks'!B122))</f>
        <v/>
      </c>
      <c r="C123" s="816" t="str">
        <f>IF(OR($E$3="",$P$3=""),"",IF('Marks Entry'!C122="","",'Marks Entry'!C122))</f>
        <v/>
      </c>
      <c r="D123" s="808" t="str">
        <f>IF(OR($E$3="",$P$3=""),"",IF('Statement of Marks'!C122="","",'Statement of Marks'!C122))</f>
        <v/>
      </c>
      <c r="E123" s="809" t="str">
        <f>IF(OR($E$3="",$P$3=""),"",IF('Statement of Marks'!D122="","",'Statement of Marks'!D122))</f>
        <v/>
      </c>
      <c r="F123" s="810" t="str">
        <f>IF(OR($E$3="",$P$3=""),"",IF('Statement of Marks'!E122="","",'Statement of Marks'!E122))</f>
        <v/>
      </c>
      <c r="G123" s="810" t="str">
        <f>IF(OR($E$3="",$P$3=""),"",IF('Statement of Marks'!F122="","",'Statement of Marks'!F122))</f>
        <v/>
      </c>
      <c r="H123" s="810" t="str">
        <f>IF(OR($E$3="",$P$3=""),"",IF('Statement of Marks'!G122="","",'Statement of Marks'!G122))</f>
        <v/>
      </c>
      <c r="I123" s="811" t="str">
        <f>IF(OR($E$3="",$P$3=""),"",IF('Statement of Marks'!H122="","",'Statement of Marks'!H122))</f>
        <v/>
      </c>
      <c r="J123" s="811" t="str">
        <f>IF(OR($E$3="",$P$3=""),"",IF('Statement of Marks'!I122="","",'Statement of Marks'!I122))</f>
        <v/>
      </c>
      <c r="K123" s="811" t="str">
        <f>IFERROR(IF(B123="","",IF($P$3=$AT$10,IF(AND(BM123="A"),'Marks Entry'!$U$2,IF(AND(BM123="B"),'Marks Entry'!$Y$2,IF(AND(BM123="C"),'Marks Entry'!$AA$2,""))),IF($P$3=$AT$11,IF(AND(BN123="A"),'Marks Entry'!$AC$2,IF(AND(BN123="B"),'Marks Entry'!$AG$2,IF(AND(BN123="C"),'Marks Entry'!$AI$2,""))),IF($P$3=$AT$12,IF(AND(BO123="A"),'Marks Entry'!$AK$2,IF(AND(BO123="B"),'Marks Entry'!$AO$2,IF(AND(BO123="C"),'Marks Entry'!$AQ$2,""))),IF($P$3=$AT$13,IF(AND(BP123="A"),'Marks Entry'!$AS$2,IF(AND(BP123="B"),'Marks Entry'!$AW$2,IF(AND(BP123="C"),'Marks Entry'!$AY$2,""))),"-"))))),"")</f>
        <v/>
      </c>
      <c r="L123" s="812" t="str">
        <f>IFERROR(IF(B123="","",IF($P$3=$AT$8,'Statement of Marks'!J122,IF($P$3=$AT$9,'Statement of Marks'!X122,IF($P$3=$AT$10,'Statement of Marks'!AM122,IF($P$3=$AT$11,'Statement of Marks'!BJ122,IF($P$3=$AT$12,'Statement of Marks'!CG122,IF($P$3=$AT$13,'Statement of Marks'!DE122,IF($P$3=$AT$14,"",IF($P$3=$AT$15,'Statement of Marks'!EY122,""))))))))),"")</f>
        <v/>
      </c>
      <c r="M123" s="812" t="str">
        <f>IFERROR(IF(B123="","",IF($P$3=$AT$8,'Statement of Marks'!K122,IF($P$3=$AT$9,'Statement of Marks'!Y122,IF($P$3=$AT$10,'Statement of Marks'!AN122,IF($P$3=$AT$11,'Statement of Marks'!BK122,IF($P$3=$AT$12,'Statement of Marks'!CH122,IF($P$3=$AT$13,'Statement of Marks'!DF122,IF($P$3=$AT$14,"",IF($P$3=$AT$15,'Statement of Marks'!EZ122,""))))))))),"")</f>
        <v/>
      </c>
      <c r="N123" s="812" t="str">
        <f>IFERROR(IF(B123="","",IF($P$3=$AT$8,'Statement of Marks'!L122,IF($P$3=$AT$9,'Statement of Marks'!Z122,IF($P$3=$AT$10,'Statement of Marks'!AO122,IF($P$3=$AT$11,'Statement of Marks'!BL122,IF($P$3=$AT$12,'Statement of Marks'!CI122,IF($P$3=$AT$13,'Statement of Marks'!DG122,IF($P$3=$AT$14,"",IF($P$3=$AT$15,'Statement of Marks'!FA122,""))))))))),"")</f>
        <v/>
      </c>
      <c r="O123" s="813" t="str">
        <f t="shared" si="18"/>
        <v/>
      </c>
      <c r="P123" s="812" t="str">
        <f>IFERROR(IF(B123="","",IF($P$3=$AT$8,'Statement of Marks'!N122,IF($P$3=$AT$9,'Statement of Marks'!AB122,IF($P$3=$AT$10,'Statement of Marks'!AQ122,IF($P$3=$AT$11,'Statement of Marks'!BN122,IF($P$3=$AT$12,'Statement of Marks'!CK122,IF($P$3=$AT$13,'Statement of Marks'!DI122,IF($P$3=$AT$14,"",IF($P$3=$AT$15,'Statement of Marks'!FC122,""))))))))),"")</f>
        <v/>
      </c>
      <c r="Q123" s="812" t="str">
        <f>IFERROR(IF(B123="","",IF($P$3=$AT$8,"",IF($P$3=$AT$9,"",IF($P$3=$AT$10,'Statement of Marks'!AR122,IF($P$3=$AT$11,'Statement of Marks'!BO122,IF($P$3=$AT$12,'Statement of Marks'!CL122,IF($P$3=$AT$13,'Statement of Marks'!DJ122,IF($P$3=$AT$14,"",IF($P$3=$AT$15,"",""))))))))),"")</f>
        <v/>
      </c>
      <c r="R123" s="824" t="str">
        <f>IFERROR(IF(B123="","",IF(AND(P123="",Q123="",$P$3=""),"",IF($P$3=$AT$14,'Statement of Marks'!EC122,SUM(P123,Q123)))),"")</f>
        <v/>
      </c>
      <c r="S123" s="823" t="str">
        <f>IFERROR(IF(B123="","",IF($P$3=$AT$14,'Statement of Marks'!ED122,IF(AND(O123="NA",P123="NA",Q123="NA"),"NA",IF(AND(O123="",P123="",Q123=""),"",SUM(O123,P123,Q123))))),"")</f>
        <v/>
      </c>
      <c r="T123" s="812" t="str">
        <f>IFERROR(IF(B123="","",IF($P$3=$AT$8,'Statement of Marks'!P122,IF($P$3=$AT$9,'Statement of Marks'!AD122,IF($P$3=$AT$10,'Statement of Marks'!AU122,IF($P$3=$AT$11,'Statement of Marks'!BR122,IF($P$3=$AT$12,'Statement of Marks'!CO122,IF($P$3=$AT$13,'Statement of Marks'!DM122,IF($P$3=$AT$14,"",IF($P$3=$AT$15,'Statement of Marks'!FD122,""))))))))),"")</f>
        <v/>
      </c>
      <c r="U123" s="812" t="str">
        <f>IFERROR(IF(B123="","",IF($P$3=$AT$8,"",IF($P$3=$AT$9,"",IF($P$3=$AT$10,'Statement of Marks'!AV122,IF($P$3=$AT$11,'Statement of Marks'!BS122,IF($P$3=$AT$12,'Statement of Marks'!CP122,IF($P$3=$AT$13,'Statement of Marks'!DN122,IF($P$3=$AT$14,"",IF($P$3=$AT$15,"",""))))))))),"")</f>
        <v/>
      </c>
      <c r="V123" s="824" t="str">
        <f>IFERROR(IF(B123="","",IF(AND(T123="",U123="",$P$3=""),"",IF($P$3=$AT$14,'Statement of Marks'!EE122,SUM(T123,U123)))),"")</f>
        <v/>
      </c>
      <c r="W123" s="814" t="str">
        <f t="shared" si="19"/>
        <v/>
      </c>
      <c r="X123" s="815">
        <f t="shared" si="20"/>
        <v>0</v>
      </c>
      <c r="Y123" s="815">
        <f t="shared" si="21"/>
        <v>0</v>
      </c>
      <c r="Z123" s="815">
        <f t="shared" si="22"/>
        <v>0</v>
      </c>
      <c r="AA123" s="815" t="str">
        <f t="shared" si="23"/>
        <v/>
      </c>
      <c r="AB123" s="815" t="str">
        <f t="shared" si="24"/>
        <v/>
      </c>
      <c r="AC123" s="815" t="str">
        <f t="shared" si="25"/>
        <v/>
      </c>
      <c r="AD123" s="815" t="str">
        <f t="shared" si="26"/>
        <v/>
      </c>
      <c r="AE123" s="816" t="str">
        <f t="shared" si="27"/>
        <v/>
      </c>
      <c r="AF123" s="817" t="str">
        <f t="shared" si="28"/>
        <v/>
      </c>
      <c r="AG123" s="818" t="str">
        <f t="shared" si="29"/>
        <v/>
      </c>
      <c r="AW123" s="17" t="str">
        <f t="shared" si="30"/>
        <v/>
      </c>
      <c r="AX123" s="17" t="str">
        <f t="shared" si="31"/>
        <v/>
      </c>
      <c r="BM123" s="17" t="str">
        <f>IFERROR(VLOOKUP(B123,'Statement of Marks'!$B$8:'Statement of Marks'!$HI$207,37,0),"")</f>
        <v>A</v>
      </c>
      <c r="BN123" s="17" t="str">
        <f>IFERROR(VLOOKUP(B123,'Statement of Marks'!$B$8:'Statement of Marks'!$HI$207,60,0),"")</f>
        <v>A</v>
      </c>
      <c r="BO123" s="17" t="str">
        <f>IFERROR(VLOOKUP(B123,'Statement of Marks'!$B$8:'Statement of Marks'!$HI$207,83,0),"")</f>
        <v>A</v>
      </c>
      <c r="BP123" s="17" t="str">
        <f>IFERROR(VLOOKUP(B123,'Statement of Marks'!$B$8:'Statement of Marks'!$HI$207,107,0),"")</f>
        <v/>
      </c>
    </row>
    <row r="124" spans="1:68">
      <c r="A124" s="806">
        <f>IF('Statement of Marks'!A123="","",'Statement of Marks'!A123)</f>
        <v>116</v>
      </c>
      <c r="B124" s="807" t="str">
        <f>IF(OR($E$3="",$P$3=""),"",IF('Statement of Marks'!B123="","",'Statement of Marks'!B123))</f>
        <v/>
      </c>
      <c r="C124" s="816" t="str">
        <f>IF(OR($E$3="",$P$3=""),"",IF('Marks Entry'!C123="","",'Marks Entry'!C123))</f>
        <v/>
      </c>
      <c r="D124" s="808" t="str">
        <f>IF(OR($E$3="",$P$3=""),"",IF('Statement of Marks'!C123="","",'Statement of Marks'!C123))</f>
        <v/>
      </c>
      <c r="E124" s="809" t="str">
        <f>IF(OR($E$3="",$P$3=""),"",IF('Statement of Marks'!D123="","",'Statement of Marks'!D123))</f>
        <v/>
      </c>
      <c r="F124" s="810" t="str">
        <f>IF(OR($E$3="",$P$3=""),"",IF('Statement of Marks'!E123="","",'Statement of Marks'!E123))</f>
        <v/>
      </c>
      <c r="G124" s="810" t="str">
        <f>IF(OR($E$3="",$P$3=""),"",IF('Statement of Marks'!F123="","",'Statement of Marks'!F123))</f>
        <v/>
      </c>
      <c r="H124" s="810" t="str">
        <f>IF(OR($E$3="",$P$3=""),"",IF('Statement of Marks'!G123="","",'Statement of Marks'!G123))</f>
        <v/>
      </c>
      <c r="I124" s="811" t="str">
        <f>IF(OR($E$3="",$P$3=""),"",IF('Statement of Marks'!H123="","",'Statement of Marks'!H123))</f>
        <v/>
      </c>
      <c r="J124" s="811" t="str">
        <f>IF(OR($E$3="",$P$3=""),"",IF('Statement of Marks'!I123="","",'Statement of Marks'!I123))</f>
        <v/>
      </c>
      <c r="K124" s="811" t="str">
        <f>IFERROR(IF(B124="","",IF($P$3=$AT$10,IF(AND(BM124="A"),'Marks Entry'!$U$2,IF(AND(BM124="B"),'Marks Entry'!$Y$2,IF(AND(BM124="C"),'Marks Entry'!$AA$2,""))),IF($P$3=$AT$11,IF(AND(BN124="A"),'Marks Entry'!$AC$2,IF(AND(BN124="B"),'Marks Entry'!$AG$2,IF(AND(BN124="C"),'Marks Entry'!$AI$2,""))),IF($P$3=$AT$12,IF(AND(BO124="A"),'Marks Entry'!$AK$2,IF(AND(BO124="B"),'Marks Entry'!$AO$2,IF(AND(BO124="C"),'Marks Entry'!$AQ$2,""))),IF($P$3=$AT$13,IF(AND(BP124="A"),'Marks Entry'!$AS$2,IF(AND(BP124="B"),'Marks Entry'!$AW$2,IF(AND(BP124="C"),'Marks Entry'!$AY$2,""))),"-"))))),"")</f>
        <v/>
      </c>
      <c r="L124" s="812" t="str">
        <f>IFERROR(IF(B124="","",IF($P$3=$AT$8,'Statement of Marks'!J123,IF($P$3=$AT$9,'Statement of Marks'!X123,IF($P$3=$AT$10,'Statement of Marks'!AM123,IF($P$3=$AT$11,'Statement of Marks'!BJ123,IF($P$3=$AT$12,'Statement of Marks'!CG123,IF($P$3=$AT$13,'Statement of Marks'!DE123,IF($P$3=$AT$14,"",IF($P$3=$AT$15,'Statement of Marks'!EY123,""))))))))),"")</f>
        <v/>
      </c>
      <c r="M124" s="812" t="str">
        <f>IFERROR(IF(B124="","",IF($P$3=$AT$8,'Statement of Marks'!K123,IF($P$3=$AT$9,'Statement of Marks'!Y123,IF($P$3=$AT$10,'Statement of Marks'!AN123,IF($P$3=$AT$11,'Statement of Marks'!BK123,IF($P$3=$AT$12,'Statement of Marks'!CH123,IF($P$3=$AT$13,'Statement of Marks'!DF123,IF($P$3=$AT$14,"",IF($P$3=$AT$15,'Statement of Marks'!EZ123,""))))))))),"")</f>
        <v/>
      </c>
      <c r="N124" s="812" t="str">
        <f>IFERROR(IF(B124="","",IF($P$3=$AT$8,'Statement of Marks'!L123,IF($P$3=$AT$9,'Statement of Marks'!Z123,IF($P$3=$AT$10,'Statement of Marks'!AO123,IF($P$3=$AT$11,'Statement of Marks'!BL123,IF($P$3=$AT$12,'Statement of Marks'!CI123,IF($P$3=$AT$13,'Statement of Marks'!DG123,IF($P$3=$AT$14,"",IF($P$3=$AT$15,'Statement of Marks'!FA123,""))))))))),"")</f>
        <v/>
      </c>
      <c r="O124" s="813" t="str">
        <f t="shared" si="18"/>
        <v/>
      </c>
      <c r="P124" s="812" t="str">
        <f>IFERROR(IF(B124="","",IF($P$3=$AT$8,'Statement of Marks'!N123,IF($P$3=$AT$9,'Statement of Marks'!AB123,IF($P$3=$AT$10,'Statement of Marks'!AQ123,IF($P$3=$AT$11,'Statement of Marks'!BN123,IF($P$3=$AT$12,'Statement of Marks'!CK123,IF($P$3=$AT$13,'Statement of Marks'!DI123,IF($P$3=$AT$14,"",IF($P$3=$AT$15,'Statement of Marks'!FC123,""))))))))),"")</f>
        <v/>
      </c>
      <c r="Q124" s="812" t="str">
        <f>IFERROR(IF(B124="","",IF($P$3=$AT$8,"",IF($P$3=$AT$9,"",IF($P$3=$AT$10,'Statement of Marks'!AR123,IF($P$3=$AT$11,'Statement of Marks'!BO123,IF($P$3=$AT$12,'Statement of Marks'!CL123,IF($P$3=$AT$13,'Statement of Marks'!DJ123,IF($P$3=$AT$14,"",IF($P$3=$AT$15,"",""))))))))),"")</f>
        <v/>
      </c>
      <c r="R124" s="824" t="str">
        <f>IFERROR(IF(B124="","",IF(AND(P124="",Q124="",$P$3=""),"",IF($P$3=$AT$14,'Statement of Marks'!EC123,SUM(P124,Q124)))),"")</f>
        <v/>
      </c>
      <c r="S124" s="823" t="str">
        <f>IFERROR(IF(B124="","",IF($P$3=$AT$14,'Statement of Marks'!ED123,IF(AND(O124="NA",P124="NA",Q124="NA"),"NA",IF(AND(O124="",P124="",Q124=""),"",SUM(O124,P124,Q124))))),"")</f>
        <v/>
      </c>
      <c r="T124" s="812" t="str">
        <f>IFERROR(IF(B124="","",IF($P$3=$AT$8,'Statement of Marks'!P123,IF($P$3=$AT$9,'Statement of Marks'!AD123,IF($P$3=$AT$10,'Statement of Marks'!AU123,IF($P$3=$AT$11,'Statement of Marks'!BR123,IF($P$3=$AT$12,'Statement of Marks'!CO123,IF($P$3=$AT$13,'Statement of Marks'!DM123,IF($P$3=$AT$14,"",IF($P$3=$AT$15,'Statement of Marks'!FD123,""))))))))),"")</f>
        <v/>
      </c>
      <c r="U124" s="812" t="str">
        <f>IFERROR(IF(B124="","",IF($P$3=$AT$8,"",IF($P$3=$AT$9,"",IF($P$3=$AT$10,'Statement of Marks'!AV123,IF($P$3=$AT$11,'Statement of Marks'!BS123,IF($P$3=$AT$12,'Statement of Marks'!CP123,IF($P$3=$AT$13,'Statement of Marks'!DN123,IF($P$3=$AT$14,"",IF($P$3=$AT$15,"",""))))))))),"")</f>
        <v/>
      </c>
      <c r="V124" s="824" t="str">
        <f>IFERROR(IF(B124="","",IF(AND(T124="",U124="",$P$3=""),"",IF($P$3=$AT$14,'Statement of Marks'!EE123,SUM(T124,U124)))),"")</f>
        <v/>
      </c>
      <c r="W124" s="814" t="str">
        <f t="shared" si="19"/>
        <v/>
      </c>
      <c r="X124" s="815">
        <f t="shared" si="20"/>
        <v>0</v>
      </c>
      <c r="Y124" s="815">
        <f t="shared" si="21"/>
        <v>0</v>
      </c>
      <c r="Z124" s="815">
        <f t="shared" si="22"/>
        <v>0</v>
      </c>
      <c r="AA124" s="815" t="str">
        <f t="shared" si="23"/>
        <v/>
      </c>
      <c r="AB124" s="815" t="str">
        <f t="shared" si="24"/>
        <v/>
      </c>
      <c r="AC124" s="815" t="str">
        <f t="shared" si="25"/>
        <v/>
      </c>
      <c r="AD124" s="815" t="str">
        <f t="shared" si="26"/>
        <v/>
      </c>
      <c r="AE124" s="816" t="str">
        <f t="shared" si="27"/>
        <v/>
      </c>
      <c r="AF124" s="817" t="str">
        <f t="shared" si="28"/>
        <v/>
      </c>
      <c r="AG124" s="818" t="str">
        <f t="shared" si="29"/>
        <v/>
      </c>
      <c r="AW124" s="17" t="str">
        <f t="shared" si="30"/>
        <v/>
      </c>
      <c r="AX124" s="17" t="str">
        <f t="shared" si="31"/>
        <v/>
      </c>
      <c r="BM124" s="17" t="str">
        <f>IFERROR(VLOOKUP(B124,'Statement of Marks'!$B$8:'Statement of Marks'!$HI$207,37,0),"")</f>
        <v>A</v>
      </c>
      <c r="BN124" s="17" t="str">
        <f>IFERROR(VLOOKUP(B124,'Statement of Marks'!$B$8:'Statement of Marks'!$HI$207,60,0),"")</f>
        <v>A</v>
      </c>
      <c r="BO124" s="17" t="str">
        <f>IFERROR(VLOOKUP(B124,'Statement of Marks'!$B$8:'Statement of Marks'!$HI$207,83,0),"")</f>
        <v>A</v>
      </c>
      <c r="BP124" s="17" t="str">
        <f>IFERROR(VLOOKUP(B124,'Statement of Marks'!$B$8:'Statement of Marks'!$HI$207,107,0),"")</f>
        <v/>
      </c>
    </row>
    <row r="125" spans="1:68">
      <c r="A125" s="806">
        <f>IF('Statement of Marks'!A124="","",'Statement of Marks'!A124)</f>
        <v>117</v>
      </c>
      <c r="B125" s="807" t="str">
        <f>IF(OR($E$3="",$P$3=""),"",IF('Statement of Marks'!B124="","",'Statement of Marks'!B124))</f>
        <v/>
      </c>
      <c r="C125" s="816" t="str">
        <f>IF(OR($E$3="",$P$3=""),"",IF('Marks Entry'!C124="","",'Marks Entry'!C124))</f>
        <v/>
      </c>
      <c r="D125" s="808" t="str">
        <f>IF(OR($E$3="",$P$3=""),"",IF('Statement of Marks'!C124="","",'Statement of Marks'!C124))</f>
        <v/>
      </c>
      <c r="E125" s="809" t="str">
        <f>IF(OR($E$3="",$P$3=""),"",IF('Statement of Marks'!D124="","",'Statement of Marks'!D124))</f>
        <v/>
      </c>
      <c r="F125" s="810" t="str">
        <f>IF(OR($E$3="",$P$3=""),"",IF('Statement of Marks'!E124="","",'Statement of Marks'!E124))</f>
        <v/>
      </c>
      <c r="G125" s="810" t="str">
        <f>IF(OR($E$3="",$P$3=""),"",IF('Statement of Marks'!F124="","",'Statement of Marks'!F124))</f>
        <v/>
      </c>
      <c r="H125" s="810" t="str">
        <f>IF(OR($E$3="",$P$3=""),"",IF('Statement of Marks'!G124="","",'Statement of Marks'!G124))</f>
        <v/>
      </c>
      <c r="I125" s="811" t="str">
        <f>IF(OR($E$3="",$P$3=""),"",IF('Statement of Marks'!H124="","",'Statement of Marks'!H124))</f>
        <v/>
      </c>
      <c r="J125" s="811" t="str">
        <f>IF(OR($E$3="",$P$3=""),"",IF('Statement of Marks'!I124="","",'Statement of Marks'!I124))</f>
        <v/>
      </c>
      <c r="K125" s="811" t="str">
        <f>IFERROR(IF(B125="","",IF($P$3=$AT$10,IF(AND(BM125="A"),'Marks Entry'!$U$2,IF(AND(BM125="B"),'Marks Entry'!$Y$2,IF(AND(BM125="C"),'Marks Entry'!$AA$2,""))),IF($P$3=$AT$11,IF(AND(BN125="A"),'Marks Entry'!$AC$2,IF(AND(BN125="B"),'Marks Entry'!$AG$2,IF(AND(BN125="C"),'Marks Entry'!$AI$2,""))),IF($P$3=$AT$12,IF(AND(BO125="A"),'Marks Entry'!$AK$2,IF(AND(BO125="B"),'Marks Entry'!$AO$2,IF(AND(BO125="C"),'Marks Entry'!$AQ$2,""))),IF($P$3=$AT$13,IF(AND(BP125="A"),'Marks Entry'!$AS$2,IF(AND(BP125="B"),'Marks Entry'!$AW$2,IF(AND(BP125="C"),'Marks Entry'!$AY$2,""))),"-"))))),"")</f>
        <v/>
      </c>
      <c r="L125" s="812" t="str">
        <f>IFERROR(IF(B125="","",IF($P$3=$AT$8,'Statement of Marks'!J124,IF($P$3=$AT$9,'Statement of Marks'!X124,IF($P$3=$AT$10,'Statement of Marks'!AM124,IF($P$3=$AT$11,'Statement of Marks'!BJ124,IF($P$3=$AT$12,'Statement of Marks'!CG124,IF($P$3=$AT$13,'Statement of Marks'!DE124,IF($P$3=$AT$14,"",IF($P$3=$AT$15,'Statement of Marks'!EY124,""))))))))),"")</f>
        <v/>
      </c>
      <c r="M125" s="812" t="str">
        <f>IFERROR(IF(B125="","",IF($P$3=$AT$8,'Statement of Marks'!K124,IF($P$3=$AT$9,'Statement of Marks'!Y124,IF($P$3=$AT$10,'Statement of Marks'!AN124,IF($P$3=$AT$11,'Statement of Marks'!BK124,IF($P$3=$AT$12,'Statement of Marks'!CH124,IF($P$3=$AT$13,'Statement of Marks'!DF124,IF($P$3=$AT$14,"",IF($P$3=$AT$15,'Statement of Marks'!EZ124,""))))))))),"")</f>
        <v/>
      </c>
      <c r="N125" s="812" t="str">
        <f>IFERROR(IF(B125="","",IF($P$3=$AT$8,'Statement of Marks'!L124,IF($P$3=$AT$9,'Statement of Marks'!Z124,IF($P$3=$AT$10,'Statement of Marks'!AO124,IF($P$3=$AT$11,'Statement of Marks'!BL124,IF($P$3=$AT$12,'Statement of Marks'!CI124,IF($P$3=$AT$13,'Statement of Marks'!DG124,IF($P$3=$AT$14,"",IF($P$3=$AT$15,'Statement of Marks'!FA124,""))))))))),"")</f>
        <v/>
      </c>
      <c r="O125" s="813" t="str">
        <f t="shared" si="18"/>
        <v/>
      </c>
      <c r="P125" s="812" t="str">
        <f>IFERROR(IF(B125="","",IF($P$3=$AT$8,'Statement of Marks'!N124,IF($P$3=$AT$9,'Statement of Marks'!AB124,IF($P$3=$AT$10,'Statement of Marks'!AQ124,IF($P$3=$AT$11,'Statement of Marks'!BN124,IF($P$3=$AT$12,'Statement of Marks'!CK124,IF($P$3=$AT$13,'Statement of Marks'!DI124,IF($P$3=$AT$14,"",IF($P$3=$AT$15,'Statement of Marks'!FC124,""))))))))),"")</f>
        <v/>
      </c>
      <c r="Q125" s="812" t="str">
        <f>IFERROR(IF(B125="","",IF($P$3=$AT$8,"",IF($P$3=$AT$9,"",IF($P$3=$AT$10,'Statement of Marks'!AR124,IF($P$3=$AT$11,'Statement of Marks'!BO124,IF($P$3=$AT$12,'Statement of Marks'!CL124,IF($P$3=$AT$13,'Statement of Marks'!DJ124,IF($P$3=$AT$14,"",IF($P$3=$AT$15,"",""))))))))),"")</f>
        <v/>
      </c>
      <c r="R125" s="824" t="str">
        <f>IFERROR(IF(B125="","",IF(AND(P125="",Q125="",$P$3=""),"",IF($P$3=$AT$14,'Statement of Marks'!EC124,SUM(P125,Q125)))),"")</f>
        <v/>
      </c>
      <c r="S125" s="823" t="str">
        <f>IFERROR(IF(B125="","",IF($P$3=$AT$14,'Statement of Marks'!ED124,IF(AND(O125="NA",P125="NA",Q125="NA"),"NA",IF(AND(O125="",P125="",Q125=""),"",SUM(O125,P125,Q125))))),"")</f>
        <v/>
      </c>
      <c r="T125" s="812" t="str">
        <f>IFERROR(IF(B125="","",IF($P$3=$AT$8,'Statement of Marks'!P124,IF($P$3=$AT$9,'Statement of Marks'!AD124,IF($P$3=$AT$10,'Statement of Marks'!AU124,IF($P$3=$AT$11,'Statement of Marks'!BR124,IF($P$3=$AT$12,'Statement of Marks'!CO124,IF($P$3=$AT$13,'Statement of Marks'!DM124,IF($P$3=$AT$14,"",IF($P$3=$AT$15,'Statement of Marks'!FD124,""))))))))),"")</f>
        <v/>
      </c>
      <c r="U125" s="812" t="str">
        <f>IFERROR(IF(B125="","",IF($P$3=$AT$8,"",IF($P$3=$AT$9,"",IF($P$3=$AT$10,'Statement of Marks'!AV124,IF($P$3=$AT$11,'Statement of Marks'!BS124,IF($P$3=$AT$12,'Statement of Marks'!CP124,IF($P$3=$AT$13,'Statement of Marks'!DN124,IF($P$3=$AT$14,"",IF($P$3=$AT$15,"",""))))))))),"")</f>
        <v/>
      </c>
      <c r="V125" s="824" t="str">
        <f>IFERROR(IF(B125="","",IF(AND(T125="",U125="",$P$3=""),"",IF($P$3=$AT$14,'Statement of Marks'!EE124,SUM(T125,U125)))),"")</f>
        <v/>
      </c>
      <c r="W125" s="814" t="str">
        <f t="shared" si="19"/>
        <v/>
      </c>
      <c r="X125" s="815">
        <f t="shared" si="20"/>
        <v>0</v>
      </c>
      <c r="Y125" s="815">
        <f t="shared" si="21"/>
        <v>0</v>
      </c>
      <c r="Z125" s="815">
        <f t="shared" si="22"/>
        <v>0</v>
      </c>
      <c r="AA125" s="815" t="str">
        <f t="shared" si="23"/>
        <v/>
      </c>
      <c r="AB125" s="815" t="str">
        <f t="shared" si="24"/>
        <v/>
      </c>
      <c r="AC125" s="815" t="str">
        <f t="shared" si="25"/>
        <v/>
      </c>
      <c r="AD125" s="815" t="str">
        <f t="shared" si="26"/>
        <v/>
      </c>
      <c r="AE125" s="816" t="str">
        <f t="shared" si="27"/>
        <v/>
      </c>
      <c r="AF125" s="817" t="str">
        <f t="shared" si="28"/>
        <v/>
      </c>
      <c r="AG125" s="818" t="str">
        <f t="shared" si="29"/>
        <v/>
      </c>
      <c r="AW125" s="17" t="str">
        <f t="shared" si="30"/>
        <v/>
      </c>
      <c r="AX125" s="17" t="str">
        <f t="shared" si="31"/>
        <v/>
      </c>
      <c r="BM125" s="17" t="str">
        <f>IFERROR(VLOOKUP(B125,'Statement of Marks'!$B$8:'Statement of Marks'!$HI$207,37,0),"")</f>
        <v>A</v>
      </c>
      <c r="BN125" s="17" t="str">
        <f>IFERROR(VLOOKUP(B125,'Statement of Marks'!$B$8:'Statement of Marks'!$HI$207,60,0),"")</f>
        <v>A</v>
      </c>
      <c r="BO125" s="17" t="str">
        <f>IFERROR(VLOOKUP(B125,'Statement of Marks'!$B$8:'Statement of Marks'!$HI$207,83,0),"")</f>
        <v>A</v>
      </c>
      <c r="BP125" s="17" t="str">
        <f>IFERROR(VLOOKUP(B125,'Statement of Marks'!$B$8:'Statement of Marks'!$HI$207,107,0),"")</f>
        <v/>
      </c>
    </row>
    <row r="126" spans="1:68">
      <c r="A126" s="806">
        <f>IF('Statement of Marks'!A125="","",'Statement of Marks'!A125)</f>
        <v>118</v>
      </c>
      <c r="B126" s="807" t="str">
        <f>IF(OR($E$3="",$P$3=""),"",IF('Statement of Marks'!B125="","",'Statement of Marks'!B125))</f>
        <v/>
      </c>
      <c r="C126" s="816" t="str">
        <f>IF(OR($E$3="",$P$3=""),"",IF('Marks Entry'!C125="","",'Marks Entry'!C125))</f>
        <v/>
      </c>
      <c r="D126" s="808" t="str">
        <f>IF(OR($E$3="",$P$3=""),"",IF('Statement of Marks'!C125="","",'Statement of Marks'!C125))</f>
        <v/>
      </c>
      <c r="E126" s="809" t="str">
        <f>IF(OR($E$3="",$P$3=""),"",IF('Statement of Marks'!D125="","",'Statement of Marks'!D125))</f>
        <v/>
      </c>
      <c r="F126" s="810" t="str">
        <f>IF(OR($E$3="",$P$3=""),"",IF('Statement of Marks'!E125="","",'Statement of Marks'!E125))</f>
        <v/>
      </c>
      <c r="G126" s="810" t="str">
        <f>IF(OR($E$3="",$P$3=""),"",IF('Statement of Marks'!F125="","",'Statement of Marks'!F125))</f>
        <v/>
      </c>
      <c r="H126" s="810" t="str">
        <f>IF(OR($E$3="",$P$3=""),"",IF('Statement of Marks'!G125="","",'Statement of Marks'!G125))</f>
        <v/>
      </c>
      <c r="I126" s="811" t="str">
        <f>IF(OR($E$3="",$P$3=""),"",IF('Statement of Marks'!H125="","",'Statement of Marks'!H125))</f>
        <v/>
      </c>
      <c r="J126" s="811" t="str">
        <f>IF(OR($E$3="",$P$3=""),"",IF('Statement of Marks'!I125="","",'Statement of Marks'!I125))</f>
        <v/>
      </c>
      <c r="K126" s="811" t="str">
        <f>IFERROR(IF(B126="","",IF($P$3=$AT$10,IF(AND(BM126="A"),'Marks Entry'!$U$2,IF(AND(BM126="B"),'Marks Entry'!$Y$2,IF(AND(BM126="C"),'Marks Entry'!$AA$2,""))),IF($P$3=$AT$11,IF(AND(BN126="A"),'Marks Entry'!$AC$2,IF(AND(BN126="B"),'Marks Entry'!$AG$2,IF(AND(BN126="C"),'Marks Entry'!$AI$2,""))),IF($P$3=$AT$12,IF(AND(BO126="A"),'Marks Entry'!$AK$2,IF(AND(BO126="B"),'Marks Entry'!$AO$2,IF(AND(BO126="C"),'Marks Entry'!$AQ$2,""))),IF($P$3=$AT$13,IF(AND(BP126="A"),'Marks Entry'!$AS$2,IF(AND(BP126="B"),'Marks Entry'!$AW$2,IF(AND(BP126="C"),'Marks Entry'!$AY$2,""))),"-"))))),"")</f>
        <v/>
      </c>
      <c r="L126" s="812" t="str">
        <f>IFERROR(IF(B126="","",IF($P$3=$AT$8,'Statement of Marks'!J125,IF($P$3=$AT$9,'Statement of Marks'!X125,IF($P$3=$AT$10,'Statement of Marks'!AM125,IF($P$3=$AT$11,'Statement of Marks'!BJ125,IF($P$3=$AT$12,'Statement of Marks'!CG125,IF($P$3=$AT$13,'Statement of Marks'!DE125,IF($P$3=$AT$14,"",IF($P$3=$AT$15,'Statement of Marks'!EY125,""))))))))),"")</f>
        <v/>
      </c>
      <c r="M126" s="812" t="str">
        <f>IFERROR(IF(B126="","",IF($P$3=$AT$8,'Statement of Marks'!K125,IF($P$3=$AT$9,'Statement of Marks'!Y125,IF($P$3=$AT$10,'Statement of Marks'!AN125,IF($P$3=$AT$11,'Statement of Marks'!BK125,IF($P$3=$AT$12,'Statement of Marks'!CH125,IF($P$3=$AT$13,'Statement of Marks'!DF125,IF($P$3=$AT$14,"",IF($P$3=$AT$15,'Statement of Marks'!EZ125,""))))))))),"")</f>
        <v/>
      </c>
      <c r="N126" s="812" t="str">
        <f>IFERROR(IF(B126="","",IF($P$3=$AT$8,'Statement of Marks'!L125,IF($P$3=$AT$9,'Statement of Marks'!Z125,IF($P$3=$AT$10,'Statement of Marks'!AO125,IF($P$3=$AT$11,'Statement of Marks'!BL125,IF($P$3=$AT$12,'Statement of Marks'!CI125,IF($P$3=$AT$13,'Statement of Marks'!DG125,IF($P$3=$AT$14,"",IF($P$3=$AT$15,'Statement of Marks'!FA125,""))))))))),"")</f>
        <v/>
      </c>
      <c r="O126" s="813" t="str">
        <f t="shared" si="18"/>
        <v/>
      </c>
      <c r="P126" s="812" t="str">
        <f>IFERROR(IF(B126="","",IF($P$3=$AT$8,'Statement of Marks'!N125,IF($P$3=$AT$9,'Statement of Marks'!AB125,IF($P$3=$AT$10,'Statement of Marks'!AQ125,IF($P$3=$AT$11,'Statement of Marks'!BN125,IF($P$3=$AT$12,'Statement of Marks'!CK125,IF($P$3=$AT$13,'Statement of Marks'!DI125,IF($P$3=$AT$14,"",IF($P$3=$AT$15,'Statement of Marks'!FC125,""))))))))),"")</f>
        <v/>
      </c>
      <c r="Q126" s="812" t="str">
        <f>IFERROR(IF(B126="","",IF($P$3=$AT$8,"",IF($P$3=$AT$9,"",IF($P$3=$AT$10,'Statement of Marks'!AR125,IF($P$3=$AT$11,'Statement of Marks'!BO125,IF($P$3=$AT$12,'Statement of Marks'!CL125,IF($P$3=$AT$13,'Statement of Marks'!DJ125,IF($P$3=$AT$14,"",IF($P$3=$AT$15,"",""))))))))),"")</f>
        <v/>
      </c>
      <c r="R126" s="824" t="str">
        <f>IFERROR(IF(B126="","",IF(AND(P126="",Q126="",$P$3=""),"",IF($P$3=$AT$14,'Statement of Marks'!EC125,SUM(P126,Q126)))),"")</f>
        <v/>
      </c>
      <c r="S126" s="823" t="str">
        <f>IFERROR(IF(B126="","",IF($P$3=$AT$14,'Statement of Marks'!ED125,IF(AND(O126="NA",P126="NA",Q126="NA"),"NA",IF(AND(O126="",P126="",Q126=""),"",SUM(O126,P126,Q126))))),"")</f>
        <v/>
      </c>
      <c r="T126" s="812" t="str">
        <f>IFERROR(IF(B126="","",IF($P$3=$AT$8,'Statement of Marks'!P125,IF($P$3=$AT$9,'Statement of Marks'!AD125,IF($P$3=$AT$10,'Statement of Marks'!AU125,IF($P$3=$AT$11,'Statement of Marks'!BR125,IF($P$3=$AT$12,'Statement of Marks'!CO125,IF($P$3=$AT$13,'Statement of Marks'!DM125,IF($P$3=$AT$14,"",IF($P$3=$AT$15,'Statement of Marks'!FD125,""))))))))),"")</f>
        <v/>
      </c>
      <c r="U126" s="812" t="str">
        <f>IFERROR(IF(B126="","",IF($P$3=$AT$8,"",IF($P$3=$AT$9,"",IF($P$3=$AT$10,'Statement of Marks'!AV125,IF($P$3=$AT$11,'Statement of Marks'!BS125,IF($P$3=$AT$12,'Statement of Marks'!CP125,IF($P$3=$AT$13,'Statement of Marks'!DN125,IF($P$3=$AT$14,"",IF($P$3=$AT$15,"",""))))))))),"")</f>
        <v/>
      </c>
      <c r="V126" s="824" t="str">
        <f>IFERROR(IF(B126="","",IF(AND(T126="",U126="",$P$3=""),"",IF($P$3=$AT$14,'Statement of Marks'!EE125,SUM(T126,U126)))),"")</f>
        <v/>
      </c>
      <c r="W126" s="814" t="str">
        <f t="shared" si="19"/>
        <v/>
      </c>
      <c r="X126" s="815">
        <f t="shared" si="20"/>
        <v>0</v>
      </c>
      <c r="Y126" s="815">
        <f t="shared" si="21"/>
        <v>0</v>
      </c>
      <c r="Z126" s="815">
        <f t="shared" si="22"/>
        <v>0</v>
      </c>
      <c r="AA126" s="815" t="str">
        <f t="shared" si="23"/>
        <v/>
      </c>
      <c r="AB126" s="815" t="str">
        <f t="shared" si="24"/>
        <v/>
      </c>
      <c r="AC126" s="815" t="str">
        <f t="shared" si="25"/>
        <v/>
      </c>
      <c r="AD126" s="815" t="str">
        <f t="shared" si="26"/>
        <v/>
      </c>
      <c r="AE126" s="816" t="str">
        <f t="shared" si="27"/>
        <v/>
      </c>
      <c r="AF126" s="817" t="str">
        <f t="shared" si="28"/>
        <v/>
      </c>
      <c r="AG126" s="818" t="str">
        <f t="shared" si="29"/>
        <v/>
      </c>
      <c r="AW126" s="17" t="str">
        <f t="shared" si="30"/>
        <v/>
      </c>
      <c r="AX126" s="17" t="str">
        <f t="shared" si="31"/>
        <v/>
      </c>
      <c r="BM126" s="17" t="str">
        <f>IFERROR(VLOOKUP(B126,'Statement of Marks'!$B$8:'Statement of Marks'!$HI$207,37,0),"")</f>
        <v>A</v>
      </c>
      <c r="BN126" s="17" t="str">
        <f>IFERROR(VLOOKUP(B126,'Statement of Marks'!$B$8:'Statement of Marks'!$HI$207,60,0),"")</f>
        <v>A</v>
      </c>
      <c r="BO126" s="17" t="str">
        <f>IFERROR(VLOOKUP(B126,'Statement of Marks'!$B$8:'Statement of Marks'!$HI$207,83,0),"")</f>
        <v>A</v>
      </c>
      <c r="BP126" s="17" t="str">
        <f>IFERROR(VLOOKUP(B126,'Statement of Marks'!$B$8:'Statement of Marks'!$HI$207,107,0),"")</f>
        <v/>
      </c>
    </row>
    <row r="127" spans="1:68">
      <c r="A127" s="806">
        <f>IF('Statement of Marks'!A126="","",'Statement of Marks'!A126)</f>
        <v>119</v>
      </c>
      <c r="B127" s="807" t="str">
        <f>IF(OR($E$3="",$P$3=""),"",IF('Statement of Marks'!B126="","",'Statement of Marks'!B126))</f>
        <v/>
      </c>
      <c r="C127" s="816" t="str">
        <f>IF(OR($E$3="",$P$3=""),"",IF('Marks Entry'!C126="","",'Marks Entry'!C126))</f>
        <v/>
      </c>
      <c r="D127" s="808" t="str">
        <f>IF(OR($E$3="",$P$3=""),"",IF('Statement of Marks'!C126="","",'Statement of Marks'!C126))</f>
        <v/>
      </c>
      <c r="E127" s="809" t="str">
        <f>IF(OR($E$3="",$P$3=""),"",IF('Statement of Marks'!D126="","",'Statement of Marks'!D126))</f>
        <v/>
      </c>
      <c r="F127" s="810" t="str">
        <f>IF(OR($E$3="",$P$3=""),"",IF('Statement of Marks'!E126="","",'Statement of Marks'!E126))</f>
        <v/>
      </c>
      <c r="G127" s="810" t="str">
        <f>IF(OR($E$3="",$P$3=""),"",IF('Statement of Marks'!F126="","",'Statement of Marks'!F126))</f>
        <v/>
      </c>
      <c r="H127" s="810" t="str">
        <f>IF(OR($E$3="",$P$3=""),"",IF('Statement of Marks'!G126="","",'Statement of Marks'!G126))</f>
        <v/>
      </c>
      <c r="I127" s="811" t="str">
        <f>IF(OR($E$3="",$P$3=""),"",IF('Statement of Marks'!H126="","",'Statement of Marks'!H126))</f>
        <v/>
      </c>
      <c r="J127" s="811" t="str">
        <f>IF(OR($E$3="",$P$3=""),"",IF('Statement of Marks'!I126="","",'Statement of Marks'!I126))</f>
        <v/>
      </c>
      <c r="K127" s="811" t="str">
        <f>IFERROR(IF(B127="","",IF($P$3=$AT$10,IF(AND(BM127="A"),'Marks Entry'!$U$2,IF(AND(BM127="B"),'Marks Entry'!$Y$2,IF(AND(BM127="C"),'Marks Entry'!$AA$2,""))),IF($P$3=$AT$11,IF(AND(BN127="A"),'Marks Entry'!$AC$2,IF(AND(BN127="B"),'Marks Entry'!$AG$2,IF(AND(BN127="C"),'Marks Entry'!$AI$2,""))),IF($P$3=$AT$12,IF(AND(BO127="A"),'Marks Entry'!$AK$2,IF(AND(BO127="B"),'Marks Entry'!$AO$2,IF(AND(BO127="C"),'Marks Entry'!$AQ$2,""))),IF($P$3=$AT$13,IF(AND(BP127="A"),'Marks Entry'!$AS$2,IF(AND(BP127="B"),'Marks Entry'!$AW$2,IF(AND(BP127="C"),'Marks Entry'!$AY$2,""))),"-"))))),"")</f>
        <v/>
      </c>
      <c r="L127" s="812" t="str">
        <f>IFERROR(IF(B127="","",IF($P$3=$AT$8,'Statement of Marks'!J126,IF($P$3=$AT$9,'Statement of Marks'!X126,IF($P$3=$AT$10,'Statement of Marks'!AM126,IF($P$3=$AT$11,'Statement of Marks'!BJ126,IF($P$3=$AT$12,'Statement of Marks'!CG126,IF($P$3=$AT$13,'Statement of Marks'!DE126,IF($P$3=$AT$14,"",IF($P$3=$AT$15,'Statement of Marks'!EY126,""))))))))),"")</f>
        <v/>
      </c>
      <c r="M127" s="812" t="str">
        <f>IFERROR(IF(B127="","",IF($P$3=$AT$8,'Statement of Marks'!K126,IF($P$3=$AT$9,'Statement of Marks'!Y126,IF($P$3=$AT$10,'Statement of Marks'!AN126,IF($P$3=$AT$11,'Statement of Marks'!BK126,IF($P$3=$AT$12,'Statement of Marks'!CH126,IF($P$3=$AT$13,'Statement of Marks'!DF126,IF($P$3=$AT$14,"",IF($P$3=$AT$15,'Statement of Marks'!EZ126,""))))))))),"")</f>
        <v/>
      </c>
      <c r="N127" s="812" t="str">
        <f>IFERROR(IF(B127="","",IF($P$3=$AT$8,'Statement of Marks'!L126,IF($P$3=$AT$9,'Statement of Marks'!Z126,IF($P$3=$AT$10,'Statement of Marks'!AO126,IF($P$3=$AT$11,'Statement of Marks'!BL126,IF($P$3=$AT$12,'Statement of Marks'!CI126,IF($P$3=$AT$13,'Statement of Marks'!DG126,IF($P$3=$AT$14,"",IF($P$3=$AT$15,'Statement of Marks'!FA126,""))))))))),"")</f>
        <v/>
      </c>
      <c r="O127" s="813" t="str">
        <f t="shared" si="18"/>
        <v/>
      </c>
      <c r="P127" s="812" t="str">
        <f>IFERROR(IF(B127="","",IF($P$3=$AT$8,'Statement of Marks'!N126,IF($P$3=$AT$9,'Statement of Marks'!AB126,IF($P$3=$AT$10,'Statement of Marks'!AQ126,IF($P$3=$AT$11,'Statement of Marks'!BN126,IF($P$3=$AT$12,'Statement of Marks'!CK126,IF($P$3=$AT$13,'Statement of Marks'!DI126,IF($P$3=$AT$14,"",IF($P$3=$AT$15,'Statement of Marks'!FC126,""))))))))),"")</f>
        <v/>
      </c>
      <c r="Q127" s="812" t="str">
        <f>IFERROR(IF(B127="","",IF($P$3=$AT$8,"",IF($P$3=$AT$9,"",IF($P$3=$AT$10,'Statement of Marks'!AR126,IF($P$3=$AT$11,'Statement of Marks'!BO126,IF($P$3=$AT$12,'Statement of Marks'!CL126,IF($P$3=$AT$13,'Statement of Marks'!DJ126,IF($P$3=$AT$14,"",IF($P$3=$AT$15,"",""))))))))),"")</f>
        <v/>
      </c>
      <c r="R127" s="824" t="str">
        <f>IFERROR(IF(B127="","",IF(AND(P127="",Q127="",$P$3=""),"",IF($P$3=$AT$14,'Statement of Marks'!EC126,SUM(P127,Q127)))),"")</f>
        <v/>
      </c>
      <c r="S127" s="823" t="str">
        <f>IFERROR(IF(B127="","",IF($P$3=$AT$14,'Statement of Marks'!ED126,IF(AND(O127="NA",P127="NA",Q127="NA"),"NA",IF(AND(O127="",P127="",Q127=""),"",SUM(O127,P127,Q127))))),"")</f>
        <v/>
      </c>
      <c r="T127" s="812" t="str">
        <f>IFERROR(IF(B127="","",IF($P$3=$AT$8,'Statement of Marks'!P126,IF($P$3=$AT$9,'Statement of Marks'!AD126,IF($P$3=$AT$10,'Statement of Marks'!AU126,IF($P$3=$AT$11,'Statement of Marks'!BR126,IF($P$3=$AT$12,'Statement of Marks'!CO126,IF($P$3=$AT$13,'Statement of Marks'!DM126,IF($P$3=$AT$14,"",IF($P$3=$AT$15,'Statement of Marks'!FD126,""))))))))),"")</f>
        <v/>
      </c>
      <c r="U127" s="812" t="str">
        <f>IFERROR(IF(B127="","",IF($P$3=$AT$8,"",IF($P$3=$AT$9,"",IF($P$3=$AT$10,'Statement of Marks'!AV126,IF($P$3=$AT$11,'Statement of Marks'!BS126,IF($P$3=$AT$12,'Statement of Marks'!CP126,IF($P$3=$AT$13,'Statement of Marks'!DN126,IF($P$3=$AT$14,"",IF($P$3=$AT$15,"",""))))))))),"")</f>
        <v/>
      </c>
      <c r="V127" s="824" t="str">
        <f>IFERROR(IF(B127="","",IF(AND(T127="",U127="",$P$3=""),"",IF($P$3=$AT$14,'Statement of Marks'!EE126,SUM(T127,U127)))),"")</f>
        <v/>
      </c>
      <c r="W127" s="814" t="str">
        <f t="shared" si="19"/>
        <v/>
      </c>
      <c r="X127" s="815">
        <f t="shared" si="20"/>
        <v>0</v>
      </c>
      <c r="Y127" s="815">
        <f t="shared" si="21"/>
        <v>0</v>
      </c>
      <c r="Z127" s="815">
        <f t="shared" si="22"/>
        <v>0</v>
      </c>
      <c r="AA127" s="815" t="str">
        <f t="shared" si="23"/>
        <v/>
      </c>
      <c r="AB127" s="815" t="str">
        <f t="shared" si="24"/>
        <v/>
      </c>
      <c r="AC127" s="815" t="str">
        <f t="shared" si="25"/>
        <v/>
      </c>
      <c r="AD127" s="815" t="str">
        <f t="shared" si="26"/>
        <v/>
      </c>
      <c r="AE127" s="816" t="str">
        <f t="shared" si="27"/>
        <v/>
      </c>
      <c r="AF127" s="817" t="str">
        <f t="shared" si="28"/>
        <v/>
      </c>
      <c r="AG127" s="818" t="str">
        <f t="shared" si="29"/>
        <v/>
      </c>
      <c r="AW127" s="17" t="str">
        <f t="shared" si="30"/>
        <v/>
      </c>
      <c r="AX127" s="17" t="str">
        <f t="shared" si="31"/>
        <v/>
      </c>
      <c r="BM127" s="17" t="str">
        <f>IFERROR(VLOOKUP(B127,'Statement of Marks'!$B$8:'Statement of Marks'!$HI$207,37,0),"")</f>
        <v>A</v>
      </c>
      <c r="BN127" s="17" t="str">
        <f>IFERROR(VLOOKUP(B127,'Statement of Marks'!$B$8:'Statement of Marks'!$HI$207,60,0),"")</f>
        <v>A</v>
      </c>
      <c r="BO127" s="17" t="str">
        <f>IFERROR(VLOOKUP(B127,'Statement of Marks'!$B$8:'Statement of Marks'!$HI$207,83,0),"")</f>
        <v>A</v>
      </c>
      <c r="BP127" s="17" t="str">
        <f>IFERROR(VLOOKUP(B127,'Statement of Marks'!$B$8:'Statement of Marks'!$HI$207,107,0),"")</f>
        <v/>
      </c>
    </row>
    <row r="128" spans="1:68">
      <c r="A128" s="806">
        <f>IF('Statement of Marks'!A127="","",'Statement of Marks'!A127)</f>
        <v>120</v>
      </c>
      <c r="B128" s="807" t="str">
        <f>IF(OR($E$3="",$P$3=""),"",IF('Statement of Marks'!B127="","",'Statement of Marks'!B127))</f>
        <v/>
      </c>
      <c r="C128" s="816" t="str">
        <f>IF(OR($E$3="",$P$3=""),"",IF('Marks Entry'!C127="","",'Marks Entry'!C127))</f>
        <v/>
      </c>
      <c r="D128" s="808" t="str">
        <f>IF(OR($E$3="",$P$3=""),"",IF('Statement of Marks'!C127="","",'Statement of Marks'!C127))</f>
        <v/>
      </c>
      <c r="E128" s="809" t="str">
        <f>IF(OR($E$3="",$P$3=""),"",IF('Statement of Marks'!D127="","",'Statement of Marks'!D127))</f>
        <v/>
      </c>
      <c r="F128" s="810" t="str">
        <f>IF(OR($E$3="",$P$3=""),"",IF('Statement of Marks'!E127="","",'Statement of Marks'!E127))</f>
        <v/>
      </c>
      <c r="G128" s="810" t="str">
        <f>IF(OR($E$3="",$P$3=""),"",IF('Statement of Marks'!F127="","",'Statement of Marks'!F127))</f>
        <v/>
      </c>
      <c r="H128" s="810" t="str">
        <f>IF(OR($E$3="",$P$3=""),"",IF('Statement of Marks'!G127="","",'Statement of Marks'!G127))</f>
        <v/>
      </c>
      <c r="I128" s="811" t="str">
        <f>IF(OR($E$3="",$P$3=""),"",IF('Statement of Marks'!H127="","",'Statement of Marks'!H127))</f>
        <v/>
      </c>
      <c r="J128" s="811" t="str">
        <f>IF(OR($E$3="",$P$3=""),"",IF('Statement of Marks'!I127="","",'Statement of Marks'!I127))</f>
        <v/>
      </c>
      <c r="K128" s="811" t="str">
        <f>IFERROR(IF(B128="","",IF($P$3=$AT$10,IF(AND(BM128="A"),'Marks Entry'!$U$2,IF(AND(BM128="B"),'Marks Entry'!$Y$2,IF(AND(BM128="C"),'Marks Entry'!$AA$2,""))),IF($P$3=$AT$11,IF(AND(BN128="A"),'Marks Entry'!$AC$2,IF(AND(BN128="B"),'Marks Entry'!$AG$2,IF(AND(BN128="C"),'Marks Entry'!$AI$2,""))),IF($P$3=$AT$12,IF(AND(BO128="A"),'Marks Entry'!$AK$2,IF(AND(BO128="B"),'Marks Entry'!$AO$2,IF(AND(BO128="C"),'Marks Entry'!$AQ$2,""))),IF($P$3=$AT$13,IF(AND(BP128="A"),'Marks Entry'!$AS$2,IF(AND(BP128="B"),'Marks Entry'!$AW$2,IF(AND(BP128="C"),'Marks Entry'!$AY$2,""))),"-"))))),"")</f>
        <v/>
      </c>
      <c r="L128" s="812" t="str">
        <f>IFERROR(IF(B128="","",IF($P$3=$AT$8,'Statement of Marks'!J127,IF($P$3=$AT$9,'Statement of Marks'!X127,IF($P$3=$AT$10,'Statement of Marks'!AM127,IF($P$3=$AT$11,'Statement of Marks'!BJ127,IF($P$3=$AT$12,'Statement of Marks'!CG127,IF($P$3=$AT$13,'Statement of Marks'!DE127,IF($P$3=$AT$14,"",IF($P$3=$AT$15,'Statement of Marks'!EY127,""))))))))),"")</f>
        <v/>
      </c>
      <c r="M128" s="812" t="str">
        <f>IFERROR(IF(B128="","",IF($P$3=$AT$8,'Statement of Marks'!K127,IF($P$3=$AT$9,'Statement of Marks'!Y127,IF($P$3=$AT$10,'Statement of Marks'!AN127,IF($P$3=$AT$11,'Statement of Marks'!BK127,IF($P$3=$AT$12,'Statement of Marks'!CH127,IF($P$3=$AT$13,'Statement of Marks'!DF127,IF($P$3=$AT$14,"",IF($P$3=$AT$15,'Statement of Marks'!EZ127,""))))))))),"")</f>
        <v/>
      </c>
      <c r="N128" s="812" t="str">
        <f>IFERROR(IF(B128="","",IF($P$3=$AT$8,'Statement of Marks'!L127,IF($P$3=$AT$9,'Statement of Marks'!Z127,IF($P$3=$AT$10,'Statement of Marks'!AO127,IF($P$3=$AT$11,'Statement of Marks'!BL127,IF($P$3=$AT$12,'Statement of Marks'!CI127,IF($P$3=$AT$13,'Statement of Marks'!DG127,IF($P$3=$AT$14,"",IF($P$3=$AT$15,'Statement of Marks'!FA127,""))))))))),"")</f>
        <v/>
      </c>
      <c r="O128" s="813" t="str">
        <f t="shared" si="18"/>
        <v/>
      </c>
      <c r="P128" s="812" t="str">
        <f>IFERROR(IF(B128="","",IF($P$3=$AT$8,'Statement of Marks'!N127,IF($P$3=$AT$9,'Statement of Marks'!AB127,IF($P$3=$AT$10,'Statement of Marks'!AQ127,IF($P$3=$AT$11,'Statement of Marks'!BN127,IF($P$3=$AT$12,'Statement of Marks'!CK127,IF($P$3=$AT$13,'Statement of Marks'!DI127,IF($P$3=$AT$14,"",IF($P$3=$AT$15,'Statement of Marks'!FC127,""))))))))),"")</f>
        <v/>
      </c>
      <c r="Q128" s="812" t="str">
        <f>IFERROR(IF(B128="","",IF($P$3=$AT$8,"",IF($P$3=$AT$9,"",IF($P$3=$AT$10,'Statement of Marks'!AR127,IF($P$3=$AT$11,'Statement of Marks'!BO127,IF($P$3=$AT$12,'Statement of Marks'!CL127,IF($P$3=$AT$13,'Statement of Marks'!DJ127,IF($P$3=$AT$14,"",IF($P$3=$AT$15,"",""))))))))),"")</f>
        <v/>
      </c>
      <c r="R128" s="824" t="str">
        <f>IFERROR(IF(B128="","",IF(AND(P128="",Q128="",$P$3=""),"",IF($P$3=$AT$14,'Statement of Marks'!EC127,SUM(P128,Q128)))),"")</f>
        <v/>
      </c>
      <c r="S128" s="823" t="str">
        <f>IFERROR(IF(B128="","",IF($P$3=$AT$14,'Statement of Marks'!ED127,IF(AND(O128="NA",P128="NA",Q128="NA"),"NA",IF(AND(O128="",P128="",Q128=""),"",SUM(O128,P128,Q128))))),"")</f>
        <v/>
      </c>
      <c r="T128" s="812" t="str">
        <f>IFERROR(IF(B128="","",IF($P$3=$AT$8,'Statement of Marks'!P127,IF($P$3=$AT$9,'Statement of Marks'!AD127,IF($P$3=$AT$10,'Statement of Marks'!AU127,IF($P$3=$AT$11,'Statement of Marks'!BR127,IF($P$3=$AT$12,'Statement of Marks'!CO127,IF($P$3=$AT$13,'Statement of Marks'!DM127,IF($P$3=$AT$14,"",IF($P$3=$AT$15,'Statement of Marks'!FD127,""))))))))),"")</f>
        <v/>
      </c>
      <c r="U128" s="812" t="str">
        <f>IFERROR(IF(B128="","",IF($P$3=$AT$8,"",IF($P$3=$AT$9,"",IF($P$3=$AT$10,'Statement of Marks'!AV127,IF($P$3=$AT$11,'Statement of Marks'!BS127,IF($P$3=$AT$12,'Statement of Marks'!CP127,IF($P$3=$AT$13,'Statement of Marks'!DN127,IF($P$3=$AT$14,"",IF($P$3=$AT$15,"",""))))))))),"")</f>
        <v/>
      </c>
      <c r="V128" s="824" t="str">
        <f>IFERROR(IF(B128="","",IF(AND(T128="",U128="",$P$3=""),"",IF($P$3=$AT$14,'Statement of Marks'!EE127,SUM(T128,U128)))),"")</f>
        <v/>
      </c>
      <c r="W128" s="814" t="str">
        <f t="shared" si="19"/>
        <v/>
      </c>
      <c r="X128" s="815">
        <f t="shared" si="20"/>
        <v>0</v>
      </c>
      <c r="Y128" s="815">
        <f t="shared" si="21"/>
        <v>0</v>
      </c>
      <c r="Z128" s="815">
        <f t="shared" si="22"/>
        <v>0</v>
      </c>
      <c r="AA128" s="815" t="str">
        <f t="shared" si="23"/>
        <v/>
      </c>
      <c r="AB128" s="815" t="str">
        <f t="shared" si="24"/>
        <v/>
      </c>
      <c r="AC128" s="815" t="str">
        <f t="shared" si="25"/>
        <v/>
      </c>
      <c r="AD128" s="815" t="str">
        <f t="shared" si="26"/>
        <v/>
      </c>
      <c r="AE128" s="816" t="str">
        <f t="shared" si="27"/>
        <v/>
      </c>
      <c r="AF128" s="817" t="str">
        <f t="shared" si="28"/>
        <v/>
      </c>
      <c r="AG128" s="818" t="str">
        <f t="shared" si="29"/>
        <v/>
      </c>
      <c r="AW128" s="17" t="str">
        <f t="shared" si="30"/>
        <v/>
      </c>
      <c r="AX128" s="17" t="str">
        <f t="shared" si="31"/>
        <v/>
      </c>
      <c r="BM128" s="17" t="str">
        <f>IFERROR(VLOOKUP(B128,'Statement of Marks'!$B$8:'Statement of Marks'!$HI$207,37,0),"")</f>
        <v>A</v>
      </c>
      <c r="BN128" s="17" t="str">
        <f>IFERROR(VLOOKUP(B128,'Statement of Marks'!$B$8:'Statement of Marks'!$HI$207,60,0),"")</f>
        <v>A</v>
      </c>
      <c r="BO128" s="17" t="str">
        <f>IFERROR(VLOOKUP(B128,'Statement of Marks'!$B$8:'Statement of Marks'!$HI$207,83,0),"")</f>
        <v>A</v>
      </c>
      <c r="BP128" s="17" t="str">
        <f>IFERROR(VLOOKUP(B128,'Statement of Marks'!$B$8:'Statement of Marks'!$HI$207,107,0),"")</f>
        <v/>
      </c>
    </row>
    <row r="129" spans="1:68">
      <c r="A129" s="806">
        <f>IF('Statement of Marks'!A128="","",'Statement of Marks'!A128)</f>
        <v>121</v>
      </c>
      <c r="B129" s="807" t="str">
        <f>IF(OR($E$3="",$P$3=""),"",IF('Statement of Marks'!B128="","",'Statement of Marks'!B128))</f>
        <v/>
      </c>
      <c r="C129" s="816" t="str">
        <f>IF(OR($E$3="",$P$3=""),"",IF('Marks Entry'!C128="","",'Marks Entry'!C128))</f>
        <v/>
      </c>
      <c r="D129" s="808" t="str">
        <f>IF(OR($E$3="",$P$3=""),"",IF('Statement of Marks'!C128="","",'Statement of Marks'!C128))</f>
        <v/>
      </c>
      <c r="E129" s="809" t="str">
        <f>IF(OR($E$3="",$P$3=""),"",IF('Statement of Marks'!D128="","",'Statement of Marks'!D128))</f>
        <v/>
      </c>
      <c r="F129" s="810" t="str">
        <f>IF(OR($E$3="",$P$3=""),"",IF('Statement of Marks'!E128="","",'Statement of Marks'!E128))</f>
        <v/>
      </c>
      <c r="G129" s="810" t="str">
        <f>IF(OR($E$3="",$P$3=""),"",IF('Statement of Marks'!F128="","",'Statement of Marks'!F128))</f>
        <v/>
      </c>
      <c r="H129" s="810" t="str">
        <f>IF(OR($E$3="",$P$3=""),"",IF('Statement of Marks'!G128="","",'Statement of Marks'!G128))</f>
        <v/>
      </c>
      <c r="I129" s="811" t="str">
        <f>IF(OR($E$3="",$P$3=""),"",IF('Statement of Marks'!H128="","",'Statement of Marks'!H128))</f>
        <v/>
      </c>
      <c r="J129" s="811" t="str">
        <f>IF(OR($E$3="",$P$3=""),"",IF('Statement of Marks'!I128="","",'Statement of Marks'!I128))</f>
        <v/>
      </c>
      <c r="K129" s="811" t="str">
        <f>IFERROR(IF(B129="","",IF($P$3=$AT$10,IF(AND(BM129="A"),'Marks Entry'!$U$2,IF(AND(BM129="B"),'Marks Entry'!$Y$2,IF(AND(BM129="C"),'Marks Entry'!$AA$2,""))),IF($P$3=$AT$11,IF(AND(BN129="A"),'Marks Entry'!$AC$2,IF(AND(BN129="B"),'Marks Entry'!$AG$2,IF(AND(BN129="C"),'Marks Entry'!$AI$2,""))),IF($P$3=$AT$12,IF(AND(BO129="A"),'Marks Entry'!$AK$2,IF(AND(BO129="B"),'Marks Entry'!$AO$2,IF(AND(BO129="C"),'Marks Entry'!$AQ$2,""))),IF($P$3=$AT$13,IF(AND(BP129="A"),'Marks Entry'!$AS$2,IF(AND(BP129="B"),'Marks Entry'!$AW$2,IF(AND(BP129="C"),'Marks Entry'!$AY$2,""))),"-"))))),"")</f>
        <v/>
      </c>
      <c r="L129" s="812" t="str">
        <f>IFERROR(IF(B129="","",IF($P$3=$AT$8,'Statement of Marks'!J128,IF($P$3=$AT$9,'Statement of Marks'!X128,IF($P$3=$AT$10,'Statement of Marks'!AM128,IF($P$3=$AT$11,'Statement of Marks'!BJ128,IF($P$3=$AT$12,'Statement of Marks'!CG128,IF($P$3=$AT$13,'Statement of Marks'!DE128,IF($P$3=$AT$14,"",IF($P$3=$AT$15,'Statement of Marks'!EY128,""))))))))),"")</f>
        <v/>
      </c>
      <c r="M129" s="812" t="str">
        <f>IFERROR(IF(B129="","",IF($P$3=$AT$8,'Statement of Marks'!K128,IF($P$3=$AT$9,'Statement of Marks'!Y128,IF($P$3=$AT$10,'Statement of Marks'!AN128,IF($P$3=$AT$11,'Statement of Marks'!BK128,IF($P$3=$AT$12,'Statement of Marks'!CH128,IF($P$3=$AT$13,'Statement of Marks'!DF128,IF($P$3=$AT$14,"",IF($P$3=$AT$15,'Statement of Marks'!EZ128,""))))))))),"")</f>
        <v/>
      </c>
      <c r="N129" s="812" t="str">
        <f>IFERROR(IF(B129="","",IF($P$3=$AT$8,'Statement of Marks'!L128,IF($P$3=$AT$9,'Statement of Marks'!Z128,IF($P$3=$AT$10,'Statement of Marks'!AO128,IF($P$3=$AT$11,'Statement of Marks'!BL128,IF($P$3=$AT$12,'Statement of Marks'!CI128,IF($P$3=$AT$13,'Statement of Marks'!DG128,IF($P$3=$AT$14,"",IF($P$3=$AT$15,'Statement of Marks'!FA128,""))))))))),"")</f>
        <v/>
      </c>
      <c r="O129" s="813" t="str">
        <f t="shared" si="18"/>
        <v/>
      </c>
      <c r="P129" s="812" t="str">
        <f>IFERROR(IF(B129="","",IF($P$3=$AT$8,'Statement of Marks'!N128,IF($P$3=$AT$9,'Statement of Marks'!AB128,IF($P$3=$AT$10,'Statement of Marks'!AQ128,IF($P$3=$AT$11,'Statement of Marks'!BN128,IF($P$3=$AT$12,'Statement of Marks'!CK128,IF($P$3=$AT$13,'Statement of Marks'!DI128,IF($P$3=$AT$14,"",IF($P$3=$AT$15,'Statement of Marks'!FC128,""))))))))),"")</f>
        <v/>
      </c>
      <c r="Q129" s="812" t="str">
        <f>IFERROR(IF(B129="","",IF($P$3=$AT$8,"",IF($P$3=$AT$9,"",IF($P$3=$AT$10,'Statement of Marks'!AR128,IF($P$3=$AT$11,'Statement of Marks'!BO128,IF($P$3=$AT$12,'Statement of Marks'!CL128,IF($P$3=$AT$13,'Statement of Marks'!DJ128,IF($P$3=$AT$14,"",IF($P$3=$AT$15,"",""))))))))),"")</f>
        <v/>
      </c>
      <c r="R129" s="824" t="str">
        <f>IFERROR(IF(B129="","",IF(AND(P129="",Q129="",$P$3=""),"",IF($P$3=$AT$14,'Statement of Marks'!EC128,SUM(P129,Q129)))),"")</f>
        <v/>
      </c>
      <c r="S129" s="823" t="str">
        <f>IFERROR(IF(B129="","",IF($P$3=$AT$14,'Statement of Marks'!ED128,IF(AND(O129="NA",P129="NA",Q129="NA"),"NA",IF(AND(O129="",P129="",Q129=""),"",SUM(O129,P129,Q129))))),"")</f>
        <v/>
      </c>
      <c r="T129" s="812" t="str">
        <f>IFERROR(IF(B129="","",IF($P$3=$AT$8,'Statement of Marks'!P128,IF($P$3=$AT$9,'Statement of Marks'!AD128,IF($P$3=$AT$10,'Statement of Marks'!AU128,IF($P$3=$AT$11,'Statement of Marks'!BR128,IF($P$3=$AT$12,'Statement of Marks'!CO128,IF($P$3=$AT$13,'Statement of Marks'!DM128,IF($P$3=$AT$14,"",IF($P$3=$AT$15,'Statement of Marks'!FD128,""))))))))),"")</f>
        <v/>
      </c>
      <c r="U129" s="812" t="str">
        <f>IFERROR(IF(B129="","",IF($P$3=$AT$8,"",IF($P$3=$AT$9,"",IF($P$3=$AT$10,'Statement of Marks'!AV128,IF($P$3=$AT$11,'Statement of Marks'!BS128,IF($P$3=$AT$12,'Statement of Marks'!CP128,IF($P$3=$AT$13,'Statement of Marks'!DN128,IF($P$3=$AT$14,"",IF($P$3=$AT$15,"",""))))))))),"")</f>
        <v/>
      </c>
      <c r="V129" s="824" t="str">
        <f>IFERROR(IF(B129="","",IF(AND(T129="",U129="",$P$3=""),"",IF($P$3=$AT$14,'Statement of Marks'!EE128,SUM(T129,U129)))),"")</f>
        <v/>
      </c>
      <c r="W129" s="814" t="str">
        <f t="shared" si="19"/>
        <v/>
      </c>
      <c r="X129" s="815">
        <f t="shared" si="20"/>
        <v>0</v>
      </c>
      <c r="Y129" s="815">
        <f t="shared" si="21"/>
        <v>0</v>
      </c>
      <c r="Z129" s="815">
        <f t="shared" si="22"/>
        <v>0</v>
      </c>
      <c r="AA129" s="815" t="str">
        <f t="shared" si="23"/>
        <v/>
      </c>
      <c r="AB129" s="815" t="str">
        <f t="shared" si="24"/>
        <v/>
      </c>
      <c r="AC129" s="815" t="str">
        <f t="shared" si="25"/>
        <v/>
      </c>
      <c r="AD129" s="815" t="str">
        <f t="shared" si="26"/>
        <v/>
      </c>
      <c r="AE129" s="816" t="str">
        <f t="shared" si="27"/>
        <v/>
      </c>
      <c r="AF129" s="817" t="str">
        <f t="shared" si="28"/>
        <v/>
      </c>
      <c r="AG129" s="818" t="str">
        <f t="shared" si="29"/>
        <v/>
      </c>
      <c r="AW129" s="17" t="str">
        <f t="shared" si="30"/>
        <v/>
      </c>
      <c r="AX129" s="17" t="str">
        <f t="shared" si="31"/>
        <v/>
      </c>
      <c r="BM129" s="17" t="str">
        <f>IFERROR(VLOOKUP(B129,'Statement of Marks'!$B$8:'Statement of Marks'!$HI$207,37,0),"")</f>
        <v>A</v>
      </c>
      <c r="BN129" s="17" t="str">
        <f>IFERROR(VLOOKUP(B129,'Statement of Marks'!$B$8:'Statement of Marks'!$HI$207,60,0),"")</f>
        <v>A</v>
      </c>
      <c r="BO129" s="17" t="str">
        <f>IFERROR(VLOOKUP(B129,'Statement of Marks'!$B$8:'Statement of Marks'!$HI$207,83,0),"")</f>
        <v>A</v>
      </c>
      <c r="BP129" s="17" t="str">
        <f>IFERROR(VLOOKUP(B129,'Statement of Marks'!$B$8:'Statement of Marks'!$HI$207,107,0),"")</f>
        <v/>
      </c>
    </row>
    <row r="130" spans="1:68">
      <c r="A130" s="806">
        <f>IF('Statement of Marks'!A129="","",'Statement of Marks'!A129)</f>
        <v>122</v>
      </c>
      <c r="B130" s="807" t="str">
        <f>IF(OR($E$3="",$P$3=""),"",IF('Statement of Marks'!B129="","",'Statement of Marks'!B129))</f>
        <v/>
      </c>
      <c r="C130" s="816" t="str">
        <f>IF(OR($E$3="",$P$3=""),"",IF('Marks Entry'!C129="","",'Marks Entry'!C129))</f>
        <v/>
      </c>
      <c r="D130" s="808" t="str">
        <f>IF(OR($E$3="",$P$3=""),"",IF('Statement of Marks'!C129="","",'Statement of Marks'!C129))</f>
        <v/>
      </c>
      <c r="E130" s="809" t="str">
        <f>IF(OR($E$3="",$P$3=""),"",IF('Statement of Marks'!D129="","",'Statement of Marks'!D129))</f>
        <v/>
      </c>
      <c r="F130" s="810" t="str">
        <f>IF(OR($E$3="",$P$3=""),"",IF('Statement of Marks'!E129="","",'Statement of Marks'!E129))</f>
        <v/>
      </c>
      <c r="G130" s="810" t="str">
        <f>IF(OR($E$3="",$P$3=""),"",IF('Statement of Marks'!F129="","",'Statement of Marks'!F129))</f>
        <v/>
      </c>
      <c r="H130" s="810" t="str">
        <f>IF(OR($E$3="",$P$3=""),"",IF('Statement of Marks'!G129="","",'Statement of Marks'!G129))</f>
        <v/>
      </c>
      <c r="I130" s="811" t="str">
        <f>IF(OR($E$3="",$P$3=""),"",IF('Statement of Marks'!H129="","",'Statement of Marks'!H129))</f>
        <v/>
      </c>
      <c r="J130" s="811" t="str">
        <f>IF(OR($E$3="",$P$3=""),"",IF('Statement of Marks'!I129="","",'Statement of Marks'!I129))</f>
        <v/>
      </c>
      <c r="K130" s="811" t="str">
        <f>IFERROR(IF(B130="","",IF($P$3=$AT$10,IF(AND(BM130="A"),'Marks Entry'!$U$2,IF(AND(BM130="B"),'Marks Entry'!$Y$2,IF(AND(BM130="C"),'Marks Entry'!$AA$2,""))),IF($P$3=$AT$11,IF(AND(BN130="A"),'Marks Entry'!$AC$2,IF(AND(BN130="B"),'Marks Entry'!$AG$2,IF(AND(BN130="C"),'Marks Entry'!$AI$2,""))),IF($P$3=$AT$12,IF(AND(BO130="A"),'Marks Entry'!$AK$2,IF(AND(BO130="B"),'Marks Entry'!$AO$2,IF(AND(BO130="C"),'Marks Entry'!$AQ$2,""))),IF($P$3=$AT$13,IF(AND(BP130="A"),'Marks Entry'!$AS$2,IF(AND(BP130="B"),'Marks Entry'!$AW$2,IF(AND(BP130="C"),'Marks Entry'!$AY$2,""))),"-"))))),"")</f>
        <v/>
      </c>
      <c r="L130" s="812" t="str">
        <f>IFERROR(IF(B130="","",IF($P$3=$AT$8,'Statement of Marks'!J129,IF($P$3=$AT$9,'Statement of Marks'!X129,IF($P$3=$AT$10,'Statement of Marks'!AM129,IF($P$3=$AT$11,'Statement of Marks'!BJ129,IF($P$3=$AT$12,'Statement of Marks'!CG129,IF($P$3=$AT$13,'Statement of Marks'!DE129,IF($P$3=$AT$14,"",IF($P$3=$AT$15,'Statement of Marks'!EY129,""))))))))),"")</f>
        <v/>
      </c>
      <c r="M130" s="812" t="str">
        <f>IFERROR(IF(B130="","",IF($P$3=$AT$8,'Statement of Marks'!K129,IF($P$3=$AT$9,'Statement of Marks'!Y129,IF($P$3=$AT$10,'Statement of Marks'!AN129,IF($P$3=$AT$11,'Statement of Marks'!BK129,IF($P$3=$AT$12,'Statement of Marks'!CH129,IF($P$3=$AT$13,'Statement of Marks'!DF129,IF($P$3=$AT$14,"",IF($P$3=$AT$15,'Statement of Marks'!EZ129,""))))))))),"")</f>
        <v/>
      </c>
      <c r="N130" s="812" t="str">
        <f>IFERROR(IF(B130="","",IF($P$3=$AT$8,'Statement of Marks'!L129,IF($P$3=$AT$9,'Statement of Marks'!Z129,IF($P$3=$AT$10,'Statement of Marks'!AO129,IF($P$3=$AT$11,'Statement of Marks'!BL129,IF($P$3=$AT$12,'Statement of Marks'!CI129,IF($P$3=$AT$13,'Statement of Marks'!DG129,IF($P$3=$AT$14,"",IF($P$3=$AT$15,'Statement of Marks'!FA129,""))))))))),"")</f>
        <v/>
      </c>
      <c r="O130" s="813" t="str">
        <f t="shared" si="18"/>
        <v/>
      </c>
      <c r="P130" s="812" t="str">
        <f>IFERROR(IF(B130="","",IF($P$3=$AT$8,'Statement of Marks'!N129,IF($P$3=$AT$9,'Statement of Marks'!AB129,IF($P$3=$AT$10,'Statement of Marks'!AQ129,IF($P$3=$AT$11,'Statement of Marks'!BN129,IF($P$3=$AT$12,'Statement of Marks'!CK129,IF($P$3=$AT$13,'Statement of Marks'!DI129,IF($P$3=$AT$14,"",IF($P$3=$AT$15,'Statement of Marks'!FC129,""))))))))),"")</f>
        <v/>
      </c>
      <c r="Q130" s="812" t="str">
        <f>IFERROR(IF(B130="","",IF($P$3=$AT$8,"",IF($P$3=$AT$9,"",IF($P$3=$AT$10,'Statement of Marks'!AR129,IF($P$3=$AT$11,'Statement of Marks'!BO129,IF($P$3=$AT$12,'Statement of Marks'!CL129,IF($P$3=$AT$13,'Statement of Marks'!DJ129,IF($P$3=$AT$14,"",IF($P$3=$AT$15,"",""))))))))),"")</f>
        <v/>
      </c>
      <c r="R130" s="824" t="str">
        <f>IFERROR(IF(B130="","",IF(AND(P130="",Q130="",$P$3=""),"",IF($P$3=$AT$14,'Statement of Marks'!EC129,SUM(P130,Q130)))),"")</f>
        <v/>
      </c>
      <c r="S130" s="823" t="str">
        <f>IFERROR(IF(B130="","",IF($P$3=$AT$14,'Statement of Marks'!ED129,IF(AND(O130="NA",P130="NA",Q130="NA"),"NA",IF(AND(O130="",P130="",Q130=""),"",SUM(O130,P130,Q130))))),"")</f>
        <v/>
      </c>
      <c r="T130" s="812" t="str">
        <f>IFERROR(IF(B130="","",IF($P$3=$AT$8,'Statement of Marks'!P129,IF($P$3=$AT$9,'Statement of Marks'!AD129,IF($P$3=$AT$10,'Statement of Marks'!AU129,IF($P$3=$AT$11,'Statement of Marks'!BR129,IF($P$3=$AT$12,'Statement of Marks'!CO129,IF($P$3=$AT$13,'Statement of Marks'!DM129,IF($P$3=$AT$14,"",IF($P$3=$AT$15,'Statement of Marks'!FD129,""))))))))),"")</f>
        <v/>
      </c>
      <c r="U130" s="812" t="str">
        <f>IFERROR(IF(B130="","",IF($P$3=$AT$8,"",IF($P$3=$AT$9,"",IF($P$3=$AT$10,'Statement of Marks'!AV129,IF($P$3=$AT$11,'Statement of Marks'!BS129,IF($P$3=$AT$12,'Statement of Marks'!CP129,IF($P$3=$AT$13,'Statement of Marks'!DN129,IF($P$3=$AT$14,"",IF($P$3=$AT$15,"",""))))))))),"")</f>
        <v/>
      </c>
      <c r="V130" s="824" t="str">
        <f>IFERROR(IF(B130="","",IF(AND(T130="",U130="",$P$3=""),"",IF($P$3=$AT$14,'Statement of Marks'!EE129,SUM(T130,U130)))),"")</f>
        <v/>
      </c>
      <c r="W130" s="814" t="str">
        <f t="shared" si="19"/>
        <v/>
      </c>
      <c r="X130" s="815">
        <f t="shared" si="20"/>
        <v>0</v>
      </c>
      <c r="Y130" s="815">
        <f t="shared" si="21"/>
        <v>0</v>
      </c>
      <c r="Z130" s="815">
        <f t="shared" si="22"/>
        <v>0</v>
      </c>
      <c r="AA130" s="815" t="str">
        <f t="shared" si="23"/>
        <v/>
      </c>
      <c r="AB130" s="815" t="str">
        <f t="shared" si="24"/>
        <v/>
      </c>
      <c r="AC130" s="815" t="str">
        <f t="shared" si="25"/>
        <v/>
      </c>
      <c r="AD130" s="815" t="str">
        <f t="shared" si="26"/>
        <v/>
      </c>
      <c r="AE130" s="816" t="str">
        <f t="shared" si="27"/>
        <v/>
      </c>
      <c r="AF130" s="817" t="str">
        <f t="shared" si="28"/>
        <v/>
      </c>
      <c r="AG130" s="818" t="str">
        <f t="shared" si="29"/>
        <v/>
      </c>
      <c r="AW130" s="17" t="str">
        <f t="shared" si="30"/>
        <v/>
      </c>
      <c r="AX130" s="17" t="str">
        <f t="shared" si="31"/>
        <v/>
      </c>
      <c r="BM130" s="17" t="str">
        <f>IFERROR(VLOOKUP(B130,'Statement of Marks'!$B$8:'Statement of Marks'!$HI$207,37,0),"")</f>
        <v>A</v>
      </c>
      <c r="BN130" s="17" t="str">
        <f>IFERROR(VLOOKUP(B130,'Statement of Marks'!$B$8:'Statement of Marks'!$HI$207,60,0),"")</f>
        <v>A</v>
      </c>
      <c r="BO130" s="17" t="str">
        <f>IFERROR(VLOOKUP(B130,'Statement of Marks'!$B$8:'Statement of Marks'!$HI$207,83,0),"")</f>
        <v>A</v>
      </c>
      <c r="BP130" s="17" t="str">
        <f>IFERROR(VLOOKUP(B130,'Statement of Marks'!$B$8:'Statement of Marks'!$HI$207,107,0),"")</f>
        <v/>
      </c>
    </row>
    <row r="131" spans="1:68">
      <c r="A131" s="806">
        <f>IF('Statement of Marks'!A130="","",'Statement of Marks'!A130)</f>
        <v>123</v>
      </c>
      <c r="B131" s="807" t="str">
        <f>IF(OR($E$3="",$P$3=""),"",IF('Statement of Marks'!B130="","",'Statement of Marks'!B130))</f>
        <v/>
      </c>
      <c r="C131" s="816" t="str">
        <f>IF(OR($E$3="",$P$3=""),"",IF('Marks Entry'!C130="","",'Marks Entry'!C130))</f>
        <v/>
      </c>
      <c r="D131" s="808" t="str">
        <f>IF(OR($E$3="",$P$3=""),"",IF('Statement of Marks'!C130="","",'Statement of Marks'!C130))</f>
        <v/>
      </c>
      <c r="E131" s="809" t="str">
        <f>IF(OR($E$3="",$P$3=""),"",IF('Statement of Marks'!D130="","",'Statement of Marks'!D130))</f>
        <v/>
      </c>
      <c r="F131" s="810" t="str">
        <f>IF(OR($E$3="",$P$3=""),"",IF('Statement of Marks'!E130="","",'Statement of Marks'!E130))</f>
        <v/>
      </c>
      <c r="G131" s="810" t="str">
        <f>IF(OR($E$3="",$P$3=""),"",IF('Statement of Marks'!F130="","",'Statement of Marks'!F130))</f>
        <v/>
      </c>
      <c r="H131" s="810" t="str">
        <f>IF(OR($E$3="",$P$3=""),"",IF('Statement of Marks'!G130="","",'Statement of Marks'!G130))</f>
        <v/>
      </c>
      <c r="I131" s="811" t="str">
        <f>IF(OR($E$3="",$P$3=""),"",IF('Statement of Marks'!H130="","",'Statement of Marks'!H130))</f>
        <v/>
      </c>
      <c r="J131" s="811" t="str">
        <f>IF(OR($E$3="",$P$3=""),"",IF('Statement of Marks'!I130="","",'Statement of Marks'!I130))</f>
        <v/>
      </c>
      <c r="K131" s="811" t="str">
        <f>IFERROR(IF(B131="","",IF($P$3=$AT$10,IF(AND(BM131="A"),'Marks Entry'!$U$2,IF(AND(BM131="B"),'Marks Entry'!$Y$2,IF(AND(BM131="C"),'Marks Entry'!$AA$2,""))),IF($P$3=$AT$11,IF(AND(BN131="A"),'Marks Entry'!$AC$2,IF(AND(BN131="B"),'Marks Entry'!$AG$2,IF(AND(BN131="C"),'Marks Entry'!$AI$2,""))),IF($P$3=$AT$12,IF(AND(BO131="A"),'Marks Entry'!$AK$2,IF(AND(BO131="B"),'Marks Entry'!$AO$2,IF(AND(BO131="C"),'Marks Entry'!$AQ$2,""))),IF($P$3=$AT$13,IF(AND(BP131="A"),'Marks Entry'!$AS$2,IF(AND(BP131="B"),'Marks Entry'!$AW$2,IF(AND(BP131="C"),'Marks Entry'!$AY$2,""))),"-"))))),"")</f>
        <v/>
      </c>
      <c r="L131" s="812" t="str">
        <f>IFERROR(IF(B131="","",IF($P$3=$AT$8,'Statement of Marks'!J130,IF($P$3=$AT$9,'Statement of Marks'!X130,IF($P$3=$AT$10,'Statement of Marks'!AM130,IF($P$3=$AT$11,'Statement of Marks'!BJ130,IF($P$3=$AT$12,'Statement of Marks'!CG130,IF($P$3=$AT$13,'Statement of Marks'!DE130,IF($P$3=$AT$14,"",IF($P$3=$AT$15,'Statement of Marks'!EY130,""))))))))),"")</f>
        <v/>
      </c>
      <c r="M131" s="812" t="str">
        <f>IFERROR(IF(B131="","",IF($P$3=$AT$8,'Statement of Marks'!K130,IF($P$3=$AT$9,'Statement of Marks'!Y130,IF($P$3=$AT$10,'Statement of Marks'!AN130,IF($P$3=$AT$11,'Statement of Marks'!BK130,IF($P$3=$AT$12,'Statement of Marks'!CH130,IF($P$3=$AT$13,'Statement of Marks'!DF130,IF($P$3=$AT$14,"",IF($P$3=$AT$15,'Statement of Marks'!EZ130,""))))))))),"")</f>
        <v/>
      </c>
      <c r="N131" s="812" t="str">
        <f>IFERROR(IF(B131="","",IF($P$3=$AT$8,'Statement of Marks'!L130,IF($P$3=$AT$9,'Statement of Marks'!Z130,IF($P$3=$AT$10,'Statement of Marks'!AO130,IF($P$3=$AT$11,'Statement of Marks'!BL130,IF($P$3=$AT$12,'Statement of Marks'!CI130,IF($P$3=$AT$13,'Statement of Marks'!DG130,IF($P$3=$AT$14,"",IF($P$3=$AT$15,'Statement of Marks'!FA130,""))))))))),"")</f>
        <v/>
      </c>
      <c r="O131" s="813" t="str">
        <f t="shared" si="18"/>
        <v/>
      </c>
      <c r="P131" s="812" t="str">
        <f>IFERROR(IF(B131="","",IF($P$3=$AT$8,'Statement of Marks'!N130,IF($P$3=$AT$9,'Statement of Marks'!AB130,IF($P$3=$AT$10,'Statement of Marks'!AQ130,IF($P$3=$AT$11,'Statement of Marks'!BN130,IF($P$3=$AT$12,'Statement of Marks'!CK130,IF($P$3=$AT$13,'Statement of Marks'!DI130,IF($P$3=$AT$14,"",IF($P$3=$AT$15,'Statement of Marks'!FC130,""))))))))),"")</f>
        <v/>
      </c>
      <c r="Q131" s="812" t="str">
        <f>IFERROR(IF(B131="","",IF($P$3=$AT$8,"",IF($P$3=$AT$9,"",IF($P$3=$AT$10,'Statement of Marks'!AR130,IF($P$3=$AT$11,'Statement of Marks'!BO130,IF($P$3=$AT$12,'Statement of Marks'!CL130,IF($P$3=$AT$13,'Statement of Marks'!DJ130,IF($P$3=$AT$14,"",IF($P$3=$AT$15,"",""))))))))),"")</f>
        <v/>
      </c>
      <c r="R131" s="824" t="str">
        <f>IFERROR(IF(B131="","",IF(AND(P131="",Q131="",$P$3=""),"",IF($P$3=$AT$14,'Statement of Marks'!EC130,SUM(P131,Q131)))),"")</f>
        <v/>
      </c>
      <c r="S131" s="823" t="str">
        <f>IFERROR(IF(B131="","",IF($P$3=$AT$14,'Statement of Marks'!ED130,IF(AND(O131="NA",P131="NA",Q131="NA"),"NA",IF(AND(O131="",P131="",Q131=""),"",SUM(O131,P131,Q131))))),"")</f>
        <v/>
      </c>
      <c r="T131" s="812" t="str">
        <f>IFERROR(IF(B131="","",IF($P$3=$AT$8,'Statement of Marks'!P130,IF($P$3=$AT$9,'Statement of Marks'!AD130,IF($P$3=$AT$10,'Statement of Marks'!AU130,IF($P$3=$AT$11,'Statement of Marks'!BR130,IF($P$3=$AT$12,'Statement of Marks'!CO130,IF($P$3=$AT$13,'Statement of Marks'!DM130,IF($P$3=$AT$14,"",IF($P$3=$AT$15,'Statement of Marks'!FD130,""))))))))),"")</f>
        <v/>
      </c>
      <c r="U131" s="812" t="str">
        <f>IFERROR(IF(B131="","",IF($P$3=$AT$8,"",IF($P$3=$AT$9,"",IF($P$3=$AT$10,'Statement of Marks'!AV130,IF($P$3=$AT$11,'Statement of Marks'!BS130,IF($P$3=$AT$12,'Statement of Marks'!CP130,IF($P$3=$AT$13,'Statement of Marks'!DN130,IF($P$3=$AT$14,"",IF($P$3=$AT$15,"",""))))))))),"")</f>
        <v/>
      </c>
      <c r="V131" s="824" t="str">
        <f>IFERROR(IF(B131="","",IF(AND(T131="",U131="",$P$3=""),"",IF($P$3=$AT$14,'Statement of Marks'!EE130,SUM(T131,U131)))),"")</f>
        <v/>
      </c>
      <c r="W131" s="814" t="str">
        <f t="shared" si="19"/>
        <v/>
      </c>
      <c r="X131" s="815">
        <f t="shared" si="20"/>
        <v>0</v>
      </c>
      <c r="Y131" s="815">
        <f t="shared" si="21"/>
        <v>0</v>
      </c>
      <c r="Z131" s="815">
        <f t="shared" si="22"/>
        <v>0</v>
      </c>
      <c r="AA131" s="815" t="str">
        <f t="shared" si="23"/>
        <v/>
      </c>
      <c r="AB131" s="815" t="str">
        <f t="shared" si="24"/>
        <v/>
      </c>
      <c r="AC131" s="815" t="str">
        <f t="shared" si="25"/>
        <v/>
      </c>
      <c r="AD131" s="815" t="str">
        <f t="shared" si="26"/>
        <v/>
      </c>
      <c r="AE131" s="816" t="str">
        <f t="shared" si="27"/>
        <v/>
      </c>
      <c r="AF131" s="817" t="str">
        <f t="shared" si="28"/>
        <v/>
      </c>
      <c r="AG131" s="818" t="str">
        <f t="shared" si="29"/>
        <v/>
      </c>
      <c r="AW131" s="17" t="str">
        <f t="shared" si="30"/>
        <v/>
      </c>
      <c r="AX131" s="17" t="str">
        <f t="shared" si="31"/>
        <v/>
      </c>
      <c r="BM131" s="17" t="str">
        <f>IFERROR(VLOOKUP(B131,'Statement of Marks'!$B$8:'Statement of Marks'!$HI$207,37,0),"")</f>
        <v>A</v>
      </c>
      <c r="BN131" s="17" t="str">
        <f>IFERROR(VLOOKUP(B131,'Statement of Marks'!$B$8:'Statement of Marks'!$HI$207,60,0),"")</f>
        <v>A</v>
      </c>
      <c r="BO131" s="17" t="str">
        <f>IFERROR(VLOOKUP(B131,'Statement of Marks'!$B$8:'Statement of Marks'!$HI$207,83,0),"")</f>
        <v>A</v>
      </c>
      <c r="BP131" s="17" t="str">
        <f>IFERROR(VLOOKUP(B131,'Statement of Marks'!$B$8:'Statement of Marks'!$HI$207,107,0),"")</f>
        <v/>
      </c>
    </row>
    <row r="132" spans="1:68">
      <c r="A132" s="806">
        <f>IF('Statement of Marks'!A131="","",'Statement of Marks'!A131)</f>
        <v>124</v>
      </c>
      <c r="B132" s="807" t="str">
        <f>IF(OR($E$3="",$P$3=""),"",IF('Statement of Marks'!B131="","",'Statement of Marks'!B131))</f>
        <v/>
      </c>
      <c r="C132" s="816" t="str">
        <f>IF(OR($E$3="",$P$3=""),"",IF('Marks Entry'!C131="","",'Marks Entry'!C131))</f>
        <v/>
      </c>
      <c r="D132" s="808" t="str">
        <f>IF(OR($E$3="",$P$3=""),"",IF('Statement of Marks'!C131="","",'Statement of Marks'!C131))</f>
        <v/>
      </c>
      <c r="E132" s="809" t="str">
        <f>IF(OR($E$3="",$P$3=""),"",IF('Statement of Marks'!D131="","",'Statement of Marks'!D131))</f>
        <v/>
      </c>
      <c r="F132" s="810" t="str">
        <f>IF(OR($E$3="",$P$3=""),"",IF('Statement of Marks'!E131="","",'Statement of Marks'!E131))</f>
        <v/>
      </c>
      <c r="G132" s="810" t="str">
        <f>IF(OR($E$3="",$P$3=""),"",IF('Statement of Marks'!F131="","",'Statement of Marks'!F131))</f>
        <v/>
      </c>
      <c r="H132" s="810" t="str">
        <f>IF(OR($E$3="",$P$3=""),"",IF('Statement of Marks'!G131="","",'Statement of Marks'!G131))</f>
        <v/>
      </c>
      <c r="I132" s="811" t="str">
        <f>IF(OR($E$3="",$P$3=""),"",IF('Statement of Marks'!H131="","",'Statement of Marks'!H131))</f>
        <v/>
      </c>
      <c r="J132" s="811" t="str">
        <f>IF(OR($E$3="",$P$3=""),"",IF('Statement of Marks'!I131="","",'Statement of Marks'!I131))</f>
        <v/>
      </c>
      <c r="K132" s="811" t="str">
        <f>IFERROR(IF(B132="","",IF($P$3=$AT$10,IF(AND(BM132="A"),'Marks Entry'!$U$2,IF(AND(BM132="B"),'Marks Entry'!$Y$2,IF(AND(BM132="C"),'Marks Entry'!$AA$2,""))),IF($P$3=$AT$11,IF(AND(BN132="A"),'Marks Entry'!$AC$2,IF(AND(BN132="B"),'Marks Entry'!$AG$2,IF(AND(BN132="C"),'Marks Entry'!$AI$2,""))),IF($P$3=$AT$12,IF(AND(BO132="A"),'Marks Entry'!$AK$2,IF(AND(BO132="B"),'Marks Entry'!$AO$2,IF(AND(BO132="C"),'Marks Entry'!$AQ$2,""))),IF($P$3=$AT$13,IF(AND(BP132="A"),'Marks Entry'!$AS$2,IF(AND(BP132="B"),'Marks Entry'!$AW$2,IF(AND(BP132="C"),'Marks Entry'!$AY$2,""))),"-"))))),"")</f>
        <v/>
      </c>
      <c r="L132" s="812" t="str">
        <f>IFERROR(IF(B132="","",IF($P$3=$AT$8,'Statement of Marks'!J131,IF($P$3=$AT$9,'Statement of Marks'!X131,IF($P$3=$AT$10,'Statement of Marks'!AM131,IF($P$3=$AT$11,'Statement of Marks'!BJ131,IF($P$3=$AT$12,'Statement of Marks'!CG131,IF($P$3=$AT$13,'Statement of Marks'!DE131,IF($P$3=$AT$14,"",IF($P$3=$AT$15,'Statement of Marks'!EY131,""))))))))),"")</f>
        <v/>
      </c>
      <c r="M132" s="812" t="str">
        <f>IFERROR(IF(B132="","",IF($P$3=$AT$8,'Statement of Marks'!K131,IF($P$3=$AT$9,'Statement of Marks'!Y131,IF($P$3=$AT$10,'Statement of Marks'!AN131,IF($P$3=$AT$11,'Statement of Marks'!BK131,IF($P$3=$AT$12,'Statement of Marks'!CH131,IF($P$3=$AT$13,'Statement of Marks'!DF131,IF($P$3=$AT$14,"",IF($P$3=$AT$15,'Statement of Marks'!EZ131,""))))))))),"")</f>
        <v/>
      </c>
      <c r="N132" s="812" t="str">
        <f>IFERROR(IF(B132="","",IF($P$3=$AT$8,'Statement of Marks'!L131,IF($P$3=$AT$9,'Statement of Marks'!Z131,IF($P$3=$AT$10,'Statement of Marks'!AO131,IF($P$3=$AT$11,'Statement of Marks'!BL131,IF($P$3=$AT$12,'Statement of Marks'!CI131,IF($P$3=$AT$13,'Statement of Marks'!DG131,IF($P$3=$AT$14,"",IF($P$3=$AT$15,'Statement of Marks'!FA131,""))))))))),"")</f>
        <v/>
      </c>
      <c r="O132" s="813" t="str">
        <f t="shared" si="18"/>
        <v/>
      </c>
      <c r="P132" s="812" t="str">
        <f>IFERROR(IF(B132="","",IF($P$3=$AT$8,'Statement of Marks'!N131,IF($P$3=$AT$9,'Statement of Marks'!AB131,IF($P$3=$AT$10,'Statement of Marks'!AQ131,IF($P$3=$AT$11,'Statement of Marks'!BN131,IF($P$3=$AT$12,'Statement of Marks'!CK131,IF($P$3=$AT$13,'Statement of Marks'!DI131,IF($P$3=$AT$14,"",IF($P$3=$AT$15,'Statement of Marks'!FC131,""))))))))),"")</f>
        <v/>
      </c>
      <c r="Q132" s="812" t="str">
        <f>IFERROR(IF(B132="","",IF($P$3=$AT$8,"",IF($P$3=$AT$9,"",IF($P$3=$AT$10,'Statement of Marks'!AR131,IF($P$3=$AT$11,'Statement of Marks'!BO131,IF($P$3=$AT$12,'Statement of Marks'!CL131,IF($P$3=$AT$13,'Statement of Marks'!DJ131,IF($P$3=$AT$14,"",IF($P$3=$AT$15,"",""))))))))),"")</f>
        <v/>
      </c>
      <c r="R132" s="824" t="str">
        <f>IFERROR(IF(B132="","",IF(AND(P132="",Q132="",$P$3=""),"",IF($P$3=$AT$14,'Statement of Marks'!EC131,SUM(P132,Q132)))),"")</f>
        <v/>
      </c>
      <c r="S132" s="823" t="str">
        <f>IFERROR(IF(B132="","",IF($P$3=$AT$14,'Statement of Marks'!ED131,IF(AND(O132="NA",P132="NA",Q132="NA"),"NA",IF(AND(O132="",P132="",Q132=""),"",SUM(O132,P132,Q132))))),"")</f>
        <v/>
      </c>
      <c r="T132" s="812" t="str">
        <f>IFERROR(IF(B132="","",IF($P$3=$AT$8,'Statement of Marks'!P131,IF($P$3=$AT$9,'Statement of Marks'!AD131,IF($P$3=$AT$10,'Statement of Marks'!AU131,IF($P$3=$AT$11,'Statement of Marks'!BR131,IF($P$3=$AT$12,'Statement of Marks'!CO131,IF($P$3=$AT$13,'Statement of Marks'!DM131,IF($P$3=$AT$14,"",IF($P$3=$AT$15,'Statement of Marks'!FD131,""))))))))),"")</f>
        <v/>
      </c>
      <c r="U132" s="812" t="str">
        <f>IFERROR(IF(B132="","",IF($P$3=$AT$8,"",IF($P$3=$AT$9,"",IF($P$3=$AT$10,'Statement of Marks'!AV131,IF($P$3=$AT$11,'Statement of Marks'!BS131,IF($P$3=$AT$12,'Statement of Marks'!CP131,IF($P$3=$AT$13,'Statement of Marks'!DN131,IF($P$3=$AT$14,"",IF($P$3=$AT$15,"",""))))))))),"")</f>
        <v/>
      </c>
      <c r="V132" s="824" t="str">
        <f>IFERROR(IF(B132="","",IF(AND(T132="",U132="",$P$3=""),"",IF($P$3=$AT$14,'Statement of Marks'!EE131,SUM(T132,U132)))),"")</f>
        <v/>
      </c>
      <c r="W132" s="814" t="str">
        <f t="shared" si="19"/>
        <v/>
      </c>
      <c r="X132" s="815">
        <f t="shared" si="20"/>
        <v>0</v>
      </c>
      <c r="Y132" s="815">
        <f t="shared" si="21"/>
        <v>0</v>
      </c>
      <c r="Z132" s="815">
        <f t="shared" si="22"/>
        <v>0</v>
      </c>
      <c r="AA132" s="815" t="str">
        <f t="shared" si="23"/>
        <v/>
      </c>
      <c r="AB132" s="815" t="str">
        <f t="shared" si="24"/>
        <v/>
      </c>
      <c r="AC132" s="815" t="str">
        <f t="shared" si="25"/>
        <v/>
      </c>
      <c r="AD132" s="815" t="str">
        <f t="shared" si="26"/>
        <v/>
      </c>
      <c r="AE132" s="816" t="str">
        <f t="shared" si="27"/>
        <v/>
      </c>
      <c r="AF132" s="817" t="str">
        <f t="shared" si="28"/>
        <v/>
      </c>
      <c r="AG132" s="818" t="str">
        <f t="shared" si="29"/>
        <v/>
      </c>
      <c r="AW132" s="17" t="str">
        <f t="shared" si="30"/>
        <v/>
      </c>
      <c r="AX132" s="17" t="str">
        <f t="shared" si="31"/>
        <v/>
      </c>
      <c r="BM132" s="17" t="str">
        <f>IFERROR(VLOOKUP(B132,'Statement of Marks'!$B$8:'Statement of Marks'!$HI$207,37,0),"")</f>
        <v>A</v>
      </c>
      <c r="BN132" s="17" t="str">
        <f>IFERROR(VLOOKUP(B132,'Statement of Marks'!$B$8:'Statement of Marks'!$HI$207,60,0),"")</f>
        <v>A</v>
      </c>
      <c r="BO132" s="17" t="str">
        <f>IFERROR(VLOOKUP(B132,'Statement of Marks'!$B$8:'Statement of Marks'!$HI$207,83,0),"")</f>
        <v>A</v>
      </c>
      <c r="BP132" s="17" t="str">
        <f>IFERROR(VLOOKUP(B132,'Statement of Marks'!$B$8:'Statement of Marks'!$HI$207,107,0),"")</f>
        <v/>
      </c>
    </row>
    <row r="133" spans="1:68">
      <c r="A133" s="806">
        <f>IF('Statement of Marks'!A132="","",'Statement of Marks'!A132)</f>
        <v>125</v>
      </c>
      <c r="B133" s="807" t="str">
        <f>IF(OR($E$3="",$P$3=""),"",IF('Statement of Marks'!B132="","",'Statement of Marks'!B132))</f>
        <v/>
      </c>
      <c r="C133" s="816" t="str">
        <f>IF(OR($E$3="",$P$3=""),"",IF('Marks Entry'!C132="","",'Marks Entry'!C132))</f>
        <v/>
      </c>
      <c r="D133" s="808" t="str">
        <f>IF(OR($E$3="",$P$3=""),"",IF('Statement of Marks'!C132="","",'Statement of Marks'!C132))</f>
        <v/>
      </c>
      <c r="E133" s="809" t="str">
        <f>IF(OR($E$3="",$P$3=""),"",IF('Statement of Marks'!D132="","",'Statement of Marks'!D132))</f>
        <v/>
      </c>
      <c r="F133" s="810" t="str">
        <f>IF(OR($E$3="",$P$3=""),"",IF('Statement of Marks'!E132="","",'Statement of Marks'!E132))</f>
        <v/>
      </c>
      <c r="G133" s="810" t="str">
        <f>IF(OR($E$3="",$P$3=""),"",IF('Statement of Marks'!F132="","",'Statement of Marks'!F132))</f>
        <v/>
      </c>
      <c r="H133" s="810" t="str">
        <f>IF(OR($E$3="",$P$3=""),"",IF('Statement of Marks'!G132="","",'Statement of Marks'!G132))</f>
        <v/>
      </c>
      <c r="I133" s="811" t="str">
        <f>IF(OR($E$3="",$P$3=""),"",IF('Statement of Marks'!H132="","",'Statement of Marks'!H132))</f>
        <v/>
      </c>
      <c r="J133" s="811" t="str">
        <f>IF(OR($E$3="",$P$3=""),"",IF('Statement of Marks'!I132="","",'Statement of Marks'!I132))</f>
        <v/>
      </c>
      <c r="K133" s="811" t="str">
        <f>IFERROR(IF(B133="","",IF($P$3=$AT$10,IF(AND(BM133="A"),'Marks Entry'!$U$2,IF(AND(BM133="B"),'Marks Entry'!$Y$2,IF(AND(BM133="C"),'Marks Entry'!$AA$2,""))),IF($P$3=$AT$11,IF(AND(BN133="A"),'Marks Entry'!$AC$2,IF(AND(BN133="B"),'Marks Entry'!$AG$2,IF(AND(BN133="C"),'Marks Entry'!$AI$2,""))),IF($P$3=$AT$12,IF(AND(BO133="A"),'Marks Entry'!$AK$2,IF(AND(BO133="B"),'Marks Entry'!$AO$2,IF(AND(BO133="C"),'Marks Entry'!$AQ$2,""))),IF($P$3=$AT$13,IF(AND(BP133="A"),'Marks Entry'!$AS$2,IF(AND(BP133="B"),'Marks Entry'!$AW$2,IF(AND(BP133="C"),'Marks Entry'!$AY$2,""))),"-"))))),"")</f>
        <v/>
      </c>
      <c r="L133" s="812" t="str">
        <f>IFERROR(IF(B133="","",IF($P$3=$AT$8,'Statement of Marks'!J132,IF($P$3=$AT$9,'Statement of Marks'!X132,IF($P$3=$AT$10,'Statement of Marks'!AM132,IF($P$3=$AT$11,'Statement of Marks'!BJ132,IF($P$3=$AT$12,'Statement of Marks'!CG132,IF($P$3=$AT$13,'Statement of Marks'!DE132,IF($P$3=$AT$14,"",IF($P$3=$AT$15,'Statement of Marks'!EY132,""))))))))),"")</f>
        <v/>
      </c>
      <c r="M133" s="812" t="str">
        <f>IFERROR(IF(B133="","",IF($P$3=$AT$8,'Statement of Marks'!K132,IF($P$3=$AT$9,'Statement of Marks'!Y132,IF($P$3=$AT$10,'Statement of Marks'!AN132,IF($P$3=$AT$11,'Statement of Marks'!BK132,IF($P$3=$AT$12,'Statement of Marks'!CH132,IF($P$3=$AT$13,'Statement of Marks'!DF132,IF($P$3=$AT$14,"",IF($P$3=$AT$15,'Statement of Marks'!EZ132,""))))))))),"")</f>
        <v/>
      </c>
      <c r="N133" s="812" t="str">
        <f>IFERROR(IF(B133="","",IF($P$3=$AT$8,'Statement of Marks'!L132,IF($P$3=$AT$9,'Statement of Marks'!Z132,IF($P$3=$AT$10,'Statement of Marks'!AO132,IF($P$3=$AT$11,'Statement of Marks'!BL132,IF($P$3=$AT$12,'Statement of Marks'!CI132,IF($P$3=$AT$13,'Statement of Marks'!DG132,IF($P$3=$AT$14,"",IF($P$3=$AT$15,'Statement of Marks'!FA132,""))))))))),"")</f>
        <v/>
      </c>
      <c r="O133" s="813" t="str">
        <f t="shared" si="18"/>
        <v/>
      </c>
      <c r="P133" s="812" t="str">
        <f>IFERROR(IF(B133="","",IF($P$3=$AT$8,'Statement of Marks'!N132,IF($P$3=$AT$9,'Statement of Marks'!AB132,IF($P$3=$AT$10,'Statement of Marks'!AQ132,IF($P$3=$AT$11,'Statement of Marks'!BN132,IF($P$3=$AT$12,'Statement of Marks'!CK132,IF($P$3=$AT$13,'Statement of Marks'!DI132,IF($P$3=$AT$14,"",IF($P$3=$AT$15,'Statement of Marks'!FC132,""))))))))),"")</f>
        <v/>
      </c>
      <c r="Q133" s="812" t="str">
        <f>IFERROR(IF(B133="","",IF($P$3=$AT$8,"",IF($P$3=$AT$9,"",IF($P$3=$AT$10,'Statement of Marks'!AR132,IF($P$3=$AT$11,'Statement of Marks'!BO132,IF($P$3=$AT$12,'Statement of Marks'!CL132,IF($P$3=$AT$13,'Statement of Marks'!DJ132,IF($P$3=$AT$14,"",IF($P$3=$AT$15,"",""))))))))),"")</f>
        <v/>
      </c>
      <c r="R133" s="824" t="str">
        <f>IFERROR(IF(B133="","",IF(AND(P133="",Q133="",$P$3=""),"",IF($P$3=$AT$14,'Statement of Marks'!EC132,SUM(P133,Q133)))),"")</f>
        <v/>
      </c>
      <c r="S133" s="823" t="str">
        <f>IFERROR(IF(B133="","",IF($P$3=$AT$14,'Statement of Marks'!ED132,IF(AND(O133="NA",P133="NA",Q133="NA"),"NA",IF(AND(O133="",P133="",Q133=""),"",SUM(O133,P133,Q133))))),"")</f>
        <v/>
      </c>
      <c r="T133" s="812" t="str">
        <f>IFERROR(IF(B133="","",IF($P$3=$AT$8,'Statement of Marks'!P132,IF($P$3=$AT$9,'Statement of Marks'!AD132,IF($P$3=$AT$10,'Statement of Marks'!AU132,IF($P$3=$AT$11,'Statement of Marks'!BR132,IF($P$3=$AT$12,'Statement of Marks'!CO132,IF($P$3=$AT$13,'Statement of Marks'!DM132,IF($P$3=$AT$14,"",IF($P$3=$AT$15,'Statement of Marks'!FD132,""))))))))),"")</f>
        <v/>
      </c>
      <c r="U133" s="812" t="str">
        <f>IFERROR(IF(B133="","",IF($P$3=$AT$8,"",IF($P$3=$AT$9,"",IF($P$3=$AT$10,'Statement of Marks'!AV132,IF($P$3=$AT$11,'Statement of Marks'!BS132,IF($P$3=$AT$12,'Statement of Marks'!CP132,IF($P$3=$AT$13,'Statement of Marks'!DN132,IF($P$3=$AT$14,"",IF($P$3=$AT$15,"",""))))))))),"")</f>
        <v/>
      </c>
      <c r="V133" s="824" t="str">
        <f>IFERROR(IF(B133="","",IF(AND(T133="",U133="",$P$3=""),"",IF($P$3=$AT$14,'Statement of Marks'!EE132,SUM(T133,U133)))),"")</f>
        <v/>
      </c>
      <c r="W133" s="814" t="str">
        <f t="shared" si="19"/>
        <v/>
      </c>
      <c r="X133" s="815">
        <f t="shared" si="20"/>
        <v>0</v>
      </c>
      <c r="Y133" s="815">
        <f t="shared" si="21"/>
        <v>0</v>
      </c>
      <c r="Z133" s="815">
        <f t="shared" si="22"/>
        <v>0</v>
      </c>
      <c r="AA133" s="815" t="str">
        <f t="shared" si="23"/>
        <v/>
      </c>
      <c r="AB133" s="815" t="str">
        <f t="shared" si="24"/>
        <v/>
      </c>
      <c r="AC133" s="815" t="str">
        <f t="shared" si="25"/>
        <v/>
      </c>
      <c r="AD133" s="815" t="str">
        <f t="shared" si="26"/>
        <v/>
      </c>
      <c r="AE133" s="816" t="str">
        <f t="shared" si="27"/>
        <v/>
      </c>
      <c r="AF133" s="817" t="str">
        <f t="shared" si="28"/>
        <v/>
      </c>
      <c r="AG133" s="818" t="str">
        <f t="shared" si="29"/>
        <v/>
      </c>
      <c r="AW133" s="17" t="str">
        <f t="shared" si="30"/>
        <v/>
      </c>
      <c r="AX133" s="17" t="str">
        <f t="shared" si="31"/>
        <v/>
      </c>
      <c r="BM133" s="17" t="str">
        <f>IFERROR(VLOOKUP(B133,'Statement of Marks'!$B$8:'Statement of Marks'!$HI$207,37,0),"")</f>
        <v>A</v>
      </c>
      <c r="BN133" s="17" t="str">
        <f>IFERROR(VLOOKUP(B133,'Statement of Marks'!$B$8:'Statement of Marks'!$HI$207,60,0),"")</f>
        <v>A</v>
      </c>
      <c r="BO133" s="17" t="str">
        <f>IFERROR(VLOOKUP(B133,'Statement of Marks'!$B$8:'Statement of Marks'!$HI$207,83,0),"")</f>
        <v>A</v>
      </c>
      <c r="BP133" s="17" t="str">
        <f>IFERROR(VLOOKUP(B133,'Statement of Marks'!$B$8:'Statement of Marks'!$HI$207,107,0),"")</f>
        <v/>
      </c>
    </row>
    <row r="134" spans="1:68">
      <c r="A134" s="806">
        <f>IF('Statement of Marks'!A133="","",'Statement of Marks'!A133)</f>
        <v>126</v>
      </c>
      <c r="B134" s="807" t="str">
        <f>IF(OR($E$3="",$P$3=""),"",IF('Statement of Marks'!B133="","",'Statement of Marks'!B133))</f>
        <v/>
      </c>
      <c r="C134" s="816" t="str">
        <f>IF(OR($E$3="",$P$3=""),"",IF('Marks Entry'!C133="","",'Marks Entry'!C133))</f>
        <v/>
      </c>
      <c r="D134" s="808" t="str">
        <f>IF(OR($E$3="",$P$3=""),"",IF('Statement of Marks'!C133="","",'Statement of Marks'!C133))</f>
        <v/>
      </c>
      <c r="E134" s="809" t="str">
        <f>IF(OR($E$3="",$P$3=""),"",IF('Statement of Marks'!D133="","",'Statement of Marks'!D133))</f>
        <v/>
      </c>
      <c r="F134" s="810" t="str">
        <f>IF(OR($E$3="",$P$3=""),"",IF('Statement of Marks'!E133="","",'Statement of Marks'!E133))</f>
        <v/>
      </c>
      <c r="G134" s="810" t="str">
        <f>IF(OR($E$3="",$P$3=""),"",IF('Statement of Marks'!F133="","",'Statement of Marks'!F133))</f>
        <v/>
      </c>
      <c r="H134" s="810" t="str">
        <f>IF(OR($E$3="",$P$3=""),"",IF('Statement of Marks'!G133="","",'Statement of Marks'!G133))</f>
        <v/>
      </c>
      <c r="I134" s="811" t="str">
        <f>IF(OR($E$3="",$P$3=""),"",IF('Statement of Marks'!H133="","",'Statement of Marks'!H133))</f>
        <v/>
      </c>
      <c r="J134" s="811" t="str">
        <f>IF(OR($E$3="",$P$3=""),"",IF('Statement of Marks'!I133="","",'Statement of Marks'!I133))</f>
        <v/>
      </c>
      <c r="K134" s="811" t="str">
        <f>IFERROR(IF(B134="","",IF($P$3=$AT$10,IF(AND(BM134="A"),'Marks Entry'!$U$2,IF(AND(BM134="B"),'Marks Entry'!$Y$2,IF(AND(BM134="C"),'Marks Entry'!$AA$2,""))),IF($P$3=$AT$11,IF(AND(BN134="A"),'Marks Entry'!$AC$2,IF(AND(BN134="B"),'Marks Entry'!$AG$2,IF(AND(BN134="C"),'Marks Entry'!$AI$2,""))),IF($P$3=$AT$12,IF(AND(BO134="A"),'Marks Entry'!$AK$2,IF(AND(BO134="B"),'Marks Entry'!$AO$2,IF(AND(BO134="C"),'Marks Entry'!$AQ$2,""))),IF($P$3=$AT$13,IF(AND(BP134="A"),'Marks Entry'!$AS$2,IF(AND(BP134="B"),'Marks Entry'!$AW$2,IF(AND(BP134="C"),'Marks Entry'!$AY$2,""))),"-"))))),"")</f>
        <v/>
      </c>
      <c r="L134" s="812" t="str">
        <f>IFERROR(IF(B134="","",IF($P$3=$AT$8,'Statement of Marks'!J133,IF($P$3=$AT$9,'Statement of Marks'!X133,IF($P$3=$AT$10,'Statement of Marks'!AM133,IF($P$3=$AT$11,'Statement of Marks'!BJ133,IF($P$3=$AT$12,'Statement of Marks'!CG133,IF($P$3=$AT$13,'Statement of Marks'!DE133,IF($P$3=$AT$14,"",IF($P$3=$AT$15,'Statement of Marks'!EY133,""))))))))),"")</f>
        <v/>
      </c>
      <c r="M134" s="812" t="str">
        <f>IFERROR(IF(B134="","",IF($P$3=$AT$8,'Statement of Marks'!K133,IF($P$3=$AT$9,'Statement of Marks'!Y133,IF($P$3=$AT$10,'Statement of Marks'!AN133,IF($P$3=$AT$11,'Statement of Marks'!BK133,IF($P$3=$AT$12,'Statement of Marks'!CH133,IF($P$3=$AT$13,'Statement of Marks'!DF133,IF($P$3=$AT$14,"",IF($P$3=$AT$15,'Statement of Marks'!EZ133,""))))))))),"")</f>
        <v/>
      </c>
      <c r="N134" s="812" t="str">
        <f>IFERROR(IF(B134="","",IF($P$3=$AT$8,'Statement of Marks'!L133,IF($P$3=$AT$9,'Statement of Marks'!Z133,IF($P$3=$AT$10,'Statement of Marks'!AO133,IF($P$3=$AT$11,'Statement of Marks'!BL133,IF($P$3=$AT$12,'Statement of Marks'!CI133,IF($P$3=$AT$13,'Statement of Marks'!DG133,IF($P$3=$AT$14,"",IF($P$3=$AT$15,'Statement of Marks'!FA133,""))))))))),"")</f>
        <v/>
      </c>
      <c r="O134" s="813" t="str">
        <f t="shared" si="18"/>
        <v/>
      </c>
      <c r="P134" s="812" t="str">
        <f>IFERROR(IF(B134="","",IF($P$3=$AT$8,'Statement of Marks'!N133,IF($P$3=$AT$9,'Statement of Marks'!AB133,IF($P$3=$AT$10,'Statement of Marks'!AQ133,IF($P$3=$AT$11,'Statement of Marks'!BN133,IF($P$3=$AT$12,'Statement of Marks'!CK133,IF($P$3=$AT$13,'Statement of Marks'!DI133,IF($P$3=$AT$14,"",IF($P$3=$AT$15,'Statement of Marks'!FC133,""))))))))),"")</f>
        <v/>
      </c>
      <c r="Q134" s="812" t="str">
        <f>IFERROR(IF(B134="","",IF($P$3=$AT$8,"",IF($P$3=$AT$9,"",IF($P$3=$AT$10,'Statement of Marks'!AR133,IF($P$3=$AT$11,'Statement of Marks'!BO133,IF($P$3=$AT$12,'Statement of Marks'!CL133,IF($P$3=$AT$13,'Statement of Marks'!DJ133,IF($P$3=$AT$14,"",IF($P$3=$AT$15,"",""))))))))),"")</f>
        <v/>
      </c>
      <c r="R134" s="824" t="str">
        <f>IFERROR(IF(B134="","",IF(AND(P134="",Q134="",$P$3=""),"",IF($P$3=$AT$14,'Statement of Marks'!EC133,SUM(P134,Q134)))),"")</f>
        <v/>
      </c>
      <c r="S134" s="823" t="str">
        <f>IFERROR(IF(B134="","",IF($P$3=$AT$14,'Statement of Marks'!ED133,IF(AND(O134="NA",P134="NA",Q134="NA"),"NA",IF(AND(O134="",P134="",Q134=""),"",SUM(O134,P134,Q134))))),"")</f>
        <v/>
      </c>
      <c r="T134" s="812" t="str">
        <f>IFERROR(IF(B134="","",IF($P$3=$AT$8,'Statement of Marks'!P133,IF($P$3=$AT$9,'Statement of Marks'!AD133,IF($P$3=$AT$10,'Statement of Marks'!AU133,IF($P$3=$AT$11,'Statement of Marks'!BR133,IF($P$3=$AT$12,'Statement of Marks'!CO133,IF($P$3=$AT$13,'Statement of Marks'!DM133,IF($P$3=$AT$14,"",IF($P$3=$AT$15,'Statement of Marks'!FD133,""))))))))),"")</f>
        <v/>
      </c>
      <c r="U134" s="812" t="str">
        <f>IFERROR(IF(B134="","",IF($P$3=$AT$8,"",IF($P$3=$AT$9,"",IF($P$3=$AT$10,'Statement of Marks'!AV133,IF($P$3=$AT$11,'Statement of Marks'!BS133,IF($P$3=$AT$12,'Statement of Marks'!CP133,IF($P$3=$AT$13,'Statement of Marks'!DN133,IF($P$3=$AT$14,"",IF($P$3=$AT$15,"",""))))))))),"")</f>
        <v/>
      </c>
      <c r="V134" s="824" t="str">
        <f>IFERROR(IF(B134="","",IF(AND(T134="",U134="",$P$3=""),"",IF($P$3=$AT$14,'Statement of Marks'!EE133,SUM(T134,U134)))),"")</f>
        <v/>
      </c>
      <c r="W134" s="814" t="str">
        <f t="shared" si="19"/>
        <v/>
      </c>
      <c r="X134" s="815">
        <f t="shared" si="20"/>
        <v>0</v>
      </c>
      <c r="Y134" s="815">
        <f t="shared" si="21"/>
        <v>0</v>
      </c>
      <c r="Z134" s="815">
        <f t="shared" si="22"/>
        <v>0</v>
      </c>
      <c r="AA134" s="815" t="str">
        <f t="shared" si="23"/>
        <v/>
      </c>
      <c r="AB134" s="815" t="str">
        <f t="shared" si="24"/>
        <v/>
      </c>
      <c r="AC134" s="815" t="str">
        <f t="shared" si="25"/>
        <v/>
      </c>
      <c r="AD134" s="815" t="str">
        <f t="shared" si="26"/>
        <v/>
      </c>
      <c r="AE134" s="816" t="str">
        <f t="shared" si="27"/>
        <v/>
      </c>
      <c r="AF134" s="817" t="str">
        <f t="shared" si="28"/>
        <v/>
      </c>
      <c r="AG134" s="818" t="str">
        <f t="shared" si="29"/>
        <v/>
      </c>
      <c r="AW134" s="17" t="str">
        <f t="shared" si="30"/>
        <v/>
      </c>
      <c r="AX134" s="17" t="str">
        <f t="shared" si="31"/>
        <v/>
      </c>
      <c r="BM134" s="17" t="str">
        <f>IFERROR(VLOOKUP(B134,'Statement of Marks'!$B$8:'Statement of Marks'!$HI$207,37,0),"")</f>
        <v>A</v>
      </c>
      <c r="BN134" s="17" t="str">
        <f>IFERROR(VLOOKUP(B134,'Statement of Marks'!$B$8:'Statement of Marks'!$HI$207,60,0),"")</f>
        <v>A</v>
      </c>
      <c r="BO134" s="17" t="str">
        <f>IFERROR(VLOOKUP(B134,'Statement of Marks'!$B$8:'Statement of Marks'!$HI$207,83,0),"")</f>
        <v>A</v>
      </c>
      <c r="BP134" s="17" t="str">
        <f>IFERROR(VLOOKUP(B134,'Statement of Marks'!$B$8:'Statement of Marks'!$HI$207,107,0),"")</f>
        <v/>
      </c>
    </row>
    <row r="135" spans="1:68">
      <c r="A135" s="806">
        <f>IF('Statement of Marks'!A134="","",'Statement of Marks'!A134)</f>
        <v>127</v>
      </c>
      <c r="B135" s="807" t="str">
        <f>IF(OR($E$3="",$P$3=""),"",IF('Statement of Marks'!B134="","",'Statement of Marks'!B134))</f>
        <v/>
      </c>
      <c r="C135" s="816" t="str">
        <f>IF(OR($E$3="",$P$3=""),"",IF('Marks Entry'!C134="","",'Marks Entry'!C134))</f>
        <v/>
      </c>
      <c r="D135" s="808" t="str">
        <f>IF(OR($E$3="",$P$3=""),"",IF('Statement of Marks'!C134="","",'Statement of Marks'!C134))</f>
        <v/>
      </c>
      <c r="E135" s="809" t="str">
        <f>IF(OR($E$3="",$P$3=""),"",IF('Statement of Marks'!D134="","",'Statement of Marks'!D134))</f>
        <v/>
      </c>
      <c r="F135" s="810" t="str">
        <f>IF(OR($E$3="",$P$3=""),"",IF('Statement of Marks'!E134="","",'Statement of Marks'!E134))</f>
        <v/>
      </c>
      <c r="G135" s="810" t="str">
        <f>IF(OR($E$3="",$P$3=""),"",IF('Statement of Marks'!F134="","",'Statement of Marks'!F134))</f>
        <v/>
      </c>
      <c r="H135" s="810" t="str">
        <f>IF(OR($E$3="",$P$3=""),"",IF('Statement of Marks'!G134="","",'Statement of Marks'!G134))</f>
        <v/>
      </c>
      <c r="I135" s="811" t="str">
        <f>IF(OR($E$3="",$P$3=""),"",IF('Statement of Marks'!H134="","",'Statement of Marks'!H134))</f>
        <v/>
      </c>
      <c r="J135" s="811" t="str">
        <f>IF(OR($E$3="",$P$3=""),"",IF('Statement of Marks'!I134="","",'Statement of Marks'!I134))</f>
        <v/>
      </c>
      <c r="K135" s="811" t="str">
        <f>IFERROR(IF(B135="","",IF($P$3=$AT$10,IF(AND(BM135="A"),'Marks Entry'!$U$2,IF(AND(BM135="B"),'Marks Entry'!$Y$2,IF(AND(BM135="C"),'Marks Entry'!$AA$2,""))),IF($P$3=$AT$11,IF(AND(BN135="A"),'Marks Entry'!$AC$2,IF(AND(BN135="B"),'Marks Entry'!$AG$2,IF(AND(BN135="C"),'Marks Entry'!$AI$2,""))),IF($P$3=$AT$12,IF(AND(BO135="A"),'Marks Entry'!$AK$2,IF(AND(BO135="B"),'Marks Entry'!$AO$2,IF(AND(BO135="C"),'Marks Entry'!$AQ$2,""))),IF($P$3=$AT$13,IF(AND(BP135="A"),'Marks Entry'!$AS$2,IF(AND(BP135="B"),'Marks Entry'!$AW$2,IF(AND(BP135="C"),'Marks Entry'!$AY$2,""))),"-"))))),"")</f>
        <v/>
      </c>
      <c r="L135" s="812" t="str">
        <f>IFERROR(IF(B135="","",IF($P$3=$AT$8,'Statement of Marks'!J134,IF($P$3=$AT$9,'Statement of Marks'!X134,IF($P$3=$AT$10,'Statement of Marks'!AM134,IF($P$3=$AT$11,'Statement of Marks'!BJ134,IF($P$3=$AT$12,'Statement of Marks'!CG134,IF($P$3=$AT$13,'Statement of Marks'!DE134,IF($P$3=$AT$14,"",IF($P$3=$AT$15,'Statement of Marks'!EY134,""))))))))),"")</f>
        <v/>
      </c>
      <c r="M135" s="812" t="str">
        <f>IFERROR(IF(B135="","",IF($P$3=$AT$8,'Statement of Marks'!K134,IF($P$3=$AT$9,'Statement of Marks'!Y134,IF($P$3=$AT$10,'Statement of Marks'!AN134,IF($P$3=$AT$11,'Statement of Marks'!BK134,IF($P$3=$AT$12,'Statement of Marks'!CH134,IF($P$3=$AT$13,'Statement of Marks'!DF134,IF($P$3=$AT$14,"",IF($P$3=$AT$15,'Statement of Marks'!EZ134,""))))))))),"")</f>
        <v/>
      </c>
      <c r="N135" s="812" t="str">
        <f>IFERROR(IF(B135="","",IF($P$3=$AT$8,'Statement of Marks'!L134,IF($P$3=$AT$9,'Statement of Marks'!Z134,IF($P$3=$AT$10,'Statement of Marks'!AO134,IF($P$3=$AT$11,'Statement of Marks'!BL134,IF($P$3=$AT$12,'Statement of Marks'!CI134,IF($P$3=$AT$13,'Statement of Marks'!DG134,IF($P$3=$AT$14,"",IF($P$3=$AT$15,'Statement of Marks'!FA134,""))))))))),"")</f>
        <v/>
      </c>
      <c r="O135" s="813" t="str">
        <f t="shared" si="18"/>
        <v/>
      </c>
      <c r="P135" s="812" t="str">
        <f>IFERROR(IF(B135="","",IF($P$3=$AT$8,'Statement of Marks'!N134,IF($P$3=$AT$9,'Statement of Marks'!AB134,IF($P$3=$AT$10,'Statement of Marks'!AQ134,IF($P$3=$AT$11,'Statement of Marks'!BN134,IF($P$3=$AT$12,'Statement of Marks'!CK134,IF($P$3=$AT$13,'Statement of Marks'!DI134,IF($P$3=$AT$14,"",IF($P$3=$AT$15,'Statement of Marks'!FC134,""))))))))),"")</f>
        <v/>
      </c>
      <c r="Q135" s="812" t="str">
        <f>IFERROR(IF(B135="","",IF($P$3=$AT$8,"",IF($P$3=$AT$9,"",IF($P$3=$AT$10,'Statement of Marks'!AR134,IF($P$3=$AT$11,'Statement of Marks'!BO134,IF($P$3=$AT$12,'Statement of Marks'!CL134,IF($P$3=$AT$13,'Statement of Marks'!DJ134,IF($P$3=$AT$14,"",IF($P$3=$AT$15,"",""))))))))),"")</f>
        <v/>
      </c>
      <c r="R135" s="824" t="str">
        <f>IFERROR(IF(B135="","",IF(AND(P135="",Q135="",$P$3=""),"",IF($P$3=$AT$14,'Statement of Marks'!EC134,SUM(P135,Q135)))),"")</f>
        <v/>
      </c>
      <c r="S135" s="823" t="str">
        <f>IFERROR(IF(B135="","",IF($P$3=$AT$14,'Statement of Marks'!ED134,IF(AND(O135="NA",P135="NA",Q135="NA"),"NA",IF(AND(O135="",P135="",Q135=""),"",SUM(O135,P135,Q135))))),"")</f>
        <v/>
      </c>
      <c r="T135" s="812" t="str">
        <f>IFERROR(IF(B135="","",IF($P$3=$AT$8,'Statement of Marks'!P134,IF($P$3=$AT$9,'Statement of Marks'!AD134,IF($P$3=$AT$10,'Statement of Marks'!AU134,IF($P$3=$AT$11,'Statement of Marks'!BR134,IF($P$3=$AT$12,'Statement of Marks'!CO134,IF($P$3=$AT$13,'Statement of Marks'!DM134,IF($P$3=$AT$14,"",IF($P$3=$AT$15,'Statement of Marks'!FD134,""))))))))),"")</f>
        <v/>
      </c>
      <c r="U135" s="812" t="str">
        <f>IFERROR(IF(B135="","",IF($P$3=$AT$8,"",IF($P$3=$AT$9,"",IF($P$3=$AT$10,'Statement of Marks'!AV134,IF($P$3=$AT$11,'Statement of Marks'!BS134,IF($P$3=$AT$12,'Statement of Marks'!CP134,IF($P$3=$AT$13,'Statement of Marks'!DN134,IF($P$3=$AT$14,"",IF($P$3=$AT$15,"",""))))))))),"")</f>
        <v/>
      </c>
      <c r="V135" s="824" t="str">
        <f>IFERROR(IF(B135="","",IF(AND(T135="",U135="",$P$3=""),"",IF($P$3=$AT$14,'Statement of Marks'!EE134,SUM(T135,U135)))),"")</f>
        <v/>
      </c>
      <c r="W135" s="814" t="str">
        <f t="shared" si="19"/>
        <v/>
      </c>
      <c r="X135" s="815">
        <f t="shared" si="20"/>
        <v>0</v>
      </c>
      <c r="Y135" s="815">
        <f t="shared" si="21"/>
        <v>0</v>
      </c>
      <c r="Z135" s="815">
        <f t="shared" si="22"/>
        <v>0</v>
      </c>
      <c r="AA135" s="815" t="str">
        <f t="shared" si="23"/>
        <v/>
      </c>
      <c r="AB135" s="815" t="str">
        <f t="shared" si="24"/>
        <v/>
      </c>
      <c r="AC135" s="815" t="str">
        <f t="shared" si="25"/>
        <v/>
      </c>
      <c r="AD135" s="815" t="str">
        <f t="shared" si="26"/>
        <v/>
      </c>
      <c r="AE135" s="816" t="str">
        <f t="shared" si="27"/>
        <v/>
      </c>
      <c r="AF135" s="817" t="str">
        <f t="shared" si="28"/>
        <v/>
      </c>
      <c r="AG135" s="818" t="str">
        <f t="shared" si="29"/>
        <v/>
      </c>
      <c r="AW135" s="17" t="str">
        <f t="shared" si="30"/>
        <v/>
      </c>
      <c r="AX135" s="17" t="str">
        <f t="shared" si="31"/>
        <v/>
      </c>
      <c r="BM135" s="17" t="str">
        <f>IFERROR(VLOOKUP(B135,'Statement of Marks'!$B$8:'Statement of Marks'!$HI$207,37,0),"")</f>
        <v>A</v>
      </c>
      <c r="BN135" s="17" t="str">
        <f>IFERROR(VLOOKUP(B135,'Statement of Marks'!$B$8:'Statement of Marks'!$HI$207,60,0),"")</f>
        <v>A</v>
      </c>
      <c r="BO135" s="17" t="str">
        <f>IFERROR(VLOOKUP(B135,'Statement of Marks'!$B$8:'Statement of Marks'!$HI$207,83,0),"")</f>
        <v>A</v>
      </c>
      <c r="BP135" s="17" t="str">
        <f>IFERROR(VLOOKUP(B135,'Statement of Marks'!$B$8:'Statement of Marks'!$HI$207,107,0),"")</f>
        <v/>
      </c>
    </row>
    <row r="136" spans="1:68">
      <c r="A136" s="806">
        <f>IF('Statement of Marks'!A135="","",'Statement of Marks'!A135)</f>
        <v>128</v>
      </c>
      <c r="B136" s="807" t="str">
        <f>IF(OR($E$3="",$P$3=""),"",IF('Statement of Marks'!B135="","",'Statement of Marks'!B135))</f>
        <v/>
      </c>
      <c r="C136" s="816" t="str">
        <f>IF(OR($E$3="",$P$3=""),"",IF('Marks Entry'!C135="","",'Marks Entry'!C135))</f>
        <v/>
      </c>
      <c r="D136" s="808" t="str">
        <f>IF(OR($E$3="",$P$3=""),"",IF('Statement of Marks'!C135="","",'Statement of Marks'!C135))</f>
        <v/>
      </c>
      <c r="E136" s="809" t="str">
        <f>IF(OR($E$3="",$P$3=""),"",IF('Statement of Marks'!D135="","",'Statement of Marks'!D135))</f>
        <v/>
      </c>
      <c r="F136" s="810" t="str">
        <f>IF(OR($E$3="",$P$3=""),"",IF('Statement of Marks'!E135="","",'Statement of Marks'!E135))</f>
        <v/>
      </c>
      <c r="G136" s="810" t="str">
        <f>IF(OR($E$3="",$P$3=""),"",IF('Statement of Marks'!F135="","",'Statement of Marks'!F135))</f>
        <v/>
      </c>
      <c r="H136" s="810" t="str">
        <f>IF(OR($E$3="",$P$3=""),"",IF('Statement of Marks'!G135="","",'Statement of Marks'!G135))</f>
        <v/>
      </c>
      <c r="I136" s="811" t="str">
        <f>IF(OR($E$3="",$P$3=""),"",IF('Statement of Marks'!H135="","",'Statement of Marks'!H135))</f>
        <v/>
      </c>
      <c r="J136" s="811" t="str">
        <f>IF(OR($E$3="",$P$3=""),"",IF('Statement of Marks'!I135="","",'Statement of Marks'!I135))</f>
        <v/>
      </c>
      <c r="K136" s="811" t="str">
        <f>IFERROR(IF(B136="","",IF($P$3=$AT$10,IF(AND(BM136="A"),'Marks Entry'!$U$2,IF(AND(BM136="B"),'Marks Entry'!$Y$2,IF(AND(BM136="C"),'Marks Entry'!$AA$2,""))),IF($P$3=$AT$11,IF(AND(BN136="A"),'Marks Entry'!$AC$2,IF(AND(BN136="B"),'Marks Entry'!$AG$2,IF(AND(BN136="C"),'Marks Entry'!$AI$2,""))),IF($P$3=$AT$12,IF(AND(BO136="A"),'Marks Entry'!$AK$2,IF(AND(BO136="B"),'Marks Entry'!$AO$2,IF(AND(BO136="C"),'Marks Entry'!$AQ$2,""))),IF($P$3=$AT$13,IF(AND(BP136="A"),'Marks Entry'!$AS$2,IF(AND(BP136="B"),'Marks Entry'!$AW$2,IF(AND(BP136="C"),'Marks Entry'!$AY$2,""))),"-"))))),"")</f>
        <v/>
      </c>
      <c r="L136" s="812" t="str">
        <f>IFERROR(IF(B136="","",IF($P$3=$AT$8,'Statement of Marks'!J135,IF($P$3=$AT$9,'Statement of Marks'!X135,IF($P$3=$AT$10,'Statement of Marks'!AM135,IF($P$3=$AT$11,'Statement of Marks'!BJ135,IF($P$3=$AT$12,'Statement of Marks'!CG135,IF($P$3=$AT$13,'Statement of Marks'!DE135,IF($P$3=$AT$14,"",IF($P$3=$AT$15,'Statement of Marks'!EY135,""))))))))),"")</f>
        <v/>
      </c>
      <c r="M136" s="812" t="str">
        <f>IFERROR(IF(B136="","",IF($P$3=$AT$8,'Statement of Marks'!K135,IF($P$3=$AT$9,'Statement of Marks'!Y135,IF($P$3=$AT$10,'Statement of Marks'!AN135,IF($P$3=$AT$11,'Statement of Marks'!BK135,IF($P$3=$AT$12,'Statement of Marks'!CH135,IF($P$3=$AT$13,'Statement of Marks'!DF135,IF($P$3=$AT$14,"",IF($P$3=$AT$15,'Statement of Marks'!EZ135,""))))))))),"")</f>
        <v/>
      </c>
      <c r="N136" s="812" t="str">
        <f>IFERROR(IF(B136="","",IF($P$3=$AT$8,'Statement of Marks'!L135,IF($P$3=$AT$9,'Statement of Marks'!Z135,IF($P$3=$AT$10,'Statement of Marks'!AO135,IF($P$3=$AT$11,'Statement of Marks'!BL135,IF($P$3=$AT$12,'Statement of Marks'!CI135,IF($P$3=$AT$13,'Statement of Marks'!DG135,IF($P$3=$AT$14,"",IF($P$3=$AT$15,'Statement of Marks'!FA135,""))))))))),"")</f>
        <v/>
      </c>
      <c r="O136" s="813" t="str">
        <f t="shared" si="18"/>
        <v/>
      </c>
      <c r="P136" s="812" t="str">
        <f>IFERROR(IF(B136="","",IF($P$3=$AT$8,'Statement of Marks'!N135,IF($P$3=$AT$9,'Statement of Marks'!AB135,IF($P$3=$AT$10,'Statement of Marks'!AQ135,IF($P$3=$AT$11,'Statement of Marks'!BN135,IF($P$3=$AT$12,'Statement of Marks'!CK135,IF($P$3=$AT$13,'Statement of Marks'!DI135,IF($P$3=$AT$14,"",IF($P$3=$AT$15,'Statement of Marks'!FC135,""))))))))),"")</f>
        <v/>
      </c>
      <c r="Q136" s="812" t="str">
        <f>IFERROR(IF(B136="","",IF($P$3=$AT$8,"",IF($P$3=$AT$9,"",IF($P$3=$AT$10,'Statement of Marks'!AR135,IF($P$3=$AT$11,'Statement of Marks'!BO135,IF($P$3=$AT$12,'Statement of Marks'!CL135,IF($P$3=$AT$13,'Statement of Marks'!DJ135,IF($P$3=$AT$14,"",IF($P$3=$AT$15,"",""))))))))),"")</f>
        <v/>
      </c>
      <c r="R136" s="824" t="str">
        <f>IFERROR(IF(B136="","",IF(AND(P136="",Q136="",$P$3=""),"",IF($P$3=$AT$14,'Statement of Marks'!EC135,SUM(P136,Q136)))),"")</f>
        <v/>
      </c>
      <c r="S136" s="823" t="str">
        <f>IFERROR(IF(B136="","",IF($P$3=$AT$14,'Statement of Marks'!ED135,IF(AND(O136="NA",P136="NA",Q136="NA"),"NA",IF(AND(O136="",P136="",Q136=""),"",SUM(O136,P136,Q136))))),"")</f>
        <v/>
      </c>
      <c r="T136" s="812" t="str">
        <f>IFERROR(IF(B136="","",IF($P$3=$AT$8,'Statement of Marks'!P135,IF($P$3=$AT$9,'Statement of Marks'!AD135,IF($P$3=$AT$10,'Statement of Marks'!AU135,IF($P$3=$AT$11,'Statement of Marks'!BR135,IF($P$3=$AT$12,'Statement of Marks'!CO135,IF($P$3=$AT$13,'Statement of Marks'!DM135,IF($P$3=$AT$14,"",IF($P$3=$AT$15,'Statement of Marks'!FD135,""))))))))),"")</f>
        <v/>
      </c>
      <c r="U136" s="812" t="str">
        <f>IFERROR(IF(B136="","",IF($P$3=$AT$8,"",IF($P$3=$AT$9,"",IF($P$3=$AT$10,'Statement of Marks'!AV135,IF($P$3=$AT$11,'Statement of Marks'!BS135,IF($P$3=$AT$12,'Statement of Marks'!CP135,IF($P$3=$AT$13,'Statement of Marks'!DN135,IF($P$3=$AT$14,"",IF($P$3=$AT$15,"",""))))))))),"")</f>
        <v/>
      </c>
      <c r="V136" s="824" t="str">
        <f>IFERROR(IF(B136="","",IF(AND(T136="",U136="",$P$3=""),"",IF($P$3=$AT$14,'Statement of Marks'!EE135,SUM(T136,U136)))),"")</f>
        <v/>
      </c>
      <c r="W136" s="814" t="str">
        <f t="shared" si="19"/>
        <v/>
      </c>
      <c r="X136" s="815">
        <f t="shared" si="20"/>
        <v>0</v>
      </c>
      <c r="Y136" s="815">
        <f t="shared" si="21"/>
        <v>0</v>
      </c>
      <c r="Z136" s="815">
        <f t="shared" si="22"/>
        <v>0</v>
      </c>
      <c r="AA136" s="815" t="str">
        <f t="shared" si="23"/>
        <v/>
      </c>
      <c r="AB136" s="815" t="str">
        <f t="shared" si="24"/>
        <v/>
      </c>
      <c r="AC136" s="815" t="str">
        <f t="shared" si="25"/>
        <v/>
      </c>
      <c r="AD136" s="815" t="str">
        <f t="shared" si="26"/>
        <v/>
      </c>
      <c r="AE136" s="816" t="str">
        <f t="shared" si="27"/>
        <v/>
      </c>
      <c r="AF136" s="817" t="str">
        <f t="shared" si="28"/>
        <v/>
      </c>
      <c r="AG136" s="818" t="str">
        <f t="shared" si="29"/>
        <v/>
      </c>
      <c r="AW136" s="17" t="str">
        <f t="shared" si="30"/>
        <v/>
      </c>
      <c r="AX136" s="17" t="str">
        <f t="shared" si="31"/>
        <v/>
      </c>
      <c r="BM136" s="17" t="str">
        <f>IFERROR(VLOOKUP(B136,'Statement of Marks'!$B$8:'Statement of Marks'!$HI$207,37,0),"")</f>
        <v>A</v>
      </c>
      <c r="BN136" s="17" t="str">
        <f>IFERROR(VLOOKUP(B136,'Statement of Marks'!$B$8:'Statement of Marks'!$HI$207,60,0),"")</f>
        <v>A</v>
      </c>
      <c r="BO136" s="17" t="str">
        <f>IFERROR(VLOOKUP(B136,'Statement of Marks'!$B$8:'Statement of Marks'!$HI$207,83,0),"")</f>
        <v>A</v>
      </c>
      <c r="BP136" s="17" t="str">
        <f>IFERROR(VLOOKUP(B136,'Statement of Marks'!$B$8:'Statement of Marks'!$HI$207,107,0),"")</f>
        <v/>
      </c>
    </row>
    <row r="137" spans="1:68">
      <c r="A137" s="806">
        <f>IF('Statement of Marks'!A136="","",'Statement of Marks'!A136)</f>
        <v>129</v>
      </c>
      <c r="B137" s="807" t="str">
        <f>IF(OR($E$3="",$P$3=""),"",IF('Statement of Marks'!B136="","",'Statement of Marks'!B136))</f>
        <v/>
      </c>
      <c r="C137" s="816" t="str">
        <f>IF(OR($E$3="",$P$3=""),"",IF('Marks Entry'!C136="","",'Marks Entry'!C136))</f>
        <v/>
      </c>
      <c r="D137" s="808" t="str">
        <f>IF(OR($E$3="",$P$3=""),"",IF('Statement of Marks'!C136="","",'Statement of Marks'!C136))</f>
        <v/>
      </c>
      <c r="E137" s="809" t="str">
        <f>IF(OR($E$3="",$P$3=""),"",IF('Statement of Marks'!D136="","",'Statement of Marks'!D136))</f>
        <v/>
      </c>
      <c r="F137" s="810" t="str">
        <f>IF(OR($E$3="",$P$3=""),"",IF('Statement of Marks'!E136="","",'Statement of Marks'!E136))</f>
        <v/>
      </c>
      <c r="G137" s="810" t="str">
        <f>IF(OR($E$3="",$P$3=""),"",IF('Statement of Marks'!F136="","",'Statement of Marks'!F136))</f>
        <v/>
      </c>
      <c r="H137" s="810" t="str">
        <f>IF(OR($E$3="",$P$3=""),"",IF('Statement of Marks'!G136="","",'Statement of Marks'!G136))</f>
        <v/>
      </c>
      <c r="I137" s="811" t="str">
        <f>IF(OR($E$3="",$P$3=""),"",IF('Statement of Marks'!H136="","",'Statement of Marks'!H136))</f>
        <v/>
      </c>
      <c r="J137" s="811" t="str">
        <f>IF(OR($E$3="",$P$3=""),"",IF('Statement of Marks'!I136="","",'Statement of Marks'!I136))</f>
        <v/>
      </c>
      <c r="K137" s="811" t="str">
        <f>IFERROR(IF(B137="","",IF($P$3=$AT$10,IF(AND(BM137="A"),'Marks Entry'!$U$2,IF(AND(BM137="B"),'Marks Entry'!$Y$2,IF(AND(BM137="C"),'Marks Entry'!$AA$2,""))),IF($P$3=$AT$11,IF(AND(BN137="A"),'Marks Entry'!$AC$2,IF(AND(BN137="B"),'Marks Entry'!$AG$2,IF(AND(BN137="C"),'Marks Entry'!$AI$2,""))),IF($P$3=$AT$12,IF(AND(BO137="A"),'Marks Entry'!$AK$2,IF(AND(BO137="B"),'Marks Entry'!$AO$2,IF(AND(BO137="C"),'Marks Entry'!$AQ$2,""))),IF($P$3=$AT$13,IF(AND(BP137="A"),'Marks Entry'!$AS$2,IF(AND(BP137="B"),'Marks Entry'!$AW$2,IF(AND(BP137="C"),'Marks Entry'!$AY$2,""))),"-"))))),"")</f>
        <v/>
      </c>
      <c r="L137" s="812" t="str">
        <f>IFERROR(IF(B137="","",IF($P$3=$AT$8,'Statement of Marks'!J136,IF($P$3=$AT$9,'Statement of Marks'!X136,IF($P$3=$AT$10,'Statement of Marks'!AM136,IF($P$3=$AT$11,'Statement of Marks'!BJ136,IF($P$3=$AT$12,'Statement of Marks'!CG136,IF($P$3=$AT$13,'Statement of Marks'!DE136,IF($P$3=$AT$14,"",IF($P$3=$AT$15,'Statement of Marks'!EY136,""))))))))),"")</f>
        <v/>
      </c>
      <c r="M137" s="812" t="str">
        <f>IFERROR(IF(B137="","",IF($P$3=$AT$8,'Statement of Marks'!K136,IF($P$3=$AT$9,'Statement of Marks'!Y136,IF($P$3=$AT$10,'Statement of Marks'!AN136,IF($P$3=$AT$11,'Statement of Marks'!BK136,IF($P$3=$AT$12,'Statement of Marks'!CH136,IF($P$3=$AT$13,'Statement of Marks'!DF136,IF($P$3=$AT$14,"",IF($P$3=$AT$15,'Statement of Marks'!EZ136,""))))))))),"")</f>
        <v/>
      </c>
      <c r="N137" s="812" t="str">
        <f>IFERROR(IF(B137="","",IF($P$3=$AT$8,'Statement of Marks'!L136,IF($P$3=$AT$9,'Statement of Marks'!Z136,IF($P$3=$AT$10,'Statement of Marks'!AO136,IF($P$3=$AT$11,'Statement of Marks'!BL136,IF($P$3=$AT$12,'Statement of Marks'!CI136,IF($P$3=$AT$13,'Statement of Marks'!DG136,IF($P$3=$AT$14,"",IF($P$3=$AT$15,'Statement of Marks'!FA136,""))))))))),"")</f>
        <v/>
      </c>
      <c r="O137" s="813" t="str">
        <f t="shared" si="18"/>
        <v/>
      </c>
      <c r="P137" s="812" t="str">
        <f>IFERROR(IF(B137="","",IF($P$3=$AT$8,'Statement of Marks'!N136,IF($P$3=$AT$9,'Statement of Marks'!AB136,IF($P$3=$AT$10,'Statement of Marks'!AQ136,IF($P$3=$AT$11,'Statement of Marks'!BN136,IF($P$3=$AT$12,'Statement of Marks'!CK136,IF($P$3=$AT$13,'Statement of Marks'!DI136,IF($P$3=$AT$14,"",IF($P$3=$AT$15,'Statement of Marks'!FC136,""))))))))),"")</f>
        <v/>
      </c>
      <c r="Q137" s="812" t="str">
        <f>IFERROR(IF(B137="","",IF($P$3=$AT$8,"",IF($P$3=$AT$9,"",IF($P$3=$AT$10,'Statement of Marks'!AR136,IF($P$3=$AT$11,'Statement of Marks'!BO136,IF($P$3=$AT$12,'Statement of Marks'!CL136,IF($P$3=$AT$13,'Statement of Marks'!DJ136,IF($P$3=$AT$14,"",IF($P$3=$AT$15,"",""))))))))),"")</f>
        <v/>
      </c>
      <c r="R137" s="824" t="str">
        <f>IFERROR(IF(B137="","",IF(AND(P137="",Q137="",$P$3=""),"",IF($P$3=$AT$14,'Statement of Marks'!EC136,SUM(P137,Q137)))),"")</f>
        <v/>
      </c>
      <c r="S137" s="823" t="str">
        <f>IFERROR(IF(B137="","",IF($P$3=$AT$14,'Statement of Marks'!ED136,IF(AND(O137="NA",P137="NA",Q137="NA"),"NA",IF(AND(O137="",P137="",Q137=""),"",SUM(O137,P137,Q137))))),"")</f>
        <v/>
      </c>
      <c r="T137" s="812" t="str">
        <f>IFERROR(IF(B137="","",IF($P$3=$AT$8,'Statement of Marks'!P136,IF($P$3=$AT$9,'Statement of Marks'!AD136,IF($P$3=$AT$10,'Statement of Marks'!AU136,IF($P$3=$AT$11,'Statement of Marks'!BR136,IF($P$3=$AT$12,'Statement of Marks'!CO136,IF($P$3=$AT$13,'Statement of Marks'!DM136,IF($P$3=$AT$14,"",IF($P$3=$AT$15,'Statement of Marks'!FD136,""))))))))),"")</f>
        <v/>
      </c>
      <c r="U137" s="812" t="str">
        <f>IFERROR(IF(B137="","",IF($P$3=$AT$8,"",IF($P$3=$AT$9,"",IF($P$3=$AT$10,'Statement of Marks'!AV136,IF($P$3=$AT$11,'Statement of Marks'!BS136,IF($P$3=$AT$12,'Statement of Marks'!CP136,IF($P$3=$AT$13,'Statement of Marks'!DN136,IF($P$3=$AT$14,"",IF($P$3=$AT$15,"",""))))))))),"")</f>
        <v/>
      </c>
      <c r="V137" s="824" t="str">
        <f>IFERROR(IF(B137="","",IF(AND(T137="",U137="",$P$3=""),"",IF($P$3=$AT$14,'Statement of Marks'!EE136,SUM(T137,U137)))),"")</f>
        <v/>
      </c>
      <c r="W137" s="814" t="str">
        <f t="shared" si="19"/>
        <v/>
      </c>
      <c r="X137" s="815">
        <f t="shared" si="20"/>
        <v>0</v>
      </c>
      <c r="Y137" s="815">
        <f t="shared" si="21"/>
        <v>0</v>
      </c>
      <c r="Z137" s="815">
        <f t="shared" si="22"/>
        <v>0</v>
      </c>
      <c r="AA137" s="815" t="str">
        <f t="shared" si="23"/>
        <v/>
      </c>
      <c r="AB137" s="815" t="str">
        <f t="shared" si="24"/>
        <v/>
      </c>
      <c r="AC137" s="815" t="str">
        <f t="shared" si="25"/>
        <v/>
      </c>
      <c r="AD137" s="815" t="str">
        <f t="shared" si="26"/>
        <v/>
      </c>
      <c r="AE137" s="816" t="str">
        <f t="shared" si="27"/>
        <v/>
      </c>
      <c r="AF137" s="817" t="str">
        <f t="shared" si="28"/>
        <v/>
      </c>
      <c r="AG137" s="818" t="str">
        <f t="shared" si="29"/>
        <v/>
      </c>
      <c r="AW137" s="17" t="str">
        <f t="shared" si="30"/>
        <v/>
      </c>
      <c r="AX137" s="17" t="str">
        <f t="shared" si="31"/>
        <v/>
      </c>
      <c r="BM137" s="17" t="str">
        <f>IFERROR(VLOOKUP(B137,'Statement of Marks'!$B$8:'Statement of Marks'!$HI$207,37,0),"")</f>
        <v>A</v>
      </c>
      <c r="BN137" s="17" t="str">
        <f>IFERROR(VLOOKUP(B137,'Statement of Marks'!$B$8:'Statement of Marks'!$HI$207,60,0),"")</f>
        <v>A</v>
      </c>
      <c r="BO137" s="17" t="str">
        <f>IFERROR(VLOOKUP(B137,'Statement of Marks'!$B$8:'Statement of Marks'!$HI$207,83,0),"")</f>
        <v>A</v>
      </c>
      <c r="BP137" s="17" t="str">
        <f>IFERROR(VLOOKUP(B137,'Statement of Marks'!$B$8:'Statement of Marks'!$HI$207,107,0),"")</f>
        <v/>
      </c>
    </row>
    <row r="138" spans="1:68">
      <c r="A138" s="806">
        <f>IF('Statement of Marks'!A137="","",'Statement of Marks'!A137)</f>
        <v>130</v>
      </c>
      <c r="B138" s="807" t="str">
        <f>IF(OR($E$3="",$P$3=""),"",IF('Statement of Marks'!B137="","",'Statement of Marks'!B137))</f>
        <v/>
      </c>
      <c r="C138" s="816" t="str">
        <f>IF(OR($E$3="",$P$3=""),"",IF('Marks Entry'!C137="","",'Marks Entry'!C137))</f>
        <v/>
      </c>
      <c r="D138" s="808" t="str">
        <f>IF(OR($E$3="",$P$3=""),"",IF('Statement of Marks'!C137="","",'Statement of Marks'!C137))</f>
        <v/>
      </c>
      <c r="E138" s="809" t="str">
        <f>IF(OR($E$3="",$P$3=""),"",IF('Statement of Marks'!D137="","",'Statement of Marks'!D137))</f>
        <v/>
      </c>
      <c r="F138" s="810" t="str">
        <f>IF(OR($E$3="",$P$3=""),"",IF('Statement of Marks'!E137="","",'Statement of Marks'!E137))</f>
        <v/>
      </c>
      <c r="G138" s="810" t="str">
        <f>IF(OR($E$3="",$P$3=""),"",IF('Statement of Marks'!F137="","",'Statement of Marks'!F137))</f>
        <v/>
      </c>
      <c r="H138" s="810" t="str">
        <f>IF(OR($E$3="",$P$3=""),"",IF('Statement of Marks'!G137="","",'Statement of Marks'!G137))</f>
        <v/>
      </c>
      <c r="I138" s="811" t="str">
        <f>IF(OR($E$3="",$P$3=""),"",IF('Statement of Marks'!H137="","",'Statement of Marks'!H137))</f>
        <v/>
      </c>
      <c r="J138" s="811" t="str">
        <f>IF(OR($E$3="",$P$3=""),"",IF('Statement of Marks'!I137="","",'Statement of Marks'!I137))</f>
        <v/>
      </c>
      <c r="K138" s="811" t="str">
        <f>IFERROR(IF(B138="","",IF($P$3=$AT$10,IF(AND(BM138="A"),'Marks Entry'!$U$2,IF(AND(BM138="B"),'Marks Entry'!$Y$2,IF(AND(BM138="C"),'Marks Entry'!$AA$2,""))),IF($P$3=$AT$11,IF(AND(BN138="A"),'Marks Entry'!$AC$2,IF(AND(BN138="B"),'Marks Entry'!$AG$2,IF(AND(BN138="C"),'Marks Entry'!$AI$2,""))),IF($P$3=$AT$12,IF(AND(BO138="A"),'Marks Entry'!$AK$2,IF(AND(BO138="B"),'Marks Entry'!$AO$2,IF(AND(BO138="C"),'Marks Entry'!$AQ$2,""))),IF($P$3=$AT$13,IF(AND(BP138="A"),'Marks Entry'!$AS$2,IF(AND(BP138="B"),'Marks Entry'!$AW$2,IF(AND(BP138="C"),'Marks Entry'!$AY$2,""))),"-"))))),"")</f>
        <v/>
      </c>
      <c r="L138" s="812" t="str">
        <f>IFERROR(IF(B138="","",IF($P$3=$AT$8,'Statement of Marks'!J137,IF($P$3=$AT$9,'Statement of Marks'!X137,IF($P$3=$AT$10,'Statement of Marks'!AM137,IF($P$3=$AT$11,'Statement of Marks'!BJ137,IF($P$3=$AT$12,'Statement of Marks'!CG137,IF($P$3=$AT$13,'Statement of Marks'!DE137,IF($P$3=$AT$14,"",IF($P$3=$AT$15,'Statement of Marks'!EY137,""))))))))),"")</f>
        <v/>
      </c>
      <c r="M138" s="812" t="str">
        <f>IFERROR(IF(B138="","",IF($P$3=$AT$8,'Statement of Marks'!K137,IF($P$3=$AT$9,'Statement of Marks'!Y137,IF($P$3=$AT$10,'Statement of Marks'!AN137,IF($P$3=$AT$11,'Statement of Marks'!BK137,IF($P$3=$AT$12,'Statement of Marks'!CH137,IF($P$3=$AT$13,'Statement of Marks'!DF137,IF($P$3=$AT$14,"",IF($P$3=$AT$15,'Statement of Marks'!EZ137,""))))))))),"")</f>
        <v/>
      </c>
      <c r="N138" s="812" t="str">
        <f>IFERROR(IF(B138="","",IF($P$3=$AT$8,'Statement of Marks'!L137,IF($P$3=$AT$9,'Statement of Marks'!Z137,IF($P$3=$AT$10,'Statement of Marks'!AO137,IF($P$3=$AT$11,'Statement of Marks'!BL137,IF($P$3=$AT$12,'Statement of Marks'!CI137,IF($P$3=$AT$13,'Statement of Marks'!DG137,IF($P$3=$AT$14,"",IF($P$3=$AT$15,'Statement of Marks'!FA137,""))))))))),"")</f>
        <v/>
      </c>
      <c r="O138" s="813" t="str">
        <f t="shared" ref="O138:O201" si="32">IF(AND(L138="",M138="",N138="",$P$3=""),"",IF(OR($P$3=$AT$14,$P$3=$AT$14),"",IF(B138="","",SUM(L138:N138))))</f>
        <v/>
      </c>
      <c r="P138" s="812" t="str">
        <f>IFERROR(IF(B138="","",IF($P$3=$AT$8,'Statement of Marks'!N137,IF($P$3=$AT$9,'Statement of Marks'!AB137,IF($P$3=$AT$10,'Statement of Marks'!AQ137,IF($P$3=$AT$11,'Statement of Marks'!BN137,IF($P$3=$AT$12,'Statement of Marks'!CK137,IF($P$3=$AT$13,'Statement of Marks'!DI137,IF($P$3=$AT$14,"",IF($P$3=$AT$15,'Statement of Marks'!FC137,""))))))))),"")</f>
        <v/>
      </c>
      <c r="Q138" s="812" t="str">
        <f>IFERROR(IF(B138="","",IF($P$3=$AT$8,"",IF($P$3=$AT$9,"",IF($P$3=$AT$10,'Statement of Marks'!AR137,IF($P$3=$AT$11,'Statement of Marks'!BO137,IF($P$3=$AT$12,'Statement of Marks'!CL137,IF($P$3=$AT$13,'Statement of Marks'!DJ137,IF($P$3=$AT$14,"",IF($P$3=$AT$15,"",""))))))))),"")</f>
        <v/>
      </c>
      <c r="R138" s="824" t="str">
        <f>IFERROR(IF(B138="","",IF(AND(P138="",Q138="",$P$3=""),"",IF($P$3=$AT$14,'Statement of Marks'!EC137,SUM(P138,Q138)))),"")</f>
        <v/>
      </c>
      <c r="S138" s="823" t="str">
        <f>IFERROR(IF(B138="","",IF($P$3=$AT$14,'Statement of Marks'!ED137,IF(AND(O138="NA",P138="NA",Q138="NA"),"NA",IF(AND(O138="",P138="",Q138=""),"",SUM(O138,P138,Q138))))),"")</f>
        <v/>
      </c>
      <c r="T138" s="812" t="str">
        <f>IFERROR(IF(B138="","",IF($P$3=$AT$8,'Statement of Marks'!P137,IF($P$3=$AT$9,'Statement of Marks'!AD137,IF($P$3=$AT$10,'Statement of Marks'!AU137,IF($P$3=$AT$11,'Statement of Marks'!BR137,IF($P$3=$AT$12,'Statement of Marks'!CO137,IF($P$3=$AT$13,'Statement of Marks'!DM137,IF($P$3=$AT$14,"",IF($P$3=$AT$15,'Statement of Marks'!FD137,""))))))))),"")</f>
        <v/>
      </c>
      <c r="U138" s="812" t="str">
        <f>IFERROR(IF(B138="","",IF($P$3=$AT$8,"",IF($P$3=$AT$9,"",IF($P$3=$AT$10,'Statement of Marks'!AV137,IF($P$3=$AT$11,'Statement of Marks'!BS137,IF($P$3=$AT$12,'Statement of Marks'!CP137,IF($P$3=$AT$13,'Statement of Marks'!DN137,IF($P$3=$AT$14,"",IF($P$3=$AT$15,"",""))))))))),"")</f>
        <v/>
      </c>
      <c r="V138" s="824" t="str">
        <f>IFERROR(IF(B138="","",IF(AND(T138="",U138="",$P$3=""),"",IF($P$3=$AT$14,'Statement of Marks'!EE137,SUM(T138,U138)))),"")</f>
        <v/>
      </c>
      <c r="W138" s="814" t="str">
        <f t="shared" ref="W138:W201" si="33">IFERROR(IF(B138="","",IF($P$3="","",IF(OR($P$3=$AT$14),SUM(R138,S138,V138),SUM(S138,V138)))),"")</f>
        <v/>
      </c>
      <c r="X138" s="815">
        <f t="shared" ref="X138:X201" si="34">IFERROR(IF($P$3="","",IF(OR($P$3=$AT$8,$P$3=$AT$9,$P$3=$AT$10,$P$3=$AT$11,$P$3=$AT$12,$P$3=$AT$13,$P$3=$AT$15),COUNTIF(L138:N138,"NA")*$L$7+(COUNTIF(L138:N138,"ML")*$L$7)+(COUNTIF(P138,"ML")*$P$7)+(COUNTIF(T138,"ML")*$T$8)+(COUNTIF(T138,"ML")*$T$7),COUNTIF(R138,"NA")*$R$7+(COUNTIF(R138,"ML")*$R$7)+(COUNTIF(S138,"ML")*$S$7)+(COUNTIF(V138,"ML")*$V$7))),0)</f>
        <v>0</v>
      </c>
      <c r="Y138" s="815">
        <f t="shared" ref="Y138:Y201" si="35">SUM(Q138,U138)</f>
        <v>0</v>
      </c>
      <c r="Z138" s="815">
        <f t="shared" ref="Z138:Z201" si="36">SUM(O138,P138,T138)</f>
        <v>0</v>
      </c>
      <c r="AA138" s="815" t="str">
        <f t="shared" ref="AA138:AA201" si="37">IF(OR($B138="NSO",$B138=0,T138=""),"",IF(AND(Q138="",U138=""),SUM($T$8),SUM($T$7)))</f>
        <v/>
      </c>
      <c r="AB138" s="815" t="str">
        <f t="shared" ref="AB138:AB201" si="38">IF(OR($B138="NSO",$B138=0,U138=""),"",IF(AND(Q138="",U138=""),"",SUM($Q$7+$U$7)-(COUNTIF(Q138,"ML")*$Q$7)-(COUNTIF(U138,"ML")*$U$7)))</f>
        <v/>
      </c>
      <c r="AC138" s="815" t="str">
        <f t="shared" ref="AC138:AC201" si="39">IF(OR($B138="NSO",$B138=0,B138=""),"",IF(AND(Q138="",U138=""),IF(OR($P$3=$AT$8,$P$3=$AT$9,$P$3=$AT$10,$P$3=$AT$11,$P$3=$AT$12,$P$3=$AT$13,$P$3=$AT$15,$P$3=$AT$16,$P$3=$AT$17),IF(AND(L138="NA",N138="NA",M138="NA"),$O$7-X138,IF(AND(P138="ML"),$P$7-X138,IF(AND(T138="ML"),$T$7-X138,$W$7-X138))),IF(AND(R138="NA"),$R$7-X138,IF(AND(S138="ML"),$S$7-X138,IF(AND(V138="ML"),$V$7-X138,$W$7-X138)))),IF(AND(L138="NA",N138="NA",M138="NA"),$O$7-X138,IF(AND(P138="ML"),$P$7-X138,IF(AND(T138="ML"),$T$7-X138,$Z$7-X138)))))</f>
        <v/>
      </c>
      <c r="AD138" s="815" t="str">
        <f t="shared" ref="AD138:AD201" si="40">IF(AND(OR(L138="ab",L138="ml"),OR(M138="ab",M138="ml"),OR(P138="ab",P138="ml"),OR(P138="ab",P138="ml"),OR(S138="ab",S138="ml")),"AB",IF(AND(OR(M138="ab",M138="ml"),OR(N138="ab",N138="ml"),OR(P138="ab",P138="ml"),OR(S138="ab",S138="ml")),"AB",IF(AND(OR(N138="ab",N138="ml"),OR(L138="ab",L138="ml"),OR(P138="ab",P138="ml"),OR(T138="ab",T138="ml")),"AB",IF(AND(OR(P138="ab",P138="ml"),OR(T138="ab",T138="ml"),OR(Q138="ab",Q138="ml"),OR(P138="ab",P138="ml"),OR(T138="ab",T138="ml")),"AB",IF(AND(OR(P138="ab",P138="ml"),OR(M138="ab",M138="ml"),OR(T138="ab",T138="ml"),OR(P138="ab",P138="ml"),OR(U138="ab",U138="ml")),"AB","")))))</f>
        <v/>
      </c>
      <c r="AE138" s="816" t="str">
        <f t="shared" ref="AE138:AE201" si="41">IFERROR(IF(B138="","",IF(OR($P$3=$AT$14),AX138,AW138)),"")</f>
        <v/>
      </c>
      <c r="AF138" s="817" t="str">
        <f t="shared" ref="AF138:AF201" si="42">IF(OR(AE138="",AE138=0,AE138="S",AE138="RE",AE138="F",AE138="AB",B138="NSO"),"",IF(AE138="G","G",IF(W138&gt;=75%*SUM(AB138,AC138),"I",IF(W138&gt;=60%*SUM(AB138,AC138),"I",IF(W138&gt;=48%*SUM(AB138,AC138),"II",IF(W138&gt;=36%*SUM(AB138,AC138),"III",""))))))</f>
        <v/>
      </c>
      <c r="AG138" s="818" t="str">
        <f t="shared" ref="AG138:AG201" si="43">IF(W138="","",IF(OR(AE138="",AE138=0,AE138="RE",AE138="AB"),"",IF(B138="NSO","NSO",IF(AE138="G","By Grace",IF(AE138="S","Supplementary",IF(AE138="F","Fail",IF(W138&gt;=75%*AC138,"D",IF(AE138="FP","Fail in Practical",""))))))))</f>
        <v/>
      </c>
      <c r="AW138" s="17" t="str">
        <f t="shared" ref="AW138:AW201" si="44">IF(B138="","",IF(OR(T138="AB",U138="AB",AD138="AB"),"AB",IF(OR(T138="ML",V138="ML"),"RE",IF(U138="MLP","REP",IF(U138&lt;33%*$U$7,"FP",IF(Q138&lt;33%*$Q$7,"FP",IF(AND(Z138&gt;=36%*AC138,SUM(T138)&gt;=20%*AA138,Y138&gt;=SUM(AB138)*36%),"P",IF(AND(Z138&gt;=34%*AC138,SUM(T138)&gt;=20%*AA138,Y138&gt;=SUM(AB138)*36%),"G",IF(AND(Z138&gt;=31%*AC138,SUM(T138)&gt;=20%*AA138,Y138&gt;=SUM(AB138)*36%),"G",IF(AND(Z138&gt;=25%*AC138,SUM(T138)&gt;=20%*AA138),"S","F"))))))))))</f>
        <v/>
      </c>
      <c r="AX138" s="17" t="str">
        <f t="shared" ref="AX138:AX201" si="45">IF(B138="","",IF(AND(W138&gt;=36%*AC138,SUM(V138)&gt;=20%*$V$7),"P",""))</f>
        <v/>
      </c>
      <c r="BM138" s="17" t="str">
        <f>IFERROR(VLOOKUP(B138,'Statement of Marks'!$B$8:'Statement of Marks'!$HI$207,37,0),"")</f>
        <v>A</v>
      </c>
      <c r="BN138" s="17" t="str">
        <f>IFERROR(VLOOKUP(B138,'Statement of Marks'!$B$8:'Statement of Marks'!$HI$207,60,0),"")</f>
        <v>A</v>
      </c>
      <c r="BO138" s="17" t="str">
        <f>IFERROR(VLOOKUP(B138,'Statement of Marks'!$B$8:'Statement of Marks'!$HI$207,83,0),"")</f>
        <v>A</v>
      </c>
      <c r="BP138" s="17" t="str">
        <f>IFERROR(VLOOKUP(B138,'Statement of Marks'!$B$8:'Statement of Marks'!$HI$207,107,0),"")</f>
        <v/>
      </c>
    </row>
    <row r="139" spans="1:68">
      <c r="A139" s="806">
        <f>IF('Statement of Marks'!A138="","",'Statement of Marks'!A138)</f>
        <v>131</v>
      </c>
      <c r="B139" s="807" t="str">
        <f>IF(OR($E$3="",$P$3=""),"",IF('Statement of Marks'!B138="","",'Statement of Marks'!B138))</f>
        <v/>
      </c>
      <c r="C139" s="816" t="str">
        <f>IF(OR($E$3="",$P$3=""),"",IF('Marks Entry'!C138="","",'Marks Entry'!C138))</f>
        <v/>
      </c>
      <c r="D139" s="808" t="str">
        <f>IF(OR($E$3="",$P$3=""),"",IF('Statement of Marks'!C138="","",'Statement of Marks'!C138))</f>
        <v/>
      </c>
      <c r="E139" s="809" t="str">
        <f>IF(OR($E$3="",$P$3=""),"",IF('Statement of Marks'!D138="","",'Statement of Marks'!D138))</f>
        <v/>
      </c>
      <c r="F139" s="810" t="str">
        <f>IF(OR($E$3="",$P$3=""),"",IF('Statement of Marks'!E138="","",'Statement of Marks'!E138))</f>
        <v/>
      </c>
      <c r="G139" s="810" t="str">
        <f>IF(OR($E$3="",$P$3=""),"",IF('Statement of Marks'!F138="","",'Statement of Marks'!F138))</f>
        <v/>
      </c>
      <c r="H139" s="810" t="str">
        <f>IF(OR($E$3="",$P$3=""),"",IF('Statement of Marks'!G138="","",'Statement of Marks'!G138))</f>
        <v/>
      </c>
      <c r="I139" s="811" t="str">
        <f>IF(OR($E$3="",$P$3=""),"",IF('Statement of Marks'!H138="","",'Statement of Marks'!H138))</f>
        <v/>
      </c>
      <c r="J139" s="811" t="str">
        <f>IF(OR($E$3="",$P$3=""),"",IF('Statement of Marks'!I138="","",'Statement of Marks'!I138))</f>
        <v/>
      </c>
      <c r="K139" s="811" t="str">
        <f>IFERROR(IF(B139="","",IF($P$3=$AT$10,IF(AND(BM139="A"),'Marks Entry'!$U$2,IF(AND(BM139="B"),'Marks Entry'!$Y$2,IF(AND(BM139="C"),'Marks Entry'!$AA$2,""))),IF($P$3=$AT$11,IF(AND(BN139="A"),'Marks Entry'!$AC$2,IF(AND(BN139="B"),'Marks Entry'!$AG$2,IF(AND(BN139="C"),'Marks Entry'!$AI$2,""))),IF($P$3=$AT$12,IF(AND(BO139="A"),'Marks Entry'!$AK$2,IF(AND(BO139="B"),'Marks Entry'!$AO$2,IF(AND(BO139="C"),'Marks Entry'!$AQ$2,""))),IF($P$3=$AT$13,IF(AND(BP139="A"),'Marks Entry'!$AS$2,IF(AND(BP139="B"),'Marks Entry'!$AW$2,IF(AND(BP139="C"),'Marks Entry'!$AY$2,""))),"-"))))),"")</f>
        <v/>
      </c>
      <c r="L139" s="812" t="str">
        <f>IFERROR(IF(B139="","",IF($P$3=$AT$8,'Statement of Marks'!J138,IF($P$3=$AT$9,'Statement of Marks'!X138,IF($P$3=$AT$10,'Statement of Marks'!AM138,IF($P$3=$AT$11,'Statement of Marks'!BJ138,IF($P$3=$AT$12,'Statement of Marks'!CG138,IF($P$3=$AT$13,'Statement of Marks'!DE138,IF($P$3=$AT$14,"",IF($P$3=$AT$15,'Statement of Marks'!EY138,""))))))))),"")</f>
        <v/>
      </c>
      <c r="M139" s="812" t="str">
        <f>IFERROR(IF(B139="","",IF($P$3=$AT$8,'Statement of Marks'!K138,IF($P$3=$AT$9,'Statement of Marks'!Y138,IF($P$3=$AT$10,'Statement of Marks'!AN138,IF($P$3=$AT$11,'Statement of Marks'!BK138,IF($P$3=$AT$12,'Statement of Marks'!CH138,IF($P$3=$AT$13,'Statement of Marks'!DF138,IF($P$3=$AT$14,"",IF($P$3=$AT$15,'Statement of Marks'!EZ138,""))))))))),"")</f>
        <v/>
      </c>
      <c r="N139" s="812" t="str">
        <f>IFERROR(IF(B139="","",IF($P$3=$AT$8,'Statement of Marks'!L138,IF($P$3=$AT$9,'Statement of Marks'!Z138,IF($P$3=$AT$10,'Statement of Marks'!AO138,IF($P$3=$AT$11,'Statement of Marks'!BL138,IF($P$3=$AT$12,'Statement of Marks'!CI138,IF($P$3=$AT$13,'Statement of Marks'!DG138,IF($P$3=$AT$14,"",IF($P$3=$AT$15,'Statement of Marks'!FA138,""))))))))),"")</f>
        <v/>
      </c>
      <c r="O139" s="813" t="str">
        <f t="shared" si="32"/>
        <v/>
      </c>
      <c r="P139" s="812" t="str">
        <f>IFERROR(IF(B139="","",IF($P$3=$AT$8,'Statement of Marks'!N138,IF($P$3=$AT$9,'Statement of Marks'!AB138,IF($P$3=$AT$10,'Statement of Marks'!AQ138,IF($P$3=$AT$11,'Statement of Marks'!BN138,IF($P$3=$AT$12,'Statement of Marks'!CK138,IF($P$3=$AT$13,'Statement of Marks'!DI138,IF($P$3=$AT$14,"",IF($P$3=$AT$15,'Statement of Marks'!FC138,""))))))))),"")</f>
        <v/>
      </c>
      <c r="Q139" s="812" t="str">
        <f>IFERROR(IF(B139="","",IF($P$3=$AT$8,"",IF($P$3=$AT$9,"",IF($P$3=$AT$10,'Statement of Marks'!AR138,IF($P$3=$AT$11,'Statement of Marks'!BO138,IF($P$3=$AT$12,'Statement of Marks'!CL138,IF($P$3=$AT$13,'Statement of Marks'!DJ138,IF($P$3=$AT$14,"",IF($P$3=$AT$15,"",""))))))))),"")</f>
        <v/>
      </c>
      <c r="R139" s="824" t="str">
        <f>IFERROR(IF(B139="","",IF(AND(P139="",Q139="",$P$3=""),"",IF($P$3=$AT$14,'Statement of Marks'!EC138,SUM(P139,Q139)))),"")</f>
        <v/>
      </c>
      <c r="S139" s="823" t="str">
        <f>IFERROR(IF(B139="","",IF($P$3=$AT$14,'Statement of Marks'!ED138,IF(AND(O139="NA",P139="NA",Q139="NA"),"NA",IF(AND(O139="",P139="",Q139=""),"",SUM(O139,P139,Q139))))),"")</f>
        <v/>
      </c>
      <c r="T139" s="812" t="str">
        <f>IFERROR(IF(B139="","",IF($P$3=$AT$8,'Statement of Marks'!P138,IF($P$3=$AT$9,'Statement of Marks'!AD138,IF($P$3=$AT$10,'Statement of Marks'!AU138,IF($P$3=$AT$11,'Statement of Marks'!BR138,IF($P$3=$AT$12,'Statement of Marks'!CO138,IF($P$3=$AT$13,'Statement of Marks'!DM138,IF($P$3=$AT$14,"",IF($P$3=$AT$15,'Statement of Marks'!FD138,""))))))))),"")</f>
        <v/>
      </c>
      <c r="U139" s="812" t="str">
        <f>IFERROR(IF(B139="","",IF($P$3=$AT$8,"",IF($P$3=$AT$9,"",IF($P$3=$AT$10,'Statement of Marks'!AV138,IF($P$3=$AT$11,'Statement of Marks'!BS138,IF($P$3=$AT$12,'Statement of Marks'!CP138,IF($P$3=$AT$13,'Statement of Marks'!DN138,IF($P$3=$AT$14,"",IF($P$3=$AT$15,"",""))))))))),"")</f>
        <v/>
      </c>
      <c r="V139" s="824" t="str">
        <f>IFERROR(IF(B139="","",IF(AND(T139="",U139="",$P$3=""),"",IF($P$3=$AT$14,'Statement of Marks'!EE138,SUM(T139,U139)))),"")</f>
        <v/>
      </c>
      <c r="W139" s="814" t="str">
        <f t="shared" si="33"/>
        <v/>
      </c>
      <c r="X139" s="815">
        <f t="shared" si="34"/>
        <v>0</v>
      </c>
      <c r="Y139" s="815">
        <f t="shared" si="35"/>
        <v>0</v>
      </c>
      <c r="Z139" s="815">
        <f t="shared" si="36"/>
        <v>0</v>
      </c>
      <c r="AA139" s="815" t="str">
        <f t="shared" si="37"/>
        <v/>
      </c>
      <c r="AB139" s="815" t="str">
        <f t="shared" si="38"/>
        <v/>
      </c>
      <c r="AC139" s="815" t="str">
        <f t="shared" si="39"/>
        <v/>
      </c>
      <c r="AD139" s="815" t="str">
        <f t="shared" si="40"/>
        <v/>
      </c>
      <c r="AE139" s="816" t="str">
        <f t="shared" si="41"/>
        <v/>
      </c>
      <c r="AF139" s="817" t="str">
        <f t="shared" si="42"/>
        <v/>
      </c>
      <c r="AG139" s="818" t="str">
        <f t="shared" si="43"/>
        <v/>
      </c>
      <c r="AW139" s="17" t="str">
        <f t="shared" si="44"/>
        <v/>
      </c>
      <c r="AX139" s="17" t="str">
        <f t="shared" si="45"/>
        <v/>
      </c>
      <c r="BM139" s="17" t="str">
        <f>IFERROR(VLOOKUP(B139,'Statement of Marks'!$B$8:'Statement of Marks'!$HI$207,37,0),"")</f>
        <v>A</v>
      </c>
      <c r="BN139" s="17" t="str">
        <f>IFERROR(VLOOKUP(B139,'Statement of Marks'!$B$8:'Statement of Marks'!$HI$207,60,0),"")</f>
        <v>A</v>
      </c>
      <c r="BO139" s="17" t="str">
        <f>IFERROR(VLOOKUP(B139,'Statement of Marks'!$B$8:'Statement of Marks'!$HI$207,83,0),"")</f>
        <v>A</v>
      </c>
      <c r="BP139" s="17" t="str">
        <f>IFERROR(VLOOKUP(B139,'Statement of Marks'!$B$8:'Statement of Marks'!$HI$207,107,0),"")</f>
        <v/>
      </c>
    </row>
    <row r="140" spans="1:68">
      <c r="A140" s="806">
        <f>IF('Statement of Marks'!A139="","",'Statement of Marks'!A139)</f>
        <v>132</v>
      </c>
      <c r="B140" s="807" t="str">
        <f>IF(OR($E$3="",$P$3=""),"",IF('Statement of Marks'!B139="","",'Statement of Marks'!B139))</f>
        <v/>
      </c>
      <c r="C140" s="816" t="str">
        <f>IF(OR($E$3="",$P$3=""),"",IF('Marks Entry'!C139="","",'Marks Entry'!C139))</f>
        <v/>
      </c>
      <c r="D140" s="808" t="str">
        <f>IF(OR($E$3="",$P$3=""),"",IF('Statement of Marks'!C139="","",'Statement of Marks'!C139))</f>
        <v/>
      </c>
      <c r="E140" s="809" t="str">
        <f>IF(OR($E$3="",$P$3=""),"",IF('Statement of Marks'!D139="","",'Statement of Marks'!D139))</f>
        <v/>
      </c>
      <c r="F140" s="810" t="str">
        <f>IF(OR($E$3="",$P$3=""),"",IF('Statement of Marks'!E139="","",'Statement of Marks'!E139))</f>
        <v/>
      </c>
      <c r="G140" s="810" t="str">
        <f>IF(OR($E$3="",$P$3=""),"",IF('Statement of Marks'!F139="","",'Statement of Marks'!F139))</f>
        <v/>
      </c>
      <c r="H140" s="810" t="str">
        <f>IF(OR($E$3="",$P$3=""),"",IF('Statement of Marks'!G139="","",'Statement of Marks'!G139))</f>
        <v/>
      </c>
      <c r="I140" s="811" t="str">
        <f>IF(OR($E$3="",$P$3=""),"",IF('Statement of Marks'!H139="","",'Statement of Marks'!H139))</f>
        <v/>
      </c>
      <c r="J140" s="811" t="str">
        <f>IF(OR($E$3="",$P$3=""),"",IF('Statement of Marks'!I139="","",'Statement of Marks'!I139))</f>
        <v/>
      </c>
      <c r="K140" s="811" t="str">
        <f>IFERROR(IF(B140="","",IF($P$3=$AT$10,IF(AND(BM140="A"),'Marks Entry'!$U$2,IF(AND(BM140="B"),'Marks Entry'!$Y$2,IF(AND(BM140="C"),'Marks Entry'!$AA$2,""))),IF($P$3=$AT$11,IF(AND(BN140="A"),'Marks Entry'!$AC$2,IF(AND(BN140="B"),'Marks Entry'!$AG$2,IF(AND(BN140="C"),'Marks Entry'!$AI$2,""))),IF($P$3=$AT$12,IF(AND(BO140="A"),'Marks Entry'!$AK$2,IF(AND(BO140="B"),'Marks Entry'!$AO$2,IF(AND(BO140="C"),'Marks Entry'!$AQ$2,""))),IF($P$3=$AT$13,IF(AND(BP140="A"),'Marks Entry'!$AS$2,IF(AND(BP140="B"),'Marks Entry'!$AW$2,IF(AND(BP140="C"),'Marks Entry'!$AY$2,""))),"-"))))),"")</f>
        <v/>
      </c>
      <c r="L140" s="812" t="str">
        <f>IFERROR(IF(B140="","",IF($P$3=$AT$8,'Statement of Marks'!J139,IF($P$3=$AT$9,'Statement of Marks'!X139,IF($P$3=$AT$10,'Statement of Marks'!AM139,IF($P$3=$AT$11,'Statement of Marks'!BJ139,IF($P$3=$AT$12,'Statement of Marks'!CG139,IF($P$3=$AT$13,'Statement of Marks'!DE139,IF($P$3=$AT$14,"",IF($P$3=$AT$15,'Statement of Marks'!EY139,""))))))))),"")</f>
        <v/>
      </c>
      <c r="M140" s="812" t="str">
        <f>IFERROR(IF(B140="","",IF($P$3=$AT$8,'Statement of Marks'!K139,IF($P$3=$AT$9,'Statement of Marks'!Y139,IF($P$3=$AT$10,'Statement of Marks'!AN139,IF($P$3=$AT$11,'Statement of Marks'!BK139,IF($P$3=$AT$12,'Statement of Marks'!CH139,IF($P$3=$AT$13,'Statement of Marks'!DF139,IF($P$3=$AT$14,"",IF($P$3=$AT$15,'Statement of Marks'!EZ139,""))))))))),"")</f>
        <v/>
      </c>
      <c r="N140" s="812" t="str">
        <f>IFERROR(IF(B140="","",IF($P$3=$AT$8,'Statement of Marks'!L139,IF($P$3=$AT$9,'Statement of Marks'!Z139,IF($P$3=$AT$10,'Statement of Marks'!AO139,IF($P$3=$AT$11,'Statement of Marks'!BL139,IF($P$3=$AT$12,'Statement of Marks'!CI139,IF($P$3=$AT$13,'Statement of Marks'!DG139,IF($P$3=$AT$14,"",IF($P$3=$AT$15,'Statement of Marks'!FA139,""))))))))),"")</f>
        <v/>
      </c>
      <c r="O140" s="813" t="str">
        <f t="shared" si="32"/>
        <v/>
      </c>
      <c r="P140" s="812" t="str">
        <f>IFERROR(IF(B140="","",IF($P$3=$AT$8,'Statement of Marks'!N139,IF($P$3=$AT$9,'Statement of Marks'!AB139,IF($P$3=$AT$10,'Statement of Marks'!AQ139,IF($P$3=$AT$11,'Statement of Marks'!BN139,IF($P$3=$AT$12,'Statement of Marks'!CK139,IF($P$3=$AT$13,'Statement of Marks'!DI139,IF($P$3=$AT$14,"",IF($P$3=$AT$15,'Statement of Marks'!FC139,""))))))))),"")</f>
        <v/>
      </c>
      <c r="Q140" s="812" t="str">
        <f>IFERROR(IF(B140="","",IF($P$3=$AT$8,"",IF($P$3=$AT$9,"",IF($P$3=$AT$10,'Statement of Marks'!AR139,IF($P$3=$AT$11,'Statement of Marks'!BO139,IF($P$3=$AT$12,'Statement of Marks'!CL139,IF($P$3=$AT$13,'Statement of Marks'!DJ139,IF($P$3=$AT$14,"",IF($P$3=$AT$15,"",""))))))))),"")</f>
        <v/>
      </c>
      <c r="R140" s="824" t="str">
        <f>IFERROR(IF(B140="","",IF(AND(P140="",Q140="",$P$3=""),"",IF($P$3=$AT$14,'Statement of Marks'!EC139,SUM(P140,Q140)))),"")</f>
        <v/>
      </c>
      <c r="S140" s="823" t="str">
        <f>IFERROR(IF(B140="","",IF($P$3=$AT$14,'Statement of Marks'!ED139,IF(AND(O140="NA",P140="NA",Q140="NA"),"NA",IF(AND(O140="",P140="",Q140=""),"",SUM(O140,P140,Q140))))),"")</f>
        <v/>
      </c>
      <c r="T140" s="812" t="str">
        <f>IFERROR(IF(B140="","",IF($P$3=$AT$8,'Statement of Marks'!P139,IF($P$3=$AT$9,'Statement of Marks'!AD139,IF($P$3=$AT$10,'Statement of Marks'!AU139,IF($P$3=$AT$11,'Statement of Marks'!BR139,IF($P$3=$AT$12,'Statement of Marks'!CO139,IF($P$3=$AT$13,'Statement of Marks'!DM139,IF($P$3=$AT$14,"",IF($P$3=$AT$15,'Statement of Marks'!FD139,""))))))))),"")</f>
        <v/>
      </c>
      <c r="U140" s="812" t="str">
        <f>IFERROR(IF(B140="","",IF($P$3=$AT$8,"",IF($P$3=$AT$9,"",IF($P$3=$AT$10,'Statement of Marks'!AV139,IF($P$3=$AT$11,'Statement of Marks'!BS139,IF($P$3=$AT$12,'Statement of Marks'!CP139,IF($P$3=$AT$13,'Statement of Marks'!DN139,IF($P$3=$AT$14,"",IF($P$3=$AT$15,"",""))))))))),"")</f>
        <v/>
      </c>
      <c r="V140" s="824" t="str">
        <f>IFERROR(IF(B140="","",IF(AND(T140="",U140="",$P$3=""),"",IF($P$3=$AT$14,'Statement of Marks'!EE139,SUM(T140,U140)))),"")</f>
        <v/>
      </c>
      <c r="W140" s="814" t="str">
        <f t="shared" si="33"/>
        <v/>
      </c>
      <c r="X140" s="815">
        <f t="shared" si="34"/>
        <v>0</v>
      </c>
      <c r="Y140" s="815">
        <f t="shared" si="35"/>
        <v>0</v>
      </c>
      <c r="Z140" s="815">
        <f t="shared" si="36"/>
        <v>0</v>
      </c>
      <c r="AA140" s="815" t="str">
        <f t="shared" si="37"/>
        <v/>
      </c>
      <c r="AB140" s="815" t="str">
        <f t="shared" si="38"/>
        <v/>
      </c>
      <c r="AC140" s="815" t="str">
        <f t="shared" si="39"/>
        <v/>
      </c>
      <c r="AD140" s="815" t="str">
        <f t="shared" si="40"/>
        <v/>
      </c>
      <c r="AE140" s="816" t="str">
        <f t="shared" si="41"/>
        <v/>
      </c>
      <c r="AF140" s="817" t="str">
        <f t="shared" si="42"/>
        <v/>
      </c>
      <c r="AG140" s="818" t="str">
        <f t="shared" si="43"/>
        <v/>
      </c>
      <c r="AW140" s="17" t="str">
        <f t="shared" si="44"/>
        <v/>
      </c>
      <c r="AX140" s="17" t="str">
        <f t="shared" si="45"/>
        <v/>
      </c>
      <c r="BM140" s="17" t="str">
        <f>IFERROR(VLOOKUP(B140,'Statement of Marks'!$B$8:'Statement of Marks'!$HI$207,37,0),"")</f>
        <v>A</v>
      </c>
      <c r="BN140" s="17" t="str">
        <f>IFERROR(VLOOKUP(B140,'Statement of Marks'!$B$8:'Statement of Marks'!$HI$207,60,0),"")</f>
        <v>A</v>
      </c>
      <c r="BO140" s="17" t="str">
        <f>IFERROR(VLOOKUP(B140,'Statement of Marks'!$B$8:'Statement of Marks'!$HI$207,83,0),"")</f>
        <v>A</v>
      </c>
      <c r="BP140" s="17" t="str">
        <f>IFERROR(VLOOKUP(B140,'Statement of Marks'!$B$8:'Statement of Marks'!$HI$207,107,0),"")</f>
        <v/>
      </c>
    </row>
    <row r="141" spans="1:68">
      <c r="A141" s="806">
        <f>IF('Statement of Marks'!A140="","",'Statement of Marks'!A140)</f>
        <v>133</v>
      </c>
      <c r="B141" s="807" t="str">
        <f>IF(OR($E$3="",$P$3=""),"",IF('Statement of Marks'!B140="","",'Statement of Marks'!B140))</f>
        <v/>
      </c>
      <c r="C141" s="816" t="str">
        <f>IF(OR($E$3="",$P$3=""),"",IF('Marks Entry'!C140="","",'Marks Entry'!C140))</f>
        <v/>
      </c>
      <c r="D141" s="808" t="str">
        <f>IF(OR($E$3="",$P$3=""),"",IF('Statement of Marks'!C140="","",'Statement of Marks'!C140))</f>
        <v/>
      </c>
      <c r="E141" s="809" t="str">
        <f>IF(OR($E$3="",$P$3=""),"",IF('Statement of Marks'!D140="","",'Statement of Marks'!D140))</f>
        <v/>
      </c>
      <c r="F141" s="810" t="str">
        <f>IF(OR($E$3="",$P$3=""),"",IF('Statement of Marks'!E140="","",'Statement of Marks'!E140))</f>
        <v/>
      </c>
      <c r="G141" s="810" t="str">
        <f>IF(OR($E$3="",$P$3=""),"",IF('Statement of Marks'!F140="","",'Statement of Marks'!F140))</f>
        <v/>
      </c>
      <c r="H141" s="810" t="str">
        <f>IF(OR($E$3="",$P$3=""),"",IF('Statement of Marks'!G140="","",'Statement of Marks'!G140))</f>
        <v/>
      </c>
      <c r="I141" s="811" t="str">
        <f>IF(OR($E$3="",$P$3=""),"",IF('Statement of Marks'!H140="","",'Statement of Marks'!H140))</f>
        <v/>
      </c>
      <c r="J141" s="811" t="str">
        <f>IF(OR($E$3="",$P$3=""),"",IF('Statement of Marks'!I140="","",'Statement of Marks'!I140))</f>
        <v/>
      </c>
      <c r="K141" s="811" t="str">
        <f>IFERROR(IF(B141="","",IF($P$3=$AT$10,IF(AND(BM141="A"),'Marks Entry'!$U$2,IF(AND(BM141="B"),'Marks Entry'!$Y$2,IF(AND(BM141="C"),'Marks Entry'!$AA$2,""))),IF($P$3=$AT$11,IF(AND(BN141="A"),'Marks Entry'!$AC$2,IF(AND(BN141="B"),'Marks Entry'!$AG$2,IF(AND(BN141="C"),'Marks Entry'!$AI$2,""))),IF($P$3=$AT$12,IF(AND(BO141="A"),'Marks Entry'!$AK$2,IF(AND(BO141="B"),'Marks Entry'!$AO$2,IF(AND(BO141="C"),'Marks Entry'!$AQ$2,""))),IF($P$3=$AT$13,IF(AND(BP141="A"),'Marks Entry'!$AS$2,IF(AND(BP141="B"),'Marks Entry'!$AW$2,IF(AND(BP141="C"),'Marks Entry'!$AY$2,""))),"-"))))),"")</f>
        <v/>
      </c>
      <c r="L141" s="812" t="str">
        <f>IFERROR(IF(B141="","",IF($P$3=$AT$8,'Statement of Marks'!J140,IF($P$3=$AT$9,'Statement of Marks'!X140,IF($P$3=$AT$10,'Statement of Marks'!AM140,IF($P$3=$AT$11,'Statement of Marks'!BJ140,IF($P$3=$AT$12,'Statement of Marks'!CG140,IF($P$3=$AT$13,'Statement of Marks'!DE140,IF($P$3=$AT$14,"",IF($P$3=$AT$15,'Statement of Marks'!EY140,""))))))))),"")</f>
        <v/>
      </c>
      <c r="M141" s="812" t="str">
        <f>IFERROR(IF(B141="","",IF($P$3=$AT$8,'Statement of Marks'!K140,IF($P$3=$AT$9,'Statement of Marks'!Y140,IF($P$3=$AT$10,'Statement of Marks'!AN140,IF($P$3=$AT$11,'Statement of Marks'!BK140,IF($P$3=$AT$12,'Statement of Marks'!CH140,IF($P$3=$AT$13,'Statement of Marks'!DF140,IF($P$3=$AT$14,"",IF($P$3=$AT$15,'Statement of Marks'!EZ140,""))))))))),"")</f>
        <v/>
      </c>
      <c r="N141" s="812" t="str">
        <f>IFERROR(IF(B141="","",IF($P$3=$AT$8,'Statement of Marks'!L140,IF($P$3=$AT$9,'Statement of Marks'!Z140,IF($P$3=$AT$10,'Statement of Marks'!AO140,IF($P$3=$AT$11,'Statement of Marks'!BL140,IF($P$3=$AT$12,'Statement of Marks'!CI140,IF($P$3=$AT$13,'Statement of Marks'!DG140,IF($P$3=$AT$14,"",IF($P$3=$AT$15,'Statement of Marks'!FA140,""))))))))),"")</f>
        <v/>
      </c>
      <c r="O141" s="813" t="str">
        <f t="shared" si="32"/>
        <v/>
      </c>
      <c r="P141" s="812" t="str">
        <f>IFERROR(IF(B141="","",IF($P$3=$AT$8,'Statement of Marks'!N140,IF($P$3=$AT$9,'Statement of Marks'!AB140,IF($P$3=$AT$10,'Statement of Marks'!AQ140,IF($P$3=$AT$11,'Statement of Marks'!BN140,IF($P$3=$AT$12,'Statement of Marks'!CK140,IF($P$3=$AT$13,'Statement of Marks'!DI140,IF($P$3=$AT$14,"",IF($P$3=$AT$15,'Statement of Marks'!FC140,""))))))))),"")</f>
        <v/>
      </c>
      <c r="Q141" s="812" t="str">
        <f>IFERROR(IF(B141="","",IF($P$3=$AT$8,"",IF($P$3=$AT$9,"",IF($P$3=$AT$10,'Statement of Marks'!AR140,IF($P$3=$AT$11,'Statement of Marks'!BO140,IF($P$3=$AT$12,'Statement of Marks'!CL140,IF($P$3=$AT$13,'Statement of Marks'!DJ140,IF($P$3=$AT$14,"",IF($P$3=$AT$15,"",""))))))))),"")</f>
        <v/>
      </c>
      <c r="R141" s="824" t="str">
        <f>IFERROR(IF(B141="","",IF(AND(P141="",Q141="",$P$3=""),"",IF($P$3=$AT$14,'Statement of Marks'!EC140,SUM(P141,Q141)))),"")</f>
        <v/>
      </c>
      <c r="S141" s="823" t="str">
        <f>IFERROR(IF(B141="","",IF($P$3=$AT$14,'Statement of Marks'!ED140,IF(AND(O141="NA",P141="NA",Q141="NA"),"NA",IF(AND(O141="",P141="",Q141=""),"",SUM(O141,P141,Q141))))),"")</f>
        <v/>
      </c>
      <c r="T141" s="812" t="str">
        <f>IFERROR(IF(B141="","",IF($P$3=$AT$8,'Statement of Marks'!P140,IF($P$3=$AT$9,'Statement of Marks'!AD140,IF($P$3=$AT$10,'Statement of Marks'!AU140,IF($P$3=$AT$11,'Statement of Marks'!BR140,IF($P$3=$AT$12,'Statement of Marks'!CO140,IF($P$3=$AT$13,'Statement of Marks'!DM140,IF($P$3=$AT$14,"",IF($P$3=$AT$15,'Statement of Marks'!FD140,""))))))))),"")</f>
        <v/>
      </c>
      <c r="U141" s="812" t="str">
        <f>IFERROR(IF(B141="","",IF($P$3=$AT$8,"",IF($P$3=$AT$9,"",IF($P$3=$AT$10,'Statement of Marks'!AV140,IF($P$3=$AT$11,'Statement of Marks'!BS140,IF($P$3=$AT$12,'Statement of Marks'!CP140,IF($P$3=$AT$13,'Statement of Marks'!DN140,IF($P$3=$AT$14,"",IF($P$3=$AT$15,"",""))))))))),"")</f>
        <v/>
      </c>
      <c r="V141" s="824" t="str">
        <f>IFERROR(IF(B141="","",IF(AND(T141="",U141="",$P$3=""),"",IF($P$3=$AT$14,'Statement of Marks'!EE140,SUM(T141,U141)))),"")</f>
        <v/>
      </c>
      <c r="W141" s="814" t="str">
        <f t="shared" si="33"/>
        <v/>
      </c>
      <c r="X141" s="815">
        <f t="shared" si="34"/>
        <v>0</v>
      </c>
      <c r="Y141" s="815">
        <f t="shared" si="35"/>
        <v>0</v>
      </c>
      <c r="Z141" s="815">
        <f t="shared" si="36"/>
        <v>0</v>
      </c>
      <c r="AA141" s="815" t="str">
        <f t="shared" si="37"/>
        <v/>
      </c>
      <c r="AB141" s="815" t="str">
        <f t="shared" si="38"/>
        <v/>
      </c>
      <c r="AC141" s="815" t="str">
        <f t="shared" si="39"/>
        <v/>
      </c>
      <c r="AD141" s="815" t="str">
        <f t="shared" si="40"/>
        <v/>
      </c>
      <c r="AE141" s="816" t="str">
        <f t="shared" si="41"/>
        <v/>
      </c>
      <c r="AF141" s="817" t="str">
        <f t="shared" si="42"/>
        <v/>
      </c>
      <c r="AG141" s="818" t="str">
        <f t="shared" si="43"/>
        <v/>
      </c>
      <c r="AW141" s="17" t="str">
        <f t="shared" si="44"/>
        <v/>
      </c>
      <c r="AX141" s="17" t="str">
        <f t="shared" si="45"/>
        <v/>
      </c>
      <c r="BM141" s="17" t="str">
        <f>IFERROR(VLOOKUP(B141,'Statement of Marks'!$B$8:'Statement of Marks'!$HI$207,37,0),"")</f>
        <v>A</v>
      </c>
      <c r="BN141" s="17" t="str">
        <f>IFERROR(VLOOKUP(B141,'Statement of Marks'!$B$8:'Statement of Marks'!$HI$207,60,0),"")</f>
        <v>A</v>
      </c>
      <c r="BO141" s="17" t="str">
        <f>IFERROR(VLOOKUP(B141,'Statement of Marks'!$B$8:'Statement of Marks'!$HI$207,83,0),"")</f>
        <v>A</v>
      </c>
      <c r="BP141" s="17" t="str">
        <f>IFERROR(VLOOKUP(B141,'Statement of Marks'!$B$8:'Statement of Marks'!$HI$207,107,0),"")</f>
        <v/>
      </c>
    </row>
    <row r="142" spans="1:68">
      <c r="A142" s="806">
        <f>IF('Statement of Marks'!A141="","",'Statement of Marks'!A141)</f>
        <v>134</v>
      </c>
      <c r="B142" s="807" t="str">
        <f>IF(OR($E$3="",$P$3=""),"",IF('Statement of Marks'!B141="","",'Statement of Marks'!B141))</f>
        <v/>
      </c>
      <c r="C142" s="816" t="str">
        <f>IF(OR($E$3="",$P$3=""),"",IF('Marks Entry'!C141="","",'Marks Entry'!C141))</f>
        <v/>
      </c>
      <c r="D142" s="808" t="str">
        <f>IF(OR($E$3="",$P$3=""),"",IF('Statement of Marks'!C141="","",'Statement of Marks'!C141))</f>
        <v/>
      </c>
      <c r="E142" s="809" t="str">
        <f>IF(OR($E$3="",$P$3=""),"",IF('Statement of Marks'!D141="","",'Statement of Marks'!D141))</f>
        <v/>
      </c>
      <c r="F142" s="810" t="str">
        <f>IF(OR($E$3="",$P$3=""),"",IF('Statement of Marks'!E141="","",'Statement of Marks'!E141))</f>
        <v/>
      </c>
      <c r="G142" s="810" t="str">
        <f>IF(OR($E$3="",$P$3=""),"",IF('Statement of Marks'!F141="","",'Statement of Marks'!F141))</f>
        <v/>
      </c>
      <c r="H142" s="810" t="str">
        <f>IF(OR($E$3="",$P$3=""),"",IF('Statement of Marks'!G141="","",'Statement of Marks'!G141))</f>
        <v/>
      </c>
      <c r="I142" s="811" t="str">
        <f>IF(OR($E$3="",$P$3=""),"",IF('Statement of Marks'!H141="","",'Statement of Marks'!H141))</f>
        <v/>
      </c>
      <c r="J142" s="811" t="str">
        <f>IF(OR($E$3="",$P$3=""),"",IF('Statement of Marks'!I141="","",'Statement of Marks'!I141))</f>
        <v/>
      </c>
      <c r="K142" s="811" t="str">
        <f>IFERROR(IF(B142="","",IF($P$3=$AT$10,IF(AND(BM142="A"),'Marks Entry'!$U$2,IF(AND(BM142="B"),'Marks Entry'!$Y$2,IF(AND(BM142="C"),'Marks Entry'!$AA$2,""))),IF($P$3=$AT$11,IF(AND(BN142="A"),'Marks Entry'!$AC$2,IF(AND(BN142="B"),'Marks Entry'!$AG$2,IF(AND(BN142="C"),'Marks Entry'!$AI$2,""))),IF($P$3=$AT$12,IF(AND(BO142="A"),'Marks Entry'!$AK$2,IF(AND(BO142="B"),'Marks Entry'!$AO$2,IF(AND(BO142="C"),'Marks Entry'!$AQ$2,""))),IF($P$3=$AT$13,IF(AND(BP142="A"),'Marks Entry'!$AS$2,IF(AND(BP142="B"),'Marks Entry'!$AW$2,IF(AND(BP142="C"),'Marks Entry'!$AY$2,""))),"-"))))),"")</f>
        <v/>
      </c>
      <c r="L142" s="812" t="str">
        <f>IFERROR(IF(B142="","",IF($P$3=$AT$8,'Statement of Marks'!J141,IF($P$3=$AT$9,'Statement of Marks'!X141,IF($P$3=$AT$10,'Statement of Marks'!AM141,IF($P$3=$AT$11,'Statement of Marks'!BJ141,IF($P$3=$AT$12,'Statement of Marks'!CG141,IF($P$3=$AT$13,'Statement of Marks'!DE141,IF($P$3=$AT$14,"",IF($P$3=$AT$15,'Statement of Marks'!EY141,""))))))))),"")</f>
        <v/>
      </c>
      <c r="M142" s="812" t="str">
        <f>IFERROR(IF(B142="","",IF($P$3=$AT$8,'Statement of Marks'!K141,IF($P$3=$AT$9,'Statement of Marks'!Y141,IF($P$3=$AT$10,'Statement of Marks'!AN141,IF($P$3=$AT$11,'Statement of Marks'!BK141,IF($P$3=$AT$12,'Statement of Marks'!CH141,IF($P$3=$AT$13,'Statement of Marks'!DF141,IF($P$3=$AT$14,"",IF($P$3=$AT$15,'Statement of Marks'!EZ141,""))))))))),"")</f>
        <v/>
      </c>
      <c r="N142" s="812" t="str">
        <f>IFERROR(IF(B142="","",IF($P$3=$AT$8,'Statement of Marks'!L141,IF($P$3=$AT$9,'Statement of Marks'!Z141,IF($P$3=$AT$10,'Statement of Marks'!AO141,IF($P$3=$AT$11,'Statement of Marks'!BL141,IF($P$3=$AT$12,'Statement of Marks'!CI141,IF($P$3=$AT$13,'Statement of Marks'!DG141,IF($P$3=$AT$14,"",IF($P$3=$AT$15,'Statement of Marks'!FA141,""))))))))),"")</f>
        <v/>
      </c>
      <c r="O142" s="813" t="str">
        <f t="shared" si="32"/>
        <v/>
      </c>
      <c r="P142" s="812" t="str">
        <f>IFERROR(IF(B142="","",IF($P$3=$AT$8,'Statement of Marks'!N141,IF($P$3=$AT$9,'Statement of Marks'!AB141,IF($P$3=$AT$10,'Statement of Marks'!AQ141,IF($P$3=$AT$11,'Statement of Marks'!BN141,IF($P$3=$AT$12,'Statement of Marks'!CK141,IF($P$3=$AT$13,'Statement of Marks'!DI141,IF($P$3=$AT$14,"",IF($P$3=$AT$15,'Statement of Marks'!FC141,""))))))))),"")</f>
        <v/>
      </c>
      <c r="Q142" s="812" t="str">
        <f>IFERROR(IF(B142="","",IF($P$3=$AT$8,"",IF($P$3=$AT$9,"",IF($P$3=$AT$10,'Statement of Marks'!AR141,IF($P$3=$AT$11,'Statement of Marks'!BO141,IF($P$3=$AT$12,'Statement of Marks'!CL141,IF($P$3=$AT$13,'Statement of Marks'!DJ141,IF($P$3=$AT$14,"",IF($P$3=$AT$15,"",""))))))))),"")</f>
        <v/>
      </c>
      <c r="R142" s="824" t="str">
        <f>IFERROR(IF(B142="","",IF(AND(P142="",Q142="",$P$3=""),"",IF($P$3=$AT$14,'Statement of Marks'!EC141,SUM(P142,Q142)))),"")</f>
        <v/>
      </c>
      <c r="S142" s="823" t="str">
        <f>IFERROR(IF(B142="","",IF($P$3=$AT$14,'Statement of Marks'!ED141,IF(AND(O142="NA",P142="NA",Q142="NA"),"NA",IF(AND(O142="",P142="",Q142=""),"",SUM(O142,P142,Q142))))),"")</f>
        <v/>
      </c>
      <c r="T142" s="812" t="str">
        <f>IFERROR(IF(B142="","",IF($P$3=$AT$8,'Statement of Marks'!P141,IF($P$3=$AT$9,'Statement of Marks'!AD141,IF($P$3=$AT$10,'Statement of Marks'!AU141,IF($P$3=$AT$11,'Statement of Marks'!BR141,IF($P$3=$AT$12,'Statement of Marks'!CO141,IF($P$3=$AT$13,'Statement of Marks'!DM141,IF($P$3=$AT$14,"",IF($P$3=$AT$15,'Statement of Marks'!FD141,""))))))))),"")</f>
        <v/>
      </c>
      <c r="U142" s="812" t="str">
        <f>IFERROR(IF(B142="","",IF($P$3=$AT$8,"",IF($P$3=$AT$9,"",IF($P$3=$AT$10,'Statement of Marks'!AV141,IF($P$3=$AT$11,'Statement of Marks'!BS141,IF($P$3=$AT$12,'Statement of Marks'!CP141,IF($P$3=$AT$13,'Statement of Marks'!DN141,IF($P$3=$AT$14,"",IF($P$3=$AT$15,"",""))))))))),"")</f>
        <v/>
      </c>
      <c r="V142" s="824" t="str">
        <f>IFERROR(IF(B142="","",IF(AND(T142="",U142="",$P$3=""),"",IF($P$3=$AT$14,'Statement of Marks'!EE141,SUM(T142,U142)))),"")</f>
        <v/>
      </c>
      <c r="W142" s="814" t="str">
        <f t="shared" si="33"/>
        <v/>
      </c>
      <c r="X142" s="815">
        <f t="shared" si="34"/>
        <v>0</v>
      </c>
      <c r="Y142" s="815">
        <f t="shared" si="35"/>
        <v>0</v>
      </c>
      <c r="Z142" s="815">
        <f t="shared" si="36"/>
        <v>0</v>
      </c>
      <c r="AA142" s="815" t="str">
        <f t="shared" si="37"/>
        <v/>
      </c>
      <c r="AB142" s="815" t="str">
        <f t="shared" si="38"/>
        <v/>
      </c>
      <c r="AC142" s="815" t="str">
        <f t="shared" si="39"/>
        <v/>
      </c>
      <c r="AD142" s="815" t="str">
        <f t="shared" si="40"/>
        <v/>
      </c>
      <c r="AE142" s="816" t="str">
        <f t="shared" si="41"/>
        <v/>
      </c>
      <c r="AF142" s="817" t="str">
        <f t="shared" si="42"/>
        <v/>
      </c>
      <c r="AG142" s="818" t="str">
        <f t="shared" si="43"/>
        <v/>
      </c>
      <c r="AW142" s="17" t="str">
        <f t="shared" si="44"/>
        <v/>
      </c>
      <c r="AX142" s="17" t="str">
        <f t="shared" si="45"/>
        <v/>
      </c>
      <c r="BM142" s="17" t="str">
        <f>IFERROR(VLOOKUP(B142,'Statement of Marks'!$B$8:'Statement of Marks'!$HI$207,37,0),"")</f>
        <v>A</v>
      </c>
      <c r="BN142" s="17" t="str">
        <f>IFERROR(VLOOKUP(B142,'Statement of Marks'!$B$8:'Statement of Marks'!$HI$207,60,0),"")</f>
        <v>A</v>
      </c>
      <c r="BO142" s="17" t="str">
        <f>IFERROR(VLOOKUP(B142,'Statement of Marks'!$B$8:'Statement of Marks'!$HI$207,83,0),"")</f>
        <v>A</v>
      </c>
      <c r="BP142" s="17" t="str">
        <f>IFERROR(VLOOKUP(B142,'Statement of Marks'!$B$8:'Statement of Marks'!$HI$207,107,0),"")</f>
        <v/>
      </c>
    </row>
    <row r="143" spans="1:68">
      <c r="A143" s="806">
        <f>IF('Statement of Marks'!A142="","",'Statement of Marks'!A142)</f>
        <v>135</v>
      </c>
      <c r="B143" s="807" t="str">
        <f>IF(OR($E$3="",$P$3=""),"",IF('Statement of Marks'!B142="","",'Statement of Marks'!B142))</f>
        <v/>
      </c>
      <c r="C143" s="816" t="str">
        <f>IF(OR($E$3="",$P$3=""),"",IF('Marks Entry'!C142="","",'Marks Entry'!C142))</f>
        <v/>
      </c>
      <c r="D143" s="808" t="str">
        <f>IF(OR($E$3="",$P$3=""),"",IF('Statement of Marks'!C142="","",'Statement of Marks'!C142))</f>
        <v/>
      </c>
      <c r="E143" s="809" t="str">
        <f>IF(OR($E$3="",$P$3=""),"",IF('Statement of Marks'!D142="","",'Statement of Marks'!D142))</f>
        <v/>
      </c>
      <c r="F143" s="810" t="str">
        <f>IF(OR($E$3="",$P$3=""),"",IF('Statement of Marks'!E142="","",'Statement of Marks'!E142))</f>
        <v/>
      </c>
      <c r="G143" s="810" t="str">
        <f>IF(OR($E$3="",$P$3=""),"",IF('Statement of Marks'!F142="","",'Statement of Marks'!F142))</f>
        <v/>
      </c>
      <c r="H143" s="810" t="str">
        <f>IF(OR($E$3="",$P$3=""),"",IF('Statement of Marks'!G142="","",'Statement of Marks'!G142))</f>
        <v/>
      </c>
      <c r="I143" s="811" t="str">
        <f>IF(OR($E$3="",$P$3=""),"",IF('Statement of Marks'!H142="","",'Statement of Marks'!H142))</f>
        <v/>
      </c>
      <c r="J143" s="811" t="str">
        <f>IF(OR($E$3="",$P$3=""),"",IF('Statement of Marks'!I142="","",'Statement of Marks'!I142))</f>
        <v/>
      </c>
      <c r="K143" s="811" t="str">
        <f>IFERROR(IF(B143="","",IF($P$3=$AT$10,IF(AND(BM143="A"),'Marks Entry'!$U$2,IF(AND(BM143="B"),'Marks Entry'!$Y$2,IF(AND(BM143="C"),'Marks Entry'!$AA$2,""))),IF($P$3=$AT$11,IF(AND(BN143="A"),'Marks Entry'!$AC$2,IF(AND(BN143="B"),'Marks Entry'!$AG$2,IF(AND(BN143="C"),'Marks Entry'!$AI$2,""))),IF($P$3=$AT$12,IF(AND(BO143="A"),'Marks Entry'!$AK$2,IF(AND(BO143="B"),'Marks Entry'!$AO$2,IF(AND(BO143="C"),'Marks Entry'!$AQ$2,""))),IF($P$3=$AT$13,IF(AND(BP143="A"),'Marks Entry'!$AS$2,IF(AND(BP143="B"),'Marks Entry'!$AW$2,IF(AND(BP143="C"),'Marks Entry'!$AY$2,""))),"-"))))),"")</f>
        <v/>
      </c>
      <c r="L143" s="812" t="str">
        <f>IFERROR(IF(B143="","",IF($P$3=$AT$8,'Statement of Marks'!J142,IF($P$3=$AT$9,'Statement of Marks'!X142,IF($P$3=$AT$10,'Statement of Marks'!AM142,IF($P$3=$AT$11,'Statement of Marks'!BJ142,IF($P$3=$AT$12,'Statement of Marks'!CG142,IF($P$3=$AT$13,'Statement of Marks'!DE142,IF($P$3=$AT$14,"",IF($P$3=$AT$15,'Statement of Marks'!EY142,""))))))))),"")</f>
        <v/>
      </c>
      <c r="M143" s="812" t="str">
        <f>IFERROR(IF(B143="","",IF($P$3=$AT$8,'Statement of Marks'!K142,IF($P$3=$AT$9,'Statement of Marks'!Y142,IF($P$3=$AT$10,'Statement of Marks'!AN142,IF($P$3=$AT$11,'Statement of Marks'!BK142,IF($P$3=$AT$12,'Statement of Marks'!CH142,IF($P$3=$AT$13,'Statement of Marks'!DF142,IF($P$3=$AT$14,"",IF($P$3=$AT$15,'Statement of Marks'!EZ142,""))))))))),"")</f>
        <v/>
      </c>
      <c r="N143" s="812" t="str">
        <f>IFERROR(IF(B143="","",IF($P$3=$AT$8,'Statement of Marks'!L142,IF($P$3=$AT$9,'Statement of Marks'!Z142,IF($P$3=$AT$10,'Statement of Marks'!AO142,IF($P$3=$AT$11,'Statement of Marks'!BL142,IF($P$3=$AT$12,'Statement of Marks'!CI142,IF($P$3=$AT$13,'Statement of Marks'!DG142,IF($P$3=$AT$14,"",IF($P$3=$AT$15,'Statement of Marks'!FA142,""))))))))),"")</f>
        <v/>
      </c>
      <c r="O143" s="813" t="str">
        <f t="shared" si="32"/>
        <v/>
      </c>
      <c r="P143" s="812" t="str">
        <f>IFERROR(IF(B143="","",IF($P$3=$AT$8,'Statement of Marks'!N142,IF($P$3=$AT$9,'Statement of Marks'!AB142,IF($P$3=$AT$10,'Statement of Marks'!AQ142,IF($P$3=$AT$11,'Statement of Marks'!BN142,IF($P$3=$AT$12,'Statement of Marks'!CK142,IF($P$3=$AT$13,'Statement of Marks'!DI142,IF($P$3=$AT$14,"",IF($P$3=$AT$15,'Statement of Marks'!FC142,""))))))))),"")</f>
        <v/>
      </c>
      <c r="Q143" s="812" t="str">
        <f>IFERROR(IF(B143="","",IF($P$3=$AT$8,"",IF($P$3=$AT$9,"",IF($P$3=$AT$10,'Statement of Marks'!AR142,IF($P$3=$AT$11,'Statement of Marks'!BO142,IF($P$3=$AT$12,'Statement of Marks'!CL142,IF($P$3=$AT$13,'Statement of Marks'!DJ142,IF($P$3=$AT$14,"",IF($P$3=$AT$15,"",""))))))))),"")</f>
        <v/>
      </c>
      <c r="R143" s="824" t="str">
        <f>IFERROR(IF(B143="","",IF(AND(P143="",Q143="",$P$3=""),"",IF($P$3=$AT$14,'Statement of Marks'!EC142,SUM(P143,Q143)))),"")</f>
        <v/>
      </c>
      <c r="S143" s="823" t="str">
        <f>IFERROR(IF(B143="","",IF($P$3=$AT$14,'Statement of Marks'!ED142,IF(AND(O143="NA",P143="NA",Q143="NA"),"NA",IF(AND(O143="",P143="",Q143=""),"",SUM(O143,P143,Q143))))),"")</f>
        <v/>
      </c>
      <c r="T143" s="812" t="str">
        <f>IFERROR(IF(B143="","",IF($P$3=$AT$8,'Statement of Marks'!P142,IF($P$3=$AT$9,'Statement of Marks'!AD142,IF($P$3=$AT$10,'Statement of Marks'!AU142,IF($P$3=$AT$11,'Statement of Marks'!BR142,IF($P$3=$AT$12,'Statement of Marks'!CO142,IF($P$3=$AT$13,'Statement of Marks'!DM142,IF($P$3=$AT$14,"",IF($P$3=$AT$15,'Statement of Marks'!FD142,""))))))))),"")</f>
        <v/>
      </c>
      <c r="U143" s="812" t="str">
        <f>IFERROR(IF(B143="","",IF($P$3=$AT$8,"",IF($P$3=$AT$9,"",IF($P$3=$AT$10,'Statement of Marks'!AV142,IF($P$3=$AT$11,'Statement of Marks'!BS142,IF($P$3=$AT$12,'Statement of Marks'!CP142,IF($P$3=$AT$13,'Statement of Marks'!DN142,IF($P$3=$AT$14,"",IF($P$3=$AT$15,"",""))))))))),"")</f>
        <v/>
      </c>
      <c r="V143" s="824" t="str">
        <f>IFERROR(IF(B143="","",IF(AND(T143="",U143="",$P$3=""),"",IF($P$3=$AT$14,'Statement of Marks'!EE142,SUM(T143,U143)))),"")</f>
        <v/>
      </c>
      <c r="W143" s="814" t="str">
        <f t="shared" si="33"/>
        <v/>
      </c>
      <c r="X143" s="815">
        <f t="shared" si="34"/>
        <v>0</v>
      </c>
      <c r="Y143" s="815">
        <f t="shared" si="35"/>
        <v>0</v>
      </c>
      <c r="Z143" s="815">
        <f t="shared" si="36"/>
        <v>0</v>
      </c>
      <c r="AA143" s="815" t="str">
        <f t="shared" si="37"/>
        <v/>
      </c>
      <c r="AB143" s="815" t="str">
        <f t="shared" si="38"/>
        <v/>
      </c>
      <c r="AC143" s="815" t="str">
        <f t="shared" si="39"/>
        <v/>
      </c>
      <c r="AD143" s="815" t="str">
        <f t="shared" si="40"/>
        <v/>
      </c>
      <c r="AE143" s="816" t="str">
        <f t="shared" si="41"/>
        <v/>
      </c>
      <c r="AF143" s="817" t="str">
        <f t="shared" si="42"/>
        <v/>
      </c>
      <c r="AG143" s="818" t="str">
        <f t="shared" si="43"/>
        <v/>
      </c>
      <c r="AW143" s="17" t="str">
        <f t="shared" si="44"/>
        <v/>
      </c>
      <c r="AX143" s="17" t="str">
        <f t="shared" si="45"/>
        <v/>
      </c>
      <c r="BM143" s="17" t="str">
        <f>IFERROR(VLOOKUP(B143,'Statement of Marks'!$B$8:'Statement of Marks'!$HI$207,37,0),"")</f>
        <v>A</v>
      </c>
      <c r="BN143" s="17" t="str">
        <f>IFERROR(VLOOKUP(B143,'Statement of Marks'!$B$8:'Statement of Marks'!$HI$207,60,0),"")</f>
        <v>A</v>
      </c>
      <c r="BO143" s="17" t="str">
        <f>IFERROR(VLOOKUP(B143,'Statement of Marks'!$B$8:'Statement of Marks'!$HI$207,83,0),"")</f>
        <v>A</v>
      </c>
      <c r="BP143" s="17" t="str">
        <f>IFERROR(VLOOKUP(B143,'Statement of Marks'!$B$8:'Statement of Marks'!$HI$207,107,0),"")</f>
        <v/>
      </c>
    </row>
    <row r="144" spans="1:68">
      <c r="A144" s="806">
        <f>IF('Statement of Marks'!A143="","",'Statement of Marks'!A143)</f>
        <v>136</v>
      </c>
      <c r="B144" s="807" t="str">
        <f>IF(OR($E$3="",$P$3=""),"",IF('Statement of Marks'!B143="","",'Statement of Marks'!B143))</f>
        <v/>
      </c>
      <c r="C144" s="816" t="str">
        <f>IF(OR($E$3="",$P$3=""),"",IF('Marks Entry'!C143="","",'Marks Entry'!C143))</f>
        <v/>
      </c>
      <c r="D144" s="808" t="str">
        <f>IF(OR($E$3="",$P$3=""),"",IF('Statement of Marks'!C143="","",'Statement of Marks'!C143))</f>
        <v/>
      </c>
      <c r="E144" s="809" t="str">
        <f>IF(OR($E$3="",$P$3=""),"",IF('Statement of Marks'!D143="","",'Statement of Marks'!D143))</f>
        <v/>
      </c>
      <c r="F144" s="810" t="str">
        <f>IF(OR($E$3="",$P$3=""),"",IF('Statement of Marks'!E143="","",'Statement of Marks'!E143))</f>
        <v/>
      </c>
      <c r="G144" s="810" t="str">
        <f>IF(OR($E$3="",$P$3=""),"",IF('Statement of Marks'!F143="","",'Statement of Marks'!F143))</f>
        <v/>
      </c>
      <c r="H144" s="810" t="str">
        <f>IF(OR($E$3="",$P$3=""),"",IF('Statement of Marks'!G143="","",'Statement of Marks'!G143))</f>
        <v/>
      </c>
      <c r="I144" s="811" t="str">
        <f>IF(OR($E$3="",$P$3=""),"",IF('Statement of Marks'!H143="","",'Statement of Marks'!H143))</f>
        <v/>
      </c>
      <c r="J144" s="811" t="str">
        <f>IF(OR($E$3="",$P$3=""),"",IF('Statement of Marks'!I143="","",'Statement of Marks'!I143))</f>
        <v/>
      </c>
      <c r="K144" s="811" t="str">
        <f>IFERROR(IF(B144="","",IF($P$3=$AT$10,IF(AND(BM144="A"),'Marks Entry'!$U$2,IF(AND(BM144="B"),'Marks Entry'!$Y$2,IF(AND(BM144="C"),'Marks Entry'!$AA$2,""))),IF($P$3=$AT$11,IF(AND(BN144="A"),'Marks Entry'!$AC$2,IF(AND(BN144="B"),'Marks Entry'!$AG$2,IF(AND(BN144="C"),'Marks Entry'!$AI$2,""))),IF($P$3=$AT$12,IF(AND(BO144="A"),'Marks Entry'!$AK$2,IF(AND(BO144="B"),'Marks Entry'!$AO$2,IF(AND(BO144="C"),'Marks Entry'!$AQ$2,""))),IF($P$3=$AT$13,IF(AND(BP144="A"),'Marks Entry'!$AS$2,IF(AND(BP144="B"),'Marks Entry'!$AW$2,IF(AND(BP144="C"),'Marks Entry'!$AY$2,""))),"-"))))),"")</f>
        <v/>
      </c>
      <c r="L144" s="812" t="str">
        <f>IFERROR(IF(B144="","",IF($P$3=$AT$8,'Statement of Marks'!J143,IF($P$3=$AT$9,'Statement of Marks'!X143,IF($P$3=$AT$10,'Statement of Marks'!AM143,IF($P$3=$AT$11,'Statement of Marks'!BJ143,IF($P$3=$AT$12,'Statement of Marks'!CG143,IF($P$3=$AT$13,'Statement of Marks'!DE143,IF($P$3=$AT$14,"",IF($P$3=$AT$15,'Statement of Marks'!EY143,""))))))))),"")</f>
        <v/>
      </c>
      <c r="M144" s="812" t="str">
        <f>IFERROR(IF(B144="","",IF($P$3=$AT$8,'Statement of Marks'!K143,IF($P$3=$AT$9,'Statement of Marks'!Y143,IF($P$3=$AT$10,'Statement of Marks'!AN143,IF($P$3=$AT$11,'Statement of Marks'!BK143,IF($P$3=$AT$12,'Statement of Marks'!CH143,IF($P$3=$AT$13,'Statement of Marks'!DF143,IF($P$3=$AT$14,"",IF($P$3=$AT$15,'Statement of Marks'!EZ143,""))))))))),"")</f>
        <v/>
      </c>
      <c r="N144" s="812" t="str">
        <f>IFERROR(IF(B144="","",IF($P$3=$AT$8,'Statement of Marks'!L143,IF($P$3=$AT$9,'Statement of Marks'!Z143,IF($P$3=$AT$10,'Statement of Marks'!AO143,IF($P$3=$AT$11,'Statement of Marks'!BL143,IF($P$3=$AT$12,'Statement of Marks'!CI143,IF($P$3=$AT$13,'Statement of Marks'!DG143,IF($P$3=$AT$14,"",IF($P$3=$AT$15,'Statement of Marks'!FA143,""))))))))),"")</f>
        <v/>
      </c>
      <c r="O144" s="813" t="str">
        <f t="shared" si="32"/>
        <v/>
      </c>
      <c r="P144" s="812" t="str">
        <f>IFERROR(IF(B144="","",IF($P$3=$AT$8,'Statement of Marks'!N143,IF($P$3=$AT$9,'Statement of Marks'!AB143,IF($P$3=$AT$10,'Statement of Marks'!AQ143,IF($P$3=$AT$11,'Statement of Marks'!BN143,IF($P$3=$AT$12,'Statement of Marks'!CK143,IF($P$3=$AT$13,'Statement of Marks'!DI143,IF($P$3=$AT$14,"",IF($P$3=$AT$15,'Statement of Marks'!FC143,""))))))))),"")</f>
        <v/>
      </c>
      <c r="Q144" s="812" t="str">
        <f>IFERROR(IF(B144="","",IF($P$3=$AT$8,"",IF($P$3=$AT$9,"",IF($P$3=$AT$10,'Statement of Marks'!AR143,IF($P$3=$AT$11,'Statement of Marks'!BO143,IF($P$3=$AT$12,'Statement of Marks'!CL143,IF($P$3=$AT$13,'Statement of Marks'!DJ143,IF($P$3=$AT$14,"",IF($P$3=$AT$15,"",""))))))))),"")</f>
        <v/>
      </c>
      <c r="R144" s="824" t="str">
        <f>IFERROR(IF(B144="","",IF(AND(P144="",Q144="",$P$3=""),"",IF($P$3=$AT$14,'Statement of Marks'!EC143,SUM(P144,Q144)))),"")</f>
        <v/>
      </c>
      <c r="S144" s="823" t="str">
        <f>IFERROR(IF(B144="","",IF($P$3=$AT$14,'Statement of Marks'!ED143,IF(AND(O144="NA",P144="NA",Q144="NA"),"NA",IF(AND(O144="",P144="",Q144=""),"",SUM(O144,P144,Q144))))),"")</f>
        <v/>
      </c>
      <c r="T144" s="812" t="str">
        <f>IFERROR(IF(B144="","",IF($P$3=$AT$8,'Statement of Marks'!P143,IF($P$3=$AT$9,'Statement of Marks'!AD143,IF($P$3=$AT$10,'Statement of Marks'!AU143,IF($P$3=$AT$11,'Statement of Marks'!BR143,IF($P$3=$AT$12,'Statement of Marks'!CO143,IF($P$3=$AT$13,'Statement of Marks'!DM143,IF($P$3=$AT$14,"",IF($P$3=$AT$15,'Statement of Marks'!FD143,""))))))))),"")</f>
        <v/>
      </c>
      <c r="U144" s="812" t="str">
        <f>IFERROR(IF(B144="","",IF($P$3=$AT$8,"",IF($P$3=$AT$9,"",IF($P$3=$AT$10,'Statement of Marks'!AV143,IF($P$3=$AT$11,'Statement of Marks'!BS143,IF($P$3=$AT$12,'Statement of Marks'!CP143,IF($P$3=$AT$13,'Statement of Marks'!DN143,IF($P$3=$AT$14,"",IF($P$3=$AT$15,"",""))))))))),"")</f>
        <v/>
      </c>
      <c r="V144" s="824" t="str">
        <f>IFERROR(IF(B144="","",IF(AND(T144="",U144="",$P$3=""),"",IF($P$3=$AT$14,'Statement of Marks'!EE143,SUM(T144,U144)))),"")</f>
        <v/>
      </c>
      <c r="W144" s="814" t="str">
        <f t="shared" si="33"/>
        <v/>
      </c>
      <c r="X144" s="815">
        <f t="shared" si="34"/>
        <v>0</v>
      </c>
      <c r="Y144" s="815">
        <f t="shared" si="35"/>
        <v>0</v>
      </c>
      <c r="Z144" s="815">
        <f t="shared" si="36"/>
        <v>0</v>
      </c>
      <c r="AA144" s="815" t="str">
        <f t="shared" si="37"/>
        <v/>
      </c>
      <c r="AB144" s="815" t="str">
        <f t="shared" si="38"/>
        <v/>
      </c>
      <c r="AC144" s="815" t="str">
        <f t="shared" si="39"/>
        <v/>
      </c>
      <c r="AD144" s="815" t="str">
        <f t="shared" si="40"/>
        <v/>
      </c>
      <c r="AE144" s="816" t="str">
        <f t="shared" si="41"/>
        <v/>
      </c>
      <c r="AF144" s="817" t="str">
        <f t="shared" si="42"/>
        <v/>
      </c>
      <c r="AG144" s="818" t="str">
        <f t="shared" si="43"/>
        <v/>
      </c>
      <c r="AW144" s="17" t="str">
        <f t="shared" si="44"/>
        <v/>
      </c>
      <c r="AX144" s="17" t="str">
        <f t="shared" si="45"/>
        <v/>
      </c>
      <c r="BM144" s="17" t="str">
        <f>IFERROR(VLOOKUP(B144,'Statement of Marks'!$B$8:'Statement of Marks'!$HI$207,37,0),"")</f>
        <v>A</v>
      </c>
      <c r="BN144" s="17" t="str">
        <f>IFERROR(VLOOKUP(B144,'Statement of Marks'!$B$8:'Statement of Marks'!$HI$207,60,0),"")</f>
        <v>A</v>
      </c>
      <c r="BO144" s="17" t="str">
        <f>IFERROR(VLOOKUP(B144,'Statement of Marks'!$B$8:'Statement of Marks'!$HI$207,83,0),"")</f>
        <v>A</v>
      </c>
      <c r="BP144" s="17" t="str">
        <f>IFERROR(VLOOKUP(B144,'Statement of Marks'!$B$8:'Statement of Marks'!$HI$207,107,0),"")</f>
        <v/>
      </c>
    </row>
    <row r="145" spans="1:68">
      <c r="A145" s="806">
        <f>IF('Statement of Marks'!A144="","",'Statement of Marks'!A144)</f>
        <v>137</v>
      </c>
      <c r="B145" s="807" t="str">
        <f>IF(OR($E$3="",$P$3=""),"",IF('Statement of Marks'!B144="","",'Statement of Marks'!B144))</f>
        <v/>
      </c>
      <c r="C145" s="816" t="str">
        <f>IF(OR($E$3="",$P$3=""),"",IF('Marks Entry'!C144="","",'Marks Entry'!C144))</f>
        <v/>
      </c>
      <c r="D145" s="808" t="str">
        <f>IF(OR($E$3="",$P$3=""),"",IF('Statement of Marks'!C144="","",'Statement of Marks'!C144))</f>
        <v/>
      </c>
      <c r="E145" s="809" t="str">
        <f>IF(OR($E$3="",$P$3=""),"",IF('Statement of Marks'!D144="","",'Statement of Marks'!D144))</f>
        <v/>
      </c>
      <c r="F145" s="810" t="str">
        <f>IF(OR($E$3="",$P$3=""),"",IF('Statement of Marks'!E144="","",'Statement of Marks'!E144))</f>
        <v/>
      </c>
      <c r="G145" s="810" t="str">
        <f>IF(OR($E$3="",$P$3=""),"",IF('Statement of Marks'!F144="","",'Statement of Marks'!F144))</f>
        <v/>
      </c>
      <c r="H145" s="810" t="str">
        <f>IF(OR($E$3="",$P$3=""),"",IF('Statement of Marks'!G144="","",'Statement of Marks'!G144))</f>
        <v/>
      </c>
      <c r="I145" s="811" t="str">
        <f>IF(OR($E$3="",$P$3=""),"",IF('Statement of Marks'!H144="","",'Statement of Marks'!H144))</f>
        <v/>
      </c>
      <c r="J145" s="811" t="str">
        <f>IF(OR($E$3="",$P$3=""),"",IF('Statement of Marks'!I144="","",'Statement of Marks'!I144))</f>
        <v/>
      </c>
      <c r="K145" s="811" t="str">
        <f>IFERROR(IF(B145="","",IF($P$3=$AT$10,IF(AND(BM145="A"),'Marks Entry'!$U$2,IF(AND(BM145="B"),'Marks Entry'!$Y$2,IF(AND(BM145="C"),'Marks Entry'!$AA$2,""))),IF($P$3=$AT$11,IF(AND(BN145="A"),'Marks Entry'!$AC$2,IF(AND(BN145="B"),'Marks Entry'!$AG$2,IF(AND(BN145="C"),'Marks Entry'!$AI$2,""))),IF($P$3=$AT$12,IF(AND(BO145="A"),'Marks Entry'!$AK$2,IF(AND(BO145="B"),'Marks Entry'!$AO$2,IF(AND(BO145="C"),'Marks Entry'!$AQ$2,""))),IF($P$3=$AT$13,IF(AND(BP145="A"),'Marks Entry'!$AS$2,IF(AND(BP145="B"),'Marks Entry'!$AW$2,IF(AND(BP145="C"),'Marks Entry'!$AY$2,""))),"-"))))),"")</f>
        <v/>
      </c>
      <c r="L145" s="812" t="str">
        <f>IFERROR(IF(B145="","",IF($P$3=$AT$8,'Statement of Marks'!J144,IF($P$3=$AT$9,'Statement of Marks'!X144,IF($P$3=$AT$10,'Statement of Marks'!AM144,IF($P$3=$AT$11,'Statement of Marks'!BJ144,IF($P$3=$AT$12,'Statement of Marks'!CG144,IF($P$3=$AT$13,'Statement of Marks'!DE144,IF($P$3=$AT$14,"",IF($P$3=$AT$15,'Statement of Marks'!EY144,""))))))))),"")</f>
        <v/>
      </c>
      <c r="M145" s="812" t="str">
        <f>IFERROR(IF(B145="","",IF($P$3=$AT$8,'Statement of Marks'!K144,IF($P$3=$AT$9,'Statement of Marks'!Y144,IF($P$3=$AT$10,'Statement of Marks'!AN144,IF($P$3=$AT$11,'Statement of Marks'!BK144,IF($P$3=$AT$12,'Statement of Marks'!CH144,IF($P$3=$AT$13,'Statement of Marks'!DF144,IF($P$3=$AT$14,"",IF($P$3=$AT$15,'Statement of Marks'!EZ144,""))))))))),"")</f>
        <v/>
      </c>
      <c r="N145" s="812" t="str">
        <f>IFERROR(IF(B145="","",IF($P$3=$AT$8,'Statement of Marks'!L144,IF($P$3=$AT$9,'Statement of Marks'!Z144,IF($P$3=$AT$10,'Statement of Marks'!AO144,IF($P$3=$AT$11,'Statement of Marks'!BL144,IF($P$3=$AT$12,'Statement of Marks'!CI144,IF($P$3=$AT$13,'Statement of Marks'!DG144,IF($P$3=$AT$14,"",IF($P$3=$AT$15,'Statement of Marks'!FA144,""))))))))),"")</f>
        <v/>
      </c>
      <c r="O145" s="813" t="str">
        <f t="shared" si="32"/>
        <v/>
      </c>
      <c r="P145" s="812" t="str">
        <f>IFERROR(IF(B145="","",IF($P$3=$AT$8,'Statement of Marks'!N144,IF($P$3=$AT$9,'Statement of Marks'!AB144,IF($P$3=$AT$10,'Statement of Marks'!AQ144,IF($P$3=$AT$11,'Statement of Marks'!BN144,IF($P$3=$AT$12,'Statement of Marks'!CK144,IF($P$3=$AT$13,'Statement of Marks'!DI144,IF($P$3=$AT$14,"",IF($P$3=$AT$15,'Statement of Marks'!FC144,""))))))))),"")</f>
        <v/>
      </c>
      <c r="Q145" s="812" t="str">
        <f>IFERROR(IF(B145="","",IF($P$3=$AT$8,"",IF($P$3=$AT$9,"",IF($P$3=$AT$10,'Statement of Marks'!AR144,IF($P$3=$AT$11,'Statement of Marks'!BO144,IF($P$3=$AT$12,'Statement of Marks'!CL144,IF($P$3=$AT$13,'Statement of Marks'!DJ144,IF($P$3=$AT$14,"",IF($P$3=$AT$15,"",""))))))))),"")</f>
        <v/>
      </c>
      <c r="R145" s="824" t="str">
        <f>IFERROR(IF(B145="","",IF(AND(P145="",Q145="",$P$3=""),"",IF($P$3=$AT$14,'Statement of Marks'!EC144,SUM(P145,Q145)))),"")</f>
        <v/>
      </c>
      <c r="S145" s="823" t="str">
        <f>IFERROR(IF(B145="","",IF($P$3=$AT$14,'Statement of Marks'!ED144,IF(AND(O145="NA",P145="NA",Q145="NA"),"NA",IF(AND(O145="",P145="",Q145=""),"",SUM(O145,P145,Q145))))),"")</f>
        <v/>
      </c>
      <c r="T145" s="812" t="str">
        <f>IFERROR(IF(B145="","",IF($P$3=$AT$8,'Statement of Marks'!P144,IF($P$3=$AT$9,'Statement of Marks'!AD144,IF($P$3=$AT$10,'Statement of Marks'!AU144,IF($P$3=$AT$11,'Statement of Marks'!BR144,IF($P$3=$AT$12,'Statement of Marks'!CO144,IF($P$3=$AT$13,'Statement of Marks'!DM144,IF($P$3=$AT$14,"",IF($P$3=$AT$15,'Statement of Marks'!FD144,""))))))))),"")</f>
        <v/>
      </c>
      <c r="U145" s="812" t="str">
        <f>IFERROR(IF(B145="","",IF($P$3=$AT$8,"",IF($P$3=$AT$9,"",IF($P$3=$AT$10,'Statement of Marks'!AV144,IF($P$3=$AT$11,'Statement of Marks'!BS144,IF($P$3=$AT$12,'Statement of Marks'!CP144,IF($P$3=$AT$13,'Statement of Marks'!DN144,IF($P$3=$AT$14,"",IF($P$3=$AT$15,"",""))))))))),"")</f>
        <v/>
      </c>
      <c r="V145" s="824" t="str">
        <f>IFERROR(IF(B145="","",IF(AND(T145="",U145="",$P$3=""),"",IF($P$3=$AT$14,'Statement of Marks'!EE144,SUM(T145,U145)))),"")</f>
        <v/>
      </c>
      <c r="W145" s="814" t="str">
        <f t="shared" si="33"/>
        <v/>
      </c>
      <c r="X145" s="815">
        <f t="shared" si="34"/>
        <v>0</v>
      </c>
      <c r="Y145" s="815">
        <f t="shared" si="35"/>
        <v>0</v>
      </c>
      <c r="Z145" s="815">
        <f t="shared" si="36"/>
        <v>0</v>
      </c>
      <c r="AA145" s="815" t="str">
        <f t="shared" si="37"/>
        <v/>
      </c>
      <c r="AB145" s="815" t="str">
        <f t="shared" si="38"/>
        <v/>
      </c>
      <c r="AC145" s="815" t="str">
        <f t="shared" si="39"/>
        <v/>
      </c>
      <c r="AD145" s="815" t="str">
        <f t="shared" si="40"/>
        <v/>
      </c>
      <c r="AE145" s="816" t="str">
        <f t="shared" si="41"/>
        <v/>
      </c>
      <c r="AF145" s="817" t="str">
        <f t="shared" si="42"/>
        <v/>
      </c>
      <c r="AG145" s="818" t="str">
        <f t="shared" si="43"/>
        <v/>
      </c>
      <c r="AW145" s="17" t="str">
        <f t="shared" si="44"/>
        <v/>
      </c>
      <c r="AX145" s="17" t="str">
        <f t="shared" si="45"/>
        <v/>
      </c>
      <c r="BM145" s="17" t="str">
        <f>IFERROR(VLOOKUP(B145,'Statement of Marks'!$B$8:'Statement of Marks'!$HI$207,37,0),"")</f>
        <v>A</v>
      </c>
      <c r="BN145" s="17" t="str">
        <f>IFERROR(VLOOKUP(B145,'Statement of Marks'!$B$8:'Statement of Marks'!$HI$207,60,0),"")</f>
        <v>A</v>
      </c>
      <c r="BO145" s="17" t="str">
        <f>IFERROR(VLOOKUP(B145,'Statement of Marks'!$B$8:'Statement of Marks'!$HI$207,83,0),"")</f>
        <v>A</v>
      </c>
      <c r="BP145" s="17" t="str">
        <f>IFERROR(VLOOKUP(B145,'Statement of Marks'!$B$8:'Statement of Marks'!$HI$207,107,0),"")</f>
        <v/>
      </c>
    </row>
    <row r="146" spans="1:68">
      <c r="A146" s="806">
        <f>IF('Statement of Marks'!A145="","",'Statement of Marks'!A145)</f>
        <v>138</v>
      </c>
      <c r="B146" s="807" t="str">
        <f>IF(OR($E$3="",$P$3=""),"",IF('Statement of Marks'!B145="","",'Statement of Marks'!B145))</f>
        <v/>
      </c>
      <c r="C146" s="816" t="str">
        <f>IF(OR($E$3="",$P$3=""),"",IF('Marks Entry'!C145="","",'Marks Entry'!C145))</f>
        <v/>
      </c>
      <c r="D146" s="808" t="str">
        <f>IF(OR($E$3="",$P$3=""),"",IF('Statement of Marks'!C145="","",'Statement of Marks'!C145))</f>
        <v/>
      </c>
      <c r="E146" s="809" t="str">
        <f>IF(OR($E$3="",$P$3=""),"",IF('Statement of Marks'!D145="","",'Statement of Marks'!D145))</f>
        <v/>
      </c>
      <c r="F146" s="810" t="str">
        <f>IF(OR($E$3="",$P$3=""),"",IF('Statement of Marks'!E145="","",'Statement of Marks'!E145))</f>
        <v/>
      </c>
      <c r="G146" s="810" t="str">
        <f>IF(OR($E$3="",$P$3=""),"",IF('Statement of Marks'!F145="","",'Statement of Marks'!F145))</f>
        <v/>
      </c>
      <c r="H146" s="810" t="str">
        <f>IF(OR($E$3="",$P$3=""),"",IF('Statement of Marks'!G145="","",'Statement of Marks'!G145))</f>
        <v/>
      </c>
      <c r="I146" s="811" t="str">
        <f>IF(OR($E$3="",$P$3=""),"",IF('Statement of Marks'!H145="","",'Statement of Marks'!H145))</f>
        <v/>
      </c>
      <c r="J146" s="811" t="str">
        <f>IF(OR($E$3="",$P$3=""),"",IF('Statement of Marks'!I145="","",'Statement of Marks'!I145))</f>
        <v/>
      </c>
      <c r="K146" s="811" t="str">
        <f>IFERROR(IF(B146="","",IF($P$3=$AT$10,IF(AND(BM146="A"),'Marks Entry'!$U$2,IF(AND(BM146="B"),'Marks Entry'!$Y$2,IF(AND(BM146="C"),'Marks Entry'!$AA$2,""))),IF($P$3=$AT$11,IF(AND(BN146="A"),'Marks Entry'!$AC$2,IF(AND(BN146="B"),'Marks Entry'!$AG$2,IF(AND(BN146="C"),'Marks Entry'!$AI$2,""))),IF($P$3=$AT$12,IF(AND(BO146="A"),'Marks Entry'!$AK$2,IF(AND(BO146="B"),'Marks Entry'!$AO$2,IF(AND(BO146="C"),'Marks Entry'!$AQ$2,""))),IF($P$3=$AT$13,IF(AND(BP146="A"),'Marks Entry'!$AS$2,IF(AND(BP146="B"),'Marks Entry'!$AW$2,IF(AND(BP146="C"),'Marks Entry'!$AY$2,""))),"-"))))),"")</f>
        <v/>
      </c>
      <c r="L146" s="812" t="str">
        <f>IFERROR(IF(B146="","",IF($P$3=$AT$8,'Statement of Marks'!J145,IF($P$3=$AT$9,'Statement of Marks'!X145,IF($P$3=$AT$10,'Statement of Marks'!AM145,IF($P$3=$AT$11,'Statement of Marks'!BJ145,IF($P$3=$AT$12,'Statement of Marks'!CG145,IF($P$3=$AT$13,'Statement of Marks'!DE145,IF($P$3=$AT$14,"",IF($P$3=$AT$15,'Statement of Marks'!EY145,""))))))))),"")</f>
        <v/>
      </c>
      <c r="M146" s="812" t="str">
        <f>IFERROR(IF(B146="","",IF($P$3=$AT$8,'Statement of Marks'!K145,IF($P$3=$AT$9,'Statement of Marks'!Y145,IF($P$3=$AT$10,'Statement of Marks'!AN145,IF($P$3=$AT$11,'Statement of Marks'!BK145,IF($P$3=$AT$12,'Statement of Marks'!CH145,IF($P$3=$AT$13,'Statement of Marks'!DF145,IF($P$3=$AT$14,"",IF($P$3=$AT$15,'Statement of Marks'!EZ145,""))))))))),"")</f>
        <v/>
      </c>
      <c r="N146" s="812" t="str">
        <f>IFERROR(IF(B146="","",IF($P$3=$AT$8,'Statement of Marks'!L145,IF($P$3=$AT$9,'Statement of Marks'!Z145,IF($P$3=$AT$10,'Statement of Marks'!AO145,IF($P$3=$AT$11,'Statement of Marks'!BL145,IF($P$3=$AT$12,'Statement of Marks'!CI145,IF($P$3=$AT$13,'Statement of Marks'!DG145,IF($P$3=$AT$14,"",IF($P$3=$AT$15,'Statement of Marks'!FA145,""))))))))),"")</f>
        <v/>
      </c>
      <c r="O146" s="813" t="str">
        <f t="shared" si="32"/>
        <v/>
      </c>
      <c r="P146" s="812" t="str">
        <f>IFERROR(IF(B146="","",IF($P$3=$AT$8,'Statement of Marks'!N145,IF($P$3=$AT$9,'Statement of Marks'!AB145,IF($P$3=$AT$10,'Statement of Marks'!AQ145,IF($P$3=$AT$11,'Statement of Marks'!BN145,IF($P$3=$AT$12,'Statement of Marks'!CK145,IF($P$3=$AT$13,'Statement of Marks'!DI145,IF($P$3=$AT$14,"",IF($P$3=$AT$15,'Statement of Marks'!FC145,""))))))))),"")</f>
        <v/>
      </c>
      <c r="Q146" s="812" t="str">
        <f>IFERROR(IF(B146="","",IF($P$3=$AT$8,"",IF($P$3=$AT$9,"",IF($P$3=$AT$10,'Statement of Marks'!AR145,IF($P$3=$AT$11,'Statement of Marks'!BO145,IF($P$3=$AT$12,'Statement of Marks'!CL145,IF($P$3=$AT$13,'Statement of Marks'!DJ145,IF($P$3=$AT$14,"",IF($P$3=$AT$15,"",""))))))))),"")</f>
        <v/>
      </c>
      <c r="R146" s="824" t="str">
        <f>IFERROR(IF(B146="","",IF(AND(P146="",Q146="",$P$3=""),"",IF($P$3=$AT$14,'Statement of Marks'!EC145,SUM(P146,Q146)))),"")</f>
        <v/>
      </c>
      <c r="S146" s="823" t="str">
        <f>IFERROR(IF(B146="","",IF($P$3=$AT$14,'Statement of Marks'!ED145,IF(AND(O146="NA",P146="NA",Q146="NA"),"NA",IF(AND(O146="",P146="",Q146=""),"",SUM(O146,P146,Q146))))),"")</f>
        <v/>
      </c>
      <c r="T146" s="812" t="str">
        <f>IFERROR(IF(B146="","",IF($P$3=$AT$8,'Statement of Marks'!P145,IF($P$3=$AT$9,'Statement of Marks'!AD145,IF($P$3=$AT$10,'Statement of Marks'!AU145,IF($P$3=$AT$11,'Statement of Marks'!BR145,IF($P$3=$AT$12,'Statement of Marks'!CO145,IF($P$3=$AT$13,'Statement of Marks'!DM145,IF($P$3=$AT$14,"",IF($P$3=$AT$15,'Statement of Marks'!FD145,""))))))))),"")</f>
        <v/>
      </c>
      <c r="U146" s="812" t="str">
        <f>IFERROR(IF(B146="","",IF($P$3=$AT$8,"",IF($P$3=$AT$9,"",IF($P$3=$AT$10,'Statement of Marks'!AV145,IF($P$3=$AT$11,'Statement of Marks'!BS145,IF($P$3=$AT$12,'Statement of Marks'!CP145,IF($P$3=$AT$13,'Statement of Marks'!DN145,IF($P$3=$AT$14,"",IF($P$3=$AT$15,"",""))))))))),"")</f>
        <v/>
      </c>
      <c r="V146" s="824" t="str">
        <f>IFERROR(IF(B146="","",IF(AND(T146="",U146="",$P$3=""),"",IF($P$3=$AT$14,'Statement of Marks'!EE145,SUM(T146,U146)))),"")</f>
        <v/>
      </c>
      <c r="W146" s="814" t="str">
        <f t="shared" si="33"/>
        <v/>
      </c>
      <c r="X146" s="815">
        <f t="shared" si="34"/>
        <v>0</v>
      </c>
      <c r="Y146" s="815">
        <f t="shared" si="35"/>
        <v>0</v>
      </c>
      <c r="Z146" s="815">
        <f t="shared" si="36"/>
        <v>0</v>
      </c>
      <c r="AA146" s="815" t="str">
        <f t="shared" si="37"/>
        <v/>
      </c>
      <c r="AB146" s="815" t="str">
        <f t="shared" si="38"/>
        <v/>
      </c>
      <c r="AC146" s="815" t="str">
        <f t="shared" si="39"/>
        <v/>
      </c>
      <c r="AD146" s="815" t="str">
        <f t="shared" si="40"/>
        <v/>
      </c>
      <c r="AE146" s="816" t="str">
        <f t="shared" si="41"/>
        <v/>
      </c>
      <c r="AF146" s="817" t="str">
        <f t="shared" si="42"/>
        <v/>
      </c>
      <c r="AG146" s="818" t="str">
        <f t="shared" si="43"/>
        <v/>
      </c>
      <c r="AW146" s="17" t="str">
        <f t="shared" si="44"/>
        <v/>
      </c>
      <c r="AX146" s="17" t="str">
        <f t="shared" si="45"/>
        <v/>
      </c>
      <c r="BM146" s="17" t="str">
        <f>IFERROR(VLOOKUP(B146,'Statement of Marks'!$B$8:'Statement of Marks'!$HI$207,37,0),"")</f>
        <v>A</v>
      </c>
      <c r="BN146" s="17" t="str">
        <f>IFERROR(VLOOKUP(B146,'Statement of Marks'!$B$8:'Statement of Marks'!$HI$207,60,0),"")</f>
        <v>A</v>
      </c>
      <c r="BO146" s="17" t="str">
        <f>IFERROR(VLOOKUP(B146,'Statement of Marks'!$B$8:'Statement of Marks'!$HI$207,83,0),"")</f>
        <v>A</v>
      </c>
      <c r="BP146" s="17" t="str">
        <f>IFERROR(VLOOKUP(B146,'Statement of Marks'!$B$8:'Statement of Marks'!$HI$207,107,0),"")</f>
        <v/>
      </c>
    </row>
    <row r="147" spans="1:68">
      <c r="A147" s="806">
        <f>IF('Statement of Marks'!A146="","",'Statement of Marks'!A146)</f>
        <v>139</v>
      </c>
      <c r="B147" s="807" t="str">
        <f>IF(OR($E$3="",$P$3=""),"",IF('Statement of Marks'!B146="","",'Statement of Marks'!B146))</f>
        <v/>
      </c>
      <c r="C147" s="816" t="str">
        <f>IF(OR($E$3="",$P$3=""),"",IF('Marks Entry'!C146="","",'Marks Entry'!C146))</f>
        <v/>
      </c>
      <c r="D147" s="808" t="str">
        <f>IF(OR($E$3="",$P$3=""),"",IF('Statement of Marks'!C146="","",'Statement of Marks'!C146))</f>
        <v/>
      </c>
      <c r="E147" s="809" t="str">
        <f>IF(OR($E$3="",$P$3=""),"",IF('Statement of Marks'!D146="","",'Statement of Marks'!D146))</f>
        <v/>
      </c>
      <c r="F147" s="810" t="str">
        <f>IF(OR($E$3="",$P$3=""),"",IF('Statement of Marks'!E146="","",'Statement of Marks'!E146))</f>
        <v/>
      </c>
      <c r="G147" s="810" t="str">
        <f>IF(OR($E$3="",$P$3=""),"",IF('Statement of Marks'!F146="","",'Statement of Marks'!F146))</f>
        <v/>
      </c>
      <c r="H147" s="810" t="str">
        <f>IF(OR($E$3="",$P$3=""),"",IF('Statement of Marks'!G146="","",'Statement of Marks'!G146))</f>
        <v/>
      </c>
      <c r="I147" s="811" t="str">
        <f>IF(OR($E$3="",$P$3=""),"",IF('Statement of Marks'!H146="","",'Statement of Marks'!H146))</f>
        <v/>
      </c>
      <c r="J147" s="811" t="str">
        <f>IF(OR($E$3="",$P$3=""),"",IF('Statement of Marks'!I146="","",'Statement of Marks'!I146))</f>
        <v/>
      </c>
      <c r="K147" s="811" t="str">
        <f>IFERROR(IF(B147="","",IF($P$3=$AT$10,IF(AND(BM147="A"),'Marks Entry'!$U$2,IF(AND(BM147="B"),'Marks Entry'!$Y$2,IF(AND(BM147="C"),'Marks Entry'!$AA$2,""))),IF($P$3=$AT$11,IF(AND(BN147="A"),'Marks Entry'!$AC$2,IF(AND(BN147="B"),'Marks Entry'!$AG$2,IF(AND(BN147="C"),'Marks Entry'!$AI$2,""))),IF($P$3=$AT$12,IF(AND(BO147="A"),'Marks Entry'!$AK$2,IF(AND(BO147="B"),'Marks Entry'!$AO$2,IF(AND(BO147="C"),'Marks Entry'!$AQ$2,""))),IF($P$3=$AT$13,IF(AND(BP147="A"),'Marks Entry'!$AS$2,IF(AND(BP147="B"),'Marks Entry'!$AW$2,IF(AND(BP147="C"),'Marks Entry'!$AY$2,""))),"-"))))),"")</f>
        <v/>
      </c>
      <c r="L147" s="812" t="str">
        <f>IFERROR(IF(B147="","",IF($P$3=$AT$8,'Statement of Marks'!J146,IF($P$3=$AT$9,'Statement of Marks'!X146,IF($P$3=$AT$10,'Statement of Marks'!AM146,IF($P$3=$AT$11,'Statement of Marks'!BJ146,IF($P$3=$AT$12,'Statement of Marks'!CG146,IF($P$3=$AT$13,'Statement of Marks'!DE146,IF($P$3=$AT$14,"",IF($P$3=$AT$15,'Statement of Marks'!EY146,""))))))))),"")</f>
        <v/>
      </c>
      <c r="M147" s="812" t="str">
        <f>IFERROR(IF(B147="","",IF($P$3=$AT$8,'Statement of Marks'!K146,IF($P$3=$AT$9,'Statement of Marks'!Y146,IF($P$3=$AT$10,'Statement of Marks'!AN146,IF($P$3=$AT$11,'Statement of Marks'!BK146,IF($P$3=$AT$12,'Statement of Marks'!CH146,IF($P$3=$AT$13,'Statement of Marks'!DF146,IF($P$3=$AT$14,"",IF($P$3=$AT$15,'Statement of Marks'!EZ146,""))))))))),"")</f>
        <v/>
      </c>
      <c r="N147" s="812" t="str">
        <f>IFERROR(IF(B147="","",IF($P$3=$AT$8,'Statement of Marks'!L146,IF($P$3=$AT$9,'Statement of Marks'!Z146,IF($P$3=$AT$10,'Statement of Marks'!AO146,IF($P$3=$AT$11,'Statement of Marks'!BL146,IF($P$3=$AT$12,'Statement of Marks'!CI146,IF($P$3=$AT$13,'Statement of Marks'!DG146,IF($P$3=$AT$14,"",IF($P$3=$AT$15,'Statement of Marks'!FA146,""))))))))),"")</f>
        <v/>
      </c>
      <c r="O147" s="813" t="str">
        <f t="shared" si="32"/>
        <v/>
      </c>
      <c r="P147" s="812" t="str">
        <f>IFERROR(IF(B147="","",IF($P$3=$AT$8,'Statement of Marks'!N146,IF($P$3=$AT$9,'Statement of Marks'!AB146,IF($P$3=$AT$10,'Statement of Marks'!AQ146,IF($P$3=$AT$11,'Statement of Marks'!BN146,IF($P$3=$AT$12,'Statement of Marks'!CK146,IF($P$3=$AT$13,'Statement of Marks'!DI146,IF($P$3=$AT$14,"",IF($P$3=$AT$15,'Statement of Marks'!FC146,""))))))))),"")</f>
        <v/>
      </c>
      <c r="Q147" s="812" t="str">
        <f>IFERROR(IF(B147="","",IF($P$3=$AT$8,"",IF($P$3=$AT$9,"",IF($P$3=$AT$10,'Statement of Marks'!AR146,IF($P$3=$AT$11,'Statement of Marks'!BO146,IF($P$3=$AT$12,'Statement of Marks'!CL146,IF($P$3=$AT$13,'Statement of Marks'!DJ146,IF($P$3=$AT$14,"",IF($P$3=$AT$15,"",""))))))))),"")</f>
        <v/>
      </c>
      <c r="R147" s="824" t="str">
        <f>IFERROR(IF(B147="","",IF(AND(P147="",Q147="",$P$3=""),"",IF($P$3=$AT$14,'Statement of Marks'!EC146,SUM(P147,Q147)))),"")</f>
        <v/>
      </c>
      <c r="S147" s="823" t="str">
        <f>IFERROR(IF(B147="","",IF($P$3=$AT$14,'Statement of Marks'!ED146,IF(AND(O147="NA",P147="NA",Q147="NA"),"NA",IF(AND(O147="",P147="",Q147=""),"",SUM(O147,P147,Q147))))),"")</f>
        <v/>
      </c>
      <c r="T147" s="812" t="str">
        <f>IFERROR(IF(B147="","",IF($P$3=$AT$8,'Statement of Marks'!P146,IF($P$3=$AT$9,'Statement of Marks'!AD146,IF($P$3=$AT$10,'Statement of Marks'!AU146,IF($P$3=$AT$11,'Statement of Marks'!BR146,IF($P$3=$AT$12,'Statement of Marks'!CO146,IF($P$3=$AT$13,'Statement of Marks'!DM146,IF($P$3=$AT$14,"",IF($P$3=$AT$15,'Statement of Marks'!FD146,""))))))))),"")</f>
        <v/>
      </c>
      <c r="U147" s="812" t="str">
        <f>IFERROR(IF(B147="","",IF($P$3=$AT$8,"",IF($P$3=$AT$9,"",IF($P$3=$AT$10,'Statement of Marks'!AV146,IF($P$3=$AT$11,'Statement of Marks'!BS146,IF($P$3=$AT$12,'Statement of Marks'!CP146,IF($P$3=$AT$13,'Statement of Marks'!DN146,IF($P$3=$AT$14,"",IF($P$3=$AT$15,"",""))))))))),"")</f>
        <v/>
      </c>
      <c r="V147" s="824" t="str">
        <f>IFERROR(IF(B147="","",IF(AND(T147="",U147="",$P$3=""),"",IF($P$3=$AT$14,'Statement of Marks'!EE146,SUM(T147,U147)))),"")</f>
        <v/>
      </c>
      <c r="W147" s="814" t="str">
        <f t="shared" si="33"/>
        <v/>
      </c>
      <c r="X147" s="815">
        <f t="shared" si="34"/>
        <v>0</v>
      </c>
      <c r="Y147" s="815">
        <f t="shared" si="35"/>
        <v>0</v>
      </c>
      <c r="Z147" s="815">
        <f t="shared" si="36"/>
        <v>0</v>
      </c>
      <c r="AA147" s="815" t="str">
        <f t="shared" si="37"/>
        <v/>
      </c>
      <c r="AB147" s="815" t="str">
        <f t="shared" si="38"/>
        <v/>
      </c>
      <c r="AC147" s="815" t="str">
        <f t="shared" si="39"/>
        <v/>
      </c>
      <c r="AD147" s="815" t="str">
        <f t="shared" si="40"/>
        <v/>
      </c>
      <c r="AE147" s="816" t="str">
        <f t="shared" si="41"/>
        <v/>
      </c>
      <c r="AF147" s="817" t="str">
        <f t="shared" si="42"/>
        <v/>
      </c>
      <c r="AG147" s="818" t="str">
        <f t="shared" si="43"/>
        <v/>
      </c>
      <c r="AW147" s="17" t="str">
        <f t="shared" si="44"/>
        <v/>
      </c>
      <c r="AX147" s="17" t="str">
        <f t="shared" si="45"/>
        <v/>
      </c>
      <c r="BM147" s="17" t="str">
        <f>IFERROR(VLOOKUP(B147,'Statement of Marks'!$B$8:'Statement of Marks'!$HI$207,37,0),"")</f>
        <v>A</v>
      </c>
      <c r="BN147" s="17" t="str">
        <f>IFERROR(VLOOKUP(B147,'Statement of Marks'!$B$8:'Statement of Marks'!$HI$207,60,0),"")</f>
        <v>A</v>
      </c>
      <c r="BO147" s="17" t="str">
        <f>IFERROR(VLOOKUP(B147,'Statement of Marks'!$B$8:'Statement of Marks'!$HI$207,83,0),"")</f>
        <v>A</v>
      </c>
      <c r="BP147" s="17" t="str">
        <f>IFERROR(VLOOKUP(B147,'Statement of Marks'!$B$8:'Statement of Marks'!$HI$207,107,0),"")</f>
        <v/>
      </c>
    </row>
    <row r="148" spans="1:68">
      <c r="A148" s="806">
        <f>IF('Statement of Marks'!A147="","",'Statement of Marks'!A147)</f>
        <v>140</v>
      </c>
      <c r="B148" s="807" t="str">
        <f>IF(OR($E$3="",$P$3=""),"",IF('Statement of Marks'!B147="","",'Statement of Marks'!B147))</f>
        <v/>
      </c>
      <c r="C148" s="816" t="str">
        <f>IF(OR($E$3="",$P$3=""),"",IF('Marks Entry'!C147="","",'Marks Entry'!C147))</f>
        <v/>
      </c>
      <c r="D148" s="808" t="str">
        <f>IF(OR($E$3="",$P$3=""),"",IF('Statement of Marks'!C147="","",'Statement of Marks'!C147))</f>
        <v/>
      </c>
      <c r="E148" s="809" t="str">
        <f>IF(OR($E$3="",$P$3=""),"",IF('Statement of Marks'!D147="","",'Statement of Marks'!D147))</f>
        <v/>
      </c>
      <c r="F148" s="810" t="str">
        <f>IF(OR($E$3="",$P$3=""),"",IF('Statement of Marks'!E147="","",'Statement of Marks'!E147))</f>
        <v/>
      </c>
      <c r="G148" s="810" t="str">
        <f>IF(OR($E$3="",$P$3=""),"",IF('Statement of Marks'!F147="","",'Statement of Marks'!F147))</f>
        <v/>
      </c>
      <c r="H148" s="810" t="str">
        <f>IF(OR($E$3="",$P$3=""),"",IF('Statement of Marks'!G147="","",'Statement of Marks'!G147))</f>
        <v/>
      </c>
      <c r="I148" s="811" t="str">
        <f>IF(OR($E$3="",$P$3=""),"",IF('Statement of Marks'!H147="","",'Statement of Marks'!H147))</f>
        <v/>
      </c>
      <c r="J148" s="811" t="str">
        <f>IF(OR($E$3="",$P$3=""),"",IF('Statement of Marks'!I147="","",'Statement of Marks'!I147))</f>
        <v/>
      </c>
      <c r="K148" s="811" t="str">
        <f>IFERROR(IF(B148="","",IF($P$3=$AT$10,IF(AND(BM148="A"),'Marks Entry'!$U$2,IF(AND(BM148="B"),'Marks Entry'!$Y$2,IF(AND(BM148="C"),'Marks Entry'!$AA$2,""))),IF($P$3=$AT$11,IF(AND(BN148="A"),'Marks Entry'!$AC$2,IF(AND(BN148="B"),'Marks Entry'!$AG$2,IF(AND(BN148="C"),'Marks Entry'!$AI$2,""))),IF($P$3=$AT$12,IF(AND(BO148="A"),'Marks Entry'!$AK$2,IF(AND(BO148="B"),'Marks Entry'!$AO$2,IF(AND(BO148="C"),'Marks Entry'!$AQ$2,""))),IF($P$3=$AT$13,IF(AND(BP148="A"),'Marks Entry'!$AS$2,IF(AND(BP148="B"),'Marks Entry'!$AW$2,IF(AND(BP148="C"),'Marks Entry'!$AY$2,""))),"-"))))),"")</f>
        <v/>
      </c>
      <c r="L148" s="812" t="str">
        <f>IFERROR(IF(B148="","",IF($P$3=$AT$8,'Statement of Marks'!J147,IF($P$3=$AT$9,'Statement of Marks'!X147,IF($P$3=$AT$10,'Statement of Marks'!AM147,IF($P$3=$AT$11,'Statement of Marks'!BJ147,IF($P$3=$AT$12,'Statement of Marks'!CG147,IF($P$3=$AT$13,'Statement of Marks'!DE147,IF($P$3=$AT$14,"",IF($P$3=$AT$15,'Statement of Marks'!EY147,""))))))))),"")</f>
        <v/>
      </c>
      <c r="M148" s="812" t="str">
        <f>IFERROR(IF(B148="","",IF($P$3=$AT$8,'Statement of Marks'!K147,IF($P$3=$AT$9,'Statement of Marks'!Y147,IF($P$3=$AT$10,'Statement of Marks'!AN147,IF($P$3=$AT$11,'Statement of Marks'!BK147,IF($P$3=$AT$12,'Statement of Marks'!CH147,IF($P$3=$AT$13,'Statement of Marks'!DF147,IF($P$3=$AT$14,"",IF($P$3=$AT$15,'Statement of Marks'!EZ147,""))))))))),"")</f>
        <v/>
      </c>
      <c r="N148" s="812" t="str">
        <f>IFERROR(IF(B148="","",IF($P$3=$AT$8,'Statement of Marks'!L147,IF($P$3=$AT$9,'Statement of Marks'!Z147,IF($P$3=$AT$10,'Statement of Marks'!AO147,IF($P$3=$AT$11,'Statement of Marks'!BL147,IF($P$3=$AT$12,'Statement of Marks'!CI147,IF($P$3=$AT$13,'Statement of Marks'!DG147,IF($P$3=$AT$14,"",IF($P$3=$AT$15,'Statement of Marks'!FA147,""))))))))),"")</f>
        <v/>
      </c>
      <c r="O148" s="813" t="str">
        <f t="shared" si="32"/>
        <v/>
      </c>
      <c r="P148" s="812" t="str">
        <f>IFERROR(IF(B148="","",IF($P$3=$AT$8,'Statement of Marks'!N147,IF($P$3=$AT$9,'Statement of Marks'!AB147,IF($P$3=$AT$10,'Statement of Marks'!AQ147,IF($P$3=$AT$11,'Statement of Marks'!BN147,IF($P$3=$AT$12,'Statement of Marks'!CK147,IF($P$3=$AT$13,'Statement of Marks'!DI147,IF($P$3=$AT$14,"",IF($P$3=$AT$15,'Statement of Marks'!FC147,""))))))))),"")</f>
        <v/>
      </c>
      <c r="Q148" s="812" t="str">
        <f>IFERROR(IF(B148="","",IF($P$3=$AT$8,"",IF($P$3=$AT$9,"",IF($P$3=$AT$10,'Statement of Marks'!AR147,IF($P$3=$AT$11,'Statement of Marks'!BO147,IF($P$3=$AT$12,'Statement of Marks'!CL147,IF($P$3=$AT$13,'Statement of Marks'!DJ147,IF($P$3=$AT$14,"",IF($P$3=$AT$15,"",""))))))))),"")</f>
        <v/>
      </c>
      <c r="R148" s="824" t="str">
        <f>IFERROR(IF(B148="","",IF(AND(P148="",Q148="",$P$3=""),"",IF($P$3=$AT$14,'Statement of Marks'!EC147,SUM(P148,Q148)))),"")</f>
        <v/>
      </c>
      <c r="S148" s="823" t="str">
        <f>IFERROR(IF(B148="","",IF($P$3=$AT$14,'Statement of Marks'!ED147,IF(AND(O148="NA",P148="NA",Q148="NA"),"NA",IF(AND(O148="",P148="",Q148=""),"",SUM(O148,P148,Q148))))),"")</f>
        <v/>
      </c>
      <c r="T148" s="812" t="str">
        <f>IFERROR(IF(B148="","",IF($P$3=$AT$8,'Statement of Marks'!P147,IF($P$3=$AT$9,'Statement of Marks'!AD147,IF($P$3=$AT$10,'Statement of Marks'!AU147,IF($P$3=$AT$11,'Statement of Marks'!BR147,IF($P$3=$AT$12,'Statement of Marks'!CO147,IF($P$3=$AT$13,'Statement of Marks'!DM147,IF($P$3=$AT$14,"",IF($P$3=$AT$15,'Statement of Marks'!FD147,""))))))))),"")</f>
        <v/>
      </c>
      <c r="U148" s="812" t="str">
        <f>IFERROR(IF(B148="","",IF($P$3=$AT$8,"",IF($P$3=$AT$9,"",IF($P$3=$AT$10,'Statement of Marks'!AV147,IF($P$3=$AT$11,'Statement of Marks'!BS147,IF($P$3=$AT$12,'Statement of Marks'!CP147,IF($P$3=$AT$13,'Statement of Marks'!DN147,IF($P$3=$AT$14,"",IF($P$3=$AT$15,"",""))))))))),"")</f>
        <v/>
      </c>
      <c r="V148" s="824" t="str">
        <f>IFERROR(IF(B148="","",IF(AND(T148="",U148="",$P$3=""),"",IF($P$3=$AT$14,'Statement of Marks'!EE147,SUM(T148,U148)))),"")</f>
        <v/>
      </c>
      <c r="W148" s="814" t="str">
        <f t="shared" si="33"/>
        <v/>
      </c>
      <c r="X148" s="815">
        <f t="shared" si="34"/>
        <v>0</v>
      </c>
      <c r="Y148" s="815">
        <f t="shared" si="35"/>
        <v>0</v>
      </c>
      <c r="Z148" s="815">
        <f t="shared" si="36"/>
        <v>0</v>
      </c>
      <c r="AA148" s="815" t="str">
        <f t="shared" si="37"/>
        <v/>
      </c>
      <c r="AB148" s="815" t="str">
        <f t="shared" si="38"/>
        <v/>
      </c>
      <c r="AC148" s="815" t="str">
        <f t="shared" si="39"/>
        <v/>
      </c>
      <c r="AD148" s="815" t="str">
        <f t="shared" si="40"/>
        <v/>
      </c>
      <c r="AE148" s="816" t="str">
        <f t="shared" si="41"/>
        <v/>
      </c>
      <c r="AF148" s="817" t="str">
        <f t="shared" si="42"/>
        <v/>
      </c>
      <c r="AG148" s="818" t="str">
        <f t="shared" si="43"/>
        <v/>
      </c>
      <c r="AW148" s="17" t="str">
        <f t="shared" si="44"/>
        <v/>
      </c>
      <c r="AX148" s="17" t="str">
        <f t="shared" si="45"/>
        <v/>
      </c>
      <c r="BM148" s="17" t="str">
        <f>IFERROR(VLOOKUP(B148,'Statement of Marks'!$B$8:'Statement of Marks'!$HI$207,37,0),"")</f>
        <v>A</v>
      </c>
      <c r="BN148" s="17" t="str">
        <f>IFERROR(VLOOKUP(B148,'Statement of Marks'!$B$8:'Statement of Marks'!$HI$207,60,0),"")</f>
        <v>A</v>
      </c>
      <c r="BO148" s="17" t="str">
        <f>IFERROR(VLOOKUP(B148,'Statement of Marks'!$B$8:'Statement of Marks'!$HI$207,83,0),"")</f>
        <v>A</v>
      </c>
      <c r="BP148" s="17" t="str">
        <f>IFERROR(VLOOKUP(B148,'Statement of Marks'!$B$8:'Statement of Marks'!$HI$207,107,0),"")</f>
        <v/>
      </c>
    </row>
    <row r="149" spans="1:68">
      <c r="A149" s="806">
        <f>IF('Statement of Marks'!A148="","",'Statement of Marks'!A148)</f>
        <v>141</v>
      </c>
      <c r="B149" s="807" t="str">
        <f>IF(OR($E$3="",$P$3=""),"",IF('Statement of Marks'!B148="","",'Statement of Marks'!B148))</f>
        <v/>
      </c>
      <c r="C149" s="816" t="str">
        <f>IF(OR($E$3="",$P$3=""),"",IF('Marks Entry'!C148="","",'Marks Entry'!C148))</f>
        <v/>
      </c>
      <c r="D149" s="808" t="str">
        <f>IF(OR($E$3="",$P$3=""),"",IF('Statement of Marks'!C148="","",'Statement of Marks'!C148))</f>
        <v/>
      </c>
      <c r="E149" s="809" t="str">
        <f>IF(OR($E$3="",$P$3=""),"",IF('Statement of Marks'!D148="","",'Statement of Marks'!D148))</f>
        <v/>
      </c>
      <c r="F149" s="810" t="str">
        <f>IF(OR($E$3="",$P$3=""),"",IF('Statement of Marks'!E148="","",'Statement of Marks'!E148))</f>
        <v/>
      </c>
      <c r="G149" s="810" t="str">
        <f>IF(OR($E$3="",$P$3=""),"",IF('Statement of Marks'!F148="","",'Statement of Marks'!F148))</f>
        <v/>
      </c>
      <c r="H149" s="810" t="str">
        <f>IF(OR($E$3="",$P$3=""),"",IF('Statement of Marks'!G148="","",'Statement of Marks'!G148))</f>
        <v/>
      </c>
      <c r="I149" s="811" t="str">
        <f>IF(OR($E$3="",$P$3=""),"",IF('Statement of Marks'!H148="","",'Statement of Marks'!H148))</f>
        <v/>
      </c>
      <c r="J149" s="811" t="str">
        <f>IF(OR($E$3="",$P$3=""),"",IF('Statement of Marks'!I148="","",'Statement of Marks'!I148))</f>
        <v/>
      </c>
      <c r="K149" s="811" t="str">
        <f>IFERROR(IF(B149="","",IF($P$3=$AT$10,IF(AND(BM149="A"),'Marks Entry'!$U$2,IF(AND(BM149="B"),'Marks Entry'!$Y$2,IF(AND(BM149="C"),'Marks Entry'!$AA$2,""))),IF($P$3=$AT$11,IF(AND(BN149="A"),'Marks Entry'!$AC$2,IF(AND(BN149="B"),'Marks Entry'!$AG$2,IF(AND(BN149="C"),'Marks Entry'!$AI$2,""))),IF($P$3=$AT$12,IF(AND(BO149="A"),'Marks Entry'!$AK$2,IF(AND(BO149="B"),'Marks Entry'!$AO$2,IF(AND(BO149="C"),'Marks Entry'!$AQ$2,""))),IF($P$3=$AT$13,IF(AND(BP149="A"),'Marks Entry'!$AS$2,IF(AND(BP149="B"),'Marks Entry'!$AW$2,IF(AND(BP149="C"),'Marks Entry'!$AY$2,""))),"-"))))),"")</f>
        <v/>
      </c>
      <c r="L149" s="812" t="str">
        <f>IFERROR(IF(B149="","",IF($P$3=$AT$8,'Statement of Marks'!J148,IF($P$3=$AT$9,'Statement of Marks'!X148,IF($P$3=$AT$10,'Statement of Marks'!AM148,IF($P$3=$AT$11,'Statement of Marks'!BJ148,IF($P$3=$AT$12,'Statement of Marks'!CG148,IF($P$3=$AT$13,'Statement of Marks'!DE148,IF($P$3=$AT$14,"",IF($P$3=$AT$15,'Statement of Marks'!EY148,""))))))))),"")</f>
        <v/>
      </c>
      <c r="M149" s="812" t="str">
        <f>IFERROR(IF(B149="","",IF($P$3=$AT$8,'Statement of Marks'!K148,IF($P$3=$AT$9,'Statement of Marks'!Y148,IF($P$3=$AT$10,'Statement of Marks'!AN148,IF($P$3=$AT$11,'Statement of Marks'!BK148,IF($P$3=$AT$12,'Statement of Marks'!CH148,IF($P$3=$AT$13,'Statement of Marks'!DF148,IF($P$3=$AT$14,"",IF($P$3=$AT$15,'Statement of Marks'!EZ148,""))))))))),"")</f>
        <v/>
      </c>
      <c r="N149" s="812" t="str">
        <f>IFERROR(IF(B149="","",IF($P$3=$AT$8,'Statement of Marks'!L148,IF($P$3=$AT$9,'Statement of Marks'!Z148,IF($P$3=$AT$10,'Statement of Marks'!AO148,IF($P$3=$AT$11,'Statement of Marks'!BL148,IF($P$3=$AT$12,'Statement of Marks'!CI148,IF($P$3=$AT$13,'Statement of Marks'!DG148,IF($P$3=$AT$14,"",IF($P$3=$AT$15,'Statement of Marks'!FA148,""))))))))),"")</f>
        <v/>
      </c>
      <c r="O149" s="813" t="str">
        <f t="shared" si="32"/>
        <v/>
      </c>
      <c r="P149" s="812" t="str">
        <f>IFERROR(IF(B149="","",IF($P$3=$AT$8,'Statement of Marks'!N148,IF($P$3=$AT$9,'Statement of Marks'!AB148,IF($P$3=$AT$10,'Statement of Marks'!AQ148,IF($P$3=$AT$11,'Statement of Marks'!BN148,IF($P$3=$AT$12,'Statement of Marks'!CK148,IF($P$3=$AT$13,'Statement of Marks'!DI148,IF($P$3=$AT$14,"",IF($P$3=$AT$15,'Statement of Marks'!FC148,""))))))))),"")</f>
        <v/>
      </c>
      <c r="Q149" s="812" t="str">
        <f>IFERROR(IF(B149="","",IF($P$3=$AT$8,"",IF($P$3=$AT$9,"",IF($P$3=$AT$10,'Statement of Marks'!AR148,IF($P$3=$AT$11,'Statement of Marks'!BO148,IF($P$3=$AT$12,'Statement of Marks'!CL148,IF($P$3=$AT$13,'Statement of Marks'!DJ148,IF($P$3=$AT$14,"",IF($P$3=$AT$15,"",""))))))))),"")</f>
        <v/>
      </c>
      <c r="R149" s="824" t="str">
        <f>IFERROR(IF(B149="","",IF(AND(P149="",Q149="",$P$3=""),"",IF($P$3=$AT$14,'Statement of Marks'!EC148,SUM(P149,Q149)))),"")</f>
        <v/>
      </c>
      <c r="S149" s="823" t="str">
        <f>IFERROR(IF(B149="","",IF($P$3=$AT$14,'Statement of Marks'!ED148,IF(AND(O149="NA",P149="NA",Q149="NA"),"NA",IF(AND(O149="",P149="",Q149=""),"",SUM(O149,P149,Q149))))),"")</f>
        <v/>
      </c>
      <c r="T149" s="812" t="str">
        <f>IFERROR(IF(B149="","",IF($P$3=$AT$8,'Statement of Marks'!P148,IF($P$3=$AT$9,'Statement of Marks'!AD148,IF($P$3=$AT$10,'Statement of Marks'!AU148,IF($P$3=$AT$11,'Statement of Marks'!BR148,IF($P$3=$AT$12,'Statement of Marks'!CO148,IF($P$3=$AT$13,'Statement of Marks'!DM148,IF($P$3=$AT$14,"",IF($P$3=$AT$15,'Statement of Marks'!FD148,""))))))))),"")</f>
        <v/>
      </c>
      <c r="U149" s="812" t="str">
        <f>IFERROR(IF(B149="","",IF($P$3=$AT$8,"",IF($P$3=$AT$9,"",IF($P$3=$AT$10,'Statement of Marks'!AV148,IF($P$3=$AT$11,'Statement of Marks'!BS148,IF($P$3=$AT$12,'Statement of Marks'!CP148,IF($P$3=$AT$13,'Statement of Marks'!DN148,IF($P$3=$AT$14,"",IF($P$3=$AT$15,"",""))))))))),"")</f>
        <v/>
      </c>
      <c r="V149" s="824" t="str">
        <f>IFERROR(IF(B149="","",IF(AND(T149="",U149="",$P$3=""),"",IF($P$3=$AT$14,'Statement of Marks'!EE148,SUM(T149,U149)))),"")</f>
        <v/>
      </c>
      <c r="W149" s="814" t="str">
        <f t="shared" si="33"/>
        <v/>
      </c>
      <c r="X149" s="815">
        <f t="shared" si="34"/>
        <v>0</v>
      </c>
      <c r="Y149" s="815">
        <f t="shared" si="35"/>
        <v>0</v>
      </c>
      <c r="Z149" s="815">
        <f t="shared" si="36"/>
        <v>0</v>
      </c>
      <c r="AA149" s="815" t="str">
        <f t="shared" si="37"/>
        <v/>
      </c>
      <c r="AB149" s="815" t="str">
        <f t="shared" si="38"/>
        <v/>
      </c>
      <c r="AC149" s="815" t="str">
        <f t="shared" si="39"/>
        <v/>
      </c>
      <c r="AD149" s="815" t="str">
        <f t="shared" si="40"/>
        <v/>
      </c>
      <c r="AE149" s="816" t="str">
        <f t="shared" si="41"/>
        <v/>
      </c>
      <c r="AF149" s="817" t="str">
        <f t="shared" si="42"/>
        <v/>
      </c>
      <c r="AG149" s="818" t="str">
        <f t="shared" si="43"/>
        <v/>
      </c>
      <c r="AW149" s="17" t="str">
        <f t="shared" si="44"/>
        <v/>
      </c>
      <c r="AX149" s="17" t="str">
        <f t="shared" si="45"/>
        <v/>
      </c>
      <c r="BM149" s="17" t="str">
        <f>IFERROR(VLOOKUP(B149,'Statement of Marks'!$B$8:'Statement of Marks'!$HI$207,37,0),"")</f>
        <v>A</v>
      </c>
      <c r="BN149" s="17" t="str">
        <f>IFERROR(VLOOKUP(B149,'Statement of Marks'!$B$8:'Statement of Marks'!$HI$207,60,0),"")</f>
        <v>A</v>
      </c>
      <c r="BO149" s="17" t="str">
        <f>IFERROR(VLOOKUP(B149,'Statement of Marks'!$B$8:'Statement of Marks'!$HI$207,83,0),"")</f>
        <v>A</v>
      </c>
      <c r="BP149" s="17" t="str">
        <f>IFERROR(VLOOKUP(B149,'Statement of Marks'!$B$8:'Statement of Marks'!$HI$207,107,0),"")</f>
        <v/>
      </c>
    </row>
    <row r="150" spans="1:68">
      <c r="A150" s="806">
        <f>IF('Statement of Marks'!A149="","",'Statement of Marks'!A149)</f>
        <v>142</v>
      </c>
      <c r="B150" s="807" t="str">
        <f>IF(OR($E$3="",$P$3=""),"",IF('Statement of Marks'!B149="","",'Statement of Marks'!B149))</f>
        <v/>
      </c>
      <c r="C150" s="816" t="str">
        <f>IF(OR($E$3="",$P$3=""),"",IF('Marks Entry'!C149="","",'Marks Entry'!C149))</f>
        <v/>
      </c>
      <c r="D150" s="808" t="str">
        <f>IF(OR($E$3="",$P$3=""),"",IF('Statement of Marks'!C149="","",'Statement of Marks'!C149))</f>
        <v/>
      </c>
      <c r="E150" s="809" t="str">
        <f>IF(OR($E$3="",$P$3=""),"",IF('Statement of Marks'!D149="","",'Statement of Marks'!D149))</f>
        <v/>
      </c>
      <c r="F150" s="810" t="str">
        <f>IF(OR($E$3="",$P$3=""),"",IF('Statement of Marks'!E149="","",'Statement of Marks'!E149))</f>
        <v/>
      </c>
      <c r="G150" s="810" t="str">
        <f>IF(OR($E$3="",$P$3=""),"",IF('Statement of Marks'!F149="","",'Statement of Marks'!F149))</f>
        <v/>
      </c>
      <c r="H150" s="810" t="str">
        <f>IF(OR($E$3="",$P$3=""),"",IF('Statement of Marks'!G149="","",'Statement of Marks'!G149))</f>
        <v/>
      </c>
      <c r="I150" s="811" t="str">
        <f>IF(OR($E$3="",$P$3=""),"",IF('Statement of Marks'!H149="","",'Statement of Marks'!H149))</f>
        <v/>
      </c>
      <c r="J150" s="811" t="str">
        <f>IF(OR($E$3="",$P$3=""),"",IF('Statement of Marks'!I149="","",'Statement of Marks'!I149))</f>
        <v/>
      </c>
      <c r="K150" s="811" t="str">
        <f>IFERROR(IF(B150="","",IF($P$3=$AT$10,IF(AND(BM150="A"),'Marks Entry'!$U$2,IF(AND(BM150="B"),'Marks Entry'!$Y$2,IF(AND(BM150="C"),'Marks Entry'!$AA$2,""))),IF($P$3=$AT$11,IF(AND(BN150="A"),'Marks Entry'!$AC$2,IF(AND(BN150="B"),'Marks Entry'!$AG$2,IF(AND(BN150="C"),'Marks Entry'!$AI$2,""))),IF($P$3=$AT$12,IF(AND(BO150="A"),'Marks Entry'!$AK$2,IF(AND(BO150="B"),'Marks Entry'!$AO$2,IF(AND(BO150="C"),'Marks Entry'!$AQ$2,""))),IF($P$3=$AT$13,IF(AND(BP150="A"),'Marks Entry'!$AS$2,IF(AND(BP150="B"),'Marks Entry'!$AW$2,IF(AND(BP150="C"),'Marks Entry'!$AY$2,""))),"-"))))),"")</f>
        <v/>
      </c>
      <c r="L150" s="812" t="str">
        <f>IFERROR(IF(B150="","",IF($P$3=$AT$8,'Statement of Marks'!J149,IF($P$3=$AT$9,'Statement of Marks'!X149,IF($P$3=$AT$10,'Statement of Marks'!AM149,IF($P$3=$AT$11,'Statement of Marks'!BJ149,IF($P$3=$AT$12,'Statement of Marks'!CG149,IF($P$3=$AT$13,'Statement of Marks'!DE149,IF($P$3=$AT$14,"",IF($P$3=$AT$15,'Statement of Marks'!EY149,""))))))))),"")</f>
        <v/>
      </c>
      <c r="M150" s="812" t="str">
        <f>IFERROR(IF(B150="","",IF($P$3=$AT$8,'Statement of Marks'!K149,IF($P$3=$AT$9,'Statement of Marks'!Y149,IF($P$3=$AT$10,'Statement of Marks'!AN149,IF($P$3=$AT$11,'Statement of Marks'!BK149,IF($P$3=$AT$12,'Statement of Marks'!CH149,IF($P$3=$AT$13,'Statement of Marks'!DF149,IF($P$3=$AT$14,"",IF($P$3=$AT$15,'Statement of Marks'!EZ149,""))))))))),"")</f>
        <v/>
      </c>
      <c r="N150" s="812" t="str">
        <f>IFERROR(IF(B150="","",IF($P$3=$AT$8,'Statement of Marks'!L149,IF($P$3=$AT$9,'Statement of Marks'!Z149,IF($P$3=$AT$10,'Statement of Marks'!AO149,IF($P$3=$AT$11,'Statement of Marks'!BL149,IF($P$3=$AT$12,'Statement of Marks'!CI149,IF($P$3=$AT$13,'Statement of Marks'!DG149,IF($P$3=$AT$14,"",IF($P$3=$AT$15,'Statement of Marks'!FA149,""))))))))),"")</f>
        <v/>
      </c>
      <c r="O150" s="813" t="str">
        <f t="shared" si="32"/>
        <v/>
      </c>
      <c r="P150" s="812" t="str">
        <f>IFERROR(IF(B150="","",IF($P$3=$AT$8,'Statement of Marks'!N149,IF($P$3=$AT$9,'Statement of Marks'!AB149,IF($P$3=$AT$10,'Statement of Marks'!AQ149,IF($P$3=$AT$11,'Statement of Marks'!BN149,IF($P$3=$AT$12,'Statement of Marks'!CK149,IF($P$3=$AT$13,'Statement of Marks'!DI149,IF($P$3=$AT$14,"",IF($P$3=$AT$15,'Statement of Marks'!FC149,""))))))))),"")</f>
        <v/>
      </c>
      <c r="Q150" s="812" t="str">
        <f>IFERROR(IF(B150="","",IF($P$3=$AT$8,"",IF($P$3=$AT$9,"",IF($P$3=$AT$10,'Statement of Marks'!AR149,IF($P$3=$AT$11,'Statement of Marks'!BO149,IF($P$3=$AT$12,'Statement of Marks'!CL149,IF($P$3=$AT$13,'Statement of Marks'!DJ149,IF($P$3=$AT$14,"",IF($P$3=$AT$15,"",""))))))))),"")</f>
        <v/>
      </c>
      <c r="R150" s="824" t="str">
        <f>IFERROR(IF(B150="","",IF(AND(P150="",Q150="",$P$3=""),"",IF($P$3=$AT$14,'Statement of Marks'!EC149,SUM(P150,Q150)))),"")</f>
        <v/>
      </c>
      <c r="S150" s="823" t="str">
        <f>IFERROR(IF(B150="","",IF($P$3=$AT$14,'Statement of Marks'!ED149,IF(AND(O150="NA",P150="NA",Q150="NA"),"NA",IF(AND(O150="",P150="",Q150=""),"",SUM(O150,P150,Q150))))),"")</f>
        <v/>
      </c>
      <c r="T150" s="812" t="str">
        <f>IFERROR(IF(B150="","",IF($P$3=$AT$8,'Statement of Marks'!P149,IF($P$3=$AT$9,'Statement of Marks'!AD149,IF($P$3=$AT$10,'Statement of Marks'!AU149,IF($P$3=$AT$11,'Statement of Marks'!BR149,IF($P$3=$AT$12,'Statement of Marks'!CO149,IF($P$3=$AT$13,'Statement of Marks'!DM149,IF($P$3=$AT$14,"",IF($P$3=$AT$15,'Statement of Marks'!FD149,""))))))))),"")</f>
        <v/>
      </c>
      <c r="U150" s="812" t="str">
        <f>IFERROR(IF(B150="","",IF($P$3=$AT$8,"",IF($P$3=$AT$9,"",IF($P$3=$AT$10,'Statement of Marks'!AV149,IF($P$3=$AT$11,'Statement of Marks'!BS149,IF($P$3=$AT$12,'Statement of Marks'!CP149,IF($P$3=$AT$13,'Statement of Marks'!DN149,IF($P$3=$AT$14,"",IF($P$3=$AT$15,"",""))))))))),"")</f>
        <v/>
      </c>
      <c r="V150" s="824" t="str">
        <f>IFERROR(IF(B150="","",IF(AND(T150="",U150="",$P$3=""),"",IF($P$3=$AT$14,'Statement of Marks'!EE149,SUM(T150,U150)))),"")</f>
        <v/>
      </c>
      <c r="W150" s="814" t="str">
        <f t="shared" si="33"/>
        <v/>
      </c>
      <c r="X150" s="815">
        <f t="shared" si="34"/>
        <v>0</v>
      </c>
      <c r="Y150" s="815">
        <f t="shared" si="35"/>
        <v>0</v>
      </c>
      <c r="Z150" s="815">
        <f t="shared" si="36"/>
        <v>0</v>
      </c>
      <c r="AA150" s="815" t="str">
        <f t="shared" si="37"/>
        <v/>
      </c>
      <c r="AB150" s="815" t="str">
        <f t="shared" si="38"/>
        <v/>
      </c>
      <c r="AC150" s="815" t="str">
        <f t="shared" si="39"/>
        <v/>
      </c>
      <c r="AD150" s="815" t="str">
        <f t="shared" si="40"/>
        <v/>
      </c>
      <c r="AE150" s="816" t="str">
        <f t="shared" si="41"/>
        <v/>
      </c>
      <c r="AF150" s="817" t="str">
        <f t="shared" si="42"/>
        <v/>
      </c>
      <c r="AG150" s="818" t="str">
        <f t="shared" si="43"/>
        <v/>
      </c>
      <c r="AW150" s="17" t="str">
        <f t="shared" si="44"/>
        <v/>
      </c>
      <c r="AX150" s="17" t="str">
        <f t="shared" si="45"/>
        <v/>
      </c>
      <c r="BM150" s="17" t="str">
        <f>IFERROR(VLOOKUP(B150,'Statement of Marks'!$B$8:'Statement of Marks'!$HI$207,37,0),"")</f>
        <v>A</v>
      </c>
      <c r="BN150" s="17" t="str">
        <f>IFERROR(VLOOKUP(B150,'Statement of Marks'!$B$8:'Statement of Marks'!$HI$207,60,0),"")</f>
        <v>A</v>
      </c>
      <c r="BO150" s="17" t="str">
        <f>IFERROR(VLOOKUP(B150,'Statement of Marks'!$B$8:'Statement of Marks'!$HI$207,83,0),"")</f>
        <v>A</v>
      </c>
      <c r="BP150" s="17" t="str">
        <f>IFERROR(VLOOKUP(B150,'Statement of Marks'!$B$8:'Statement of Marks'!$HI$207,107,0),"")</f>
        <v/>
      </c>
    </row>
    <row r="151" spans="1:68">
      <c r="A151" s="806">
        <f>IF('Statement of Marks'!A150="","",'Statement of Marks'!A150)</f>
        <v>143</v>
      </c>
      <c r="B151" s="807" t="str">
        <f>IF(OR($E$3="",$P$3=""),"",IF('Statement of Marks'!B150="","",'Statement of Marks'!B150))</f>
        <v/>
      </c>
      <c r="C151" s="816" t="str">
        <f>IF(OR($E$3="",$P$3=""),"",IF('Marks Entry'!C150="","",'Marks Entry'!C150))</f>
        <v/>
      </c>
      <c r="D151" s="808" t="str">
        <f>IF(OR($E$3="",$P$3=""),"",IF('Statement of Marks'!C150="","",'Statement of Marks'!C150))</f>
        <v/>
      </c>
      <c r="E151" s="809" t="str">
        <f>IF(OR($E$3="",$P$3=""),"",IF('Statement of Marks'!D150="","",'Statement of Marks'!D150))</f>
        <v/>
      </c>
      <c r="F151" s="810" t="str">
        <f>IF(OR($E$3="",$P$3=""),"",IF('Statement of Marks'!E150="","",'Statement of Marks'!E150))</f>
        <v/>
      </c>
      <c r="G151" s="810" t="str">
        <f>IF(OR($E$3="",$P$3=""),"",IF('Statement of Marks'!F150="","",'Statement of Marks'!F150))</f>
        <v/>
      </c>
      <c r="H151" s="810" t="str">
        <f>IF(OR($E$3="",$P$3=""),"",IF('Statement of Marks'!G150="","",'Statement of Marks'!G150))</f>
        <v/>
      </c>
      <c r="I151" s="811" t="str">
        <f>IF(OR($E$3="",$P$3=""),"",IF('Statement of Marks'!H150="","",'Statement of Marks'!H150))</f>
        <v/>
      </c>
      <c r="J151" s="811" t="str">
        <f>IF(OR($E$3="",$P$3=""),"",IF('Statement of Marks'!I150="","",'Statement of Marks'!I150))</f>
        <v/>
      </c>
      <c r="K151" s="811" t="str">
        <f>IFERROR(IF(B151="","",IF($P$3=$AT$10,IF(AND(BM151="A"),'Marks Entry'!$U$2,IF(AND(BM151="B"),'Marks Entry'!$Y$2,IF(AND(BM151="C"),'Marks Entry'!$AA$2,""))),IF($P$3=$AT$11,IF(AND(BN151="A"),'Marks Entry'!$AC$2,IF(AND(BN151="B"),'Marks Entry'!$AG$2,IF(AND(BN151="C"),'Marks Entry'!$AI$2,""))),IF($P$3=$AT$12,IF(AND(BO151="A"),'Marks Entry'!$AK$2,IF(AND(BO151="B"),'Marks Entry'!$AO$2,IF(AND(BO151="C"),'Marks Entry'!$AQ$2,""))),IF($P$3=$AT$13,IF(AND(BP151="A"),'Marks Entry'!$AS$2,IF(AND(BP151="B"),'Marks Entry'!$AW$2,IF(AND(BP151="C"),'Marks Entry'!$AY$2,""))),"-"))))),"")</f>
        <v/>
      </c>
      <c r="L151" s="812" t="str">
        <f>IFERROR(IF(B151="","",IF($P$3=$AT$8,'Statement of Marks'!J150,IF($P$3=$AT$9,'Statement of Marks'!X150,IF($P$3=$AT$10,'Statement of Marks'!AM150,IF($P$3=$AT$11,'Statement of Marks'!BJ150,IF($P$3=$AT$12,'Statement of Marks'!CG150,IF($P$3=$AT$13,'Statement of Marks'!DE150,IF($P$3=$AT$14,"",IF($P$3=$AT$15,'Statement of Marks'!EY150,""))))))))),"")</f>
        <v/>
      </c>
      <c r="M151" s="812" t="str">
        <f>IFERROR(IF(B151="","",IF($P$3=$AT$8,'Statement of Marks'!K150,IF($P$3=$AT$9,'Statement of Marks'!Y150,IF($P$3=$AT$10,'Statement of Marks'!AN150,IF($P$3=$AT$11,'Statement of Marks'!BK150,IF($P$3=$AT$12,'Statement of Marks'!CH150,IF($P$3=$AT$13,'Statement of Marks'!DF150,IF($P$3=$AT$14,"",IF($P$3=$AT$15,'Statement of Marks'!EZ150,""))))))))),"")</f>
        <v/>
      </c>
      <c r="N151" s="812" t="str">
        <f>IFERROR(IF(B151="","",IF($P$3=$AT$8,'Statement of Marks'!L150,IF($P$3=$AT$9,'Statement of Marks'!Z150,IF($P$3=$AT$10,'Statement of Marks'!AO150,IF($P$3=$AT$11,'Statement of Marks'!BL150,IF($P$3=$AT$12,'Statement of Marks'!CI150,IF($P$3=$AT$13,'Statement of Marks'!DG150,IF($P$3=$AT$14,"",IF($P$3=$AT$15,'Statement of Marks'!FA150,""))))))))),"")</f>
        <v/>
      </c>
      <c r="O151" s="813" t="str">
        <f t="shared" si="32"/>
        <v/>
      </c>
      <c r="P151" s="812" t="str">
        <f>IFERROR(IF(B151="","",IF($P$3=$AT$8,'Statement of Marks'!N150,IF($P$3=$AT$9,'Statement of Marks'!AB150,IF($P$3=$AT$10,'Statement of Marks'!AQ150,IF($P$3=$AT$11,'Statement of Marks'!BN150,IF($P$3=$AT$12,'Statement of Marks'!CK150,IF($P$3=$AT$13,'Statement of Marks'!DI150,IF($P$3=$AT$14,"",IF($P$3=$AT$15,'Statement of Marks'!FC150,""))))))))),"")</f>
        <v/>
      </c>
      <c r="Q151" s="812" t="str">
        <f>IFERROR(IF(B151="","",IF($P$3=$AT$8,"",IF($P$3=$AT$9,"",IF($P$3=$AT$10,'Statement of Marks'!AR150,IF($P$3=$AT$11,'Statement of Marks'!BO150,IF($P$3=$AT$12,'Statement of Marks'!CL150,IF($P$3=$AT$13,'Statement of Marks'!DJ150,IF($P$3=$AT$14,"",IF($P$3=$AT$15,"",""))))))))),"")</f>
        <v/>
      </c>
      <c r="R151" s="824" t="str">
        <f>IFERROR(IF(B151="","",IF(AND(P151="",Q151="",$P$3=""),"",IF($P$3=$AT$14,'Statement of Marks'!EC150,SUM(P151,Q151)))),"")</f>
        <v/>
      </c>
      <c r="S151" s="823" t="str">
        <f>IFERROR(IF(B151="","",IF($P$3=$AT$14,'Statement of Marks'!ED150,IF(AND(O151="NA",P151="NA",Q151="NA"),"NA",IF(AND(O151="",P151="",Q151=""),"",SUM(O151,P151,Q151))))),"")</f>
        <v/>
      </c>
      <c r="T151" s="812" t="str">
        <f>IFERROR(IF(B151="","",IF($P$3=$AT$8,'Statement of Marks'!P150,IF($P$3=$AT$9,'Statement of Marks'!AD150,IF($P$3=$AT$10,'Statement of Marks'!AU150,IF($P$3=$AT$11,'Statement of Marks'!BR150,IF($P$3=$AT$12,'Statement of Marks'!CO150,IF($P$3=$AT$13,'Statement of Marks'!DM150,IF($P$3=$AT$14,"",IF($P$3=$AT$15,'Statement of Marks'!FD150,""))))))))),"")</f>
        <v/>
      </c>
      <c r="U151" s="812" t="str">
        <f>IFERROR(IF(B151="","",IF($P$3=$AT$8,"",IF($P$3=$AT$9,"",IF($P$3=$AT$10,'Statement of Marks'!AV150,IF($P$3=$AT$11,'Statement of Marks'!BS150,IF($P$3=$AT$12,'Statement of Marks'!CP150,IF($P$3=$AT$13,'Statement of Marks'!DN150,IF($P$3=$AT$14,"",IF($P$3=$AT$15,"",""))))))))),"")</f>
        <v/>
      </c>
      <c r="V151" s="824" t="str">
        <f>IFERROR(IF(B151="","",IF(AND(T151="",U151="",$P$3=""),"",IF($P$3=$AT$14,'Statement of Marks'!EE150,SUM(T151,U151)))),"")</f>
        <v/>
      </c>
      <c r="W151" s="814" t="str">
        <f t="shared" si="33"/>
        <v/>
      </c>
      <c r="X151" s="815">
        <f t="shared" si="34"/>
        <v>0</v>
      </c>
      <c r="Y151" s="815">
        <f t="shared" si="35"/>
        <v>0</v>
      </c>
      <c r="Z151" s="815">
        <f t="shared" si="36"/>
        <v>0</v>
      </c>
      <c r="AA151" s="815" t="str">
        <f t="shared" si="37"/>
        <v/>
      </c>
      <c r="AB151" s="815" t="str">
        <f t="shared" si="38"/>
        <v/>
      </c>
      <c r="AC151" s="815" t="str">
        <f t="shared" si="39"/>
        <v/>
      </c>
      <c r="AD151" s="815" t="str">
        <f t="shared" si="40"/>
        <v/>
      </c>
      <c r="AE151" s="816" t="str">
        <f t="shared" si="41"/>
        <v/>
      </c>
      <c r="AF151" s="817" t="str">
        <f t="shared" si="42"/>
        <v/>
      </c>
      <c r="AG151" s="818" t="str">
        <f t="shared" si="43"/>
        <v/>
      </c>
      <c r="AW151" s="17" t="str">
        <f t="shared" si="44"/>
        <v/>
      </c>
      <c r="AX151" s="17" t="str">
        <f t="shared" si="45"/>
        <v/>
      </c>
      <c r="BM151" s="17" t="str">
        <f>IFERROR(VLOOKUP(B151,'Statement of Marks'!$B$8:'Statement of Marks'!$HI$207,37,0),"")</f>
        <v>A</v>
      </c>
      <c r="BN151" s="17" t="str">
        <f>IFERROR(VLOOKUP(B151,'Statement of Marks'!$B$8:'Statement of Marks'!$HI$207,60,0),"")</f>
        <v>A</v>
      </c>
      <c r="BO151" s="17" t="str">
        <f>IFERROR(VLOOKUP(B151,'Statement of Marks'!$B$8:'Statement of Marks'!$HI$207,83,0),"")</f>
        <v>A</v>
      </c>
      <c r="BP151" s="17" t="str">
        <f>IFERROR(VLOOKUP(B151,'Statement of Marks'!$B$8:'Statement of Marks'!$HI$207,107,0),"")</f>
        <v/>
      </c>
    </row>
    <row r="152" spans="1:68">
      <c r="A152" s="806">
        <f>IF('Statement of Marks'!A151="","",'Statement of Marks'!A151)</f>
        <v>144</v>
      </c>
      <c r="B152" s="807" t="str">
        <f>IF(OR($E$3="",$P$3=""),"",IF('Statement of Marks'!B151="","",'Statement of Marks'!B151))</f>
        <v/>
      </c>
      <c r="C152" s="816" t="str">
        <f>IF(OR($E$3="",$P$3=""),"",IF('Marks Entry'!C151="","",'Marks Entry'!C151))</f>
        <v/>
      </c>
      <c r="D152" s="808" t="str">
        <f>IF(OR($E$3="",$P$3=""),"",IF('Statement of Marks'!C151="","",'Statement of Marks'!C151))</f>
        <v/>
      </c>
      <c r="E152" s="809" t="str">
        <f>IF(OR($E$3="",$P$3=""),"",IF('Statement of Marks'!D151="","",'Statement of Marks'!D151))</f>
        <v/>
      </c>
      <c r="F152" s="810" t="str">
        <f>IF(OR($E$3="",$P$3=""),"",IF('Statement of Marks'!E151="","",'Statement of Marks'!E151))</f>
        <v/>
      </c>
      <c r="G152" s="810" t="str">
        <f>IF(OR($E$3="",$P$3=""),"",IF('Statement of Marks'!F151="","",'Statement of Marks'!F151))</f>
        <v/>
      </c>
      <c r="H152" s="810" t="str">
        <f>IF(OR($E$3="",$P$3=""),"",IF('Statement of Marks'!G151="","",'Statement of Marks'!G151))</f>
        <v/>
      </c>
      <c r="I152" s="811" t="str">
        <f>IF(OR($E$3="",$P$3=""),"",IF('Statement of Marks'!H151="","",'Statement of Marks'!H151))</f>
        <v/>
      </c>
      <c r="J152" s="811" t="str">
        <f>IF(OR($E$3="",$P$3=""),"",IF('Statement of Marks'!I151="","",'Statement of Marks'!I151))</f>
        <v/>
      </c>
      <c r="K152" s="811" t="str">
        <f>IFERROR(IF(B152="","",IF($P$3=$AT$10,IF(AND(BM152="A"),'Marks Entry'!$U$2,IF(AND(BM152="B"),'Marks Entry'!$Y$2,IF(AND(BM152="C"),'Marks Entry'!$AA$2,""))),IF($P$3=$AT$11,IF(AND(BN152="A"),'Marks Entry'!$AC$2,IF(AND(BN152="B"),'Marks Entry'!$AG$2,IF(AND(BN152="C"),'Marks Entry'!$AI$2,""))),IF($P$3=$AT$12,IF(AND(BO152="A"),'Marks Entry'!$AK$2,IF(AND(BO152="B"),'Marks Entry'!$AO$2,IF(AND(BO152="C"),'Marks Entry'!$AQ$2,""))),IF($P$3=$AT$13,IF(AND(BP152="A"),'Marks Entry'!$AS$2,IF(AND(BP152="B"),'Marks Entry'!$AW$2,IF(AND(BP152="C"),'Marks Entry'!$AY$2,""))),"-"))))),"")</f>
        <v/>
      </c>
      <c r="L152" s="812" t="str">
        <f>IFERROR(IF(B152="","",IF($P$3=$AT$8,'Statement of Marks'!J151,IF($P$3=$AT$9,'Statement of Marks'!X151,IF($P$3=$AT$10,'Statement of Marks'!AM151,IF($P$3=$AT$11,'Statement of Marks'!BJ151,IF($P$3=$AT$12,'Statement of Marks'!CG151,IF($P$3=$AT$13,'Statement of Marks'!DE151,IF($P$3=$AT$14,"",IF($P$3=$AT$15,'Statement of Marks'!EY151,""))))))))),"")</f>
        <v/>
      </c>
      <c r="M152" s="812" t="str">
        <f>IFERROR(IF(B152="","",IF($P$3=$AT$8,'Statement of Marks'!K151,IF($P$3=$AT$9,'Statement of Marks'!Y151,IF($P$3=$AT$10,'Statement of Marks'!AN151,IF($P$3=$AT$11,'Statement of Marks'!BK151,IF($P$3=$AT$12,'Statement of Marks'!CH151,IF($P$3=$AT$13,'Statement of Marks'!DF151,IF($P$3=$AT$14,"",IF($P$3=$AT$15,'Statement of Marks'!EZ151,""))))))))),"")</f>
        <v/>
      </c>
      <c r="N152" s="812" t="str">
        <f>IFERROR(IF(B152="","",IF($P$3=$AT$8,'Statement of Marks'!L151,IF($P$3=$AT$9,'Statement of Marks'!Z151,IF($P$3=$AT$10,'Statement of Marks'!AO151,IF($P$3=$AT$11,'Statement of Marks'!BL151,IF($P$3=$AT$12,'Statement of Marks'!CI151,IF($P$3=$AT$13,'Statement of Marks'!DG151,IF($P$3=$AT$14,"",IF($P$3=$AT$15,'Statement of Marks'!FA151,""))))))))),"")</f>
        <v/>
      </c>
      <c r="O152" s="813" t="str">
        <f t="shared" si="32"/>
        <v/>
      </c>
      <c r="P152" s="812" t="str">
        <f>IFERROR(IF(B152="","",IF($P$3=$AT$8,'Statement of Marks'!N151,IF($P$3=$AT$9,'Statement of Marks'!AB151,IF($P$3=$AT$10,'Statement of Marks'!AQ151,IF($P$3=$AT$11,'Statement of Marks'!BN151,IF($P$3=$AT$12,'Statement of Marks'!CK151,IF($P$3=$AT$13,'Statement of Marks'!DI151,IF($P$3=$AT$14,"",IF($P$3=$AT$15,'Statement of Marks'!FC151,""))))))))),"")</f>
        <v/>
      </c>
      <c r="Q152" s="812" t="str">
        <f>IFERROR(IF(B152="","",IF($P$3=$AT$8,"",IF($P$3=$AT$9,"",IF($P$3=$AT$10,'Statement of Marks'!AR151,IF($P$3=$AT$11,'Statement of Marks'!BO151,IF($P$3=$AT$12,'Statement of Marks'!CL151,IF($P$3=$AT$13,'Statement of Marks'!DJ151,IF($P$3=$AT$14,"",IF($P$3=$AT$15,"",""))))))))),"")</f>
        <v/>
      </c>
      <c r="R152" s="824" t="str">
        <f>IFERROR(IF(B152="","",IF(AND(P152="",Q152="",$P$3=""),"",IF($P$3=$AT$14,'Statement of Marks'!EC151,SUM(P152,Q152)))),"")</f>
        <v/>
      </c>
      <c r="S152" s="823" t="str">
        <f>IFERROR(IF(B152="","",IF($P$3=$AT$14,'Statement of Marks'!ED151,IF(AND(O152="NA",P152="NA",Q152="NA"),"NA",IF(AND(O152="",P152="",Q152=""),"",SUM(O152,P152,Q152))))),"")</f>
        <v/>
      </c>
      <c r="T152" s="812" t="str">
        <f>IFERROR(IF(B152="","",IF($P$3=$AT$8,'Statement of Marks'!P151,IF($P$3=$AT$9,'Statement of Marks'!AD151,IF($P$3=$AT$10,'Statement of Marks'!AU151,IF($P$3=$AT$11,'Statement of Marks'!BR151,IF($P$3=$AT$12,'Statement of Marks'!CO151,IF($P$3=$AT$13,'Statement of Marks'!DM151,IF($P$3=$AT$14,"",IF($P$3=$AT$15,'Statement of Marks'!FD151,""))))))))),"")</f>
        <v/>
      </c>
      <c r="U152" s="812" t="str">
        <f>IFERROR(IF(B152="","",IF($P$3=$AT$8,"",IF($P$3=$AT$9,"",IF($P$3=$AT$10,'Statement of Marks'!AV151,IF($P$3=$AT$11,'Statement of Marks'!BS151,IF($P$3=$AT$12,'Statement of Marks'!CP151,IF($P$3=$AT$13,'Statement of Marks'!DN151,IF($P$3=$AT$14,"",IF($P$3=$AT$15,"",""))))))))),"")</f>
        <v/>
      </c>
      <c r="V152" s="824" t="str">
        <f>IFERROR(IF(B152="","",IF(AND(T152="",U152="",$P$3=""),"",IF($P$3=$AT$14,'Statement of Marks'!EE151,SUM(T152,U152)))),"")</f>
        <v/>
      </c>
      <c r="W152" s="814" t="str">
        <f t="shared" si="33"/>
        <v/>
      </c>
      <c r="X152" s="815">
        <f t="shared" si="34"/>
        <v>0</v>
      </c>
      <c r="Y152" s="815">
        <f t="shared" si="35"/>
        <v>0</v>
      </c>
      <c r="Z152" s="815">
        <f t="shared" si="36"/>
        <v>0</v>
      </c>
      <c r="AA152" s="815" t="str">
        <f t="shared" si="37"/>
        <v/>
      </c>
      <c r="AB152" s="815" t="str">
        <f t="shared" si="38"/>
        <v/>
      </c>
      <c r="AC152" s="815" t="str">
        <f t="shared" si="39"/>
        <v/>
      </c>
      <c r="AD152" s="815" t="str">
        <f t="shared" si="40"/>
        <v/>
      </c>
      <c r="AE152" s="816" t="str">
        <f t="shared" si="41"/>
        <v/>
      </c>
      <c r="AF152" s="817" t="str">
        <f t="shared" si="42"/>
        <v/>
      </c>
      <c r="AG152" s="818" t="str">
        <f t="shared" si="43"/>
        <v/>
      </c>
      <c r="AW152" s="17" t="str">
        <f t="shared" si="44"/>
        <v/>
      </c>
      <c r="AX152" s="17" t="str">
        <f t="shared" si="45"/>
        <v/>
      </c>
      <c r="BM152" s="17" t="str">
        <f>IFERROR(VLOOKUP(B152,'Statement of Marks'!$B$8:'Statement of Marks'!$HI$207,37,0),"")</f>
        <v>A</v>
      </c>
      <c r="BN152" s="17" t="str">
        <f>IFERROR(VLOOKUP(B152,'Statement of Marks'!$B$8:'Statement of Marks'!$HI$207,60,0),"")</f>
        <v>A</v>
      </c>
      <c r="BO152" s="17" t="str">
        <f>IFERROR(VLOOKUP(B152,'Statement of Marks'!$B$8:'Statement of Marks'!$HI$207,83,0),"")</f>
        <v>A</v>
      </c>
      <c r="BP152" s="17" t="str">
        <f>IFERROR(VLOOKUP(B152,'Statement of Marks'!$B$8:'Statement of Marks'!$HI$207,107,0),"")</f>
        <v/>
      </c>
    </row>
    <row r="153" spans="1:68">
      <c r="A153" s="806">
        <f>IF('Statement of Marks'!A152="","",'Statement of Marks'!A152)</f>
        <v>145</v>
      </c>
      <c r="B153" s="807" t="str">
        <f>IF(OR($E$3="",$P$3=""),"",IF('Statement of Marks'!B152="","",'Statement of Marks'!B152))</f>
        <v/>
      </c>
      <c r="C153" s="816" t="str">
        <f>IF(OR($E$3="",$P$3=""),"",IF('Marks Entry'!C152="","",'Marks Entry'!C152))</f>
        <v/>
      </c>
      <c r="D153" s="808" t="str">
        <f>IF(OR($E$3="",$P$3=""),"",IF('Statement of Marks'!C152="","",'Statement of Marks'!C152))</f>
        <v/>
      </c>
      <c r="E153" s="809" t="str">
        <f>IF(OR($E$3="",$P$3=""),"",IF('Statement of Marks'!D152="","",'Statement of Marks'!D152))</f>
        <v/>
      </c>
      <c r="F153" s="810" t="str">
        <f>IF(OR($E$3="",$P$3=""),"",IF('Statement of Marks'!E152="","",'Statement of Marks'!E152))</f>
        <v/>
      </c>
      <c r="G153" s="810" t="str">
        <f>IF(OR($E$3="",$P$3=""),"",IF('Statement of Marks'!F152="","",'Statement of Marks'!F152))</f>
        <v/>
      </c>
      <c r="H153" s="810" t="str">
        <f>IF(OR($E$3="",$P$3=""),"",IF('Statement of Marks'!G152="","",'Statement of Marks'!G152))</f>
        <v/>
      </c>
      <c r="I153" s="811" t="str">
        <f>IF(OR($E$3="",$P$3=""),"",IF('Statement of Marks'!H152="","",'Statement of Marks'!H152))</f>
        <v/>
      </c>
      <c r="J153" s="811" t="str">
        <f>IF(OR($E$3="",$P$3=""),"",IF('Statement of Marks'!I152="","",'Statement of Marks'!I152))</f>
        <v/>
      </c>
      <c r="K153" s="811" t="str">
        <f>IFERROR(IF(B153="","",IF($P$3=$AT$10,IF(AND(BM153="A"),'Marks Entry'!$U$2,IF(AND(BM153="B"),'Marks Entry'!$Y$2,IF(AND(BM153="C"),'Marks Entry'!$AA$2,""))),IF($P$3=$AT$11,IF(AND(BN153="A"),'Marks Entry'!$AC$2,IF(AND(BN153="B"),'Marks Entry'!$AG$2,IF(AND(BN153="C"),'Marks Entry'!$AI$2,""))),IF($P$3=$AT$12,IF(AND(BO153="A"),'Marks Entry'!$AK$2,IF(AND(BO153="B"),'Marks Entry'!$AO$2,IF(AND(BO153="C"),'Marks Entry'!$AQ$2,""))),IF($P$3=$AT$13,IF(AND(BP153="A"),'Marks Entry'!$AS$2,IF(AND(BP153="B"),'Marks Entry'!$AW$2,IF(AND(BP153="C"),'Marks Entry'!$AY$2,""))),"-"))))),"")</f>
        <v/>
      </c>
      <c r="L153" s="812" t="str">
        <f>IFERROR(IF(B153="","",IF($P$3=$AT$8,'Statement of Marks'!J152,IF($P$3=$AT$9,'Statement of Marks'!X152,IF($P$3=$AT$10,'Statement of Marks'!AM152,IF($P$3=$AT$11,'Statement of Marks'!BJ152,IF($P$3=$AT$12,'Statement of Marks'!CG152,IF($P$3=$AT$13,'Statement of Marks'!DE152,IF($P$3=$AT$14,"",IF($P$3=$AT$15,'Statement of Marks'!EY152,""))))))))),"")</f>
        <v/>
      </c>
      <c r="M153" s="812" t="str">
        <f>IFERROR(IF(B153="","",IF($P$3=$AT$8,'Statement of Marks'!K152,IF($P$3=$AT$9,'Statement of Marks'!Y152,IF($P$3=$AT$10,'Statement of Marks'!AN152,IF($P$3=$AT$11,'Statement of Marks'!BK152,IF($P$3=$AT$12,'Statement of Marks'!CH152,IF($P$3=$AT$13,'Statement of Marks'!DF152,IF($P$3=$AT$14,"",IF($P$3=$AT$15,'Statement of Marks'!EZ152,""))))))))),"")</f>
        <v/>
      </c>
      <c r="N153" s="812" t="str">
        <f>IFERROR(IF(B153="","",IF($P$3=$AT$8,'Statement of Marks'!L152,IF($P$3=$AT$9,'Statement of Marks'!Z152,IF($P$3=$AT$10,'Statement of Marks'!AO152,IF($P$3=$AT$11,'Statement of Marks'!BL152,IF($P$3=$AT$12,'Statement of Marks'!CI152,IF($P$3=$AT$13,'Statement of Marks'!DG152,IF($P$3=$AT$14,"",IF($P$3=$AT$15,'Statement of Marks'!FA152,""))))))))),"")</f>
        <v/>
      </c>
      <c r="O153" s="813" t="str">
        <f t="shared" si="32"/>
        <v/>
      </c>
      <c r="P153" s="812" t="str">
        <f>IFERROR(IF(B153="","",IF($P$3=$AT$8,'Statement of Marks'!N152,IF($P$3=$AT$9,'Statement of Marks'!AB152,IF($P$3=$AT$10,'Statement of Marks'!AQ152,IF($P$3=$AT$11,'Statement of Marks'!BN152,IF($P$3=$AT$12,'Statement of Marks'!CK152,IF($P$3=$AT$13,'Statement of Marks'!DI152,IF($P$3=$AT$14,"",IF($P$3=$AT$15,'Statement of Marks'!FC152,""))))))))),"")</f>
        <v/>
      </c>
      <c r="Q153" s="812" t="str">
        <f>IFERROR(IF(B153="","",IF($P$3=$AT$8,"",IF($P$3=$AT$9,"",IF($P$3=$AT$10,'Statement of Marks'!AR152,IF($P$3=$AT$11,'Statement of Marks'!BO152,IF($P$3=$AT$12,'Statement of Marks'!CL152,IF($P$3=$AT$13,'Statement of Marks'!DJ152,IF($P$3=$AT$14,"",IF($P$3=$AT$15,"",""))))))))),"")</f>
        <v/>
      </c>
      <c r="R153" s="824" t="str">
        <f>IFERROR(IF(B153="","",IF(AND(P153="",Q153="",$P$3=""),"",IF($P$3=$AT$14,'Statement of Marks'!EC152,SUM(P153,Q153)))),"")</f>
        <v/>
      </c>
      <c r="S153" s="823" t="str">
        <f>IFERROR(IF(B153="","",IF($P$3=$AT$14,'Statement of Marks'!ED152,IF(AND(O153="NA",P153="NA",Q153="NA"),"NA",IF(AND(O153="",P153="",Q153=""),"",SUM(O153,P153,Q153))))),"")</f>
        <v/>
      </c>
      <c r="T153" s="812" t="str">
        <f>IFERROR(IF(B153="","",IF($P$3=$AT$8,'Statement of Marks'!P152,IF($P$3=$AT$9,'Statement of Marks'!AD152,IF($P$3=$AT$10,'Statement of Marks'!AU152,IF($P$3=$AT$11,'Statement of Marks'!BR152,IF($P$3=$AT$12,'Statement of Marks'!CO152,IF($P$3=$AT$13,'Statement of Marks'!DM152,IF($P$3=$AT$14,"",IF($P$3=$AT$15,'Statement of Marks'!FD152,""))))))))),"")</f>
        <v/>
      </c>
      <c r="U153" s="812" t="str">
        <f>IFERROR(IF(B153="","",IF($P$3=$AT$8,"",IF($P$3=$AT$9,"",IF($P$3=$AT$10,'Statement of Marks'!AV152,IF($P$3=$AT$11,'Statement of Marks'!BS152,IF($P$3=$AT$12,'Statement of Marks'!CP152,IF($P$3=$AT$13,'Statement of Marks'!DN152,IF($P$3=$AT$14,"",IF($P$3=$AT$15,"",""))))))))),"")</f>
        <v/>
      </c>
      <c r="V153" s="824" t="str">
        <f>IFERROR(IF(B153="","",IF(AND(T153="",U153="",$P$3=""),"",IF($P$3=$AT$14,'Statement of Marks'!EE152,SUM(T153,U153)))),"")</f>
        <v/>
      </c>
      <c r="W153" s="814" t="str">
        <f t="shared" si="33"/>
        <v/>
      </c>
      <c r="X153" s="815">
        <f t="shared" si="34"/>
        <v>0</v>
      </c>
      <c r="Y153" s="815">
        <f t="shared" si="35"/>
        <v>0</v>
      </c>
      <c r="Z153" s="815">
        <f t="shared" si="36"/>
        <v>0</v>
      </c>
      <c r="AA153" s="815" t="str">
        <f t="shared" si="37"/>
        <v/>
      </c>
      <c r="AB153" s="815" t="str">
        <f t="shared" si="38"/>
        <v/>
      </c>
      <c r="AC153" s="815" t="str">
        <f t="shared" si="39"/>
        <v/>
      </c>
      <c r="AD153" s="815" t="str">
        <f t="shared" si="40"/>
        <v/>
      </c>
      <c r="AE153" s="816" t="str">
        <f t="shared" si="41"/>
        <v/>
      </c>
      <c r="AF153" s="817" t="str">
        <f t="shared" si="42"/>
        <v/>
      </c>
      <c r="AG153" s="818" t="str">
        <f t="shared" si="43"/>
        <v/>
      </c>
      <c r="AW153" s="17" t="str">
        <f t="shared" si="44"/>
        <v/>
      </c>
      <c r="AX153" s="17" t="str">
        <f t="shared" si="45"/>
        <v/>
      </c>
      <c r="BM153" s="17" t="str">
        <f>IFERROR(VLOOKUP(B153,'Statement of Marks'!$B$8:'Statement of Marks'!$HI$207,37,0),"")</f>
        <v>A</v>
      </c>
      <c r="BN153" s="17" t="str">
        <f>IFERROR(VLOOKUP(B153,'Statement of Marks'!$B$8:'Statement of Marks'!$HI$207,60,0),"")</f>
        <v>A</v>
      </c>
      <c r="BO153" s="17" t="str">
        <f>IFERROR(VLOOKUP(B153,'Statement of Marks'!$B$8:'Statement of Marks'!$HI$207,83,0),"")</f>
        <v>A</v>
      </c>
      <c r="BP153" s="17" t="str">
        <f>IFERROR(VLOOKUP(B153,'Statement of Marks'!$B$8:'Statement of Marks'!$HI$207,107,0),"")</f>
        <v/>
      </c>
    </row>
    <row r="154" spans="1:68">
      <c r="A154" s="806">
        <f>IF('Statement of Marks'!A153="","",'Statement of Marks'!A153)</f>
        <v>146</v>
      </c>
      <c r="B154" s="807" t="str">
        <f>IF(OR($E$3="",$P$3=""),"",IF('Statement of Marks'!B153="","",'Statement of Marks'!B153))</f>
        <v/>
      </c>
      <c r="C154" s="816" t="str">
        <f>IF(OR($E$3="",$P$3=""),"",IF('Marks Entry'!C153="","",'Marks Entry'!C153))</f>
        <v/>
      </c>
      <c r="D154" s="808" t="str">
        <f>IF(OR($E$3="",$P$3=""),"",IF('Statement of Marks'!C153="","",'Statement of Marks'!C153))</f>
        <v/>
      </c>
      <c r="E154" s="809" t="str">
        <f>IF(OR($E$3="",$P$3=""),"",IF('Statement of Marks'!D153="","",'Statement of Marks'!D153))</f>
        <v/>
      </c>
      <c r="F154" s="810" t="str">
        <f>IF(OR($E$3="",$P$3=""),"",IF('Statement of Marks'!E153="","",'Statement of Marks'!E153))</f>
        <v/>
      </c>
      <c r="G154" s="810" t="str">
        <f>IF(OR($E$3="",$P$3=""),"",IF('Statement of Marks'!F153="","",'Statement of Marks'!F153))</f>
        <v/>
      </c>
      <c r="H154" s="810" t="str">
        <f>IF(OR($E$3="",$P$3=""),"",IF('Statement of Marks'!G153="","",'Statement of Marks'!G153))</f>
        <v/>
      </c>
      <c r="I154" s="811" t="str">
        <f>IF(OR($E$3="",$P$3=""),"",IF('Statement of Marks'!H153="","",'Statement of Marks'!H153))</f>
        <v/>
      </c>
      <c r="J154" s="811" t="str">
        <f>IF(OR($E$3="",$P$3=""),"",IF('Statement of Marks'!I153="","",'Statement of Marks'!I153))</f>
        <v/>
      </c>
      <c r="K154" s="811" t="str">
        <f>IFERROR(IF(B154="","",IF($P$3=$AT$10,IF(AND(BM154="A"),'Marks Entry'!$U$2,IF(AND(BM154="B"),'Marks Entry'!$Y$2,IF(AND(BM154="C"),'Marks Entry'!$AA$2,""))),IF($P$3=$AT$11,IF(AND(BN154="A"),'Marks Entry'!$AC$2,IF(AND(BN154="B"),'Marks Entry'!$AG$2,IF(AND(BN154="C"),'Marks Entry'!$AI$2,""))),IF($P$3=$AT$12,IF(AND(BO154="A"),'Marks Entry'!$AK$2,IF(AND(BO154="B"),'Marks Entry'!$AO$2,IF(AND(BO154="C"),'Marks Entry'!$AQ$2,""))),IF($P$3=$AT$13,IF(AND(BP154="A"),'Marks Entry'!$AS$2,IF(AND(BP154="B"),'Marks Entry'!$AW$2,IF(AND(BP154="C"),'Marks Entry'!$AY$2,""))),"-"))))),"")</f>
        <v/>
      </c>
      <c r="L154" s="812" t="str">
        <f>IFERROR(IF(B154="","",IF($P$3=$AT$8,'Statement of Marks'!J153,IF($P$3=$AT$9,'Statement of Marks'!X153,IF($P$3=$AT$10,'Statement of Marks'!AM153,IF($P$3=$AT$11,'Statement of Marks'!BJ153,IF($P$3=$AT$12,'Statement of Marks'!CG153,IF($P$3=$AT$13,'Statement of Marks'!DE153,IF($P$3=$AT$14,"",IF($P$3=$AT$15,'Statement of Marks'!EY153,""))))))))),"")</f>
        <v/>
      </c>
      <c r="M154" s="812" t="str">
        <f>IFERROR(IF(B154="","",IF($P$3=$AT$8,'Statement of Marks'!K153,IF($P$3=$AT$9,'Statement of Marks'!Y153,IF($P$3=$AT$10,'Statement of Marks'!AN153,IF($P$3=$AT$11,'Statement of Marks'!BK153,IF($P$3=$AT$12,'Statement of Marks'!CH153,IF($P$3=$AT$13,'Statement of Marks'!DF153,IF($P$3=$AT$14,"",IF($P$3=$AT$15,'Statement of Marks'!EZ153,""))))))))),"")</f>
        <v/>
      </c>
      <c r="N154" s="812" t="str">
        <f>IFERROR(IF(B154="","",IF($P$3=$AT$8,'Statement of Marks'!L153,IF($P$3=$AT$9,'Statement of Marks'!Z153,IF($P$3=$AT$10,'Statement of Marks'!AO153,IF($P$3=$AT$11,'Statement of Marks'!BL153,IF($P$3=$AT$12,'Statement of Marks'!CI153,IF($P$3=$AT$13,'Statement of Marks'!DG153,IF($P$3=$AT$14,"",IF($P$3=$AT$15,'Statement of Marks'!FA153,""))))))))),"")</f>
        <v/>
      </c>
      <c r="O154" s="813" t="str">
        <f t="shared" si="32"/>
        <v/>
      </c>
      <c r="P154" s="812" t="str">
        <f>IFERROR(IF(B154="","",IF($P$3=$AT$8,'Statement of Marks'!N153,IF($P$3=$AT$9,'Statement of Marks'!AB153,IF($P$3=$AT$10,'Statement of Marks'!AQ153,IF($P$3=$AT$11,'Statement of Marks'!BN153,IF($P$3=$AT$12,'Statement of Marks'!CK153,IF($P$3=$AT$13,'Statement of Marks'!DI153,IF($P$3=$AT$14,"",IF($P$3=$AT$15,'Statement of Marks'!FC153,""))))))))),"")</f>
        <v/>
      </c>
      <c r="Q154" s="812" t="str">
        <f>IFERROR(IF(B154="","",IF($P$3=$AT$8,"",IF($P$3=$AT$9,"",IF($P$3=$AT$10,'Statement of Marks'!AR153,IF($P$3=$AT$11,'Statement of Marks'!BO153,IF($P$3=$AT$12,'Statement of Marks'!CL153,IF($P$3=$AT$13,'Statement of Marks'!DJ153,IF($P$3=$AT$14,"",IF($P$3=$AT$15,"",""))))))))),"")</f>
        <v/>
      </c>
      <c r="R154" s="824" t="str">
        <f>IFERROR(IF(B154="","",IF(AND(P154="",Q154="",$P$3=""),"",IF($P$3=$AT$14,'Statement of Marks'!EC153,SUM(P154,Q154)))),"")</f>
        <v/>
      </c>
      <c r="S154" s="823" t="str">
        <f>IFERROR(IF(B154="","",IF($P$3=$AT$14,'Statement of Marks'!ED153,IF(AND(O154="NA",P154="NA",Q154="NA"),"NA",IF(AND(O154="",P154="",Q154=""),"",SUM(O154,P154,Q154))))),"")</f>
        <v/>
      </c>
      <c r="T154" s="812" t="str">
        <f>IFERROR(IF(B154="","",IF($P$3=$AT$8,'Statement of Marks'!P153,IF($P$3=$AT$9,'Statement of Marks'!AD153,IF($P$3=$AT$10,'Statement of Marks'!AU153,IF($P$3=$AT$11,'Statement of Marks'!BR153,IF($P$3=$AT$12,'Statement of Marks'!CO153,IF($P$3=$AT$13,'Statement of Marks'!DM153,IF($P$3=$AT$14,"",IF($P$3=$AT$15,'Statement of Marks'!FD153,""))))))))),"")</f>
        <v/>
      </c>
      <c r="U154" s="812" t="str">
        <f>IFERROR(IF(B154="","",IF($P$3=$AT$8,"",IF($P$3=$AT$9,"",IF($P$3=$AT$10,'Statement of Marks'!AV153,IF($P$3=$AT$11,'Statement of Marks'!BS153,IF($P$3=$AT$12,'Statement of Marks'!CP153,IF($P$3=$AT$13,'Statement of Marks'!DN153,IF($P$3=$AT$14,"",IF($P$3=$AT$15,"",""))))))))),"")</f>
        <v/>
      </c>
      <c r="V154" s="824" t="str">
        <f>IFERROR(IF(B154="","",IF(AND(T154="",U154="",$P$3=""),"",IF($P$3=$AT$14,'Statement of Marks'!EE153,SUM(T154,U154)))),"")</f>
        <v/>
      </c>
      <c r="W154" s="814" t="str">
        <f t="shared" si="33"/>
        <v/>
      </c>
      <c r="X154" s="815">
        <f t="shared" si="34"/>
        <v>0</v>
      </c>
      <c r="Y154" s="815">
        <f t="shared" si="35"/>
        <v>0</v>
      </c>
      <c r="Z154" s="815">
        <f t="shared" si="36"/>
        <v>0</v>
      </c>
      <c r="AA154" s="815" t="str">
        <f t="shared" si="37"/>
        <v/>
      </c>
      <c r="AB154" s="815" t="str">
        <f t="shared" si="38"/>
        <v/>
      </c>
      <c r="AC154" s="815" t="str">
        <f t="shared" si="39"/>
        <v/>
      </c>
      <c r="AD154" s="815" t="str">
        <f t="shared" si="40"/>
        <v/>
      </c>
      <c r="AE154" s="816" t="str">
        <f t="shared" si="41"/>
        <v/>
      </c>
      <c r="AF154" s="817" t="str">
        <f t="shared" si="42"/>
        <v/>
      </c>
      <c r="AG154" s="818" t="str">
        <f t="shared" si="43"/>
        <v/>
      </c>
      <c r="AW154" s="17" t="str">
        <f t="shared" si="44"/>
        <v/>
      </c>
      <c r="AX154" s="17" t="str">
        <f t="shared" si="45"/>
        <v/>
      </c>
      <c r="BM154" s="17" t="str">
        <f>IFERROR(VLOOKUP(B154,'Statement of Marks'!$B$8:'Statement of Marks'!$HI$207,37,0),"")</f>
        <v>A</v>
      </c>
      <c r="BN154" s="17" t="str">
        <f>IFERROR(VLOOKUP(B154,'Statement of Marks'!$B$8:'Statement of Marks'!$HI$207,60,0),"")</f>
        <v>A</v>
      </c>
      <c r="BO154" s="17" t="str">
        <f>IFERROR(VLOOKUP(B154,'Statement of Marks'!$B$8:'Statement of Marks'!$HI$207,83,0),"")</f>
        <v>A</v>
      </c>
      <c r="BP154" s="17" t="str">
        <f>IFERROR(VLOOKUP(B154,'Statement of Marks'!$B$8:'Statement of Marks'!$HI$207,107,0),"")</f>
        <v/>
      </c>
    </row>
    <row r="155" spans="1:68">
      <c r="A155" s="806">
        <f>IF('Statement of Marks'!A154="","",'Statement of Marks'!A154)</f>
        <v>147</v>
      </c>
      <c r="B155" s="807" t="str">
        <f>IF(OR($E$3="",$P$3=""),"",IF('Statement of Marks'!B154="","",'Statement of Marks'!B154))</f>
        <v/>
      </c>
      <c r="C155" s="816" t="str">
        <f>IF(OR($E$3="",$P$3=""),"",IF('Marks Entry'!C154="","",'Marks Entry'!C154))</f>
        <v/>
      </c>
      <c r="D155" s="808" t="str">
        <f>IF(OR($E$3="",$P$3=""),"",IF('Statement of Marks'!C154="","",'Statement of Marks'!C154))</f>
        <v/>
      </c>
      <c r="E155" s="809" t="str">
        <f>IF(OR($E$3="",$P$3=""),"",IF('Statement of Marks'!D154="","",'Statement of Marks'!D154))</f>
        <v/>
      </c>
      <c r="F155" s="810" t="str">
        <f>IF(OR($E$3="",$P$3=""),"",IF('Statement of Marks'!E154="","",'Statement of Marks'!E154))</f>
        <v/>
      </c>
      <c r="G155" s="810" t="str">
        <f>IF(OR($E$3="",$P$3=""),"",IF('Statement of Marks'!F154="","",'Statement of Marks'!F154))</f>
        <v/>
      </c>
      <c r="H155" s="810" t="str">
        <f>IF(OR($E$3="",$P$3=""),"",IF('Statement of Marks'!G154="","",'Statement of Marks'!G154))</f>
        <v/>
      </c>
      <c r="I155" s="811" t="str">
        <f>IF(OR($E$3="",$P$3=""),"",IF('Statement of Marks'!H154="","",'Statement of Marks'!H154))</f>
        <v/>
      </c>
      <c r="J155" s="811" t="str">
        <f>IF(OR($E$3="",$P$3=""),"",IF('Statement of Marks'!I154="","",'Statement of Marks'!I154))</f>
        <v/>
      </c>
      <c r="K155" s="811" t="str">
        <f>IFERROR(IF(B155="","",IF($P$3=$AT$10,IF(AND(BM155="A"),'Marks Entry'!$U$2,IF(AND(BM155="B"),'Marks Entry'!$Y$2,IF(AND(BM155="C"),'Marks Entry'!$AA$2,""))),IF($P$3=$AT$11,IF(AND(BN155="A"),'Marks Entry'!$AC$2,IF(AND(BN155="B"),'Marks Entry'!$AG$2,IF(AND(BN155="C"),'Marks Entry'!$AI$2,""))),IF($P$3=$AT$12,IF(AND(BO155="A"),'Marks Entry'!$AK$2,IF(AND(BO155="B"),'Marks Entry'!$AO$2,IF(AND(BO155="C"),'Marks Entry'!$AQ$2,""))),IF($P$3=$AT$13,IF(AND(BP155="A"),'Marks Entry'!$AS$2,IF(AND(BP155="B"),'Marks Entry'!$AW$2,IF(AND(BP155="C"),'Marks Entry'!$AY$2,""))),"-"))))),"")</f>
        <v/>
      </c>
      <c r="L155" s="812" t="str">
        <f>IFERROR(IF(B155="","",IF($P$3=$AT$8,'Statement of Marks'!J154,IF($P$3=$AT$9,'Statement of Marks'!X154,IF($P$3=$AT$10,'Statement of Marks'!AM154,IF($P$3=$AT$11,'Statement of Marks'!BJ154,IF($P$3=$AT$12,'Statement of Marks'!CG154,IF($P$3=$AT$13,'Statement of Marks'!DE154,IF($P$3=$AT$14,"",IF($P$3=$AT$15,'Statement of Marks'!EY154,""))))))))),"")</f>
        <v/>
      </c>
      <c r="M155" s="812" t="str">
        <f>IFERROR(IF(B155="","",IF($P$3=$AT$8,'Statement of Marks'!K154,IF($P$3=$AT$9,'Statement of Marks'!Y154,IF($P$3=$AT$10,'Statement of Marks'!AN154,IF($P$3=$AT$11,'Statement of Marks'!BK154,IF($P$3=$AT$12,'Statement of Marks'!CH154,IF($P$3=$AT$13,'Statement of Marks'!DF154,IF($P$3=$AT$14,"",IF($P$3=$AT$15,'Statement of Marks'!EZ154,""))))))))),"")</f>
        <v/>
      </c>
      <c r="N155" s="812" t="str">
        <f>IFERROR(IF(B155="","",IF($P$3=$AT$8,'Statement of Marks'!L154,IF($P$3=$AT$9,'Statement of Marks'!Z154,IF($P$3=$AT$10,'Statement of Marks'!AO154,IF($P$3=$AT$11,'Statement of Marks'!BL154,IF($P$3=$AT$12,'Statement of Marks'!CI154,IF($P$3=$AT$13,'Statement of Marks'!DG154,IF($P$3=$AT$14,"",IF($P$3=$AT$15,'Statement of Marks'!FA154,""))))))))),"")</f>
        <v/>
      </c>
      <c r="O155" s="813" t="str">
        <f t="shared" si="32"/>
        <v/>
      </c>
      <c r="P155" s="812" t="str">
        <f>IFERROR(IF(B155="","",IF($P$3=$AT$8,'Statement of Marks'!N154,IF($P$3=$AT$9,'Statement of Marks'!AB154,IF($P$3=$AT$10,'Statement of Marks'!AQ154,IF($P$3=$AT$11,'Statement of Marks'!BN154,IF($P$3=$AT$12,'Statement of Marks'!CK154,IF($P$3=$AT$13,'Statement of Marks'!DI154,IF($P$3=$AT$14,"",IF($P$3=$AT$15,'Statement of Marks'!FC154,""))))))))),"")</f>
        <v/>
      </c>
      <c r="Q155" s="812" t="str">
        <f>IFERROR(IF(B155="","",IF($P$3=$AT$8,"",IF($P$3=$AT$9,"",IF($P$3=$AT$10,'Statement of Marks'!AR154,IF($P$3=$AT$11,'Statement of Marks'!BO154,IF($P$3=$AT$12,'Statement of Marks'!CL154,IF($P$3=$AT$13,'Statement of Marks'!DJ154,IF($P$3=$AT$14,"",IF($P$3=$AT$15,"",""))))))))),"")</f>
        <v/>
      </c>
      <c r="R155" s="824" t="str">
        <f>IFERROR(IF(B155="","",IF(AND(P155="",Q155="",$P$3=""),"",IF($P$3=$AT$14,'Statement of Marks'!EC154,SUM(P155,Q155)))),"")</f>
        <v/>
      </c>
      <c r="S155" s="823" t="str">
        <f>IFERROR(IF(B155="","",IF($P$3=$AT$14,'Statement of Marks'!ED154,IF(AND(O155="NA",P155="NA",Q155="NA"),"NA",IF(AND(O155="",P155="",Q155=""),"",SUM(O155,P155,Q155))))),"")</f>
        <v/>
      </c>
      <c r="T155" s="812" t="str">
        <f>IFERROR(IF(B155="","",IF($P$3=$AT$8,'Statement of Marks'!P154,IF($P$3=$AT$9,'Statement of Marks'!AD154,IF($P$3=$AT$10,'Statement of Marks'!AU154,IF($P$3=$AT$11,'Statement of Marks'!BR154,IF($P$3=$AT$12,'Statement of Marks'!CO154,IF($P$3=$AT$13,'Statement of Marks'!DM154,IF($P$3=$AT$14,"",IF($P$3=$AT$15,'Statement of Marks'!FD154,""))))))))),"")</f>
        <v/>
      </c>
      <c r="U155" s="812" t="str">
        <f>IFERROR(IF(B155="","",IF($P$3=$AT$8,"",IF($P$3=$AT$9,"",IF($P$3=$AT$10,'Statement of Marks'!AV154,IF($P$3=$AT$11,'Statement of Marks'!BS154,IF($P$3=$AT$12,'Statement of Marks'!CP154,IF($P$3=$AT$13,'Statement of Marks'!DN154,IF($P$3=$AT$14,"",IF($P$3=$AT$15,"",""))))))))),"")</f>
        <v/>
      </c>
      <c r="V155" s="824" t="str">
        <f>IFERROR(IF(B155="","",IF(AND(T155="",U155="",$P$3=""),"",IF($P$3=$AT$14,'Statement of Marks'!EE154,SUM(T155,U155)))),"")</f>
        <v/>
      </c>
      <c r="W155" s="814" t="str">
        <f t="shared" si="33"/>
        <v/>
      </c>
      <c r="X155" s="815">
        <f t="shared" si="34"/>
        <v>0</v>
      </c>
      <c r="Y155" s="815">
        <f t="shared" si="35"/>
        <v>0</v>
      </c>
      <c r="Z155" s="815">
        <f t="shared" si="36"/>
        <v>0</v>
      </c>
      <c r="AA155" s="815" t="str">
        <f t="shared" si="37"/>
        <v/>
      </c>
      <c r="AB155" s="815" t="str">
        <f t="shared" si="38"/>
        <v/>
      </c>
      <c r="AC155" s="815" t="str">
        <f t="shared" si="39"/>
        <v/>
      </c>
      <c r="AD155" s="815" t="str">
        <f t="shared" si="40"/>
        <v/>
      </c>
      <c r="AE155" s="816" t="str">
        <f t="shared" si="41"/>
        <v/>
      </c>
      <c r="AF155" s="817" t="str">
        <f t="shared" si="42"/>
        <v/>
      </c>
      <c r="AG155" s="818" t="str">
        <f t="shared" si="43"/>
        <v/>
      </c>
      <c r="AW155" s="17" t="str">
        <f t="shared" si="44"/>
        <v/>
      </c>
      <c r="AX155" s="17" t="str">
        <f t="shared" si="45"/>
        <v/>
      </c>
      <c r="BM155" s="17" t="str">
        <f>IFERROR(VLOOKUP(B155,'Statement of Marks'!$B$8:'Statement of Marks'!$HI$207,37,0),"")</f>
        <v>A</v>
      </c>
      <c r="BN155" s="17" t="str">
        <f>IFERROR(VLOOKUP(B155,'Statement of Marks'!$B$8:'Statement of Marks'!$HI$207,60,0),"")</f>
        <v>A</v>
      </c>
      <c r="BO155" s="17" t="str">
        <f>IFERROR(VLOOKUP(B155,'Statement of Marks'!$B$8:'Statement of Marks'!$HI$207,83,0),"")</f>
        <v>A</v>
      </c>
      <c r="BP155" s="17" t="str">
        <f>IFERROR(VLOOKUP(B155,'Statement of Marks'!$B$8:'Statement of Marks'!$HI$207,107,0),"")</f>
        <v/>
      </c>
    </row>
    <row r="156" spans="1:68">
      <c r="A156" s="806">
        <f>IF('Statement of Marks'!A155="","",'Statement of Marks'!A155)</f>
        <v>148</v>
      </c>
      <c r="B156" s="807" t="str">
        <f>IF(OR($E$3="",$P$3=""),"",IF('Statement of Marks'!B155="","",'Statement of Marks'!B155))</f>
        <v/>
      </c>
      <c r="C156" s="816" t="str">
        <f>IF(OR($E$3="",$P$3=""),"",IF('Marks Entry'!C155="","",'Marks Entry'!C155))</f>
        <v/>
      </c>
      <c r="D156" s="808" t="str">
        <f>IF(OR($E$3="",$P$3=""),"",IF('Statement of Marks'!C155="","",'Statement of Marks'!C155))</f>
        <v/>
      </c>
      <c r="E156" s="809" t="str">
        <f>IF(OR($E$3="",$P$3=""),"",IF('Statement of Marks'!D155="","",'Statement of Marks'!D155))</f>
        <v/>
      </c>
      <c r="F156" s="810" t="str">
        <f>IF(OR($E$3="",$P$3=""),"",IF('Statement of Marks'!E155="","",'Statement of Marks'!E155))</f>
        <v/>
      </c>
      <c r="G156" s="810" t="str">
        <f>IF(OR($E$3="",$P$3=""),"",IF('Statement of Marks'!F155="","",'Statement of Marks'!F155))</f>
        <v/>
      </c>
      <c r="H156" s="810" t="str">
        <f>IF(OR($E$3="",$P$3=""),"",IF('Statement of Marks'!G155="","",'Statement of Marks'!G155))</f>
        <v/>
      </c>
      <c r="I156" s="811" t="str">
        <f>IF(OR($E$3="",$P$3=""),"",IF('Statement of Marks'!H155="","",'Statement of Marks'!H155))</f>
        <v/>
      </c>
      <c r="J156" s="811" t="str">
        <f>IF(OR($E$3="",$P$3=""),"",IF('Statement of Marks'!I155="","",'Statement of Marks'!I155))</f>
        <v/>
      </c>
      <c r="K156" s="811" t="str">
        <f>IFERROR(IF(B156="","",IF($P$3=$AT$10,IF(AND(BM156="A"),'Marks Entry'!$U$2,IF(AND(BM156="B"),'Marks Entry'!$Y$2,IF(AND(BM156="C"),'Marks Entry'!$AA$2,""))),IF($P$3=$AT$11,IF(AND(BN156="A"),'Marks Entry'!$AC$2,IF(AND(BN156="B"),'Marks Entry'!$AG$2,IF(AND(BN156="C"),'Marks Entry'!$AI$2,""))),IF($P$3=$AT$12,IF(AND(BO156="A"),'Marks Entry'!$AK$2,IF(AND(BO156="B"),'Marks Entry'!$AO$2,IF(AND(BO156="C"),'Marks Entry'!$AQ$2,""))),IF($P$3=$AT$13,IF(AND(BP156="A"),'Marks Entry'!$AS$2,IF(AND(BP156="B"),'Marks Entry'!$AW$2,IF(AND(BP156="C"),'Marks Entry'!$AY$2,""))),"-"))))),"")</f>
        <v/>
      </c>
      <c r="L156" s="812" t="str">
        <f>IFERROR(IF(B156="","",IF($P$3=$AT$8,'Statement of Marks'!J155,IF($P$3=$AT$9,'Statement of Marks'!X155,IF($P$3=$AT$10,'Statement of Marks'!AM155,IF($P$3=$AT$11,'Statement of Marks'!BJ155,IF($P$3=$AT$12,'Statement of Marks'!CG155,IF($P$3=$AT$13,'Statement of Marks'!DE155,IF($P$3=$AT$14,"",IF($P$3=$AT$15,'Statement of Marks'!EY155,""))))))))),"")</f>
        <v/>
      </c>
      <c r="M156" s="812" t="str">
        <f>IFERROR(IF(B156="","",IF($P$3=$AT$8,'Statement of Marks'!K155,IF($P$3=$AT$9,'Statement of Marks'!Y155,IF($P$3=$AT$10,'Statement of Marks'!AN155,IF($P$3=$AT$11,'Statement of Marks'!BK155,IF($P$3=$AT$12,'Statement of Marks'!CH155,IF($P$3=$AT$13,'Statement of Marks'!DF155,IF($P$3=$AT$14,"",IF($P$3=$AT$15,'Statement of Marks'!EZ155,""))))))))),"")</f>
        <v/>
      </c>
      <c r="N156" s="812" t="str">
        <f>IFERROR(IF(B156="","",IF($P$3=$AT$8,'Statement of Marks'!L155,IF($P$3=$AT$9,'Statement of Marks'!Z155,IF($P$3=$AT$10,'Statement of Marks'!AO155,IF($P$3=$AT$11,'Statement of Marks'!BL155,IF($P$3=$AT$12,'Statement of Marks'!CI155,IF($P$3=$AT$13,'Statement of Marks'!DG155,IF($P$3=$AT$14,"",IF($P$3=$AT$15,'Statement of Marks'!FA155,""))))))))),"")</f>
        <v/>
      </c>
      <c r="O156" s="813" t="str">
        <f t="shared" si="32"/>
        <v/>
      </c>
      <c r="P156" s="812" t="str">
        <f>IFERROR(IF(B156="","",IF($P$3=$AT$8,'Statement of Marks'!N155,IF($P$3=$AT$9,'Statement of Marks'!AB155,IF($P$3=$AT$10,'Statement of Marks'!AQ155,IF($P$3=$AT$11,'Statement of Marks'!BN155,IF($P$3=$AT$12,'Statement of Marks'!CK155,IF($P$3=$AT$13,'Statement of Marks'!DI155,IF($P$3=$AT$14,"",IF($P$3=$AT$15,'Statement of Marks'!FC155,""))))))))),"")</f>
        <v/>
      </c>
      <c r="Q156" s="812" t="str">
        <f>IFERROR(IF(B156="","",IF($P$3=$AT$8,"",IF($P$3=$AT$9,"",IF($P$3=$AT$10,'Statement of Marks'!AR155,IF($P$3=$AT$11,'Statement of Marks'!BO155,IF($P$3=$AT$12,'Statement of Marks'!CL155,IF($P$3=$AT$13,'Statement of Marks'!DJ155,IF($P$3=$AT$14,"",IF($P$3=$AT$15,"",""))))))))),"")</f>
        <v/>
      </c>
      <c r="R156" s="824" t="str">
        <f>IFERROR(IF(B156="","",IF(AND(P156="",Q156="",$P$3=""),"",IF($P$3=$AT$14,'Statement of Marks'!EC155,SUM(P156,Q156)))),"")</f>
        <v/>
      </c>
      <c r="S156" s="823" t="str">
        <f>IFERROR(IF(B156="","",IF($P$3=$AT$14,'Statement of Marks'!ED155,IF(AND(O156="NA",P156="NA",Q156="NA"),"NA",IF(AND(O156="",P156="",Q156=""),"",SUM(O156,P156,Q156))))),"")</f>
        <v/>
      </c>
      <c r="T156" s="812" t="str">
        <f>IFERROR(IF(B156="","",IF($P$3=$AT$8,'Statement of Marks'!P155,IF($P$3=$AT$9,'Statement of Marks'!AD155,IF($P$3=$AT$10,'Statement of Marks'!AU155,IF($P$3=$AT$11,'Statement of Marks'!BR155,IF($P$3=$AT$12,'Statement of Marks'!CO155,IF($P$3=$AT$13,'Statement of Marks'!DM155,IF($P$3=$AT$14,"",IF($P$3=$AT$15,'Statement of Marks'!FD155,""))))))))),"")</f>
        <v/>
      </c>
      <c r="U156" s="812" t="str">
        <f>IFERROR(IF(B156="","",IF($P$3=$AT$8,"",IF($P$3=$AT$9,"",IF($P$3=$AT$10,'Statement of Marks'!AV155,IF($P$3=$AT$11,'Statement of Marks'!BS155,IF($P$3=$AT$12,'Statement of Marks'!CP155,IF($P$3=$AT$13,'Statement of Marks'!DN155,IF($P$3=$AT$14,"",IF($P$3=$AT$15,"",""))))))))),"")</f>
        <v/>
      </c>
      <c r="V156" s="824" t="str">
        <f>IFERROR(IF(B156="","",IF(AND(T156="",U156="",$P$3=""),"",IF($P$3=$AT$14,'Statement of Marks'!EE155,SUM(T156,U156)))),"")</f>
        <v/>
      </c>
      <c r="W156" s="814" t="str">
        <f t="shared" si="33"/>
        <v/>
      </c>
      <c r="X156" s="815">
        <f t="shared" si="34"/>
        <v>0</v>
      </c>
      <c r="Y156" s="815">
        <f t="shared" si="35"/>
        <v>0</v>
      </c>
      <c r="Z156" s="815">
        <f t="shared" si="36"/>
        <v>0</v>
      </c>
      <c r="AA156" s="815" t="str">
        <f t="shared" si="37"/>
        <v/>
      </c>
      <c r="AB156" s="815" t="str">
        <f t="shared" si="38"/>
        <v/>
      </c>
      <c r="AC156" s="815" t="str">
        <f t="shared" si="39"/>
        <v/>
      </c>
      <c r="AD156" s="815" t="str">
        <f t="shared" si="40"/>
        <v/>
      </c>
      <c r="AE156" s="816" t="str">
        <f t="shared" si="41"/>
        <v/>
      </c>
      <c r="AF156" s="817" t="str">
        <f t="shared" si="42"/>
        <v/>
      </c>
      <c r="AG156" s="818" t="str">
        <f t="shared" si="43"/>
        <v/>
      </c>
      <c r="AW156" s="17" t="str">
        <f t="shared" si="44"/>
        <v/>
      </c>
      <c r="AX156" s="17" t="str">
        <f t="shared" si="45"/>
        <v/>
      </c>
      <c r="BM156" s="17" t="str">
        <f>IFERROR(VLOOKUP(B156,'Statement of Marks'!$B$8:'Statement of Marks'!$HI$207,37,0),"")</f>
        <v>A</v>
      </c>
      <c r="BN156" s="17" t="str">
        <f>IFERROR(VLOOKUP(B156,'Statement of Marks'!$B$8:'Statement of Marks'!$HI$207,60,0),"")</f>
        <v>A</v>
      </c>
      <c r="BO156" s="17" t="str">
        <f>IFERROR(VLOOKUP(B156,'Statement of Marks'!$B$8:'Statement of Marks'!$HI$207,83,0),"")</f>
        <v>A</v>
      </c>
      <c r="BP156" s="17" t="str">
        <f>IFERROR(VLOOKUP(B156,'Statement of Marks'!$B$8:'Statement of Marks'!$HI$207,107,0),"")</f>
        <v/>
      </c>
    </row>
    <row r="157" spans="1:68">
      <c r="A157" s="806">
        <f>IF('Statement of Marks'!A156="","",'Statement of Marks'!A156)</f>
        <v>149</v>
      </c>
      <c r="B157" s="807" t="str">
        <f>IF(OR($E$3="",$P$3=""),"",IF('Statement of Marks'!B156="","",'Statement of Marks'!B156))</f>
        <v/>
      </c>
      <c r="C157" s="816" t="str">
        <f>IF(OR($E$3="",$P$3=""),"",IF('Marks Entry'!C156="","",'Marks Entry'!C156))</f>
        <v/>
      </c>
      <c r="D157" s="808" t="str">
        <f>IF(OR($E$3="",$P$3=""),"",IF('Statement of Marks'!C156="","",'Statement of Marks'!C156))</f>
        <v/>
      </c>
      <c r="E157" s="809" t="str">
        <f>IF(OR($E$3="",$P$3=""),"",IF('Statement of Marks'!D156="","",'Statement of Marks'!D156))</f>
        <v/>
      </c>
      <c r="F157" s="810" t="str">
        <f>IF(OR($E$3="",$P$3=""),"",IF('Statement of Marks'!E156="","",'Statement of Marks'!E156))</f>
        <v/>
      </c>
      <c r="G157" s="810" t="str">
        <f>IF(OR($E$3="",$P$3=""),"",IF('Statement of Marks'!F156="","",'Statement of Marks'!F156))</f>
        <v/>
      </c>
      <c r="H157" s="810" t="str">
        <f>IF(OR($E$3="",$P$3=""),"",IF('Statement of Marks'!G156="","",'Statement of Marks'!G156))</f>
        <v/>
      </c>
      <c r="I157" s="811" t="str">
        <f>IF(OR($E$3="",$P$3=""),"",IF('Statement of Marks'!H156="","",'Statement of Marks'!H156))</f>
        <v/>
      </c>
      <c r="J157" s="811" t="str">
        <f>IF(OR($E$3="",$P$3=""),"",IF('Statement of Marks'!I156="","",'Statement of Marks'!I156))</f>
        <v/>
      </c>
      <c r="K157" s="811" t="str">
        <f>IFERROR(IF(B157="","",IF($P$3=$AT$10,IF(AND(BM157="A"),'Marks Entry'!$U$2,IF(AND(BM157="B"),'Marks Entry'!$Y$2,IF(AND(BM157="C"),'Marks Entry'!$AA$2,""))),IF($P$3=$AT$11,IF(AND(BN157="A"),'Marks Entry'!$AC$2,IF(AND(BN157="B"),'Marks Entry'!$AG$2,IF(AND(BN157="C"),'Marks Entry'!$AI$2,""))),IF($P$3=$AT$12,IF(AND(BO157="A"),'Marks Entry'!$AK$2,IF(AND(BO157="B"),'Marks Entry'!$AO$2,IF(AND(BO157="C"),'Marks Entry'!$AQ$2,""))),IF($P$3=$AT$13,IF(AND(BP157="A"),'Marks Entry'!$AS$2,IF(AND(BP157="B"),'Marks Entry'!$AW$2,IF(AND(BP157="C"),'Marks Entry'!$AY$2,""))),"-"))))),"")</f>
        <v/>
      </c>
      <c r="L157" s="812" t="str">
        <f>IFERROR(IF(B157="","",IF($P$3=$AT$8,'Statement of Marks'!J156,IF($P$3=$AT$9,'Statement of Marks'!X156,IF($P$3=$AT$10,'Statement of Marks'!AM156,IF($P$3=$AT$11,'Statement of Marks'!BJ156,IF($P$3=$AT$12,'Statement of Marks'!CG156,IF($P$3=$AT$13,'Statement of Marks'!DE156,IF($P$3=$AT$14,"",IF($P$3=$AT$15,'Statement of Marks'!EY156,""))))))))),"")</f>
        <v/>
      </c>
      <c r="M157" s="812" t="str">
        <f>IFERROR(IF(B157="","",IF($P$3=$AT$8,'Statement of Marks'!K156,IF($P$3=$AT$9,'Statement of Marks'!Y156,IF($P$3=$AT$10,'Statement of Marks'!AN156,IF($P$3=$AT$11,'Statement of Marks'!BK156,IF($P$3=$AT$12,'Statement of Marks'!CH156,IF($P$3=$AT$13,'Statement of Marks'!DF156,IF($P$3=$AT$14,"",IF($P$3=$AT$15,'Statement of Marks'!EZ156,""))))))))),"")</f>
        <v/>
      </c>
      <c r="N157" s="812" t="str">
        <f>IFERROR(IF(B157="","",IF($P$3=$AT$8,'Statement of Marks'!L156,IF($P$3=$AT$9,'Statement of Marks'!Z156,IF($P$3=$AT$10,'Statement of Marks'!AO156,IF($P$3=$AT$11,'Statement of Marks'!BL156,IF($P$3=$AT$12,'Statement of Marks'!CI156,IF($P$3=$AT$13,'Statement of Marks'!DG156,IF($P$3=$AT$14,"",IF($P$3=$AT$15,'Statement of Marks'!FA156,""))))))))),"")</f>
        <v/>
      </c>
      <c r="O157" s="813" t="str">
        <f t="shared" si="32"/>
        <v/>
      </c>
      <c r="P157" s="812" t="str">
        <f>IFERROR(IF(B157="","",IF($P$3=$AT$8,'Statement of Marks'!N156,IF($P$3=$AT$9,'Statement of Marks'!AB156,IF($P$3=$AT$10,'Statement of Marks'!AQ156,IF($P$3=$AT$11,'Statement of Marks'!BN156,IF($P$3=$AT$12,'Statement of Marks'!CK156,IF($P$3=$AT$13,'Statement of Marks'!DI156,IF($P$3=$AT$14,"",IF($P$3=$AT$15,'Statement of Marks'!FC156,""))))))))),"")</f>
        <v/>
      </c>
      <c r="Q157" s="812" t="str">
        <f>IFERROR(IF(B157="","",IF($P$3=$AT$8,"",IF($P$3=$AT$9,"",IF($P$3=$AT$10,'Statement of Marks'!AR156,IF($P$3=$AT$11,'Statement of Marks'!BO156,IF($P$3=$AT$12,'Statement of Marks'!CL156,IF($P$3=$AT$13,'Statement of Marks'!DJ156,IF($P$3=$AT$14,"",IF($P$3=$AT$15,"",""))))))))),"")</f>
        <v/>
      </c>
      <c r="R157" s="824" t="str">
        <f>IFERROR(IF(B157="","",IF(AND(P157="",Q157="",$P$3=""),"",IF($P$3=$AT$14,'Statement of Marks'!EC156,SUM(P157,Q157)))),"")</f>
        <v/>
      </c>
      <c r="S157" s="823" t="str">
        <f>IFERROR(IF(B157="","",IF($P$3=$AT$14,'Statement of Marks'!ED156,IF(AND(O157="NA",P157="NA",Q157="NA"),"NA",IF(AND(O157="",P157="",Q157=""),"",SUM(O157,P157,Q157))))),"")</f>
        <v/>
      </c>
      <c r="T157" s="812" t="str">
        <f>IFERROR(IF(B157="","",IF($P$3=$AT$8,'Statement of Marks'!P156,IF($P$3=$AT$9,'Statement of Marks'!AD156,IF($P$3=$AT$10,'Statement of Marks'!AU156,IF($P$3=$AT$11,'Statement of Marks'!BR156,IF($P$3=$AT$12,'Statement of Marks'!CO156,IF($P$3=$AT$13,'Statement of Marks'!DM156,IF($P$3=$AT$14,"",IF($P$3=$AT$15,'Statement of Marks'!FD156,""))))))))),"")</f>
        <v/>
      </c>
      <c r="U157" s="812" t="str">
        <f>IFERROR(IF(B157="","",IF($P$3=$AT$8,"",IF($P$3=$AT$9,"",IF($P$3=$AT$10,'Statement of Marks'!AV156,IF($P$3=$AT$11,'Statement of Marks'!BS156,IF($P$3=$AT$12,'Statement of Marks'!CP156,IF($P$3=$AT$13,'Statement of Marks'!DN156,IF($P$3=$AT$14,"",IF($P$3=$AT$15,"",""))))))))),"")</f>
        <v/>
      </c>
      <c r="V157" s="824" t="str">
        <f>IFERROR(IF(B157="","",IF(AND(T157="",U157="",$P$3=""),"",IF($P$3=$AT$14,'Statement of Marks'!EE156,SUM(T157,U157)))),"")</f>
        <v/>
      </c>
      <c r="W157" s="814" t="str">
        <f t="shared" si="33"/>
        <v/>
      </c>
      <c r="X157" s="815">
        <f t="shared" si="34"/>
        <v>0</v>
      </c>
      <c r="Y157" s="815">
        <f t="shared" si="35"/>
        <v>0</v>
      </c>
      <c r="Z157" s="815">
        <f t="shared" si="36"/>
        <v>0</v>
      </c>
      <c r="AA157" s="815" t="str">
        <f t="shared" si="37"/>
        <v/>
      </c>
      <c r="AB157" s="815" t="str">
        <f t="shared" si="38"/>
        <v/>
      </c>
      <c r="AC157" s="815" t="str">
        <f t="shared" si="39"/>
        <v/>
      </c>
      <c r="AD157" s="815" t="str">
        <f t="shared" si="40"/>
        <v/>
      </c>
      <c r="AE157" s="816" t="str">
        <f t="shared" si="41"/>
        <v/>
      </c>
      <c r="AF157" s="817" t="str">
        <f t="shared" si="42"/>
        <v/>
      </c>
      <c r="AG157" s="818" t="str">
        <f t="shared" si="43"/>
        <v/>
      </c>
      <c r="AW157" s="17" t="str">
        <f t="shared" si="44"/>
        <v/>
      </c>
      <c r="AX157" s="17" t="str">
        <f t="shared" si="45"/>
        <v/>
      </c>
      <c r="BM157" s="17" t="str">
        <f>IFERROR(VLOOKUP(B157,'Statement of Marks'!$B$8:'Statement of Marks'!$HI$207,37,0),"")</f>
        <v>A</v>
      </c>
      <c r="BN157" s="17" t="str">
        <f>IFERROR(VLOOKUP(B157,'Statement of Marks'!$B$8:'Statement of Marks'!$HI$207,60,0),"")</f>
        <v>A</v>
      </c>
      <c r="BO157" s="17" t="str">
        <f>IFERROR(VLOOKUP(B157,'Statement of Marks'!$B$8:'Statement of Marks'!$HI$207,83,0),"")</f>
        <v>A</v>
      </c>
      <c r="BP157" s="17" t="str">
        <f>IFERROR(VLOOKUP(B157,'Statement of Marks'!$B$8:'Statement of Marks'!$HI$207,107,0),"")</f>
        <v/>
      </c>
    </row>
    <row r="158" spans="1:68">
      <c r="A158" s="806">
        <f>IF('Statement of Marks'!A157="","",'Statement of Marks'!A157)</f>
        <v>150</v>
      </c>
      <c r="B158" s="807" t="str">
        <f>IF(OR($E$3="",$P$3=""),"",IF('Statement of Marks'!B157="","",'Statement of Marks'!B157))</f>
        <v/>
      </c>
      <c r="C158" s="816" t="str">
        <f>IF(OR($E$3="",$P$3=""),"",IF('Marks Entry'!C157="","",'Marks Entry'!C157))</f>
        <v/>
      </c>
      <c r="D158" s="808" t="str">
        <f>IF(OR($E$3="",$P$3=""),"",IF('Statement of Marks'!C157="","",'Statement of Marks'!C157))</f>
        <v/>
      </c>
      <c r="E158" s="809" t="str">
        <f>IF(OR($E$3="",$P$3=""),"",IF('Statement of Marks'!D157="","",'Statement of Marks'!D157))</f>
        <v/>
      </c>
      <c r="F158" s="810" t="str">
        <f>IF(OR($E$3="",$P$3=""),"",IF('Statement of Marks'!E157="","",'Statement of Marks'!E157))</f>
        <v/>
      </c>
      <c r="G158" s="810" t="str">
        <f>IF(OR($E$3="",$P$3=""),"",IF('Statement of Marks'!F157="","",'Statement of Marks'!F157))</f>
        <v/>
      </c>
      <c r="H158" s="810" t="str">
        <f>IF(OR($E$3="",$P$3=""),"",IF('Statement of Marks'!G157="","",'Statement of Marks'!G157))</f>
        <v/>
      </c>
      <c r="I158" s="811" t="str">
        <f>IF(OR($E$3="",$P$3=""),"",IF('Statement of Marks'!H157="","",'Statement of Marks'!H157))</f>
        <v/>
      </c>
      <c r="J158" s="811" t="str">
        <f>IF(OR($E$3="",$P$3=""),"",IF('Statement of Marks'!I157="","",'Statement of Marks'!I157))</f>
        <v/>
      </c>
      <c r="K158" s="811" t="str">
        <f>IFERROR(IF(B158="","",IF($P$3=$AT$10,IF(AND(BM158="A"),'Marks Entry'!$U$2,IF(AND(BM158="B"),'Marks Entry'!$Y$2,IF(AND(BM158="C"),'Marks Entry'!$AA$2,""))),IF($P$3=$AT$11,IF(AND(BN158="A"),'Marks Entry'!$AC$2,IF(AND(BN158="B"),'Marks Entry'!$AG$2,IF(AND(BN158="C"),'Marks Entry'!$AI$2,""))),IF($P$3=$AT$12,IF(AND(BO158="A"),'Marks Entry'!$AK$2,IF(AND(BO158="B"),'Marks Entry'!$AO$2,IF(AND(BO158="C"),'Marks Entry'!$AQ$2,""))),IF($P$3=$AT$13,IF(AND(BP158="A"),'Marks Entry'!$AS$2,IF(AND(BP158="B"),'Marks Entry'!$AW$2,IF(AND(BP158="C"),'Marks Entry'!$AY$2,""))),"-"))))),"")</f>
        <v/>
      </c>
      <c r="L158" s="812" t="str">
        <f>IFERROR(IF(B158="","",IF($P$3=$AT$8,'Statement of Marks'!J157,IF($P$3=$AT$9,'Statement of Marks'!X157,IF($P$3=$AT$10,'Statement of Marks'!AM157,IF($P$3=$AT$11,'Statement of Marks'!BJ157,IF($P$3=$AT$12,'Statement of Marks'!CG157,IF($P$3=$AT$13,'Statement of Marks'!DE157,IF($P$3=$AT$14,"",IF($P$3=$AT$15,'Statement of Marks'!EY157,""))))))))),"")</f>
        <v/>
      </c>
      <c r="M158" s="812" t="str">
        <f>IFERROR(IF(B158="","",IF($P$3=$AT$8,'Statement of Marks'!K157,IF($P$3=$AT$9,'Statement of Marks'!Y157,IF($P$3=$AT$10,'Statement of Marks'!AN157,IF($P$3=$AT$11,'Statement of Marks'!BK157,IF($P$3=$AT$12,'Statement of Marks'!CH157,IF($P$3=$AT$13,'Statement of Marks'!DF157,IF($P$3=$AT$14,"",IF($P$3=$AT$15,'Statement of Marks'!EZ157,""))))))))),"")</f>
        <v/>
      </c>
      <c r="N158" s="812" t="str">
        <f>IFERROR(IF(B158="","",IF($P$3=$AT$8,'Statement of Marks'!L157,IF($P$3=$AT$9,'Statement of Marks'!Z157,IF($P$3=$AT$10,'Statement of Marks'!AO157,IF($P$3=$AT$11,'Statement of Marks'!BL157,IF($P$3=$AT$12,'Statement of Marks'!CI157,IF($P$3=$AT$13,'Statement of Marks'!DG157,IF($P$3=$AT$14,"",IF($P$3=$AT$15,'Statement of Marks'!FA157,""))))))))),"")</f>
        <v/>
      </c>
      <c r="O158" s="813" t="str">
        <f t="shared" si="32"/>
        <v/>
      </c>
      <c r="P158" s="812" t="str">
        <f>IFERROR(IF(B158="","",IF($P$3=$AT$8,'Statement of Marks'!N157,IF($P$3=$AT$9,'Statement of Marks'!AB157,IF($P$3=$AT$10,'Statement of Marks'!AQ157,IF($P$3=$AT$11,'Statement of Marks'!BN157,IF($P$3=$AT$12,'Statement of Marks'!CK157,IF($P$3=$AT$13,'Statement of Marks'!DI157,IF($P$3=$AT$14,"",IF($P$3=$AT$15,'Statement of Marks'!FC157,""))))))))),"")</f>
        <v/>
      </c>
      <c r="Q158" s="812" t="str">
        <f>IFERROR(IF(B158="","",IF($P$3=$AT$8,"",IF($P$3=$AT$9,"",IF($P$3=$AT$10,'Statement of Marks'!AR157,IF($P$3=$AT$11,'Statement of Marks'!BO157,IF($P$3=$AT$12,'Statement of Marks'!CL157,IF($P$3=$AT$13,'Statement of Marks'!DJ157,IF($P$3=$AT$14,"",IF($P$3=$AT$15,"",""))))))))),"")</f>
        <v/>
      </c>
      <c r="R158" s="824" t="str">
        <f>IFERROR(IF(B158="","",IF(AND(P158="",Q158="",$P$3=""),"",IF($P$3=$AT$14,'Statement of Marks'!EC157,SUM(P158,Q158)))),"")</f>
        <v/>
      </c>
      <c r="S158" s="823" t="str">
        <f>IFERROR(IF(B158="","",IF($P$3=$AT$14,'Statement of Marks'!ED157,IF(AND(O158="NA",P158="NA",Q158="NA"),"NA",IF(AND(O158="",P158="",Q158=""),"",SUM(O158,P158,Q158))))),"")</f>
        <v/>
      </c>
      <c r="T158" s="812" t="str">
        <f>IFERROR(IF(B158="","",IF($P$3=$AT$8,'Statement of Marks'!P157,IF($P$3=$AT$9,'Statement of Marks'!AD157,IF($P$3=$AT$10,'Statement of Marks'!AU157,IF($P$3=$AT$11,'Statement of Marks'!BR157,IF($P$3=$AT$12,'Statement of Marks'!CO157,IF($P$3=$AT$13,'Statement of Marks'!DM157,IF($P$3=$AT$14,"",IF($P$3=$AT$15,'Statement of Marks'!FD157,""))))))))),"")</f>
        <v/>
      </c>
      <c r="U158" s="812" t="str">
        <f>IFERROR(IF(B158="","",IF($P$3=$AT$8,"",IF($P$3=$AT$9,"",IF($P$3=$AT$10,'Statement of Marks'!AV157,IF($P$3=$AT$11,'Statement of Marks'!BS157,IF($P$3=$AT$12,'Statement of Marks'!CP157,IF($P$3=$AT$13,'Statement of Marks'!DN157,IF($P$3=$AT$14,"",IF($P$3=$AT$15,"",""))))))))),"")</f>
        <v/>
      </c>
      <c r="V158" s="824" t="str">
        <f>IFERROR(IF(B158="","",IF(AND(T158="",U158="",$P$3=""),"",IF($P$3=$AT$14,'Statement of Marks'!EE157,SUM(T158,U158)))),"")</f>
        <v/>
      </c>
      <c r="W158" s="814" t="str">
        <f t="shared" si="33"/>
        <v/>
      </c>
      <c r="X158" s="815">
        <f t="shared" si="34"/>
        <v>0</v>
      </c>
      <c r="Y158" s="815">
        <f t="shared" si="35"/>
        <v>0</v>
      </c>
      <c r="Z158" s="815">
        <f t="shared" si="36"/>
        <v>0</v>
      </c>
      <c r="AA158" s="815" t="str">
        <f t="shared" si="37"/>
        <v/>
      </c>
      <c r="AB158" s="815" t="str">
        <f t="shared" si="38"/>
        <v/>
      </c>
      <c r="AC158" s="815" t="str">
        <f t="shared" si="39"/>
        <v/>
      </c>
      <c r="AD158" s="815" t="str">
        <f t="shared" si="40"/>
        <v/>
      </c>
      <c r="AE158" s="816" t="str">
        <f t="shared" si="41"/>
        <v/>
      </c>
      <c r="AF158" s="817" t="str">
        <f t="shared" si="42"/>
        <v/>
      </c>
      <c r="AG158" s="818" t="str">
        <f t="shared" si="43"/>
        <v/>
      </c>
      <c r="AW158" s="17" t="str">
        <f t="shared" si="44"/>
        <v/>
      </c>
      <c r="AX158" s="17" t="str">
        <f t="shared" si="45"/>
        <v/>
      </c>
      <c r="BM158" s="17" t="str">
        <f>IFERROR(VLOOKUP(B158,'Statement of Marks'!$B$8:'Statement of Marks'!$HI$207,37,0),"")</f>
        <v>A</v>
      </c>
      <c r="BN158" s="17" t="str">
        <f>IFERROR(VLOOKUP(B158,'Statement of Marks'!$B$8:'Statement of Marks'!$HI$207,60,0),"")</f>
        <v>A</v>
      </c>
      <c r="BO158" s="17" t="str">
        <f>IFERROR(VLOOKUP(B158,'Statement of Marks'!$B$8:'Statement of Marks'!$HI$207,83,0),"")</f>
        <v>A</v>
      </c>
      <c r="BP158" s="17" t="str">
        <f>IFERROR(VLOOKUP(B158,'Statement of Marks'!$B$8:'Statement of Marks'!$HI$207,107,0),"")</f>
        <v/>
      </c>
    </row>
    <row r="159" spans="1:68">
      <c r="A159" s="806">
        <f>IF('Statement of Marks'!A158="","",'Statement of Marks'!A158)</f>
        <v>151</v>
      </c>
      <c r="B159" s="807" t="str">
        <f>IF(OR($E$3="",$P$3=""),"",IF('Statement of Marks'!B158="","",'Statement of Marks'!B158))</f>
        <v/>
      </c>
      <c r="C159" s="816" t="str">
        <f>IF(OR($E$3="",$P$3=""),"",IF('Marks Entry'!C158="","",'Marks Entry'!C158))</f>
        <v/>
      </c>
      <c r="D159" s="808" t="str">
        <f>IF(OR($E$3="",$P$3=""),"",IF('Statement of Marks'!C158="","",'Statement of Marks'!C158))</f>
        <v/>
      </c>
      <c r="E159" s="809" t="str">
        <f>IF(OR($E$3="",$P$3=""),"",IF('Statement of Marks'!D158="","",'Statement of Marks'!D158))</f>
        <v/>
      </c>
      <c r="F159" s="810" t="str">
        <f>IF(OR($E$3="",$P$3=""),"",IF('Statement of Marks'!E158="","",'Statement of Marks'!E158))</f>
        <v/>
      </c>
      <c r="G159" s="810" t="str">
        <f>IF(OR($E$3="",$P$3=""),"",IF('Statement of Marks'!F158="","",'Statement of Marks'!F158))</f>
        <v/>
      </c>
      <c r="H159" s="810" t="str">
        <f>IF(OR($E$3="",$P$3=""),"",IF('Statement of Marks'!G158="","",'Statement of Marks'!G158))</f>
        <v/>
      </c>
      <c r="I159" s="811" t="str">
        <f>IF(OR($E$3="",$P$3=""),"",IF('Statement of Marks'!H158="","",'Statement of Marks'!H158))</f>
        <v/>
      </c>
      <c r="J159" s="811" t="str">
        <f>IF(OR($E$3="",$P$3=""),"",IF('Statement of Marks'!I158="","",'Statement of Marks'!I158))</f>
        <v/>
      </c>
      <c r="K159" s="811" t="str">
        <f>IFERROR(IF(B159="","",IF($P$3=$AT$10,IF(AND(BM159="A"),'Marks Entry'!$U$2,IF(AND(BM159="B"),'Marks Entry'!$Y$2,IF(AND(BM159="C"),'Marks Entry'!$AA$2,""))),IF($P$3=$AT$11,IF(AND(BN159="A"),'Marks Entry'!$AC$2,IF(AND(BN159="B"),'Marks Entry'!$AG$2,IF(AND(BN159="C"),'Marks Entry'!$AI$2,""))),IF($P$3=$AT$12,IF(AND(BO159="A"),'Marks Entry'!$AK$2,IF(AND(BO159="B"),'Marks Entry'!$AO$2,IF(AND(BO159="C"),'Marks Entry'!$AQ$2,""))),IF($P$3=$AT$13,IF(AND(BP159="A"),'Marks Entry'!$AS$2,IF(AND(BP159="B"),'Marks Entry'!$AW$2,IF(AND(BP159="C"),'Marks Entry'!$AY$2,""))),"-"))))),"")</f>
        <v/>
      </c>
      <c r="L159" s="812" t="str">
        <f>IFERROR(IF(B159="","",IF($P$3=$AT$8,'Statement of Marks'!J158,IF($P$3=$AT$9,'Statement of Marks'!X158,IF($P$3=$AT$10,'Statement of Marks'!AM158,IF($P$3=$AT$11,'Statement of Marks'!BJ158,IF($P$3=$AT$12,'Statement of Marks'!CG158,IF($P$3=$AT$13,'Statement of Marks'!DE158,IF($P$3=$AT$14,"",IF($P$3=$AT$15,'Statement of Marks'!EY158,""))))))))),"")</f>
        <v/>
      </c>
      <c r="M159" s="812" t="str">
        <f>IFERROR(IF(B159="","",IF($P$3=$AT$8,'Statement of Marks'!K158,IF($P$3=$AT$9,'Statement of Marks'!Y158,IF($P$3=$AT$10,'Statement of Marks'!AN158,IF($P$3=$AT$11,'Statement of Marks'!BK158,IF($P$3=$AT$12,'Statement of Marks'!CH158,IF($P$3=$AT$13,'Statement of Marks'!DF158,IF($P$3=$AT$14,"",IF($P$3=$AT$15,'Statement of Marks'!EZ158,""))))))))),"")</f>
        <v/>
      </c>
      <c r="N159" s="812" t="str">
        <f>IFERROR(IF(B159="","",IF($P$3=$AT$8,'Statement of Marks'!L158,IF($P$3=$AT$9,'Statement of Marks'!Z158,IF($P$3=$AT$10,'Statement of Marks'!AO158,IF($P$3=$AT$11,'Statement of Marks'!BL158,IF($P$3=$AT$12,'Statement of Marks'!CI158,IF($P$3=$AT$13,'Statement of Marks'!DG158,IF($P$3=$AT$14,"",IF($P$3=$AT$15,'Statement of Marks'!FA158,""))))))))),"")</f>
        <v/>
      </c>
      <c r="O159" s="813" t="str">
        <f t="shared" si="32"/>
        <v/>
      </c>
      <c r="P159" s="812" t="str">
        <f>IFERROR(IF(B159="","",IF($P$3=$AT$8,'Statement of Marks'!N158,IF($P$3=$AT$9,'Statement of Marks'!AB158,IF($P$3=$AT$10,'Statement of Marks'!AQ158,IF($P$3=$AT$11,'Statement of Marks'!BN158,IF($P$3=$AT$12,'Statement of Marks'!CK158,IF($P$3=$AT$13,'Statement of Marks'!DI158,IF($P$3=$AT$14,"",IF($P$3=$AT$15,'Statement of Marks'!FC158,""))))))))),"")</f>
        <v/>
      </c>
      <c r="Q159" s="812" t="str">
        <f>IFERROR(IF(B159="","",IF($P$3=$AT$8,"",IF($P$3=$AT$9,"",IF($P$3=$AT$10,'Statement of Marks'!AR158,IF($P$3=$AT$11,'Statement of Marks'!BO158,IF($P$3=$AT$12,'Statement of Marks'!CL158,IF($P$3=$AT$13,'Statement of Marks'!DJ158,IF($P$3=$AT$14,"",IF($P$3=$AT$15,"",""))))))))),"")</f>
        <v/>
      </c>
      <c r="R159" s="824" t="str">
        <f>IFERROR(IF(B159="","",IF(AND(P159="",Q159="",$P$3=""),"",IF($P$3=$AT$14,'Statement of Marks'!EC158,SUM(P159,Q159)))),"")</f>
        <v/>
      </c>
      <c r="S159" s="823" t="str">
        <f>IFERROR(IF(B159="","",IF($P$3=$AT$14,'Statement of Marks'!ED158,IF(AND(O159="NA",P159="NA",Q159="NA"),"NA",IF(AND(O159="",P159="",Q159=""),"",SUM(O159,P159,Q159))))),"")</f>
        <v/>
      </c>
      <c r="T159" s="812" t="str">
        <f>IFERROR(IF(B159="","",IF($P$3=$AT$8,'Statement of Marks'!P158,IF($P$3=$AT$9,'Statement of Marks'!AD158,IF($P$3=$AT$10,'Statement of Marks'!AU158,IF($P$3=$AT$11,'Statement of Marks'!BR158,IF($P$3=$AT$12,'Statement of Marks'!CO158,IF($P$3=$AT$13,'Statement of Marks'!DM158,IF($P$3=$AT$14,"",IF($P$3=$AT$15,'Statement of Marks'!FD158,""))))))))),"")</f>
        <v/>
      </c>
      <c r="U159" s="812" t="str">
        <f>IFERROR(IF(B159="","",IF($P$3=$AT$8,"",IF($P$3=$AT$9,"",IF($P$3=$AT$10,'Statement of Marks'!AV158,IF($P$3=$AT$11,'Statement of Marks'!BS158,IF($P$3=$AT$12,'Statement of Marks'!CP158,IF($P$3=$AT$13,'Statement of Marks'!DN158,IF($P$3=$AT$14,"",IF($P$3=$AT$15,"",""))))))))),"")</f>
        <v/>
      </c>
      <c r="V159" s="824" t="str">
        <f>IFERROR(IF(B159="","",IF(AND(T159="",U159="",$P$3=""),"",IF($P$3=$AT$14,'Statement of Marks'!EE158,SUM(T159,U159)))),"")</f>
        <v/>
      </c>
      <c r="W159" s="814" t="str">
        <f t="shared" si="33"/>
        <v/>
      </c>
      <c r="X159" s="815">
        <f t="shared" si="34"/>
        <v>0</v>
      </c>
      <c r="Y159" s="815">
        <f t="shared" si="35"/>
        <v>0</v>
      </c>
      <c r="Z159" s="815">
        <f t="shared" si="36"/>
        <v>0</v>
      </c>
      <c r="AA159" s="815" t="str">
        <f t="shared" si="37"/>
        <v/>
      </c>
      <c r="AB159" s="815" t="str">
        <f t="shared" si="38"/>
        <v/>
      </c>
      <c r="AC159" s="815" t="str">
        <f t="shared" si="39"/>
        <v/>
      </c>
      <c r="AD159" s="815" t="str">
        <f t="shared" si="40"/>
        <v/>
      </c>
      <c r="AE159" s="816" t="str">
        <f t="shared" si="41"/>
        <v/>
      </c>
      <c r="AF159" s="817" t="str">
        <f t="shared" si="42"/>
        <v/>
      </c>
      <c r="AG159" s="818" t="str">
        <f t="shared" si="43"/>
        <v/>
      </c>
      <c r="AW159" s="17" t="str">
        <f t="shared" si="44"/>
        <v/>
      </c>
      <c r="AX159" s="17" t="str">
        <f t="shared" si="45"/>
        <v/>
      </c>
      <c r="BM159" s="17" t="str">
        <f>IFERROR(VLOOKUP(B159,'Statement of Marks'!$B$8:'Statement of Marks'!$HI$207,37,0),"")</f>
        <v>A</v>
      </c>
      <c r="BN159" s="17" t="str">
        <f>IFERROR(VLOOKUP(B159,'Statement of Marks'!$B$8:'Statement of Marks'!$HI$207,60,0),"")</f>
        <v>A</v>
      </c>
      <c r="BO159" s="17" t="str">
        <f>IFERROR(VLOOKUP(B159,'Statement of Marks'!$B$8:'Statement of Marks'!$HI$207,83,0),"")</f>
        <v>A</v>
      </c>
      <c r="BP159" s="17" t="str">
        <f>IFERROR(VLOOKUP(B159,'Statement of Marks'!$B$8:'Statement of Marks'!$HI$207,107,0),"")</f>
        <v/>
      </c>
    </row>
    <row r="160" spans="1:68">
      <c r="A160" s="806">
        <f>IF('Statement of Marks'!A159="","",'Statement of Marks'!A159)</f>
        <v>152</v>
      </c>
      <c r="B160" s="807" t="str">
        <f>IF(OR($E$3="",$P$3=""),"",IF('Statement of Marks'!B159="","",'Statement of Marks'!B159))</f>
        <v/>
      </c>
      <c r="C160" s="816" t="str">
        <f>IF(OR($E$3="",$P$3=""),"",IF('Marks Entry'!C159="","",'Marks Entry'!C159))</f>
        <v/>
      </c>
      <c r="D160" s="808" t="str">
        <f>IF(OR($E$3="",$P$3=""),"",IF('Statement of Marks'!C159="","",'Statement of Marks'!C159))</f>
        <v/>
      </c>
      <c r="E160" s="809" t="str">
        <f>IF(OR($E$3="",$P$3=""),"",IF('Statement of Marks'!D159="","",'Statement of Marks'!D159))</f>
        <v/>
      </c>
      <c r="F160" s="810" t="str">
        <f>IF(OR($E$3="",$P$3=""),"",IF('Statement of Marks'!E159="","",'Statement of Marks'!E159))</f>
        <v/>
      </c>
      <c r="G160" s="810" t="str">
        <f>IF(OR($E$3="",$P$3=""),"",IF('Statement of Marks'!F159="","",'Statement of Marks'!F159))</f>
        <v/>
      </c>
      <c r="H160" s="810" t="str">
        <f>IF(OR($E$3="",$P$3=""),"",IF('Statement of Marks'!G159="","",'Statement of Marks'!G159))</f>
        <v/>
      </c>
      <c r="I160" s="811" t="str">
        <f>IF(OR($E$3="",$P$3=""),"",IF('Statement of Marks'!H159="","",'Statement of Marks'!H159))</f>
        <v/>
      </c>
      <c r="J160" s="811" t="str">
        <f>IF(OR($E$3="",$P$3=""),"",IF('Statement of Marks'!I159="","",'Statement of Marks'!I159))</f>
        <v/>
      </c>
      <c r="K160" s="811" t="str">
        <f>IFERROR(IF(B160="","",IF($P$3=$AT$10,IF(AND(BM160="A"),'Marks Entry'!$U$2,IF(AND(BM160="B"),'Marks Entry'!$Y$2,IF(AND(BM160="C"),'Marks Entry'!$AA$2,""))),IF($P$3=$AT$11,IF(AND(BN160="A"),'Marks Entry'!$AC$2,IF(AND(BN160="B"),'Marks Entry'!$AG$2,IF(AND(BN160="C"),'Marks Entry'!$AI$2,""))),IF($P$3=$AT$12,IF(AND(BO160="A"),'Marks Entry'!$AK$2,IF(AND(BO160="B"),'Marks Entry'!$AO$2,IF(AND(BO160="C"),'Marks Entry'!$AQ$2,""))),IF($P$3=$AT$13,IF(AND(BP160="A"),'Marks Entry'!$AS$2,IF(AND(BP160="B"),'Marks Entry'!$AW$2,IF(AND(BP160="C"),'Marks Entry'!$AY$2,""))),"-"))))),"")</f>
        <v/>
      </c>
      <c r="L160" s="812" t="str">
        <f>IFERROR(IF(B160="","",IF($P$3=$AT$8,'Statement of Marks'!J159,IF($P$3=$AT$9,'Statement of Marks'!X159,IF($P$3=$AT$10,'Statement of Marks'!AM159,IF($P$3=$AT$11,'Statement of Marks'!BJ159,IF($P$3=$AT$12,'Statement of Marks'!CG159,IF($P$3=$AT$13,'Statement of Marks'!DE159,IF($P$3=$AT$14,"",IF($P$3=$AT$15,'Statement of Marks'!EY159,""))))))))),"")</f>
        <v/>
      </c>
      <c r="M160" s="812" t="str">
        <f>IFERROR(IF(B160="","",IF($P$3=$AT$8,'Statement of Marks'!K159,IF($P$3=$AT$9,'Statement of Marks'!Y159,IF($P$3=$AT$10,'Statement of Marks'!AN159,IF($P$3=$AT$11,'Statement of Marks'!BK159,IF($P$3=$AT$12,'Statement of Marks'!CH159,IF($P$3=$AT$13,'Statement of Marks'!DF159,IF($P$3=$AT$14,"",IF($P$3=$AT$15,'Statement of Marks'!EZ159,""))))))))),"")</f>
        <v/>
      </c>
      <c r="N160" s="812" t="str">
        <f>IFERROR(IF(B160="","",IF($P$3=$AT$8,'Statement of Marks'!L159,IF($P$3=$AT$9,'Statement of Marks'!Z159,IF($P$3=$AT$10,'Statement of Marks'!AO159,IF($P$3=$AT$11,'Statement of Marks'!BL159,IF($P$3=$AT$12,'Statement of Marks'!CI159,IF($P$3=$AT$13,'Statement of Marks'!DG159,IF($P$3=$AT$14,"",IF($P$3=$AT$15,'Statement of Marks'!FA159,""))))))))),"")</f>
        <v/>
      </c>
      <c r="O160" s="813" t="str">
        <f t="shared" si="32"/>
        <v/>
      </c>
      <c r="P160" s="812" t="str">
        <f>IFERROR(IF(B160="","",IF($P$3=$AT$8,'Statement of Marks'!N159,IF($P$3=$AT$9,'Statement of Marks'!AB159,IF($P$3=$AT$10,'Statement of Marks'!AQ159,IF($P$3=$AT$11,'Statement of Marks'!BN159,IF($P$3=$AT$12,'Statement of Marks'!CK159,IF($P$3=$AT$13,'Statement of Marks'!DI159,IF($P$3=$AT$14,"",IF($P$3=$AT$15,'Statement of Marks'!FC159,""))))))))),"")</f>
        <v/>
      </c>
      <c r="Q160" s="812" t="str">
        <f>IFERROR(IF(B160="","",IF($P$3=$AT$8,"",IF($P$3=$AT$9,"",IF($P$3=$AT$10,'Statement of Marks'!AR159,IF($P$3=$AT$11,'Statement of Marks'!BO159,IF($P$3=$AT$12,'Statement of Marks'!CL159,IF($P$3=$AT$13,'Statement of Marks'!DJ159,IF($P$3=$AT$14,"",IF($P$3=$AT$15,"",""))))))))),"")</f>
        <v/>
      </c>
      <c r="R160" s="824" t="str">
        <f>IFERROR(IF(B160="","",IF(AND(P160="",Q160="",$P$3=""),"",IF($P$3=$AT$14,'Statement of Marks'!EC159,SUM(P160,Q160)))),"")</f>
        <v/>
      </c>
      <c r="S160" s="823" t="str">
        <f>IFERROR(IF(B160="","",IF($P$3=$AT$14,'Statement of Marks'!ED159,IF(AND(O160="NA",P160="NA",Q160="NA"),"NA",IF(AND(O160="",P160="",Q160=""),"",SUM(O160,P160,Q160))))),"")</f>
        <v/>
      </c>
      <c r="T160" s="812" t="str">
        <f>IFERROR(IF(B160="","",IF($P$3=$AT$8,'Statement of Marks'!P159,IF($P$3=$AT$9,'Statement of Marks'!AD159,IF($P$3=$AT$10,'Statement of Marks'!AU159,IF($P$3=$AT$11,'Statement of Marks'!BR159,IF($P$3=$AT$12,'Statement of Marks'!CO159,IF($P$3=$AT$13,'Statement of Marks'!DM159,IF($P$3=$AT$14,"",IF($P$3=$AT$15,'Statement of Marks'!FD159,""))))))))),"")</f>
        <v/>
      </c>
      <c r="U160" s="812" t="str">
        <f>IFERROR(IF(B160="","",IF($P$3=$AT$8,"",IF($P$3=$AT$9,"",IF($P$3=$AT$10,'Statement of Marks'!AV159,IF($P$3=$AT$11,'Statement of Marks'!BS159,IF($P$3=$AT$12,'Statement of Marks'!CP159,IF($P$3=$AT$13,'Statement of Marks'!DN159,IF($P$3=$AT$14,"",IF($P$3=$AT$15,"",""))))))))),"")</f>
        <v/>
      </c>
      <c r="V160" s="824" t="str">
        <f>IFERROR(IF(B160="","",IF(AND(T160="",U160="",$P$3=""),"",IF($P$3=$AT$14,'Statement of Marks'!EE159,SUM(T160,U160)))),"")</f>
        <v/>
      </c>
      <c r="W160" s="814" t="str">
        <f t="shared" si="33"/>
        <v/>
      </c>
      <c r="X160" s="815">
        <f t="shared" si="34"/>
        <v>0</v>
      </c>
      <c r="Y160" s="815">
        <f t="shared" si="35"/>
        <v>0</v>
      </c>
      <c r="Z160" s="815">
        <f t="shared" si="36"/>
        <v>0</v>
      </c>
      <c r="AA160" s="815" t="str">
        <f t="shared" si="37"/>
        <v/>
      </c>
      <c r="AB160" s="815" t="str">
        <f t="shared" si="38"/>
        <v/>
      </c>
      <c r="AC160" s="815" t="str">
        <f t="shared" si="39"/>
        <v/>
      </c>
      <c r="AD160" s="815" t="str">
        <f t="shared" si="40"/>
        <v/>
      </c>
      <c r="AE160" s="816" t="str">
        <f t="shared" si="41"/>
        <v/>
      </c>
      <c r="AF160" s="817" t="str">
        <f t="shared" si="42"/>
        <v/>
      </c>
      <c r="AG160" s="818" t="str">
        <f t="shared" si="43"/>
        <v/>
      </c>
      <c r="AW160" s="17" t="str">
        <f t="shared" si="44"/>
        <v/>
      </c>
      <c r="AX160" s="17" t="str">
        <f t="shared" si="45"/>
        <v/>
      </c>
      <c r="BM160" s="17" t="str">
        <f>IFERROR(VLOOKUP(B160,'Statement of Marks'!$B$8:'Statement of Marks'!$HI$207,37,0),"")</f>
        <v>A</v>
      </c>
      <c r="BN160" s="17" t="str">
        <f>IFERROR(VLOOKUP(B160,'Statement of Marks'!$B$8:'Statement of Marks'!$HI$207,60,0),"")</f>
        <v>A</v>
      </c>
      <c r="BO160" s="17" t="str">
        <f>IFERROR(VLOOKUP(B160,'Statement of Marks'!$B$8:'Statement of Marks'!$HI$207,83,0),"")</f>
        <v>A</v>
      </c>
      <c r="BP160" s="17" t="str">
        <f>IFERROR(VLOOKUP(B160,'Statement of Marks'!$B$8:'Statement of Marks'!$HI$207,107,0),"")</f>
        <v/>
      </c>
    </row>
    <row r="161" spans="1:68">
      <c r="A161" s="806">
        <f>IF('Statement of Marks'!A160="","",'Statement of Marks'!A160)</f>
        <v>153</v>
      </c>
      <c r="B161" s="807" t="str">
        <f>IF(OR($E$3="",$P$3=""),"",IF('Statement of Marks'!B160="","",'Statement of Marks'!B160))</f>
        <v/>
      </c>
      <c r="C161" s="816" t="str">
        <f>IF(OR($E$3="",$P$3=""),"",IF('Marks Entry'!C160="","",'Marks Entry'!C160))</f>
        <v/>
      </c>
      <c r="D161" s="808" t="str">
        <f>IF(OR($E$3="",$P$3=""),"",IF('Statement of Marks'!C160="","",'Statement of Marks'!C160))</f>
        <v/>
      </c>
      <c r="E161" s="809" t="str">
        <f>IF(OR($E$3="",$P$3=""),"",IF('Statement of Marks'!D160="","",'Statement of Marks'!D160))</f>
        <v/>
      </c>
      <c r="F161" s="810" t="str">
        <f>IF(OR($E$3="",$P$3=""),"",IF('Statement of Marks'!E160="","",'Statement of Marks'!E160))</f>
        <v/>
      </c>
      <c r="G161" s="810" t="str">
        <f>IF(OR($E$3="",$P$3=""),"",IF('Statement of Marks'!F160="","",'Statement of Marks'!F160))</f>
        <v/>
      </c>
      <c r="H161" s="810" t="str">
        <f>IF(OR($E$3="",$P$3=""),"",IF('Statement of Marks'!G160="","",'Statement of Marks'!G160))</f>
        <v/>
      </c>
      <c r="I161" s="811" t="str">
        <f>IF(OR($E$3="",$P$3=""),"",IF('Statement of Marks'!H160="","",'Statement of Marks'!H160))</f>
        <v/>
      </c>
      <c r="J161" s="811" t="str">
        <f>IF(OR($E$3="",$P$3=""),"",IF('Statement of Marks'!I160="","",'Statement of Marks'!I160))</f>
        <v/>
      </c>
      <c r="K161" s="811" t="str">
        <f>IFERROR(IF(B161="","",IF($P$3=$AT$10,IF(AND(BM161="A"),'Marks Entry'!$U$2,IF(AND(BM161="B"),'Marks Entry'!$Y$2,IF(AND(BM161="C"),'Marks Entry'!$AA$2,""))),IF($P$3=$AT$11,IF(AND(BN161="A"),'Marks Entry'!$AC$2,IF(AND(BN161="B"),'Marks Entry'!$AG$2,IF(AND(BN161="C"),'Marks Entry'!$AI$2,""))),IF($P$3=$AT$12,IF(AND(BO161="A"),'Marks Entry'!$AK$2,IF(AND(BO161="B"),'Marks Entry'!$AO$2,IF(AND(BO161="C"),'Marks Entry'!$AQ$2,""))),IF($P$3=$AT$13,IF(AND(BP161="A"),'Marks Entry'!$AS$2,IF(AND(BP161="B"),'Marks Entry'!$AW$2,IF(AND(BP161="C"),'Marks Entry'!$AY$2,""))),"-"))))),"")</f>
        <v/>
      </c>
      <c r="L161" s="812" t="str">
        <f>IFERROR(IF(B161="","",IF($P$3=$AT$8,'Statement of Marks'!J160,IF($P$3=$AT$9,'Statement of Marks'!X160,IF($P$3=$AT$10,'Statement of Marks'!AM160,IF($P$3=$AT$11,'Statement of Marks'!BJ160,IF($P$3=$AT$12,'Statement of Marks'!CG160,IF($P$3=$AT$13,'Statement of Marks'!DE160,IF($P$3=$AT$14,"",IF($P$3=$AT$15,'Statement of Marks'!EY160,""))))))))),"")</f>
        <v/>
      </c>
      <c r="M161" s="812" t="str">
        <f>IFERROR(IF(B161="","",IF($P$3=$AT$8,'Statement of Marks'!K160,IF($P$3=$AT$9,'Statement of Marks'!Y160,IF($P$3=$AT$10,'Statement of Marks'!AN160,IF($P$3=$AT$11,'Statement of Marks'!BK160,IF($P$3=$AT$12,'Statement of Marks'!CH160,IF($P$3=$AT$13,'Statement of Marks'!DF160,IF($P$3=$AT$14,"",IF($P$3=$AT$15,'Statement of Marks'!EZ160,""))))))))),"")</f>
        <v/>
      </c>
      <c r="N161" s="812" t="str">
        <f>IFERROR(IF(B161="","",IF($P$3=$AT$8,'Statement of Marks'!L160,IF($P$3=$AT$9,'Statement of Marks'!Z160,IF($P$3=$AT$10,'Statement of Marks'!AO160,IF($P$3=$AT$11,'Statement of Marks'!BL160,IF($P$3=$AT$12,'Statement of Marks'!CI160,IF($P$3=$AT$13,'Statement of Marks'!DG160,IF($P$3=$AT$14,"",IF($P$3=$AT$15,'Statement of Marks'!FA160,""))))))))),"")</f>
        <v/>
      </c>
      <c r="O161" s="813" t="str">
        <f t="shared" si="32"/>
        <v/>
      </c>
      <c r="P161" s="812" t="str">
        <f>IFERROR(IF(B161="","",IF($P$3=$AT$8,'Statement of Marks'!N160,IF($P$3=$AT$9,'Statement of Marks'!AB160,IF($P$3=$AT$10,'Statement of Marks'!AQ160,IF($P$3=$AT$11,'Statement of Marks'!BN160,IF($P$3=$AT$12,'Statement of Marks'!CK160,IF($P$3=$AT$13,'Statement of Marks'!DI160,IF($P$3=$AT$14,"",IF($P$3=$AT$15,'Statement of Marks'!FC160,""))))))))),"")</f>
        <v/>
      </c>
      <c r="Q161" s="812" t="str">
        <f>IFERROR(IF(B161="","",IF($P$3=$AT$8,"",IF($P$3=$AT$9,"",IF($P$3=$AT$10,'Statement of Marks'!AR160,IF($P$3=$AT$11,'Statement of Marks'!BO160,IF($P$3=$AT$12,'Statement of Marks'!CL160,IF($P$3=$AT$13,'Statement of Marks'!DJ160,IF($P$3=$AT$14,"",IF($P$3=$AT$15,"",""))))))))),"")</f>
        <v/>
      </c>
      <c r="R161" s="824" t="str">
        <f>IFERROR(IF(B161="","",IF(AND(P161="",Q161="",$P$3=""),"",IF($P$3=$AT$14,'Statement of Marks'!EC160,SUM(P161,Q161)))),"")</f>
        <v/>
      </c>
      <c r="S161" s="823" t="str">
        <f>IFERROR(IF(B161="","",IF($P$3=$AT$14,'Statement of Marks'!ED160,IF(AND(O161="NA",P161="NA",Q161="NA"),"NA",IF(AND(O161="",P161="",Q161=""),"",SUM(O161,P161,Q161))))),"")</f>
        <v/>
      </c>
      <c r="T161" s="812" t="str">
        <f>IFERROR(IF(B161="","",IF($P$3=$AT$8,'Statement of Marks'!P160,IF($P$3=$AT$9,'Statement of Marks'!AD160,IF($P$3=$AT$10,'Statement of Marks'!AU160,IF($P$3=$AT$11,'Statement of Marks'!BR160,IF($P$3=$AT$12,'Statement of Marks'!CO160,IF($P$3=$AT$13,'Statement of Marks'!DM160,IF($P$3=$AT$14,"",IF($P$3=$AT$15,'Statement of Marks'!FD160,""))))))))),"")</f>
        <v/>
      </c>
      <c r="U161" s="812" t="str">
        <f>IFERROR(IF(B161="","",IF($P$3=$AT$8,"",IF($P$3=$AT$9,"",IF($P$3=$AT$10,'Statement of Marks'!AV160,IF($P$3=$AT$11,'Statement of Marks'!BS160,IF($P$3=$AT$12,'Statement of Marks'!CP160,IF($P$3=$AT$13,'Statement of Marks'!DN160,IF($P$3=$AT$14,"",IF($P$3=$AT$15,"",""))))))))),"")</f>
        <v/>
      </c>
      <c r="V161" s="824" t="str">
        <f>IFERROR(IF(B161="","",IF(AND(T161="",U161="",$P$3=""),"",IF($P$3=$AT$14,'Statement of Marks'!EE160,SUM(T161,U161)))),"")</f>
        <v/>
      </c>
      <c r="W161" s="814" t="str">
        <f t="shared" si="33"/>
        <v/>
      </c>
      <c r="X161" s="815">
        <f t="shared" si="34"/>
        <v>0</v>
      </c>
      <c r="Y161" s="815">
        <f t="shared" si="35"/>
        <v>0</v>
      </c>
      <c r="Z161" s="815">
        <f t="shared" si="36"/>
        <v>0</v>
      </c>
      <c r="AA161" s="815" t="str">
        <f t="shared" si="37"/>
        <v/>
      </c>
      <c r="AB161" s="815" t="str">
        <f t="shared" si="38"/>
        <v/>
      </c>
      <c r="AC161" s="815" t="str">
        <f t="shared" si="39"/>
        <v/>
      </c>
      <c r="AD161" s="815" t="str">
        <f t="shared" si="40"/>
        <v/>
      </c>
      <c r="AE161" s="816" t="str">
        <f t="shared" si="41"/>
        <v/>
      </c>
      <c r="AF161" s="817" t="str">
        <f t="shared" si="42"/>
        <v/>
      </c>
      <c r="AG161" s="818" t="str">
        <f t="shared" si="43"/>
        <v/>
      </c>
      <c r="AW161" s="17" t="str">
        <f t="shared" si="44"/>
        <v/>
      </c>
      <c r="AX161" s="17" t="str">
        <f t="shared" si="45"/>
        <v/>
      </c>
      <c r="BM161" s="17" t="str">
        <f>IFERROR(VLOOKUP(B161,'Statement of Marks'!$B$8:'Statement of Marks'!$HI$207,37,0),"")</f>
        <v>A</v>
      </c>
      <c r="BN161" s="17" t="str">
        <f>IFERROR(VLOOKUP(B161,'Statement of Marks'!$B$8:'Statement of Marks'!$HI$207,60,0),"")</f>
        <v>A</v>
      </c>
      <c r="BO161" s="17" t="str">
        <f>IFERROR(VLOOKUP(B161,'Statement of Marks'!$B$8:'Statement of Marks'!$HI$207,83,0),"")</f>
        <v>A</v>
      </c>
      <c r="BP161" s="17" t="str">
        <f>IFERROR(VLOOKUP(B161,'Statement of Marks'!$B$8:'Statement of Marks'!$HI$207,107,0),"")</f>
        <v/>
      </c>
    </row>
    <row r="162" spans="1:68">
      <c r="A162" s="806">
        <f>IF('Statement of Marks'!A161="","",'Statement of Marks'!A161)</f>
        <v>154</v>
      </c>
      <c r="B162" s="807" t="str">
        <f>IF(OR($E$3="",$P$3=""),"",IF('Statement of Marks'!B161="","",'Statement of Marks'!B161))</f>
        <v/>
      </c>
      <c r="C162" s="816" t="str">
        <f>IF(OR($E$3="",$P$3=""),"",IF('Marks Entry'!C161="","",'Marks Entry'!C161))</f>
        <v/>
      </c>
      <c r="D162" s="808" t="str">
        <f>IF(OR($E$3="",$P$3=""),"",IF('Statement of Marks'!C161="","",'Statement of Marks'!C161))</f>
        <v/>
      </c>
      <c r="E162" s="809" t="str">
        <f>IF(OR($E$3="",$P$3=""),"",IF('Statement of Marks'!D161="","",'Statement of Marks'!D161))</f>
        <v/>
      </c>
      <c r="F162" s="810" t="str">
        <f>IF(OR($E$3="",$P$3=""),"",IF('Statement of Marks'!E161="","",'Statement of Marks'!E161))</f>
        <v/>
      </c>
      <c r="G162" s="810" t="str">
        <f>IF(OR($E$3="",$P$3=""),"",IF('Statement of Marks'!F161="","",'Statement of Marks'!F161))</f>
        <v/>
      </c>
      <c r="H162" s="810" t="str">
        <f>IF(OR($E$3="",$P$3=""),"",IF('Statement of Marks'!G161="","",'Statement of Marks'!G161))</f>
        <v/>
      </c>
      <c r="I162" s="811" t="str">
        <f>IF(OR($E$3="",$P$3=""),"",IF('Statement of Marks'!H161="","",'Statement of Marks'!H161))</f>
        <v/>
      </c>
      <c r="J162" s="811" t="str">
        <f>IF(OR($E$3="",$P$3=""),"",IF('Statement of Marks'!I161="","",'Statement of Marks'!I161))</f>
        <v/>
      </c>
      <c r="K162" s="811" t="str">
        <f>IFERROR(IF(B162="","",IF($P$3=$AT$10,IF(AND(BM162="A"),'Marks Entry'!$U$2,IF(AND(BM162="B"),'Marks Entry'!$Y$2,IF(AND(BM162="C"),'Marks Entry'!$AA$2,""))),IF($P$3=$AT$11,IF(AND(BN162="A"),'Marks Entry'!$AC$2,IF(AND(BN162="B"),'Marks Entry'!$AG$2,IF(AND(BN162="C"),'Marks Entry'!$AI$2,""))),IF($P$3=$AT$12,IF(AND(BO162="A"),'Marks Entry'!$AK$2,IF(AND(BO162="B"),'Marks Entry'!$AO$2,IF(AND(BO162="C"),'Marks Entry'!$AQ$2,""))),IF($P$3=$AT$13,IF(AND(BP162="A"),'Marks Entry'!$AS$2,IF(AND(BP162="B"),'Marks Entry'!$AW$2,IF(AND(BP162="C"),'Marks Entry'!$AY$2,""))),"-"))))),"")</f>
        <v/>
      </c>
      <c r="L162" s="812" t="str">
        <f>IFERROR(IF(B162="","",IF($P$3=$AT$8,'Statement of Marks'!J161,IF($P$3=$AT$9,'Statement of Marks'!X161,IF($P$3=$AT$10,'Statement of Marks'!AM161,IF($P$3=$AT$11,'Statement of Marks'!BJ161,IF($P$3=$AT$12,'Statement of Marks'!CG161,IF($P$3=$AT$13,'Statement of Marks'!DE161,IF($P$3=$AT$14,"",IF($P$3=$AT$15,'Statement of Marks'!EY161,""))))))))),"")</f>
        <v/>
      </c>
      <c r="M162" s="812" t="str">
        <f>IFERROR(IF(B162="","",IF($P$3=$AT$8,'Statement of Marks'!K161,IF($P$3=$AT$9,'Statement of Marks'!Y161,IF($P$3=$AT$10,'Statement of Marks'!AN161,IF($P$3=$AT$11,'Statement of Marks'!BK161,IF($P$3=$AT$12,'Statement of Marks'!CH161,IF($P$3=$AT$13,'Statement of Marks'!DF161,IF($P$3=$AT$14,"",IF($P$3=$AT$15,'Statement of Marks'!EZ161,""))))))))),"")</f>
        <v/>
      </c>
      <c r="N162" s="812" t="str">
        <f>IFERROR(IF(B162="","",IF($P$3=$AT$8,'Statement of Marks'!L161,IF($P$3=$AT$9,'Statement of Marks'!Z161,IF($P$3=$AT$10,'Statement of Marks'!AO161,IF($P$3=$AT$11,'Statement of Marks'!BL161,IF($P$3=$AT$12,'Statement of Marks'!CI161,IF($P$3=$AT$13,'Statement of Marks'!DG161,IF($P$3=$AT$14,"",IF($P$3=$AT$15,'Statement of Marks'!FA161,""))))))))),"")</f>
        <v/>
      </c>
      <c r="O162" s="813" t="str">
        <f t="shared" si="32"/>
        <v/>
      </c>
      <c r="P162" s="812" t="str">
        <f>IFERROR(IF(B162="","",IF($P$3=$AT$8,'Statement of Marks'!N161,IF($P$3=$AT$9,'Statement of Marks'!AB161,IF($P$3=$AT$10,'Statement of Marks'!AQ161,IF($P$3=$AT$11,'Statement of Marks'!BN161,IF($P$3=$AT$12,'Statement of Marks'!CK161,IF($P$3=$AT$13,'Statement of Marks'!DI161,IF($P$3=$AT$14,"",IF($P$3=$AT$15,'Statement of Marks'!FC161,""))))))))),"")</f>
        <v/>
      </c>
      <c r="Q162" s="812" t="str">
        <f>IFERROR(IF(B162="","",IF($P$3=$AT$8,"",IF($P$3=$AT$9,"",IF($P$3=$AT$10,'Statement of Marks'!AR161,IF($P$3=$AT$11,'Statement of Marks'!BO161,IF($P$3=$AT$12,'Statement of Marks'!CL161,IF($P$3=$AT$13,'Statement of Marks'!DJ161,IF($P$3=$AT$14,"",IF($P$3=$AT$15,"",""))))))))),"")</f>
        <v/>
      </c>
      <c r="R162" s="824" t="str">
        <f>IFERROR(IF(B162="","",IF(AND(P162="",Q162="",$P$3=""),"",IF($P$3=$AT$14,'Statement of Marks'!EC161,SUM(P162,Q162)))),"")</f>
        <v/>
      </c>
      <c r="S162" s="823" t="str">
        <f>IFERROR(IF(B162="","",IF($P$3=$AT$14,'Statement of Marks'!ED161,IF(AND(O162="NA",P162="NA",Q162="NA"),"NA",IF(AND(O162="",P162="",Q162=""),"",SUM(O162,P162,Q162))))),"")</f>
        <v/>
      </c>
      <c r="T162" s="812" t="str">
        <f>IFERROR(IF(B162="","",IF($P$3=$AT$8,'Statement of Marks'!P161,IF($P$3=$AT$9,'Statement of Marks'!AD161,IF($P$3=$AT$10,'Statement of Marks'!AU161,IF($P$3=$AT$11,'Statement of Marks'!BR161,IF($P$3=$AT$12,'Statement of Marks'!CO161,IF($P$3=$AT$13,'Statement of Marks'!DM161,IF($P$3=$AT$14,"",IF($P$3=$AT$15,'Statement of Marks'!FD161,""))))))))),"")</f>
        <v/>
      </c>
      <c r="U162" s="812" t="str">
        <f>IFERROR(IF(B162="","",IF($P$3=$AT$8,"",IF($P$3=$AT$9,"",IF($P$3=$AT$10,'Statement of Marks'!AV161,IF($P$3=$AT$11,'Statement of Marks'!BS161,IF($P$3=$AT$12,'Statement of Marks'!CP161,IF($P$3=$AT$13,'Statement of Marks'!DN161,IF($P$3=$AT$14,"",IF($P$3=$AT$15,"",""))))))))),"")</f>
        <v/>
      </c>
      <c r="V162" s="824" t="str">
        <f>IFERROR(IF(B162="","",IF(AND(T162="",U162="",$P$3=""),"",IF($P$3=$AT$14,'Statement of Marks'!EE161,SUM(T162,U162)))),"")</f>
        <v/>
      </c>
      <c r="W162" s="814" t="str">
        <f t="shared" si="33"/>
        <v/>
      </c>
      <c r="X162" s="815">
        <f t="shared" si="34"/>
        <v>0</v>
      </c>
      <c r="Y162" s="815">
        <f t="shared" si="35"/>
        <v>0</v>
      </c>
      <c r="Z162" s="815">
        <f t="shared" si="36"/>
        <v>0</v>
      </c>
      <c r="AA162" s="815" t="str">
        <f t="shared" si="37"/>
        <v/>
      </c>
      <c r="AB162" s="815" t="str">
        <f t="shared" si="38"/>
        <v/>
      </c>
      <c r="AC162" s="815" t="str">
        <f t="shared" si="39"/>
        <v/>
      </c>
      <c r="AD162" s="815" t="str">
        <f t="shared" si="40"/>
        <v/>
      </c>
      <c r="AE162" s="816" t="str">
        <f t="shared" si="41"/>
        <v/>
      </c>
      <c r="AF162" s="817" t="str">
        <f t="shared" si="42"/>
        <v/>
      </c>
      <c r="AG162" s="818" t="str">
        <f t="shared" si="43"/>
        <v/>
      </c>
      <c r="AW162" s="17" t="str">
        <f t="shared" si="44"/>
        <v/>
      </c>
      <c r="AX162" s="17" t="str">
        <f t="shared" si="45"/>
        <v/>
      </c>
      <c r="BM162" s="17" t="str">
        <f>IFERROR(VLOOKUP(B162,'Statement of Marks'!$B$8:'Statement of Marks'!$HI$207,37,0),"")</f>
        <v>A</v>
      </c>
      <c r="BN162" s="17" t="str">
        <f>IFERROR(VLOOKUP(B162,'Statement of Marks'!$B$8:'Statement of Marks'!$HI$207,60,0),"")</f>
        <v>A</v>
      </c>
      <c r="BO162" s="17" t="str">
        <f>IFERROR(VLOOKUP(B162,'Statement of Marks'!$B$8:'Statement of Marks'!$HI$207,83,0),"")</f>
        <v>A</v>
      </c>
      <c r="BP162" s="17" t="str">
        <f>IFERROR(VLOOKUP(B162,'Statement of Marks'!$B$8:'Statement of Marks'!$HI$207,107,0),"")</f>
        <v/>
      </c>
    </row>
    <row r="163" spans="1:68">
      <c r="A163" s="806">
        <f>IF('Statement of Marks'!A162="","",'Statement of Marks'!A162)</f>
        <v>155</v>
      </c>
      <c r="B163" s="807" t="str">
        <f>IF(OR($E$3="",$P$3=""),"",IF('Statement of Marks'!B162="","",'Statement of Marks'!B162))</f>
        <v/>
      </c>
      <c r="C163" s="816" t="str">
        <f>IF(OR($E$3="",$P$3=""),"",IF('Marks Entry'!C162="","",'Marks Entry'!C162))</f>
        <v/>
      </c>
      <c r="D163" s="808" t="str">
        <f>IF(OR($E$3="",$P$3=""),"",IF('Statement of Marks'!C162="","",'Statement of Marks'!C162))</f>
        <v/>
      </c>
      <c r="E163" s="809" t="str">
        <f>IF(OR($E$3="",$P$3=""),"",IF('Statement of Marks'!D162="","",'Statement of Marks'!D162))</f>
        <v/>
      </c>
      <c r="F163" s="810" t="str">
        <f>IF(OR($E$3="",$P$3=""),"",IF('Statement of Marks'!E162="","",'Statement of Marks'!E162))</f>
        <v/>
      </c>
      <c r="G163" s="810" t="str">
        <f>IF(OR($E$3="",$P$3=""),"",IF('Statement of Marks'!F162="","",'Statement of Marks'!F162))</f>
        <v/>
      </c>
      <c r="H163" s="810" t="str">
        <f>IF(OR($E$3="",$P$3=""),"",IF('Statement of Marks'!G162="","",'Statement of Marks'!G162))</f>
        <v/>
      </c>
      <c r="I163" s="811" t="str">
        <f>IF(OR($E$3="",$P$3=""),"",IF('Statement of Marks'!H162="","",'Statement of Marks'!H162))</f>
        <v/>
      </c>
      <c r="J163" s="811" t="str">
        <f>IF(OR($E$3="",$P$3=""),"",IF('Statement of Marks'!I162="","",'Statement of Marks'!I162))</f>
        <v/>
      </c>
      <c r="K163" s="811" t="str">
        <f>IFERROR(IF(B163="","",IF($P$3=$AT$10,IF(AND(BM163="A"),'Marks Entry'!$U$2,IF(AND(BM163="B"),'Marks Entry'!$Y$2,IF(AND(BM163="C"),'Marks Entry'!$AA$2,""))),IF($P$3=$AT$11,IF(AND(BN163="A"),'Marks Entry'!$AC$2,IF(AND(BN163="B"),'Marks Entry'!$AG$2,IF(AND(BN163="C"),'Marks Entry'!$AI$2,""))),IF($P$3=$AT$12,IF(AND(BO163="A"),'Marks Entry'!$AK$2,IF(AND(BO163="B"),'Marks Entry'!$AO$2,IF(AND(BO163="C"),'Marks Entry'!$AQ$2,""))),IF($P$3=$AT$13,IF(AND(BP163="A"),'Marks Entry'!$AS$2,IF(AND(BP163="B"),'Marks Entry'!$AW$2,IF(AND(BP163="C"),'Marks Entry'!$AY$2,""))),"-"))))),"")</f>
        <v/>
      </c>
      <c r="L163" s="812" t="str">
        <f>IFERROR(IF(B163="","",IF($P$3=$AT$8,'Statement of Marks'!J162,IF($P$3=$AT$9,'Statement of Marks'!X162,IF($P$3=$AT$10,'Statement of Marks'!AM162,IF($P$3=$AT$11,'Statement of Marks'!BJ162,IF($P$3=$AT$12,'Statement of Marks'!CG162,IF($P$3=$AT$13,'Statement of Marks'!DE162,IF($P$3=$AT$14,"",IF($P$3=$AT$15,'Statement of Marks'!EY162,""))))))))),"")</f>
        <v/>
      </c>
      <c r="M163" s="812" t="str">
        <f>IFERROR(IF(B163="","",IF($P$3=$AT$8,'Statement of Marks'!K162,IF($P$3=$AT$9,'Statement of Marks'!Y162,IF($P$3=$AT$10,'Statement of Marks'!AN162,IF($P$3=$AT$11,'Statement of Marks'!BK162,IF($P$3=$AT$12,'Statement of Marks'!CH162,IF($P$3=$AT$13,'Statement of Marks'!DF162,IF($P$3=$AT$14,"",IF($P$3=$AT$15,'Statement of Marks'!EZ162,""))))))))),"")</f>
        <v/>
      </c>
      <c r="N163" s="812" t="str">
        <f>IFERROR(IF(B163="","",IF($P$3=$AT$8,'Statement of Marks'!L162,IF($P$3=$AT$9,'Statement of Marks'!Z162,IF($P$3=$AT$10,'Statement of Marks'!AO162,IF($P$3=$AT$11,'Statement of Marks'!BL162,IF($P$3=$AT$12,'Statement of Marks'!CI162,IF($P$3=$AT$13,'Statement of Marks'!DG162,IF($P$3=$AT$14,"",IF($P$3=$AT$15,'Statement of Marks'!FA162,""))))))))),"")</f>
        <v/>
      </c>
      <c r="O163" s="813" t="str">
        <f t="shared" si="32"/>
        <v/>
      </c>
      <c r="P163" s="812" t="str">
        <f>IFERROR(IF(B163="","",IF($P$3=$AT$8,'Statement of Marks'!N162,IF($P$3=$AT$9,'Statement of Marks'!AB162,IF($P$3=$AT$10,'Statement of Marks'!AQ162,IF($P$3=$AT$11,'Statement of Marks'!BN162,IF($P$3=$AT$12,'Statement of Marks'!CK162,IF($P$3=$AT$13,'Statement of Marks'!DI162,IF($P$3=$AT$14,"",IF($P$3=$AT$15,'Statement of Marks'!FC162,""))))))))),"")</f>
        <v/>
      </c>
      <c r="Q163" s="812" t="str">
        <f>IFERROR(IF(B163="","",IF($P$3=$AT$8,"",IF($P$3=$AT$9,"",IF($P$3=$AT$10,'Statement of Marks'!AR162,IF($P$3=$AT$11,'Statement of Marks'!BO162,IF($P$3=$AT$12,'Statement of Marks'!CL162,IF($P$3=$AT$13,'Statement of Marks'!DJ162,IF($P$3=$AT$14,"",IF($P$3=$AT$15,"",""))))))))),"")</f>
        <v/>
      </c>
      <c r="R163" s="824" t="str">
        <f>IFERROR(IF(B163="","",IF(AND(P163="",Q163="",$P$3=""),"",IF($P$3=$AT$14,'Statement of Marks'!EC162,SUM(P163,Q163)))),"")</f>
        <v/>
      </c>
      <c r="S163" s="823" t="str">
        <f>IFERROR(IF(B163="","",IF($P$3=$AT$14,'Statement of Marks'!ED162,IF(AND(O163="NA",P163="NA",Q163="NA"),"NA",IF(AND(O163="",P163="",Q163=""),"",SUM(O163,P163,Q163))))),"")</f>
        <v/>
      </c>
      <c r="T163" s="812" t="str">
        <f>IFERROR(IF(B163="","",IF($P$3=$AT$8,'Statement of Marks'!P162,IF($P$3=$AT$9,'Statement of Marks'!AD162,IF($P$3=$AT$10,'Statement of Marks'!AU162,IF($P$3=$AT$11,'Statement of Marks'!BR162,IF($P$3=$AT$12,'Statement of Marks'!CO162,IF($P$3=$AT$13,'Statement of Marks'!DM162,IF($P$3=$AT$14,"",IF($P$3=$AT$15,'Statement of Marks'!FD162,""))))))))),"")</f>
        <v/>
      </c>
      <c r="U163" s="812" t="str">
        <f>IFERROR(IF(B163="","",IF($P$3=$AT$8,"",IF($P$3=$AT$9,"",IF($P$3=$AT$10,'Statement of Marks'!AV162,IF($P$3=$AT$11,'Statement of Marks'!BS162,IF($P$3=$AT$12,'Statement of Marks'!CP162,IF($P$3=$AT$13,'Statement of Marks'!DN162,IF($P$3=$AT$14,"",IF($P$3=$AT$15,"",""))))))))),"")</f>
        <v/>
      </c>
      <c r="V163" s="824" t="str">
        <f>IFERROR(IF(B163="","",IF(AND(T163="",U163="",$P$3=""),"",IF($P$3=$AT$14,'Statement of Marks'!EE162,SUM(T163,U163)))),"")</f>
        <v/>
      </c>
      <c r="W163" s="814" t="str">
        <f t="shared" si="33"/>
        <v/>
      </c>
      <c r="X163" s="815">
        <f t="shared" si="34"/>
        <v>0</v>
      </c>
      <c r="Y163" s="815">
        <f t="shared" si="35"/>
        <v>0</v>
      </c>
      <c r="Z163" s="815">
        <f t="shared" si="36"/>
        <v>0</v>
      </c>
      <c r="AA163" s="815" t="str">
        <f t="shared" si="37"/>
        <v/>
      </c>
      <c r="AB163" s="815" t="str">
        <f t="shared" si="38"/>
        <v/>
      </c>
      <c r="AC163" s="815" t="str">
        <f t="shared" si="39"/>
        <v/>
      </c>
      <c r="AD163" s="815" t="str">
        <f t="shared" si="40"/>
        <v/>
      </c>
      <c r="AE163" s="816" t="str">
        <f t="shared" si="41"/>
        <v/>
      </c>
      <c r="AF163" s="817" t="str">
        <f t="shared" si="42"/>
        <v/>
      </c>
      <c r="AG163" s="818" t="str">
        <f t="shared" si="43"/>
        <v/>
      </c>
      <c r="AW163" s="17" t="str">
        <f t="shared" si="44"/>
        <v/>
      </c>
      <c r="AX163" s="17" t="str">
        <f t="shared" si="45"/>
        <v/>
      </c>
      <c r="BM163" s="17" t="str">
        <f>IFERROR(VLOOKUP(B163,'Statement of Marks'!$B$8:'Statement of Marks'!$HI$207,37,0),"")</f>
        <v>A</v>
      </c>
      <c r="BN163" s="17" t="str">
        <f>IFERROR(VLOOKUP(B163,'Statement of Marks'!$B$8:'Statement of Marks'!$HI$207,60,0),"")</f>
        <v>A</v>
      </c>
      <c r="BO163" s="17" t="str">
        <f>IFERROR(VLOOKUP(B163,'Statement of Marks'!$B$8:'Statement of Marks'!$HI$207,83,0),"")</f>
        <v>A</v>
      </c>
      <c r="BP163" s="17" t="str">
        <f>IFERROR(VLOOKUP(B163,'Statement of Marks'!$B$8:'Statement of Marks'!$HI$207,107,0),"")</f>
        <v/>
      </c>
    </row>
    <row r="164" spans="1:68">
      <c r="A164" s="806">
        <f>IF('Statement of Marks'!A163="","",'Statement of Marks'!A163)</f>
        <v>156</v>
      </c>
      <c r="B164" s="807" t="str">
        <f>IF(OR($E$3="",$P$3=""),"",IF('Statement of Marks'!B163="","",'Statement of Marks'!B163))</f>
        <v/>
      </c>
      <c r="C164" s="816" t="str">
        <f>IF(OR($E$3="",$P$3=""),"",IF('Marks Entry'!C163="","",'Marks Entry'!C163))</f>
        <v/>
      </c>
      <c r="D164" s="808" t="str">
        <f>IF(OR($E$3="",$P$3=""),"",IF('Statement of Marks'!C163="","",'Statement of Marks'!C163))</f>
        <v/>
      </c>
      <c r="E164" s="809" t="str">
        <f>IF(OR($E$3="",$P$3=""),"",IF('Statement of Marks'!D163="","",'Statement of Marks'!D163))</f>
        <v/>
      </c>
      <c r="F164" s="810" t="str">
        <f>IF(OR($E$3="",$P$3=""),"",IF('Statement of Marks'!E163="","",'Statement of Marks'!E163))</f>
        <v/>
      </c>
      <c r="G164" s="810" t="str">
        <f>IF(OR($E$3="",$P$3=""),"",IF('Statement of Marks'!F163="","",'Statement of Marks'!F163))</f>
        <v/>
      </c>
      <c r="H164" s="810" t="str">
        <f>IF(OR($E$3="",$P$3=""),"",IF('Statement of Marks'!G163="","",'Statement of Marks'!G163))</f>
        <v/>
      </c>
      <c r="I164" s="811" t="str">
        <f>IF(OR($E$3="",$P$3=""),"",IF('Statement of Marks'!H163="","",'Statement of Marks'!H163))</f>
        <v/>
      </c>
      <c r="J164" s="811" t="str">
        <f>IF(OR($E$3="",$P$3=""),"",IF('Statement of Marks'!I163="","",'Statement of Marks'!I163))</f>
        <v/>
      </c>
      <c r="K164" s="811" t="str">
        <f>IFERROR(IF(B164="","",IF($P$3=$AT$10,IF(AND(BM164="A"),'Marks Entry'!$U$2,IF(AND(BM164="B"),'Marks Entry'!$Y$2,IF(AND(BM164="C"),'Marks Entry'!$AA$2,""))),IF($P$3=$AT$11,IF(AND(BN164="A"),'Marks Entry'!$AC$2,IF(AND(BN164="B"),'Marks Entry'!$AG$2,IF(AND(BN164="C"),'Marks Entry'!$AI$2,""))),IF($P$3=$AT$12,IF(AND(BO164="A"),'Marks Entry'!$AK$2,IF(AND(BO164="B"),'Marks Entry'!$AO$2,IF(AND(BO164="C"),'Marks Entry'!$AQ$2,""))),IF($P$3=$AT$13,IF(AND(BP164="A"),'Marks Entry'!$AS$2,IF(AND(BP164="B"),'Marks Entry'!$AW$2,IF(AND(BP164="C"),'Marks Entry'!$AY$2,""))),"-"))))),"")</f>
        <v/>
      </c>
      <c r="L164" s="812" t="str">
        <f>IFERROR(IF(B164="","",IF($P$3=$AT$8,'Statement of Marks'!J163,IF($P$3=$AT$9,'Statement of Marks'!X163,IF($P$3=$AT$10,'Statement of Marks'!AM163,IF($P$3=$AT$11,'Statement of Marks'!BJ163,IF($P$3=$AT$12,'Statement of Marks'!CG163,IF($P$3=$AT$13,'Statement of Marks'!DE163,IF($P$3=$AT$14,"",IF($P$3=$AT$15,'Statement of Marks'!EY163,""))))))))),"")</f>
        <v/>
      </c>
      <c r="M164" s="812" t="str">
        <f>IFERROR(IF(B164="","",IF($P$3=$AT$8,'Statement of Marks'!K163,IF($P$3=$AT$9,'Statement of Marks'!Y163,IF($P$3=$AT$10,'Statement of Marks'!AN163,IF($P$3=$AT$11,'Statement of Marks'!BK163,IF($P$3=$AT$12,'Statement of Marks'!CH163,IF($P$3=$AT$13,'Statement of Marks'!DF163,IF($P$3=$AT$14,"",IF($P$3=$AT$15,'Statement of Marks'!EZ163,""))))))))),"")</f>
        <v/>
      </c>
      <c r="N164" s="812" t="str">
        <f>IFERROR(IF(B164="","",IF($P$3=$AT$8,'Statement of Marks'!L163,IF($P$3=$AT$9,'Statement of Marks'!Z163,IF($P$3=$AT$10,'Statement of Marks'!AO163,IF($P$3=$AT$11,'Statement of Marks'!BL163,IF($P$3=$AT$12,'Statement of Marks'!CI163,IF($P$3=$AT$13,'Statement of Marks'!DG163,IF($P$3=$AT$14,"",IF($P$3=$AT$15,'Statement of Marks'!FA163,""))))))))),"")</f>
        <v/>
      </c>
      <c r="O164" s="813" t="str">
        <f t="shared" si="32"/>
        <v/>
      </c>
      <c r="P164" s="812" t="str">
        <f>IFERROR(IF(B164="","",IF($P$3=$AT$8,'Statement of Marks'!N163,IF($P$3=$AT$9,'Statement of Marks'!AB163,IF($P$3=$AT$10,'Statement of Marks'!AQ163,IF($P$3=$AT$11,'Statement of Marks'!BN163,IF($P$3=$AT$12,'Statement of Marks'!CK163,IF($P$3=$AT$13,'Statement of Marks'!DI163,IF($P$3=$AT$14,"",IF($P$3=$AT$15,'Statement of Marks'!FC163,""))))))))),"")</f>
        <v/>
      </c>
      <c r="Q164" s="812" t="str">
        <f>IFERROR(IF(B164="","",IF($P$3=$AT$8,"",IF($P$3=$AT$9,"",IF($P$3=$AT$10,'Statement of Marks'!AR163,IF($P$3=$AT$11,'Statement of Marks'!BO163,IF($P$3=$AT$12,'Statement of Marks'!CL163,IF($P$3=$AT$13,'Statement of Marks'!DJ163,IF($P$3=$AT$14,"",IF($P$3=$AT$15,"",""))))))))),"")</f>
        <v/>
      </c>
      <c r="R164" s="824" t="str">
        <f>IFERROR(IF(B164="","",IF(AND(P164="",Q164="",$P$3=""),"",IF($P$3=$AT$14,'Statement of Marks'!EC163,SUM(P164,Q164)))),"")</f>
        <v/>
      </c>
      <c r="S164" s="823" t="str">
        <f>IFERROR(IF(B164="","",IF($P$3=$AT$14,'Statement of Marks'!ED163,IF(AND(O164="NA",P164="NA",Q164="NA"),"NA",IF(AND(O164="",P164="",Q164=""),"",SUM(O164,P164,Q164))))),"")</f>
        <v/>
      </c>
      <c r="T164" s="812" t="str">
        <f>IFERROR(IF(B164="","",IF($P$3=$AT$8,'Statement of Marks'!P163,IF($P$3=$AT$9,'Statement of Marks'!AD163,IF($P$3=$AT$10,'Statement of Marks'!AU163,IF($P$3=$AT$11,'Statement of Marks'!BR163,IF($P$3=$AT$12,'Statement of Marks'!CO163,IF($P$3=$AT$13,'Statement of Marks'!DM163,IF($P$3=$AT$14,"",IF($P$3=$AT$15,'Statement of Marks'!FD163,""))))))))),"")</f>
        <v/>
      </c>
      <c r="U164" s="812" t="str">
        <f>IFERROR(IF(B164="","",IF($P$3=$AT$8,"",IF($P$3=$AT$9,"",IF($P$3=$AT$10,'Statement of Marks'!AV163,IF($P$3=$AT$11,'Statement of Marks'!BS163,IF($P$3=$AT$12,'Statement of Marks'!CP163,IF($P$3=$AT$13,'Statement of Marks'!DN163,IF($P$3=$AT$14,"",IF($P$3=$AT$15,"",""))))))))),"")</f>
        <v/>
      </c>
      <c r="V164" s="824" t="str">
        <f>IFERROR(IF(B164="","",IF(AND(T164="",U164="",$P$3=""),"",IF($P$3=$AT$14,'Statement of Marks'!EE163,SUM(T164,U164)))),"")</f>
        <v/>
      </c>
      <c r="W164" s="814" t="str">
        <f t="shared" si="33"/>
        <v/>
      </c>
      <c r="X164" s="815">
        <f t="shared" si="34"/>
        <v>0</v>
      </c>
      <c r="Y164" s="815">
        <f t="shared" si="35"/>
        <v>0</v>
      </c>
      <c r="Z164" s="815">
        <f t="shared" si="36"/>
        <v>0</v>
      </c>
      <c r="AA164" s="815" t="str">
        <f t="shared" si="37"/>
        <v/>
      </c>
      <c r="AB164" s="815" t="str">
        <f t="shared" si="38"/>
        <v/>
      </c>
      <c r="AC164" s="815" t="str">
        <f t="shared" si="39"/>
        <v/>
      </c>
      <c r="AD164" s="815" t="str">
        <f t="shared" si="40"/>
        <v/>
      </c>
      <c r="AE164" s="816" t="str">
        <f t="shared" si="41"/>
        <v/>
      </c>
      <c r="AF164" s="817" t="str">
        <f t="shared" si="42"/>
        <v/>
      </c>
      <c r="AG164" s="818" t="str">
        <f t="shared" si="43"/>
        <v/>
      </c>
      <c r="AW164" s="17" t="str">
        <f t="shared" si="44"/>
        <v/>
      </c>
      <c r="AX164" s="17" t="str">
        <f t="shared" si="45"/>
        <v/>
      </c>
      <c r="BM164" s="17" t="str">
        <f>IFERROR(VLOOKUP(B164,'Statement of Marks'!$B$8:'Statement of Marks'!$HI$207,37,0),"")</f>
        <v>A</v>
      </c>
      <c r="BN164" s="17" t="str">
        <f>IFERROR(VLOOKUP(B164,'Statement of Marks'!$B$8:'Statement of Marks'!$HI$207,60,0),"")</f>
        <v>A</v>
      </c>
      <c r="BO164" s="17" t="str">
        <f>IFERROR(VLOOKUP(B164,'Statement of Marks'!$B$8:'Statement of Marks'!$HI$207,83,0),"")</f>
        <v>A</v>
      </c>
      <c r="BP164" s="17" t="str">
        <f>IFERROR(VLOOKUP(B164,'Statement of Marks'!$B$8:'Statement of Marks'!$HI$207,107,0),"")</f>
        <v/>
      </c>
    </row>
    <row r="165" spans="1:68">
      <c r="A165" s="806">
        <f>IF('Statement of Marks'!A164="","",'Statement of Marks'!A164)</f>
        <v>157</v>
      </c>
      <c r="B165" s="807" t="str">
        <f>IF(OR($E$3="",$P$3=""),"",IF('Statement of Marks'!B164="","",'Statement of Marks'!B164))</f>
        <v/>
      </c>
      <c r="C165" s="816" t="str">
        <f>IF(OR($E$3="",$P$3=""),"",IF('Marks Entry'!C164="","",'Marks Entry'!C164))</f>
        <v/>
      </c>
      <c r="D165" s="808" t="str">
        <f>IF(OR($E$3="",$P$3=""),"",IF('Statement of Marks'!C164="","",'Statement of Marks'!C164))</f>
        <v/>
      </c>
      <c r="E165" s="809" t="str">
        <f>IF(OR($E$3="",$P$3=""),"",IF('Statement of Marks'!D164="","",'Statement of Marks'!D164))</f>
        <v/>
      </c>
      <c r="F165" s="810" t="str">
        <f>IF(OR($E$3="",$P$3=""),"",IF('Statement of Marks'!E164="","",'Statement of Marks'!E164))</f>
        <v/>
      </c>
      <c r="G165" s="810" t="str">
        <f>IF(OR($E$3="",$P$3=""),"",IF('Statement of Marks'!F164="","",'Statement of Marks'!F164))</f>
        <v/>
      </c>
      <c r="H165" s="810" t="str">
        <f>IF(OR($E$3="",$P$3=""),"",IF('Statement of Marks'!G164="","",'Statement of Marks'!G164))</f>
        <v/>
      </c>
      <c r="I165" s="811" t="str">
        <f>IF(OR($E$3="",$P$3=""),"",IF('Statement of Marks'!H164="","",'Statement of Marks'!H164))</f>
        <v/>
      </c>
      <c r="J165" s="811" t="str">
        <f>IF(OR($E$3="",$P$3=""),"",IF('Statement of Marks'!I164="","",'Statement of Marks'!I164))</f>
        <v/>
      </c>
      <c r="K165" s="811" t="str">
        <f>IFERROR(IF(B165="","",IF($P$3=$AT$10,IF(AND(BM165="A"),'Marks Entry'!$U$2,IF(AND(BM165="B"),'Marks Entry'!$Y$2,IF(AND(BM165="C"),'Marks Entry'!$AA$2,""))),IF($P$3=$AT$11,IF(AND(BN165="A"),'Marks Entry'!$AC$2,IF(AND(BN165="B"),'Marks Entry'!$AG$2,IF(AND(BN165="C"),'Marks Entry'!$AI$2,""))),IF($P$3=$AT$12,IF(AND(BO165="A"),'Marks Entry'!$AK$2,IF(AND(BO165="B"),'Marks Entry'!$AO$2,IF(AND(BO165="C"),'Marks Entry'!$AQ$2,""))),IF($P$3=$AT$13,IF(AND(BP165="A"),'Marks Entry'!$AS$2,IF(AND(BP165="B"),'Marks Entry'!$AW$2,IF(AND(BP165="C"),'Marks Entry'!$AY$2,""))),"-"))))),"")</f>
        <v/>
      </c>
      <c r="L165" s="812" t="str">
        <f>IFERROR(IF(B165="","",IF($P$3=$AT$8,'Statement of Marks'!J164,IF($P$3=$AT$9,'Statement of Marks'!X164,IF($P$3=$AT$10,'Statement of Marks'!AM164,IF($P$3=$AT$11,'Statement of Marks'!BJ164,IF($P$3=$AT$12,'Statement of Marks'!CG164,IF($P$3=$AT$13,'Statement of Marks'!DE164,IF($P$3=$AT$14,"",IF($P$3=$AT$15,'Statement of Marks'!EY164,""))))))))),"")</f>
        <v/>
      </c>
      <c r="M165" s="812" t="str">
        <f>IFERROR(IF(B165="","",IF($P$3=$AT$8,'Statement of Marks'!K164,IF($P$3=$AT$9,'Statement of Marks'!Y164,IF($P$3=$AT$10,'Statement of Marks'!AN164,IF($P$3=$AT$11,'Statement of Marks'!BK164,IF($P$3=$AT$12,'Statement of Marks'!CH164,IF($P$3=$AT$13,'Statement of Marks'!DF164,IF($P$3=$AT$14,"",IF($P$3=$AT$15,'Statement of Marks'!EZ164,""))))))))),"")</f>
        <v/>
      </c>
      <c r="N165" s="812" t="str">
        <f>IFERROR(IF(B165="","",IF($P$3=$AT$8,'Statement of Marks'!L164,IF($P$3=$AT$9,'Statement of Marks'!Z164,IF($P$3=$AT$10,'Statement of Marks'!AO164,IF($P$3=$AT$11,'Statement of Marks'!BL164,IF($P$3=$AT$12,'Statement of Marks'!CI164,IF($P$3=$AT$13,'Statement of Marks'!DG164,IF($P$3=$AT$14,"",IF($P$3=$AT$15,'Statement of Marks'!FA164,""))))))))),"")</f>
        <v/>
      </c>
      <c r="O165" s="813" t="str">
        <f t="shared" si="32"/>
        <v/>
      </c>
      <c r="P165" s="812" t="str">
        <f>IFERROR(IF(B165="","",IF($P$3=$AT$8,'Statement of Marks'!N164,IF($P$3=$AT$9,'Statement of Marks'!AB164,IF($P$3=$AT$10,'Statement of Marks'!AQ164,IF($P$3=$AT$11,'Statement of Marks'!BN164,IF($P$3=$AT$12,'Statement of Marks'!CK164,IF($P$3=$AT$13,'Statement of Marks'!DI164,IF($P$3=$AT$14,"",IF($P$3=$AT$15,'Statement of Marks'!FC164,""))))))))),"")</f>
        <v/>
      </c>
      <c r="Q165" s="812" t="str">
        <f>IFERROR(IF(B165="","",IF($P$3=$AT$8,"",IF($P$3=$AT$9,"",IF($P$3=$AT$10,'Statement of Marks'!AR164,IF($P$3=$AT$11,'Statement of Marks'!BO164,IF($P$3=$AT$12,'Statement of Marks'!CL164,IF($P$3=$AT$13,'Statement of Marks'!DJ164,IF($P$3=$AT$14,"",IF($P$3=$AT$15,"",""))))))))),"")</f>
        <v/>
      </c>
      <c r="R165" s="824" t="str">
        <f>IFERROR(IF(B165="","",IF(AND(P165="",Q165="",$P$3=""),"",IF($P$3=$AT$14,'Statement of Marks'!EC164,SUM(P165,Q165)))),"")</f>
        <v/>
      </c>
      <c r="S165" s="823" t="str">
        <f>IFERROR(IF(B165="","",IF($P$3=$AT$14,'Statement of Marks'!ED164,IF(AND(O165="NA",P165="NA",Q165="NA"),"NA",IF(AND(O165="",P165="",Q165=""),"",SUM(O165,P165,Q165))))),"")</f>
        <v/>
      </c>
      <c r="T165" s="812" t="str">
        <f>IFERROR(IF(B165="","",IF($P$3=$AT$8,'Statement of Marks'!P164,IF($P$3=$AT$9,'Statement of Marks'!AD164,IF($P$3=$AT$10,'Statement of Marks'!AU164,IF($P$3=$AT$11,'Statement of Marks'!BR164,IF($P$3=$AT$12,'Statement of Marks'!CO164,IF($P$3=$AT$13,'Statement of Marks'!DM164,IF($P$3=$AT$14,"",IF($P$3=$AT$15,'Statement of Marks'!FD164,""))))))))),"")</f>
        <v/>
      </c>
      <c r="U165" s="812" t="str">
        <f>IFERROR(IF(B165="","",IF($P$3=$AT$8,"",IF($P$3=$AT$9,"",IF($P$3=$AT$10,'Statement of Marks'!AV164,IF($P$3=$AT$11,'Statement of Marks'!BS164,IF($P$3=$AT$12,'Statement of Marks'!CP164,IF($P$3=$AT$13,'Statement of Marks'!DN164,IF($P$3=$AT$14,"",IF($P$3=$AT$15,"",""))))))))),"")</f>
        <v/>
      </c>
      <c r="V165" s="824" t="str">
        <f>IFERROR(IF(B165="","",IF(AND(T165="",U165="",$P$3=""),"",IF($P$3=$AT$14,'Statement of Marks'!EE164,SUM(T165,U165)))),"")</f>
        <v/>
      </c>
      <c r="W165" s="814" t="str">
        <f t="shared" si="33"/>
        <v/>
      </c>
      <c r="X165" s="815">
        <f t="shared" si="34"/>
        <v>0</v>
      </c>
      <c r="Y165" s="815">
        <f t="shared" si="35"/>
        <v>0</v>
      </c>
      <c r="Z165" s="815">
        <f t="shared" si="36"/>
        <v>0</v>
      </c>
      <c r="AA165" s="815" t="str">
        <f t="shared" si="37"/>
        <v/>
      </c>
      <c r="AB165" s="815" t="str">
        <f t="shared" si="38"/>
        <v/>
      </c>
      <c r="AC165" s="815" t="str">
        <f t="shared" si="39"/>
        <v/>
      </c>
      <c r="AD165" s="815" t="str">
        <f t="shared" si="40"/>
        <v/>
      </c>
      <c r="AE165" s="816" t="str">
        <f t="shared" si="41"/>
        <v/>
      </c>
      <c r="AF165" s="817" t="str">
        <f t="shared" si="42"/>
        <v/>
      </c>
      <c r="AG165" s="818" t="str">
        <f t="shared" si="43"/>
        <v/>
      </c>
      <c r="AW165" s="17" t="str">
        <f t="shared" si="44"/>
        <v/>
      </c>
      <c r="AX165" s="17" t="str">
        <f t="shared" si="45"/>
        <v/>
      </c>
      <c r="BM165" s="17" t="str">
        <f>IFERROR(VLOOKUP(B165,'Statement of Marks'!$B$8:'Statement of Marks'!$HI$207,37,0),"")</f>
        <v>A</v>
      </c>
      <c r="BN165" s="17" t="str">
        <f>IFERROR(VLOOKUP(B165,'Statement of Marks'!$B$8:'Statement of Marks'!$HI$207,60,0),"")</f>
        <v>A</v>
      </c>
      <c r="BO165" s="17" t="str">
        <f>IFERROR(VLOOKUP(B165,'Statement of Marks'!$B$8:'Statement of Marks'!$HI$207,83,0),"")</f>
        <v>A</v>
      </c>
      <c r="BP165" s="17" t="str">
        <f>IFERROR(VLOOKUP(B165,'Statement of Marks'!$B$8:'Statement of Marks'!$HI$207,107,0),"")</f>
        <v/>
      </c>
    </row>
    <row r="166" spans="1:68">
      <c r="A166" s="806">
        <f>IF('Statement of Marks'!A165="","",'Statement of Marks'!A165)</f>
        <v>158</v>
      </c>
      <c r="B166" s="807" t="str">
        <f>IF(OR($E$3="",$P$3=""),"",IF('Statement of Marks'!B165="","",'Statement of Marks'!B165))</f>
        <v/>
      </c>
      <c r="C166" s="816" t="str">
        <f>IF(OR($E$3="",$P$3=""),"",IF('Marks Entry'!C165="","",'Marks Entry'!C165))</f>
        <v/>
      </c>
      <c r="D166" s="808" t="str">
        <f>IF(OR($E$3="",$P$3=""),"",IF('Statement of Marks'!C165="","",'Statement of Marks'!C165))</f>
        <v/>
      </c>
      <c r="E166" s="809" t="str">
        <f>IF(OR($E$3="",$P$3=""),"",IF('Statement of Marks'!D165="","",'Statement of Marks'!D165))</f>
        <v/>
      </c>
      <c r="F166" s="810" t="str">
        <f>IF(OR($E$3="",$P$3=""),"",IF('Statement of Marks'!E165="","",'Statement of Marks'!E165))</f>
        <v/>
      </c>
      <c r="G166" s="810" t="str">
        <f>IF(OR($E$3="",$P$3=""),"",IF('Statement of Marks'!F165="","",'Statement of Marks'!F165))</f>
        <v/>
      </c>
      <c r="H166" s="810" t="str">
        <f>IF(OR($E$3="",$P$3=""),"",IF('Statement of Marks'!G165="","",'Statement of Marks'!G165))</f>
        <v/>
      </c>
      <c r="I166" s="811" t="str">
        <f>IF(OR($E$3="",$P$3=""),"",IF('Statement of Marks'!H165="","",'Statement of Marks'!H165))</f>
        <v/>
      </c>
      <c r="J166" s="811" t="str">
        <f>IF(OR($E$3="",$P$3=""),"",IF('Statement of Marks'!I165="","",'Statement of Marks'!I165))</f>
        <v/>
      </c>
      <c r="K166" s="811" t="str">
        <f>IFERROR(IF(B166="","",IF($P$3=$AT$10,IF(AND(BM166="A"),'Marks Entry'!$U$2,IF(AND(BM166="B"),'Marks Entry'!$Y$2,IF(AND(BM166="C"),'Marks Entry'!$AA$2,""))),IF($P$3=$AT$11,IF(AND(BN166="A"),'Marks Entry'!$AC$2,IF(AND(BN166="B"),'Marks Entry'!$AG$2,IF(AND(BN166="C"),'Marks Entry'!$AI$2,""))),IF($P$3=$AT$12,IF(AND(BO166="A"),'Marks Entry'!$AK$2,IF(AND(BO166="B"),'Marks Entry'!$AO$2,IF(AND(BO166="C"),'Marks Entry'!$AQ$2,""))),IF($P$3=$AT$13,IF(AND(BP166="A"),'Marks Entry'!$AS$2,IF(AND(BP166="B"),'Marks Entry'!$AW$2,IF(AND(BP166="C"),'Marks Entry'!$AY$2,""))),"-"))))),"")</f>
        <v/>
      </c>
      <c r="L166" s="812" t="str">
        <f>IFERROR(IF(B166="","",IF($P$3=$AT$8,'Statement of Marks'!J165,IF($P$3=$AT$9,'Statement of Marks'!X165,IF($P$3=$AT$10,'Statement of Marks'!AM165,IF($P$3=$AT$11,'Statement of Marks'!BJ165,IF($P$3=$AT$12,'Statement of Marks'!CG165,IF($P$3=$AT$13,'Statement of Marks'!DE165,IF($P$3=$AT$14,"",IF($P$3=$AT$15,'Statement of Marks'!EY165,""))))))))),"")</f>
        <v/>
      </c>
      <c r="M166" s="812" t="str">
        <f>IFERROR(IF(B166="","",IF($P$3=$AT$8,'Statement of Marks'!K165,IF($P$3=$AT$9,'Statement of Marks'!Y165,IF($P$3=$AT$10,'Statement of Marks'!AN165,IF($P$3=$AT$11,'Statement of Marks'!BK165,IF($P$3=$AT$12,'Statement of Marks'!CH165,IF($P$3=$AT$13,'Statement of Marks'!DF165,IF($P$3=$AT$14,"",IF($P$3=$AT$15,'Statement of Marks'!EZ165,""))))))))),"")</f>
        <v/>
      </c>
      <c r="N166" s="812" t="str">
        <f>IFERROR(IF(B166="","",IF($P$3=$AT$8,'Statement of Marks'!L165,IF($P$3=$AT$9,'Statement of Marks'!Z165,IF($P$3=$AT$10,'Statement of Marks'!AO165,IF($P$3=$AT$11,'Statement of Marks'!BL165,IF($P$3=$AT$12,'Statement of Marks'!CI165,IF($P$3=$AT$13,'Statement of Marks'!DG165,IF($P$3=$AT$14,"",IF($P$3=$AT$15,'Statement of Marks'!FA165,""))))))))),"")</f>
        <v/>
      </c>
      <c r="O166" s="813" t="str">
        <f t="shared" si="32"/>
        <v/>
      </c>
      <c r="P166" s="812" t="str">
        <f>IFERROR(IF(B166="","",IF($P$3=$AT$8,'Statement of Marks'!N165,IF($P$3=$AT$9,'Statement of Marks'!AB165,IF($P$3=$AT$10,'Statement of Marks'!AQ165,IF($P$3=$AT$11,'Statement of Marks'!BN165,IF($P$3=$AT$12,'Statement of Marks'!CK165,IF($P$3=$AT$13,'Statement of Marks'!DI165,IF($P$3=$AT$14,"",IF($P$3=$AT$15,'Statement of Marks'!FC165,""))))))))),"")</f>
        <v/>
      </c>
      <c r="Q166" s="812" t="str">
        <f>IFERROR(IF(B166="","",IF($P$3=$AT$8,"",IF($P$3=$AT$9,"",IF($P$3=$AT$10,'Statement of Marks'!AR165,IF($P$3=$AT$11,'Statement of Marks'!BO165,IF($P$3=$AT$12,'Statement of Marks'!CL165,IF($P$3=$AT$13,'Statement of Marks'!DJ165,IF($P$3=$AT$14,"",IF($P$3=$AT$15,"",""))))))))),"")</f>
        <v/>
      </c>
      <c r="R166" s="824" t="str">
        <f>IFERROR(IF(B166="","",IF(AND(P166="",Q166="",$P$3=""),"",IF($P$3=$AT$14,'Statement of Marks'!EC165,SUM(P166,Q166)))),"")</f>
        <v/>
      </c>
      <c r="S166" s="823" t="str">
        <f>IFERROR(IF(B166="","",IF($P$3=$AT$14,'Statement of Marks'!ED165,IF(AND(O166="NA",P166="NA",Q166="NA"),"NA",IF(AND(O166="",P166="",Q166=""),"",SUM(O166,P166,Q166))))),"")</f>
        <v/>
      </c>
      <c r="T166" s="812" t="str">
        <f>IFERROR(IF(B166="","",IF($P$3=$AT$8,'Statement of Marks'!P165,IF($P$3=$AT$9,'Statement of Marks'!AD165,IF($P$3=$AT$10,'Statement of Marks'!AU165,IF($P$3=$AT$11,'Statement of Marks'!BR165,IF($P$3=$AT$12,'Statement of Marks'!CO165,IF($P$3=$AT$13,'Statement of Marks'!DM165,IF($P$3=$AT$14,"",IF($P$3=$AT$15,'Statement of Marks'!FD165,""))))))))),"")</f>
        <v/>
      </c>
      <c r="U166" s="812" t="str">
        <f>IFERROR(IF(B166="","",IF($P$3=$AT$8,"",IF($P$3=$AT$9,"",IF($P$3=$AT$10,'Statement of Marks'!AV165,IF($P$3=$AT$11,'Statement of Marks'!BS165,IF($P$3=$AT$12,'Statement of Marks'!CP165,IF($P$3=$AT$13,'Statement of Marks'!DN165,IF($P$3=$AT$14,"",IF($P$3=$AT$15,"",""))))))))),"")</f>
        <v/>
      </c>
      <c r="V166" s="824" t="str">
        <f>IFERROR(IF(B166="","",IF(AND(T166="",U166="",$P$3=""),"",IF($P$3=$AT$14,'Statement of Marks'!EE165,SUM(T166,U166)))),"")</f>
        <v/>
      </c>
      <c r="W166" s="814" t="str">
        <f t="shared" si="33"/>
        <v/>
      </c>
      <c r="X166" s="815">
        <f t="shared" si="34"/>
        <v>0</v>
      </c>
      <c r="Y166" s="815">
        <f t="shared" si="35"/>
        <v>0</v>
      </c>
      <c r="Z166" s="815">
        <f t="shared" si="36"/>
        <v>0</v>
      </c>
      <c r="AA166" s="815" t="str">
        <f t="shared" si="37"/>
        <v/>
      </c>
      <c r="AB166" s="815" t="str">
        <f t="shared" si="38"/>
        <v/>
      </c>
      <c r="AC166" s="815" t="str">
        <f t="shared" si="39"/>
        <v/>
      </c>
      <c r="AD166" s="815" t="str">
        <f t="shared" si="40"/>
        <v/>
      </c>
      <c r="AE166" s="816" t="str">
        <f t="shared" si="41"/>
        <v/>
      </c>
      <c r="AF166" s="817" t="str">
        <f t="shared" si="42"/>
        <v/>
      </c>
      <c r="AG166" s="818" t="str">
        <f t="shared" si="43"/>
        <v/>
      </c>
      <c r="AW166" s="17" t="str">
        <f t="shared" si="44"/>
        <v/>
      </c>
      <c r="AX166" s="17" t="str">
        <f t="shared" si="45"/>
        <v/>
      </c>
      <c r="BM166" s="17" t="str">
        <f>IFERROR(VLOOKUP(B166,'Statement of Marks'!$B$8:'Statement of Marks'!$HI$207,37,0),"")</f>
        <v>A</v>
      </c>
      <c r="BN166" s="17" t="str">
        <f>IFERROR(VLOOKUP(B166,'Statement of Marks'!$B$8:'Statement of Marks'!$HI$207,60,0),"")</f>
        <v>A</v>
      </c>
      <c r="BO166" s="17" t="str">
        <f>IFERROR(VLOOKUP(B166,'Statement of Marks'!$B$8:'Statement of Marks'!$HI$207,83,0),"")</f>
        <v>A</v>
      </c>
      <c r="BP166" s="17" t="str">
        <f>IFERROR(VLOOKUP(B166,'Statement of Marks'!$B$8:'Statement of Marks'!$HI$207,107,0),"")</f>
        <v/>
      </c>
    </row>
    <row r="167" spans="1:68">
      <c r="A167" s="806">
        <f>IF('Statement of Marks'!A166="","",'Statement of Marks'!A166)</f>
        <v>159</v>
      </c>
      <c r="B167" s="807" t="str">
        <f>IF(OR($E$3="",$P$3=""),"",IF('Statement of Marks'!B166="","",'Statement of Marks'!B166))</f>
        <v/>
      </c>
      <c r="C167" s="816" t="str">
        <f>IF(OR($E$3="",$P$3=""),"",IF('Marks Entry'!C166="","",'Marks Entry'!C166))</f>
        <v/>
      </c>
      <c r="D167" s="808" t="str">
        <f>IF(OR($E$3="",$P$3=""),"",IF('Statement of Marks'!C166="","",'Statement of Marks'!C166))</f>
        <v/>
      </c>
      <c r="E167" s="809" t="str">
        <f>IF(OR($E$3="",$P$3=""),"",IF('Statement of Marks'!D166="","",'Statement of Marks'!D166))</f>
        <v/>
      </c>
      <c r="F167" s="810" t="str">
        <f>IF(OR($E$3="",$P$3=""),"",IF('Statement of Marks'!E166="","",'Statement of Marks'!E166))</f>
        <v/>
      </c>
      <c r="G167" s="810" t="str">
        <f>IF(OR($E$3="",$P$3=""),"",IF('Statement of Marks'!F166="","",'Statement of Marks'!F166))</f>
        <v/>
      </c>
      <c r="H167" s="810" t="str">
        <f>IF(OR($E$3="",$P$3=""),"",IF('Statement of Marks'!G166="","",'Statement of Marks'!G166))</f>
        <v/>
      </c>
      <c r="I167" s="811" t="str">
        <f>IF(OR($E$3="",$P$3=""),"",IF('Statement of Marks'!H166="","",'Statement of Marks'!H166))</f>
        <v/>
      </c>
      <c r="J167" s="811" t="str">
        <f>IF(OR($E$3="",$P$3=""),"",IF('Statement of Marks'!I166="","",'Statement of Marks'!I166))</f>
        <v/>
      </c>
      <c r="K167" s="811" t="str">
        <f>IFERROR(IF(B167="","",IF($P$3=$AT$10,IF(AND(BM167="A"),'Marks Entry'!$U$2,IF(AND(BM167="B"),'Marks Entry'!$Y$2,IF(AND(BM167="C"),'Marks Entry'!$AA$2,""))),IF($P$3=$AT$11,IF(AND(BN167="A"),'Marks Entry'!$AC$2,IF(AND(BN167="B"),'Marks Entry'!$AG$2,IF(AND(BN167="C"),'Marks Entry'!$AI$2,""))),IF($P$3=$AT$12,IF(AND(BO167="A"),'Marks Entry'!$AK$2,IF(AND(BO167="B"),'Marks Entry'!$AO$2,IF(AND(BO167="C"),'Marks Entry'!$AQ$2,""))),IF($P$3=$AT$13,IF(AND(BP167="A"),'Marks Entry'!$AS$2,IF(AND(BP167="B"),'Marks Entry'!$AW$2,IF(AND(BP167="C"),'Marks Entry'!$AY$2,""))),"-"))))),"")</f>
        <v/>
      </c>
      <c r="L167" s="812" t="str">
        <f>IFERROR(IF(B167="","",IF($P$3=$AT$8,'Statement of Marks'!J166,IF($P$3=$AT$9,'Statement of Marks'!X166,IF($P$3=$AT$10,'Statement of Marks'!AM166,IF($P$3=$AT$11,'Statement of Marks'!BJ166,IF($P$3=$AT$12,'Statement of Marks'!CG166,IF($P$3=$AT$13,'Statement of Marks'!DE166,IF($P$3=$AT$14,"",IF($P$3=$AT$15,'Statement of Marks'!EY166,""))))))))),"")</f>
        <v/>
      </c>
      <c r="M167" s="812" t="str">
        <f>IFERROR(IF(B167="","",IF($P$3=$AT$8,'Statement of Marks'!K166,IF($P$3=$AT$9,'Statement of Marks'!Y166,IF($P$3=$AT$10,'Statement of Marks'!AN166,IF($P$3=$AT$11,'Statement of Marks'!BK166,IF($P$3=$AT$12,'Statement of Marks'!CH166,IF($P$3=$AT$13,'Statement of Marks'!DF166,IF($P$3=$AT$14,"",IF($P$3=$AT$15,'Statement of Marks'!EZ166,""))))))))),"")</f>
        <v/>
      </c>
      <c r="N167" s="812" t="str">
        <f>IFERROR(IF(B167="","",IF($P$3=$AT$8,'Statement of Marks'!L166,IF($P$3=$AT$9,'Statement of Marks'!Z166,IF($P$3=$AT$10,'Statement of Marks'!AO166,IF($P$3=$AT$11,'Statement of Marks'!BL166,IF($P$3=$AT$12,'Statement of Marks'!CI166,IF($P$3=$AT$13,'Statement of Marks'!DG166,IF($P$3=$AT$14,"",IF($P$3=$AT$15,'Statement of Marks'!FA166,""))))))))),"")</f>
        <v/>
      </c>
      <c r="O167" s="813" t="str">
        <f t="shared" si="32"/>
        <v/>
      </c>
      <c r="P167" s="812" t="str">
        <f>IFERROR(IF(B167="","",IF($P$3=$AT$8,'Statement of Marks'!N166,IF($P$3=$AT$9,'Statement of Marks'!AB166,IF($P$3=$AT$10,'Statement of Marks'!AQ166,IF($P$3=$AT$11,'Statement of Marks'!BN166,IF($P$3=$AT$12,'Statement of Marks'!CK166,IF($P$3=$AT$13,'Statement of Marks'!DI166,IF($P$3=$AT$14,"",IF($P$3=$AT$15,'Statement of Marks'!FC166,""))))))))),"")</f>
        <v/>
      </c>
      <c r="Q167" s="812" t="str">
        <f>IFERROR(IF(B167="","",IF($P$3=$AT$8,"",IF($P$3=$AT$9,"",IF($P$3=$AT$10,'Statement of Marks'!AR166,IF($P$3=$AT$11,'Statement of Marks'!BO166,IF($P$3=$AT$12,'Statement of Marks'!CL166,IF($P$3=$AT$13,'Statement of Marks'!DJ166,IF($P$3=$AT$14,"",IF($P$3=$AT$15,"",""))))))))),"")</f>
        <v/>
      </c>
      <c r="R167" s="824" t="str">
        <f>IFERROR(IF(B167="","",IF(AND(P167="",Q167="",$P$3=""),"",IF($P$3=$AT$14,'Statement of Marks'!EC166,SUM(P167,Q167)))),"")</f>
        <v/>
      </c>
      <c r="S167" s="823" t="str">
        <f>IFERROR(IF(B167="","",IF($P$3=$AT$14,'Statement of Marks'!ED166,IF(AND(O167="NA",P167="NA",Q167="NA"),"NA",IF(AND(O167="",P167="",Q167=""),"",SUM(O167,P167,Q167))))),"")</f>
        <v/>
      </c>
      <c r="T167" s="812" t="str">
        <f>IFERROR(IF(B167="","",IF($P$3=$AT$8,'Statement of Marks'!P166,IF($P$3=$AT$9,'Statement of Marks'!AD166,IF($P$3=$AT$10,'Statement of Marks'!AU166,IF($P$3=$AT$11,'Statement of Marks'!BR166,IF($P$3=$AT$12,'Statement of Marks'!CO166,IF($P$3=$AT$13,'Statement of Marks'!DM166,IF($P$3=$AT$14,"",IF($P$3=$AT$15,'Statement of Marks'!FD166,""))))))))),"")</f>
        <v/>
      </c>
      <c r="U167" s="812" t="str">
        <f>IFERROR(IF(B167="","",IF($P$3=$AT$8,"",IF($P$3=$AT$9,"",IF($P$3=$AT$10,'Statement of Marks'!AV166,IF($P$3=$AT$11,'Statement of Marks'!BS166,IF($P$3=$AT$12,'Statement of Marks'!CP166,IF($P$3=$AT$13,'Statement of Marks'!DN166,IF($P$3=$AT$14,"",IF($P$3=$AT$15,"",""))))))))),"")</f>
        <v/>
      </c>
      <c r="V167" s="824" t="str">
        <f>IFERROR(IF(B167="","",IF(AND(T167="",U167="",$P$3=""),"",IF($P$3=$AT$14,'Statement of Marks'!EE166,SUM(T167,U167)))),"")</f>
        <v/>
      </c>
      <c r="W167" s="814" t="str">
        <f t="shared" si="33"/>
        <v/>
      </c>
      <c r="X167" s="815">
        <f t="shared" si="34"/>
        <v>0</v>
      </c>
      <c r="Y167" s="815">
        <f t="shared" si="35"/>
        <v>0</v>
      </c>
      <c r="Z167" s="815">
        <f t="shared" si="36"/>
        <v>0</v>
      </c>
      <c r="AA167" s="815" t="str">
        <f t="shared" si="37"/>
        <v/>
      </c>
      <c r="AB167" s="815" t="str">
        <f t="shared" si="38"/>
        <v/>
      </c>
      <c r="AC167" s="815" t="str">
        <f t="shared" si="39"/>
        <v/>
      </c>
      <c r="AD167" s="815" t="str">
        <f t="shared" si="40"/>
        <v/>
      </c>
      <c r="AE167" s="816" t="str">
        <f t="shared" si="41"/>
        <v/>
      </c>
      <c r="AF167" s="817" t="str">
        <f t="shared" si="42"/>
        <v/>
      </c>
      <c r="AG167" s="818" t="str">
        <f t="shared" si="43"/>
        <v/>
      </c>
      <c r="AW167" s="17" t="str">
        <f t="shared" si="44"/>
        <v/>
      </c>
      <c r="AX167" s="17" t="str">
        <f t="shared" si="45"/>
        <v/>
      </c>
      <c r="BM167" s="17" t="str">
        <f>IFERROR(VLOOKUP(B167,'Statement of Marks'!$B$8:'Statement of Marks'!$HI$207,37,0),"")</f>
        <v>A</v>
      </c>
      <c r="BN167" s="17" t="str">
        <f>IFERROR(VLOOKUP(B167,'Statement of Marks'!$B$8:'Statement of Marks'!$HI$207,60,0),"")</f>
        <v>A</v>
      </c>
      <c r="BO167" s="17" t="str">
        <f>IFERROR(VLOOKUP(B167,'Statement of Marks'!$B$8:'Statement of Marks'!$HI$207,83,0),"")</f>
        <v>A</v>
      </c>
      <c r="BP167" s="17" t="str">
        <f>IFERROR(VLOOKUP(B167,'Statement of Marks'!$B$8:'Statement of Marks'!$HI$207,107,0),"")</f>
        <v/>
      </c>
    </row>
    <row r="168" spans="1:68">
      <c r="A168" s="806">
        <f>IF('Statement of Marks'!A167="","",'Statement of Marks'!A167)</f>
        <v>160</v>
      </c>
      <c r="B168" s="807" t="str">
        <f>IF(OR($E$3="",$P$3=""),"",IF('Statement of Marks'!B167="","",'Statement of Marks'!B167))</f>
        <v/>
      </c>
      <c r="C168" s="816" t="str">
        <f>IF(OR($E$3="",$P$3=""),"",IF('Marks Entry'!C167="","",'Marks Entry'!C167))</f>
        <v/>
      </c>
      <c r="D168" s="808" t="str">
        <f>IF(OR($E$3="",$P$3=""),"",IF('Statement of Marks'!C167="","",'Statement of Marks'!C167))</f>
        <v/>
      </c>
      <c r="E168" s="809" t="str">
        <f>IF(OR($E$3="",$P$3=""),"",IF('Statement of Marks'!D167="","",'Statement of Marks'!D167))</f>
        <v/>
      </c>
      <c r="F168" s="810" t="str">
        <f>IF(OR($E$3="",$P$3=""),"",IF('Statement of Marks'!E167="","",'Statement of Marks'!E167))</f>
        <v/>
      </c>
      <c r="G168" s="810" t="str">
        <f>IF(OR($E$3="",$P$3=""),"",IF('Statement of Marks'!F167="","",'Statement of Marks'!F167))</f>
        <v/>
      </c>
      <c r="H168" s="810" t="str">
        <f>IF(OR($E$3="",$P$3=""),"",IF('Statement of Marks'!G167="","",'Statement of Marks'!G167))</f>
        <v/>
      </c>
      <c r="I168" s="811" t="str">
        <f>IF(OR($E$3="",$P$3=""),"",IF('Statement of Marks'!H167="","",'Statement of Marks'!H167))</f>
        <v/>
      </c>
      <c r="J168" s="811" t="str">
        <f>IF(OR($E$3="",$P$3=""),"",IF('Statement of Marks'!I167="","",'Statement of Marks'!I167))</f>
        <v/>
      </c>
      <c r="K168" s="811" t="str">
        <f>IFERROR(IF(B168="","",IF($P$3=$AT$10,IF(AND(BM168="A"),'Marks Entry'!$U$2,IF(AND(BM168="B"),'Marks Entry'!$Y$2,IF(AND(BM168="C"),'Marks Entry'!$AA$2,""))),IF($P$3=$AT$11,IF(AND(BN168="A"),'Marks Entry'!$AC$2,IF(AND(BN168="B"),'Marks Entry'!$AG$2,IF(AND(BN168="C"),'Marks Entry'!$AI$2,""))),IF($P$3=$AT$12,IF(AND(BO168="A"),'Marks Entry'!$AK$2,IF(AND(BO168="B"),'Marks Entry'!$AO$2,IF(AND(BO168="C"),'Marks Entry'!$AQ$2,""))),IF($P$3=$AT$13,IF(AND(BP168="A"),'Marks Entry'!$AS$2,IF(AND(BP168="B"),'Marks Entry'!$AW$2,IF(AND(BP168="C"),'Marks Entry'!$AY$2,""))),"-"))))),"")</f>
        <v/>
      </c>
      <c r="L168" s="812" t="str">
        <f>IFERROR(IF(B168="","",IF($P$3=$AT$8,'Statement of Marks'!J167,IF($P$3=$AT$9,'Statement of Marks'!X167,IF($P$3=$AT$10,'Statement of Marks'!AM167,IF($P$3=$AT$11,'Statement of Marks'!BJ167,IF($P$3=$AT$12,'Statement of Marks'!CG167,IF($P$3=$AT$13,'Statement of Marks'!DE167,IF($P$3=$AT$14,"",IF($P$3=$AT$15,'Statement of Marks'!EY167,""))))))))),"")</f>
        <v/>
      </c>
      <c r="M168" s="812" t="str">
        <f>IFERROR(IF(B168="","",IF($P$3=$AT$8,'Statement of Marks'!K167,IF($P$3=$AT$9,'Statement of Marks'!Y167,IF($P$3=$AT$10,'Statement of Marks'!AN167,IF($P$3=$AT$11,'Statement of Marks'!BK167,IF($P$3=$AT$12,'Statement of Marks'!CH167,IF($P$3=$AT$13,'Statement of Marks'!DF167,IF($P$3=$AT$14,"",IF($P$3=$AT$15,'Statement of Marks'!EZ167,""))))))))),"")</f>
        <v/>
      </c>
      <c r="N168" s="812" t="str">
        <f>IFERROR(IF(B168="","",IF($P$3=$AT$8,'Statement of Marks'!L167,IF($P$3=$AT$9,'Statement of Marks'!Z167,IF($P$3=$AT$10,'Statement of Marks'!AO167,IF($P$3=$AT$11,'Statement of Marks'!BL167,IF($P$3=$AT$12,'Statement of Marks'!CI167,IF($P$3=$AT$13,'Statement of Marks'!DG167,IF($P$3=$AT$14,"",IF($P$3=$AT$15,'Statement of Marks'!FA167,""))))))))),"")</f>
        <v/>
      </c>
      <c r="O168" s="813" t="str">
        <f t="shared" si="32"/>
        <v/>
      </c>
      <c r="P168" s="812" t="str">
        <f>IFERROR(IF(B168="","",IF($P$3=$AT$8,'Statement of Marks'!N167,IF($P$3=$AT$9,'Statement of Marks'!AB167,IF($P$3=$AT$10,'Statement of Marks'!AQ167,IF($P$3=$AT$11,'Statement of Marks'!BN167,IF($P$3=$AT$12,'Statement of Marks'!CK167,IF($P$3=$AT$13,'Statement of Marks'!DI167,IF($P$3=$AT$14,"",IF($P$3=$AT$15,'Statement of Marks'!FC167,""))))))))),"")</f>
        <v/>
      </c>
      <c r="Q168" s="812" t="str">
        <f>IFERROR(IF(B168="","",IF($P$3=$AT$8,"",IF($P$3=$AT$9,"",IF($P$3=$AT$10,'Statement of Marks'!AR167,IF($P$3=$AT$11,'Statement of Marks'!BO167,IF($P$3=$AT$12,'Statement of Marks'!CL167,IF($P$3=$AT$13,'Statement of Marks'!DJ167,IF($P$3=$AT$14,"",IF($P$3=$AT$15,"",""))))))))),"")</f>
        <v/>
      </c>
      <c r="R168" s="824" t="str">
        <f>IFERROR(IF(B168="","",IF(AND(P168="",Q168="",$P$3=""),"",IF($P$3=$AT$14,'Statement of Marks'!EC167,SUM(P168,Q168)))),"")</f>
        <v/>
      </c>
      <c r="S168" s="823" t="str">
        <f>IFERROR(IF(B168="","",IF($P$3=$AT$14,'Statement of Marks'!ED167,IF(AND(O168="NA",P168="NA",Q168="NA"),"NA",IF(AND(O168="",P168="",Q168=""),"",SUM(O168,P168,Q168))))),"")</f>
        <v/>
      </c>
      <c r="T168" s="812" t="str">
        <f>IFERROR(IF(B168="","",IF($P$3=$AT$8,'Statement of Marks'!P167,IF($P$3=$AT$9,'Statement of Marks'!AD167,IF($P$3=$AT$10,'Statement of Marks'!AU167,IF($P$3=$AT$11,'Statement of Marks'!BR167,IF($P$3=$AT$12,'Statement of Marks'!CO167,IF($P$3=$AT$13,'Statement of Marks'!DM167,IF($P$3=$AT$14,"",IF($P$3=$AT$15,'Statement of Marks'!FD167,""))))))))),"")</f>
        <v/>
      </c>
      <c r="U168" s="812" t="str">
        <f>IFERROR(IF(B168="","",IF($P$3=$AT$8,"",IF($P$3=$AT$9,"",IF($P$3=$AT$10,'Statement of Marks'!AV167,IF($P$3=$AT$11,'Statement of Marks'!BS167,IF($P$3=$AT$12,'Statement of Marks'!CP167,IF($P$3=$AT$13,'Statement of Marks'!DN167,IF($P$3=$AT$14,"",IF($P$3=$AT$15,"",""))))))))),"")</f>
        <v/>
      </c>
      <c r="V168" s="824" t="str">
        <f>IFERROR(IF(B168="","",IF(AND(T168="",U168="",$P$3=""),"",IF($P$3=$AT$14,'Statement of Marks'!EE167,SUM(T168,U168)))),"")</f>
        <v/>
      </c>
      <c r="W168" s="814" t="str">
        <f t="shared" si="33"/>
        <v/>
      </c>
      <c r="X168" s="815">
        <f t="shared" si="34"/>
        <v>0</v>
      </c>
      <c r="Y168" s="815">
        <f t="shared" si="35"/>
        <v>0</v>
      </c>
      <c r="Z168" s="815">
        <f t="shared" si="36"/>
        <v>0</v>
      </c>
      <c r="AA168" s="815" t="str">
        <f t="shared" si="37"/>
        <v/>
      </c>
      <c r="AB168" s="815" t="str">
        <f t="shared" si="38"/>
        <v/>
      </c>
      <c r="AC168" s="815" t="str">
        <f t="shared" si="39"/>
        <v/>
      </c>
      <c r="AD168" s="815" t="str">
        <f t="shared" si="40"/>
        <v/>
      </c>
      <c r="AE168" s="816" t="str">
        <f t="shared" si="41"/>
        <v/>
      </c>
      <c r="AF168" s="817" t="str">
        <f t="shared" si="42"/>
        <v/>
      </c>
      <c r="AG168" s="818" t="str">
        <f t="shared" si="43"/>
        <v/>
      </c>
      <c r="AW168" s="17" t="str">
        <f t="shared" si="44"/>
        <v/>
      </c>
      <c r="AX168" s="17" t="str">
        <f t="shared" si="45"/>
        <v/>
      </c>
      <c r="BM168" s="17" t="str">
        <f>IFERROR(VLOOKUP(B168,'Statement of Marks'!$B$8:'Statement of Marks'!$HI$207,37,0),"")</f>
        <v>A</v>
      </c>
      <c r="BN168" s="17" t="str">
        <f>IFERROR(VLOOKUP(B168,'Statement of Marks'!$B$8:'Statement of Marks'!$HI$207,60,0),"")</f>
        <v>A</v>
      </c>
      <c r="BO168" s="17" t="str">
        <f>IFERROR(VLOOKUP(B168,'Statement of Marks'!$B$8:'Statement of Marks'!$HI$207,83,0),"")</f>
        <v>A</v>
      </c>
      <c r="BP168" s="17" t="str">
        <f>IFERROR(VLOOKUP(B168,'Statement of Marks'!$B$8:'Statement of Marks'!$HI$207,107,0),"")</f>
        <v/>
      </c>
    </row>
    <row r="169" spans="1:68">
      <c r="A169" s="806">
        <f>IF('Statement of Marks'!A168="","",'Statement of Marks'!A168)</f>
        <v>161</v>
      </c>
      <c r="B169" s="807" t="str">
        <f>IF(OR($E$3="",$P$3=""),"",IF('Statement of Marks'!B168="","",'Statement of Marks'!B168))</f>
        <v/>
      </c>
      <c r="C169" s="816" t="str">
        <f>IF(OR($E$3="",$P$3=""),"",IF('Marks Entry'!C168="","",'Marks Entry'!C168))</f>
        <v/>
      </c>
      <c r="D169" s="808" t="str">
        <f>IF(OR($E$3="",$P$3=""),"",IF('Statement of Marks'!C168="","",'Statement of Marks'!C168))</f>
        <v/>
      </c>
      <c r="E169" s="809" t="str">
        <f>IF(OR($E$3="",$P$3=""),"",IF('Statement of Marks'!D168="","",'Statement of Marks'!D168))</f>
        <v/>
      </c>
      <c r="F169" s="810" t="str">
        <f>IF(OR($E$3="",$P$3=""),"",IF('Statement of Marks'!E168="","",'Statement of Marks'!E168))</f>
        <v/>
      </c>
      <c r="G169" s="810" t="str">
        <f>IF(OR($E$3="",$P$3=""),"",IF('Statement of Marks'!F168="","",'Statement of Marks'!F168))</f>
        <v/>
      </c>
      <c r="H169" s="810" t="str">
        <f>IF(OR($E$3="",$P$3=""),"",IF('Statement of Marks'!G168="","",'Statement of Marks'!G168))</f>
        <v/>
      </c>
      <c r="I169" s="811" t="str">
        <f>IF(OR($E$3="",$P$3=""),"",IF('Statement of Marks'!H168="","",'Statement of Marks'!H168))</f>
        <v/>
      </c>
      <c r="J169" s="811" t="str">
        <f>IF(OR($E$3="",$P$3=""),"",IF('Statement of Marks'!I168="","",'Statement of Marks'!I168))</f>
        <v/>
      </c>
      <c r="K169" s="811" t="str">
        <f>IFERROR(IF(B169="","",IF($P$3=$AT$10,IF(AND(BM169="A"),'Marks Entry'!$U$2,IF(AND(BM169="B"),'Marks Entry'!$Y$2,IF(AND(BM169="C"),'Marks Entry'!$AA$2,""))),IF($P$3=$AT$11,IF(AND(BN169="A"),'Marks Entry'!$AC$2,IF(AND(BN169="B"),'Marks Entry'!$AG$2,IF(AND(BN169="C"),'Marks Entry'!$AI$2,""))),IF($P$3=$AT$12,IF(AND(BO169="A"),'Marks Entry'!$AK$2,IF(AND(BO169="B"),'Marks Entry'!$AO$2,IF(AND(BO169="C"),'Marks Entry'!$AQ$2,""))),IF($P$3=$AT$13,IF(AND(BP169="A"),'Marks Entry'!$AS$2,IF(AND(BP169="B"),'Marks Entry'!$AW$2,IF(AND(BP169="C"),'Marks Entry'!$AY$2,""))),"-"))))),"")</f>
        <v/>
      </c>
      <c r="L169" s="812" t="str">
        <f>IFERROR(IF(B169="","",IF($P$3=$AT$8,'Statement of Marks'!J168,IF($P$3=$AT$9,'Statement of Marks'!X168,IF($P$3=$AT$10,'Statement of Marks'!AM168,IF($P$3=$AT$11,'Statement of Marks'!BJ168,IF($P$3=$AT$12,'Statement of Marks'!CG168,IF($P$3=$AT$13,'Statement of Marks'!DE168,IF($P$3=$AT$14,"",IF($P$3=$AT$15,'Statement of Marks'!EY168,""))))))))),"")</f>
        <v/>
      </c>
      <c r="M169" s="812" t="str">
        <f>IFERROR(IF(B169="","",IF($P$3=$AT$8,'Statement of Marks'!K168,IF($P$3=$AT$9,'Statement of Marks'!Y168,IF($P$3=$AT$10,'Statement of Marks'!AN168,IF($P$3=$AT$11,'Statement of Marks'!BK168,IF($P$3=$AT$12,'Statement of Marks'!CH168,IF($P$3=$AT$13,'Statement of Marks'!DF168,IF($P$3=$AT$14,"",IF($P$3=$AT$15,'Statement of Marks'!EZ168,""))))))))),"")</f>
        <v/>
      </c>
      <c r="N169" s="812" t="str">
        <f>IFERROR(IF(B169="","",IF($P$3=$AT$8,'Statement of Marks'!L168,IF($P$3=$AT$9,'Statement of Marks'!Z168,IF($P$3=$AT$10,'Statement of Marks'!AO168,IF($P$3=$AT$11,'Statement of Marks'!BL168,IF($P$3=$AT$12,'Statement of Marks'!CI168,IF($P$3=$AT$13,'Statement of Marks'!DG168,IF($P$3=$AT$14,"",IF($P$3=$AT$15,'Statement of Marks'!FA168,""))))))))),"")</f>
        <v/>
      </c>
      <c r="O169" s="813" t="str">
        <f t="shared" si="32"/>
        <v/>
      </c>
      <c r="P169" s="812" t="str">
        <f>IFERROR(IF(B169="","",IF($P$3=$AT$8,'Statement of Marks'!N168,IF($P$3=$AT$9,'Statement of Marks'!AB168,IF($P$3=$AT$10,'Statement of Marks'!AQ168,IF($P$3=$AT$11,'Statement of Marks'!BN168,IF($P$3=$AT$12,'Statement of Marks'!CK168,IF($P$3=$AT$13,'Statement of Marks'!DI168,IF($P$3=$AT$14,"",IF($P$3=$AT$15,'Statement of Marks'!FC168,""))))))))),"")</f>
        <v/>
      </c>
      <c r="Q169" s="812" t="str">
        <f>IFERROR(IF(B169="","",IF($P$3=$AT$8,"",IF($P$3=$AT$9,"",IF($P$3=$AT$10,'Statement of Marks'!AR168,IF($P$3=$AT$11,'Statement of Marks'!BO168,IF($P$3=$AT$12,'Statement of Marks'!CL168,IF($P$3=$AT$13,'Statement of Marks'!DJ168,IF($P$3=$AT$14,"",IF($P$3=$AT$15,"",""))))))))),"")</f>
        <v/>
      </c>
      <c r="R169" s="824" t="str">
        <f>IFERROR(IF(B169="","",IF(AND(P169="",Q169="",$P$3=""),"",IF($P$3=$AT$14,'Statement of Marks'!EC168,SUM(P169,Q169)))),"")</f>
        <v/>
      </c>
      <c r="S169" s="823" t="str">
        <f>IFERROR(IF(B169="","",IF($P$3=$AT$14,'Statement of Marks'!ED168,IF(AND(O169="NA",P169="NA",Q169="NA"),"NA",IF(AND(O169="",P169="",Q169=""),"",SUM(O169,P169,Q169))))),"")</f>
        <v/>
      </c>
      <c r="T169" s="812" t="str">
        <f>IFERROR(IF(B169="","",IF($P$3=$AT$8,'Statement of Marks'!P168,IF($P$3=$AT$9,'Statement of Marks'!AD168,IF($P$3=$AT$10,'Statement of Marks'!AU168,IF($P$3=$AT$11,'Statement of Marks'!BR168,IF($P$3=$AT$12,'Statement of Marks'!CO168,IF($P$3=$AT$13,'Statement of Marks'!DM168,IF($P$3=$AT$14,"",IF($P$3=$AT$15,'Statement of Marks'!FD168,""))))))))),"")</f>
        <v/>
      </c>
      <c r="U169" s="812" t="str">
        <f>IFERROR(IF(B169="","",IF($P$3=$AT$8,"",IF($P$3=$AT$9,"",IF($P$3=$AT$10,'Statement of Marks'!AV168,IF($P$3=$AT$11,'Statement of Marks'!BS168,IF($P$3=$AT$12,'Statement of Marks'!CP168,IF($P$3=$AT$13,'Statement of Marks'!DN168,IF($P$3=$AT$14,"",IF($P$3=$AT$15,"",""))))))))),"")</f>
        <v/>
      </c>
      <c r="V169" s="824" t="str">
        <f>IFERROR(IF(B169="","",IF(AND(T169="",U169="",$P$3=""),"",IF($P$3=$AT$14,'Statement of Marks'!EE168,SUM(T169,U169)))),"")</f>
        <v/>
      </c>
      <c r="W169" s="814" t="str">
        <f t="shared" si="33"/>
        <v/>
      </c>
      <c r="X169" s="815">
        <f t="shared" si="34"/>
        <v>0</v>
      </c>
      <c r="Y169" s="815">
        <f t="shared" si="35"/>
        <v>0</v>
      </c>
      <c r="Z169" s="815">
        <f t="shared" si="36"/>
        <v>0</v>
      </c>
      <c r="AA169" s="815" t="str">
        <f t="shared" si="37"/>
        <v/>
      </c>
      <c r="AB169" s="815" t="str">
        <f t="shared" si="38"/>
        <v/>
      </c>
      <c r="AC169" s="815" t="str">
        <f t="shared" si="39"/>
        <v/>
      </c>
      <c r="AD169" s="815" t="str">
        <f t="shared" si="40"/>
        <v/>
      </c>
      <c r="AE169" s="816" t="str">
        <f t="shared" si="41"/>
        <v/>
      </c>
      <c r="AF169" s="817" t="str">
        <f t="shared" si="42"/>
        <v/>
      </c>
      <c r="AG169" s="818" t="str">
        <f t="shared" si="43"/>
        <v/>
      </c>
      <c r="AW169" s="17" t="str">
        <f t="shared" si="44"/>
        <v/>
      </c>
      <c r="AX169" s="17" t="str">
        <f t="shared" si="45"/>
        <v/>
      </c>
      <c r="BM169" s="17" t="str">
        <f>IFERROR(VLOOKUP(B169,'Statement of Marks'!$B$8:'Statement of Marks'!$HI$207,37,0),"")</f>
        <v>A</v>
      </c>
      <c r="BN169" s="17" t="str">
        <f>IFERROR(VLOOKUP(B169,'Statement of Marks'!$B$8:'Statement of Marks'!$HI$207,60,0),"")</f>
        <v>A</v>
      </c>
      <c r="BO169" s="17" t="str">
        <f>IFERROR(VLOOKUP(B169,'Statement of Marks'!$B$8:'Statement of Marks'!$HI$207,83,0),"")</f>
        <v>A</v>
      </c>
      <c r="BP169" s="17" t="str">
        <f>IFERROR(VLOOKUP(B169,'Statement of Marks'!$B$8:'Statement of Marks'!$HI$207,107,0),"")</f>
        <v/>
      </c>
    </row>
    <row r="170" spans="1:68">
      <c r="A170" s="806">
        <f>IF('Statement of Marks'!A169="","",'Statement of Marks'!A169)</f>
        <v>162</v>
      </c>
      <c r="B170" s="807" t="str">
        <f>IF(OR($E$3="",$P$3=""),"",IF('Statement of Marks'!B169="","",'Statement of Marks'!B169))</f>
        <v/>
      </c>
      <c r="C170" s="816" t="str">
        <f>IF(OR($E$3="",$P$3=""),"",IF('Marks Entry'!C169="","",'Marks Entry'!C169))</f>
        <v/>
      </c>
      <c r="D170" s="808" t="str">
        <f>IF(OR($E$3="",$P$3=""),"",IF('Statement of Marks'!C169="","",'Statement of Marks'!C169))</f>
        <v/>
      </c>
      <c r="E170" s="809" t="str">
        <f>IF(OR($E$3="",$P$3=""),"",IF('Statement of Marks'!D169="","",'Statement of Marks'!D169))</f>
        <v/>
      </c>
      <c r="F170" s="810" t="str">
        <f>IF(OR($E$3="",$P$3=""),"",IF('Statement of Marks'!E169="","",'Statement of Marks'!E169))</f>
        <v/>
      </c>
      <c r="G170" s="810" t="str">
        <f>IF(OR($E$3="",$P$3=""),"",IF('Statement of Marks'!F169="","",'Statement of Marks'!F169))</f>
        <v/>
      </c>
      <c r="H170" s="810" t="str">
        <f>IF(OR($E$3="",$P$3=""),"",IF('Statement of Marks'!G169="","",'Statement of Marks'!G169))</f>
        <v/>
      </c>
      <c r="I170" s="811" t="str">
        <f>IF(OR($E$3="",$P$3=""),"",IF('Statement of Marks'!H169="","",'Statement of Marks'!H169))</f>
        <v/>
      </c>
      <c r="J170" s="811" t="str">
        <f>IF(OR($E$3="",$P$3=""),"",IF('Statement of Marks'!I169="","",'Statement of Marks'!I169))</f>
        <v/>
      </c>
      <c r="K170" s="811" t="str">
        <f>IFERROR(IF(B170="","",IF($P$3=$AT$10,IF(AND(BM170="A"),'Marks Entry'!$U$2,IF(AND(BM170="B"),'Marks Entry'!$Y$2,IF(AND(BM170="C"),'Marks Entry'!$AA$2,""))),IF($P$3=$AT$11,IF(AND(BN170="A"),'Marks Entry'!$AC$2,IF(AND(BN170="B"),'Marks Entry'!$AG$2,IF(AND(BN170="C"),'Marks Entry'!$AI$2,""))),IF($P$3=$AT$12,IF(AND(BO170="A"),'Marks Entry'!$AK$2,IF(AND(BO170="B"),'Marks Entry'!$AO$2,IF(AND(BO170="C"),'Marks Entry'!$AQ$2,""))),IF($P$3=$AT$13,IF(AND(BP170="A"),'Marks Entry'!$AS$2,IF(AND(BP170="B"),'Marks Entry'!$AW$2,IF(AND(BP170="C"),'Marks Entry'!$AY$2,""))),"-"))))),"")</f>
        <v/>
      </c>
      <c r="L170" s="812" t="str">
        <f>IFERROR(IF(B170="","",IF($P$3=$AT$8,'Statement of Marks'!J169,IF($P$3=$AT$9,'Statement of Marks'!X169,IF($P$3=$AT$10,'Statement of Marks'!AM169,IF($P$3=$AT$11,'Statement of Marks'!BJ169,IF($P$3=$AT$12,'Statement of Marks'!CG169,IF($P$3=$AT$13,'Statement of Marks'!DE169,IF($P$3=$AT$14,"",IF($P$3=$AT$15,'Statement of Marks'!EY169,""))))))))),"")</f>
        <v/>
      </c>
      <c r="M170" s="812" t="str">
        <f>IFERROR(IF(B170="","",IF($P$3=$AT$8,'Statement of Marks'!K169,IF($P$3=$AT$9,'Statement of Marks'!Y169,IF($P$3=$AT$10,'Statement of Marks'!AN169,IF($P$3=$AT$11,'Statement of Marks'!BK169,IF($P$3=$AT$12,'Statement of Marks'!CH169,IF($P$3=$AT$13,'Statement of Marks'!DF169,IF($P$3=$AT$14,"",IF($P$3=$AT$15,'Statement of Marks'!EZ169,""))))))))),"")</f>
        <v/>
      </c>
      <c r="N170" s="812" t="str">
        <f>IFERROR(IF(B170="","",IF($P$3=$AT$8,'Statement of Marks'!L169,IF($P$3=$AT$9,'Statement of Marks'!Z169,IF($P$3=$AT$10,'Statement of Marks'!AO169,IF($P$3=$AT$11,'Statement of Marks'!BL169,IF($P$3=$AT$12,'Statement of Marks'!CI169,IF($P$3=$AT$13,'Statement of Marks'!DG169,IF($P$3=$AT$14,"",IF($P$3=$AT$15,'Statement of Marks'!FA169,""))))))))),"")</f>
        <v/>
      </c>
      <c r="O170" s="813" t="str">
        <f t="shared" si="32"/>
        <v/>
      </c>
      <c r="P170" s="812" t="str">
        <f>IFERROR(IF(B170="","",IF($P$3=$AT$8,'Statement of Marks'!N169,IF($P$3=$AT$9,'Statement of Marks'!AB169,IF($P$3=$AT$10,'Statement of Marks'!AQ169,IF($P$3=$AT$11,'Statement of Marks'!BN169,IF($P$3=$AT$12,'Statement of Marks'!CK169,IF($P$3=$AT$13,'Statement of Marks'!DI169,IF($P$3=$AT$14,"",IF($P$3=$AT$15,'Statement of Marks'!FC169,""))))))))),"")</f>
        <v/>
      </c>
      <c r="Q170" s="812" t="str">
        <f>IFERROR(IF(B170="","",IF($P$3=$AT$8,"",IF($P$3=$AT$9,"",IF($P$3=$AT$10,'Statement of Marks'!AR169,IF($P$3=$AT$11,'Statement of Marks'!BO169,IF($P$3=$AT$12,'Statement of Marks'!CL169,IF($P$3=$AT$13,'Statement of Marks'!DJ169,IF($P$3=$AT$14,"",IF($P$3=$AT$15,"",""))))))))),"")</f>
        <v/>
      </c>
      <c r="R170" s="824" t="str">
        <f>IFERROR(IF(B170="","",IF(AND(P170="",Q170="",$P$3=""),"",IF($P$3=$AT$14,'Statement of Marks'!EC169,SUM(P170,Q170)))),"")</f>
        <v/>
      </c>
      <c r="S170" s="823" t="str">
        <f>IFERROR(IF(B170="","",IF($P$3=$AT$14,'Statement of Marks'!ED169,IF(AND(O170="NA",P170="NA",Q170="NA"),"NA",IF(AND(O170="",P170="",Q170=""),"",SUM(O170,P170,Q170))))),"")</f>
        <v/>
      </c>
      <c r="T170" s="812" t="str">
        <f>IFERROR(IF(B170="","",IF($P$3=$AT$8,'Statement of Marks'!P169,IF($P$3=$AT$9,'Statement of Marks'!AD169,IF($P$3=$AT$10,'Statement of Marks'!AU169,IF($P$3=$AT$11,'Statement of Marks'!BR169,IF($P$3=$AT$12,'Statement of Marks'!CO169,IF($P$3=$AT$13,'Statement of Marks'!DM169,IF($P$3=$AT$14,"",IF($P$3=$AT$15,'Statement of Marks'!FD169,""))))))))),"")</f>
        <v/>
      </c>
      <c r="U170" s="812" t="str">
        <f>IFERROR(IF(B170="","",IF($P$3=$AT$8,"",IF($P$3=$AT$9,"",IF($P$3=$AT$10,'Statement of Marks'!AV169,IF($P$3=$AT$11,'Statement of Marks'!BS169,IF($P$3=$AT$12,'Statement of Marks'!CP169,IF($P$3=$AT$13,'Statement of Marks'!DN169,IF($P$3=$AT$14,"",IF($P$3=$AT$15,"",""))))))))),"")</f>
        <v/>
      </c>
      <c r="V170" s="824" t="str">
        <f>IFERROR(IF(B170="","",IF(AND(T170="",U170="",$P$3=""),"",IF($P$3=$AT$14,'Statement of Marks'!EE169,SUM(T170,U170)))),"")</f>
        <v/>
      </c>
      <c r="W170" s="814" t="str">
        <f t="shared" si="33"/>
        <v/>
      </c>
      <c r="X170" s="815">
        <f t="shared" si="34"/>
        <v>0</v>
      </c>
      <c r="Y170" s="815">
        <f t="shared" si="35"/>
        <v>0</v>
      </c>
      <c r="Z170" s="815">
        <f t="shared" si="36"/>
        <v>0</v>
      </c>
      <c r="AA170" s="815" t="str">
        <f t="shared" si="37"/>
        <v/>
      </c>
      <c r="AB170" s="815" t="str">
        <f t="shared" si="38"/>
        <v/>
      </c>
      <c r="AC170" s="815" t="str">
        <f t="shared" si="39"/>
        <v/>
      </c>
      <c r="AD170" s="815" t="str">
        <f t="shared" si="40"/>
        <v/>
      </c>
      <c r="AE170" s="816" t="str">
        <f t="shared" si="41"/>
        <v/>
      </c>
      <c r="AF170" s="817" t="str">
        <f t="shared" si="42"/>
        <v/>
      </c>
      <c r="AG170" s="818" t="str">
        <f t="shared" si="43"/>
        <v/>
      </c>
      <c r="AW170" s="17" t="str">
        <f t="shared" si="44"/>
        <v/>
      </c>
      <c r="AX170" s="17" t="str">
        <f t="shared" si="45"/>
        <v/>
      </c>
      <c r="BM170" s="17" t="str">
        <f>IFERROR(VLOOKUP(B170,'Statement of Marks'!$B$8:'Statement of Marks'!$HI$207,37,0),"")</f>
        <v>A</v>
      </c>
      <c r="BN170" s="17" t="str">
        <f>IFERROR(VLOOKUP(B170,'Statement of Marks'!$B$8:'Statement of Marks'!$HI$207,60,0),"")</f>
        <v>A</v>
      </c>
      <c r="BO170" s="17" t="str">
        <f>IFERROR(VLOOKUP(B170,'Statement of Marks'!$B$8:'Statement of Marks'!$HI$207,83,0),"")</f>
        <v>A</v>
      </c>
      <c r="BP170" s="17" t="str">
        <f>IFERROR(VLOOKUP(B170,'Statement of Marks'!$B$8:'Statement of Marks'!$HI$207,107,0),"")</f>
        <v/>
      </c>
    </row>
    <row r="171" spans="1:68">
      <c r="A171" s="806">
        <f>IF('Statement of Marks'!A170="","",'Statement of Marks'!A170)</f>
        <v>163</v>
      </c>
      <c r="B171" s="807" t="str">
        <f>IF(OR($E$3="",$P$3=""),"",IF('Statement of Marks'!B170="","",'Statement of Marks'!B170))</f>
        <v/>
      </c>
      <c r="C171" s="816" t="str">
        <f>IF(OR($E$3="",$P$3=""),"",IF('Marks Entry'!C170="","",'Marks Entry'!C170))</f>
        <v/>
      </c>
      <c r="D171" s="808" t="str">
        <f>IF(OR($E$3="",$P$3=""),"",IF('Statement of Marks'!C170="","",'Statement of Marks'!C170))</f>
        <v/>
      </c>
      <c r="E171" s="809" t="str">
        <f>IF(OR($E$3="",$P$3=""),"",IF('Statement of Marks'!D170="","",'Statement of Marks'!D170))</f>
        <v/>
      </c>
      <c r="F171" s="810" t="str">
        <f>IF(OR($E$3="",$P$3=""),"",IF('Statement of Marks'!E170="","",'Statement of Marks'!E170))</f>
        <v/>
      </c>
      <c r="G171" s="810" t="str">
        <f>IF(OR($E$3="",$P$3=""),"",IF('Statement of Marks'!F170="","",'Statement of Marks'!F170))</f>
        <v/>
      </c>
      <c r="H171" s="810" t="str">
        <f>IF(OR($E$3="",$P$3=""),"",IF('Statement of Marks'!G170="","",'Statement of Marks'!G170))</f>
        <v/>
      </c>
      <c r="I171" s="811" t="str">
        <f>IF(OR($E$3="",$P$3=""),"",IF('Statement of Marks'!H170="","",'Statement of Marks'!H170))</f>
        <v/>
      </c>
      <c r="J171" s="811" t="str">
        <f>IF(OR($E$3="",$P$3=""),"",IF('Statement of Marks'!I170="","",'Statement of Marks'!I170))</f>
        <v/>
      </c>
      <c r="K171" s="811" t="str">
        <f>IFERROR(IF(B171="","",IF($P$3=$AT$10,IF(AND(BM171="A"),'Marks Entry'!$U$2,IF(AND(BM171="B"),'Marks Entry'!$Y$2,IF(AND(BM171="C"),'Marks Entry'!$AA$2,""))),IF($P$3=$AT$11,IF(AND(BN171="A"),'Marks Entry'!$AC$2,IF(AND(BN171="B"),'Marks Entry'!$AG$2,IF(AND(BN171="C"),'Marks Entry'!$AI$2,""))),IF($P$3=$AT$12,IF(AND(BO171="A"),'Marks Entry'!$AK$2,IF(AND(BO171="B"),'Marks Entry'!$AO$2,IF(AND(BO171="C"),'Marks Entry'!$AQ$2,""))),IF($P$3=$AT$13,IF(AND(BP171="A"),'Marks Entry'!$AS$2,IF(AND(BP171="B"),'Marks Entry'!$AW$2,IF(AND(BP171="C"),'Marks Entry'!$AY$2,""))),"-"))))),"")</f>
        <v/>
      </c>
      <c r="L171" s="812" t="str">
        <f>IFERROR(IF(B171="","",IF($P$3=$AT$8,'Statement of Marks'!J170,IF($P$3=$AT$9,'Statement of Marks'!X170,IF($P$3=$AT$10,'Statement of Marks'!AM170,IF($P$3=$AT$11,'Statement of Marks'!BJ170,IF($P$3=$AT$12,'Statement of Marks'!CG170,IF($P$3=$AT$13,'Statement of Marks'!DE170,IF($P$3=$AT$14,"",IF($P$3=$AT$15,'Statement of Marks'!EY170,""))))))))),"")</f>
        <v/>
      </c>
      <c r="M171" s="812" t="str">
        <f>IFERROR(IF(B171="","",IF($P$3=$AT$8,'Statement of Marks'!K170,IF($P$3=$AT$9,'Statement of Marks'!Y170,IF($P$3=$AT$10,'Statement of Marks'!AN170,IF($P$3=$AT$11,'Statement of Marks'!BK170,IF($P$3=$AT$12,'Statement of Marks'!CH170,IF($P$3=$AT$13,'Statement of Marks'!DF170,IF($P$3=$AT$14,"",IF($P$3=$AT$15,'Statement of Marks'!EZ170,""))))))))),"")</f>
        <v/>
      </c>
      <c r="N171" s="812" t="str">
        <f>IFERROR(IF(B171="","",IF($P$3=$AT$8,'Statement of Marks'!L170,IF($P$3=$AT$9,'Statement of Marks'!Z170,IF($P$3=$AT$10,'Statement of Marks'!AO170,IF($P$3=$AT$11,'Statement of Marks'!BL170,IF($P$3=$AT$12,'Statement of Marks'!CI170,IF($P$3=$AT$13,'Statement of Marks'!DG170,IF($P$3=$AT$14,"",IF($P$3=$AT$15,'Statement of Marks'!FA170,""))))))))),"")</f>
        <v/>
      </c>
      <c r="O171" s="813" t="str">
        <f t="shared" si="32"/>
        <v/>
      </c>
      <c r="P171" s="812" t="str">
        <f>IFERROR(IF(B171="","",IF($P$3=$AT$8,'Statement of Marks'!N170,IF($P$3=$AT$9,'Statement of Marks'!AB170,IF($P$3=$AT$10,'Statement of Marks'!AQ170,IF($P$3=$AT$11,'Statement of Marks'!BN170,IF($P$3=$AT$12,'Statement of Marks'!CK170,IF($P$3=$AT$13,'Statement of Marks'!DI170,IF($P$3=$AT$14,"",IF($P$3=$AT$15,'Statement of Marks'!FC170,""))))))))),"")</f>
        <v/>
      </c>
      <c r="Q171" s="812" t="str">
        <f>IFERROR(IF(B171="","",IF($P$3=$AT$8,"",IF($P$3=$AT$9,"",IF($P$3=$AT$10,'Statement of Marks'!AR170,IF($P$3=$AT$11,'Statement of Marks'!BO170,IF($P$3=$AT$12,'Statement of Marks'!CL170,IF($P$3=$AT$13,'Statement of Marks'!DJ170,IF($P$3=$AT$14,"",IF($P$3=$AT$15,"",""))))))))),"")</f>
        <v/>
      </c>
      <c r="R171" s="824" t="str">
        <f>IFERROR(IF(B171="","",IF(AND(P171="",Q171="",$P$3=""),"",IF($P$3=$AT$14,'Statement of Marks'!EC170,SUM(P171,Q171)))),"")</f>
        <v/>
      </c>
      <c r="S171" s="823" t="str">
        <f>IFERROR(IF(B171="","",IF($P$3=$AT$14,'Statement of Marks'!ED170,IF(AND(O171="NA",P171="NA",Q171="NA"),"NA",IF(AND(O171="",P171="",Q171=""),"",SUM(O171,P171,Q171))))),"")</f>
        <v/>
      </c>
      <c r="T171" s="812" t="str">
        <f>IFERROR(IF(B171="","",IF($P$3=$AT$8,'Statement of Marks'!P170,IF($P$3=$AT$9,'Statement of Marks'!AD170,IF($P$3=$AT$10,'Statement of Marks'!AU170,IF($P$3=$AT$11,'Statement of Marks'!BR170,IF($P$3=$AT$12,'Statement of Marks'!CO170,IF($P$3=$AT$13,'Statement of Marks'!DM170,IF($P$3=$AT$14,"",IF($P$3=$AT$15,'Statement of Marks'!FD170,""))))))))),"")</f>
        <v/>
      </c>
      <c r="U171" s="812" t="str">
        <f>IFERROR(IF(B171="","",IF($P$3=$AT$8,"",IF($P$3=$AT$9,"",IF($P$3=$AT$10,'Statement of Marks'!AV170,IF($P$3=$AT$11,'Statement of Marks'!BS170,IF($P$3=$AT$12,'Statement of Marks'!CP170,IF($P$3=$AT$13,'Statement of Marks'!DN170,IF($P$3=$AT$14,"",IF($P$3=$AT$15,"",""))))))))),"")</f>
        <v/>
      </c>
      <c r="V171" s="824" t="str">
        <f>IFERROR(IF(B171="","",IF(AND(T171="",U171="",$P$3=""),"",IF($P$3=$AT$14,'Statement of Marks'!EE170,SUM(T171,U171)))),"")</f>
        <v/>
      </c>
      <c r="W171" s="814" t="str">
        <f t="shared" si="33"/>
        <v/>
      </c>
      <c r="X171" s="815">
        <f t="shared" si="34"/>
        <v>0</v>
      </c>
      <c r="Y171" s="815">
        <f t="shared" si="35"/>
        <v>0</v>
      </c>
      <c r="Z171" s="815">
        <f t="shared" si="36"/>
        <v>0</v>
      </c>
      <c r="AA171" s="815" t="str">
        <f t="shared" si="37"/>
        <v/>
      </c>
      <c r="AB171" s="815" t="str">
        <f t="shared" si="38"/>
        <v/>
      </c>
      <c r="AC171" s="815" t="str">
        <f t="shared" si="39"/>
        <v/>
      </c>
      <c r="AD171" s="815" t="str">
        <f t="shared" si="40"/>
        <v/>
      </c>
      <c r="AE171" s="816" t="str">
        <f t="shared" si="41"/>
        <v/>
      </c>
      <c r="AF171" s="817" t="str">
        <f t="shared" si="42"/>
        <v/>
      </c>
      <c r="AG171" s="818" t="str">
        <f t="shared" si="43"/>
        <v/>
      </c>
      <c r="AW171" s="17" t="str">
        <f t="shared" si="44"/>
        <v/>
      </c>
      <c r="AX171" s="17" t="str">
        <f t="shared" si="45"/>
        <v/>
      </c>
      <c r="BM171" s="17" t="str">
        <f>IFERROR(VLOOKUP(B171,'Statement of Marks'!$B$8:'Statement of Marks'!$HI$207,37,0),"")</f>
        <v>A</v>
      </c>
      <c r="BN171" s="17" t="str">
        <f>IFERROR(VLOOKUP(B171,'Statement of Marks'!$B$8:'Statement of Marks'!$HI$207,60,0),"")</f>
        <v>A</v>
      </c>
      <c r="BO171" s="17" t="str">
        <f>IFERROR(VLOOKUP(B171,'Statement of Marks'!$B$8:'Statement of Marks'!$HI$207,83,0),"")</f>
        <v>A</v>
      </c>
      <c r="BP171" s="17" t="str">
        <f>IFERROR(VLOOKUP(B171,'Statement of Marks'!$B$8:'Statement of Marks'!$HI$207,107,0),"")</f>
        <v/>
      </c>
    </row>
    <row r="172" spans="1:68">
      <c r="A172" s="806">
        <f>IF('Statement of Marks'!A171="","",'Statement of Marks'!A171)</f>
        <v>164</v>
      </c>
      <c r="B172" s="807" t="str">
        <f>IF(OR($E$3="",$P$3=""),"",IF('Statement of Marks'!B171="","",'Statement of Marks'!B171))</f>
        <v/>
      </c>
      <c r="C172" s="816" t="str">
        <f>IF(OR($E$3="",$P$3=""),"",IF('Marks Entry'!C171="","",'Marks Entry'!C171))</f>
        <v/>
      </c>
      <c r="D172" s="808" t="str">
        <f>IF(OR($E$3="",$P$3=""),"",IF('Statement of Marks'!C171="","",'Statement of Marks'!C171))</f>
        <v/>
      </c>
      <c r="E172" s="809" t="str">
        <f>IF(OR($E$3="",$P$3=""),"",IF('Statement of Marks'!D171="","",'Statement of Marks'!D171))</f>
        <v/>
      </c>
      <c r="F172" s="810" t="str">
        <f>IF(OR($E$3="",$P$3=""),"",IF('Statement of Marks'!E171="","",'Statement of Marks'!E171))</f>
        <v/>
      </c>
      <c r="G172" s="810" t="str">
        <f>IF(OR($E$3="",$P$3=""),"",IF('Statement of Marks'!F171="","",'Statement of Marks'!F171))</f>
        <v/>
      </c>
      <c r="H172" s="810" t="str">
        <f>IF(OR($E$3="",$P$3=""),"",IF('Statement of Marks'!G171="","",'Statement of Marks'!G171))</f>
        <v/>
      </c>
      <c r="I172" s="811" t="str">
        <f>IF(OR($E$3="",$P$3=""),"",IF('Statement of Marks'!H171="","",'Statement of Marks'!H171))</f>
        <v/>
      </c>
      <c r="J172" s="811" t="str">
        <f>IF(OR($E$3="",$P$3=""),"",IF('Statement of Marks'!I171="","",'Statement of Marks'!I171))</f>
        <v/>
      </c>
      <c r="K172" s="811" t="str">
        <f>IFERROR(IF(B172="","",IF($P$3=$AT$10,IF(AND(BM172="A"),'Marks Entry'!$U$2,IF(AND(BM172="B"),'Marks Entry'!$Y$2,IF(AND(BM172="C"),'Marks Entry'!$AA$2,""))),IF($P$3=$AT$11,IF(AND(BN172="A"),'Marks Entry'!$AC$2,IF(AND(BN172="B"),'Marks Entry'!$AG$2,IF(AND(BN172="C"),'Marks Entry'!$AI$2,""))),IF($P$3=$AT$12,IF(AND(BO172="A"),'Marks Entry'!$AK$2,IF(AND(BO172="B"),'Marks Entry'!$AO$2,IF(AND(BO172="C"),'Marks Entry'!$AQ$2,""))),IF($P$3=$AT$13,IF(AND(BP172="A"),'Marks Entry'!$AS$2,IF(AND(BP172="B"),'Marks Entry'!$AW$2,IF(AND(BP172="C"),'Marks Entry'!$AY$2,""))),"-"))))),"")</f>
        <v/>
      </c>
      <c r="L172" s="812" t="str">
        <f>IFERROR(IF(B172="","",IF($P$3=$AT$8,'Statement of Marks'!J171,IF($P$3=$AT$9,'Statement of Marks'!X171,IF($P$3=$AT$10,'Statement of Marks'!AM171,IF($P$3=$AT$11,'Statement of Marks'!BJ171,IF($P$3=$AT$12,'Statement of Marks'!CG171,IF($P$3=$AT$13,'Statement of Marks'!DE171,IF($P$3=$AT$14,"",IF($P$3=$AT$15,'Statement of Marks'!EY171,""))))))))),"")</f>
        <v/>
      </c>
      <c r="M172" s="812" t="str">
        <f>IFERROR(IF(B172="","",IF($P$3=$AT$8,'Statement of Marks'!K171,IF($P$3=$AT$9,'Statement of Marks'!Y171,IF($P$3=$AT$10,'Statement of Marks'!AN171,IF($P$3=$AT$11,'Statement of Marks'!BK171,IF($P$3=$AT$12,'Statement of Marks'!CH171,IF($P$3=$AT$13,'Statement of Marks'!DF171,IF($P$3=$AT$14,"",IF($P$3=$AT$15,'Statement of Marks'!EZ171,""))))))))),"")</f>
        <v/>
      </c>
      <c r="N172" s="812" t="str">
        <f>IFERROR(IF(B172="","",IF($P$3=$AT$8,'Statement of Marks'!L171,IF($P$3=$AT$9,'Statement of Marks'!Z171,IF($P$3=$AT$10,'Statement of Marks'!AO171,IF($P$3=$AT$11,'Statement of Marks'!BL171,IF($P$3=$AT$12,'Statement of Marks'!CI171,IF($P$3=$AT$13,'Statement of Marks'!DG171,IF($P$3=$AT$14,"",IF($P$3=$AT$15,'Statement of Marks'!FA171,""))))))))),"")</f>
        <v/>
      </c>
      <c r="O172" s="813" t="str">
        <f t="shared" si="32"/>
        <v/>
      </c>
      <c r="P172" s="812" t="str">
        <f>IFERROR(IF(B172="","",IF($P$3=$AT$8,'Statement of Marks'!N171,IF($P$3=$AT$9,'Statement of Marks'!AB171,IF($P$3=$AT$10,'Statement of Marks'!AQ171,IF($P$3=$AT$11,'Statement of Marks'!BN171,IF($P$3=$AT$12,'Statement of Marks'!CK171,IF($P$3=$AT$13,'Statement of Marks'!DI171,IF($P$3=$AT$14,"",IF($P$3=$AT$15,'Statement of Marks'!FC171,""))))))))),"")</f>
        <v/>
      </c>
      <c r="Q172" s="812" t="str">
        <f>IFERROR(IF(B172="","",IF($P$3=$AT$8,"",IF($P$3=$AT$9,"",IF($P$3=$AT$10,'Statement of Marks'!AR171,IF($P$3=$AT$11,'Statement of Marks'!BO171,IF($P$3=$AT$12,'Statement of Marks'!CL171,IF($P$3=$AT$13,'Statement of Marks'!DJ171,IF($P$3=$AT$14,"",IF($P$3=$AT$15,"",""))))))))),"")</f>
        <v/>
      </c>
      <c r="R172" s="824" t="str">
        <f>IFERROR(IF(B172="","",IF(AND(P172="",Q172="",$P$3=""),"",IF($P$3=$AT$14,'Statement of Marks'!EC171,SUM(P172,Q172)))),"")</f>
        <v/>
      </c>
      <c r="S172" s="823" t="str">
        <f>IFERROR(IF(B172="","",IF($P$3=$AT$14,'Statement of Marks'!ED171,IF(AND(O172="NA",P172="NA",Q172="NA"),"NA",IF(AND(O172="",P172="",Q172=""),"",SUM(O172,P172,Q172))))),"")</f>
        <v/>
      </c>
      <c r="T172" s="812" t="str">
        <f>IFERROR(IF(B172="","",IF($P$3=$AT$8,'Statement of Marks'!P171,IF($P$3=$AT$9,'Statement of Marks'!AD171,IF($P$3=$AT$10,'Statement of Marks'!AU171,IF($P$3=$AT$11,'Statement of Marks'!BR171,IF($P$3=$AT$12,'Statement of Marks'!CO171,IF($P$3=$AT$13,'Statement of Marks'!DM171,IF($P$3=$AT$14,"",IF($P$3=$AT$15,'Statement of Marks'!FD171,""))))))))),"")</f>
        <v/>
      </c>
      <c r="U172" s="812" t="str">
        <f>IFERROR(IF(B172="","",IF($P$3=$AT$8,"",IF($P$3=$AT$9,"",IF($P$3=$AT$10,'Statement of Marks'!AV171,IF($P$3=$AT$11,'Statement of Marks'!BS171,IF($P$3=$AT$12,'Statement of Marks'!CP171,IF($P$3=$AT$13,'Statement of Marks'!DN171,IF($P$3=$AT$14,"",IF($P$3=$AT$15,"",""))))))))),"")</f>
        <v/>
      </c>
      <c r="V172" s="824" t="str">
        <f>IFERROR(IF(B172="","",IF(AND(T172="",U172="",$P$3=""),"",IF($P$3=$AT$14,'Statement of Marks'!EE171,SUM(T172,U172)))),"")</f>
        <v/>
      </c>
      <c r="W172" s="814" t="str">
        <f t="shared" si="33"/>
        <v/>
      </c>
      <c r="X172" s="815">
        <f t="shared" si="34"/>
        <v>0</v>
      </c>
      <c r="Y172" s="815">
        <f t="shared" si="35"/>
        <v>0</v>
      </c>
      <c r="Z172" s="815">
        <f t="shared" si="36"/>
        <v>0</v>
      </c>
      <c r="AA172" s="815" t="str">
        <f t="shared" si="37"/>
        <v/>
      </c>
      <c r="AB172" s="815" t="str">
        <f t="shared" si="38"/>
        <v/>
      </c>
      <c r="AC172" s="815" t="str">
        <f t="shared" si="39"/>
        <v/>
      </c>
      <c r="AD172" s="815" t="str">
        <f t="shared" si="40"/>
        <v/>
      </c>
      <c r="AE172" s="816" t="str">
        <f t="shared" si="41"/>
        <v/>
      </c>
      <c r="AF172" s="817" t="str">
        <f t="shared" si="42"/>
        <v/>
      </c>
      <c r="AG172" s="818" t="str">
        <f t="shared" si="43"/>
        <v/>
      </c>
      <c r="AW172" s="17" t="str">
        <f t="shared" si="44"/>
        <v/>
      </c>
      <c r="AX172" s="17" t="str">
        <f t="shared" si="45"/>
        <v/>
      </c>
      <c r="BM172" s="17" t="str">
        <f>IFERROR(VLOOKUP(B172,'Statement of Marks'!$B$8:'Statement of Marks'!$HI$207,37,0),"")</f>
        <v>A</v>
      </c>
      <c r="BN172" s="17" t="str">
        <f>IFERROR(VLOOKUP(B172,'Statement of Marks'!$B$8:'Statement of Marks'!$HI$207,60,0),"")</f>
        <v>A</v>
      </c>
      <c r="BO172" s="17" t="str">
        <f>IFERROR(VLOOKUP(B172,'Statement of Marks'!$B$8:'Statement of Marks'!$HI$207,83,0),"")</f>
        <v>A</v>
      </c>
      <c r="BP172" s="17" t="str">
        <f>IFERROR(VLOOKUP(B172,'Statement of Marks'!$B$8:'Statement of Marks'!$HI$207,107,0),"")</f>
        <v/>
      </c>
    </row>
    <row r="173" spans="1:68">
      <c r="A173" s="806">
        <f>IF('Statement of Marks'!A172="","",'Statement of Marks'!A172)</f>
        <v>165</v>
      </c>
      <c r="B173" s="807" t="str">
        <f>IF(OR($E$3="",$P$3=""),"",IF('Statement of Marks'!B172="","",'Statement of Marks'!B172))</f>
        <v/>
      </c>
      <c r="C173" s="816" t="str">
        <f>IF(OR($E$3="",$P$3=""),"",IF('Marks Entry'!C172="","",'Marks Entry'!C172))</f>
        <v/>
      </c>
      <c r="D173" s="808" t="str">
        <f>IF(OR($E$3="",$P$3=""),"",IF('Statement of Marks'!C172="","",'Statement of Marks'!C172))</f>
        <v/>
      </c>
      <c r="E173" s="809" t="str">
        <f>IF(OR($E$3="",$P$3=""),"",IF('Statement of Marks'!D172="","",'Statement of Marks'!D172))</f>
        <v/>
      </c>
      <c r="F173" s="810" t="str">
        <f>IF(OR($E$3="",$P$3=""),"",IF('Statement of Marks'!E172="","",'Statement of Marks'!E172))</f>
        <v/>
      </c>
      <c r="G173" s="810" t="str">
        <f>IF(OR($E$3="",$P$3=""),"",IF('Statement of Marks'!F172="","",'Statement of Marks'!F172))</f>
        <v/>
      </c>
      <c r="H173" s="810" t="str">
        <f>IF(OR($E$3="",$P$3=""),"",IF('Statement of Marks'!G172="","",'Statement of Marks'!G172))</f>
        <v/>
      </c>
      <c r="I173" s="811" t="str">
        <f>IF(OR($E$3="",$P$3=""),"",IF('Statement of Marks'!H172="","",'Statement of Marks'!H172))</f>
        <v/>
      </c>
      <c r="J173" s="811" t="str">
        <f>IF(OR($E$3="",$P$3=""),"",IF('Statement of Marks'!I172="","",'Statement of Marks'!I172))</f>
        <v/>
      </c>
      <c r="K173" s="811" t="str">
        <f>IFERROR(IF(B173="","",IF($P$3=$AT$10,IF(AND(BM173="A"),'Marks Entry'!$U$2,IF(AND(BM173="B"),'Marks Entry'!$Y$2,IF(AND(BM173="C"),'Marks Entry'!$AA$2,""))),IF($P$3=$AT$11,IF(AND(BN173="A"),'Marks Entry'!$AC$2,IF(AND(BN173="B"),'Marks Entry'!$AG$2,IF(AND(BN173="C"),'Marks Entry'!$AI$2,""))),IF($P$3=$AT$12,IF(AND(BO173="A"),'Marks Entry'!$AK$2,IF(AND(BO173="B"),'Marks Entry'!$AO$2,IF(AND(BO173="C"),'Marks Entry'!$AQ$2,""))),IF($P$3=$AT$13,IF(AND(BP173="A"),'Marks Entry'!$AS$2,IF(AND(BP173="B"),'Marks Entry'!$AW$2,IF(AND(BP173="C"),'Marks Entry'!$AY$2,""))),"-"))))),"")</f>
        <v/>
      </c>
      <c r="L173" s="812" t="str">
        <f>IFERROR(IF(B173="","",IF($P$3=$AT$8,'Statement of Marks'!J172,IF($P$3=$AT$9,'Statement of Marks'!X172,IF($P$3=$AT$10,'Statement of Marks'!AM172,IF($P$3=$AT$11,'Statement of Marks'!BJ172,IF($P$3=$AT$12,'Statement of Marks'!CG172,IF($P$3=$AT$13,'Statement of Marks'!DE172,IF($P$3=$AT$14,"",IF($P$3=$AT$15,'Statement of Marks'!EY172,""))))))))),"")</f>
        <v/>
      </c>
      <c r="M173" s="812" t="str">
        <f>IFERROR(IF(B173="","",IF($P$3=$AT$8,'Statement of Marks'!K172,IF($P$3=$AT$9,'Statement of Marks'!Y172,IF($P$3=$AT$10,'Statement of Marks'!AN172,IF($P$3=$AT$11,'Statement of Marks'!BK172,IF($P$3=$AT$12,'Statement of Marks'!CH172,IF($P$3=$AT$13,'Statement of Marks'!DF172,IF($P$3=$AT$14,"",IF($P$3=$AT$15,'Statement of Marks'!EZ172,""))))))))),"")</f>
        <v/>
      </c>
      <c r="N173" s="812" t="str">
        <f>IFERROR(IF(B173="","",IF($P$3=$AT$8,'Statement of Marks'!L172,IF($P$3=$AT$9,'Statement of Marks'!Z172,IF($P$3=$AT$10,'Statement of Marks'!AO172,IF($P$3=$AT$11,'Statement of Marks'!BL172,IF($P$3=$AT$12,'Statement of Marks'!CI172,IF($P$3=$AT$13,'Statement of Marks'!DG172,IF($P$3=$AT$14,"",IF($P$3=$AT$15,'Statement of Marks'!FA172,""))))))))),"")</f>
        <v/>
      </c>
      <c r="O173" s="813" t="str">
        <f t="shared" si="32"/>
        <v/>
      </c>
      <c r="P173" s="812" t="str">
        <f>IFERROR(IF(B173="","",IF($P$3=$AT$8,'Statement of Marks'!N172,IF($P$3=$AT$9,'Statement of Marks'!AB172,IF($P$3=$AT$10,'Statement of Marks'!AQ172,IF($P$3=$AT$11,'Statement of Marks'!BN172,IF($P$3=$AT$12,'Statement of Marks'!CK172,IF($P$3=$AT$13,'Statement of Marks'!DI172,IF($P$3=$AT$14,"",IF($P$3=$AT$15,'Statement of Marks'!FC172,""))))))))),"")</f>
        <v/>
      </c>
      <c r="Q173" s="812" t="str">
        <f>IFERROR(IF(B173="","",IF($P$3=$AT$8,"",IF($P$3=$AT$9,"",IF($P$3=$AT$10,'Statement of Marks'!AR172,IF($P$3=$AT$11,'Statement of Marks'!BO172,IF($P$3=$AT$12,'Statement of Marks'!CL172,IF($P$3=$AT$13,'Statement of Marks'!DJ172,IF($P$3=$AT$14,"",IF($P$3=$AT$15,"",""))))))))),"")</f>
        <v/>
      </c>
      <c r="R173" s="824" t="str">
        <f>IFERROR(IF(B173="","",IF(AND(P173="",Q173="",$P$3=""),"",IF($P$3=$AT$14,'Statement of Marks'!EC172,SUM(P173,Q173)))),"")</f>
        <v/>
      </c>
      <c r="S173" s="823" t="str">
        <f>IFERROR(IF(B173="","",IF($P$3=$AT$14,'Statement of Marks'!ED172,IF(AND(O173="NA",P173="NA",Q173="NA"),"NA",IF(AND(O173="",P173="",Q173=""),"",SUM(O173,P173,Q173))))),"")</f>
        <v/>
      </c>
      <c r="T173" s="812" t="str">
        <f>IFERROR(IF(B173="","",IF($P$3=$AT$8,'Statement of Marks'!P172,IF($P$3=$AT$9,'Statement of Marks'!AD172,IF($P$3=$AT$10,'Statement of Marks'!AU172,IF($P$3=$AT$11,'Statement of Marks'!BR172,IF($P$3=$AT$12,'Statement of Marks'!CO172,IF($P$3=$AT$13,'Statement of Marks'!DM172,IF($P$3=$AT$14,"",IF($P$3=$AT$15,'Statement of Marks'!FD172,""))))))))),"")</f>
        <v/>
      </c>
      <c r="U173" s="812" t="str">
        <f>IFERROR(IF(B173="","",IF($P$3=$AT$8,"",IF($P$3=$AT$9,"",IF($P$3=$AT$10,'Statement of Marks'!AV172,IF($P$3=$AT$11,'Statement of Marks'!BS172,IF($P$3=$AT$12,'Statement of Marks'!CP172,IF($P$3=$AT$13,'Statement of Marks'!DN172,IF($P$3=$AT$14,"",IF($P$3=$AT$15,"",""))))))))),"")</f>
        <v/>
      </c>
      <c r="V173" s="824" t="str">
        <f>IFERROR(IF(B173="","",IF(AND(T173="",U173="",$P$3=""),"",IF($P$3=$AT$14,'Statement of Marks'!EE172,SUM(T173,U173)))),"")</f>
        <v/>
      </c>
      <c r="W173" s="814" t="str">
        <f t="shared" si="33"/>
        <v/>
      </c>
      <c r="X173" s="815">
        <f t="shared" si="34"/>
        <v>0</v>
      </c>
      <c r="Y173" s="815">
        <f t="shared" si="35"/>
        <v>0</v>
      </c>
      <c r="Z173" s="815">
        <f t="shared" si="36"/>
        <v>0</v>
      </c>
      <c r="AA173" s="815" t="str">
        <f t="shared" si="37"/>
        <v/>
      </c>
      <c r="AB173" s="815" t="str">
        <f t="shared" si="38"/>
        <v/>
      </c>
      <c r="AC173" s="815" t="str">
        <f t="shared" si="39"/>
        <v/>
      </c>
      <c r="AD173" s="815" t="str">
        <f t="shared" si="40"/>
        <v/>
      </c>
      <c r="AE173" s="816" t="str">
        <f t="shared" si="41"/>
        <v/>
      </c>
      <c r="AF173" s="817" t="str">
        <f t="shared" si="42"/>
        <v/>
      </c>
      <c r="AG173" s="818" t="str">
        <f t="shared" si="43"/>
        <v/>
      </c>
      <c r="AW173" s="17" t="str">
        <f t="shared" si="44"/>
        <v/>
      </c>
      <c r="AX173" s="17" t="str">
        <f t="shared" si="45"/>
        <v/>
      </c>
      <c r="BM173" s="17" t="str">
        <f>IFERROR(VLOOKUP(B173,'Statement of Marks'!$B$8:'Statement of Marks'!$HI$207,37,0),"")</f>
        <v>A</v>
      </c>
      <c r="BN173" s="17" t="str">
        <f>IFERROR(VLOOKUP(B173,'Statement of Marks'!$B$8:'Statement of Marks'!$HI$207,60,0),"")</f>
        <v>A</v>
      </c>
      <c r="BO173" s="17" t="str">
        <f>IFERROR(VLOOKUP(B173,'Statement of Marks'!$B$8:'Statement of Marks'!$HI$207,83,0),"")</f>
        <v>A</v>
      </c>
      <c r="BP173" s="17" t="str">
        <f>IFERROR(VLOOKUP(B173,'Statement of Marks'!$B$8:'Statement of Marks'!$HI$207,107,0),"")</f>
        <v/>
      </c>
    </row>
    <row r="174" spans="1:68">
      <c r="A174" s="806">
        <f>IF('Statement of Marks'!A173="","",'Statement of Marks'!A173)</f>
        <v>166</v>
      </c>
      <c r="B174" s="807" t="str">
        <f>IF(OR($E$3="",$P$3=""),"",IF('Statement of Marks'!B173="","",'Statement of Marks'!B173))</f>
        <v/>
      </c>
      <c r="C174" s="816" t="str">
        <f>IF(OR($E$3="",$P$3=""),"",IF('Marks Entry'!C173="","",'Marks Entry'!C173))</f>
        <v/>
      </c>
      <c r="D174" s="808" t="str">
        <f>IF(OR($E$3="",$P$3=""),"",IF('Statement of Marks'!C173="","",'Statement of Marks'!C173))</f>
        <v/>
      </c>
      <c r="E174" s="809" t="str">
        <f>IF(OR($E$3="",$P$3=""),"",IF('Statement of Marks'!D173="","",'Statement of Marks'!D173))</f>
        <v/>
      </c>
      <c r="F174" s="810" t="str">
        <f>IF(OR($E$3="",$P$3=""),"",IF('Statement of Marks'!E173="","",'Statement of Marks'!E173))</f>
        <v/>
      </c>
      <c r="G174" s="810" t="str">
        <f>IF(OR($E$3="",$P$3=""),"",IF('Statement of Marks'!F173="","",'Statement of Marks'!F173))</f>
        <v/>
      </c>
      <c r="H174" s="810" t="str">
        <f>IF(OR($E$3="",$P$3=""),"",IF('Statement of Marks'!G173="","",'Statement of Marks'!G173))</f>
        <v/>
      </c>
      <c r="I174" s="811" t="str">
        <f>IF(OR($E$3="",$P$3=""),"",IF('Statement of Marks'!H173="","",'Statement of Marks'!H173))</f>
        <v/>
      </c>
      <c r="J174" s="811" t="str">
        <f>IF(OR($E$3="",$P$3=""),"",IF('Statement of Marks'!I173="","",'Statement of Marks'!I173))</f>
        <v/>
      </c>
      <c r="K174" s="811" t="str">
        <f>IFERROR(IF(B174="","",IF($P$3=$AT$10,IF(AND(BM174="A"),'Marks Entry'!$U$2,IF(AND(BM174="B"),'Marks Entry'!$Y$2,IF(AND(BM174="C"),'Marks Entry'!$AA$2,""))),IF($P$3=$AT$11,IF(AND(BN174="A"),'Marks Entry'!$AC$2,IF(AND(BN174="B"),'Marks Entry'!$AG$2,IF(AND(BN174="C"),'Marks Entry'!$AI$2,""))),IF($P$3=$AT$12,IF(AND(BO174="A"),'Marks Entry'!$AK$2,IF(AND(BO174="B"),'Marks Entry'!$AO$2,IF(AND(BO174="C"),'Marks Entry'!$AQ$2,""))),IF($P$3=$AT$13,IF(AND(BP174="A"),'Marks Entry'!$AS$2,IF(AND(BP174="B"),'Marks Entry'!$AW$2,IF(AND(BP174="C"),'Marks Entry'!$AY$2,""))),"-"))))),"")</f>
        <v/>
      </c>
      <c r="L174" s="812" t="str">
        <f>IFERROR(IF(B174="","",IF($P$3=$AT$8,'Statement of Marks'!J173,IF($P$3=$AT$9,'Statement of Marks'!X173,IF($P$3=$AT$10,'Statement of Marks'!AM173,IF($P$3=$AT$11,'Statement of Marks'!BJ173,IF($P$3=$AT$12,'Statement of Marks'!CG173,IF($P$3=$AT$13,'Statement of Marks'!DE173,IF($P$3=$AT$14,"",IF($P$3=$AT$15,'Statement of Marks'!EY173,""))))))))),"")</f>
        <v/>
      </c>
      <c r="M174" s="812" t="str">
        <f>IFERROR(IF(B174="","",IF($P$3=$AT$8,'Statement of Marks'!K173,IF($P$3=$AT$9,'Statement of Marks'!Y173,IF($P$3=$AT$10,'Statement of Marks'!AN173,IF($P$3=$AT$11,'Statement of Marks'!BK173,IF($P$3=$AT$12,'Statement of Marks'!CH173,IF($P$3=$AT$13,'Statement of Marks'!DF173,IF($P$3=$AT$14,"",IF($P$3=$AT$15,'Statement of Marks'!EZ173,""))))))))),"")</f>
        <v/>
      </c>
      <c r="N174" s="812" t="str">
        <f>IFERROR(IF(B174="","",IF($P$3=$AT$8,'Statement of Marks'!L173,IF($P$3=$AT$9,'Statement of Marks'!Z173,IF($P$3=$AT$10,'Statement of Marks'!AO173,IF($P$3=$AT$11,'Statement of Marks'!BL173,IF($P$3=$AT$12,'Statement of Marks'!CI173,IF($P$3=$AT$13,'Statement of Marks'!DG173,IF($P$3=$AT$14,"",IF($P$3=$AT$15,'Statement of Marks'!FA173,""))))))))),"")</f>
        <v/>
      </c>
      <c r="O174" s="813" t="str">
        <f t="shared" si="32"/>
        <v/>
      </c>
      <c r="P174" s="812" t="str">
        <f>IFERROR(IF(B174="","",IF($P$3=$AT$8,'Statement of Marks'!N173,IF($P$3=$AT$9,'Statement of Marks'!AB173,IF($P$3=$AT$10,'Statement of Marks'!AQ173,IF($P$3=$AT$11,'Statement of Marks'!BN173,IF($P$3=$AT$12,'Statement of Marks'!CK173,IF($P$3=$AT$13,'Statement of Marks'!DI173,IF($P$3=$AT$14,"",IF($P$3=$AT$15,'Statement of Marks'!FC173,""))))))))),"")</f>
        <v/>
      </c>
      <c r="Q174" s="812" t="str">
        <f>IFERROR(IF(B174="","",IF($P$3=$AT$8,"",IF($P$3=$AT$9,"",IF($P$3=$AT$10,'Statement of Marks'!AR173,IF($P$3=$AT$11,'Statement of Marks'!BO173,IF($P$3=$AT$12,'Statement of Marks'!CL173,IF($P$3=$AT$13,'Statement of Marks'!DJ173,IF($P$3=$AT$14,"",IF($P$3=$AT$15,"",""))))))))),"")</f>
        <v/>
      </c>
      <c r="R174" s="824" t="str">
        <f>IFERROR(IF(B174="","",IF(AND(P174="",Q174="",$P$3=""),"",IF($P$3=$AT$14,'Statement of Marks'!EC173,SUM(P174,Q174)))),"")</f>
        <v/>
      </c>
      <c r="S174" s="823" t="str">
        <f>IFERROR(IF(B174="","",IF($P$3=$AT$14,'Statement of Marks'!ED173,IF(AND(O174="NA",P174="NA",Q174="NA"),"NA",IF(AND(O174="",P174="",Q174=""),"",SUM(O174,P174,Q174))))),"")</f>
        <v/>
      </c>
      <c r="T174" s="812" t="str">
        <f>IFERROR(IF(B174="","",IF($P$3=$AT$8,'Statement of Marks'!P173,IF($P$3=$AT$9,'Statement of Marks'!AD173,IF($P$3=$AT$10,'Statement of Marks'!AU173,IF($P$3=$AT$11,'Statement of Marks'!BR173,IF($P$3=$AT$12,'Statement of Marks'!CO173,IF($P$3=$AT$13,'Statement of Marks'!DM173,IF($P$3=$AT$14,"",IF($P$3=$AT$15,'Statement of Marks'!FD173,""))))))))),"")</f>
        <v/>
      </c>
      <c r="U174" s="812" t="str">
        <f>IFERROR(IF(B174="","",IF($P$3=$AT$8,"",IF($P$3=$AT$9,"",IF($P$3=$AT$10,'Statement of Marks'!AV173,IF($P$3=$AT$11,'Statement of Marks'!BS173,IF($P$3=$AT$12,'Statement of Marks'!CP173,IF($P$3=$AT$13,'Statement of Marks'!DN173,IF($P$3=$AT$14,"",IF($P$3=$AT$15,"",""))))))))),"")</f>
        <v/>
      </c>
      <c r="V174" s="824" t="str">
        <f>IFERROR(IF(B174="","",IF(AND(T174="",U174="",$P$3=""),"",IF($P$3=$AT$14,'Statement of Marks'!EE173,SUM(T174,U174)))),"")</f>
        <v/>
      </c>
      <c r="W174" s="814" t="str">
        <f t="shared" si="33"/>
        <v/>
      </c>
      <c r="X174" s="815">
        <f t="shared" si="34"/>
        <v>0</v>
      </c>
      <c r="Y174" s="815">
        <f t="shared" si="35"/>
        <v>0</v>
      </c>
      <c r="Z174" s="815">
        <f t="shared" si="36"/>
        <v>0</v>
      </c>
      <c r="AA174" s="815" t="str">
        <f t="shared" si="37"/>
        <v/>
      </c>
      <c r="AB174" s="815" t="str">
        <f t="shared" si="38"/>
        <v/>
      </c>
      <c r="AC174" s="815" t="str">
        <f t="shared" si="39"/>
        <v/>
      </c>
      <c r="AD174" s="815" t="str">
        <f t="shared" si="40"/>
        <v/>
      </c>
      <c r="AE174" s="816" t="str">
        <f t="shared" si="41"/>
        <v/>
      </c>
      <c r="AF174" s="817" t="str">
        <f t="shared" si="42"/>
        <v/>
      </c>
      <c r="AG174" s="818" t="str">
        <f t="shared" si="43"/>
        <v/>
      </c>
      <c r="AW174" s="17" t="str">
        <f t="shared" si="44"/>
        <v/>
      </c>
      <c r="AX174" s="17" t="str">
        <f t="shared" si="45"/>
        <v/>
      </c>
      <c r="BM174" s="17" t="str">
        <f>IFERROR(VLOOKUP(B174,'Statement of Marks'!$B$8:'Statement of Marks'!$HI$207,37,0),"")</f>
        <v>A</v>
      </c>
      <c r="BN174" s="17" t="str">
        <f>IFERROR(VLOOKUP(B174,'Statement of Marks'!$B$8:'Statement of Marks'!$HI$207,60,0),"")</f>
        <v>A</v>
      </c>
      <c r="BO174" s="17" t="str">
        <f>IFERROR(VLOOKUP(B174,'Statement of Marks'!$B$8:'Statement of Marks'!$HI$207,83,0),"")</f>
        <v>A</v>
      </c>
      <c r="BP174" s="17" t="str">
        <f>IFERROR(VLOOKUP(B174,'Statement of Marks'!$B$8:'Statement of Marks'!$HI$207,107,0),"")</f>
        <v/>
      </c>
    </row>
    <row r="175" spans="1:68">
      <c r="A175" s="806">
        <f>IF('Statement of Marks'!A174="","",'Statement of Marks'!A174)</f>
        <v>167</v>
      </c>
      <c r="B175" s="807" t="str">
        <f>IF(OR($E$3="",$P$3=""),"",IF('Statement of Marks'!B174="","",'Statement of Marks'!B174))</f>
        <v/>
      </c>
      <c r="C175" s="816" t="str">
        <f>IF(OR($E$3="",$P$3=""),"",IF('Marks Entry'!C174="","",'Marks Entry'!C174))</f>
        <v/>
      </c>
      <c r="D175" s="808" t="str">
        <f>IF(OR($E$3="",$P$3=""),"",IF('Statement of Marks'!C174="","",'Statement of Marks'!C174))</f>
        <v/>
      </c>
      <c r="E175" s="809" t="str">
        <f>IF(OR($E$3="",$P$3=""),"",IF('Statement of Marks'!D174="","",'Statement of Marks'!D174))</f>
        <v/>
      </c>
      <c r="F175" s="810" t="str">
        <f>IF(OR($E$3="",$P$3=""),"",IF('Statement of Marks'!E174="","",'Statement of Marks'!E174))</f>
        <v/>
      </c>
      <c r="G175" s="810" t="str">
        <f>IF(OR($E$3="",$P$3=""),"",IF('Statement of Marks'!F174="","",'Statement of Marks'!F174))</f>
        <v/>
      </c>
      <c r="H175" s="810" t="str">
        <f>IF(OR($E$3="",$P$3=""),"",IF('Statement of Marks'!G174="","",'Statement of Marks'!G174))</f>
        <v/>
      </c>
      <c r="I175" s="811" t="str">
        <f>IF(OR($E$3="",$P$3=""),"",IF('Statement of Marks'!H174="","",'Statement of Marks'!H174))</f>
        <v/>
      </c>
      <c r="J175" s="811" t="str">
        <f>IF(OR($E$3="",$P$3=""),"",IF('Statement of Marks'!I174="","",'Statement of Marks'!I174))</f>
        <v/>
      </c>
      <c r="K175" s="811" t="str">
        <f>IFERROR(IF(B175="","",IF($P$3=$AT$10,IF(AND(BM175="A"),'Marks Entry'!$U$2,IF(AND(BM175="B"),'Marks Entry'!$Y$2,IF(AND(BM175="C"),'Marks Entry'!$AA$2,""))),IF($P$3=$AT$11,IF(AND(BN175="A"),'Marks Entry'!$AC$2,IF(AND(BN175="B"),'Marks Entry'!$AG$2,IF(AND(BN175="C"),'Marks Entry'!$AI$2,""))),IF($P$3=$AT$12,IF(AND(BO175="A"),'Marks Entry'!$AK$2,IF(AND(BO175="B"),'Marks Entry'!$AO$2,IF(AND(BO175="C"),'Marks Entry'!$AQ$2,""))),IF($P$3=$AT$13,IF(AND(BP175="A"),'Marks Entry'!$AS$2,IF(AND(BP175="B"),'Marks Entry'!$AW$2,IF(AND(BP175="C"),'Marks Entry'!$AY$2,""))),"-"))))),"")</f>
        <v/>
      </c>
      <c r="L175" s="812" t="str">
        <f>IFERROR(IF(B175="","",IF($P$3=$AT$8,'Statement of Marks'!J174,IF($P$3=$AT$9,'Statement of Marks'!X174,IF($P$3=$AT$10,'Statement of Marks'!AM174,IF($P$3=$AT$11,'Statement of Marks'!BJ174,IF($P$3=$AT$12,'Statement of Marks'!CG174,IF($P$3=$AT$13,'Statement of Marks'!DE174,IF($P$3=$AT$14,"",IF($P$3=$AT$15,'Statement of Marks'!EY174,""))))))))),"")</f>
        <v/>
      </c>
      <c r="M175" s="812" t="str">
        <f>IFERROR(IF(B175="","",IF($P$3=$AT$8,'Statement of Marks'!K174,IF($P$3=$AT$9,'Statement of Marks'!Y174,IF($P$3=$AT$10,'Statement of Marks'!AN174,IF($P$3=$AT$11,'Statement of Marks'!BK174,IF($P$3=$AT$12,'Statement of Marks'!CH174,IF($P$3=$AT$13,'Statement of Marks'!DF174,IF($P$3=$AT$14,"",IF($P$3=$AT$15,'Statement of Marks'!EZ174,""))))))))),"")</f>
        <v/>
      </c>
      <c r="N175" s="812" t="str">
        <f>IFERROR(IF(B175="","",IF($P$3=$AT$8,'Statement of Marks'!L174,IF($P$3=$AT$9,'Statement of Marks'!Z174,IF($P$3=$AT$10,'Statement of Marks'!AO174,IF($P$3=$AT$11,'Statement of Marks'!BL174,IF($P$3=$AT$12,'Statement of Marks'!CI174,IF($P$3=$AT$13,'Statement of Marks'!DG174,IF($P$3=$AT$14,"",IF($P$3=$AT$15,'Statement of Marks'!FA174,""))))))))),"")</f>
        <v/>
      </c>
      <c r="O175" s="813" t="str">
        <f t="shared" si="32"/>
        <v/>
      </c>
      <c r="P175" s="812" t="str">
        <f>IFERROR(IF(B175="","",IF($P$3=$AT$8,'Statement of Marks'!N174,IF($P$3=$AT$9,'Statement of Marks'!AB174,IF($P$3=$AT$10,'Statement of Marks'!AQ174,IF($P$3=$AT$11,'Statement of Marks'!BN174,IF($P$3=$AT$12,'Statement of Marks'!CK174,IF($P$3=$AT$13,'Statement of Marks'!DI174,IF($P$3=$AT$14,"",IF($P$3=$AT$15,'Statement of Marks'!FC174,""))))))))),"")</f>
        <v/>
      </c>
      <c r="Q175" s="812" t="str">
        <f>IFERROR(IF(B175="","",IF($P$3=$AT$8,"",IF($P$3=$AT$9,"",IF($P$3=$AT$10,'Statement of Marks'!AR174,IF($P$3=$AT$11,'Statement of Marks'!BO174,IF($P$3=$AT$12,'Statement of Marks'!CL174,IF($P$3=$AT$13,'Statement of Marks'!DJ174,IF($P$3=$AT$14,"",IF($P$3=$AT$15,"",""))))))))),"")</f>
        <v/>
      </c>
      <c r="R175" s="824" t="str">
        <f>IFERROR(IF(B175="","",IF(AND(P175="",Q175="",$P$3=""),"",IF($P$3=$AT$14,'Statement of Marks'!EC174,SUM(P175,Q175)))),"")</f>
        <v/>
      </c>
      <c r="S175" s="823" t="str">
        <f>IFERROR(IF(B175="","",IF($P$3=$AT$14,'Statement of Marks'!ED174,IF(AND(O175="NA",P175="NA",Q175="NA"),"NA",IF(AND(O175="",P175="",Q175=""),"",SUM(O175,P175,Q175))))),"")</f>
        <v/>
      </c>
      <c r="T175" s="812" t="str">
        <f>IFERROR(IF(B175="","",IF($P$3=$AT$8,'Statement of Marks'!P174,IF($P$3=$AT$9,'Statement of Marks'!AD174,IF($P$3=$AT$10,'Statement of Marks'!AU174,IF($P$3=$AT$11,'Statement of Marks'!BR174,IF($P$3=$AT$12,'Statement of Marks'!CO174,IF($P$3=$AT$13,'Statement of Marks'!DM174,IF($P$3=$AT$14,"",IF($P$3=$AT$15,'Statement of Marks'!FD174,""))))))))),"")</f>
        <v/>
      </c>
      <c r="U175" s="812" t="str">
        <f>IFERROR(IF(B175="","",IF($P$3=$AT$8,"",IF($P$3=$AT$9,"",IF($P$3=$AT$10,'Statement of Marks'!AV174,IF($P$3=$AT$11,'Statement of Marks'!BS174,IF($P$3=$AT$12,'Statement of Marks'!CP174,IF($P$3=$AT$13,'Statement of Marks'!DN174,IF($P$3=$AT$14,"",IF($P$3=$AT$15,"",""))))))))),"")</f>
        <v/>
      </c>
      <c r="V175" s="824" t="str">
        <f>IFERROR(IF(B175="","",IF(AND(T175="",U175="",$P$3=""),"",IF($P$3=$AT$14,'Statement of Marks'!EE174,SUM(T175,U175)))),"")</f>
        <v/>
      </c>
      <c r="W175" s="814" t="str">
        <f t="shared" si="33"/>
        <v/>
      </c>
      <c r="X175" s="815">
        <f t="shared" si="34"/>
        <v>0</v>
      </c>
      <c r="Y175" s="815">
        <f t="shared" si="35"/>
        <v>0</v>
      </c>
      <c r="Z175" s="815">
        <f t="shared" si="36"/>
        <v>0</v>
      </c>
      <c r="AA175" s="815" t="str">
        <f t="shared" si="37"/>
        <v/>
      </c>
      <c r="AB175" s="815" t="str">
        <f t="shared" si="38"/>
        <v/>
      </c>
      <c r="AC175" s="815" t="str">
        <f t="shared" si="39"/>
        <v/>
      </c>
      <c r="AD175" s="815" t="str">
        <f t="shared" si="40"/>
        <v/>
      </c>
      <c r="AE175" s="816" t="str">
        <f t="shared" si="41"/>
        <v/>
      </c>
      <c r="AF175" s="817" t="str">
        <f t="shared" si="42"/>
        <v/>
      </c>
      <c r="AG175" s="818" t="str">
        <f t="shared" si="43"/>
        <v/>
      </c>
      <c r="AW175" s="17" t="str">
        <f t="shared" si="44"/>
        <v/>
      </c>
      <c r="AX175" s="17" t="str">
        <f t="shared" si="45"/>
        <v/>
      </c>
      <c r="BM175" s="17" t="str">
        <f>IFERROR(VLOOKUP(B175,'Statement of Marks'!$B$8:'Statement of Marks'!$HI$207,37,0),"")</f>
        <v>A</v>
      </c>
      <c r="BN175" s="17" t="str">
        <f>IFERROR(VLOOKUP(B175,'Statement of Marks'!$B$8:'Statement of Marks'!$HI$207,60,0),"")</f>
        <v>A</v>
      </c>
      <c r="BO175" s="17" t="str">
        <f>IFERROR(VLOOKUP(B175,'Statement of Marks'!$B$8:'Statement of Marks'!$HI$207,83,0),"")</f>
        <v>A</v>
      </c>
      <c r="BP175" s="17" t="str">
        <f>IFERROR(VLOOKUP(B175,'Statement of Marks'!$B$8:'Statement of Marks'!$HI$207,107,0),"")</f>
        <v/>
      </c>
    </row>
    <row r="176" spans="1:68">
      <c r="A176" s="806">
        <f>IF('Statement of Marks'!A175="","",'Statement of Marks'!A175)</f>
        <v>168</v>
      </c>
      <c r="B176" s="807" t="str">
        <f>IF(OR($E$3="",$P$3=""),"",IF('Statement of Marks'!B175="","",'Statement of Marks'!B175))</f>
        <v/>
      </c>
      <c r="C176" s="816" t="str">
        <f>IF(OR($E$3="",$P$3=""),"",IF('Marks Entry'!C175="","",'Marks Entry'!C175))</f>
        <v/>
      </c>
      <c r="D176" s="808" t="str">
        <f>IF(OR($E$3="",$P$3=""),"",IF('Statement of Marks'!C175="","",'Statement of Marks'!C175))</f>
        <v/>
      </c>
      <c r="E176" s="809" t="str">
        <f>IF(OR($E$3="",$P$3=""),"",IF('Statement of Marks'!D175="","",'Statement of Marks'!D175))</f>
        <v/>
      </c>
      <c r="F176" s="810" t="str">
        <f>IF(OR($E$3="",$P$3=""),"",IF('Statement of Marks'!E175="","",'Statement of Marks'!E175))</f>
        <v/>
      </c>
      <c r="G176" s="810" t="str">
        <f>IF(OR($E$3="",$P$3=""),"",IF('Statement of Marks'!F175="","",'Statement of Marks'!F175))</f>
        <v/>
      </c>
      <c r="H176" s="810" t="str">
        <f>IF(OR($E$3="",$P$3=""),"",IF('Statement of Marks'!G175="","",'Statement of Marks'!G175))</f>
        <v/>
      </c>
      <c r="I176" s="811" t="str">
        <f>IF(OR($E$3="",$P$3=""),"",IF('Statement of Marks'!H175="","",'Statement of Marks'!H175))</f>
        <v/>
      </c>
      <c r="J176" s="811" t="str">
        <f>IF(OR($E$3="",$P$3=""),"",IF('Statement of Marks'!I175="","",'Statement of Marks'!I175))</f>
        <v/>
      </c>
      <c r="K176" s="811" t="str">
        <f>IFERROR(IF(B176="","",IF($P$3=$AT$10,IF(AND(BM176="A"),'Marks Entry'!$U$2,IF(AND(BM176="B"),'Marks Entry'!$Y$2,IF(AND(BM176="C"),'Marks Entry'!$AA$2,""))),IF($P$3=$AT$11,IF(AND(BN176="A"),'Marks Entry'!$AC$2,IF(AND(BN176="B"),'Marks Entry'!$AG$2,IF(AND(BN176="C"),'Marks Entry'!$AI$2,""))),IF($P$3=$AT$12,IF(AND(BO176="A"),'Marks Entry'!$AK$2,IF(AND(BO176="B"),'Marks Entry'!$AO$2,IF(AND(BO176="C"),'Marks Entry'!$AQ$2,""))),IF($P$3=$AT$13,IF(AND(BP176="A"),'Marks Entry'!$AS$2,IF(AND(BP176="B"),'Marks Entry'!$AW$2,IF(AND(BP176="C"),'Marks Entry'!$AY$2,""))),"-"))))),"")</f>
        <v/>
      </c>
      <c r="L176" s="812" t="str">
        <f>IFERROR(IF(B176="","",IF($P$3=$AT$8,'Statement of Marks'!J175,IF($P$3=$AT$9,'Statement of Marks'!X175,IF($P$3=$AT$10,'Statement of Marks'!AM175,IF($P$3=$AT$11,'Statement of Marks'!BJ175,IF($P$3=$AT$12,'Statement of Marks'!CG175,IF($P$3=$AT$13,'Statement of Marks'!DE175,IF($P$3=$AT$14,"",IF($P$3=$AT$15,'Statement of Marks'!EY175,""))))))))),"")</f>
        <v/>
      </c>
      <c r="M176" s="812" t="str">
        <f>IFERROR(IF(B176="","",IF($P$3=$AT$8,'Statement of Marks'!K175,IF($P$3=$AT$9,'Statement of Marks'!Y175,IF($P$3=$AT$10,'Statement of Marks'!AN175,IF($P$3=$AT$11,'Statement of Marks'!BK175,IF($P$3=$AT$12,'Statement of Marks'!CH175,IF($P$3=$AT$13,'Statement of Marks'!DF175,IF($P$3=$AT$14,"",IF($P$3=$AT$15,'Statement of Marks'!EZ175,""))))))))),"")</f>
        <v/>
      </c>
      <c r="N176" s="812" t="str">
        <f>IFERROR(IF(B176="","",IF($P$3=$AT$8,'Statement of Marks'!L175,IF($P$3=$AT$9,'Statement of Marks'!Z175,IF($P$3=$AT$10,'Statement of Marks'!AO175,IF($P$3=$AT$11,'Statement of Marks'!BL175,IF($P$3=$AT$12,'Statement of Marks'!CI175,IF($P$3=$AT$13,'Statement of Marks'!DG175,IF($P$3=$AT$14,"",IF($P$3=$AT$15,'Statement of Marks'!FA175,""))))))))),"")</f>
        <v/>
      </c>
      <c r="O176" s="813" t="str">
        <f t="shared" si="32"/>
        <v/>
      </c>
      <c r="P176" s="812" t="str">
        <f>IFERROR(IF(B176="","",IF($P$3=$AT$8,'Statement of Marks'!N175,IF($P$3=$AT$9,'Statement of Marks'!AB175,IF($P$3=$AT$10,'Statement of Marks'!AQ175,IF($P$3=$AT$11,'Statement of Marks'!BN175,IF($P$3=$AT$12,'Statement of Marks'!CK175,IF($P$3=$AT$13,'Statement of Marks'!DI175,IF($P$3=$AT$14,"",IF($P$3=$AT$15,'Statement of Marks'!FC175,""))))))))),"")</f>
        <v/>
      </c>
      <c r="Q176" s="812" t="str">
        <f>IFERROR(IF(B176="","",IF($P$3=$AT$8,"",IF($P$3=$AT$9,"",IF($P$3=$AT$10,'Statement of Marks'!AR175,IF($P$3=$AT$11,'Statement of Marks'!BO175,IF($P$3=$AT$12,'Statement of Marks'!CL175,IF($P$3=$AT$13,'Statement of Marks'!DJ175,IF($P$3=$AT$14,"",IF($P$3=$AT$15,"",""))))))))),"")</f>
        <v/>
      </c>
      <c r="R176" s="824" t="str">
        <f>IFERROR(IF(B176="","",IF(AND(P176="",Q176="",$P$3=""),"",IF($P$3=$AT$14,'Statement of Marks'!EC175,SUM(P176,Q176)))),"")</f>
        <v/>
      </c>
      <c r="S176" s="823" t="str">
        <f>IFERROR(IF(B176="","",IF($P$3=$AT$14,'Statement of Marks'!ED175,IF(AND(O176="NA",P176="NA",Q176="NA"),"NA",IF(AND(O176="",P176="",Q176=""),"",SUM(O176,P176,Q176))))),"")</f>
        <v/>
      </c>
      <c r="T176" s="812" t="str">
        <f>IFERROR(IF(B176="","",IF($P$3=$AT$8,'Statement of Marks'!P175,IF($P$3=$AT$9,'Statement of Marks'!AD175,IF($P$3=$AT$10,'Statement of Marks'!AU175,IF($P$3=$AT$11,'Statement of Marks'!BR175,IF($P$3=$AT$12,'Statement of Marks'!CO175,IF($P$3=$AT$13,'Statement of Marks'!DM175,IF($P$3=$AT$14,"",IF($P$3=$AT$15,'Statement of Marks'!FD175,""))))))))),"")</f>
        <v/>
      </c>
      <c r="U176" s="812" t="str">
        <f>IFERROR(IF(B176="","",IF($P$3=$AT$8,"",IF($P$3=$AT$9,"",IF($P$3=$AT$10,'Statement of Marks'!AV175,IF($P$3=$AT$11,'Statement of Marks'!BS175,IF($P$3=$AT$12,'Statement of Marks'!CP175,IF($P$3=$AT$13,'Statement of Marks'!DN175,IF($P$3=$AT$14,"",IF($P$3=$AT$15,"",""))))))))),"")</f>
        <v/>
      </c>
      <c r="V176" s="824" t="str">
        <f>IFERROR(IF(B176="","",IF(AND(T176="",U176="",$P$3=""),"",IF($P$3=$AT$14,'Statement of Marks'!EE175,SUM(T176,U176)))),"")</f>
        <v/>
      </c>
      <c r="W176" s="814" t="str">
        <f t="shared" si="33"/>
        <v/>
      </c>
      <c r="X176" s="815">
        <f t="shared" si="34"/>
        <v>0</v>
      </c>
      <c r="Y176" s="815">
        <f t="shared" si="35"/>
        <v>0</v>
      </c>
      <c r="Z176" s="815">
        <f t="shared" si="36"/>
        <v>0</v>
      </c>
      <c r="AA176" s="815" t="str">
        <f t="shared" si="37"/>
        <v/>
      </c>
      <c r="AB176" s="815" t="str">
        <f t="shared" si="38"/>
        <v/>
      </c>
      <c r="AC176" s="815" t="str">
        <f t="shared" si="39"/>
        <v/>
      </c>
      <c r="AD176" s="815" t="str">
        <f t="shared" si="40"/>
        <v/>
      </c>
      <c r="AE176" s="816" t="str">
        <f t="shared" si="41"/>
        <v/>
      </c>
      <c r="AF176" s="817" t="str">
        <f t="shared" si="42"/>
        <v/>
      </c>
      <c r="AG176" s="818" t="str">
        <f t="shared" si="43"/>
        <v/>
      </c>
      <c r="AW176" s="17" t="str">
        <f t="shared" si="44"/>
        <v/>
      </c>
      <c r="AX176" s="17" t="str">
        <f t="shared" si="45"/>
        <v/>
      </c>
      <c r="BM176" s="17" t="str">
        <f>IFERROR(VLOOKUP(B176,'Statement of Marks'!$B$8:'Statement of Marks'!$HI$207,37,0),"")</f>
        <v>A</v>
      </c>
      <c r="BN176" s="17" t="str">
        <f>IFERROR(VLOOKUP(B176,'Statement of Marks'!$B$8:'Statement of Marks'!$HI$207,60,0),"")</f>
        <v>A</v>
      </c>
      <c r="BO176" s="17" t="str">
        <f>IFERROR(VLOOKUP(B176,'Statement of Marks'!$B$8:'Statement of Marks'!$HI$207,83,0),"")</f>
        <v>A</v>
      </c>
      <c r="BP176" s="17" t="str">
        <f>IFERROR(VLOOKUP(B176,'Statement of Marks'!$B$8:'Statement of Marks'!$HI$207,107,0),"")</f>
        <v/>
      </c>
    </row>
    <row r="177" spans="1:68">
      <c r="A177" s="806">
        <f>IF('Statement of Marks'!A176="","",'Statement of Marks'!A176)</f>
        <v>169</v>
      </c>
      <c r="B177" s="807" t="str">
        <f>IF(OR($E$3="",$P$3=""),"",IF('Statement of Marks'!B176="","",'Statement of Marks'!B176))</f>
        <v/>
      </c>
      <c r="C177" s="816" t="str">
        <f>IF(OR($E$3="",$P$3=""),"",IF('Marks Entry'!C176="","",'Marks Entry'!C176))</f>
        <v/>
      </c>
      <c r="D177" s="808" t="str">
        <f>IF(OR($E$3="",$P$3=""),"",IF('Statement of Marks'!C176="","",'Statement of Marks'!C176))</f>
        <v/>
      </c>
      <c r="E177" s="809" t="str">
        <f>IF(OR($E$3="",$P$3=""),"",IF('Statement of Marks'!D176="","",'Statement of Marks'!D176))</f>
        <v/>
      </c>
      <c r="F177" s="810" t="str">
        <f>IF(OR($E$3="",$P$3=""),"",IF('Statement of Marks'!E176="","",'Statement of Marks'!E176))</f>
        <v/>
      </c>
      <c r="G177" s="810" t="str">
        <f>IF(OR($E$3="",$P$3=""),"",IF('Statement of Marks'!F176="","",'Statement of Marks'!F176))</f>
        <v/>
      </c>
      <c r="H177" s="810" t="str">
        <f>IF(OR($E$3="",$P$3=""),"",IF('Statement of Marks'!G176="","",'Statement of Marks'!G176))</f>
        <v/>
      </c>
      <c r="I177" s="811" t="str">
        <f>IF(OR($E$3="",$P$3=""),"",IF('Statement of Marks'!H176="","",'Statement of Marks'!H176))</f>
        <v/>
      </c>
      <c r="J177" s="811" t="str">
        <f>IF(OR($E$3="",$P$3=""),"",IF('Statement of Marks'!I176="","",'Statement of Marks'!I176))</f>
        <v/>
      </c>
      <c r="K177" s="811" t="str">
        <f>IFERROR(IF(B177="","",IF($P$3=$AT$10,IF(AND(BM177="A"),'Marks Entry'!$U$2,IF(AND(BM177="B"),'Marks Entry'!$Y$2,IF(AND(BM177="C"),'Marks Entry'!$AA$2,""))),IF($P$3=$AT$11,IF(AND(BN177="A"),'Marks Entry'!$AC$2,IF(AND(BN177="B"),'Marks Entry'!$AG$2,IF(AND(BN177="C"),'Marks Entry'!$AI$2,""))),IF($P$3=$AT$12,IF(AND(BO177="A"),'Marks Entry'!$AK$2,IF(AND(BO177="B"),'Marks Entry'!$AO$2,IF(AND(BO177="C"),'Marks Entry'!$AQ$2,""))),IF($P$3=$AT$13,IF(AND(BP177="A"),'Marks Entry'!$AS$2,IF(AND(BP177="B"),'Marks Entry'!$AW$2,IF(AND(BP177="C"),'Marks Entry'!$AY$2,""))),"-"))))),"")</f>
        <v/>
      </c>
      <c r="L177" s="812" t="str">
        <f>IFERROR(IF(B177="","",IF($P$3=$AT$8,'Statement of Marks'!J176,IF($P$3=$AT$9,'Statement of Marks'!X176,IF($P$3=$AT$10,'Statement of Marks'!AM176,IF($P$3=$AT$11,'Statement of Marks'!BJ176,IF($P$3=$AT$12,'Statement of Marks'!CG176,IF($P$3=$AT$13,'Statement of Marks'!DE176,IF($P$3=$AT$14,"",IF($P$3=$AT$15,'Statement of Marks'!EY176,""))))))))),"")</f>
        <v/>
      </c>
      <c r="M177" s="812" t="str">
        <f>IFERROR(IF(B177="","",IF($P$3=$AT$8,'Statement of Marks'!K176,IF($P$3=$AT$9,'Statement of Marks'!Y176,IF($P$3=$AT$10,'Statement of Marks'!AN176,IF($P$3=$AT$11,'Statement of Marks'!BK176,IF($P$3=$AT$12,'Statement of Marks'!CH176,IF($P$3=$AT$13,'Statement of Marks'!DF176,IF($P$3=$AT$14,"",IF($P$3=$AT$15,'Statement of Marks'!EZ176,""))))))))),"")</f>
        <v/>
      </c>
      <c r="N177" s="812" t="str">
        <f>IFERROR(IF(B177="","",IF($P$3=$AT$8,'Statement of Marks'!L176,IF($P$3=$AT$9,'Statement of Marks'!Z176,IF($P$3=$AT$10,'Statement of Marks'!AO176,IF($P$3=$AT$11,'Statement of Marks'!BL176,IF($P$3=$AT$12,'Statement of Marks'!CI176,IF($P$3=$AT$13,'Statement of Marks'!DG176,IF($P$3=$AT$14,"",IF($P$3=$AT$15,'Statement of Marks'!FA176,""))))))))),"")</f>
        <v/>
      </c>
      <c r="O177" s="813" t="str">
        <f t="shared" si="32"/>
        <v/>
      </c>
      <c r="P177" s="812" t="str">
        <f>IFERROR(IF(B177="","",IF($P$3=$AT$8,'Statement of Marks'!N176,IF($P$3=$AT$9,'Statement of Marks'!AB176,IF($P$3=$AT$10,'Statement of Marks'!AQ176,IF($P$3=$AT$11,'Statement of Marks'!BN176,IF($P$3=$AT$12,'Statement of Marks'!CK176,IF($P$3=$AT$13,'Statement of Marks'!DI176,IF($P$3=$AT$14,"",IF($P$3=$AT$15,'Statement of Marks'!FC176,""))))))))),"")</f>
        <v/>
      </c>
      <c r="Q177" s="812" t="str">
        <f>IFERROR(IF(B177="","",IF($P$3=$AT$8,"",IF($P$3=$AT$9,"",IF($P$3=$AT$10,'Statement of Marks'!AR176,IF($P$3=$AT$11,'Statement of Marks'!BO176,IF($P$3=$AT$12,'Statement of Marks'!CL176,IF($P$3=$AT$13,'Statement of Marks'!DJ176,IF($P$3=$AT$14,"",IF($P$3=$AT$15,"",""))))))))),"")</f>
        <v/>
      </c>
      <c r="R177" s="824" t="str">
        <f>IFERROR(IF(B177="","",IF(AND(P177="",Q177="",$P$3=""),"",IF($P$3=$AT$14,'Statement of Marks'!EC176,SUM(P177,Q177)))),"")</f>
        <v/>
      </c>
      <c r="S177" s="823" t="str">
        <f>IFERROR(IF(B177="","",IF($P$3=$AT$14,'Statement of Marks'!ED176,IF(AND(O177="NA",P177="NA",Q177="NA"),"NA",IF(AND(O177="",P177="",Q177=""),"",SUM(O177,P177,Q177))))),"")</f>
        <v/>
      </c>
      <c r="T177" s="812" t="str">
        <f>IFERROR(IF(B177="","",IF($P$3=$AT$8,'Statement of Marks'!P176,IF($P$3=$AT$9,'Statement of Marks'!AD176,IF($P$3=$AT$10,'Statement of Marks'!AU176,IF($P$3=$AT$11,'Statement of Marks'!BR176,IF($P$3=$AT$12,'Statement of Marks'!CO176,IF($P$3=$AT$13,'Statement of Marks'!DM176,IF($P$3=$AT$14,"",IF($P$3=$AT$15,'Statement of Marks'!FD176,""))))))))),"")</f>
        <v/>
      </c>
      <c r="U177" s="812" t="str">
        <f>IFERROR(IF(B177="","",IF($P$3=$AT$8,"",IF($P$3=$AT$9,"",IF($P$3=$AT$10,'Statement of Marks'!AV176,IF($P$3=$AT$11,'Statement of Marks'!BS176,IF($P$3=$AT$12,'Statement of Marks'!CP176,IF($P$3=$AT$13,'Statement of Marks'!DN176,IF($P$3=$AT$14,"",IF($P$3=$AT$15,"",""))))))))),"")</f>
        <v/>
      </c>
      <c r="V177" s="824" t="str">
        <f>IFERROR(IF(B177="","",IF(AND(T177="",U177="",$P$3=""),"",IF($P$3=$AT$14,'Statement of Marks'!EE176,SUM(T177,U177)))),"")</f>
        <v/>
      </c>
      <c r="W177" s="814" t="str">
        <f t="shared" si="33"/>
        <v/>
      </c>
      <c r="X177" s="815">
        <f t="shared" si="34"/>
        <v>0</v>
      </c>
      <c r="Y177" s="815">
        <f t="shared" si="35"/>
        <v>0</v>
      </c>
      <c r="Z177" s="815">
        <f t="shared" si="36"/>
        <v>0</v>
      </c>
      <c r="AA177" s="815" t="str">
        <f t="shared" si="37"/>
        <v/>
      </c>
      <c r="AB177" s="815" t="str">
        <f t="shared" si="38"/>
        <v/>
      </c>
      <c r="AC177" s="815" t="str">
        <f t="shared" si="39"/>
        <v/>
      </c>
      <c r="AD177" s="815" t="str">
        <f t="shared" si="40"/>
        <v/>
      </c>
      <c r="AE177" s="816" t="str">
        <f t="shared" si="41"/>
        <v/>
      </c>
      <c r="AF177" s="817" t="str">
        <f t="shared" si="42"/>
        <v/>
      </c>
      <c r="AG177" s="818" t="str">
        <f t="shared" si="43"/>
        <v/>
      </c>
      <c r="AW177" s="17" t="str">
        <f t="shared" si="44"/>
        <v/>
      </c>
      <c r="AX177" s="17" t="str">
        <f t="shared" si="45"/>
        <v/>
      </c>
      <c r="BM177" s="17" t="str">
        <f>IFERROR(VLOOKUP(B177,'Statement of Marks'!$B$8:'Statement of Marks'!$HI$207,37,0),"")</f>
        <v>A</v>
      </c>
      <c r="BN177" s="17" t="str">
        <f>IFERROR(VLOOKUP(B177,'Statement of Marks'!$B$8:'Statement of Marks'!$HI$207,60,0),"")</f>
        <v>A</v>
      </c>
      <c r="BO177" s="17" t="str">
        <f>IFERROR(VLOOKUP(B177,'Statement of Marks'!$B$8:'Statement of Marks'!$HI$207,83,0),"")</f>
        <v>A</v>
      </c>
      <c r="BP177" s="17" t="str">
        <f>IFERROR(VLOOKUP(B177,'Statement of Marks'!$B$8:'Statement of Marks'!$HI$207,107,0),"")</f>
        <v/>
      </c>
    </row>
    <row r="178" spans="1:68">
      <c r="A178" s="806">
        <f>IF('Statement of Marks'!A177="","",'Statement of Marks'!A177)</f>
        <v>170</v>
      </c>
      <c r="B178" s="807" t="str">
        <f>IF(OR($E$3="",$P$3=""),"",IF('Statement of Marks'!B177="","",'Statement of Marks'!B177))</f>
        <v/>
      </c>
      <c r="C178" s="816" t="str">
        <f>IF(OR($E$3="",$P$3=""),"",IF('Marks Entry'!C177="","",'Marks Entry'!C177))</f>
        <v/>
      </c>
      <c r="D178" s="808" t="str">
        <f>IF(OR($E$3="",$P$3=""),"",IF('Statement of Marks'!C177="","",'Statement of Marks'!C177))</f>
        <v/>
      </c>
      <c r="E178" s="809" t="str">
        <f>IF(OR($E$3="",$P$3=""),"",IF('Statement of Marks'!D177="","",'Statement of Marks'!D177))</f>
        <v/>
      </c>
      <c r="F178" s="810" t="str">
        <f>IF(OR($E$3="",$P$3=""),"",IF('Statement of Marks'!E177="","",'Statement of Marks'!E177))</f>
        <v/>
      </c>
      <c r="G178" s="810" t="str">
        <f>IF(OR($E$3="",$P$3=""),"",IF('Statement of Marks'!F177="","",'Statement of Marks'!F177))</f>
        <v/>
      </c>
      <c r="H178" s="810" t="str">
        <f>IF(OR($E$3="",$P$3=""),"",IF('Statement of Marks'!G177="","",'Statement of Marks'!G177))</f>
        <v/>
      </c>
      <c r="I178" s="811" t="str">
        <f>IF(OR($E$3="",$P$3=""),"",IF('Statement of Marks'!H177="","",'Statement of Marks'!H177))</f>
        <v/>
      </c>
      <c r="J178" s="811" t="str">
        <f>IF(OR($E$3="",$P$3=""),"",IF('Statement of Marks'!I177="","",'Statement of Marks'!I177))</f>
        <v/>
      </c>
      <c r="K178" s="811" t="str">
        <f>IFERROR(IF(B178="","",IF($P$3=$AT$10,IF(AND(BM178="A"),'Marks Entry'!$U$2,IF(AND(BM178="B"),'Marks Entry'!$Y$2,IF(AND(BM178="C"),'Marks Entry'!$AA$2,""))),IF($P$3=$AT$11,IF(AND(BN178="A"),'Marks Entry'!$AC$2,IF(AND(BN178="B"),'Marks Entry'!$AG$2,IF(AND(BN178="C"),'Marks Entry'!$AI$2,""))),IF($P$3=$AT$12,IF(AND(BO178="A"),'Marks Entry'!$AK$2,IF(AND(BO178="B"),'Marks Entry'!$AO$2,IF(AND(BO178="C"),'Marks Entry'!$AQ$2,""))),IF($P$3=$AT$13,IF(AND(BP178="A"),'Marks Entry'!$AS$2,IF(AND(BP178="B"),'Marks Entry'!$AW$2,IF(AND(BP178="C"),'Marks Entry'!$AY$2,""))),"-"))))),"")</f>
        <v/>
      </c>
      <c r="L178" s="812" t="str">
        <f>IFERROR(IF(B178="","",IF($P$3=$AT$8,'Statement of Marks'!J177,IF($P$3=$AT$9,'Statement of Marks'!X177,IF($P$3=$AT$10,'Statement of Marks'!AM177,IF($P$3=$AT$11,'Statement of Marks'!BJ177,IF($P$3=$AT$12,'Statement of Marks'!CG177,IF($P$3=$AT$13,'Statement of Marks'!DE177,IF($P$3=$AT$14,"",IF($P$3=$AT$15,'Statement of Marks'!EY177,""))))))))),"")</f>
        <v/>
      </c>
      <c r="M178" s="812" t="str">
        <f>IFERROR(IF(B178="","",IF($P$3=$AT$8,'Statement of Marks'!K177,IF($P$3=$AT$9,'Statement of Marks'!Y177,IF($P$3=$AT$10,'Statement of Marks'!AN177,IF($P$3=$AT$11,'Statement of Marks'!BK177,IF($P$3=$AT$12,'Statement of Marks'!CH177,IF($P$3=$AT$13,'Statement of Marks'!DF177,IF($P$3=$AT$14,"",IF($P$3=$AT$15,'Statement of Marks'!EZ177,""))))))))),"")</f>
        <v/>
      </c>
      <c r="N178" s="812" t="str">
        <f>IFERROR(IF(B178="","",IF($P$3=$AT$8,'Statement of Marks'!L177,IF($P$3=$AT$9,'Statement of Marks'!Z177,IF($P$3=$AT$10,'Statement of Marks'!AO177,IF($P$3=$AT$11,'Statement of Marks'!BL177,IF($P$3=$AT$12,'Statement of Marks'!CI177,IF($P$3=$AT$13,'Statement of Marks'!DG177,IF($P$3=$AT$14,"",IF($P$3=$AT$15,'Statement of Marks'!FA177,""))))))))),"")</f>
        <v/>
      </c>
      <c r="O178" s="813" t="str">
        <f t="shared" si="32"/>
        <v/>
      </c>
      <c r="P178" s="812" t="str">
        <f>IFERROR(IF(B178="","",IF($P$3=$AT$8,'Statement of Marks'!N177,IF($P$3=$AT$9,'Statement of Marks'!AB177,IF($P$3=$AT$10,'Statement of Marks'!AQ177,IF($P$3=$AT$11,'Statement of Marks'!BN177,IF($P$3=$AT$12,'Statement of Marks'!CK177,IF($P$3=$AT$13,'Statement of Marks'!DI177,IF($P$3=$AT$14,"",IF($P$3=$AT$15,'Statement of Marks'!FC177,""))))))))),"")</f>
        <v/>
      </c>
      <c r="Q178" s="812" t="str">
        <f>IFERROR(IF(B178="","",IF($P$3=$AT$8,"",IF($P$3=$AT$9,"",IF($P$3=$AT$10,'Statement of Marks'!AR177,IF($P$3=$AT$11,'Statement of Marks'!BO177,IF($P$3=$AT$12,'Statement of Marks'!CL177,IF($P$3=$AT$13,'Statement of Marks'!DJ177,IF($P$3=$AT$14,"",IF($P$3=$AT$15,"",""))))))))),"")</f>
        <v/>
      </c>
      <c r="R178" s="824" t="str">
        <f>IFERROR(IF(B178="","",IF(AND(P178="",Q178="",$P$3=""),"",IF($P$3=$AT$14,'Statement of Marks'!EC177,SUM(P178,Q178)))),"")</f>
        <v/>
      </c>
      <c r="S178" s="823" t="str">
        <f>IFERROR(IF(B178="","",IF($P$3=$AT$14,'Statement of Marks'!ED177,IF(AND(O178="NA",P178="NA",Q178="NA"),"NA",IF(AND(O178="",P178="",Q178=""),"",SUM(O178,P178,Q178))))),"")</f>
        <v/>
      </c>
      <c r="T178" s="812" t="str">
        <f>IFERROR(IF(B178="","",IF($P$3=$AT$8,'Statement of Marks'!P177,IF($P$3=$AT$9,'Statement of Marks'!AD177,IF($P$3=$AT$10,'Statement of Marks'!AU177,IF($P$3=$AT$11,'Statement of Marks'!BR177,IF($P$3=$AT$12,'Statement of Marks'!CO177,IF($P$3=$AT$13,'Statement of Marks'!DM177,IF($P$3=$AT$14,"",IF($P$3=$AT$15,'Statement of Marks'!FD177,""))))))))),"")</f>
        <v/>
      </c>
      <c r="U178" s="812" t="str">
        <f>IFERROR(IF(B178="","",IF($P$3=$AT$8,"",IF($P$3=$AT$9,"",IF($P$3=$AT$10,'Statement of Marks'!AV177,IF($P$3=$AT$11,'Statement of Marks'!BS177,IF($P$3=$AT$12,'Statement of Marks'!CP177,IF($P$3=$AT$13,'Statement of Marks'!DN177,IF($P$3=$AT$14,"",IF($P$3=$AT$15,"",""))))))))),"")</f>
        <v/>
      </c>
      <c r="V178" s="824" t="str">
        <f>IFERROR(IF(B178="","",IF(AND(T178="",U178="",$P$3=""),"",IF($P$3=$AT$14,'Statement of Marks'!EE177,SUM(T178,U178)))),"")</f>
        <v/>
      </c>
      <c r="W178" s="814" t="str">
        <f t="shared" si="33"/>
        <v/>
      </c>
      <c r="X178" s="815">
        <f t="shared" si="34"/>
        <v>0</v>
      </c>
      <c r="Y178" s="815">
        <f t="shared" si="35"/>
        <v>0</v>
      </c>
      <c r="Z178" s="815">
        <f t="shared" si="36"/>
        <v>0</v>
      </c>
      <c r="AA178" s="815" t="str">
        <f t="shared" si="37"/>
        <v/>
      </c>
      <c r="AB178" s="815" t="str">
        <f t="shared" si="38"/>
        <v/>
      </c>
      <c r="AC178" s="815" t="str">
        <f t="shared" si="39"/>
        <v/>
      </c>
      <c r="AD178" s="815" t="str">
        <f t="shared" si="40"/>
        <v/>
      </c>
      <c r="AE178" s="816" t="str">
        <f t="shared" si="41"/>
        <v/>
      </c>
      <c r="AF178" s="817" t="str">
        <f t="shared" si="42"/>
        <v/>
      </c>
      <c r="AG178" s="818" t="str">
        <f t="shared" si="43"/>
        <v/>
      </c>
      <c r="AW178" s="17" t="str">
        <f t="shared" si="44"/>
        <v/>
      </c>
      <c r="AX178" s="17" t="str">
        <f t="shared" si="45"/>
        <v/>
      </c>
      <c r="BM178" s="17" t="str">
        <f>IFERROR(VLOOKUP(B178,'Statement of Marks'!$B$8:'Statement of Marks'!$HI$207,37,0),"")</f>
        <v>A</v>
      </c>
      <c r="BN178" s="17" t="str">
        <f>IFERROR(VLOOKUP(B178,'Statement of Marks'!$B$8:'Statement of Marks'!$HI$207,60,0),"")</f>
        <v>A</v>
      </c>
      <c r="BO178" s="17" t="str">
        <f>IFERROR(VLOOKUP(B178,'Statement of Marks'!$B$8:'Statement of Marks'!$HI$207,83,0),"")</f>
        <v>A</v>
      </c>
      <c r="BP178" s="17" t="str">
        <f>IFERROR(VLOOKUP(B178,'Statement of Marks'!$B$8:'Statement of Marks'!$HI$207,107,0),"")</f>
        <v/>
      </c>
    </row>
    <row r="179" spans="1:68">
      <c r="A179" s="806">
        <f>IF('Statement of Marks'!A178="","",'Statement of Marks'!A178)</f>
        <v>171</v>
      </c>
      <c r="B179" s="807" t="str">
        <f>IF(OR($E$3="",$P$3=""),"",IF('Statement of Marks'!B178="","",'Statement of Marks'!B178))</f>
        <v/>
      </c>
      <c r="C179" s="816" t="str">
        <f>IF(OR($E$3="",$P$3=""),"",IF('Marks Entry'!C178="","",'Marks Entry'!C178))</f>
        <v/>
      </c>
      <c r="D179" s="808" t="str">
        <f>IF(OR($E$3="",$P$3=""),"",IF('Statement of Marks'!C178="","",'Statement of Marks'!C178))</f>
        <v/>
      </c>
      <c r="E179" s="809" t="str">
        <f>IF(OR($E$3="",$P$3=""),"",IF('Statement of Marks'!D178="","",'Statement of Marks'!D178))</f>
        <v/>
      </c>
      <c r="F179" s="810" t="str">
        <f>IF(OR($E$3="",$P$3=""),"",IF('Statement of Marks'!E178="","",'Statement of Marks'!E178))</f>
        <v/>
      </c>
      <c r="G179" s="810" t="str">
        <f>IF(OR($E$3="",$P$3=""),"",IF('Statement of Marks'!F178="","",'Statement of Marks'!F178))</f>
        <v/>
      </c>
      <c r="H179" s="810" t="str">
        <f>IF(OR($E$3="",$P$3=""),"",IF('Statement of Marks'!G178="","",'Statement of Marks'!G178))</f>
        <v/>
      </c>
      <c r="I179" s="811" t="str">
        <f>IF(OR($E$3="",$P$3=""),"",IF('Statement of Marks'!H178="","",'Statement of Marks'!H178))</f>
        <v/>
      </c>
      <c r="J179" s="811" t="str">
        <f>IF(OR($E$3="",$P$3=""),"",IF('Statement of Marks'!I178="","",'Statement of Marks'!I178))</f>
        <v/>
      </c>
      <c r="K179" s="811" t="str">
        <f>IFERROR(IF(B179="","",IF($P$3=$AT$10,IF(AND(BM179="A"),'Marks Entry'!$U$2,IF(AND(BM179="B"),'Marks Entry'!$Y$2,IF(AND(BM179="C"),'Marks Entry'!$AA$2,""))),IF($P$3=$AT$11,IF(AND(BN179="A"),'Marks Entry'!$AC$2,IF(AND(BN179="B"),'Marks Entry'!$AG$2,IF(AND(BN179="C"),'Marks Entry'!$AI$2,""))),IF($P$3=$AT$12,IF(AND(BO179="A"),'Marks Entry'!$AK$2,IF(AND(BO179="B"),'Marks Entry'!$AO$2,IF(AND(BO179="C"),'Marks Entry'!$AQ$2,""))),IF($P$3=$AT$13,IF(AND(BP179="A"),'Marks Entry'!$AS$2,IF(AND(BP179="B"),'Marks Entry'!$AW$2,IF(AND(BP179="C"),'Marks Entry'!$AY$2,""))),"-"))))),"")</f>
        <v/>
      </c>
      <c r="L179" s="812" t="str">
        <f>IFERROR(IF(B179="","",IF($P$3=$AT$8,'Statement of Marks'!J178,IF($P$3=$AT$9,'Statement of Marks'!X178,IF($P$3=$AT$10,'Statement of Marks'!AM178,IF($P$3=$AT$11,'Statement of Marks'!BJ178,IF($P$3=$AT$12,'Statement of Marks'!CG178,IF($P$3=$AT$13,'Statement of Marks'!DE178,IF($P$3=$AT$14,"",IF($P$3=$AT$15,'Statement of Marks'!EY178,""))))))))),"")</f>
        <v/>
      </c>
      <c r="M179" s="812" t="str">
        <f>IFERROR(IF(B179="","",IF($P$3=$AT$8,'Statement of Marks'!K178,IF($P$3=$AT$9,'Statement of Marks'!Y178,IF($P$3=$AT$10,'Statement of Marks'!AN178,IF($P$3=$AT$11,'Statement of Marks'!BK178,IF($P$3=$AT$12,'Statement of Marks'!CH178,IF($P$3=$AT$13,'Statement of Marks'!DF178,IF($P$3=$AT$14,"",IF($P$3=$AT$15,'Statement of Marks'!EZ178,""))))))))),"")</f>
        <v/>
      </c>
      <c r="N179" s="812" t="str">
        <f>IFERROR(IF(B179="","",IF($P$3=$AT$8,'Statement of Marks'!L178,IF($P$3=$AT$9,'Statement of Marks'!Z178,IF($P$3=$AT$10,'Statement of Marks'!AO178,IF($P$3=$AT$11,'Statement of Marks'!BL178,IF($P$3=$AT$12,'Statement of Marks'!CI178,IF($P$3=$AT$13,'Statement of Marks'!DG178,IF($P$3=$AT$14,"",IF($P$3=$AT$15,'Statement of Marks'!FA178,""))))))))),"")</f>
        <v/>
      </c>
      <c r="O179" s="813" t="str">
        <f t="shared" si="32"/>
        <v/>
      </c>
      <c r="P179" s="812" t="str">
        <f>IFERROR(IF(B179="","",IF($P$3=$AT$8,'Statement of Marks'!N178,IF($P$3=$AT$9,'Statement of Marks'!AB178,IF($P$3=$AT$10,'Statement of Marks'!AQ178,IF($P$3=$AT$11,'Statement of Marks'!BN178,IF($P$3=$AT$12,'Statement of Marks'!CK178,IF($P$3=$AT$13,'Statement of Marks'!DI178,IF($P$3=$AT$14,"",IF($P$3=$AT$15,'Statement of Marks'!FC178,""))))))))),"")</f>
        <v/>
      </c>
      <c r="Q179" s="812" t="str">
        <f>IFERROR(IF(B179="","",IF($P$3=$AT$8,"",IF($P$3=$AT$9,"",IF($P$3=$AT$10,'Statement of Marks'!AR178,IF($P$3=$AT$11,'Statement of Marks'!BO178,IF($P$3=$AT$12,'Statement of Marks'!CL178,IF($P$3=$AT$13,'Statement of Marks'!DJ178,IF($P$3=$AT$14,"",IF($P$3=$AT$15,"",""))))))))),"")</f>
        <v/>
      </c>
      <c r="R179" s="824" t="str">
        <f>IFERROR(IF(B179="","",IF(AND(P179="",Q179="",$P$3=""),"",IF($P$3=$AT$14,'Statement of Marks'!EC178,SUM(P179,Q179)))),"")</f>
        <v/>
      </c>
      <c r="S179" s="823" t="str">
        <f>IFERROR(IF(B179="","",IF($P$3=$AT$14,'Statement of Marks'!ED178,IF(AND(O179="NA",P179="NA",Q179="NA"),"NA",IF(AND(O179="",P179="",Q179=""),"",SUM(O179,P179,Q179))))),"")</f>
        <v/>
      </c>
      <c r="T179" s="812" t="str">
        <f>IFERROR(IF(B179="","",IF($P$3=$AT$8,'Statement of Marks'!P178,IF($P$3=$AT$9,'Statement of Marks'!AD178,IF($P$3=$AT$10,'Statement of Marks'!AU178,IF($P$3=$AT$11,'Statement of Marks'!BR178,IF($P$3=$AT$12,'Statement of Marks'!CO178,IF($P$3=$AT$13,'Statement of Marks'!DM178,IF($P$3=$AT$14,"",IF($P$3=$AT$15,'Statement of Marks'!FD178,""))))))))),"")</f>
        <v/>
      </c>
      <c r="U179" s="812" t="str">
        <f>IFERROR(IF(B179="","",IF($P$3=$AT$8,"",IF($P$3=$AT$9,"",IF($P$3=$AT$10,'Statement of Marks'!AV178,IF($P$3=$AT$11,'Statement of Marks'!BS178,IF($P$3=$AT$12,'Statement of Marks'!CP178,IF($P$3=$AT$13,'Statement of Marks'!DN178,IF($P$3=$AT$14,"",IF($P$3=$AT$15,"",""))))))))),"")</f>
        <v/>
      </c>
      <c r="V179" s="824" t="str">
        <f>IFERROR(IF(B179="","",IF(AND(T179="",U179="",$P$3=""),"",IF($P$3=$AT$14,'Statement of Marks'!EE178,SUM(T179,U179)))),"")</f>
        <v/>
      </c>
      <c r="W179" s="814" t="str">
        <f t="shared" si="33"/>
        <v/>
      </c>
      <c r="X179" s="815">
        <f t="shared" si="34"/>
        <v>0</v>
      </c>
      <c r="Y179" s="815">
        <f t="shared" si="35"/>
        <v>0</v>
      </c>
      <c r="Z179" s="815">
        <f t="shared" si="36"/>
        <v>0</v>
      </c>
      <c r="AA179" s="815" t="str">
        <f t="shared" si="37"/>
        <v/>
      </c>
      <c r="AB179" s="815" t="str">
        <f t="shared" si="38"/>
        <v/>
      </c>
      <c r="AC179" s="815" t="str">
        <f t="shared" si="39"/>
        <v/>
      </c>
      <c r="AD179" s="815" t="str">
        <f t="shared" si="40"/>
        <v/>
      </c>
      <c r="AE179" s="816" t="str">
        <f t="shared" si="41"/>
        <v/>
      </c>
      <c r="AF179" s="817" t="str">
        <f t="shared" si="42"/>
        <v/>
      </c>
      <c r="AG179" s="818" t="str">
        <f t="shared" si="43"/>
        <v/>
      </c>
      <c r="AW179" s="17" t="str">
        <f t="shared" si="44"/>
        <v/>
      </c>
      <c r="AX179" s="17" t="str">
        <f t="shared" si="45"/>
        <v/>
      </c>
      <c r="BM179" s="17" t="str">
        <f>IFERROR(VLOOKUP(B179,'Statement of Marks'!$B$8:'Statement of Marks'!$HI$207,37,0),"")</f>
        <v>A</v>
      </c>
      <c r="BN179" s="17" t="str">
        <f>IFERROR(VLOOKUP(B179,'Statement of Marks'!$B$8:'Statement of Marks'!$HI$207,60,0),"")</f>
        <v>A</v>
      </c>
      <c r="BO179" s="17" t="str">
        <f>IFERROR(VLOOKUP(B179,'Statement of Marks'!$B$8:'Statement of Marks'!$HI$207,83,0),"")</f>
        <v>A</v>
      </c>
      <c r="BP179" s="17" t="str">
        <f>IFERROR(VLOOKUP(B179,'Statement of Marks'!$B$8:'Statement of Marks'!$HI$207,107,0),"")</f>
        <v/>
      </c>
    </row>
    <row r="180" spans="1:68">
      <c r="A180" s="806">
        <f>IF('Statement of Marks'!A179="","",'Statement of Marks'!A179)</f>
        <v>172</v>
      </c>
      <c r="B180" s="807" t="str">
        <f>IF(OR($E$3="",$P$3=""),"",IF('Statement of Marks'!B179="","",'Statement of Marks'!B179))</f>
        <v/>
      </c>
      <c r="C180" s="816" t="str">
        <f>IF(OR($E$3="",$P$3=""),"",IF('Marks Entry'!C179="","",'Marks Entry'!C179))</f>
        <v/>
      </c>
      <c r="D180" s="808" t="str">
        <f>IF(OR($E$3="",$P$3=""),"",IF('Statement of Marks'!C179="","",'Statement of Marks'!C179))</f>
        <v/>
      </c>
      <c r="E180" s="809" t="str">
        <f>IF(OR($E$3="",$P$3=""),"",IF('Statement of Marks'!D179="","",'Statement of Marks'!D179))</f>
        <v/>
      </c>
      <c r="F180" s="810" t="str">
        <f>IF(OR($E$3="",$P$3=""),"",IF('Statement of Marks'!E179="","",'Statement of Marks'!E179))</f>
        <v/>
      </c>
      <c r="G180" s="810" t="str">
        <f>IF(OR($E$3="",$P$3=""),"",IF('Statement of Marks'!F179="","",'Statement of Marks'!F179))</f>
        <v/>
      </c>
      <c r="H180" s="810" t="str">
        <f>IF(OR($E$3="",$P$3=""),"",IF('Statement of Marks'!G179="","",'Statement of Marks'!G179))</f>
        <v/>
      </c>
      <c r="I180" s="811" t="str">
        <f>IF(OR($E$3="",$P$3=""),"",IF('Statement of Marks'!H179="","",'Statement of Marks'!H179))</f>
        <v/>
      </c>
      <c r="J180" s="811" t="str">
        <f>IF(OR($E$3="",$P$3=""),"",IF('Statement of Marks'!I179="","",'Statement of Marks'!I179))</f>
        <v/>
      </c>
      <c r="K180" s="811" t="str">
        <f>IFERROR(IF(B180="","",IF($P$3=$AT$10,IF(AND(BM180="A"),'Marks Entry'!$U$2,IF(AND(BM180="B"),'Marks Entry'!$Y$2,IF(AND(BM180="C"),'Marks Entry'!$AA$2,""))),IF($P$3=$AT$11,IF(AND(BN180="A"),'Marks Entry'!$AC$2,IF(AND(BN180="B"),'Marks Entry'!$AG$2,IF(AND(BN180="C"),'Marks Entry'!$AI$2,""))),IF($P$3=$AT$12,IF(AND(BO180="A"),'Marks Entry'!$AK$2,IF(AND(BO180="B"),'Marks Entry'!$AO$2,IF(AND(BO180="C"),'Marks Entry'!$AQ$2,""))),IF($P$3=$AT$13,IF(AND(BP180="A"),'Marks Entry'!$AS$2,IF(AND(BP180="B"),'Marks Entry'!$AW$2,IF(AND(BP180="C"),'Marks Entry'!$AY$2,""))),"-"))))),"")</f>
        <v/>
      </c>
      <c r="L180" s="812" t="str">
        <f>IFERROR(IF(B180="","",IF($P$3=$AT$8,'Statement of Marks'!J179,IF($P$3=$AT$9,'Statement of Marks'!X179,IF($P$3=$AT$10,'Statement of Marks'!AM179,IF($P$3=$AT$11,'Statement of Marks'!BJ179,IF($P$3=$AT$12,'Statement of Marks'!CG179,IF($P$3=$AT$13,'Statement of Marks'!DE179,IF($P$3=$AT$14,"",IF($P$3=$AT$15,'Statement of Marks'!EY179,""))))))))),"")</f>
        <v/>
      </c>
      <c r="M180" s="812" t="str">
        <f>IFERROR(IF(B180="","",IF($P$3=$AT$8,'Statement of Marks'!K179,IF($P$3=$AT$9,'Statement of Marks'!Y179,IF($P$3=$AT$10,'Statement of Marks'!AN179,IF($P$3=$AT$11,'Statement of Marks'!BK179,IF($P$3=$AT$12,'Statement of Marks'!CH179,IF($P$3=$AT$13,'Statement of Marks'!DF179,IF($P$3=$AT$14,"",IF($P$3=$AT$15,'Statement of Marks'!EZ179,""))))))))),"")</f>
        <v/>
      </c>
      <c r="N180" s="812" t="str">
        <f>IFERROR(IF(B180="","",IF($P$3=$AT$8,'Statement of Marks'!L179,IF($P$3=$AT$9,'Statement of Marks'!Z179,IF($P$3=$AT$10,'Statement of Marks'!AO179,IF($P$3=$AT$11,'Statement of Marks'!BL179,IF($P$3=$AT$12,'Statement of Marks'!CI179,IF($P$3=$AT$13,'Statement of Marks'!DG179,IF($P$3=$AT$14,"",IF($P$3=$AT$15,'Statement of Marks'!FA179,""))))))))),"")</f>
        <v/>
      </c>
      <c r="O180" s="813" t="str">
        <f t="shared" si="32"/>
        <v/>
      </c>
      <c r="P180" s="812" t="str">
        <f>IFERROR(IF(B180="","",IF($P$3=$AT$8,'Statement of Marks'!N179,IF($P$3=$AT$9,'Statement of Marks'!AB179,IF($P$3=$AT$10,'Statement of Marks'!AQ179,IF($P$3=$AT$11,'Statement of Marks'!BN179,IF($P$3=$AT$12,'Statement of Marks'!CK179,IF($P$3=$AT$13,'Statement of Marks'!DI179,IF($P$3=$AT$14,"",IF($P$3=$AT$15,'Statement of Marks'!FC179,""))))))))),"")</f>
        <v/>
      </c>
      <c r="Q180" s="812" t="str">
        <f>IFERROR(IF(B180="","",IF($P$3=$AT$8,"",IF($P$3=$AT$9,"",IF($P$3=$AT$10,'Statement of Marks'!AR179,IF($P$3=$AT$11,'Statement of Marks'!BO179,IF($P$3=$AT$12,'Statement of Marks'!CL179,IF($P$3=$AT$13,'Statement of Marks'!DJ179,IF($P$3=$AT$14,"",IF($P$3=$AT$15,"",""))))))))),"")</f>
        <v/>
      </c>
      <c r="R180" s="824" t="str">
        <f>IFERROR(IF(B180="","",IF(AND(P180="",Q180="",$P$3=""),"",IF($P$3=$AT$14,'Statement of Marks'!EC179,SUM(P180,Q180)))),"")</f>
        <v/>
      </c>
      <c r="S180" s="823" t="str">
        <f>IFERROR(IF(B180="","",IF($P$3=$AT$14,'Statement of Marks'!ED179,IF(AND(O180="NA",P180="NA",Q180="NA"),"NA",IF(AND(O180="",P180="",Q180=""),"",SUM(O180,P180,Q180))))),"")</f>
        <v/>
      </c>
      <c r="T180" s="812" t="str">
        <f>IFERROR(IF(B180="","",IF($P$3=$AT$8,'Statement of Marks'!P179,IF($P$3=$AT$9,'Statement of Marks'!AD179,IF($P$3=$AT$10,'Statement of Marks'!AU179,IF($P$3=$AT$11,'Statement of Marks'!BR179,IF($P$3=$AT$12,'Statement of Marks'!CO179,IF($P$3=$AT$13,'Statement of Marks'!DM179,IF($P$3=$AT$14,"",IF($P$3=$AT$15,'Statement of Marks'!FD179,""))))))))),"")</f>
        <v/>
      </c>
      <c r="U180" s="812" t="str">
        <f>IFERROR(IF(B180="","",IF($P$3=$AT$8,"",IF($P$3=$AT$9,"",IF($P$3=$AT$10,'Statement of Marks'!AV179,IF($P$3=$AT$11,'Statement of Marks'!BS179,IF($P$3=$AT$12,'Statement of Marks'!CP179,IF($P$3=$AT$13,'Statement of Marks'!DN179,IF($P$3=$AT$14,"",IF($P$3=$AT$15,"",""))))))))),"")</f>
        <v/>
      </c>
      <c r="V180" s="824" t="str">
        <f>IFERROR(IF(B180="","",IF(AND(T180="",U180="",$P$3=""),"",IF($P$3=$AT$14,'Statement of Marks'!EE179,SUM(T180,U180)))),"")</f>
        <v/>
      </c>
      <c r="W180" s="814" t="str">
        <f t="shared" si="33"/>
        <v/>
      </c>
      <c r="X180" s="815">
        <f t="shared" si="34"/>
        <v>0</v>
      </c>
      <c r="Y180" s="815">
        <f t="shared" si="35"/>
        <v>0</v>
      </c>
      <c r="Z180" s="815">
        <f t="shared" si="36"/>
        <v>0</v>
      </c>
      <c r="AA180" s="815" t="str">
        <f t="shared" si="37"/>
        <v/>
      </c>
      <c r="AB180" s="815" t="str">
        <f t="shared" si="38"/>
        <v/>
      </c>
      <c r="AC180" s="815" t="str">
        <f t="shared" si="39"/>
        <v/>
      </c>
      <c r="AD180" s="815" t="str">
        <f t="shared" si="40"/>
        <v/>
      </c>
      <c r="AE180" s="816" t="str">
        <f t="shared" si="41"/>
        <v/>
      </c>
      <c r="AF180" s="817" t="str">
        <f t="shared" si="42"/>
        <v/>
      </c>
      <c r="AG180" s="818" t="str">
        <f t="shared" si="43"/>
        <v/>
      </c>
      <c r="AW180" s="17" t="str">
        <f t="shared" si="44"/>
        <v/>
      </c>
      <c r="AX180" s="17" t="str">
        <f t="shared" si="45"/>
        <v/>
      </c>
      <c r="BM180" s="17" t="str">
        <f>IFERROR(VLOOKUP(B180,'Statement of Marks'!$B$8:'Statement of Marks'!$HI$207,37,0),"")</f>
        <v>A</v>
      </c>
      <c r="BN180" s="17" t="str">
        <f>IFERROR(VLOOKUP(B180,'Statement of Marks'!$B$8:'Statement of Marks'!$HI$207,60,0),"")</f>
        <v>A</v>
      </c>
      <c r="BO180" s="17" t="str">
        <f>IFERROR(VLOOKUP(B180,'Statement of Marks'!$B$8:'Statement of Marks'!$HI$207,83,0),"")</f>
        <v>A</v>
      </c>
      <c r="BP180" s="17" t="str">
        <f>IFERROR(VLOOKUP(B180,'Statement of Marks'!$B$8:'Statement of Marks'!$HI$207,107,0),"")</f>
        <v/>
      </c>
    </row>
    <row r="181" spans="1:68">
      <c r="A181" s="806">
        <f>IF('Statement of Marks'!A180="","",'Statement of Marks'!A180)</f>
        <v>173</v>
      </c>
      <c r="B181" s="807" t="str">
        <f>IF(OR($E$3="",$P$3=""),"",IF('Statement of Marks'!B180="","",'Statement of Marks'!B180))</f>
        <v/>
      </c>
      <c r="C181" s="816" t="str">
        <f>IF(OR($E$3="",$P$3=""),"",IF('Marks Entry'!C180="","",'Marks Entry'!C180))</f>
        <v/>
      </c>
      <c r="D181" s="808" t="str">
        <f>IF(OR($E$3="",$P$3=""),"",IF('Statement of Marks'!C180="","",'Statement of Marks'!C180))</f>
        <v/>
      </c>
      <c r="E181" s="809" t="str">
        <f>IF(OR($E$3="",$P$3=""),"",IF('Statement of Marks'!D180="","",'Statement of Marks'!D180))</f>
        <v/>
      </c>
      <c r="F181" s="810" t="str">
        <f>IF(OR($E$3="",$P$3=""),"",IF('Statement of Marks'!E180="","",'Statement of Marks'!E180))</f>
        <v/>
      </c>
      <c r="G181" s="810" t="str">
        <f>IF(OR($E$3="",$P$3=""),"",IF('Statement of Marks'!F180="","",'Statement of Marks'!F180))</f>
        <v/>
      </c>
      <c r="H181" s="810" t="str">
        <f>IF(OR($E$3="",$P$3=""),"",IF('Statement of Marks'!G180="","",'Statement of Marks'!G180))</f>
        <v/>
      </c>
      <c r="I181" s="811" t="str">
        <f>IF(OR($E$3="",$P$3=""),"",IF('Statement of Marks'!H180="","",'Statement of Marks'!H180))</f>
        <v/>
      </c>
      <c r="J181" s="811" t="str">
        <f>IF(OR($E$3="",$P$3=""),"",IF('Statement of Marks'!I180="","",'Statement of Marks'!I180))</f>
        <v/>
      </c>
      <c r="K181" s="811" t="str">
        <f>IFERROR(IF(B181="","",IF($P$3=$AT$10,IF(AND(BM181="A"),'Marks Entry'!$U$2,IF(AND(BM181="B"),'Marks Entry'!$Y$2,IF(AND(BM181="C"),'Marks Entry'!$AA$2,""))),IF($P$3=$AT$11,IF(AND(BN181="A"),'Marks Entry'!$AC$2,IF(AND(BN181="B"),'Marks Entry'!$AG$2,IF(AND(BN181="C"),'Marks Entry'!$AI$2,""))),IF($P$3=$AT$12,IF(AND(BO181="A"),'Marks Entry'!$AK$2,IF(AND(BO181="B"),'Marks Entry'!$AO$2,IF(AND(BO181="C"),'Marks Entry'!$AQ$2,""))),IF($P$3=$AT$13,IF(AND(BP181="A"),'Marks Entry'!$AS$2,IF(AND(BP181="B"),'Marks Entry'!$AW$2,IF(AND(BP181="C"),'Marks Entry'!$AY$2,""))),"-"))))),"")</f>
        <v/>
      </c>
      <c r="L181" s="812" t="str">
        <f>IFERROR(IF(B181="","",IF($P$3=$AT$8,'Statement of Marks'!J180,IF($P$3=$AT$9,'Statement of Marks'!X180,IF($P$3=$AT$10,'Statement of Marks'!AM180,IF($P$3=$AT$11,'Statement of Marks'!BJ180,IF($P$3=$AT$12,'Statement of Marks'!CG180,IF($P$3=$AT$13,'Statement of Marks'!DE180,IF($P$3=$AT$14,"",IF($P$3=$AT$15,'Statement of Marks'!EY180,""))))))))),"")</f>
        <v/>
      </c>
      <c r="M181" s="812" t="str">
        <f>IFERROR(IF(B181="","",IF($P$3=$AT$8,'Statement of Marks'!K180,IF($P$3=$AT$9,'Statement of Marks'!Y180,IF($P$3=$AT$10,'Statement of Marks'!AN180,IF($P$3=$AT$11,'Statement of Marks'!BK180,IF($P$3=$AT$12,'Statement of Marks'!CH180,IF($P$3=$AT$13,'Statement of Marks'!DF180,IF($P$3=$AT$14,"",IF($P$3=$AT$15,'Statement of Marks'!EZ180,""))))))))),"")</f>
        <v/>
      </c>
      <c r="N181" s="812" t="str">
        <f>IFERROR(IF(B181="","",IF($P$3=$AT$8,'Statement of Marks'!L180,IF($P$3=$AT$9,'Statement of Marks'!Z180,IF($P$3=$AT$10,'Statement of Marks'!AO180,IF($P$3=$AT$11,'Statement of Marks'!BL180,IF($P$3=$AT$12,'Statement of Marks'!CI180,IF($P$3=$AT$13,'Statement of Marks'!DG180,IF($P$3=$AT$14,"",IF($P$3=$AT$15,'Statement of Marks'!FA180,""))))))))),"")</f>
        <v/>
      </c>
      <c r="O181" s="813" t="str">
        <f t="shared" si="32"/>
        <v/>
      </c>
      <c r="P181" s="812" t="str">
        <f>IFERROR(IF(B181="","",IF($P$3=$AT$8,'Statement of Marks'!N180,IF($P$3=$AT$9,'Statement of Marks'!AB180,IF($P$3=$AT$10,'Statement of Marks'!AQ180,IF($P$3=$AT$11,'Statement of Marks'!BN180,IF($P$3=$AT$12,'Statement of Marks'!CK180,IF($P$3=$AT$13,'Statement of Marks'!DI180,IF($P$3=$AT$14,"",IF($P$3=$AT$15,'Statement of Marks'!FC180,""))))))))),"")</f>
        <v/>
      </c>
      <c r="Q181" s="812" t="str">
        <f>IFERROR(IF(B181="","",IF($P$3=$AT$8,"",IF($P$3=$AT$9,"",IF($P$3=$AT$10,'Statement of Marks'!AR180,IF($P$3=$AT$11,'Statement of Marks'!BO180,IF($P$3=$AT$12,'Statement of Marks'!CL180,IF($P$3=$AT$13,'Statement of Marks'!DJ180,IF($P$3=$AT$14,"",IF($P$3=$AT$15,"",""))))))))),"")</f>
        <v/>
      </c>
      <c r="R181" s="824" t="str">
        <f>IFERROR(IF(B181="","",IF(AND(P181="",Q181="",$P$3=""),"",IF($P$3=$AT$14,'Statement of Marks'!EC180,SUM(P181,Q181)))),"")</f>
        <v/>
      </c>
      <c r="S181" s="823" t="str">
        <f>IFERROR(IF(B181="","",IF($P$3=$AT$14,'Statement of Marks'!ED180,IF(AND(O181="NA",P181="NA",Q181="NA"),"NA",IF(AND(O181="",P181="",Q181=""),"",SUM(O181,P181,Q181))))),"")</f>
        <v/>
      </c>
      <c r="T181" s="812" t="str">
        <f>IFERROR(IF(B181="","",IF($P$3=$AT$8,'Statement of Marks'!P180,IF($P$3=$AT$9,'Statement of Marks'!AD180,IF($P$3=$AT$10,'Statement of Marks'!AU180,IF($P$3=$AT$11,'Statement of Marks'!BR180,IF($P$3=$AT$12,'Statement of Marks'!CO180,IF($P$3=$AT$13,'Statement of Marks'!DM180,IF($P$3=$AT$14,"",IF($P$3=$AT$15,'Statement of Marks'!FD180,""))))))))),"")</f>
        <v/>
      </c>
      <c r="U181" s="812" t="str">
        <f>IFERROR(IF(B181="","",IF($P$3=$AT$8,"",IF($P$3=$AT$9,"",IF($P$3=$AT$10,'Statement of Marks'!AV180,IF($P$3=$AT$11,'Statement of Marks'!BS180,IF($P$3=$AT$12,'Statement of Marks'!CP180,IF($P$3=$AT$13,'Statement of Marks'!DN180,IF($P$3=$AT$14,"",IF($P$3=$AT$15,"",""))))))))),"")</f>
        <v/>
      </c>
      <c r="V181" s="824" t="str">
        <f>IFERROR(IF(B181="","",IF(AND(T181="",U181="",$P$3=""),"",IF($P$3=$AT$14,'Statement of Marks'!EE180,SUM(T181,U181)))),"")</f>
        <v/>
      </c>
      <c r="W181" s="814" t="str">
        <f t="shared" si="33"/>
        <v/>
      </c>
      <c r="X181" s="815">
        <f t="shared" si="34"/>
        <v>0</v>
      </c>
      <c r="Y181" s="815">
        <f t="shared" si="35"/>
        <v>0</v>
      </c>
      <c r="Z181" s="815">
        <f t="shared" si="36"/>
        <v>0</v>
      </c>
      <c r="AA181" s="815" t="str">
        <f t="shared" si="37"/>
        <v/>
      </c>
      <c r="AB181" s="815" t="str">
        <f t="shared" si="38"/>
        <v/>
      </c>
      <c r="AC181" s="815" t="str">
        <f t="shared" si="39"/>
        <v/>
      </c>
      <c r="AD181" s="815" t="str">
        <f t="shared" si="40"/>
        <v/>
      </c>
      <c r="AE181" s="816" t="str">
        <f t="shared" si="41"/>
        <v/>
      </c>
      <c r="AF181" s="817" t="str">
        <f t="shared" si="42"/>
        <v/>
      </c>
      <c r="AG181" s="818" t="str">
        <f t="shared" si="43"/>
        <v/>
      </c>
      <c r="AW181" s="17" t="str">
        <f t="shared" si="44"/>
        <v/>
      </c>
      <c r="AX181" s="17" t="str">
        <f t="shared" si="45"/>
        <v/>
      </c>
      <c r="BM181" s="17" t="str">
        <f>IFERROR(VLOOKUP(B181,'Statement of Marks'!$B$8:'Statement of Marks'!$HI$207,37,0),"")</f>
        <v>A</v>
      </c>
      <c r="BN181" s="17" t="str">
        <f>IFERROR(VLOOKUP(B181,'Statement of Marks'!$B$8:'Statement of Marks'!$HI$207,60,0),"")</f>
        <v>A</v>
      </c>
      <c r="BO181" s="17" t="str">
        <f>IFERROR(VLOOKUP(B181,'Statement of Marks'!$B$8:'Statement of Marks'!$HI$207,83,0),"")</f>
        <v>A</v>
      </c>
      <c r="BP181" s="17" t="str">
        <f>IFERROR(VLOOKUP(B181,'Statement of Marks'!$B$8:'Statement of Marks'!$HI$207,107,0),"")</f>
        <v/>
      </c>
    </row>
    <row r="182" spans="1:68">
      <c r="A182" s="806">
        <f>IF('Statement of Marks'!A181="","",'Statement of Marks'!A181)</f>
        <v>174</v>
      </c>
      <c r="B182" s="807" t="str">
        <f>IF(OR($E$3="",$P$3=""),"",IF('Statement of Marks'!B181="","",'Statement of Marks'!B181))</f>
        <v/>
      </c>
      <c r="C182" s="816" t="str">
        <f>IF(OR($E$3="",$P$3=""),"",IF('Marks Entry'!C181="","",'Marks Entry'!C181))</f>
        <v/>
      </c>
      <c r="D182" s="808" t="str">
        <f>IF(OR($E$3="",$P$3=""),"",IF('Statement of Marks'!C181="","",'Statement of Marks'!C181))</f>
        <v/>
      </c>
      <c r="E182" s="809" t="str">
        <f>IF(OR($E$3="",$P$3=""),"",IF('Statement of Marks'!D181="","",'Statement of Marks'!D181))</f>
        <v/>
      </c>
      <c r="F182" s="810" t="str">
        <f>IF(OR($E$3="",$P$3=""),"",IF('Statement of Marks'!E181="","",'Statement of Marks'!E181))</f>
        <v/>
      </c>
      <c r="G182" s="810" t="str">
        <f>IF(OR($E$3="",$P$3=""),"",IF('Statement of Marks'!F181="","",'Statement of Marks'!F181))</f>
        <v/>
      </c>
      <c r="H182" s="810" t="str">
        <f>IF(OR($E$3="",$P$3=""),"",IF('Statement of Marks'!G181="","",'Statement of Marks'!G181))</f>
        <v/>
      </c>
      <c r="I182" s="811" t="str">
        <f>IF(OR($E$3="",$P$3=""),"",IF('Statement of Marks'!H181="","",'Statement of Marks'!H181))</f>
        <v/>
      </c>
      <c r="J182" s="811" t="str">
        <f>IF(OR($E$3="",$P$3=""),"",IF('Statement of Marks'!I181="","",'Statement of Marks'!I181))</f>
        <v/>
      </c>
      <c r="K182" s="811" t="str">
        <f>IFERROR(IF(B182="","",IF($P$3=$AT$10,IF(AND(BM182="A"),'Marks Entry'!$U$2,IF(AND(BM182="B"),'Marks Entry'!$Y$2,IF(AND(BM182="C"),'Marks Entry'!$AA$2,""))),IF($P$3=$AT$11,IF(AND(BN182="A"),'Marks Entry'!$AC$2,IF(AND(BN182="B"),'Marks Entry'!$AG$2,IF(AND(BN182="C"),'Marks Entry'!$AI$2,""))),IF($P$3=$AT$12,IF(AND(BO182="A"),'Marks Entry'!$AK$2,IF(AND(BO182="B"),'Marks Entry'!$AO$2,IF(AND(BO182="C"),'Marks Entry'!$AQ$2,""))),IF($P$3=$AT$13,IF(AND(BP182="A"),'Marks Entry'!$AS$2,IF(AND(BP182="B"),'Marks Entry'!$AW$2,IF(AND(BP182="C"),'Marks Entry'!$AY$2,""))),"-"))))),"")</f>
        <v/>
      </c>
      <c r="L182" s="812" t="str">
        <f>IFERROR(IF(B182="","",IF($P$3=$AT$8,'Statement of Marks'!J181,IF($P$3=$AT$9,'Statement of Marks'!X181,IF($P$3=$AT$10,'Statement of Marks'!AM181,IF($P$3=$AT$11,'Statement of Marks'!BJ181,IF($P$3=$AT$12,'Statement of Marks'!CG181,IF($P$3=$AT$13,'Statement of Marks'!DE181,IF($P$3=$AT$14,"",IF($P$3=$AT$15,'Statement of Marks'!EY181,""))))))))),"")</f>
        <v/>
      </c>
      <c r="M182" s="812" t="str">
        <f>IFERROR(IF(B182="","",IF($P$3=$AT$8,'Statement of Marks'!K181,IF($P$3=$AT$9,'Statement of Marks'!Y181,IF($P$3=$AT$10,'Statement of Marks'!AN181,IF($P$3=$AT$11,'Statement of Marks'!BK181,IF($P$3=$AT$12,'Statement of Marks'!CH181,IF($P$3=$AT$13,'Statement of Marks'!DF181,IF($P$3=$AT$14,"",IF($P$3=$AT$15,'Statement of Marks'!EZ181,""))))))))),"")</f>
        <v/>
      </c>
      <c r="N182" s="812" t="str">
        <f>IFERROR(IF(B182="","",IF($P$3=$AT$8,'Statement of Marks'!L181,IF($P$3=$AT$9,'Statement of Marks'!Z181,IF($P$3=$AT$10,'Statement of Marks'!AO181,IF($P$3=$AT$11,'Statement of Marks'!BL181,IF($P$3=$AT$12,'Statement of Marks'!CI181,IF($P$3=$AT$13,'Statement of Marks'!DG181,IF($P$3=$AT$14,"",IF($P$3=$AT$15,'Statement of Marks'!FA181,""))))))))),"")</f>
        <v/>
      </c>
      <c r="O182" s="813" t="str">
        <f t="shared" si="32"/>
        <v/>
      </c>
      <c r="P182" s="812" t="str">
        <f>IFERROR(IF(B182="","",IF($P$3=$AT$8,'Statement of Marks'!N181,IF($P$3=$AT$9,'Statement of Marks'!AB181,IF($P$3=$AT$10,'Statement of Marks'!AQ181,IF($P$3=$AT$11,'Statement of Marks'!BN181,IF($P$3=$AT$12,'Statement of Marks'!CK181,IF($P$3=$AT$13,'Statement of Marks'!DI181,IF($P$3=$AT$14,"",IF($P$3=$AT$15,'Statement of Marks'!FC181,""))))))))),"")</f>
        <v/>
      </c>
      <c r="Q182" s="812" t="str">
        <f>IFERROR(IF(B182="","",IF($P$3=$AT$8,"",IF($P$3=$AT$9,"",IF($P$3=$AT$10,'Statement of Marks'!AR181,IF($P$3=$AT$11,'Statement of Marks'!BO181,IF($P$3=$AT$12,'Statement of Marks'!CL181,IF($P$3=$AT$13,'Statement of Marks'!DJ181,IF($P$3=$AT$14,"",IF($P$3=$AT$15,"",""))))))))),"")</f>
        <v/>
      </c>
      <c r="R182" s="824" t="str">
        <f>IFERROR(IF(B182="","",IF(AND(P182="",Q182="",$P$3=""),"",IF($P$3=$AT$14,'Statement of Marks'!EC181,SUM(P182,Q182)))),"")</f>
        <v/>
      </c>
      <c r="S182" s="823" t="str">
        <f>IFERROR(IF(B182="","",IF($P$3=$AT$14,'Statement of Marks'!ED181,IF(AND(O182="NA",P182="NA",Q182="NA"),"NA",IF(AND(O182="",P182="",Q182=""),"",SUM(O182,P182,Q182))))),"")</f>
        <v/>
      </c>
      <c r="T182" s="812" t="str">
        <f>IFERROR(IF(B182="","",IF($P$3=$AT$8,'Statement of Marks'!P181,IF($P$3=$AT$9,'Statement of Marks'!AD181,IF($P$3=$AT$10,'Statement of Marks'!AU181,IF($P$3=$AT$11,'Statement of Marks'!BR181,IF($P$3=$AT$12,'Statement of Marks'!CO181,IF($P$3=$AT$13,'Statement of Marks'!DM181,IF($P$3=$AT$14,"",IF($P$3=$AT$15,'Statement of Marks'!FD181,""))))))))),"")</f>
        <v/>
      </c>
      <c r="U182" s="812" t="str">
        <f>IFERROR(IF(B182="","",IF($P$3=$AT$8,"",IF($P$3=$AT$9,"",IF($P$3=$AT$10,'Statement of Marks'!AV181,IF($P$3=$AT$11,'Statement of Marks'!BS181,IF($P$3=$AT$12,'Statement of Marks'!CP181,IF($P$3=$AT$13,'Statement of Marks'!DN181,IF($P$3=$AT$14,"",IF($P$3=$AT$15,"",""))))))))),"")</f>
        <v/>
      </c>
      <c r="V182" s="824" t="str">
        <f>IFERROR(IF(B182="","",IF(AND(T182="",U182="",$P$3=""),"",IF($P$3=$AT$14,'Statement of Marks'!EE181,SUM(T182,U182)))),"")</f>
        <v/>
      </c>
      <c r="W182" s="814" t="str">
        <f t="shared" si="33"/>
        <v/>
      </c>
      <c r="X182" s="815">
        <f t="shared" si="34"/>
        <v>0</v>
      </c>
      <c r="Y182" s="815">
        <f t="shared" si="35"/>
        <v>0</v>
      </c>
      <c r="Z182" s="815">
        <f t="shared" si="36"/>
        <v>0</v>
      </c>
      <c r="AA182" s="815" t="str">
        <f t="shared" si="37"/>
        <v/>
      </c>
      <c r="AB182" s="815" t="str">
        <f t="shared" si="38"/>
        <v/>
      </c>
      <c r="AC182" s="815" t="str">
        <f t="shared" si="39"/>
        <v/>
      </c>
      <c r="AD182" s="815" t="str">
        <f t="shared" si="40"/>
        <v/>
      </c>
      <c r="AE182" s="816" t="str">
        <f t="shared" si="41"/>
        <v/>
      </c>
      <c r="AF182" s="817" t="str">
        <f t="shared" si="42"/>
        <v/>
      </c>
      <c r="AG182" s="818" t="str">
        <f t="shared" si="43"/>
        <v/>
      </c>
      <c r="AW182" s="17" t="str">
        <f t="shared" si="44"/>
        <v/>
      </c>
      <c r="AX182" s="17" t="str">
        <f t="shared" si="45"/>
        <v/>
      </c>
      <c r="BM182" s="17" t="str">
        <f>IFERROR(VLOOKUP(B182,'Statement of Marks'!$B$8:'Statement of Marks'!$HI$207,37,0),"")</f>
        <v>A</v>
      </c>
      <c r="BN182" s="17" t="str">
        <f>IFERROR(VLOOKUP(B182,'Statement of Marks'!$B$8:'Statement of Marks'!$HI$207,60,0),"")</f>
        <v>A</v>
      </c>
      <c r="BO182" s="17" t="str">
        <f>IFERROR(VLOOKUP(B182,'Statement of Marks'!$B$8:'Statement of Marks'!$HI$207,83,0),"")</f>
        <v>A</v>
      </c>
      <c r="BP182" s="17" t="str">
        <f>IFERROR(VLOOKUP(B182,'Statement of Marks'!$B$8:'Statement of Marks'!$HI$207,107,0),"")</f>
        <v/>
      </c>
    </row>
    <row r="183" spans="1:68">
      <c r="A183" s="806">
        <f>IF('Statement of Marks'!A182="","",'Statement of Marks'!A182)</f>
        <v>175</v>
      </c>
      <c r="B183" s="807" t="str">
        <f>IF(OR($E$3="",$P$3=""),"",IF('Statement of Marks'!B182="","",'Statement of Marks'!B182))</f>
        <v/>
      </c>
      <c r="C183" s="816" t="str">
        <f>IF(OR($E$3="",$P$3=""),"",IF('Marks Entry'!C182="","",'Marks Entry'!C182))</f>
        <v/>
      </c>
      <c r="D183" s="808" t="str">
        <f>IF(OR($E$3="",$P$3=""),"",IF('Statement of Marks'!C182="","",'Statement of Marks'!C182))</f>
        <v/>
      </c>
      <c r="E183" s="809" t="str">
        <f>IF(OR($E$3="",$P$3=""),"",IF('Statement of Marks'!D182="","",'Statement of Marks'!D182))</f>
        <v/>
      </c>
      <c r="F183" s="810" t="str">
        <f>IF(OR($E$3="",$P$3=""),"",IF('Statement of Marks'!E182="","",'Statement of Marks'!E182))</f>
        <v/>
      </c>
      <c r="G183" s="810" t="str">
        <f>IF(OR($E$3="",$P$3=""),"",IF('Statement of Marks'!F182="","",'Statement of Marks'!F182))</f>
        <v/>
      </c>
      <c r="H183" s="810" t="str">
        <f>IF(OR($E$3="",$P$3=""),"",IF('Statement of Marks'!G182="","",'Statement of Marks'!G182))</f>
        <v/>
      </c>
      <c r="I183" s="811" t="str">
        <f>IF(OR($E$3="",$P$3=""),"",IF('Statement of Marks'!H182="","",'Statement of Marks'!H182))</f>
        <v/>
      </c>
      <c r="J183" s="811" t="str">
        <f>IF(OR($E$3="",$P$3=""),"",IF('Statement of Marks'!I182="","",'Statement of Marks'!I182))</f>
        <v/>
      </c>
      <c r="K183" s="811" t="str">
        <f>IFERROR(IF(B183="","",IF($P$3=$AT$10,IF(AND(BM183="A"),'Marks Entry'!$U$2,IF(AND(BM183="B"),'Marks Entry'!$Y$2,IF(AND(BM183="C"),'Marks Entry'!$AA$2,""))),IF($P$3=$AT$11,IF(AND(BN183="A"),'Marks Entry'!$AC$2,IF(AND(BN183="B"),'Marks Entry'!$AG$2,IF(AND(BN183="C"),'Marks Entry'!$AI$2,""))),IF($P$3=$AT$12,IF(AND(BO183="A"),'Marks Entry'!$AK$2,IF(AND(BO183="B"),'Marks Entry'!$AO$2,IF(AND(BO183="C"),'Marks Entry'!$AQ$2,""))),IF($P$3=$AT$13,IF(AND(BP183="A"),'Marks Entry'!$AS$2,IF(AND(BP183="B"),'Marks Entry'!$AW$2,IF(AND(BP183="C"),'Marks Entry'!$AY$2,""))),"-"))))),"")</f>
        <v/>
      </c>
      <c r="L183" s="812" t="str">
        <f>IFERROR(IF(B183="","",IF($P$3=$AT$8,'Statement of Marks'!J182,IF($P$3=$AT$9,'Statement of Marks'!X182,IF($P$3=$AT$10,'Statement of Marks'!AM182,IF($P$3=$AT$11,'Statement of Marks'!BJ182,IF($P$3=$AT$12,'Statement of Marks'!CG182,IF($P$3=$AT$13,'Statement of Marks'!DE182,IF($P$3=$AT$14,"",IF($P$3=$AT$15,'Statement of Marks'!EY182,""))))))))),"")</f>
        <v/>
      </c>
      <c r="M183" s="812" t="str">
        <f>IFERROR(IF(B183="","",IF($P$3=$AT$8,'Statement of Marks'!K182,IF($P$3=$AT$9,'Statement of Marks'!Y182,IF($P$3=$AT$10,'Statement of Marks'!AN182,IF($P$3=$AT$11,'Statement of Marks'!BK182,IF($P$3=$AT$12,'Statement of Marks'!CH182,IF($P$3=$AT$13,'Statement of Marks'!DF182,IF($P$3=$AT$14,"",IF($P$3=$AT$15,'Statement of Marks'!EZ182,""))))))))),"")</f>
        <v/>
      </c>
      <c r="N183" s="812" t="str">
        <f>IFERROR(IF(B183="","",IF($P$3=$AT$8,'Statement of Marks'!L182,IF($P$3=$AT$9,'Statement of Marks'!Z182,IF($P$3=$AT$10,'Statement of Marks'!AO182,IF($P$3=$AT$11,'Statement of Marks'!BL182,IF($P$3=$AT$12,'Statement of Marks'!CI182,IF($P$3=$AT$13,'Statement of Marks'!DG182,IF($P$3=$AT$14,"",IF($P$3=$AT$15,'Statement of Marks'!FA182,""))))))))),"")</f>
        <v/>
      </c>
      <c r="O183" s="813" t="str">
        <f t="shared" si="32"/>
        <v/>
      </c>
      <c r="P183" s="812" t="str">
        <f>IFERROR(IF(B183="","",IF($P$3=$AT$8,'Statement of Marks'!N182,IF($P$3=$AT$9,'Statement of Marks'!AB182,IF($P$3=$AT$10,'Statement of Marks'!AQ182,IF($P$3=$AT$11,'Statement of Marks'!BN182,IF($P$3=$AT$12,'Statement of Marks'!CK182,IF($P$3=$AT$13,'Statement of Marks'!DI182,IF($P$3=$AT$14,"",IF($P$3=$AT$15,'Statement of Marks'!FC182,""))))))))),"")</f>
        <v/>
      </c>
      <c r="Q183" s="812" t="str">
        <f>IFERROR(IF(B183="","",IF($P$3=$AT$8,"",IF($P$3=$AT$9,"",IF($P$3=$AT$10,'Statement of Marks'!AR182,IF($P$3=$AT$11,'Statement of Marks'!BO182,IF($P$3=$AT$12,'Statement of Marks'!CL182,IF($P$3=$AT$13,'Statement of Marks'!DJ182,IF($P$3=$AT$14,"",IF($P$3=$AT$15,"",""))))))))),"")</f>
        <v/>
      </c>
      <c r="R183" s="824" t="str">
        <f>IFERROR(IF(B183="","",IF(AND(P183="",Q183="",$P$3=""),"",IF($P$3=$AT$14,'Statement of Marks'!EC182,SUM(P183,Q183)))),"")</f>
        <v/>
      </c>
      <c r="S183" s="823" t="str">
        <f>IFERROR(IF(B183="","",IF($P$3=$AT$14,'Statement of Marks'!ED182,IF(AND(O183="NA",P183="NA",Q183="NA"),"NA",IF(AND(O183="",P183="",Q183=""),"",SUM(O183,P183,Q183))))),"")</f>
        <v/>
      </c>
      <c r="T183" s="812" t="str">
        <f>IFERROR(IF(B183="","",IF($P$3=$AT$8,'Statement of Marks'!P182,IF($P$3=$AT$9,'Statement of Marks'!AD182,IF($P$3=$AT$10,'Statement of Marks'!AU182,IF($P$3=$AT$11,'Statement of Marks'!BR182,IF($P$3=$AT$12,'Statement of Marks'!CO182,IF($P$3=$AT$13,'Statement of Marks'!DM182,IF($P$3=$AT$14,"",IF($P$3=$AT$15,'Statement of Marks'!FD182,""))))))))),"")</f>
        <v/>
      </c>
      <c r="U183" s="812" t="str">
        <f>IFERROR(IF(B183="","",IF($P$3=$AT$8,"",IF($P$3=$AT$9,"",IF($P$3=$AT$10,'Statement of Marks'!AV182,IF($P$3=$AT$11,'Statement of Marks'!BS182,IF($P$3=$AT$12,'Statement of Marks'!CP182,IF($P$3=$AT$13,'Statement of Marks'!DN182,IF($P$3=$AT$14,"",IF($P$3=$AT$15,"",""))))))))),"")</f>
        <v/>
      </c>
      <c r="V183" s="824" t="str">
        <f>IFERROR(IF(B183="","",IF(AND(T183="",U183="",$P$3=""),"",IF($P$3=$AT$14,'Statement of Marks'!EE182,SUM(T183,U183)))),"")</f>
        <v/>
      </c>
      <c r="W183" s="814" t="str">
        <f t="shared" si="33"/>
        <v/>
      </c>
      <c r="X183" s="815">
        <f t="shared" si="34"/>
        <v>0</v>
      </c>
      <c r="Y183" s="815">
        <f t="shared" si="35"/>
        <v>0</v>
      </c>
      <c r="Z183" s="815">
        <f t="shared" si="36"/>
        <v>0</v>
      </c>
      <c r="AA183" s="815" t="str">
        <f t="shared" si="37"/>
        <v/>
      </c>
      <c r="AB183" s="815" t="str">
        <f t="shared" si="38"/>
        <v/>
      </c>
      <c r="AC183" s="815" t="str">
        <f t="shared" si="39"/>
        <v/>
      </c>
      <c r="AD183" s="815" t="str">
        <f t="shared" si="40"/>
        <v/>
      </c>
      <c r="AE183" s="816" t="str">
        <f t="shared" si="41"/>
        <v/>
      </c>
      <c r="AF183" s="817" t="str">
        <f t="shared" si="42"/>
        <v/>
      </c>
      <c r="AG183" s="818" t="str">
        <f t="shared" si="43"/>
        <v/>
      </c>
      <c r="AW183" s="17" t="str">
        <f t="shared" si="44"/>
        <v/>
      </c>
      <c r="AX183" s="17" t="str">
        <f t="shared" si="45"/>
        <v/>
      </c>
      <c r="BM183" s="17" t="str">
        <f>IFERROR(VLOOKUP(B183,'Statement of Marks'!$B$8:'Statement of Marks'!$HI$207,37,0),"")</f>
        <v>A</v>
      </c>
      <c r="BN183" s="17" t="str">
        <f>IFERROR(VLOOKUP(B183,'Statement of Marks'!$B$8:'Statement of Marks'!$HI$207,60,0),"")</f>
        <v>A</v>
      </c>
      <c r="BO183" s="17" t="str">
        <f>IFERROR(VLOOKUP(B183,'Statement of Marks'!$B$8:'Statement of Marks'!$HI$207,83,0),"")</f>
        <v>A</v>
      </c>
      <c r="BP183" s="17" t="str">
        <f>IFERROR(VLOOKUP(B183,'Statement of Marks'!$B$8:'Statement of Marks'!$HI$207,107,0),"")</f>
        <v/>
      </c>
    </row>
    <row r="184" spans="1:68">
      <c r="A184" s="806">
        <f>IF('Statement of Marks'!A183="","",'Statement of Marks'!A183)</f>
        <v>176</v>
      </c>
      <c r="B184" s="807" t="str">
        <f>IF(OR($E$3="",$P$3=""),"",IF('Statement of Marks'!B183="","",'Statement of Marks'!B183))</f>
        <v/>
      </c>
      <c r="C184" s="816" t="str">
        <f>IF(OR($E$3="",$P$3=""),"",IF('Marks Entry'!C183="","",'Marks Entry'!C183))</f>
        <v/>
      </c>
      <c r="D184" s="808" t="str">
        <f>IF(OR($E$3="",$P$3=""),"",IF('Statement of Marks'!C183="","",'Statement of Marks'!C183))</f>
        <v/>
      </c>
      <c r="E184" s="809" t="str">
        <f>IF(OR($E$3="",$P$3=""),"",IF('Statement of Marks'!D183="","",'Statement of Marks'!D183))</f>
        <v/>
      </c>
      <c r="F184" s="810" t="str">
        <f>IF(OR($E$3="",$P$3=""),"",IF('Statement of Marks'!E183="","",'Statement of Marks'!E183))</f>
        <v/>
      </c>
      <c r="G184" s="810" t="str">
        <f>IF(OR($E$3="",$P$3=""),"",IF('Statement of Marks'!F183="","",'Statement of Marks'!F183))</f>
        <v/>
      </c>
      <c r="H184" s="810" t="str">
        <f>IF(OR($E$3="",$P$3=""),"",IF('Statement of Marks'!G183="","",'Statement of Marks'!G183))</f>
        <v/>
      </c>
      <c r="I184" s="811" t="str">
        <f>IF(OR($E$3="",$P$3=""),"",IF('Statement of Marks'!H183="","",'Statement of Marks'!H183))</f>
        <v/>
      </c>
      <c r="J184" s="811" t="str">
        <f>IF(OR($E$3="",$P$3=""),"",IF('Statement of Marks'!I183="","",'Statement of Marks'!I183))</f>
        <v/>
      </c>
      <c r="K184" s="811" t="str">
        <f>IFERROR(IF(B184="","",IF($P$3=$AT$10,IF(AND(BM184="A"),'Marks Entry'!$U$2,IF(AND(BM184="B"),'Marks Entry'!$Y$2,IF(AND(BM184="C"),'Marks Entry'!$AA$2,""))),IF($P$3=$AT$11,IF(AND(BN184="A"),'Marks Entry'!$AC$2,IF(AND(BN184="B"),'Marks Entry'!$AG$2,IF(AND(BN184="C"),'Marks Entry'!$AI$2,""))),IF($P$3=$AT$12,IF(AND(BO184="A"),'Marks Entry'!$AK$2,IF(AND(BO184="B"),'Marks Entry'!$AO$2,IF(AND(BO184="C"),'Marks Entry'!$AQ$2,""))),IF($P$3=$AT$13,IF(AND(BP184="A"),'Marks Entry'!$AS$2,IF(AND(BP184="B"),'Marks Entry'!$AW$2,IF(AND(BP184="C"),'Marks Entry'!$AY$2,""))),"-"))))),"")</f>
        <v/>
      </c>
      <c r="L184" s="812" t="str">
        <f>IFERROR(IF(B184="","",IF($P$3=$AT$8,'Statement of Marks'!J183,IF($P$3=$AT$9,'Statement of Marks'!X183,IF($P$3=$AT$10,'Statement of Marks'!AM183,IF($P$3=$AT$11,'Statement of Marks'!BJ183,IF($P$3=$AT$12,'Statement of Marks'!CG183,IF($P$3=$AT$13,'Statement of Marks'!DE183,IF($P$3=$AT$14,"",IF($P$3=$AT$15,'Statement of Marks'!EY183,""))))))))),"")</f>
        <v/>
      </c>
      <c r="M184" s="812" t="str">
        <f>IFERROR(IF(B184="","",IF($P$3=$AT$8,'Statement of Marks'!K183,IF($P$3=$AT$9,'Statement of Marks'!Y183,IF($P$3=$AT$10,'Statement of Marks'!AN183,IF($P$3=$AT$11,'Statement of Marks'!BK183,IF($P$3=$AT$12,'Statement of Marks'!CH183,IF($P$3=$AT$13,'Statement of Marks'!DF183,IF($P$3=$AT$14,"",IF($P$3=$AT$15,'Statement of Marks'!EZ183,""))))))))),"")</f>
        <v/>
      </c>
      <c r="N184" s="812" t="str">
        <f>IFERROR(IF(B184="","",IF($P$3=$AT$8,'Statement of Marks'!L183,IF($P$3=$AT$9,'Statement of Marks'!Z183,IF($P$3=$AT$10,'Statement of Marks'!AO183,IF($P$3=$AT$11,'Statement of Marks'!BL183,IF($P$3=$AT$12,'Statement of Marks'!CI183,IF($P$3=$AT$13,'Statement of Marks'!DG183,IF($P$3=$AT$14,"",IF($P$3=$AT$15,'Statement of Marks'!FA183,""))))))))),"")</f>
        <v/>
      </c>
      <c r="O184" s="813" t="str">
        <f t="shared" si="32"/>
        <v/>
      </c>
      <c r="P184" s="812" t="str">
        <f>IFERROR(IF(B184="","",IF($P$3=$AT$8,'Statement of Marks'!N183,IF($P$3=$AT$9,'Statement of Marks'!AB183,IF($P$3=$AT$10,'Statement of Marks'!AQ183,IF($P$3=$AT$11,'Statement of Marks'!BN183,IF($P$3=$AT$12,'Statement of Marks'!CK183,IF($P$3=$AT$13,'Statement of Marks'!DI183,IF($P$3=$AT$14,"",IF($P$3=$AT$15,'Statement of Marks'!FC183,""))))))))),"")</f>
        <v/>
      </c>
      <c r="Q184" s="812" t="str">
        <f>IFERROR(IF(B184="","",IF($P$3=$AT$8,"",IF($P$3=$AT$9,"",IF($P$3=$AT$10,'Statement of Marks'!AR183,IF($P$3=$AT$11,'Statement of Marks'!BO183,IF($P$3=$AT$12,'Statement of Marks'!CL183,IF($P$3=$AT$13,'Statement of Marks'!DJ183,IF($P$3=$AT$14,"",IF($P$3=$AT$15,"",""))))))))),"")</f>
        <v/>
      </c>
      <c r="R184" s="824" t="str">
        <f>IFERROR(IF(B184="","",IF(AND(P184="",Q184="",$P$3=""),"",IF($P$3=$AT$14,'Statement of Marks'!EC183,SUM(P184,Q184)))),"")</f>
        <v/>
      </c>
      <c r="S184" s="823" t="str">
        <f>IFERROR(IF(B184="","",IF($P$3=$AT$14,'Statement of Marks'!ED183,IF(AND(O184="NA",P184="NA",Q184="NA"),"NA",IF(AND(O184="",P184="",Q184=""),"",SUM(O184,P184,Q184))))),"")</f>
        <v/>
      </c>
      <c r="T184" s="812" t="str">
        <f>IFERROR(IF(B184="","",IF($P$3=$AT$8,'Statement of Marks'!P183,IF($P$3=$AT$9,'Statement of Marks'!AD183,IF($P$3=$AT$10,'Statement of Marks'!AU183,IF($P$3=$AT$11,'Statement of Marks'!BR183,IF($P$3=$AT$12,'Statement of Marks'!CO183,IF($P$3=$AT$13,'Statement of Marks'!DM183,IF($P$3=$AT$14,"",IF($P$3=$AT$15,'Statement of Marks'!FD183,""))))))))),"")</f>
        <v/>
      </c>
      <c r="U184" s="812" t="str">
        <f>IFERROR(IF(B184="","",IF($P$3=$AT$8,"",IF($P$3=$AT$9,"",IF($P$3=$AT$10,'Statement of Marks'!AV183,IF($P$3=$AT$11,'Statement of Marks'!BS183,IF($P$3=$AT$12,'Statement of Marks'!CP183,IF($P$3=$AT$13,'Statement of Marks'!DN183,IF($P$3=$AT$14,"",IF($P$3=$AT$15,"",""))))))))),"")</f>
        <v/>
      </c>
      <c r="V184" s="824" t="str">
        <f>IFERROR(IF(B184="","",IF(AND(T184="",U184="",$P$3=""),"",IF($P$3=$AT$14,'Statement of Marks'!EE183,SUM(T184,U184)))),"")</f>
        <v/>
      </c>
      <c r="W184" s="814" t="str">
        <f t="shared" si="33"/>
        <v/>
      </c>
      <c r="X184" s="815">
        <f t="shared" si="34"/>
        <v>0</v>
      </c>
      <c r="Y184" s="815">
        <f t="shared" si="35"/>
        <v>0</v>
      </c>
      <c r="Z184" s="815">
        <f t="shared" si="36"/>
        <v>0</v>
      </c>
      <c r="AA184" s="815" t="str">
        <f t="shared" si="37"/>
        <v/>
      </c>
      <c r="AB184" s="815" t="str">
        <f t="shared" si="38"/>
        <v/>
      </c>
      <c r="AC184" s="815" t="str">
        <f t="shared" si="39"/>
        <v/>
      </c>
      <c r="AD184" s="815" t="str">
        <f t="shared" si="40"/>
        <v/>
      </c>
      <c r="AE184" s="816" t="str">
        <f t="shared" si="41"/>
        <v/>
      </c>
      <c r="AF184" s="817" t="str">
        <f t="shared" si="42"/>
        <v/>
      </c>
      <c r="AG184" s="818" t="str">
        <f t="shared" si="43"/>
        <v/>
      </c>
      <c r="AW184" s="17" t="str">
        <f t="shared" si="44"/>
        <v/>
      </c>
      <c r="AX184" s="17" t="str">
        <f t="shared" si="45"/>
        <v/>
      </c>
      <c r="BM184" s="17" t="str">
        <f>IFERROR(VLOOKUP(B184,'Statement of Marks'!$B$8:'Statement of Marks'!$HI$207,37,0),"")</f>
        <v>A</v>
      </c>
      <c r="BN184" s="17" t="str">
        <f>IFERROR(VLOOKUP(B184,'Statement of Marks'!$B$8:'Statement of Marks'!$HI$207,60,0),"")</f>
        <v>A</v>
      </c>
      <c r="BO184" s="17" t="str">
        <f>IFERROR(VLOOKUP(B184,'Statement of Marks'!$B$8:'Statement of Marks'!$HI$207,83,0),"")</f>
        <v>A</v>
      </c>
      <c r="BP184" s="17" t="str">
        <f>IFERROR(VLOOKUP(B184,'Statement of Marks'!$B$8:'Statement of Marks'!$HI$207,107,0),"")</f>
        <v/>
      </c>
    </row>
    <row r="185" spans="1:68">
      <c r="A185" s="806">
        <f>IF('Statement of Marks'!A184="","",'Statement of Marks'!A184)</f>
        <v>177</v>
      </c>
      <c r="B185" s="807" t="str">
        <f>IF(OR($E$3="",$P$3=""),"",IF('Statement of Marks'!B184="","",'Statement of Marks'!B184))</f>
        <v/>
      </c>
      <c r="C185" s="816" t="str">
        <f>IF(OR($E$3="",$P$3=""),"",IF('Marks Entry'!C184="","",'Marks Entry'!C184))</f>
        <v/>
      </c>
      <c r="D185" s="808" t="str">
        <f>IF(OR($E$3="",$P$3=""),"",IF('Statement of Marks'!C184="","",'Statement of Marks'!C184))</f>
        <v/>
      </c>
      <c r="E185" s="809" t="str">
        <f>IF(OR($E$3="",$P$3=""),"",IF('Statement of Marks'!D184="","",'Statement of Marks'!D184))</f>
        <v/>
      </c>
      <c r="F185" s="810" t="str">
        <f>IF(OR($E$3="",$P$3=""),"",IF('Statement of Marks'!E184="","",'Statement of Marks'!E184))</f>
        <v/>
      </c>
      <c r="G185" s="810" t="str">
        <f>IF(OR($E$3="",$P$3=""),"",IF('Statement of Marks'!F184="","",'Statement of Marks'!F184))</f>
        <v/>
      </c>
      <c r="H185" s="810" t="str">
        <f>IF(OR($E$3="",$P$3=""),"",IF('Statement of Marks'!G184="","",'Statement of Marks'!G184))</f>
        <v/>
      </c>
      <c r="I185" s="811" t="str">
        <f>IF(OR($E$3="",$P$3=""),"",IF('Statement of Marks'!H184="","",'Statement of Marks'!H184))</f>
        <v/>
      </c>
      <c r="J185" s="811" t="str">
        <f>IF(OR($E$3="",$P$3=""),"",IF('Statement of Marks'!I184="","",'Statement of Marks'!I184))</f>
        <v/>
      </c>
      <c r="K185" s="811" t="str">
        <f>IFERROR(IF(B185="","",IF($P$3=$AT$10,IF(AND(BM185="A"),'Marks Entry'!$U$2,IF(AND(BM185="B"),'Marks Entry'!$Y$2,IF(AND(BM185="C"),'Marks Entry'!$AA$2,""))),IF($P$3=$AT$11,IF(AND(BN185="A"),'Marks Entry'!$AC$2,IF(AND(BN185="B"),'Marks Entry'!$AG$2,IF(AND(BN185="C"),'Marks Entry'!$AI$2,""))),IF($P$3=$AT$12,IF(AND(BO185="A"),'Marks Entry'!$AK$2,IF(AND(BO185="B"),'Marks Entry'!$AO$2,IF(AND(BO185="C"),'Marks Entry'!$AQ$2,""))),IF($P$3=$AT$13,IF(AND(BP185="A"),'Marks Entry'!$AS$2,IF(AND(BP185="B"),'Marks Entry'!$AW$2,IF(AND(BP185="C"),'Marks Entry'!$AY$2,""))),"-"))))),"")</f>
        <v/>
      </c>
      <c r="L185" s="812" t="str">
        <f>IFERROR(IF(B185="","",IF($P$3=$AT$8,'Statement of Marks'!J184,IF($P$3=$AT$9,'Statement of Marks'!X184,IF($P$3=$AT$10,'Statement of Marks'!AM184,IF($P$3=$AT$11,'Statement of Marks'!BJ184,IF($P$3=$AT$12,'Statement of Marks'!CG184,IF($P$3=$AT$13,'Statement of Marks'!DE184,IF($P$3=$AT$14,"",IF($P$3=$AT$15,'Statement of Marks'!EY184,""))))))))),"")</f>
        <v/>
      </c>
      <c r="M185" s="812" t="str">
        <f>IFERROR(IF(B185="","",IF($P$3=$AT$8,'Statement of Marks'!K184,IF($P$3=$AT$9,'Statement of Marks'!Y184,IF($P$3=$AT$10,'Statement of Marks'!AN184,IF($P$3=$AT$11,'Statement of Marks'!BK184,IF($P$3=$AT$12,'Statement of Marks'!CH184,IF($P$3=$AT$13,'Statement of Marks'!DF184,IF($P$3=$AT$14,"",IF($P$3=$AT$15,'Statement of Marks'!EZ184,""))))))))),"")</f>
        <v/>
      </c>
      <c r="N185" s="812" t="str">
        <f>IFERROR(IF(B185="","",IF($P$3=$AT$8,'Statement of Marks'!L184,IF($P$3=$AT$9,'Statement of Marks'!Z184,IF($P$3=$AT$10,'Statement of Marks'!AO184,IF($P$3=$AT$11,'Statement of Marks'!BL184,IF($P$3=$AT$12,'Statement of Marks'!CI184,IF($P$3=$AT$13,'Statement of Marks'!DG184,IF($P$3=$AT$14,"",IF($P$3=$AT$15,'Statement of Marks'!FA184,""))))))))),"")</f>
        <v/>
      </c>
      <c r="O185" s="813" t="str">
        <f t="shared" si="32"/>
        <v/>
      </c>
      <c r="P185" s="812" t="str">
        <f>IFERROR(IF(B185="","",IF($P$3=$AT$8,'Statement of Marks'!N184,IF($P$3=$AT$9,'Statement of Marks'!AB184,IF($P$3=$AT$10,'Statement of Marks'!AQ184,IF($P$3=$AT$11,'Statement of Marks'!BN184,IF($P$3=$AT$12,'Statement of Marks'!CK184,IF($P$3=$AT$13,'Statement of Marks'!DI184,IF($P$3=$AT$14,"",IF($P$3=$AT$15,'Statement of Marks'!FC184,""))))))))),"")</f>
        <v/>
      </c>
      <c r="Q185" s="812" t="str">
        <f>IFERROR(IF(B185="","",IF($P$3=$AT$8,"",IF($P$3=$AT$9,"",IF($P$3=$AT$10,'Statement of Marks'!AR184,IF($P$3=$AT$11,'Statement of Marks'!BO184,IF($P$3=$AT$12,'Statement of Marks'!CL184,IF($P$3=$AT$13,'Statement of Marks'!DJ184,IF($P$3=$AT$14,"",IF($P$3=$AT$15,"",""))))))))),"")</f>
        <v/>
      </c>
      <c r="R185" s="824" t="str">
        <f>IFERROR(IF(B185="","",IF(AND(P185="",Q185="",$P$3=""),"",IF($P$3=$AT$14,'Statement of Marks'!EC184,SUM(P185,Q185)))),"")</f>
        <v/>
      </c>
      <c r="S185" s="823" t="str">
        <f>IFERROR(IF(B185="","",IF($P$3=$AT$14,'Statement of Marks'!ED184,IF(AND(O185="NA",P185="NA",Q185="NA"),"NA",IF(AND(O185="",P185="",Q185=""),"",SUM(O185,P185,Q185))))),"")</f>
        <v/>
      </c>
      <c r="T185" s="812" t="str">
        <f>IFERROR(IF(B185="","",IF($P$3=$AT$8,'Statement of Marks'!P184,IF($P$3=$AT$9,'Statement of Marks'!AD184,IF($P$3=$AT$10,'Statement of Marks'!AU184,IF($P$3=$AT$11,'Statement of Marks'!BR184,IF($P$3=$AT$12,'Statement of Marks'!CO184,IF($P$3=$AT$13,'Statement of Marks'!DM184,IF($P$3=$AT$14,"",IF($P$3=$AT$15,'Statement of Marks'!FD184,""))))))))),"")</f>
        <v/>
      </c>
      <c r="U185" s="812" t="str">
        <f>IFERROR(IF(B185="","",IF($P$3=$AT$8,"",IF($P$3=$AT$9,"",IF($P$3=$AT$10,'Statement of Marks'!AV184,IF($P$3=$AT$11,'Statement of Marks'!BS184,IF($P$3=$AT$12,'Statement of Marks'!CP184,IF($P$3=$AT$13,'Statement of Marks'!DN184,IF($P$3=$AT$14,"",IF($P$3=$AT$15,"",""))))))))),"")</f>
        <v/>
      </c>
      <c r="V185" s="824" t="str">
        <f>IFERROR(IF(B185="","",IF(AND(T185="",U185="",$P$3=""),"",IF($P$3=$AT$14,'Statement of Marks'!EE184,SUM(T185,U185)))),"")</f>
        <v/>
      </c>
      <c r="W185" s="814" t="str">
        <f t="shared" si="33"/>
        <v/>
      </c>
      <c r="X185" s="815">
        <f t="shared" si="34"/>
        <v>0</v>
      </c>
      <c r="Y185" s="815">
        <f t="shared" si="35"/>
        <v>0</v>
      </c>
      <c r="Z185" s="815">
        <f t="shared" si="36"/>
        <v>0</v>
      </c>
      <c r="AA185" s="815" t="str">
        <f t="shared" si="37"/>
        <v/>
      </c>
      <c r="AB185" s="815" t="str">
        <f t="shared" si="38"/>
        <v/>
      </c>
      <c r="AC185" s="815" t="str">
        <f t="shared" si="39"/>
        <v/>
      </c>
      <c r="AD185" s="815" t="str">
        <f t="shared" si="40"/>
        <v/>
      </c>
      <c r="AE185" s="816" t="str">
        <f t="shared" si="41"/>
        <v/>
      </c>
      <c r="AF185" s="817" t="str">
        <f t="shared" si="42"/>
        <v/>
      </c>
      <c r="AG185" s="818" t="str">
        <f t="shared" si="43"/>
        <v/>
      </c>
      <c r="AW185" s="17" t="str">
        <f t="shared" si="44"/>
        <v/>
      </c>
      <c r="AX185" s="17" t="str">
        <f t="shared" si="45"/>
        <v/>
      </c>
      <c r="BM185" s="17" t="str">
        <f>IFERROR(VLOOKUP(B185,'Statement of Marks'!$B$8:'Statement of Marks'!$HI$207,37,0),"")</f>
        <v>A</v>
      </c>
      <c r="BN185" s="17" t="str">
        <f>IFERROR(VLOOKUP(B185,'Statement of Marks'!$B$8:'Statement of Marks'!$HI$207,60,0),"")</f>
        <v>A</v>
      </c>
      <c r="BO185" s="17" t="str">
        <f>IFERROR(VLOOKUP(B185,'Statement of Marks'!$B$8:'Statement of Marks'!$HI$207,83,0),"")</f>
        <v>A</v>
      </c>
      <c r="BP185" s="17" t="str">
        <f>IFERROR(VLOOKUP(B185,'Statement of Marks'!$B$8:'Statement of Marks'!$HI$207,107,0),"")</f>
        <v/>
      </c>
    </row>
    <row r="186" spans="1:68">
      <c r="A186" s="806">
        <f>IF('Statement of Marks'!A185="","",'Statement of Marks'!A185)</f>
        <v>178</v>
      </c>
      <c r="B186" s="807" t="str">
        <f>IF(OR($E$3="",$P$3=""),"",IF('Statement of Marks'!B185="","",'Statement of Marks'!B185))</f>
        <v/>
      </c>
      <c r="C186" s="816" t="str">
        <f>IF(OR($E$3="",$P$3=""),"",IF('Marks Entry'!C185="","",'Marks Entry'!C185))</f>
        <v/>
      </c>
      <c r="D186" s="808" t="str">
        <f>IF(OR($E$3="",$P$3=""),"",IF('Statement of Marks'!C185="","",'Statement of Marks'!C185))</f>
        <v/>
      </c>
      <c r="E186" s="809" t="str">
        <f>IF(OR($E$3="",$P$3=""),"",IF('Statement of Marks'!D185="","",'Statement of Marks'!D185))</f>
        <v/>
      </c>
      <c r="F186" s="810" t="str">
        <f>IF(OR($E$3="",$P$3=""),"",IF('Statement of Marks'!E185="","",'Statement of Marks'!E185))</f>
        <v/>
      </c>
      <c r="G186" s="810" t="str">
        <f>IF(OR($E$3="",$P$3=""),"",IF('Statement of Marks'!F185="","",'Statement of Marks'!F185))</f>
        <v/>
      </c>
      <c r="H186" s="810" t="str">
        <f>IF(OR($E$3="",$P$3=""),"",IF('Statement of Marks'!G185="","",'Statement of Marks'!G185))</f>
        <v/>
      </c>
      <c r="I186" s="811" t="str">
        <f>IF(OR($E$3="",$P$3=""),"",IF('Statement of Marks'!H185="","",'Statement of Marks'!H185))</f>
        <v/>
      </c>
      <c r="J186" s="811" t="str">
        <f>IF(OR($E$3="",$P$3=""),"",IF('Statement of Marks'!I185="","",'Statement of Marks'!I185))</f>
        <v/>
      </c>
      <c r="K186" s="811" t="str">
        <f>IFERROR(IF(B186="","",IF($P$3=$AT$10,IF(AND(BM186="A"),'Marks Entry'!$U$2,IF(AND(BM186="B"),'Marks Entry'!$Y$2,IF(AND(BM186="C"),'Marks Entry'!$AA$2,""))),IF($P$3=$AT$11,IF(AND(BN186="A"),'Marks Entry'!$AC$2,IF(AND(BN186="B"),'Marks Entry'!$AG$2,IF(AND(BN186="C"),'Marks Entry'!$AI$2,""))),IF($P$3=$AT$12,IF(AND(BO186="A"),'Marks Entry'!$AK$2,IF(AND(BO186="B"),'Marks Entry'!$AO$2,IF(AND(BO186="C"),'Marks Entry'!$AQ$2,""))),IF($P$3=$AT$13,IF(AND(BP186="A"),'Marks Entry'!$AS$2,IF(AND(BP186="B"),'Marks Entry'!$AW$2,IF(AND(BP186="C"),'Marks Entry'!$AY$2,""))),"-"))))),"")</f>
        <v/>
      </c>
      <c r="L186" s="812" t="str">
        <f>IFERROR(IF(B186="","",IF($P$3=$AT$8,'Statement of Marks'!J185,IF($P$3=$AT$9,'Statement of Marks'!X185,IF($P$3=$AT$10,'Statement of Marks'!AM185,IF($P$3=$AT$11,'Statement of Marks'!BJ185,IF($P$3=$AT$12,'Statement of Marks'!CG185,IF($P$3=$AT$13,'Statement of Marks'!DE185,IF($P$3=$AT$14,"",IF($P$3=$AT$15,'Statement of Marks'!EY185,""))))))))),"")</f>
        <v/>
      </c>
      <c r="M186" s="812" t="str">
        <f>IFERROR(IF(B186="","",IF($P$3=$AT$8,'Statement of Marks'!K185,IF($P$3=$AT$9,'Statement of Marks'!Y185,IF($P$3=$AT$10,'Statement of Marks'!AN185,IF($P$3=$AT$11,'Statement of Marks'!BK185,IF($P$3=$AT$12,'Statement of Marks'!CH185,IF($P$3=$AT$13,'Statement of Marks'!DF185,IF($P$3=$AT$14,"",IF($P$3=$AT$15,'Statement of Marks'!EZ185,""))))))))),"")</f>
        <v/>
      </c>
      <c r="N186" s="812" t="str">
        <f>IFERROR(IF(B186="","",IF($P$3=$AT$8,'Statement of Marks'!L185,IF($P$3=$AT$9,'Statement of Marks'!Z185,IF($P$3=$AT$10,'Statement of Marks'!AO185,IF($P$3=$AT$11,'Statement of Marks'!BL185,IF($P$3=$AT$12,'Statement of Marks'!CI185,IF($P$3=$AT$13,'Statement of Marks'!DG185,IF($P$3=$AT$14,"",IF($P$3=$AT$15,'Statement of Marks'!FA185,""))))))))),"")</f>
        <v/>
      </c>
      <c r="O186" s="813" t="str">
        <f t="shared" si="32"/>
        <v/>
      </c>
      <c r="P186" s="812" t="str">
        <f>IFERROR(IF(B186="","",IF($P$3=$AT$8,'Statement of Marks'!N185,IF($P$3=$AT$9,'Statement of Marks'!AB185,IF($P$3=$AT$10,'Statement of Marks'!AQ185,IF($P$3=$AT$11,'Statement of Marks'!BN185,IF($P$3=$AT$12,'Statement of Marks'!CK185,IF($P$3=$AT$13,'Statement of Marks'!DI185,IF($P$3=$AT$14,"",IF($P$3=$AT$15,'Statement of Marks'!FC185,""))))))))),"")</f>
        <v/>
      </c>
      <c r="Q186" s="812" t="str">
        <f>IFERROR(IF(B186="","",IF($P$3=$AT$8,"",IF($P$3=$AT$9,"",IF($P$3=$AT$10,'Statement of Marks'!AR185,IF($P$3=$AT$11,'Statement of Marks'!BO185,IF($P$3=$AT$12,'Statement of Marks'!CL185,IF($P$3=$AT$13,'Statement of Marks'!DJ185,IF($P$3=$AT$14,"",IF($P$3=$AT$15,"",""))))))))),"")</f>
        <v/>
      </c>
      <c r="R186" s="824" t="str">
        <f>IFERROR(IF(B186="","",IF(AND(P186="",Q186="",$P$3=""),"",IF($P$3=$AT$14,'Statement of Marks'!EC185,SUM(P186,Q186)))),"")</f>
        <v/>
      </c>
      <c r="S186" s="823" t="str">
        <f>IFERROR(IF(B186="","",IF($P$3=$AT$14,'Statement of Marks'!ED185,IF(AND(O186="NA",P186="NA",Q186="NA"),"NA",IF(AND(O186="",P186="",Q186=""),"",SUM(O186,P186,Q186))))),"")</f>
        <v/>
      </c>
      <c r="T186" s="812" t="str">
        <f>IFERROR(IF(B186="","",IF($P$3=$AT$8,'Statement of Marks'!P185,IF($P$3=$AT$9,'Statement of Marks'!AD185,IF($P$3=$AT$10,'Statement of Marks'!AU185,IF($P$3=$AT$11,'Statement of Marks'!BR185,IF($P$3=$AT$12,'Statement of Marks'!CO185,IF($P$3=$AT$13,'Statement of Marks'!DM185,IF($P$3=$AT$14,"",IF($P$3=$AT$15,'Statement of Marks'!FD185,""))))))))),"")</f>
        <v/>
      </c>
      <c r="U186" s="812" t="str">
        <f>IFERROR(IF(B186="","",IF($P$3=$AT$8,"",IF($P$3=$AT$9,"",IF($P$3=$AT$10,'Statement of Marks'!AV185,IF($P$3=$AT$11,'Statement of Marks'!BS185,IF($P$3=$AT$12,'Statement of Marks'!CP185,IF($P$3=$AT$13,'Statement of Marks'!DN185,IF($P$3=$AT$14,"",IF($P$3=$AT$15,"",""))))))))),"")</f>
        <v/>
      </c>
      <c r="V186" s="824" t="str">
        <f>IFERROR(IF(B186="","",IF(AND(T186="",U186="",$P$3=""),"",IF($P$3=$AT$14,'Statement of Marks'!EE185,SUM(T186,U186)))),"")</f>
        <v/>
      </c>
      <c r="W186" s="814" t="str">
        <f t="shared" si="33"/>
        <v/>
      </c>
      <c r="X186" s="815">
        <f t="shared" si="34"/>
        <v>0</v>
      </c>
      <c r="Y186" s="815">
        <f t="shared" si="35"/>
        <v>0</v>
      </c>
      <c r="Z186" s="815">
        <f t="shared" si="36"/>
        <v>0</v>
      </c>
      <c r="AA186" s="815" t="str">
        <f t="shared" si="37"/>
        <v/>
      </c>
      <c r="AB186" s="815" t="str">
        <f t="shared" si="38"/>
        <v/>
      </c>
      <c r="AC186" s="815" t="str">
        <f t="shared" si="39"/>
        <v/>
      </c>
      <c r="AD186" s="815" t="str">
        <f t="shared" si="40"/>
        <v/>
      </c>
      <c r="AE186" s="816" t="str">
        <f t="shared" si="41"/>
        <v/>
      </c>
      <c r="AF186" s="817" t="str">
        <f t="shared" si="42"/>
        <v/>
      </c>
      <c r="AG186" s="818" t="str">
        <f t="shared" si="43"/>
        <v/>
      </c>
      <c r="AW186" s="17" t="str">
        <f t="shared" si="44"/>
        <v/>
      </c>
      <c r="AX186" s="17" t="str">
        <f t="shared" si="45"/>
        <v/>
      </c>
      <c r="BM186" s="17" t="str">
        <f>IFERROR(VLOOKUP(B186,'Statement of Marks'!$B$8:'Statement of Marks'!$HI$207,37,0),"")</f>
        <v>A</v>
      </c>
      <c r="BN186" s="17" t="str">
        <f>IFERROR(VLOOKUP(B186,'Statement of Marks'!$B$8:'Statement of Marks'!$HI$207,60,0),"")</f>
        <v>A</v>
      </c>
      <c r="BO186" s="17" t="str">
        <f>IFERROR(VLOOKUP(B186,'Statement of Marks'!$B$8:'Statement of Marks'!$HI$207,83,0),"")</f>
        <v>A</v>
      </c>
      <c r="BP186" s="17" t="str">
        <f>IFERROR(VLOOKUP(B186,'Statement of Marks'!$B$8:'Statement of Marks'!$HI$207,107,0),"")</f>
        <v/>
      </c>
    </row>
    <row r="187" spans="1:68">
      <c r="A187" s="806">
        <f>IF('Statement of Marks'!A186="","",'Statement of Marks'!A186)</f>
        <v>179</v>
      </c>
      <c r="B187" s="807" t="str">
        <f>IF(OR($E$3="",$P$3=""),"",IF('Statement of Marks'!B186="","",'Statement of Marks'!B186))</f>
        <v/>
      </c>
      <c r="C187" s="816" t="str">
        <f>IF(OR($E$3="",$P$3=""),"",IF('Marks Entry'!C186="","",'Marks Entry'!C186))</f>
        <v/>
      </c>
      <c r="D187" s="808" t="str">
        <f>IF(OR($E$3="",$P$3=""),"",IF('Statement of Marks'!C186="","",'Statement of Marks'!C186))</f>
        <v/>
      </c>
      <c r="E187" s="809" t="str">
        <f>IF(OR($E$3="",$P$3=""),"",IF('Statement of Marks'!D186="","",'Statement of Marks'!D186))</f>
        <v/>
      </c>
      <c r="F187" s="810" t="str">
        <f>IF(OR($E$3="",$P$3=""),"",IF('Statement of Marks'!E186="","",'Statement of Marks'!E186))</f>
        <v/>
      </c>
      <c r="G187" s="810" t="str">
        <f>IF(OR($E$3="",$P$3=""),"",IF('Statement of Marks'!F186="","",'Statement of Marks'!F186))</f>
        <v/>
      </c>
      <c r="H187" s="810" t="str">
        <f>IF(OR($E$3="",$P$3=""),"",IF('Statement of Marks'!G186="","",'Statement of Marks'!G186))</f>
        <v/>
      </c>
      <c r="I187" s="811" t="str">
        <f>IF(OR($E$3="",$P$3=""),"",IF('Statement of Marks'!H186="","",'Statement of Marks'!H186))</f>
        <v/>
      </c>
      <c r="J187" s="811" t="str">
        <f>IF(OR($E$3="",$P$3=""),"",IF('Statement of Marks'!I186="","",'Statement of Marks'!I186))</f>
        <v/>
      </c>
      <c r="K187" s="811" t="str">
        <f>IFERROR(IF(B187="","",IF($P$3=$AT$10,IF(AND(BM187="A"),'Marks Entry'!$U$2,IF(AND(BM187="B"),'Marks Entry'!$Y$2,IF(AND(BM187="C"),'Marks Entry'!$AA$2,""))),IF($P$3=$AT$11,IF(AND(BN187="A"),'Marks Entry'!$AC$2,IF(AND(BN187="B"),'Marks Entry'!$AG$2,IF(AND(BN187="C"),'Marks Entry'!$AI$2,""))),IF($P$3=$AT$12,IF(AND(BO187="A"),'Marks Entry'!$AK$2,IF(AND(BO187="B"),'Marks Entry'!$AO$2,IF(AND(BO187="C"),'Marks Entry'!$AQ$2,""))),IF($P$3=$AT$13,IF(AND(BP187="A"),'Marks Entry'!$AS$2,IF(AND(BP187="B"),'Marks Entry'!$AW$2,IF(AND(BP187="C"),'Marks Entry'!$AY$2,""))),"-"))))),"")</f>
        <v/>
      </c>
      <c r="L187" s="812" t="str">
        <f>IFERROR(IF(B187="","",IF($P$3=$AT$8,'Statement of Marks'!J186,IF($P$3=$AT$9,'Statement of Marks'!X186,IF($P$3=$AT$10,'Statement of Marks'!AM186,IF($P$3=$AT$11,'Statement of Marks'!BJ186,IF($P$3=$AT$12,'Statement of Marks'!CG186,IF($P$3=$AT$13,'Statement of Marks'!DE186,IF($P$3=$AT$14,"",IF($P$3=$AT$15,'Statement of Marks'!EY186,""))))))))),"")</f>
        <v/>
      </c>
      <c r="M187" s="812" t="str">
        <f>IFERROR(IF(B187="","",IF($P$3=$AT$8,'Statement of Marks'!K186,IF($P$3=$AT$9,'Statement of Marks'!Y186,IF($P$3=$AT$10,'Statement of Marks'!AN186,IF($P$3=$AT$11,'Statement of Marks'!BK186,IF($P$3=$AT$12,'Statement of Marks'!CH186,IF($P$3=$AT$13,'Statement of Marks'!DF186,IF($P$3=$AT$14,"",IF($P$3=$AT$15,'Statement of Marks'!EZ186,""))))))))),"")</f>
        <v/>
      </c>
      <c r="N187" s="812" t="str">
        <f>IFERROR(IF(B187="","",IF($P$3=$AT$8,'Statement of Marks'!L186,IF($P$3=$AT$9,'Statement of Marks'!Z186,IF($P$3=$AT$10,'Statement of Marks'!AO186,IF($P$3=$AT$11,'Statement of Marks'!BL186,IF($P$3=$AT$12,'Statement of Marks'!CI186,IF($P$3=$AT$13,'Statement of Marks'!DG186,IF($P$3=$AT$14,"",IF($P$3=$AT$15,'Statement of Marks'!FA186,""))))))))),"")</f>
        <v/>
      </c>
      <c r="O187" s="813" t="str">
        <f t="shared" si="32"/>
        <v/>
      </c>
      <c r="P187" s="812" t="str">
        <f>IFERROR(IF(B187="","",IF($P$3=$AT$8,'Statement of Marks'!N186,IF($P$3=$AT$9,'Statement of Marks'!AB186,IF($P$3=$AT$10,'Statement of Marks'!AQ186,IF($P$3=$AT$11,'Statement of Marks'!BN186,IF($P$3=$AT$12,'Statement of Marks'!CK186,IF($P$3=$AT$13,'Statement of Marks'!DI186,IF($P$3=$AT$14,"",IF($P$3=$AT$15,'Statement of Marks'!FC186,""))))))))),"")</f>
        <v/>
      </c>
      <c r="Q187" s="812" t="str">
        <f>IFERROR(IF(B187="","",IF($P$3=$AT$8,"",IF($P$3=$AT$9,"",IF($P$3=$AT$10,'Statement of Marks'!AR186,IF($P$3=$AT$11,'Statement of Marks'!BO186,IF($P$3=$AT$12,'Statement of Marks'!CL186,IF($P$3=$AT$13,'Statement of Marks'!DJ186,IF($P$3=$AT$14,"",IF($P$3=$AT$15,"",""))))))))),"")</f>
        <v/>
      </c>
      <c r="R187" s="824" t="str">
        <f>IFERROR(IF(B187="","",IF(AND(P187="",Q187="",$P$3=""),"",IF($P$3=$AT$14,'Statement of Marks'!EC186,SUM(P187,Q187)))),"")</f>
        <v/>
      </c>
      <c r="S187" s="823" t="str">
        <f>IFERROR(IF(B187="","",IF($P$3=$AT$14,'Statement of Marks'!ED186,IF(AND(O187="NA",P187="NA",Q187="NA"),"NA",IF(AND(O187="",P187="",Q187=""),"",SUM(O187,P187,Q187))))),"")</f>
        <v/>
      </c>
      <c r="T187" s="812" t="str">
        <f>IFERROR(IF(B187="","",IF($P$3=$AT$8,'Statement of Marks'!P186,IF($P$3=$AT$9,'Statement of Marks'!AD186,IF($P$3=$AT$10,'Statement of Marks'!AU186,IF($P$3=$AT$11,'Statement of Marks'!BR186,IF($P$3=$AT$12,'Statement of Marks'!CO186,IF($P$3=$AT$13,'Statement of Marks'!DM186,IF($P$3=$AT$14,"",IF($P$3=$AT$15,'Statement of Marks'!FD186,""))))))))),"")</f>
        <v/>
      </c>
      <c r="U187" s="812" t="str">
        <f>IFERROR(IF(B187="","",IF($P$3=$AT$8,"",IF($P$3=$AT$9,"",IF($P$3=$AT$10,'Statement of Marks'!AV186,IF($P$3=$AT$11,'Statement of Marks'!BS186,IF($P$3=$AT$12,'Statement of Marks'!CP186,IF($P$3=$AT$13,'Statement of Marks'!DN186,IF($P$3=$AT$14,"",IF($P$3=$AT$15,"",""))))))))),"")</f>
        <v/>
      </c>
      <c r="V187" s="824" t="str">
        <f>IFERROR(IF(B187="","",IF(AND(T187="",U187="",$P$3=""),"",IF($P$3=$AT$14,'Statement of Marks'!EE186,SUM(T187,U187)))),"")</f>
        <v/>
      </c>
      <c r="W187" s="814" t="str">
        <f t="shared" si="33"/>
        <v/>
      </c>
      <c r="X187" s="815">
        <f t="shared" si="34"/>
        <v>0</v>
      </c>
      <c r="Y187" s="815">
        <f t="shared" si="35"/>
        <v>0</v>
      </c>
      <c r="Z187" s="815">
        <f t="shared" si="36"/>
        <v>0</v>
      </c>
      <c r="AA187" s="815" t="str">
        <f t="shared" si="37"/>
        <v/>
      </c>
      <c r="AB187" s="815" t="str">
        <f t="shared" si="38"/>
        <v/>
      </c>
      <c r="AC187" s="815" t="str">
        <f t="shared" si="39"/>
        <v/>
      </c>
      <c r="AD187" s="815" t="str">
        <f t="shared" si="40"/>
        <v/>
      </c>
      <c r="AE187" s="816" t="str">
        <f t="shared" si="41"/>
        <v/>
      </c>
      <c r="AF187" s="817" t="str">
        <f t="shared" si="42"/>
        <v/>
      </c>
      <c r="AG187" s="818" t="str">
        <f t="shared" si="43"/>
        <v/>
      </c>
      <c r="AW187" s="17" t="str">
        <f t="shared" si="44"/>
        <v/>
      </c>
      <c r="AX187" s="17" t="str">
        <f t="shared" si="45"/>
        <v/>
      </c>
      <c r="BM187" s="17" t="str">
        <f>IFERROR(VLOOKUP(B187,'Statement of Marks'!$B$8:'Statement of Marks'!$HI$207,37,0),"")</f>
        <v>A</v>
      </c>
      <c r="BN187" s="17" t="str">
        <f>IFERROR(VLOOKUP(B187,'Statement of Marks'!$B$8:'Statement of Marks'!$HI$207,60,0),"")</f>
        <v>A</v>
      </c>
      <c r="BO187" s="17" t="str">
        <f>IFERROR(VLOOKUP(B187,'Statement of Marks'!$B$8:'Statement of Marks'!$HI$207,83,0),"")</f>
        <v>A</v>
      </c>
      <c r="BP187" s="17" t="str">
        <f>IFERROR(VLOOKUP(B187,'Statement of Marks'!$B$8:'Statement of Marks'!$HI$207,107,0),"")</f>
        <v/>
      </c>
    </row>
    <row r="188" spans="1:68">
      <c r="A188" s="806">
        <f>IF('Statement of Marks'!A187="","",'Statement of Marks'!A187)</f>
        <v>180</v>
      </c>
      <c r="B188" s="807" t="str">
        <f>IF(OR($E$3="",$P$3=""),"",IF('Statement of Marks'!B187="","",'Statement of Marks'!B187))</f>
        <v/>
      </c>
      <c r="C188" s="816" t="str">
        <f>IF(OR($E$3="",$P$3=""),"",IF('Marks Entry'!C187="","",'Marks Entry'!C187))</f>
        <v/>
      </c>
      <c r="D188" s="808" t="str">
        <f>IF(OR($E$3="",$P$3=""),"",IF('Statement of Marks'!C187="","",'Statement of Marks'!C187))</f>
        <v/>
      </c>
      <c r="E188" s="809" t="str">
        <f>IF(OR($E$3="",$P$3=""),"",IF('Statement of Marks'!D187="","",'Statement of Marks'!D187))</f>
        <v/>
      </c>
      <c r="F188" s="810" t="str">
        <f>IF(OR($E$3="",$P$3=""),"",IF('Statement of Marks'!E187="","",'Statement of Marks'!E187))</f>
        <v/>
      </c>
      <c r="G188" s="810" t="str">
        <f>IF(OR($E$3="",$P$3=""),"",IF('Statement of Marks'!F187="","",'Statement of Marks'!F187))</f>
        <v/>
      </c>
      <c r="H188" s="810" t="str">
        <f>IF(OR($E$3="",$P$3=""),"",IF('Statement of Marks'!G187="","",'Statement of Marks'!G187))</f>
        <v/>
      </c>
      <c r="I188" s="811" t="str">
        <f>IF(OR($E$3="",$P$3=""),"",IF('Statement of Marks'!H187="","",'Statement of Marks'!H187))</f>
        <v/>
      </c>
      <c r="J188" s="811" t="str">
        <f>IF(OR($E$3="",$P$3=""),"",IF('Statement of Marks'!I187="","",'Statement of Marks'!I187))</f>
        <v/>
      </c>
      <c r="K188" s="811" t="str">
        <f>IFERROR(IF(B188="","",IF($P$3=$AT$10,IF(AND(BM188="A"),'Marks Entry'!$U$2,IF(AND(BM188="B"),'Marks Entry'!$Y$2,IF(AND(BM188="C"),'Marks Entry'!$AA$2,""))),IF($P$3=$AT$11,IF(AND(BN188="A"),'Marks Entry'!$AC$2,IF(AND(BN188="B"),'Marks Entry'!$AG$2,IF(AND(BN188="C"),'Marks Entry'!$AI$2,""))),IF($P$3=$AT$12,IF(AND(BO188="A"),'Marks Entry'!$AK$2,IF(AND(BO188="B"),'Marks Entry'!$AO$2,IF(AND(BO188="C"),'Marks Entry'!$AQ$2,""))),IF($P$3=$AT$13,IF(AND(BP188="A"),'Marks Entry'!$AS$2,IF(AND(BP188="B"),'Marks Entry'!$AW$2,IF(AND(BP188="C"),'Marks Entry'!$AY$2,""))),"-"))))),"")</f>
        <v/>
      </c>
      <c r="L188" s="812" t="str">
        <f>IFERROR(IF(B188="","",IF($P$3=$AT$8,'Statement of Marks'!J187,IF($P$3=$AT$9,'Statement of Marks'!X187,IF($P$3=$AT$10,'Statement of Marks'!AM187,IF($P$3=$AT$11,'Statement of Marks'!BJ187,IF($P$3=$AT$12,'Statement of Marks'!CG187,IF($P$3=$AT$13,'Statement of Marks'!DE187,IF($P$3=$AT$14,"",IF($P$3=$AT$15,'Statement of Marks'!EY187,""))))))))),"")</f>
        <v/>
      </c>
      <c r="M188" s="812" t="str">
        <f>IFERROR(IF(B188="","",IF($P$3=$AT$8,'Statement of Marks'!K187,IF($P$3=$AT$9,'Statement of Marks'!Y187,IF($P$3=$AT$10,'Statement of Marks'!AN187,IF($P$3=$AT$11,'Statement of Marks'!BK187,IF($P$3=$AT$12,'Statement of Marks'!CH187,IF($P$3=$AT$13,'Statement of Marks'!DF187,IF($P$3=$AT$14,"",IF($P$3=$AT$15,'Statement of Marks'!EZ187,""))))))))),"")</f>
        <v/>
      </c>
      <c r="N188" s="812" t="str">
        <f>IFERROR(IF(B188="","",IF($P$3=$AT$8,'Statement of Marks'!L187,IF($P$3=$AT$9,'Statement of Marks'!Z187,IF($P$3=$AT$10,'Statement of Marks'!AO187,IF($P$3=$AT$11,'Statement of Marks'!BL187,IF($P$3=$AT$12,'Statement of Marks'!CI187,IF($P$3=$AT$13,'Statement of Marks'!DG187,IF($P$3=$AT$14,"",IF($P$3=$AT$15,'Statement of Marks'!FA187,""))))))))),"")</f>
        <v/>
      </c>
      <c r="O188" s="813" t="str">
        <f t="shared" si="32"/>
        <v/>
      </c>
      <c r="P188" s="812" t="str">
        <f>IFERROR(IF(B188="","",IF($P$3=$AT$8,'Statement of Marks'!N187,IF($P$3=$AT$9,'Statement of Marks'!AB187,IF($P$3=$AT$10,'Statement of Marks'!AQ187,IF($P$3=$AT$11,'Statement of Marks'!BN187,IF($P$3=$AT$12,'Statement of Marks'!CK187,IF($P$3=$AT$13,'Statement of Marks'!DI187,IF($P$3=$AT$14,"",IF($P$3=$AT$15,'Statement of Marks'!FC187,""))))))))),"")</f>
        <v/>
      </c>
      <c r="Q188" s="812" t="str">
        <f>IFERROR(IF(B188="","",IF($P$3=$AT$8,"",IF($P$3=$AT$9,"",IF($P$3=$AT$10,'Statement of Marks'!AR187,IF($P$3=$AT$11,'Statement of Marks'!BO187,IF($P$3=$AT$12,'Statement of Marks'!CL187,IF($P$3=$AT$13,'Statement of Marks'!DJ187,IF($P$3=$AT$14,"",IF($P$3=$AT$15,"",""))))))))),"")</f>
        <v/>
      </c>
      <c r="R188" s="824" t="str">
        <f>IFERROR(IF(B188="","",IF(AND(P188="",Q188="",$P$3=""),"",IF($P$3=$AT$14,'Statement of Marks'!EC187,SUM(P188,Q188)))),"")</f>
        <v/>
      </c>
      <c r="S188" s="823" t="str">
        <f>IFERROR(IF(B188="","",IF($P$3=$AT$14,'Statement of Marks'!ED187,IF(AND(O188="NA",P188="NA",Q188="NA"),"NA",IF(AND(O188="",P188="",Q188=""),"",SUM(O188,P188,Q188))))),"")</f>
        <v/>
      </c>
      <c r="T188" s="812" t="str">
        <f>IFERROR(IF(B188="","",IF($P$3=$AT$8,'Statement of Marks'!P187,IF($P$3=$AT$9,'Statement of Marks'!AD187,IF($P$3=$AT$10,'Statement of Marks'!AU187,IF($P$3=$AT$11,'Statement of Marks'!BR187,IF($P$3=$AT$12,'Statement of Marks'!CO187,IF($P$3=$AT$13,'Statement of Marks'!DM187,IF($P$3=$AT$14,"",IF($P$3=$AT$15,'Statement of Marks'!FD187,""))))))))),"")</f>
        <v/>
      </c>
      <c r="U188" s="812" t="str">
        <f>IFERROR(IF(B188="","",IF($P$3=$AT$8,"",IF($P$3=$AT$9,"",IF($P$3=$AT$10,'Statement of Marks'!AV187,IF($P$3=$AT$11,'Statement of Marks'!BS187,IF($P$3=$AT$12,'Statement of Marks'!CP187,IF($P$3=$AT$13,'Statement of Marks'!DN187,IF($P$3=$AT$14,"",IF($P$3=$AT$15,"",""))))))))),"")</f>
        <v/>
      </c>
      <c r="V188" s="824" t="str">
        <f>IFERROR(IF(B188="","",IF(AND(T188="",U188="",$P$3=""),"",IF($P$3=$AT$14,'Statement of Marks'!EE187,SUM(T188,U188)))),"")</f>
        <v/>
      </c>
      <c r="W188" s="814" t="str">
        <f t="shared" si="33"/>
        <v/>
      </c>
      <c r="X188" s="815">
        <f t="shared" si="34"/>
        <v>0</v>
      </c>
      <c r="Y188" s="815">
        <f t="shared" si="35"/>
        <v>0</v>
      </c>
      <c r="Z188" s="815">
        <f t="shared" si="36"/>
        <v>0</v>
      </c>
      <c r="AA188" s="815" t="str">
        <f t="shared" si="37"/>
        <v/>
      </c>
      <c r="AB188" s="815" t="str">
        <f t="shared" si="38"/>
        <v/>
      </c>
      <c r="AC188" s="815" t="str">
        <f t="shared" si="39"/>
        <v/>
      </c>
      <c r="AD188" s="815" t="str">
        <f t="shared" si="40"/>
        <v/>
      </c>
      <c r="AE188" s="816" t="str">
        <f t="shared" si="41"/>
        <v/>
      </c>
      <c r="AF188" s="817" t="str">
        <f t="shared" si="42"/>
        <v/>
      </c>
      <c r="AG188" s="818" t="str">
        <f t="shared" si="43"/>
        <v/>
      </c>
      <c r="AW188" s="17" t="str">
        <f t="shared" si="44"/>
        <v/>
      </c>
      <c r="AX188" s="17" t="str">
        <f t="shared" si="45"/>
        <v/>
      </c>
      <c r="BM188" s="17" t="str">
        <f>IFERROR(VLOOKUP(B188,'Statement of Marks'!$B$8:'Statement of Marks'!$HI$207,37,0),"")</f>
        <v>A</v>
      </c>
      <c r="BN188" s="17" t="str">
        <f>IFERROR(VLOOKUP(B188,'Statement of Marks'!$B$8:'Statement of Marks'!$HI$207,60,0),"")</f>
        <v>A</v>
      </c>
      <c r="BO188" s="17" t="str">
        <f>IFERROR(VLOOKUP(B188,'Statement of Marks'!$B$8:'Statement of Marks'!$HI$207,83,0),"")</f>
        <v>A</v>
      </c>
      <c r="BP188" s="17" t="str">
        <f>IFERROR(VLOOKUP(B188,'Statement of Marks'!$B$8:'Statement of Marks'!$HI$207,107,0),"")</f>
        <v/>
      </c>
    </row>
    <row r="189" spans="1:68">
      <c r="A189" s="806">
        <f>IF('Statement of Marks'!A188="","",'Statement of Marks'!A188)</f>
        <v>181</v>
      </c>
      <c r="B189" s="807" t="str">
        <f>IF(OR($E$3="",$P$3=""),"",IF('Statement of Marks'!B188="","",'Statement of Marks'!B188))</f>
        <v/>
      </c>
      <c r="C189" s="816" t="str">
        <f>IF(OR($E$3="",$P$3=""),"",IF('Marks Entry'!C188="","",'Marks Entry'!C188))</f>
        <v/>
      </c>
      <c r="D189" s="808" t="str">
        <f>IF(OR($E$3="",$P$3=""),"",IF('Statement of Marks'!C188="","",'Statement of Marks'!C188))</f>
        <v/>
      </c>
      <c r="E189" s="809" t="str">
        <f>IF(OR($E$3="",$P$3=""),"",IF('Statement of Marks'!D188="","",'Statement of Marks'!D188))</f>
        <v/>
      </c>
      <c r="F189" s="810" t="str">
        <f>IF(OR($E$3="",$P$3=""),"",IF('Statement of Marks'!E188="","",'Statement of Marks'!E188))</f>
        <v/>
      </c>
      <c r="G189" s="810" t="str">
        <f>IF(OR($E$3="",$P$3=""),"",IF('Statement of Marks'!F188="","",'Statement of Marks'!F188))</f>
        <v/>
      </c>
      <c r="H189" s="810" t="str">
        <f>IF(OR($E$3="",$P$3=""),"",IF('Statement of Marks'!G188="","",'Statement of Marks'!G188))</f>
        <v/>
      </c>
      <c r="I189" s="811" t="str">
        <f>IF(OR($E$3="",$P$3=""),"",IF('Statement of Marks'!H188="","",'Statement of Marks'!H188))</f>
        <v/>
      </c>
      <c r="J189" s="811" t="str">
        <f>IF(OR($E$3="",$P$3=""),"",IF('Statement of Marks'!I188="","",'Statement of Marks'!I188))</f>
        <v/>
      </c>
      <c r="K189" s="811" t="str">
        <f>IFERROR(IF(B189="","",IF($P$3=$AT$10,IF(AND(BM189="A"),'Marks Entry'!$U$2,IF(AND(BM189="B"),'Marks Entry'!$Y$2,IF(AND(BM189="C"),'Marks Entry'!$AA$2,""))),IF($P$3=$AT$11,IF(AND(BN189="A"),'Marks Entry'!$AC$2,IF(AND(BN189="B"),'Marks Entry'!$AG$2,IF(AND(BN189="C"),'Marks Entry'!$AI$2,""))),IF($P$3=$AT$12,IF(AND(BO189="A"),'Marks Entry'!$AK$2,IF(AND(BO189="B"),'Marks Entry'!$AO$2,IF(AND(BO189="C"),'Marks Entry'!$AQ$2,""))),IF($P$3=$AT$13,IF(AND(BP189="A"),'Marks Entry'!$AS$2,IF(AND(BP189="B"),'Marks Entry'!$AW$2,IF(AND(BP189="C"),'Marks Entry'!$AY$2,""))),"-"))))),"")</f>
        <v/>
      </c>
      <c r="L189" s="812" t="str">
        <f>IFERROR(IF(B189="","",IF($P$3=$AT$8,'Statement of Marks'!J188,IF($P$3=$AT$9,'Statement of Marks'!X188,IF($P$3=$AT$10,'Statement of Marks'!AM188,IF($P$3=$AT$11,'Statement of Marks'!BJ188,IF($P$3=$AT$12,'Statement of Marks'!CG188,IF($P$3=$AT$13,'Statement of Marks'!DE188,IF($P$3=$AT$14,"",IF($P$3=$AT$15,'Statement of Marks'!EY188,""))))))))),"")</f>
        <v/>
      </c>
      <c r="M189" s="812" t="str">
        <f>IFERROR(IF(B189="","",IF($P$3=$AT$8,'Statement of Marks'!K188,IF($P$3=$AT$9,'Statement of Marks'!Y188,IF($P$3=$AT$10,'Statement of Marks'!AN188,IF($P$3=$AT$11,'Statement of Marks'!BK188,IF($P$3=$AT$12,'Statement of Marks'!CH188,IF($P$3=$AT$13,'Statement of Marks'!DF188,IF($P$3=$AT$14,"",IF($P$3=$AT$15,'Statement of Marks'!EZ188,""))))))))),"")</f>
        <v/>
      </c>
      <c r="N189" s="812" t="str">
        <f>IFERROR(IF(B189="","",IF($P$3=$AT$8,'Statement of Marks'!L188,IF($P$3=$AT$9,'Statement of Marks'!Z188,IF($P$3=$AT$10,'Statement of Marks'!AO188,IF($P$3=$AT$11,'Statement of Marks'!BL188,IF($P$3=$AT$12,'Statement of Marks'!CI188,IF($P$3=$AT$13,'Statement of Marks'!DG188,IF($P$3=$AT$14,"",IF($P$3=$AT$15,'Statement of Marks'!FA188,""))))))))),"")</f>
        <v/>
      </c>
      <c r="O189" s="813" t="str">
        <f t="shared" si="32"/>
        <v/>
      </c>
      <c r="P189" s="812" t="str">
        <f>IFERROR(IF(B189="","",IF($P$3=$AT$8,'Statement of Marks'!N188,IF($P$3=$AT$9,'Statement of Marks'!AB188,IF($P$3=$AT$10,'Statement of Marks'!AQ188,IF($P$3=$AT$11,'Statement of Marks'!BN188,IF($P$3=$AT$12,'Statement of Marks'!CK188,IF($P$3=$AT$13,'Statement of Marks'!DI188,IF($P$3=$AT$14,"",IF($P$3=$AT$15,'Statement of Marks'!FC188,""))))))))),"")</f>
        <v/>
      </c>
      <c r="Q189" s="812" t="str">
        <f>IFERROR(IF(B189="","",IF($P$3=$AT$8,"",IF($P$3=$AT$9,"",IF($P$3=$AT$10,'Statement of Marks'!AR188,IF($P$3=$AT$11,'Statement of Marks'!BO188,IF($P$3=$AT$12,'Statement of Marks'!CL188,IF($P$3=$AT$13,'Statement of Marks'!DJ188,IF($P$3=$AT$14,"",IF($P$3=$AT$15,"",""))))))))),"")</f>
        <v/>
      </c>
      <c r="R189" s="824" t="str">
        <f>IFERROR(IF(B189="","",IF(AND(P189="",Q189="",$P$3=""),"",IF($P$3=$AT$14,'Statement of Marks'!EC188,SUM(P189,Q189)))),"")</f>
        <v/>
      </c>
      <c r="S189" s="823" t="str">
        <f>IFERROR(IF(B189="","",IF($P$3=$AT$14,'Statement of Marks'!ED188,IF(AND(O189="NA",P189="NA",Q189="NA"),"NA",IF(AND(O189="",P189="",Q189=""),"",SUM(O189,P189,Q189))))),"")</f>
        <v/>
      </c>
      <c r="T189" s="812" t="str">
        <f>IFERROR(IF(B189="","",IF($P$3=$AT$8,'Statement of Marks'!P188,IF($P$3=$AT$9,'Statement of Marks'!AD188,IF($P$3=$AT$10,'Statement of Marks'!AU188,IF($P$3=$AT$11,'Statement of Marks'!BR188,IF($P$3=$AT$12,'Statement of Marks'!CO188,IF($P$3=$AT$13,'Statement of Marks'!DM188,IF($P$3=$AT$14,"",IF($P$3=$AT$15,'Statement of Marks'!FD188,""))))))))),"")</f>
        <v/>
      </c>
      <c r="U189" s="812" t="str">
        <f>IFERROR(IF(B189="","",IF($P$3=$AT$8,"",IF($P$3=$AT$9,"",IF($P$3=$AT$10,'Statement of Marks'!AV188,IF($P$3=$AT$11,'Statement of Marks'!BS188,IF($P$3=$AT$12,'Statement of Marks'!CP188,IF($P$3=$AT$13,'Statement of Marks'!DN188,IF($P$3=$AT$14,"",IF($P$3=$AT$15,"",""))))))))),"")</f>
        <v/>
      </c>
      <c r="V189" s="824" t="str">
        <f>IFERROR(IF(B189="","",IF(AND(T189="",U189="",$P$3=""),"",IF($P$3=$AT$14,'Statement of Marks'!EE188,SUM(T189,U189)))),"")</f>
        <v/>
      </c>
      <c r="W189" s="814" t="str">
        <f t="shared" si="33"/>
        <v/>
      </c>
      <c r="X189" s="815">
        <f t="shared" si="34"/>
        <v>0</v>
      </c>
      <c r="Y189" s="815">
        <f t="shared" si="35"/>
        <v>0</v>
      </c>
      <c r="Z189" s="815">
        <f t="shared" si="36"/>
        <v>0</v>
      </c>
      <c r="AA189" s="815" t="str">
        <f t="shared" si="37"/>
        <v/>
      </c>
      <c r="AB189" s="815" t="str">
        <f t="shared" si="38"/>
        <v/>
      </c>
      <c r="AC189" s="815" t="str">
        <f t="shared" si="39"/>
        <v/>
      </c>
      <c r="AD189" s="815" t="str">
        <f t="shared" si="40"/>
        <v/>
      </c>
      <c r="AE189" s="816" t="str">
        <f t="shared" si="41"/>
        <v/>
      </c>
      <c r="AF189" s="817" t="str">
        <f t="shared" si="42"/>
        <v/>
      </c>
      <c r="AG189" s="818" t="str">
        <f t="shared" si="43"/>
        <v/>
      </c>
      <c r="AW189" s="17" t="str">
        <f t="shared" si="44"/>
        <v/>
      </c>
      <c r="AX189" s="17" t="str">
        <f t="shared" si="45"/>
        <v/>
      </c>
      <c r="BM189" s="17" t="str">
        <f>IFERROR(VLOOKUP(B189,'Statement of Marks'!$B$8:'Statement of Marks'!$HI$207,37,0),"")</f>
        <v>A</v>
      </c>
      <c r="BN189" s="17" t="str">
        <f>IFERROR(VLOOKUP(B189,'Statement of Marks'!$B$8:'Statement of Marks'!$HI$207,60,0),"")</f>
        <v>A</v>
      </c>
      <c r="BO189" s="17" t="str">
        <f>IFERROR(VLOOKUP(B189,'Statement of Marks'!$B$8:'Statement of Marks'!$HI$207,83,0),"")</f>
        <v>A</v>
      </c>
      <c r="BP189" s="17" t="str">
        <f>IFERROR(VLOOKUP(B189,'Statement of Marks'!$B$8:'Statement of Marks'!$HI$207,107,0),"")</f>
        <v/>
      </c>
    </row>
    <row r="190" spans="1:68">
      <c r="A190" s="806">
        <f>IF('Statement of Marks'!A189="","",'Statement of Marks'!A189)</f>
        <v>182</v>
      </c>
      <c r="B190" s="807" t="str">
        <f>IF(OR($E$3="",$P$3=""),"",IF('Statement of Marks'!B189="","",'Statement of Marks'!B189))</f>
        <v/>
      </c>
      <c r="C190" s="816" t="str">
        <f>IF(OR($E$3="",$P$3=""),"",IF('Marks Entry'!C189="","",'Marks Entry'!C189))</f>
        <v/>
      </c>
      <c r="D190" s="808" t="str">
        <f>IF(OR($E$3="",$P$3=""),"",IF('Statement of Marks'!C189="","",'Statement of Marks'!C189))</f>
        <v/>
      </c>
      <c r="E190" s="809" t="str">
        <f>IF(OR($E$3="",$P$3=""),"",IF('Statement of Marks'!D189="","",'Statement of Marks'!D189))</f>
        <v/>
      </c>
      <c r="F190" s="810" t="str">
        <f>IF(OR($E$3="",$P$3=""),"",IF('Statement of Marks'!E189="","",'Statement of Marks'!E189))</f>
        <v/>
      </c>
      <c r="G190" s="810" t="str">
        <f>IF(OR($E$3="",$P$3=""),"",IF('Statement of Marks'!F189="","",'Statement of Marks'!F189))</f>
        <v/>
      </c>
      <c r="H190" s="810" t="str">
        <f>IF(OR($E$3="",$P$3=""),"",IF('Statement of Marks'!G189="","",'Statement of Marks'!G189))</f>
        <v/>
      </c>
      <c r="I190" s="811" t="str">
        <f>IF(OR($E$3="",$P$3=""),"",IF('Statement of Marks'!H189="","",'Statement of Marks'!H189))</f>
        <v/>
      </c>
      <c r="J190" s="811" t="str">
        <f>IF(OR($E$3="",$P$3=""),"",IF('Statement of Marks'!I189="","",'Statement of Marks'!I189))</f>
        <v/>
      </c>
      <c r="K190" s="811" t="str">
        <f>IFERROR(IF(B190="","",IF($P$3=$AT$10,IF(AND(BM190="A"),'Marks Entry'!$U$2,IF(AND(BM190="B"),'Marks Entry'!$Y$2,IF(AND(BM190="C"),'Marks Entry'!$AA$2,""))),IF($P$3=$AT$11,IF(AND(BN190="A"),'Marks Entry'!$AC$2,IF(AND(BN190="B"),'Marks Entry'!$AG$2,IF(AND(BN190="C"),'Marks Entry'!$AI$2,""))),IF($P$3=$AT$12,IF(AND(BO190="A"),'Marks Entry'!$AK$2,IF(AND(BO190="B"),'Marks Entry'!$AO$2,IF(AND(BO190="C"),'Marks Entry'!$AQ$2,""))),IF($P$3=$AT$13,IF(AND(BP190="A"),'Marks Entry'!$AS$2,IF(AND(BP190="B"),'Marks Entry'!$AW$2,IF(AND(BP190="C"),'Marks Entry'!$AY$2,""))),"-"))))),"")</f>
        <v/>
      </c>
      <c r="L190" s="812" t="str">
        <f>IFERROR(IF(B190="","",IF($P$3=$AT$8,'Statement of Marks'!J189,IF($P$3=$AT$9,'Statement of Marks'!X189,IF($P$3=$AT$10,'Statement of Marks'!AM189,IF($P$3=$AT$11,'Statement of Marks'!BJ189,IF($P$3=$AT$12,'Statement of Marks'!CG189,IF($P$3=$AT$13,'Statement of Marks'!DE189,IF($P$3=$AT$14,"",IF($P$3=$AT$15,'Statement of Marks'!EY189,""))))))))),"")</f>
        <v/>
      </c>
      <c r="M190" s="812" t="str">
        <f>IFERROR(IF(B190="","",IF($P$3=$AT$8,'Statement of Marks'!K189,IF($P$3=$AT$9,'Statement of Marks'!Y189,IF($P$3=$AT$10,'Statement of Marks'!AN189,IF($P$3=$AT$11,'Statement of Marks'!BK189,IF($P$3=$AT$12,'Statement of Marks'!CH189,IF($P$3=$AT$13,'Statement of Marks'!DF189,IF($P$3=$AT$14,"",IF($P$3=$AT$15,'Statement of Marks'!EZ189,""))))))))),"")</f>
        <v/>
      </c>
      <c r="N190" s="812" t="str">
        <f>IFERROR(IF(B190="","",IF($P$3=$AT$8,'Statement of Marks'!L189,IF($P$3=$AT$9,'Statement of Marks'!Z189,IF($P$3=$AT$10,'Statement of Marks'!AO189,IF($P$3=$AT$11,'Statement of Marks'!BL189,IF($P$3=$AT$12,'Statement of Marks'!CI189,IF($P$3=$AT$13,'Statement of Marks'!DG189,IF($P$3=$AT$14,"",IF($P$3=$AT$15,'Statement of Marks'!FA189,""))))))))),"")</f>
        <v/>
      </c>
      <c r="O190" s="813" t="str">
        <f t="shared" si="32"/>
        <v/>
      </c>
      <c r="P190" s="812" t="str">
        <f>IFERROR(IF(B190="","",IF($P$3=$AT$8,'Statement of Marks'!N189,IF($P$3=$AT$9,'Statement of Marks'!AB189,IF($P$3=$AT$10,'Statement of Marks'!AQ189,IF($P$3=$AT$11,'Statement of Marks'!BN189,IF($P$3=$AT$12,'Statement of Marks'!CK189,IF($P$3=$AT$13,'Statement of Marks'!DI189,IF($P$3=$AT$14,"",IF($P$3=$AT$15,'Statement of Marks'!FC189,""))))))))),"")</f>
        <v/>
      </c>
      <c r="Q190" s="812" t="str">
        <f>IFERROR(IF(B190="","",IF($P$3=$AT$8,"",IF($P$3=$AT$9,"",IF($P$3=$AT$10,'Statement of Marks'!AR189,IF($P$3=$AT$11,'Statement of Marks'!BO189,IF($P$3=$AT$12,'Statement of Marks'!CL189,IF($P$3=$AT$13,'Statement of Marks'!DJ189,IF($P$3=$AT$14,"",IF($P$3=$AT$15,"",""))))))))),"")</f>
        <v/>
      </c>
      <c r="R190" s="824" t="str">
        <f>IFERROR(IF(B190="","",IF(AND(P190="",Q190="",$P$3=""),"",IF($P$3=$AT$14,'Statement of Marks'!EC189,SUM(P190,Q190)))),"")</f>
        <v/>
      </c>
      <c r="S190" s="823" t="str">
        <f>IFERROR(IF(B190="","",IF($P$3=$AT$14,'Statement of Marks'!ED189,IF(AND(O190="NA",P190="NA",Q190="NA"),"NA",IF(AND(O190="",P190="",Q190=""),"",SUM(O190,P190,Q190))))),"")</f>
        <v/>
      </c>
      <c r="T190" s="812" t="str">
        <f>IFERROR(IF(B190="","",IF($P$3=$AT$8,'Statement of Marks'!P189,IF($P$3=$AT$9,'Statement of Marks'!AD189,IF($P$3=$AT$10,'Statement of Marks'!AU189,IF($P$3=$AT$11,'Statement of Marks'!BR189,IF($P$3=$AT$12,'Statement of Marks'!CO189,IF($P$3=$AT$13,'Statement of Marks'!DM189,IF($P$3=$AT$14,"",IF($P$3=$AT$15,'Statement of Marks'!FD189,""))))))))),"")</f>
        <v/>
      </c>
      <c r="U190" s="812" t="str">
        <f>IFERROR(IF(B190="","",IF($P$3=$AT$8,"",IF($P$3=$AT$9,"",IF($P$3=$AT$10,'Statement of Marks'!AV189,IF($P$3=$AT$11,'Statement of Marks'!BS189,IF($P$3=$AT$12,'Statement of Marks'!CP189,IF($P$3=$AT$13,'Statement of Marks'!DN189,IF($P$3=$AT$14,"",IF($P$3=$AT$15,"",""))))))))),"")</f>
        <v/>
      </c>
      <c r="V190" s="824" t="str">
        <f>IFERROR(IF(B190="","",IF(AND(T190="",U190="",$P$3=""),"",IF($P$3=$AT$14,'Statement of Marks'!EE189,SUM(T190,U190)))),"")</f>
        <v/>
      </c>
      <c r="W190" s="814" t="str">
        <f t="shared" si="33"/>
        <v/>
      </c>
      <c r="X190" s="815">
        <f t="shared" si="34"/>
        <v>0</v>
      </c>
      <c r="Y190" s="815">
        <f t="shared" si="35"/>
        <v>0</v>
      </c>
      <c r="Z190" s="815">
        <f t="shared" si="36"/>
        <v>0</v>
      </c>
      <c r="AA190" s="815" t="str">
        <f t="shared" si="37"/>
        <v/>
      </c>
      <c r="AB190" s="815" t="str">
        <f t="shared" si="38"/>
        <v/>
      </c>
      <c r="AC190" s="815" t="str">
        <f t="shared" si="39"/>
        <v/>
      </c>
      <c r="AD190" s="815" t="str">
        <f t="shared" si="40"/>
        <v/>
      </c>
      <c r="AE190" s="816" t="str">
        <f t="shared" si="41"/>
        <v/>
      </c>
      <c r="AF190" s="817" t="str">
        <f t="shared" si="42"/>
        <v/>
      </c>
      <c r="AG190" s="818" t="str">
        <f t="shared" si="43"/>
        <v/>
      </c>
      <c r="AW190" s="17" t="str">
        <f t="shared" si="44"/>
        <v/>
      </c>
      <c r="AX190" s="17" t="str">
        <f t="shared" si="45"/>
        <v/>
      </c>
      <c r="BM190" s="17" t="str">
        <f>IFERROR(VLOOKUP(B190,'Statement of Marks'!$B$8:'Statement of Marks'!$HI$207,37,0),"")</f>
        <v>A</v>
      </c>
      <c r="BN190" s="17" t="str">
        <f>IFERROR(VLOOKUP(B190,'Statement of Marks'!$B$8:'Statement of Marks'!$HI$207,60,0),"")</f>
        <v>A</v>
      </c>
      <c r="BO190" s="17" t="str">
        <f>IFERROR(VLOOKUP(B190,'Statement of Marks'!$B$8:'Statement of Marks'!$HI$207,83,0),"")</f>
        <v>A</v>
      </c>
      <c r="BP190" s="17" t="str">
        <f>IFERROR(VLOOKUP(B190,'Statement of Marks'!$B$8:'Statement of Marks'!$HI$207,107,0),"")</f>
        <v/>
      </c>
    </row>
    <row r="191" spans="1:68">
      <c r="A191" s="806">
        <f>IF('Statement of Marks'!A190="","",'Statement of Marks'!A190)</f>
        <v>183</v>
      </c>
      <c r="B191" s="807" t="str">
        <f>IF(OR($E$3="",$P$3=""),"",IF('Statement of Marks'!B190="","",'Statement of Marks'!B190))</f>
        <v/>
      </c>
      <c r="C191" s="816" t="str">
        <f>IF(OR($E$3="",$P$3=""),"",IF('Marks Entry'!C190="","",'Marks Entry'!C190))</f>
        <v/>
      </c>
      <c r="D191" s="808" t="str">
        <f>IF(OR($E$3="",$P$3=""),"",IF('Statement of Marks'!C190="","",'Statement of Marks'!C190))</f>
        <v/>
      </c>
      <c r="E191" s="809" t="str">
        <f>IF(OR($E$3="",$P$3=""),"",IF('Statement of Marks'!D190="","",'Statement of Marks'!D190))</f>
        <v/>
      </c>
      <c r="F191" s="810" t="str">
        <f>IF(OR($E$3="",$P$3=""),"",IF('Statement of Marks'!E190="","",'Statement of Marks'!E190))</f>
        <v/>
      </c>
      <c r="G191" s="810" t="str">
        <f>IF(OR($E$3="",$P$3=""),"",IF('Statement of Marks'!F190="","",'Statement of Marks'!F190))</f>
        <v/>
      </c>
      <c r="H191" s="810" t="str">
        <f>IF(OR($E$3="",$P$3=""),"",IF('Statement of Marks'!G190="","",'Statement of Marks'!G190))</f>
        <v/>
      </c>
      <c r="I191" s="811" t="str">
        <f>IF(OR($E$3="",$P$3=""),"",IF('Statement of Marks'!H190="","",'Statement of Marks'!H190))</f>
        <v/>
      </c>
      <c r="J191" s="811" t="str">
        <f>IF(OR($E$3="",$P$3=""),"",IF('Statement of Marks'!I190="","",'Statement of Marks'!I190))</f>
        <v/>
      </c>
      <c r="K191" s="811" t="str">
        <f>IFERROR(IF(B191="","",IF($P$3=$AT$10,IF(AND(BM191="A"),'Marks Entry'!$U$2,IF(AND(BM191="B"),'Marks Entry'!$Y$2,IF(AND(BM191="C"),'Marks Entry'!$AA$2,""))),IF($P$3=$AT$11,IF(AND(BN191="A"),'Marks Entry'!$AC$2,IF(AND(BN191="B"),'Marks Entry'!$AG$2,IF(AND(BN191="C"),'Marks Entry'!$AI$2,""))),IF($P$3=$AT$12,IF(AND(BO191="A"),'Marks Entry'!$AK$2,IF(AND(BO191="B"),'Marks Entry'!$AO$2,IF(AND(BO191="C"),'Marks Entry'!$AQ$2,""))),IF($P$3=$AT$13,IF(AND(BP191="A"),'Marks Entry'!$AS$2,IF(AND(BP191="B"),'Marks Entry'!$AW$2,IF(AND(BP191="C"),'Marks Entry'!$AY$2,""))),"-"))))),"")</f>
        <v/>
      </c>
      <c r="L191" s="812" t="str">
        <f>IFERROR(IF(B191="","",IF($P$3=$AT$8,'Statement of Marks'!J190,IF($P$3=$AT$9,'Statement of Marks'!X190,IF($P$3=$AT$10,'Statement of Marks'!AM190,IF($P$3=$AT$11,'Statement of Marks'!BJ190,IF($P$3=$AT$12,'Statement of Marks'!CG190,IF($P$3=$AT$13,'Statement of Marks'!DE190,IF($P$3=$AT$14,"",IF($P$3=$AT$15,'Statement of Marks'!EY190,""))))))))),"")</f>
        <v/>
      </c>
      <c r="M191" s="812" t="str">
        <f>IFERROR(IF(B191="","",IF($P$3=$AT$8,'Statement of Marks'!K190,IF($P$3=$AT$9,'Statement of Marks'!Y190,IF($P$3=$AT$10,'Statement of Marks'!AN190,IF($P$3=$AT$11,'Statement of Marks'!BK190,IF($P$3=$AT$12,'Statement of Marks'!CH190,IF($P$3=$AT$13,'Statement of Marks'!DF190,IF($P$3=$AT$14,"",IF($P$3=$AT$15,'Statement of Marks'!EZ190,""))))))))),"")</f>
        <v/>
      </c>
      <c r="N191" s="812" t="str">
        <f>IFERROR(IF(B191="","",IF($P$3=$AT$8,'Statement of Marks'!L190,IF($P$3=$AT$9,'Statement of Marks'!Z190,IF($P$3=$AT$10,'Statement of Marks'!AO190,IF($P$3=$AT$11,'Statement of Marks'!BL190,IF($P$3=$AT$12,'Statement of Marks'!CI190,IF($P$3=$AT$13,'Statement of Marks'!DG190,IF($P$3=$AT$14,"",IF($P$3=$AT$15,'Statement of Marks'!FA190,""))))))))),"")</f>
        <v/>
      </c>
      <c r="O191" s="813" t="str">
        <f t="shared" si="32"/>
        <v/>
      </c>
      <c r="P191" s="812" t="str">
        <f>IFERROR(IF(B191="","",IF($P$3=$AT$8,'Statement of Marks'!N190,IF($P$3=$AT$9,'Statement of Marks'!AB190,IF($P$3=$AT$10,'Statement of Marks'!AQ190,IF($P$3=$AT$11,'Statement of Marks'!BN190,IF($P$3=$AT$12,'Statement of Marks'!CK190,IF($P$3=$AT$13,'Statement of Marks'!DI190,IF($P$3=$AT$14,"",IF($P$3=$AT$15,'Statement of Marks'!FC190,""))))))))),"")</f>
        <v/>
      </c>
      <c r="Q191" s="812" t="str">
        <f>IFERROR(IF(B191="","",IF($P$3=$AT$8,"",IF($P$3=$AT$9,"",IF($P$3=$AT$10,'Statement of Marks'!AR190,IF($P$3=$AT$11,'Statement of Marks'!BO190,IF($P$3=$AT$12,'Statement of Marks'!CL190,IF($P$3=$AT$13,'Statement of Marks'!DJ190,IF($P$3=$AT$14,"",IF($P$3=$AT$15,"",""))))))))),"")</f>
        <v/>
      </c>
      <c r="R191" s="824" t="str">
        <f>IFERROR(IF(B191="","",IF(AND(P191="",Q191="",$P$3=""),"",IF($P$3=$AT$14,'Statement of Marks'!EC190,SUM(P191,Q191)))),"")</f>
        <v/>
      </c>
      <c r="S191" s="823" t="str">
        <f>IFERROR(IF(B191="","",IF($P$3=$AT$14,'Statement of Marks'!ED190,IF(AND(O191="NA",P191="NA",Q191="NA"),"NA",IF(AND(O191="",P191="",Q191=""),"",SUM(O191,P191,Q191))))),"")</f>
        <v/>
      </c>
      <c r="T191" s="812" t="str">
        <f>IFERROR(IF(B191="","",IF($P$3=$AT$8,'Statement of Marks'!P190,IF($P$3=$AT$9,'Statement of Marks'!AD190,IF($P$3=$AT$10,'Statement of Marks'!AU190,IF($P$3=$AT$11,'Statement of Marks'!BR190,IF($P$3=$AT$12,'Statement of Marks'!CO190,IF($P$3=$AT$13,'Statement of Marks'!DM190,IF($P$3=$AT$14,"",IF($P$3=$AT$15,'Statement of Marks'!FD190,""))))))))),"")</f>
        <v/>
      </c>
      <c r="U191" s="812" t="str">
        <f>IFERROR(IF(B191="","",IF($P$3=$AT$8,"",IF($P$3=$AT$9,"",IF($P$3=$AT$10,'Statement of Marks'!AV190,IF($P$3=$AT$11,'Statement of Marks'!BS190,IF($P$3=$AT$12,'Statement of Marks'!CP190,IF($P$3=$AT$13,'Statement of Marks'!DN190,IF($P$3=$AT$14,"",IF($P$3=$AT$15,"",""))))))))),"")</f>
        <v/>
      </c>
      <c r="V191" s="824" t="str">
        <f>IFERROR(IF(B191="","",IF(AND(T191="",U191="",$P$3=""),"",IF($P$3=$AT$14,'Statement of Marks'!EE190,SUM(T191,U191)))),"")</f>
        <v/>
      </c>
      <c r="W191" s="814" t="str">
        <f t="shared" si="33"/>
        <v/>
      </c>
      <c r="X191" s="815">
        <f t="shared" si="34"/>
        <v>0</v>
      </c>
      <c r="Y191" s="815">
        <f t="shared" si="35"/>
        <v>0</v>
      </c>
      <c r="Z191" s="815">
        <f t="shared" si="36"/>
        <v>0</v>
      </c>
      <c r="AA191" s="815" t="str">
        <f t="shared" si="37"/>
        <v/>
      </c>
      <c r="AB191" s="815" t="str">
        <f t="shared" si="38"/>
        <v/>
      </c>
      <c r="AC191" s="815" t="str">
        <f t="shared" si="39"/>
        <v/>
      </c>
      <c r="AD191" s="815" t="str">
        <f t="shared" si="40"/>
        <v/>
      </c>
      <c r="AE191" s="816" t="str">
        <f t="shared" si="41"/>
        <v/>
      </c>
      <c r="AF191" s="817" t="str">
        <f t="shared" si="42"/>
        <v/>
      </c>
      <c r="AG191" s="818" t="str">
        <f t="shared" si="43"/>
        <v/>
      </c>
      <c r="AW191" s="17" t="str">
        <f t="shared" si="44"/>
        <v/>
      </c>
      <c r="AX191" s="17" t="str">
        <f t="shared" si="45"/>
        <v/>
      </c>
      <c r="BM191" s="17" t="str">
        <f>IFERROR(VLOOKUP(B191,'Statement of Marks'!$B$8:'Statement of Marks'!$HI$207,37,0),"")</f>
        <v>A</v>
      </c>
      <c r="BN191" s="17" t="str">
        <f>IFERROR(VLOOKUP(B191,'Statement of Marks'!$B$8:'Statement of Marks'!$HI$207,60,0),"")</f>
        <v>A</v>
      </c>
      <c r="BO191" s="17" t="str">
        <f>IFERROR(VLOOKUP(B191,'Statement of Marks'!$B$8:'Statement of Marks'!$HI$207,83,0),"")</f>
        <v>A</v>
      </c>
      <c r="BP191" s="17" t="str">
        <f>IFERROR(VLOOKUP(B191,'Statement of Marks'!$B$8:'Statement of Marks'!$HI$207,107,0),"")</f>
        <v/>
      </c>
    </row>
    <row r="192" spans="1:68">
      <c r="A192" s="806">
        <f>IF('Statement of Marks'!A191="","",'Statement of Marks'!A191)</f>
        <v>184</v>
      </c>
      <c r="B192" s="807" t="str">
        <f>IF(OR($E$3="",$P$3=""),"",IF('Statement of Marks'!B191="","",'Statement of Marks'!B191))</f>
        <v/>
      </c>
      <c r="C192" s="816" t="str">
        <f>IF(OR($E$3="",$P$3=""),"",IF('Marks Entry'!C191="","",'Marks Entry'!C191))</f>
        <v/>
      </c>
      <c r="D192" s="808" t="str">
        <f>IF(OR($E$3="",$P$3=""),"",IF('Statement of Marks'!C191="","",'Statement of Marks'!C191))</f>
        <v/>
      </c>
      <c r="E192" s="809" t="str">
        <f>IF(OR($E$3="",$P$3=""),"",IF('Statement of Marks'!D191="","",'Statement of Marks'!D191))</f>
        <v/>
      </c>
      <c r="F192" s="810" t="str">
        <f>IF(OR($E$3="",$P$3=""),"",IF('Statement of Marks'!E191="","",'Statement of Marks'!E191))</f>
        <v/>
      </c>
      <c r="G192" s="810" t="str">
        <f>IF(OR($E$3="",$P$3=""),"",IF('Statement of Marks'!F191="","",'Statement of Marks'!F191))</f>
        <v/>
      </c>
      <c r="H192" s="810" t="str">
        <f>IF(OR($E$3="",$P$3=""),"",IF('Statement of Marks'!G191="","",'Statement of Marks'!G191))</f>
        <v/>
      </c>
      <c r="I192" s="811" t="str">
        <f>IF(OR($E$3="",$P$3=""),"",IF('Statement of Marks'!H191="","",'Statement of Marks'!H191))</f>
        <v/>
      </c>
      <c r="J192" s="811" t="str">
        <f>IF(OR($E$3="",$P$3=""),"",IF('Statement of Marks'!I191="","",'Statement of Marks'!I191))</f>
        <v/>
      </c>
      <c r="K192" s="811" t="str">
        <f>IFERROR(IF(B192="","",IF($P$3=$AT$10,IF(AND(BM192="A"),'Marks Entry'!$U$2,IF(AND(BM192="B"),'Marks Entry'!$Y$2,IF(AND(BM192="C"),'Marks Entry'!$AA$2,""))),IF($P$3=$AT$11,IF(AND(BN192="A"),'Marks Entry'!$AC$2,IF(AND(BN192="B"),'Marks Entry'!$AG$2,IF(AND(BN192="C"),'Marks Entry'!$AI$2,""))),IF($P$3=$AT$12,IF(AND(BO192="A"),'Marks Entry'!$AK$2,IF(AND(BO192="B"),'Marks Entry'!$AO$2,IF(AND(BO192="C"),'Marks Entry'!$AQ$2,""))),IF($P$3=$AT$13,IF(AND(BP192="A"),'Marks Entry'!$AS$2,IF(AND(BP192="B"),'Marks Entry'!$AW$2,IF(AND(BP192="C"),'Marks Entry'!$AY$2,""))),"-"))))),"")</f>
        <v/>
      </c>
      <c r="L192" s="812" t="str">
        <f>IFERROR(IF(B192="","",IF($P$3=$AT$8,'Statement of Marks'!J191,IF($P$3=$AT$9,'Statement of Marks'!X191,IF($P$3=$AT$10,'Statement of Marks'!AM191,IF($P$3=$AT$11,'Statement of Marks'!BJ191,IF($P$3=$AT$12,'Statement of Marks'!CG191,IF($P$3=$AT$13,'Statement of Marks'!DE191,IF($P$3=$AT$14,"",IF($P$3=$AT$15,'Statement of Marks'!EY191,""))))))))),"")</f>
        <v/>
      </c>
      <c r="M192" s="812" t="str">
        <f>IFERROR(IF(B192="","",IF($P$3=$AT$8,'Statement of Marks'!K191,IF($P$3=$AT$9,'Statement of Marks'!Y191,IF($P$3=$AT$10,'Statement of Marks'!AN191,IF($P$3=$AT$11,'Statement of Marks'!BK191,IF($P$3=$AT$12,'Statement of Marks'!CH191,IF($P$3=$AT$13,'Statement of Marks'!DF191,IF($P$3=$AT$14,"",IF($P$3=$AT$15,'Statement of Marks'!EZ191,""))))))))),"")</f>
        <v/>
      </c>
      <c r="N192" s="812" t="str">
        <f>IFERROR(IF(B192="","",IF($P$3=$AT$8,'Statement of Marks'!L191,IF($P$3=$AT$9,'Statement of Marks'!Z191,IF($P$3=$AT$10,'Statement of Marks'!AO191,IF($P$3=$AT$11,'Statement of Marks'!BL191,IF($P$3=$AT$12,'Statement of Marks'!CI191,IF($P$3=$AT$13,'Statement of Marks'!DG191,IF($P$3=$AT$14,"",IF($P$3=$AT$15,'Statement of Marks'!FA191,""))))))))),"")</f>
        <v/>
      </c>
      <c r="O192" s="813" t="str">
        <f t="shared" si="32"/>
        <v/>
      </c>
      <c r="P192" s="812" t="str">
        <f>IFERROR(IF(B192="","",IF($P$3=$AT$8,'Statement of Marks'!N191,IF($P$3=$AT$9,'Statement of Marks'!AB191,IF($P$3=$AT$10,'Statement of Marks'!AQ191,IF($P$3=$AT$11,'Statement of Marks'!BN191,IF($P$3=$AT$12,'Statement of Marks'!CK191,IF($P$3=$AT$13,'Statement of Marks'!DI191,IF($P$3=$AT$14,"",IF($P$3=$AT$15,'Statement of Marks'!FC191,""))))))))),"")</f>
        <v/>
      </c>
      <c r="Q192" s="812" t="str">
        <f>IFERROR(IF(B192="","",IF($P$3=$AT$8,"",IF($P$3=$AT$9,"",IF($P$3=$AT$10,'Statement of Marks'!AR191,IF($P$3=$AT$11,'Statement of Marks'!BO191,IF($P$3=$AT$12,'Statement of Marks'!CL191,IF($P$3=$AT$13,'Statement of Marks'!DJ191,IF($P$3=$AT$14,"",IF($P$3=$AT$15,"",""))))))))),"")</f>
        <v/>
      </c>
      <c r="R192" s="824" t="str">
        <f>IFERROR(IF(B192="","",IF(AND(P192="",Q192="",$P$3=""),"",IF($P$3=$AT$14,'Statement of Marks'!EC191,SUM(P192,Q192)))),"")</f>
        <v/>
      </c>
      <c r="S192" s="823" t="str">
        <f>IFERROR(IF(B192="","",IF($P$3=$AT$14,'Statement of Marks'!ED191,IF(AND(O192="NA",P192="NA",Q192="NA"),"NA",IF(AND(O192="",P192="",Q192=""),"",SUM(O192,P192,Q192))))),"")</f>
        <v/>
      </c>
      <c r="T192" s="812" t="str">
        <f>IFERROR(IF(B192="","",IF($P$3=$AT$8,'Statement of Marks'!P191,IF($P$3=$AT$9,'Statement of Marks'!AD191,IF($P$3=$AT$10,'Statement of Marks'!AU191,IF($P$3=$AT$11,'Statement of Marks'!BR191,IF($P$3=$AT$12,'Statement of Marks'!CO191,IF($P$3=$AT$13,'Statement of Marks'!DM191,IF($P$3=$AT$14,"",IF($P$3=$AT$15,'Statement of Marks'!FD191,""))))))))),"")</f>
        <v/>
      </c>
      <c r="U192" s="812" t="str">
        <f>IFERROR(IF(B192="","",IF($P$3=$AT$8,"",IF($P$3=$AT$9,"",IF($P$3=$AT$10,'Statement of Marks'!AV191,IF($P$3=$AT$11,'Statement of Marks'!BS191,IF($P$3=$AT$12,'Statement of Marks'!CP191,IF($P$3=$AT$13,'Statement of Marks'!DN191,IF($P$3=$AT$14,"",IF($P$3=$AT$15,"",""))))))))),"")</f>
        <v/>
      </c>
      <c r="V192" s="824" t="str">
        <f>IFERROR(IF(B192="","",IF(AND(T192="",U192="",$P$3=""),"",IF($P$3=$AT$14,'Statement of Marks'!EE191,SUM(T192,U192)))),"")</f>
        <v/>
      </c>
      <c r="W192" s="814" t="str">
        <f t="shared" si="33"/>
        <v/>
      </c>
      <c r="X192" s="815">
        <f t="shared" si="34"/>
        <v>0</v>
      </c>
      <c r="Y192" s="815">
        <f t="shared" si="35"/>
        <v>0</v>
      </c>
      <c r="Z192" s="815">
        <f t="shared" si="36"/>
        <v>0</v>
      </c>
      <c r="AA192" s="815" t="str">
        <f t="shared" si="37"/>
        <v/>
      </c>
      <c r="AB192" s="815" t="str">
        <f t="shared" si="38"/>
        <v/>
      </c>
      <c r="AC192" s="815" t="str">
        <f t="shared" si="39"/>
        <v/>
      </c>
      <c r="AD192" s="815" t="str">
        <f t="shared" si="40"/>
        <v/>
      </c>
      <c r="AE192" s="816" t="str">
        <f t="shared" si="41"/>
        <v/>
      </c>
      <c r="AF192" s="817" t="str">
        <f t="shared" si="42"/>
        <v/>
      </c>
      <c r="AG192" s="818" t="str">
        <f t="shared" si="43"/>
        <v/>
      </c>
      <c r="AW192" s="17" t="str">
        <f t="shared" si="44"/>
        <v/>
      </c>
      <c r="AX192" s="17" t="str">
        <f t="shared" si="45"/>
        <v/>
      </c>
      <c r="BM192" s="17" t="str">
        <f>IFERROR(VLOOKUP(B192,'Statement of Marks'!$B$8:'Statement of Marks'!$HI$207,37,0),"")</f>
        <v>A</v>
      </c>
      <c r="BN192" s="17" t="str">
        <f>IFERROR(VLOOKUP(B192,'Statement of Marks'!$B$8:'Statement of Marks'!$HI$207,60,0),"")</f>
        <v>A</v>
      </c>
      <c r="BO192" s="17" t="str">
        <f>IFERROR(VLOOKUP(B192,'Statement of Marks'!$B$8:'Statement of Marks'!$HI$207,83,0),"")</f>
        <v>A</v>
      </c>
      <c r="BP192" s="17" t="str">
        <f>IFERROR(VLOOKUP(B192,'Statement of Marks'!$B$8:'Statement of Marks'!$HI$207,107,0),"")</f>
        <v/>
      </c>
    </row>
    <row r="193" spans="1:68">
      <c r="A193" s="806">
        <f>IF('Statement of Marks'!A192="","",'Statement of Marks'!A192)</f>
        <v>185</v>
      </c>
      <c r="B193" s="807" t="str">
        <f>IF(OR($E$3="",$P$3=""),"",IF('Statement of Marks'!B192="","",'Statement of Marks'!B192))</f>
        <v/>
      </c>
      <c r="C193" s="816" t="str">
        <f>IF(OR($E$3="",$P$3=""),"",IF('Marks Entry'!C192="","",'Marks Entry'!C192))</f>
        <v/>
      </c>
      <c r="D193" s="808" t="str">
        <f>IF(OR($E$3="",$P$3=""),"",IF('Statement of Marks'!C192="","",'Statement of Marks'!C192))</f>
        <v/>
      </c>
      <c r="E193" s="809" t="str">
        <f>IF(OR($E$3="",$P$3=""),"",IF('Statement of Marks'!D192="","",'Statement of Marks'!D192))</f>
        <v/>
      </c>
      <c r="F193" s="810" t="str">
        <f>IF(OR($E$3="",$P$3=""),"",IF('Statement of Marks'!E192="","",'Statement of Marks'!E192))</f>
        <v/>
      </c>
      <c r="G193" s="810" t="str">
        <f>IF(OR($E$3="",$P$3=""),"",IF('Statement of Marks'!F192="","",'Statement of Marks'!F192))</f>
        <v/>
      </c>
      <c r="H193" s="810" t="str">
        <f>IF(OR($E$3="",$P$3=""),"",IF('Statement of Marks'!G192="","",'Statement of Marks'!G192))</f>
        <v/>
      </c>
      <c r="I193" s="811" t="str">
        <f>IF(OR($E$3="",$P$3=""),"",IF('Statement of Marks'!H192="","",'Statement of Marks'!H192))</f>
        <v/>
      </c>
      <c r="J193" s="811" t="str">
        <f>IF(OR($E$3="",$P$3=""),"",IF('Statement of Marks'!I192="","",'Statement of Marks'!I192))</f>
        <v/>
      </c>
      <c r="K193" s="811" t="str">
        <f>IFERROR(IF(B193="","",IF($P$3=$AT$10,IF(AND(BM193="A"),'Marks Entry'!$U$2,IF(AND(BM193="B"),'Marks Entry'!$Y$2,IF(AND(BM193="C"),'Marks Entry'!$AA$2,""))),IF($P$3=$AT$11,IF(AND(BN193="A"),'Marks Entry'!$AC$2,IF(AND(BN193="B"),'Marks Entry'!$AG$2,IF(AND(BN193="C"),'Marks Entry'!$AI$2,""))),IF($P$3=$AT$12,IF(AND(BO193="A"),'Marks Entry'!$AK$2,IF(AND(BO193="B"),'Marks Entry'!$AO$2,IF(AND(BO193="C"),'Marks Entry'!$AQ$2,""))),IF($P$3=$AT$13,IF(AND(BP193="A"),'Marks Entry'!$AS$2,IF(AND(BP193="B"),'Marks Entry'!$AW$2,IF(AND(BP193="C"),'Marks Entry'!$AY$2,""))),"-"))))),"")</f>
        <v/>
      </c>
      <c r="L193" s="812" t="str">
        <f>IFERROR(IF(B193="","",IF($P$3=$AT$8,'Statement of Marks'!J192,IF($P$3=$AT$9,'Statement of Marks'!X192,IF($P$3=$AT$10,'Statement of Marks'!AM192,IF($P$3=$AT$11,'Statement of Marks'!BJ192,IF($P$3=$AT$12,'Statement of Marks'!CG192,IF($P$3=$AT$13,'Statement of Marks'!DE192,IF($P$3=$AT$14,"",IF($P$3=$AT$15,'Statement of Marks'!EY192,""))))))))),"")</f>
        <v/>
      </c>
      <c r="M193" s="812" t="str">
        <f>IFERROR(IF(B193="","",IF($P$3=$AT$8,'Statement of Marks'!K192,IF($P$3=$AT$9,'Statement of Marks'!Y192,IF($P$3=$AT$10,'Statement of Marks'!AN192,IF($P$3=$AT$11,'Statement of Marks'!BK192,IF($P$3=$AT$12,'Statement of Marks'!CH192,IF($P$3=$AT$13,'Statement of Marks'!DF192,IF($P$3=$AT$14,"",IF($P$3=$AT$15,'Statement of Marks'!EZ192,""))))))))),"")</f>
        <v/>
      </c>
      <c r="N193" s="812" t="str">
        <f>IFERROR(IF(B193="","",IF($P$3=$AT$8,'Statement of Marks'!L192,IF($P$3=$AT$9,'Statement of Marks'!Z192,IF($P$3=$AT$10,'Statement of Marks'!AO192,IF($P$3=$AT$11,'Statement of Marks'!BL192,IF($P$3=$AT$12,'Statement of Marks'!CI192,IF($P$3=$AT$13,'Statement of Marks'!DG192,IF($P$3=$AT$14,"",IF($P$3=$AT$15,'Statement of Marks'!FA192,""))))))))),"")</f>
        <v/>
      </c>
      <c r="O193" s="813" t="str">
        <f t="shared" si="32"/>
        <v/>
      </c>
      <c r="P193" s="812" t="str">
        <f>IFERROR(IF(B193="","",IF($P$3=$AT$8,'Statement of Marks'!N192,IF($P$3=$AT$9,'Statement of Marks'!AB192,IF($P$3=$AT$10,'Statement of Marks'!AQ192,IF($P$3=$AT$11,'Statement of Marks'!BN192,IF($P$3=$AT$12,'Statement of Marks'!CK192,IF($P$3=$AT$13,'Statement of Marks'!DI192,IF($P$3=$AT$14,"",IF($P$3=$AT$15,'Statement of Marks'!FC192,""))))))))),"")</f>
        <v/>
      </c>
      <c r="Q193" s="812" t="str">
        <f>IFERROR(IF(B193="","",IF($P$3=$AT$8,"",IF($P$3=$AT$9,"",IF($P$3=$AT$10,'Statement of Marks'!AR192,IF($P$3=$AT$11,'Statement of Marks'!BO192,IF($P$3=$AT$12,'Statement of Marks'!CL192,IF($P$3=$AT$13,'Statement of Marks'!DJ192,IF($P$3=$AT$14,"",IF($P$3=$AT$15,"",""))))))))),"")</f>
        <v/>
      </c>
      <c r="R193" s="824" t="str">
        <f>IFERROR(IF(B193="","",IF(AND(P193="",Q193="",$P$3=""),"",IF($P$3=$AT$14,'Statement of Marks'!EC192,SUM(P193,Q193)))),"")</f>
        <v/>
      </c>
      <c r="S193" s="823" t="str">
        <f>IFERROR(IF(B193="","",IF($P$3=$AT$14,'Statement of Marks'!ED192,IF(AND(O193="NA",P193="NA",Q193="NA"),"NA",IF(AND(O193="",P193="",Q193=""),"",SUM(O193,P193,Q193))))),"")</f>
        <v/>
      </c>
      <c r="T193" s="812" t="str">
        <f>IFERROR(IF(B193="","",IF($P$3=$AT$8,'Statement of Marks'!P192,IF($P$3=$AT$9,'Statement of Marks'!AD192,IF($P$3=$AT$10,'Statement of Marks'!AU192,IF($P$3=$AT$11,'Statement of Marks'!BR192,IF($P$3=$AT$12,'Statement of Marks'!CO192,IF($P$3=$AT$13,'Statement of Marks'!DM192,IF($P$3=$AT$14,"",IF($P$3=$AT$15,'Statement of Marks'!FD192,""))))))))),"")</f>
        <v/>
      </c>
      <c r="U193" s="812" t="str">
        <f>IFERROR(IF(B193="","",IF($P$3=$AT$8,"",IF($P$3=$AT$9,"",IF($P$3=$AT$10,'Statement of Marks'!AV192,IF($P$3=$AT$11,'Statement of Marks'!BS192,IF($P$3=$AT$12,'Statement of Marks'!CP192,IF($P$3=$AT$13,'Statement of Marks'!DN192,IF($P$3=$AT$14,"",IF($P$3=$AT$15,"",""))))))))),"")</f>
        <v/>
      </c>
      <c r="V193" s="824" t="str">
        <f>IFERROR(IF(B193="","",IF(AND(T193="",U193="",$P$3=""),"",IF($P$3=$AT$14,'Statement of Marks'!EE192,SUM(T193,U193)))),"")</f>
        <v/>
      </c>
      <c r="W193" s="814" t="str">
        <f t="shared" si="33"/>
        <v/>
      </c>
      <c r="X193" s="815">
        <f t="shared" si="34"/>
        <v>0</v>
      </c>
      <c r="Y193" s="815">
        <f t="shared" si="35"/>
        <v>0</v>
      </c>
      <c r="Z193" s="815">
        <f t="shared" si="36"/>
        <v>0</v>
      </c>
      <c r="AA193" s="815" t="str">
        <f t="shared" si="37"/>
        <v/>
      </c>
      <c r="AB193" s="815" t="str">
        <f t="shared" si="38"/>
        <v/>
      </c>
      <c r="AC193" s="815" t="str">
        <f t="shared" si="39"/>
        <v/>
      </c>
      <c r="AD193" s="815" t="str">
        <f t="shared" si="40"/>
        <v/>
      </c>
      <c r="AE193" s="816" t="str">
        <f t="shared" si="41"/>
        <v/>
      </c>
      <c r="AF193" s="817" t="str">
        <f t="shared" si="42"/>
        <v/>
      </c>
      <c r="AG193" s="818" t="str">
        <f t="shared" si="43"/>
        <v/>
      </c>
      <c r="AW193" s="17" t="str">
        <f t="shared" si="44"/>
        <v/>
      </c>
      <c r="AX193" s="17" t="str">
        <f t="shared" si="45"/>
        <v/>
      </c>
      <c r="BM193" s="17" t="str">
        <f>IFERROR(VLOOKUP(B193,'Statement of Marks'!$B$8:'Statement of Marks'!$HI$207,37,0),"")</f>
        <v>A</v>
      </c>
      <c r="BN193" s="17" t="str">
        <f>IFERROR(VLOOKUP(B193,'Statement of Marks'!$B$8:'Statement of Marks'!$HI$207,60,0),"")</f>
        <v>A</v>
      </c>
      <c r="BO193" s="17" t="str">
        <f>IFERROR(VLOOKUP(B193,'Statement of Marks'!$B$8:'Statement of Marks'!$HI$207,83,0),"")</f>
        <v>A</v>
      </c>
      <c r="BP193" s="17" t="str">
        <f>IFERROR(VLOOKUP(B193,'Statement of Marks'!$B$8:'Statement of Marks'!$HI$207,107,0),"")</f>
        <v/>
      </c>
    </row>
    <row r="194" spans="1:68">
      <c r="A194" s="806">
        <f>IF('Statement of Marks'!A193="","",'Statement of Marks'!A193)</f>
        <v>186</v>
      </c>
      <c r="B194" s="807" t="str">
        <f>IF(OR($E$3="",$P$3=""),"",IF('Statement of Marks'!B193="","",'Statement of Marks'!B193))</f>
        <v/>
      </c>
      <c r="C194" s="816" t="str">
        <f>IF(OR($E$3="",$P$3=""),"",IF('Marks Entry'!C193="","",'Marks Entry'!C193))</f>
        <v/>
      </c>
      <c r="D194" s="808" t="str">
        <f>IF(OR($E$3="",$P$3=""),"",IF('Statement of Marks'!C193="","",'Statement of Marks'!C193))</f>
        <v/>
      </c>
      <c r="E194" s="809" t="str">
        <f>IF(OR($E$3="",$P$3=""),"",IF('Statement of Marks'!D193="","",'Statement of Marks'!D193))</f>
        <v/>
      </c>
      <c r="F194" s="810" t="str">
        <f>IF(OR($E$3="",$P$3=""),"",IF('Statement of Marks'!E193="","",'Statement of Marks'!E193))</f>
        <v/>
      </c>
      <c r="G194" s="810" t="str">
        <f>IF(OR($E$3="",$P$3=""),"",IF('Statement of Marks'!F193="","",'Statement of Marks'!F193))</f>
        <v/>
      </c>
      <c r="H194" s="810" t="str">
        <f>IF(OR($E$3="",$P$3=""),"",IF('Statement of Marks'!G193="","",'Statement of Marks'!G193))</f>
        <v/>
      </c>
      <c r="I194" s="811" t="str">
        <f>IF(OR($E$3="",$P$3=""),"",IF('Statement of Marks'!H193="","",'Statement of Marks'!H193))</f>
        <v/>
      </c>
      <c r="J194" s="811" t="str">
        <f>IF(OR($E$3="",$P$3=""),"",IF('Statement of Marks'!I193="","",'Statement of Marks'!I193))</f>
        <v/>
      </c>
      <c r="K194" s="811" t="str">
        <f>IFERROR(IF(B194="","",IF($P$3=$AT$10,IF(AND(BM194="A"),'Marks Entry'!$U$2,IF(AND(BM194="B"),'Marks Entry'!$Y$2,IF(AND(BM194="C"),'Marks Entry'!$AA$2,""))),IF($P$3=$AT$11,IF(AND(BN194="A"),'Marks Entry'!$AC$2,IF(AND(BN194="B"),'Marks Entry'!$AG$2,IF(AND(BN194="C"),'Marks Entry'!$AI$2,""))),IF($P$3=$AT$12,IF(AND(BO194="A"),'Marks Entry'!$AK$2,IF(AND(BO194="B"),'Marks Entry'!$AO$2,IF(AND(BO194="C"),'Marks Entry'!$AQ$2,""))),IF($P$3=$AT$13,IF(AND(BP194="A"),'Marks Entry'!$AS$2,IF(AND(BP194="B"),'Marks Entry'!$AW$2,IF(AND(BP194="C"),'Marks Entry'!$AY$2,""))),"-"))))),"")</f>
        <v/>
      </c>
      <c r="L194" s="812" t="str">
        <f>IFERROR(IF(B194="","",IF($P$3=$AT$8,'Statement of Marks'!J193,IF($P$3=$AT$9,'Statement of Marks'!X193,IF($P$3=$AT$10,'Statement of Marks'!AM193,IF($P$3=$AT$11,'Statement of Marks'!BJ193,IF($P$3=$AT$12,'Statement of Marks'!CG193,IF($P$3=$AT$13,'Statement of Marks'!DE193,IF($P$3=$AT$14,"",IF($P$3=$AT$15,'Statement of Marks'!EY193,""))))))))),"")</f>
        <v/>
      </c>
      <c r="M194" s="812" t="str">
        <f>IFERROR(IF(B194="","",IF($P$3=$AT$8,'Statement of Marks'!K193,IF($P$3=$AT$9,'Statement of Marks'!Y193,IF($P$3=$AT$10,'Statement of Marks'!AN193,IF($P$3=$AT$11,'Statement of Marks'!BK193,IF($P$3=$AT$12,'Statement of Marks'!CH193,IF($P$3=$AT$13,'Statement of Marks'!DF193,IF($P$3=$AT$14,"",IF($P$3=$AT$15,'Statement of Marks'!EZ193,""))))))))),"")</f>
        <v/>
      </c>
      <c r="N194" s="812" t="str">
        <f>IFERROR(IF(B194="","",IF($P$3=$AT$8,'Statement of Marks'!L193,IF($P$3=$AT$9,'Statement of Marks'!Z193,IF($P$3=$AT$10,'Statement of Marks'!AO193,IF($P$3=$AT$11,'Statement of Marks'!BL193,IF($P$3=$AT$12,'Statement of Marks'!CI193,IF($P$3=$AT$13,'Statement of Marks'!DG193,IF($P$3=$AT$14,"",IF($P$3=$AT$15,'Statement of Marks'!FA193,""))))))))),"")</f>
        <v/>
      </c>
      <c r="O194" s="813" t="str">
        <f t="shared" si="32"/>
        <v/>
      </c>
      <c r="P194" s="812" t="str">
        <f>IFERROR(IF(B194="","",IF($P$3=$AT$8,'Statement of Marks'!N193,IF($P$3=$AT$9,'Statement of Marks'!AB193,IF($P$3=$AT$10,'Statement of Marks'!AQ193,IF($P$3=$AT$11,'Statement of Marks'!BN193,IF($P$3=$AT$12,'Statement of Marks'!CK193,IF($P$3=$AT$13,'Statement of Marks'!DI193,IF($P$3=$AT$14,"",IF($P$3=$AT$15,'Statement of Marks'!FC193,""))))))))),"")</f>
        <v/>
      </c>
      <c r="Q194" s="812" t="str">
        <f>IFERROR(IF(B194="","",IF($P$3=$AT$8,"",IF($P$3=$AT$9,"",IF($P$3=$AT$10,'Statement of Marks'!AR193,IF($P$3=$AT$11,'Statement of Marks'!BO193,IF($P$3=$AT$12,'Statement of Marks'!CL193,IF($P$3=$AT$13,'Statement of Marks'!DJ193,IF($P$3=$AT$14,"",IF($P$3=$AT$15,"",""))))))))),"")</f>
        <v/>
      </c>
      <c r="R194" s="824" t="str">
        <f>IFERROR(IF(B194="","",IF(AND(P194="",Q194="",$P$3=""),"",IF($P$3=$AT$14,'Statement of Marks'!EC193,SUM(P194,Q194)))),"")</f>
        <v/>
      </c>
      <c r="S194" s="823" t="str">
        <f>IFERROR(IF(B194="","",IF($P$3=$AT$14,'Statement of Marks'!ED193,IF(AND(O194="NA",P194="NA",Q194="NA"),"NA",IF(AND(O194="",P194="",Q194=""),"",SUM(O194,P194,Q194))))),"")</f>
        <v/>
      </c>
      <c r="T194" s="812" t="str">
        <f>IFERROR(IF(B194="","",IF($P$3=$AT$8,'Statement of Marks'!P193,IF($P$3=$AT$9,'Statement of Marks'!AD193,IF($P$3=$AT$10,'Statement of Marks'!AU193,IF($P$3=$AT$11,'Statement of Marks'!BR193,IF($P$3=$AT$12,'Statement of Marks'!CO193,IF($P$3=$AT$13,'Statement of Marks'!DM193,IF($P$3=$AT$14,"",IF($P$3=$AT$15,'Statement of Marks'!FD193,""))))))))),"")</f>
        <v/>
      </c>
      <c r="U194" s="812" t="str">
        <f>IFERROR(IF(B194="","",IF($P$3=$AT$8,"",IF($P$3=$AT$9,"",IF($P$3=$AT$10,'Statement of Marks'!AV193,IF($P$3=$AT$11,'Statement of Marks'!BS193,IF($P$3=$AT$12,'Statement of Marks'!CP193,IF($P$3=$AT$13,'Statement of Marks'!DN193,IF($P$3=$AT$14,"",IF($P$3=$AT$15,"",""))))))))),"")</f>
        <v/>
      </c>
      <c r="V194" s="824" t="str">
        <f>IFERROR(IF(B194="","",IF(AND(T194="",U194="",$P$3=""),"",IF($P$3=$AT$14,'Statement of Marks'!EE193,SUM(T194,U194)))),"")</f>
        <v/>
      </c>
      <c r="W194" s="814" t="str">
        <f t="shared" si="33"/>
        <v/>
      </c>
      <c r="X194" s="815">
        <f t="shared" si="34"/>
        <v>0</v>
      </c>
      <c r="Y194" s="815">
        <f t="shared" si="35"/>
        <v>0</v>
      </c>
      <c r="Z194" s="815">
        <f t="shared" si="36"/>
        <v>0</v>
      </c>
      <c r="AA194" s="815" t="str">
        <f t="shared" si="37"/>
        <v/>
      </c>
      <c r="AB194" s="815" t="str">
        <f t="shared" si="38"/>
        <v/>
      </c>
      <c r="AC194" s="815" t="str">
        <f t="shared" si="39"/>
        <v/>
      </c>
      <c r="AD194" s="815" t="str">
        <f t="shared" si="40"/>
        <v/>
      </c>
      <c r="AE194" s="816" t="str">
        <f t="shared" si="41"/>
        <v/>
      </c>
      <c r="AF194" s="817" t="str">
        <f t="shared" si="42"/>
        <v/>
      </c>
      <c r="AG194" s="818" t="str">
        <f t="shared" si="43"/>
        <v/>
      </c>
      <c r="AW194" s="17" t="str">
        <f t="shared" si="44"/>
        <v/>
      </c>
      <c r="AX194" s="17" t="str">
        <f t="shared" si="45"/>
        <v/>
      </c>
      <c r="BM194" s="17" t="str">
        <f>IFERROR(VLOOKUP(B194,'Statement of Marks'!$B$8:'Statement of Marks'!$HI$207,37,0),"")</f>
        <v>A</v>
      </c>
      <c r="BN194" s="17" t="str">
        <f>IFERROR(VLOOKUP(B194,'Statement of Marks'!$B$8:'Statement of Marks'!$HI$207,60,0),"")</f>
        <v>A</v>
      </c>
      <c r="BO194" s="17" t="str">
        <f>IFERROR(VLOOKUP(B194,'Statement of Marks'!$B$8:'Statement of Marks'!$HI$207,83,0),"")</f>
        <v>A</v>
      </c>
      <c r="BP194" s="17" t="str">
        <f>IFERROR(VLOOKUP(B194,'Statement of Marks'!$B$8:'Statement of Marks'!$HI$207,107,0),"")</f>
        <v/>
      </c>
    </row>
    <row r="195" spans="1:68">
      <c r="A195" s="806">
        <f>IF('Statement of Marks'!A194="","",'Statement of Marks'!A194)</f>
        <v>187</v>
      </c>
      <c r="B195" s="807" t="str">
        <f>IF(OR($E$3="",$P$3=""),"",IF('Statement of Marks'!B194="","",'Statement of Marks'!B194))</f>
        <v/>
      </c>
      <c r="C195" s="816" t="str">
        <f>IF(OR($E$3="",$P$3=""),"",IF('Marks Entry'!C194="","",'Marks Entry'!C194))</f>
        <v/>
      </c>
      <c r="D195" s="808" t="str">
        <f>IF(OR($E$3="",$P$3=""),"",IF('Statement of Marks'!C194="","",'Statement of Marks'!C194))</f>
        <v/>
      </c>
      <c r="E195" s="809" t="str">
        <f>IF(OR($E$3="",$P$3=""),"",IF('Statement of Marks'!D194="","",'Statement of Marks'!D194))</f>
        <v/>
      </c>
      <c r="F195" s="810" t="str">
        <f>IF(OR($E$3="",$P$3=""),"",IF('Statement of Marks'!E194="","",'Statement of Marks'!E194))</f>
        <v/>
      </c>
      <c r="G195" s="810" t="str">
        <f>IF(OR($E$3="",$P$3=""),"",IF('Statement of Marks'!F194="","",'Statement of Marks'!F194))</f>
        <v/>
      </c>
      <c r="H195" s="810" t="str">
        <f>IF(OR($E$3="",$P$3=""),"",IF('Statement of Marks'!G194="","",'Statement of Marks'!G194))</f>
        <v/>
      </c>
      <c r="I195" s="811" t="str">
        <f>IF(OR($E$3="",$P$3=""),"",IF('Statement of Marks'!H194="","",'Statement of Marks'!H194))</f>
        <v/>
      </c>
      <c r="J195" s="811" t="str">
        <f>IF(OR($E$3="",$P$3=""),"",IF('Statement of Marks'!I194="","",'Statement of Marks'!I194))</f>
        <v/>
      </c>
      <c r="K195" s="811" t="str">
        <f>IFERROR(IF(B195="","",IF($P$3=$AT$10,IF(AND(BM195="A"),'Marks Entry'!$U$2,IF(AND(BM195="B"),'Marks Entry'!$Y$2,IF(AND(BM195="C"),'Marks Entry'!$AA$2,""))),IF($P$3=$AT$11,IF(AND(BN195="A"),'Marks Entry'!$AC$2,IF(AND(BN195="B"),'Marks Entry'!$AG$2,IF(AND(BN195="C"),'Marks Entry'!$AI$2,""))),IF($P$3=$AT$12,IF(AND(BO195="A"),'Marks Entry'!$AK$2,IF(AND(BO195="B"),'Marks Entry'!$AO$2,IF(AND(BO195="C"),'Marks Entry'!$AQ$2,""))),IF($P$3=$AT$13,IF(AND(BP195="A"),'Marks Entry'!$AS$2,IF(AND(BP195="B"),'Marks Entry'!$AW$2,IF(AND(BP195="C"),'Marks Entry'!$AY$2,""))),"-"))))),"")</f>
        <v/>
      </c>
      <c r="L195" s="812" t="str">
        <f>IFERROR(IF(B195="","",IF($P$3=$AT$8,'Statement of Marks'!J194,IF($P$3=$AT$9,'Statement of Marks'!X194,IF($P$3=$AT$10,'Statement of Marks'!AM194,IF($P$3=$AT$11,'Statement of Marks'!BJ194,IF($P$3=$AT$12,'Statement of Marks'!CG194,IF($P$3=$AT$13,'Statement of Marks'!DE194,IF($P$3=$AT$14,"",IF($P$3=$AT$15,'Statement of Marks'!EY194,""))))))))),"")</f>
        <v/>
      </c>
      <c r="M195" s="812" t="str">
        <f>IFERROR(IF(B195="","",IF($P$3=$AT$8,'Statement of Marks'!K194,IF($P$3=$AT$9,'Statement of Marks'!Y194,IF($P$3=$AT$10,'Statement of Marks'!AN194,IF($P$3=$AT$11,'Statement of Marks'!BK194,IF($P$3=$AT$12,'Statement of Marks'!CH194,IF($P$3=$AT$13,'Statement of Marks'!DF194,IF($P$3=$AT$14,"",IF($P$3=$AT$15,'Statement of Marks'!EZ194,""))))))))),"")</f>
        <v/>
      </c>
      <c r="N195" s="812" t="str">
        <f>IFERROR(IF(B195="","",IF($P$3=$AT$8,'Statement of Marks'!L194,IF($P$3=$AT$9,'Statement of Marks'!Z194,IF($P$3=$AT$10,'Statement of Marks'!AO194,IF($P$3=$AT$11,'Statement of Marks'!BL194,IF($P$3=$AT$12,'Statement of Marks'!CI194,IF($P$3=$AT$13,'Statement of Marks'!DG194,IF($P$3=$AT$14,"",IF($P$3=$AT$15,'Statement of Marks'!FA194,""))))))))),"")</f>
        <v/>
      </c>
      <c r="O195" s="813" t="str">
        <f t="shared" si="32"/>
        <v/>
      </c>
      <c r="P195" s="812" t="str">
        <f>IFERROR(IF(B195="","",IF($P$3=$AT$8,'Statement of Marks'!N194,IF($P$3=$AT$9,'Statement of Marks'!AB194,IF($P$3=$AT$10,'Statement of Marks'!AQ194,IF($P$3=$AT$11,'Statement of Marks'!BN194,IF($P$3=$AT$12,'Statement of Marks'!CK194,IF($P$3=$AT$13,'Statement of Marks'!DI194,IF($P$3=$AT$14,"",IF($P$3=$AT$15,'Statement of Marks'!FC194,""))))))))),"")</f>
        <v/>
      </c>
      <c r="Q195" s="812" t="str">
        <f>IFERROR(IF(B195="","",IF($P$3=$AT$8,"",IF($P$3=$AT$9,"",IF($P$3=$AT$10,'Statement of Marks'!AR194,IF($P$3=$AT$11,'Statement of Marks'!BO194,IF($P$3=$AT$12,'Statement of Marks'!CL194,IF($P$3=$AT$13,'Statement of Marks'!DJ194,IF($P$3=$AT$14,"",IF($P$3=$AT$15,"",""))))))))),"")</f>
        <v/>
      </c>
      <c r="R195" s="824" t="str">
        <f>IFERROR(IF(B195="","",IF(AND(P195="",Q195="",$P$3=""),"",IF($P$3=$AT$14,'Statement of Marks'!EC194,SUM(P195,Q195)))),"")</f>
        <v/>
      </c>
      <c r="S195" s="823" t="str">
        <f>IFERROR(IF(B195="","",IF($P$3=$AT$14,'Statement of Marks'!ED194,IF(AND(O195="NA",P195="NA",Q195="NA"),"NA",IF(AND(O195="",P195="",Q195=""),"",SUM(O195,P195,Q195))))),"")</f>
        <v/>
      </c>
      <c r="T195" s="812" t="str">
        <f>IFERROR(IF(B195="","",IF($P$3=$AT$8,'Statement of Marks'!P194,IF($P$3=$AT$9,'Statement of Marks'!AD194,IF($P$3=$AT$10,'Statement of Marks'!AU194,IF($P$3=$AT$11,'Statement of Marks'!BR194,IF($P$3=$AT$12,'Statement of Marks'!CO194,IF($P$3=$AT$13,'Statement of Marks'!DM194,IF($P$3=$AT$14,"",IF($P$3=$AT$15,'Statement of Marks'!FD194,""))))))))),"")</f>
        <v/>
      </c>
      <c r="U195" s="812" t="str">
        <f>IFERROR(IF(B195="","",IF($P$3=$AT$8,"",IF($P$3=$AT$9,"",IF($P$3=$AT$10,'Statement of Marks'!AV194,IF($P$3=$AT$11,'Statement of Marks'!BS194,IF($P$3=$AT$12,'Statement of Marks'!CP194,IF($P$3=$AT$13,'Statement of Marks'!DN194,IF($P$3=$AT$14,"",IF($P$3=$AT$15,"",""))))))))),"")</f>
        <v/>
      </c>
      <c r="V195" s="824" t="str">
        <f>IFERROR(IF(B195="","",IF(AND(T195="",U195="",$P$3=""),"",IF($P$3=$AT$14,'Statement of Marks'!EE194,SUM(T195,U195)))),"")</f>
        <v/>
      </c>
      <c r="W195" s="814" t="str">
        <f t="shared" si="33"/>
        <v/>
      </c>
      <c r="X195" s="815">
        <f t="shared" si="34"/>
        <v>0</v>
      </c>
      <c r="Y195" s="815">
        <f t="shared" si="35"/>
        <v>0</v>
      </c>
      <c r="Z195" s="815">
        <f t="shared" si="36"/>
        <v>0</v>
      </c>
      <c r="AA195" s="815" t="str">
        <f t="shared" si="37"/>
        <v/>
      </c>
      <c r="AB195" s="815" t="str">
        <f t="shared" si="38"/>
        <v/>
      </c>
      <c r="AC195" s="815" t="str">
        <f t="shared" si="39"/>
        <v/>
      </c>
      <c r="AD195" s="815" t="str">
        <f t="shared" si="40"/>
        <v/>
      </c>
      <c r="AE195" s="816" t="str">
        <f t="shared" si="41"/>
        <v/>
      </c>
      <c r="AF195" s="817" t="str">
        <f t="shared" si="42"/>
        <v/>
      </c>
      <c r="AG195" s="818" t="str">
        <f t="shared" si="43"/>
        <v/>
      </c>
      <c r="AW195" s="17" t="str">
        <f t="shared" si="44"/>
        <v/>
      </c>
      <c r="AX195" s="17" t="str">
        <f t="shared" si="45"/>
        <v/>
      </c>
      <c r="BM195" s="17" t="str">
        <f>IFERROR(VLOOKUP(B195,'Statement of Marks'!$B$8:'Statement of Marks'!$HI$207,37,0),"")</f>
        <v>A</v>
      </c>
      <c r="BN195" s="17" t="str">
        <f>IFERROR(VLOOKUP(B195,'Statement of Marks'!$B$8:'Statement of Marks'!$HI$207,60,0),"")</f>
        <v>A</v>
      </c>
      <c r="BO195" s="17" t="str">
        <f>IFERROR(VLOOKUP(B195,'Statement of Marks'!$B$8:'Statement of Marks'!$HI$207,83,0),"")</f>
        <v>A</v>
      </c>
      <c r="BP195" s="17" t="str">
        <f>IFERROR(VLOOKUP(B195,'Statement of Marks'!$B$8:'Statement of Marks'!$HI$207,107,0),"")</f>
        <v/>
      </c>
    </row>
    <row r="196" spans="1:68">
      <c r="A196" s="806">
        <f>IF('Statement of Marks'!A195="","",'Statement of Marks'!A195)</f>
        <v>188</v>
      </c>
      <c r="B196" s="807" t="str">
        <f>IF(OR($E$3="",$P$3=""),"",IF('Statement of Marks'!B195="","",'Statement of Marks'!B195))</f>
        <v/>
      </c>
      <c r="C196" s="816" t="str">
        <f>IF(OR($E$3="",$P$3=""),"",IF('Marks Entry'!C195="","",'Marks Entry'!C195))</f>
        <v/>
      </c>
      <c r="D196" s="808" t="str">
        <f>IF(OR($E$3="",$P$3=""),"",IF('Statement of Marks'!C195="","",'Statement of Marks'!C195))</f>
        <v/>
      </c>
      <c r="E196" s="809" t="str">
        <f>IF(OR($E$3="",$P$3=""),"",IF('Statement of Marks'!D195="","",'Statement of Marks'!D195))</f>
        <v/>
      </c>
      <c r="F196" s="810" t="str">
        <f>IF(OR($E$3="",$P$3=""),"",IF('Statement of Marks'!E195="","",'Statement of Marks'!E195))</f>
        <v/>
      </c>
      <c r="G196" s="810" t="str">
        <f>IF(OR($E$3="",$P$3=""),"",IF('Statement of Marks'!F195="","",'Statement of Marks'!F195))</f>
        <v/>
      </c>
      <c r="H196" s="810" t="str">
        <f>IF(OR($E$3="",$P$3=""),"",IF('Statement of Marks'!G195="","",'Statement of Marks'!G195))</f>
        <v/>
      </c>
      <c r="I196" s="811" t="str">
        <f>IF(OR($E$3="",$P$3=""),"",IF('Statement of Marks'!H195="","",'Statement of Marks'!H195))</f>
        <v/>
      </c>
      <c r="J196" s="811" t="str">
        <f>IF(OR($E$3="",$P$3=""),"",IF('Statement of Marks'!I195="","",'Statement of Marks'!I195))</f>
        <v/>
      </c>
      <c r="K196" s="811" t="str">
        <f>IFERROR(IF(B196="","",IF($P$3=$AT$10,IF(AND(BM196="A"),'Marks Entry'!$U$2,IF(AND(BM196="B"),'Marks Entry'!$Y$2,IF(AND(BM196="C"),'Marks Entry'!$AA$2,""))),IF($P$3=$AT$11,IF(AND(BN196="A"),'Marks Entry'!$AC$2,IF(AND(BN196="B"),'Marks Entry'!$AG$2,IF(AND(BN196="C"),'Marks Entry'!$AI$2,""))),IF($P$3=$AT$12,IF(AND(BO196="A"),'Marks Entry'!$AK$2,IF(AND(BO196="B"),'Marks Entry'!$AO$2,IF(AND(BO196="C"),'Marks Entry'!$AQ$2,""))),IF($P$3=$AT$13,IF(AND(BP196="A"),'Marks Entry'!$AS$2,IF(AND(BP196="B"),'Marks Entry'!$AW$2,IF(AND(BP196="C"),'Marks Entry'!$AY$2,""))),"-"))))),"")</f>
        <v/>
      </c>
      <c r="L196" s="812" t="str">
        <f>IFERROR(IF(B196="","",IF($P$3=$AT$8,'Statement of Marks'!J195,IF($P$3=$AT$9,'Statement of Marks'!X195,IF($P$3=$AT$10,'Statement of Marks'!AM195,IF($P$3=$AT$11,'Statement of Marks'!BJ195,IF($P$3=$AT$12,'Statement of Marks'!CG195,IF($P$3=$AT$13,'Statement of Marks'!DE195,IF($P$3=$AT$14,"",IF($P$3=$AT$15,'Statement of Marks'!EY195,""))))))))),"")</f>
        <v/>
      </c>
      <c r="M196" s="812" t="str">
        <f>IFERROR(IF(B196="","",IF($P$3=$AT$8,'Statement of Marks'!K195,IF($P$3=$AT$9,'Statement of Marks'!Y195,IF($P$3=$AT$10,'Statement of Marks'!AN195,IF($P$3=$AT$11,'Statement of Marks'!BK195,IF($P$3=$AT$12,'Statement of Marks'!CH195,IF($P$3=$AT$13,'Statement of Marks'!DF195,IF($P$3=$AT$14,"",IF($P$3=$AT$15,'Statement of Marks'!EZ195,""))))))))),"")</f>
        <v/>
      </c>
      <c r="N196" s="812" t="str">
        <f>IFERROR(IF(B196="","",IF($P$3=$AT$8,'Statement of Marks'!L195,IF($P$3=$AT$9,'Statement of Marks'!Z195,IF($P$3=$AT$10,'Statement of Marks'!AO195,IF($P$3=$AT$11,'Statement of Marks'!BL195,IF($P$3=$AT$12,'Statement of Marks'!CI195,IF($P$3=$AT$13,'Statement of Marks'!DG195,IF($P$3=$AT$14,"",IF($P$3=$AT$15,'Statement of Marks'!FA195,""))))))))),"")</f>
        <v/>
      </c>
      <c r="O196" s="813" t="str">
        <f t="shared" si="32"/>
        <v/>
      </c>
      <c r="P196" s="812" t="str">
        <f>IFERROR(IF(B196="","",IF($P$3=$AT$8,'Statement of Marks'!N195,IF($P$3=$AT$9,'Statement of Marks'!AB195,IF($P$3=$AT$10,'Statement of Marks'!AQ195,IF($P$3=$AT$11,'Statement of Marks'!BN195,IF($P$3=$AT$12,'Statement of Marks'!CK195,IF($P$3=$AT$13,'Statement of Marks'!DI195,IF($P$3=$AT$14,"",IF($P$3=$AT$15,'Statement of Marks'!FC195,""))))))))),"")</f>
        <v/>
      </c>
      <c r="Q196" s="812" t="str">
        <f>IFERROR(IF(B196="","",IF($P$3=$AT$8,"",IF($P$3=$AT$9,"",IF($P$3=$AT$10,'Statement of Marks'!AR195,IF($P$3=$AT$11,'Statement of Marks'!BO195,IF($P$3=$AT$12,'Statement of Marks'!CL195,IF($P$3=$AT$13,'Statement of Marks'!DJ195,IF($P$3=$AT$14,"",IF($P$3=$AT$15,"",""))))))))),"")</f>
        <v/>
      </c>
      <c r="R196" s="824" t="str">
        <f>IFERROR(IF(B196="","",IF(AND(P196="",Q196="",$P$3=""),"",IF($P$3=$AT$14,'Statement of Marks'!EC195,SUM(P196,Q196)))),"")</f>
        <v/>
      </c>
      <c r="S196" s="823" t="str">
        <f>IFERROR(IF(B196="","",IF($P$3=$AT$14,'Statement of Marks'!ED195,IF(AND(O196="NA",P196="NA",Q196="NA"),"NA",IF(AND(O196="",P196="",Q196=""),"",SUM(O196,P196,Q196))))),"")</f>
        <v/>
      </c>
      <c r="T196" s="812" t="str">
        <f>IFERROR(IF(B196="","",IF($P$3=$AT$8,'Statement of Marks'!P195,IF($P$3=$AT$9,'Statement of Marks'!AD195,IF($P$3=$AT$10,'Statement of Marks'!AU195,IF($P$3=$AT$11,'Statement of Marks'!BR195,IF($P$3=$AT$12,'Statement of Marks'!CO195,IF($P$3=$AT$13,'Statement of Marks'!DM195,IF($P$3=$AT$14,"",IF($P$3=$AT$15,'Statement of Marks'!FD195,""))))))))),"")</f>
        <v/>
      </c>
      <c r="U196" s="812" t="str">
        <f>IFERROR(IF(B196="","",IF($P$3=$AT$8,"",IF($P$3=$AT$9,"",IF($P$3=$AT$10,'Statement of Marks'!AV195,IF($P$3=$AT$11,'Statement of Marks'!BS195,IF($P$3=$AT$12,'Statement of Marks'!CP195,IF($P$3=$AT$13,'Statement of Marks'!DN195,IF($P$3=$AT$14,"",IF($P$3=$AT$15,"",""))))))))),"")</f>
        <v/>
      </c>
      <c r="V196" s="824" t="str">
        <f>IFERROR(IF(B196="","",IF(AND(T196="",U196="",$P$3=""),"",IF($P$3=$AT$14,'Statement of Marks'!EE195,SUM(T196,U196)))),"")</f>
        <v/>
      </c>
      <c r="W196" s="814" t="str">
        <f t="shared" si="33"/>
        <v/>
      </c>
      <c r="X196" s="815">
        <f t="shared" si="34"/>
        <v>0</v>
      </c>
      <c r="Y196" s="815">
        <f t="shared" si="35"/>
        <v>0</v>
      </c>
      <c r="Z196" s="815">
        <f t="shared" si="36"/>
        <v>0</v>
      </c>
      <c r="AA196" s="815" t="str">
        <f t="shared" si="37"/>
        <v/>
      </c>
      <c r="AB196" s="815" t="str">
        <f t="shared" si="38"/>
        <v/>
      </c>
      <c r="AC196" s="815" t="str">
        <f t="shared" si="39"/>
        <v/>
      </c>
      <c r="AD196" s="815" t="str">
        <f t="shared" si="40"/>
        <v/>
      </c>
      <c r="AE196" s="816" t="str">
        <f t="shared" si="41"/>
        <v/>
      </c>
      <c r="AF196" s="817" t="str">
        <f t="shared" si="42"/>
        <v/>
      </c>
      <c r="AG196" s="818" t="str">
        <f t="shared" si="43"/>
        <v/>
      </c>
      <c r="AW196" s="17" t="str">
        <f t="shared" si="44"/>
        <v/>
      </c>
      <c r="AX196" s="17" t="str">
        <f t="shared" si="45"/>
        <v/>
      </c>
      <c r="BM196" s="17" t="str">
        <f>IFERROR(VLOOKUP(B196,'Statement of Marks'!$B$8:'Statement of Marks'!$HI$207,37,0),"")</f>
        <v>A</v>
      </c>
      <c r="BN196" s="17" t="str">
        <f>IFERROR(VLOOKUP(B196,'Statement of Marks'!$B$8:'Statement of Marks'!$HI$207,60,0),"")</f>
        <v>A</v>
      </c>
      <c r="BO196" s="17" t="str">
        <f>IFERROR(VLOOKUP(B196,'Statement of Marks'!$B$8:'Statement of Marks'!$HI$207,83,0),"")</f>
        <v>A</v>
      </c>
      <c r="BP196" s="17" t="str">
        <f>IFERROR(VLOOKUP(B196,'Statement of Marks'!$B$8:'Statement of Marks'!$HI$207,107,0),"")</f>
        <v/>
      </c>
    </row>
    <row r="197" spans="1:68">
      <c r="A197" s="806">
        <f>IF('Statement of Marks'!A196="","",'Statement of Marks'!A196)</f>
        <v>189</v>
      </c>
      <c r="B197" s="807" t="str">
        <f>IF(OR($E$3="",$P$3=""),"",IF('Statement of Marks'!B196="","",'Statement of Marks'!B196))</f>
        <v/>
      </c>
      <c r="C197" s="816" t="str">
        <f>IF(OR($E$3="",$P$3=""),"",IF('Marks Entry'!C196="","",'Marks Entry'!C196))</f>
        <v/>
      </c>
      <c r="D197" s="808" t="str">
        <f>IF(OR($E$3="",$P$3=""),"",IF('Statement of Marks'!C196="","",'Statement of Marks'!C196))</f>
        <v/>
      </c>
      <c r="E197" s="809" t="str">
        <f>IF(OR($E$3="",$P$3=""),"",IF('Statement of Marks'!D196="","",'Statement of Marks'!D196))</f>
        <v/>
      </c>
      <c r="F197" s="810" t="str">
        <f>IF(OR($E$3="",$P$3=""),"",IF('Statement of Marks'!E196="","",'Statement of Marks'!E196))</f>
        <v/>
      </c>
      <c r="G197" s="810" t="str">
        <f>IF(OR($E$3="",$P$3=""),"",IF('Statement of Marks'!F196="","",'Statement of Marks'!F196))</f>
        <v/>
      </c>
      <c r="H197" s="810" t="str">
        <f>IF(OR($E$3="",$P$3=""),"",IF('Statement of Marks'!G196="","",'Statement of Marks'!G196))</f>
        <v/>
      </c>
      <c r="I197" s="811" t="str">
        <f>IF(OR($E$3="",$P$3=""),"",IF('Statement of Marks'!H196="","",'Statement of Marks'!H196))</f>
        <v/>
      </c>
      <c r="J197" s="811" t="str">
        <f>IF(OR($E$3="",$P$3=""),"",IF('Statement of Marks'!I196="","",'Statement of Marks'!I196))</f>
        <v/>
      </c>
      <c r="K197" s="811" t="str">
        <f>IFERROR(IF(B197="","",IF($P$3=$AT$10,IF(AND(BM197="A"),'Marks Entry'!$U$2,IF(AND(BM197="B"),'Marks Entry'!$Y$2,IF(AND(BM197="C"),'Marks Entry'!$AA$2,""))),IF($P$3=$AT$11,IF(AND(BN197="A"),'Marks Entry'!$AC$2,IF(AND(BN197="B"),'Marks Entry'!$AG$2,IF(AND(BN197="C"),'Marks Entry'!$AI$2,""))),IF($P$3=$AT$12,IF(AND(BO197="A"),'Marks Entry'!$AK$2,IF(AND(BO197="B"),'Marks Entry'!$AO$2,IF(AND(BO197="C"),'Marks Entry'!$AQ$2,""))),IF($P$3=$AT$13,IF(AND(BP197="A"),'Marks Entry'!$AS$2,IF(AND(BP197="B"),'Marks Entry'!$AW$2,IF(AND(BP197="C"),'Marks Entry'!$AY$2,""))),"-"))))),"")</f>
        <v/>
      </c>
      <c r="L197" s="812" t="str">
        <f>IFERROR(IF(B197="","",IF($P$3=$AT$8,'Statement of Marks'!J196,IF($P$3=$AT$9,'Statement of Marks'!X196,IF($P$3=$AT$10,'Statement of Marks'!AM196,IF($P$3=$AT$11,'Statement of Marks'!BJ196,IF($P$3=$AT$12,'Statement of Marks'!CG196,IF($P$3=$AT$13,'Statement of Marks'!DE196,IF($P$3=$AT$14,"",IF($P$3=$AT$15,'Statement of Marks'!EY196,""))))))))),"")</f>
        <v/>
      </c>
      <c r="M197" s="812" t="str">
        <f>IFERROR(IF(B197="","",IF($P$3=$AT$8,'Statement of Marks'!K196,IF($P$3=$AT$9,'Statement of Marks'!Y196,IF($P$3=$AT$10,'Statement of Marks'!AN196,IF($P$3=$AT$11,'Statement of Marks'!BK196,IF($P$3=$AT$12,'Statement of Marks'!CH196,IF($P$3=$AT$13,'Statement of Marks'!DF196,IF($P$3=$AT$14,"",IF($P$3=$AT$15,'Statement of Marks'!EZ196,""))))))))),"")</f>
        <v/>
      </c>
      <c r="N197" s="812" t="str">
        <f>IFERROR(IF(B197="","",IF($P$3=$AT$8,'Statement of Marks'!L196,IF($P$3=$AT$9,'Statement of Marks'!Z196,IF($P$3=$AT$10,'Statement of Marks'!AO196,IF($P$3=$AT$11,'Statement of Marks'!BL196,IF($P$3=$AT$12,'Statement of Marks'!CI196,IF($P$3=$AT$13,'Statement of Marks'!DG196,IF($P$3=$AT$14,"",IF($P$3=$AT$15,'Statement of Marks'!FA196,""))))))))),"")</f>
        <v/>
      </c>
      <c r="O197" s="813" t="str">
        <f t="shared" si="32"/>
        <v/>
      </c>
      <c r="P197" s="812" t="str">
        <f>IFERROR(IF(B197="","",IF($P$3=$AT$8,'Statement of Marks'!N196,IF($P$3=$AT$9,'Statement of Marks'!AB196,IF($P$3=$AT$10,'Statement of Marks'!AQ196,IF($P$3=$AT$11,'Statement of Marks'!BN196,IF($P$3=$AT$12,'Statement of Marks'!CK196,IF($P$3=$AT$13,'Statement of Marks'!DI196,IF($P$3=$AT$14,"",IF($P$3=$AT$15,'Statement of Marks'!FC196,""))))))))),"")</f>
        <v/>
      </c>
      <c r="Q197" s="812" t="str">
        <f>IFERROR(IF(B197="","",IF($P$3=$AT$8,"",IF($P$3=$AT$9,"",IF($P$3=$AT$10,'Statement of Marks'!AR196,IF($P$3=$AT$11,'Statement of Marks'!BO196,IF($P$3=$AT$12,'Statement of Marks'!CL196,IF($P$3=$AT$13,'Statement of Marks'!DJ196,IF($P$3=$AT$14,"",IF($P$3=$AT$15,"",""))))))))),"")</f>
        <v/>
      </c>
      <c r="R197" s="824" t="str">
        <f>IFERROR(IF(B197="","",IF(AND(P197="",Q197="",$P$3=""),"",IF($P$3=$AT$14,'Statement of Marks'!EC196,SUM(P197,Q197)))),"")</f>
        <v/>
      </c>
      <c r="S197" s="823" t="str">
        <f>IFERROR(IF(B197="","",IF($P$3=$AT$14,'Statement of Marks'!ED196,IF(AND(O197="NA",P197="NA",Q197="NA"),"NA",IF(AND(O197="",P197="",Q197=""),"",SUM(O197,P197,Q197))))),"")</f>
        <v/>
      </c>
      <c r="T197" s="812" t="str">
        <f>IFERROR(IF(B197="","",IF($P$3=$AT$8,'Statement of Marks'!P196,IF($P$3=$AT$9,'Statement of Marks'!AD196,IF($P$3=$AT$10,'Statement of Marks'!AU196,IF($P$3=$AT$11,'Statement of Marks'!BR196,IF($P$3=$AT$12,'Statement of Marks'!CO196,IF($P$3=$AT$13,'Statement of Marks'!DM196,IF($P$3=$AT$14,"",IF($P$3=$AT$15,'Statement of Marks'!FD196,""))))))))),"")</f>
        <v/>
      </c>
      <c r="U197" s="812" t="str">
        <f>IFERROR(IF(B197="","",IF($P$3=$AT$8,"",IF($P$3=$AT$9,"",IF($P$3=$AT$10,'Statement of Marks'!AV196,IF($P$3=$AT$11,'Statement of Marks'!BS196,IF($P$3=$AT$12,'Statement of Marks'!CP196,IF($P$3=$AT$13,'Statement of Marks'!DN196,IF($P$3=$AT$14,"",IF($P$3=$AT$15,"",""))))))))),"")</f>
        <v/>
      </c>
      <c r="V197" s="824" t="str">
        <f>IFERROR(IF(B197="","",IF(AND(T197="",U197="",$P$3=""),"",IF($P$3=$AT$14,'Statement of Marks'!EE196,SUM(T197,U197)))),"")</f>
        <v/>
      </c>
      <c r="W197" s="814" t="str">
        <f t="shared" si="33"/>
        <v/>
      </c>
      <c r="X197" s="815">
        <f t="shared" si="34"/>
        <v>0</v>
      </c>
      <c r="Y197" s="815">
        <f t="shared" si="35"/>
        <v>0</v>
      </c>
      <c r="Z197" s="815">
        <f t="shared" si="36"/>
        <v>0</v>
      </c>
      <c r="AA197" s="815" t="str">
        <f t="shared" si="37"/>
        <v/>
      </c>
      <c r="AB197" s="815" t="str">
        <f t="shared" si="38"/>
        <v/>
      </c>
      <c r="AC197" s="815" t="str">
        <f t="shared" si="39"/>
        <v/>
      </c>
      <c r="AD197" s="815" t="str">
        <f t="shared" si="40"/>
        <v/>
      </c>
      <c r="AE197" s="816" t="str">
        <f t="shared" si="41"/>
        <v/>
      </c>
      <c r="AF197" s="817" t="str">
        <f t="shared" si="42"/>
        <v/>
      </c>
      <c r="AG197" s="818" t="str">
        <f t="shared" si="43"/>
        <v/>
      </c>
      <c r="AW197" s="17" t="str">
        <f t="shared" si="44"/>
        <v/>
      </c>
      <c r="AX197" s="17" t="str">
        <f t="shared" si="45"/>
        <v/>
      </c>
      <c r="BM197" s="17" t="str">
        <f>IFERROR(VLOOKUP(B197,'Statement of Marks'!$B$8:'Statement of Marks'!$HI$207,37,0),"")</f>
        <v>A</v>
      </c>
      <c r="BN197" s="17" t="str">
        <f>IFERROR(VLOOKUP(B197,'Statement of Marks'!$B$8:'Statement of Marks'!$HI$207,60,0),"")</f>
        <v>A</v>
      </c>
      <c r="BO197" s="17" t="str">
        <f>IFERROR(VLOOKUP(B197,'Statement of Marks'!$B$8:'Statement of Marks'!$HI$207,83,0),"")</f>
        <v>A</v>
      </c>
      <c r="BP197" s="17" t="str">
        <f>IFERROR(VLOOKUP(B197,'Statement of Marks'!$B$8:'Statement of Marks'!$HI$207,107,0),"")</f>
        <v/>
      </c>
    </row>
    <row r="198" spans="1:68">
      <c r="A198" s="806">
        <f>IF('Statement of Marks'!A197="","",'Statement of Marks'!A197)</f>
        <v>190</v>
      </c>
      <c r="B198" s="807" t="str">
        <f>IF(OR($E$3="",$P$3=""),"",IF('Statement of Marks'!B197="","",'Statement of Marks'!B197))</f>
        <v/>
      </c>
      <c r="C198" s="816" t="str">
        <f>IF(OR($E$3="",$P$3=""),"",IF('Marks Entry'!C197="","",'Marks Entry'!C197))</f>
        <v/>
      </c>
      <c r="D198" s="808" t="str">
        <f>IF(OR($E$3="",$P$3=""),"",IF('Statement of Marks'!C197="","",'Statement of Marks'!C197))</f>
        <v/>
      </c>
      <c r="E198" s="809" t="str">
        <f>IF(OR($E$3="",$P$3=""),"",IF('Statement of Marks'!D197="","",'Statement of Marks'!D197))</f>
        <v/>
      </c>
      <c r="F198" s="810" t="str">
        <f>IF(OR($E$3="",$P$3=""),"",IF('Statement of Marks'!E197="","",'Statement of Marks'!E197))</f>
        <v/>
      </c>
      <c r="G198" s="810" t="str">
        <f>IF(OR($E$3="",$P$3=""),"",IF('Statement of Marks'!F197="","",'Statement of Marks'!F197))</f>
        <v/>
      </c>
      <c r="H198" s="810" t="str">
        <f>IF(OR($E$3="",$P$3=""),"",IF('Statement of Marks'!G197="","",'Statement of Marks'!G197))</f>
        <v/>
      </c>
      <c r="I198" s="811" t="str">
        <f>IF(OR($E$3="",$P$3=""),"",IF('Statement of Marks'!H197="","",'Statement of Marks'!H197))</f>
        <v/>
      </c>
      <c r="J198" s="811" t="str">
        <f>IF(OR($E$3="",$P$3=""),"",IF('Statement of Marks'!I197="","",'Statement of Marks'!I197))</f>
        <v/>
      </c>
      <c r="K198" s="811" t="str">
        <f>IFERROR(IF(B198="","",IF($P$3=$AT$10,IF(AND(BM198="A"),'Marks Entry'!$U$2,IF(AND(BM198="B"),'Marks Entry'!$Y$2,IF(AND(BM198="C"),'Marks Entry'!$AA$2,""))),IF($P$3=$AT$11,IF(AND(BN198="A"),'Marks Entry'!$AC$2,IF(AND(BN198="B"),'Marks Entry'!$AG$2,IF(AND(BN198="C"),'Marks Entry'!$AI$2,""))),IF($P$3=$AT$12,IF(AND(BO198="A"),'Marks Entry'!$AK$2,IF(AND(BO198="B"),'Marks Entry'!$AO$2,IF(AND(BO198="C"),'Marks Entry'!$AQ$2,""))),IF($P$3=$AT$13,IF(AND(BP198="A"),'Marks Entry'!$AS$2,IF(AND(BP198="B"),'Marks Entry'!$AW$2,IF(AND(BP198="C"),'Marks Entry'!$AY$2,""))),"-"))))),"")</f>
        <v/>
      </c>
      <c r="L198" s="812" t="str">
        <f>IFERROR(IF(B198="","",IF($P$3=$AT$8,'Statement of Marks'!J197,IF($P$3=$AT$9,'Statement of Marks'!X197,IF($P$3=$AT$10,'Statement of Marks'!AM197,IF($P$3=$AT$11,'Statement of Marks'!BJ197,IF($P$3=$AT$12,'Statement of Marks'!CG197,IF($P$3=$AT$13,'Statement of Marks'!DE197,IF($P$3=$AT$14,"",IF($P$3=$AT$15,'Statement of Marks'!EY197,""))))))))),"")</f>
        <v/>
      </c>
      <c r="M198" s="812" t="str">
        <f>IFERROR(IF(B198="","",IF($P$3=$AT$8,'Statement of Marks'!K197,IF($P$3=$AT$9,'Statement of Marks'!Y197,IF($P$3=$AT$10,'Statement of Marks'!AN197,IF($P$3=$AT$11,'Statement of Marks'!BK197,IF($P$3=$AT$12,'Statement of Marks'!CH197,IF($P$3=$AT$13,'Statement of Marks'!DF197,IF($P$3=$AT$14,"",IF($P$3=$AT$15,'Statement of Marks'!EZ197,""))))))))),"")</f>
        <v/>
      </c>
      <c r="N198" s="812" t="str">
        <f>IFERROR(IF(B198="","",IF($P$3=$AT$8,'Statement of Marks'!L197,IF($P$3=$AT$9,'Statement of Marks'!Z197,IF($P$3=$AT$10,'Statement of Marks'!AO197,IF($P$3=$AT$11,'Statement of Marks'!BL197,IF($P$3=$AT$12,'Statement of Marks'!CI197,IF($P$3=$AT$13,'Statement of Marks'!DG197,IF($P$3=$AT$14,"",IF($P$3=$AT$15,'Statement of Marks'!FA197,""))))))))),"")</f>
        <v/>
      </c>
      <c r="O198" s="813" t="str">
        <f t="shared" si="32"/>
        <v/>
      </c>
      <c r="P198" s="812" t="str">
        <f>IFERROR(IF(B198="","",IF($P$3=$AT$8,'Statement of Marks'!N197,IF($P$3=$AT$9,'Statement of Marks'!AB197,IF($P$3=$AT$10,'Statement of Marks'!AQ197,IF($P$3=$AT$11,'Statement of Marks'!BN197,IF($P$3=$AT$12,'Statement of Marks'!CK197,IF($P$3=$AT$13,'Statement of Marks'!DI197,IF($P$3=$AT$14,"",IF($P$3=$AT$15,'Statement of Marks'!FC197,""))))))))),"")</f>
        <v/>
      </c>
      <c r="Q198" s="812" t="str">
        <f>IFERROR(IF(B198="","",IF($P$3=$AT$8,"",IF($P$3=$AT$9,"",IF($P$3=$AT$10,'Statement of Marks'!AR197,IF($P$3=$AT$11,'Statement of Marks'!BO197,IF($P$3=$AT$12,'Statement of Marks'!CL197,IF($P$3=$AT$13,'Statement of Marks'!DJ197,IF($P$3=$AT$14,"",IF($P$3=$AT$15,"",""))))))))),"")</f>
        <v/>
      </c>
      <c r="R198" s="824" t="str">
        <f>IFERROR(IF(B198="","",IF(AND(P198="",Q198="",$P$3=""),"",IF($P$3=$AT$14,'Statement of Marks'!EC197,SUM(P198,Q198)))),"")</f>
        <v/>
      </c>
      <c r="S198" s="823" t="str">
        <f>IFERROR(IF(B198="","",IF($P$3=$AT$14,'Statement of Marks'!ED197,IF(AND(O198="NA",P198="NA",Q198="NA"),"NA",IF(AND(O198="",P198="",Q198=""),"",SUM(O198,P198,Q198))))),"")</f>
        <v/>
      </c>
      <c r="T198" s="812" t="str">
        <f>IFERROR(IF(B198="","",IF($P$3=$AT$8,'Statement of Marks'!P197,IF($P$3=$AT$9,'Statement of Marks'!AD197,IF($P$3=$AT$10,'Statement of Marks'!AU197,IF($P$3=$AT$11,'Statement of Marks'!BR197,IF($P$3=$AT$12,'Statement of Marks'!CO197,IF($P$3=$AT$13,'Statement of Marks'!DM197,IF($P$3=$AT$14,"",IF($P$3=$AT$15,'Statement of Marks'!FD197,""))))))))),"")</f>
        <v/>
      </c>
      <c r="U198" s="812" t="str">
        <f>IFERROR(IF(B198="","",IF($P$3=$AT$8,"",IF($P$3=$AT$9,"",IF($P$3=$AT$10,'Statement of Marks'!AV197,IF($P$3=$AT$11,'Statement of Marks'!BS197,IF($P$3=$AT$12,'Statement of Marks'!CP197,IF($P$3=$AT$13,'Statement of Marks'!DN197,IF($P$3=$AT$14,"",IF($P$3=$AT$15,"",""))))))))),"")</f>
        <v/>
      </c>
      <c r="V198" s="824" t="str">
        <f>IFERROR(IF(B198="","",IF(AND(T198="",U198="",$P$3=""),"",IF($P$3=$AT$14,'Statement of Marks'!EE197,SUM(T198,U198)))),"")</f>
        <v/>
      </c>
      <c r="W198" s="814" t="str">
        <f t="shared" si="33"/>
        <v/>
      </c>
      <c r="X198" s="815">
        <f t="shared" si="34"/>
        <v>0</v>
      </c>
      <c r="Y198" s="815">
        <f t="shared" si="35"/>
        <v>0</v>
      </c>
      <c r="Z198" s="815">
        <f t="shared" si="36"/>
        <v>0</v>
      </c>
      <c r="AA198" s="815" t="str">
        <f t="shared" si="37"/>
        <v/>
      </c>
      <c r="AB198" s="815" t="str">
        <f t="shared" si="38"/>
        <v/>
      </c>
      <c r="AC198" s="815" t="str">
        <f t="shared" si="39"/>
        <v/>
      </c>
      <c r="AD198" s="815" t="str">
        <f t="shared" si="40"/>
        <v/>
      </c>
      <c r="AE198" s="816" t="str">
        <f t="shared" si="41"/>
        <v/>
      </c>
      <c r="AF198" s="817" t="str">
        <f t="shared" si="42"/>
        <v/>
      </c>
      <c r="AG198" s="818" t="str">
        <f t="shared" si="43"/>
        <v/>
      </c>
      <c r="AW198" s="17" t="str">
        <f t="shared" si="44"/>
        <v/>
      </c>
      <c r="AX198" s="17" t="str">
        <f t="shared" si="45"/>
        <v/>
      </c>
      <c r="BM198" s="17" t="str">
        <f>IFERROR(VLOOKUP(B198,'Statement of Marks'!$B$8:'Statement of Marks'!$HI$207,37,0),"")</f>
        <v>A</v>
      </c>
      <c r="BN198" s="17" t="str">
        <f>IFERROR(VLOOKUP(B198,'Statement of Marks'!$B$8:'Statement of Marks'!$HI$207,60,0),"")</f>
        <v>A</v>
      </c>
      <c r="BO198" s="17" t="str">
        <f>IFERROR(VLOOKUP(B198,'Statement of Marks'!$B$8:'Statement of Marks'!$HI$207,83,0),"")</f>
        <v>A</v>
      </c>
      <c r="BP198" s="17" t="str">
        <f>IFERROR(VLOOKUP(B198,'Statement of Marks'!$B$8:'Statement of Marks'!$HI$207,107,0),"")</f>
        <v/>
      </c>
    </row>
    <row r="199" spans="1:68">
      <c r="A199" s="806">
        <f>IF('Statement of Marks'!A198="","",'Statement of Marks'!A198)</f>
        <v>191</v>
      </c>
      <c r="B199" s="807" t="str">
        <f>IF(OR($E$3="",$P$3=""),"",IF('Statement of Marks'!B198="","",'Statement of Marks'!B198))</f>
        <v/>
      </c>
      <c r="C199" s="816" t="str">
        <f>IF(OR($E$3="",$P$3=""),"",IF('Marks Entry'!C198="","",'Marks Entry'!C198))</f>
        <v/>
      </c>
      <c r="D199" s="808" t="str">
        <f>IF(OR($E$3="",$P$3=""),"",IF('Statement of Marks'!C198="","",'Statement of Marks'!C198))</f>
        <v/>
      </c>
      <c r="E199" s="809" t="str">
        <f>IF(OR($E$3="",$P$3=""),"",IF('Statement of Marks'!D198="","",'Statement of Marks'!D198))</f>
        <v/>
      </c>
      <c r="F199" s="810" t="str">
        <f>IF(OR($E$3="",$P$3=""),"",IF('Statement of Marks'!E198="","",'Statement of Marks'!E198))</f>
        <v/>
      </c>
      <c r="G199" s="810" t="str">
        <f>IF(OR($E$3="",$P$3=""),"",IF('Statement of Marks'!F198="","",'Statement of Marks'!F198))</f>
        <v/>
      </c>
      <c r="H199" s="810" t="str">
        <f>IF(OR($E$3="",$P$3=""),"",IF('Statement of Marks'!G198="","",'Statement of Marks'!G198))</f>
        <v/>
      </c>
      <c r="I199" s="811" t="str">
        <f>IF(OR($E$3="",$P$3=""),"",IF('Statement of Marks'!H198="","",'Statement of Marks'!H198))</f>
        <v/>
      </c>
      <c r="J199" s="811" t="str">
        <f>IF(OR($E$3="",$P$3=""),"",IF('Statement of Marks'!I198="","",'Statement of Marks'!I198))</f>
        <v/>
      </c>
      <c r="K199" s="811" t="str">
        <f>IFERROR(IF(B199="","",IF($P$3=$AT$10,IF(AND(BM199="A"),'Marks Entry'!$U$2,IF(AND(BM199="B"),'Marks Entry'!$Y$2,IF(AND(BM199="C"),'Marks Entry'!$AA$2,""))),IF($P$3=$AT$11,IF(AND(BN199="A"),'Marks Entry'!$AC$2,IF(AND(BN199="B"),'Marks Entry'!$AG$2,IF(AND(BN199="C"),'Marks Entry'!$AI$2,""))),IF($P$3=$AT$12,IF(AND(BO199="A"),'Marks Entry'!$AK$2,IF(AND(BO199="B"),'Marks Entry'!$AO$2,IF(AND(BO199="C"),'Marks Entry'!$AQ$2,""))),IF($P$3=$AT$13,IF(AND(BP199="A"),'Marks Entry'!$AS$2,IF(AND(BP199="B"),'Marks Entry'!$AW$2,IF(AND(BP199="C"),'Marks Entry'!$AY$2,""))),"-"))))),"")</f>
        <v/>
      </c>
      <c r="L199" s="812" t="str">
        <f>IFERROR(IF(B199="","",IF($P$3=$AT$8,'Statement of Marks'!J198,IF($P$3=$AT$9,'Statement of Marks'!X198,IF($P$3=$AT$10,'Statement of Marks'!AM198,IF($P$3=$AT$11,'Statement of Marks'!BJ198,IF($P$3=$AT$12,'Statement of Marks'!CG198,IF($P$3=$AT$13,'Statement of Marks'!DE198,IF($P$3=$AT$14,"",IF($P$3=$AT$15,'Statement of Marks'!EY198,""))))))))),"")</f>
        <v/>
      </c>
      <c r="M199" s="812" t="str">
        <f>IFERROR(IF(B199="","",IF($P$3=$AT$8,'Statement of Marks'!K198,IF($P$3=$AT$9,'Statement of Marks'!Y198,IF($P$3=$AT$10,'Statement of Marks'!AN198,IF($P$3=$AT$11,'Statement of Marks'!BK198,IF($P$3=$AT$12,'Statement of Marks'!CH198,IF($P$3=$AT$13,'Statement of Marks'!DF198,IF($P$3=$AT$14,"",IF($P$3=$AT$15,'Statement of Marks'!EZ198,""))))))))),"")</f>
        <v/>
      </c>
      <c r="N199" s="812" t="str">
        <f>IFERROR(IF(B199="","",IF($P$3=$AT$8,'Statement of Marks'!L198,IF($P$3=$AT$9,'Statement of Marks'!Z198,IF($P$3=$AT$10,'Statement of Marks'!AO198,IF($P$3=$AT$11,'Statement of Marks'!BL198,IF($P$3=$AT$12,'Statement of Marks'!CI198,IF($P$3=$AT$13,'Statement of Marks'!DG198,IF($P$3=$AT$14,"",IF($P$3=$AT$15,'Statement of Marks'!FA198,""))))))))),"")</f>
        <v/>
      </c>
      <c r="O199" s="813" t="str">
        <f t="shared" si="32"/>
        <v/>
      </c>
      <c r="P199" s="812" t="str">
        <f>IFERROR(IF(B199="","",IF($P$3=$AT$8,'Statement of Marks'!N198,IF($P$3=$AT$9,'Statement of Marks'!AB198,IF($P$3=$AT$10,'Statement of Marks'!AQ198,IF($P$3=$AT$11,'Statement of Marks'!BN198,IF($P$3=$AT$12,'Statement of Marks'!CK198,IF($P$3=$AT$13,'Statement of Marks'!DI198,IF($P$3=$AT$14,"",IF($P$3=$AT$15,'Statement of Marks'!FC198,""))))))))),"")</f>
        <v/>
      </c>
      <c r="Q199" s="812" t="str">
        <f>IFERROR(IF(B199="","",IF($P$3=$AT$8,"",IF($P$3=$AT$9,"",IF($P$3=$AT$10,'Statement of Marks'!AR198,IF($P$3=$AT$11,'Statement of Marks'!BO198,IF($P$3=$AT$12,'Statement of Marks'!CL198,IF($P$3=$AT$13,'Statement of Marks'!DJ198,IF($P$3=$AT$14,"",IF($P$3=$AT$15,"",""))))))))),"")</f>
        <v/>
      </c>
      <c r="R199" s="824" t="str">
        <f>IFERROR(IF(B199="","",IF(AND(P199="",Q199="",$P$3=""),"",IF($P$3=$AT$14,'Statement of Marks'!EC198,SUM(P199,Q199)))),"")</f>
        <v/>
      </c>
      <c r="S199" s="823" t="str">
        <f>IFERROR(IF(B199="","",IF($P$3=$AT$14,'Statement of Marks'!ED198,IF(AND(O199="NA",P199="NA",Q199="NA"),"NA",IF(AND(O199="",P199="",Q199=""),"",SUM(O199,P199,Q199))))),"")</f>
        <v/>
      </c>
      <c r="T199" s="812" t="str">
        <f>IFERROR(IF(B199="","",IF($P$3=$AT$8,'Statement of Marks'!P198,IF($P$3=$AT$9,'Statement of Marks'!AD198,IF($P$3=$AT$10,'Statement of Marks'!AU198,IF($P$3=$AT$11,'Statement of Marks'!BR198,IF($P$3=$AT$12,'Statement of Marks'!CO198,IF($P$3=$AT$13,'Statement of Marks'!DM198,IF($P$3=$AT$14,"",IF($P$3=$AT$15,'Statement of Marks'!FD198,""))))))))),"")</f>
        <v/>
      </c>
      <c r="U199" s="812" t="str">
        <f>IFERROR(IF(B199="","",IF($P$3=$AT$8,"",IF($P$3=$AT$9,"",IF($P$3=$AT$10,'Statement of Marks'!AV198,IF($P$3=$AT$11,'Statement of Marks'!BS198,IF($P$3=$AT$12,'Statement of Marks'!CP198,IF($P$3=$AT$13,'Statement of Marks'!DN198,IF($P$3=$AT$14,"",IF($P$3=$AT$15,"",""))))))))),"")</f>
        <v/>
      </c>
      <c r="V199" s="824" t="str">
        <f>IFERROR(IF(B199="","",IF(AND(T199="",U199="",$P$3=""),"",IF($P$3=$AT$14,'Statement of Marks'!EE198,SUM(T199,U199)))),"")</f>
        <v/>
      </c>
      <c r="W199" s="814" t="str">
        <f t="shared" si="33"/>
        <v/>
      </c>
      <c r="X199" s="815">
        <f t="shared" si="34"/>
        <v>0</v>
      </c>
      <c r="Y199" s="815">
        <f t="shared" si="35"/>
        <v>0</v>
      </c>
      <c r="Z199" s="815">
        <f t="shared" si="36"/>
        <v>0</v>
      </c>
      <c r="AA199" s="815" t="str">
        <f t="shared" si="37"/>
        <v/>
      </c>
      <c r="AB199" s="815" t="str">
        <f t="shared" si="38"/>
        <v/>
      </c>
      <c r="AC199" s="815" t="str">
        <f t="shared" si="39"/>
        <v/>
      </c>
      <c r="AD199" s="815" t="str">
        <f t="shared" si="40"/>
        <v/>
      </c>
      <c r="AE199" s="816" t="str">
        <f t="shared" si="41"/>
        <v/>
      </c>
      <c r="AF199" s="817" t="str">
        <f t="shared" si="42"/>
        <v/>
      </c>
      <c r="AG199" s="818" t="str">
        <f t="shared" si="43"/>
        <v/>
      </c>
      <c r="AW199" s="17" t="str">
        <f t="shared" si="44"/>
        <v/>
      </c>
      <c r="AX199" s="17" t="str">
        <f t="shared" si="45"/>
        <v/>
      </c>
      <c r="BM199" s="17" t="str">
        <f>IFERROR(VLOOKUP(B199,'Statement of Marks'!$B$8:'Statement of Marks'!$HI$207,37,0),"")</f>
        <v>A</v>
      </c>
      <c r="BN199" s="17" t="str">
        <f>IFERROR(VLOOKUP(B199,'Statement of Marks'!$B$8:'Statement of Marks'!$HI$207,60,0),"")</f>
        <v>A</v>
      </c>
      <c r="BO199" s="17" t="str">
        <f>IFERROR(VLOOKUP(B199,'Statement of Marks'!$B$8:'Statement of Marks'!$HI$207,83,0),"")</f>
        <v>A</v>
      </c>
      <c r="BP199" s="17" t="str">
        <f>IFERROR(VLOOKUP(B199,'Statement of Marks'!$B$8:'Statement of Marks'!$HI$207,107,0),"")</f>
        <v/>
      </c>
    </row>
    <row r="200" spans="1:68">
      <c r="A200" s="806">
        <f>IF('Statement of Marks'!A199="","",'Statement of Marks'!A199)</f>
        <v>192</v>
      </c>
      <c r="B200" s="807" t="str">
        <f>IF(OR($E$3="",$P$3=""),"",IF('Statement of Marks'!B199="","",'Statement of Marks'!B199))</f>
        <v/>
      </c>
      <c r="C200" s="816" t="str">
        <f>IF(OR($E$3="",$P$3=""),"",IF('Marks Entry'!C199="","",'Marks Entry'!C199))</f>
        <v/>
      </c>
      <c r="D200" s="808" t="str">
        <f>IF(OR($E$3="",$P$3=""),"",IF('Statement of Marks'!C199="","",'Statement of Marks'!C199))</f>
        <v/>
      </c>
      <c r="E200" s="809" t="str">
        <f>IF(OR($E$3="",$P$3=""),"",IF('Statement of Marks'!D199="","",'Statement of Marks'!D199))</f>
        <v/>
      </c>
      <c r="F200" s="810" t="str">
        <f>IF(OR($E$3="",$P$3=""),"",IF('Statement of Marks'!E199="","",'Statement of Marks'!E199))</f>
        <v/>
      </c>
      <c r="G200" s="810" t="str">
        <f>IF(OR($E$3="",$P$3=""),"",IF('Statement of Marks'!F199="","",'Statement of Marks'!F199))</f>
        <v/>
      </c>
      <c r="H200" s="810" t="str">
        <f>IF(OR($E$3="",$P$3=""),"",IF('Statement of Marks'!G199="","",'Statement of Marks'!G199))</f>
        <v/>
      </c>
      <c r="I200" s="811" t="str">
        <f>IF(OR($E$3="",$P$3=""),"",IF('Statement of Marks'!H199="","",'Statement of Marks'!H199))</f>
        <v/>
      </c>
      <c r="J200" s="811" t="str">
        <f>IF(OR($E$3="",$P$3=""),"",IF('Statement of Marks'!I199="","",'Statement of Marks'!I199))</f>
        <v/>
      </c>
      <c r="K200" s="811" t="str">
        <f>IFERROR(IF(B200="","",IF($P$3=$AT$10,IF(AND(BM200="A"),'Marks Entry'!$U$2,IF(AND(BM200="B"),'Marks Entry'!$Y$2,IF(AND(BM200="C"),'Marks Entry'!$AA$2,""))),IF($P$3=$AT$11,IF(AND(BN200="A"),'Marks Entry'!$AC$2,IF(AND(BN200="B"),'Marks Entry'!$AG$2,IF(AND(BN200="C"),'Marks Entry'!$AI$2,""))),IF($P$3=$AT$12,IF(AND(BO200="A"),'Marks Entry'!$AK$2,IF(AND(BO200="B"),'Marks Entry'!$AO$2,IF(AND(BO200="C"),'Marks Entry'!$AQ$2,""))),IF($P$3=$AT$13,IF(AND(BP200="A"),'Marks Entry'!$AS$2,IF(AND(BP200="B"),'Marks Entry'!$AW$2,IF(AND(BP200="C"),'Marks Entry'!$AY$2,""))),"-"))))),"")</f>
        <v/>
      </c>
      <c r="L200" s="812" t="str">
        <f>IFERROR(IF(B200="","",IF($P$3=$AT$8,'Statement of Marks'!J199,IF($P$3=$AT$9,'Statement of Marks'!X199,IF($P$3=$AT$10,'Statement of Marks'!AM199,IF($P$3=$AT$11,'Statement of Marks'!BJ199,IF($P$3=$AT$12,'Statement of Marks'!CG199,IF($P$3=$AT$13,'Statement of Marks'!DE199,IF($P$3=$AT$14,"",IF($P$3=$AT$15,'Statement of Marks'!EY199,""))))))))),"")</f>
        <v/>
      </c>
      <c r="M200" s="812" t="str">
        <f>IFERROR(IF(B200="","",IF($P$3=$AT$8,'Statement of Marks'!K199,IF($P$3=$AT$9,'Statement of Marks'!Y199,IF($P$3=$AT$10,'Statement of Marks'!AN199,IF($P$3=$AT$11,'Statement of Marks'!BK199,IF($P$3=$AT$12,'Statement of Marks'!CH199,IF($P$3=$AT$13,'Statement of Marks'!DF199,IF($P$3=$AT$14,"",IF($P$3=$AT$15,'Statement of Marks'!EZ199,""))))))))),"")</f>
        <v/>
      </c>
      <c r="N200" s="812" t="str">
        <f>IFERROR(IF(B200="","",IF($P$3=$AT$8,'Statement of Marks'!L199,IF($P$3=$AT$9,'Statement of Marks'!Z199,IF($P$3=$AT$10,'Statement of Marks'!AO199,IF($P$3=$AT$11,'Statement of Marks'!BL199,IF($P$3=$AT$12,'Statement of Marks'!CI199,IF($P$3=$AT$13,'Statement of Marks'!DG199,IF($P$3=$AT$14,"",IF($P$3=$AT$15,'Statement of Marks'!FA199,""))))))))),"")</f>
        <v/>
      </c>
      <c r="O200" s="813" t="str">
        <f t="shared" si="32"/>
        <v/>
      </c>
      <c r="P200" s="812" t="str">
        <f>IFERROR(IF(B200="","",IF($P$3=$AT$8,'Statement of Marks'!N199,IF($P$3=$AT$9,'Statement of Marks'!AB199,IF($P$3=$AT$10,'Statement of Marks'!AQ199,IF($P$3=$AT$11,'Statement of Marks'!BN199,IF($P$3=$AT$12,'Statement of Marks'!CK199,IF($P$3=$AT$13,'Statement of Marks'!DI199,IF($P$3=$AT$14,"",IF($P$3=$AT$15,'Statement of Marks'!FC199,""))))))))),"")</f>
        <v/>
      </c>
      <c r="Q200" s="812" t="str">
        <f>IFERROR(IF(B200="","",IF($P$3=$AT$8,"",IF($P$3=$AT$9,"",IF($P$3=$AT$10,'Statement of Marks'!AR199,IF($P$3=$AT$11,'Statement of Marks'!BO199,IF($P$3=$AT$12,'Statement of Marks'!CL199,IF($P$3=$AT$13,'Statement of Marks'!DJ199,IF($P$3=$AT$14,"",IF($P$3=$AT$15,"",""))))))))),"")</f>
        <v/>
      </c>
      <c r="R200" s="824" t="str">
        <f>IFERROR(IF(B200="","",IF(AND(P200="",Q200="",$P$3=""),"",IF($P$3=$AT$14,'Statement of Marks'!EC199,SUM(P200,Q200)))),"")</f>
        <v/>
      </c>
      <c r="S200" s="823" t="str">
        <f>IFERROR(IF(B200="","",IF($P$3=$AT$14,'Statement of Marks'!ED199,IF(AND(O200="NA",P200="NA",Q200="NA"),"NA",IF(AND(O200="",P200="",Q200=""),"",SUM(O200,P200,Q200))))),"")</f>
        <v/>
      </c>
      <c r="T200" s="812" t="str">
        <f>IFERROR(IF(B200="","",IF($P$3=$AT$8,'Statement of Marks'!P199,IF($P$3=$AT$9,'Statement of Marks'!AD199,IF($P$3=$AT$10,'Statement of Marks'!AU199,IF($P$3=$AT$11,'Statement of Marks'!BR199,IF($P$3=$AT$12,'Statement of Marks'!CO199,IF($P$3=$AT$13,'Statement of Marks'!DM199,IF($P$3=$AT$14,"",IF($P$3=$AT$15,'Statement of Marks'!FD199,""))))))))),"")</f>
        <v/>
      </c>
      <c r="U200" s="812" t="str">
        <f>IFERROR(IF(B200="","",IF($P$3=$AT$8,"",IF($P$3=$AT$9,"",IF($P$3=$AT$10,'Statement of Marks'!AV199,IF($P$3=$AT$11,'Statement of Marks'!BS199,IF($P$3=$AT$12,'Statement of Marks'!CP199,IF($P$3=$AT$13,'Statement of Marks'!DN199,IF($P$3=$AT$14,"",IF($P$3=$AT$15,"",""))))))))),"")</f>
        <v/>
      </c>
      <c r="V200" s="824" t="str">
        <f>IFERROR(IF(B200="","",IF(AND(T200="",U200="",$P$3=""),"",IF($P$3=$AT$14,'Statement of Marks'!EE199,SUM(T200,U200)))),"")</f>
        <v/>
      </c>
      <c r="W200" s="814" t="str">
        <f t="shared" si="33"/>
        <v/>
      </c>
      <c r="X200" s="815">
        <f t="shared" si="34"/>
        <v>0</v>
      </c>
      <c r="Y200" s="815">
        <f t="shared" si="35"/>
        <v>0</v>
      </c>
      <c r="Z200" s="815">
        <f t="shared" si="36"/>
        <v>0</v>
      </c>
      <c r="AA200" s="815" t="str">
        <f t="shared" si="37"/>
        <v/>
      </c>
      <c r="AB200" s="815" t="str">
        <f t="shared" si="38"/>
        <v/>
      </c>
      <c r="AC200" s="815" t="str">
        <f t="shared" si="39"/>
        <v/>
      </c>
      <c r="AD200" s="815" t="str">
        <f t="shared" si="40"/>
        <v/>
      </c>
      <c r="AE200" s="816" t="str">
        <f t="shared" si="41"/>
        <v/>
      </c>
      <c r="AF200" s="817" t="str">
        <f t="shared" si="42"/>
        <v/>
      </c>
      <c r="AG200" s="818" t="str">
        <f t="shared" si="43"/>
        <v/>
      </c>
      <c r="AW200" s="17" t="str">
        <f t="shared" si="44"/>
        <v/>
      </c>
      <c r="AX200" s="17" t="str">
        <f t="shared" si="45"/>
        <v/>
      </c>
      <c r="BM200" s="17" t="str">
        <f>IFERROR(VLOOKUP(B200,'Statement of Marks'!$B$8:'Statement of Marks'!$HI$207,37,0),"")</f>
        <v>A</v>
      </c>
      <c r="BN200" s="17" t="str">
        <f>IFERROR(VLOOKUP(B200,'Statement of Marks'!$B$8:'Statement of Marks'!$HI$207,60,0),"")</f>
        <v>A</v>
      </c>
      <c r="BO200" s="17" t="str">
        <f>IFERROR(VLOOKUP(B200,'Statement of Marks'!$B$8:'Statement of Marks'!$HI$207,83,0),"")</f>
        <v>A</v>
      </c>
      <c r="BP200" s="17" t="str">
        <f>IFERROR(VLOOKUP(B200,'Statement of Marks'!$B$8:'Statement of Marks'!$HI$207,107,0),"")</f>
        <v/>
      </c>
    </row>
    <row r="201" spans="1:68">
      <c r="A201" s="806">
        <f>IF('Statement of Marks'!A200="","",'Statement of Marks'!A200)</f>
        <v>193</v>
      </c>
      <c r="B201" s="807" t="str">
        <f>IF(OR($E$3="",$P$3=""),"",IF('Statement of Marks'!B200="","",'Statement of Marks'!B200))</f>
        <v/>
      </c>
      <c r="C201" s="816" t="str">
        <f>IF(OR($E$3="",$P$3=""),"",IF('Marks Entry'!C200="","",'Marks Entry'!C200))</f>
        <v/>
      </c>
      <c r="D201" s="808" t="str">
        <f>IF(OR($E$3="",$P$3=""),"",IF('Statement of Marks'!C200="","",'Statement of Marks'!C200))</f>
        <v/>
      </c>
      <c r="E201" s="809" t="str">
        <f>IF(OR($E$3="",$P$3=""),"",IF('Statement of Marks'!D200="","",'Statement of Marks'!D200))</f>
        <v/>
      </c>
      <c r="F201" s="810" t="str">
        <f>IF(OR($E$3="",$P$3=""),"",IF('Statement of Marks'!E200="","",'Statement of Marks'!E200))</f>
        <v/>
      </c>
      <c r="G201" s="810" t="str">
        <f>IF(OR($E$3="",$P$3=""),"",IF('Statement of Marks'!F200="","",'Statement of Marks'!F200))</f>
        <v/>
      </c>
      <c r="H201" s="810" t="str">
        <f>IF(OR($E$3="",$P$3=""),"",IF('Statement of Marks'!G200="","",'Statement of Marks'!G200))</f>
        <v/>
      </c>
      <c r="I201" s="811" t="str">
        <f>IF(OR($E$3="",$P$3=""),"",IF('Statement of Marks'!H200="","",'Statement of Marks'!H200))</f>
        <v/>
      </c>
      <c r="J201" s="811" t="str">
        <f>IF(OR($E$3="",$P$3=""),"",IF('Statement of Marks'!I200="","",'Statement of Marks'!I200))</f>
        <v/>
      </c>
      <c r="K201" s="811" t="str">
        <f>IFERROR(IF(B201="","",IF($P$3=$AT$10,IF(AND(BM201="A"),'Marks Entry'!$U$2,IF(AND(BM201="B"),'Marks Entry'!$Y$2,IF(AND(BM201="C"),'Marks Entry'!$AA$2,""))),IF($P$3=$AT$11,IF(AND(BN201="A"),'Marks Entry'!$AC$2,IF(AND(BN201="B"),'Marks Entry'!$AG$2,IF(AND(BN201="C"),'Marks Entry'!$AI$2,""))),IF($P$3=$AT$12,IF(AND(BO201="A"),'Marks Entry'!$AK$2,IF(AND(BO201="B"),'Marks Entry'!$AO$2,IF(AND(BO201="C"),'Marks Entry'!$AQ$2,""))),IF($P$3=$AT$13,IF(AND(BP201="A"),'Marks Entry'!$AS$2,IF(AND(BP201="B"),'Marks Entry'!$AW$2,IF(AND(BP201="C"),'Marks Entry'!$AY$2,""))),"-"))))),"")</f>
        <v/>
      </c>
      <c r="L201" s="812" t="str">
        <f>IFERROR(IF(B201="","",IF($P$3=$AT$8,'Statement of Marks'!J200,IF($P$3=$AT$9,'Statement of Marks'!X200,IF($P$3=$AT$10,'Statement of Marks'!AM200,IF($P$3=$AT$11,'Statement of Marks'!BJ200,IF($P$3=$AT$12,'Statement of Marks'!CG200,IF($P$3=$AT$13,'Statement of Marks'!DE200,IF($P$3=$AT$14,"",IF($P$3=$AT$15,'Statement of Marks'!EY200,""))))))))),"")</f>
        <v/>
      </c>
      <c r="M201" s="812" t="str">
        <f>IFERROR(IF(B201="","",IF($P$3=$AT$8,'Statement of Marks'!K200,IF($P$3=$AT$9,'Statement of Marks'!Y200,IF($P$3=$AT$10,'Statement of Marks'!AN200,IF($P$3=$AT$11,'Statement of Marks'!BK200,IF($P$3=$AT$12,'Statement of Marks'!CH200,IF($P$3=$AT$13,'Statement of Marks'!DF200,IF($P$3=$AT$14,"",IF($P$3=$AT$15,'Statement of Marks'!EZ200,""))))))))),"")</f>
        <v/>
      </c>
      <c r="N201" s="812" t="str">
        <f>IFERROR(IF(B201="","",IF($P$3=$AT$8,'Statement of Marks'!L200,IF($P$3=$AT$9,'Statement of Marks'!Z200,IF($P$3=$AT$10,'Statement of Marks'!AO200,IF($P$3=$AT$11,'Statement of Marks'!BL200,IF($P$3=$AT$12,'Statement of Marks'!CI200,IF($P$3=$AT$13,'Statement of Marks'!DG200,IF($P$3=$AT$14,"",IF($P$3=$AT$15,'Statement of Marks'!FA200,""))))))))),"")</f>
        <v/>
      </c>
      <c r="O201" s="813" t="str">
        <f t="shared" si="32"/>
        <v/>
      </c>
      <c r="P201" s="812" t="str">
        <f>IFERROR(IF(B201="","",IF($P$3=$AT$8,'Statement of Marks'!N200,IF($P$3=$AT$9,'Statement of Marks'!AB200,IF($P$3=$AT$10,'Statement of Marks'!AQ200,IF($P$3=$AT$11,'Statement of Marks'!BN200,IF($P$3=$AT$12,'Statement of Marks'!CK200,IF($P$3=$AT$13,'Statement of Marks'!DI200,IF($P$3=$AT$14,"",IF($P$3=$AT$15,'Statement of Marks'!FC200,""))))))))),"")</f>
        <v/>
      </c>
      <c r="Q201" s="812" t="str">
        <f>IFERROR(IF(B201="","",IF($P$3=$AT$8,"",IF($P$3=$AT$9,"",IF($P$3=$AT$10,'Statement of Marks'!AR200,IF($P$3=$AT$11,'Statement of Marks'!BO200,IF($P$3=$AT$12,'Statement of Marks'!CL200,IF($P$3=$AT$13,'Statement of Marks'!DJ200,IF($P$3=$AT$14,"",IF($P$3=$AT$15,"",""))))))))),"")</f>
        <v/>
      </c>
      <c r="R201" s="824" t="str">
        <f>IFERROR(IF(B201="","",IF(AND(P201="",Q201="",$P$3=""),"",IF($P$3=$AT$14,'Statement of Marks'!EC200,SUM(P201,Q201)))),"")</f>
        <v/>
      </c>
      <c r="S201" s="823" t="str">
        <f>IFERROR(IF(B201="","",IF($P$3=$AT$14,'Statement of Marks'!ED200,IF(AND(O201="NA",P201="NA",Q201="NA"),"NA",IF(AND(O201="",P201="",Q201=""),"",SUM(O201,P201,Q201))))),"")</f>
        <v/>
      </c>
      <c r="T201" s="812" t="str">
        <f>IFERROR(IF(B201="","",IF($P$3=$AT$8,'Statement of Marks'!P200,IF($P$3=$AT$9,'Statement of Marks'!AD200,IF($P$3=$AT$10,'Statement of Marks'!AU200,IF($P$3=$AT$11,'Statement of Marks'!BR200,IF($P$3=$AT$12,'Statement of Marks'!CO200,IF($P$3=$AT$13,'Statement of Marks'!DM200,IF($P$3=$AT$14,"",IF($P$3=$AT$15,'Statement of Marks'!FD200,""))))))))),"")</f>
        <v/>
      </c>
      <c r="U201" s="812" t="str">
        <f>IFERROR(IF(B201="","",IF($P$3=$AT$8,"",IF($P$3=$AT$9,"",IF($P$3=$AT$10,'Statement of Marks'!AV200,IF($P$3=$AT$11,'Statement of Marks'!BS200,IF($P$3=$AT$12,'Statement of Marks'!CP200,IF($P$3=$AT$13,'Statement of Marks'!DN200,IF($P$3=$AT$14,"",IF($P$3=$AT$15,"",""))))))))),"")</f>
        <v/>
      </c>
      <c r="V201" s="824" t="str">
        <f>IFERROR(IF(B201="","",IF(AND(T201="",U201="",$P$3=""),"",IF($P$3=$AT$14,'Statement of Marks'!EE200,SUM(T201,U201)))),"")</f>
        <v/>
      </c>
      <c r="W201" s="814" t="str">
        <f t="shared" si="33"/>
        <v/>
      </c>
      <c r="X201" s="815">
        <f t="shared" si="34"/>
        <v>0</v>
      </c>
      <c r="Y201" s="815">
        <f t="shared" si="35"/>
        <v>0</v>
      </c>
      <c r="Z201" s="815">
        <f t="shared" si="36"/>
        <v>0</v>
      </c>
      <c r="AA201" s="815" t="str">
        <f t="shared" si="37"/>
        <v/>
      </c>
      <c r="AB201" s="815" t="str">
        <f t="shared" si="38"/>
        <v/>
      </c>
      <c r="AC201" s="815" t="str">
        <f t="shared" si="39"/>
        <v/>
      </c>
      <c r="AD201" s="815" t="str">
        <f t="shared" si="40"/>
        <v/>
      </c>
      <c r="AE201" s="816" t="str">
        <f t="shared" si="41"/>
        <v/>
      </c>
      <c r="AF201" s="817" t="str">
        <f t="shared" si="42"/>
        <v/>
      </c>
      <c r="AG201" s="818" t="str">
        <f t="shared" si="43"/>
        <v/>
      </c>
      <c r="AW201" s="17" t="str">
        <f t="shared" si="44"/>
        <v/>
      </c>
      <c r="AX201" s="17" t="str">
        <f t="shared" si="45"/>
        <v/>
      </c>
      <c r="BM201" s="17" t="str">
        <f>IFERROR(VLOOKUP(B201,'Statement of Marks'!$B$8:'Statement of Marks'!$HI$207,37,0),"")</f>
        <v>A</v>
      </c>
      <c r="BN201" s="17" t="str">
        <f>IFERROR(VLOOKUP(B201,'Statement of Marks'!$B$8:'Statement of Marks'!$HI$207,60,0),"")</f>
        <v>A</v>
      </c>
      <c r="BO201" s="17" t="str">
        <f>IFERROR(VLOOKUP(B201,'Statement of Marks'!$B$8:'Statement of Marks'!$HI$207,83,0),"")</f>
        <v>A</v>
      </c>
      <c r="BP201" s="17" t="str">
        <f>IFERROR(VLOOKUP(B201,'Statement of Marks'!$B$8:'Statement of Marks'!$HI$207,107,0),"")</f>
        <v/>
      </c>
    </row>
    <row r="202" spans="1:68">
      <c r="A202" s="806">
        <f>IF('Statement of Marks'!A201="","",'Statement of Marks'!A201)</f>
        <v>194</v>
      </c>
      <c r="B202" s="807" t="str">
        <f>IF(OR($E$3="",$P$3=""),"",IF('Statement of Marks'!B201="","",'Statement of Marks'!B201))</f>
        <v/>
      </c>
      <c r="C202" s="816" t="str">
        <f>IF(OR($E$3="",$P$3=""),"",IF('Marks Entry'!C201="","",'Marks Entry'!C201))</f>
        <v/>
      </c>
      <c r="D202" s="808" t="str">
        <f>IF(OR($E$3="",$P$3=""),"",IF('Statement of Marks'!C201="","",'Statement of Marks'!C201))</f>
        <v/>
      </c>
      <c r="E202" s="809" t="str">
        <f>IF(OR($E$3="",$P$3=""),"",IF('Statement of Marks'!D201="","",'Statement of Marks'!D201))</f>
        <v/>
      </c>
      <c r="F202" s="810" t="str">
        <f>IF(OR($E$3="",$P$3=""),"",IF('Statement of Marks'!E201="","",'Statement of Marks'!E201))</f>
        <v/>
      </c>
      <c r="G202" s="810" t="str">
        <f>IF(OR($E$3="",$P$3=""),"",IF('Statement of Marks'!F201="","",'Statement of Marks'!F201))</f>
        <v/>
      </c>
      <c r="H202" s="810" t="str">
        <f>IF(OR($E$3="",$P$3=""),"",IF('Statement of Marks'!G201="","",'Statement of Marks'!G201))</f>
        <v/>
      </c>
      <c r="I202" s="811" t="str">
        <f>IF(OR($E$3="",$P$3=""),"",IF('Statement of Marks'!H201="","",'Statement of Marks'!H201))</f>
        <v/>
      </c>
      <c r="J202" s="811" t="str">
        <f>IF(OR($E$3="",$P$3=""),"",IF('Statement of Marks'!I201="","",'Statement of Marks'!I201))</f>
        <v/>
      </c>
      <c r="K202" s="811" t="str">
        <f>IFERROR(IF(B202="","",IF($P$3=$AT$10,IF(AND(BM202="A"),'Marks Entry'!$U$2,IF(AND(BM202="B"),'Marks Entry'!$Y$2,IF(AND(BM202="C"),'Marks Entry'!$AA$2,""))),IF($P$3=$AT$11,IF(AND(BN202="A"),'Marks Entry'!$AC$2,IF(AND(BN202="B"),'Marks Entry'!$AG$2,IF(AND(BN202="C"),'Marks Entry'!$AI$2,""))),IF($P$3=$AT$12,IF(AND(BO202="A"),'Marks Entry'!$AK$2,IF(AND(BO202="B"),'Marks Entry'!$AO$2,IF(AND(BO202="C"),'Marks Entry'!$AQ$2,""))),IF($P$3=$AT$13,IF(AND(BP202="A"),'Marks Entry'!$AS$2,IF(AND(BP202="B"),'Marks Entry'!$AW$2,IF(AND(BP202="C"),'Marks Entry'!$AY$2,""))),"-"))))),"")</f>
        <v/>
      </c>
      <c r="L202" s="812" t="str">
        <f>IFERROR(IF(B202="","",IF($P$3=$AT$8,'Statement of Marks'!J201,IF($P$3=$AT$9,'Statement of Marks'!X201,IF($P$3=$AT$10,'Statement of Marks'!AM201,IF($P$3=$AT$11,'Statement of Marks'!BJ201,IF($P$3=$AT$12,'Statement of Marks'!CG201,IF($P$3=$AT$13,'Statement of Marks'!DE201,IF($P$3=$AT$14,"",IF($P$3=$AT$15,'Statement of Marks'!EY201,""))))))))),"")</f>
        <v/>
      </c>
      <c r="M202" s="812" t="str">
        <f>IFERROR(IF(B202="","",IF($P$3=$AT$8,'Statement of Marks'!K201,IF($P$3=$AT$9,'Statement of Marks'!Y201,IF($P$3=$AT$10,'Statement of Marks'!AN201,IF($P$3=$AT$11,'Statement of Marks'!BK201,IF($P$3=$AT$12,'Statement of Marks'!CH201,IF($P$3=$AT$13,'Statement of Marks'!DF201,IF($P$3=$AT$14,"",IF($P$3=$AT$15,'Statement of Marks'!EZ201,""))))))))),"")</f>
        <v/>
      </c>
      <c r="N202" s="812" t="str">
        <f>IFERROR(IF(B202="","",IF($P$3=$AT$8,'Statement of Marks'!L201,IF($P$3=$AT$9,'Statement of Marks'!Z201,IF($P$3=$AT$10,'Statement of Marks'!AO201,IF($P$3=$AT$11,'Statement of Marks'!BL201,IF($P$3=$AT$12,'Statement of Marks'!CI201,IF($P$3=$AT$13,'Statement of Marks'!DG201,IF($P$3=$AT$14,"",IF($P$3=$AT$15,'Statement of Marks'!FA201,""))))))))),"")</f>
        <v/>
      </c>
      <c r="O202" s="813" t="str">
        <f t="shared" ref="O202:O205" si="46">IF(AND(L202="",M202="",N202="",$P$3=""),"",IF(OR($P$3=$AT$14,$P$3=$AT$14),"",IF(B202="","",SUM(L202:N202))))</f>
        <v/>
      </c>
      <c r="P202" s="812" t="str">
        <f>IFERROR(IF(B202="","",IF($P$3=$AT$8,'Statement of Marks'!N201,IF($P$3=$AT$9,'Statement of Marks'!AB201,IF($P$3=$AT$10,'Statement of Marks'!AQ201,IF($P$3=$AT$11,'Statement of Marks'!BN201,IF($P$3=$AT$12,'Statement of Marks'!CK201,IF($P$3=$AT$13,'Statement of Marks'!DI201,IF($P$3=$AT$14,"",IF($P$3=$AT$15,'Statement of Marks'!FC201,""))))))))),"")</f>
        <v/>
      </c>
      <c r="Q202" s="812" t="str">
        <f>IFERROR(IF(B202="","",IF($P$3=$AT$8,"",IF($P$3=$AT$9,"",IF($P$3=$AT$10,'Statement of Marks'!AR201,IF($P$3=$AT$11,'Statement of Marks'!BO201,IF($P$3=$AT$12,'Statement of Marks'!CL201,IF($P$3=$AT$13,'Statement of Marks'!DJ201,IF($P$3=$AT$14,"",IF($P$3=$AT$15,"",""))))))))),"")</f>
        <v/>
      </c>
      <c r="R202" s="824" t="str">
        <f>IFERROR(IF(B202="","",IF(AND(P202="",Q202="",$P$3=""),"",IF($P$3=$AT$14,'Statement of Marks'!EC201,SUM(P202,Q202)))),"")</f>
        <v/>
      </c>
      <c r="S202" s="823" t="str">
        <f>IFERROR(IF(B202="","",IF($P$3=$AT$14,'Statement of Marks'!ED201,IF(AND(O202="NA",P202="NA",Q202="NA"),"NA",IF(AND(O202="",P202="",Q202=""),"",SUM(O202,P202,Q202))))),"")</f>
        <v/>
      </c>
      <c r="T202" s="812" t="str">
        <f>IFERROR(IF(B202="","",IF($P$3=$AT$8,'Statement of Marks'!P201,IF($P$3=$AT$9,'Statement of Marks'!AD201,IF($P$3=$AT$10,'Statement of Marks'!AU201,IF($P$3=$AT$11,'Statement of Marks'!BR201,IF($P$3=$AT$12,'Statement of Marks'!CO201,IF($P$3=$AT$13,'Statement of Marks'!DM201,IF($P$3=$AT$14,"",IF($P$3=$AT$15,'Statement of Marks'!FD201,""))))))))),"")</f>
        <v/>
      </c>
      <c r="U202" s="812" t="str">
        <f>IFERROR(IF(B202="","",IF($P$3=$AT$8,"",IF($P$3=$AT$9,"",IF($P$3=$AT$10,'Statement of Marks'!AV201,IF($P$3=$AT$11,'Statement of Marks'!BS201,IF($P$3=$AT$12,'Statement of Marks'!CP201,IF($P$3=$AT$13,'Statement of Marks'!DN201,IF($P$3=$AT$14,"",IF($P$3=$AT$15,"",""))))))))),"")</f>
        <v/>
      </c>
      <c r="V202" s="824" t="str">
        <f>IFERROR(IF(B202="","",IF(AND(T202="",U202="",$P$3=""),"",IF($P$3=$AT$14,'Statement of Marks'!EE201,SUM(T202,U202)))),"")</f>
        <v/>
      </c>
      <c r="W202" s="814" t="str">
        <f t="shared" ref="W202:W205" si="47">IFERROR(IF(B202="","",IF($P$3="","",IF(OR($P$3=$AT$14),SUM(R202,S202,V202),SUM(S202,V202)))),"")</f>
        <v/>
      </c>
      <c r="X202" s="815">
        <f t="shared" ref="X202:X205" si="48">IFERROR(IF($P$3="","",IF(OR($P$3=$AT$8,$P$3=$AT$9,$P$3=$AT$10,$P$3=$AT$11,$P$3=$AT$12,$P$3=$AT$13,$P$3=$AT$15),COUNTIF(L202:N202,"NA")*$L$7+(COUNTIF(L202:N202,"ML")*$L$7)+(COUNTIF(P202,"ML")*$P$7)+(COUNTIF(T202,"ML")*$T$8)+(COUNTIF(T202,"ML")*$T$7),COUNTIF(R202,"NA")*$R$7+(COUNTIF(R202,"ML")*$R$7)+(COUNTIF(S202,"ML")*$S$7)+(COUNTIF(V202,"ML")*$V$7))),0)</f>
        <v>0</v>
      </c>
      <c r="Y202" s="815">
        <f t="shared" ref="Y202:Y205" si="49">SUM(Q202,U202)</f>
        <v>0</v>
      </c>
      <c r="Z202" s="815">
        <f t="shared" ref="Z202:Z205" si="50">SUM(O202,P202,T202)</f>
        <v>0</v>
      </c>
      <c r="AA202" s="815" t="str">
        <f t="shared" ref="AA202:AA205" si="51">IF(OR($B202="NSO",$B202=0,T202=""),"",IF(AND(Q202="",U202=""),SUM($T$8),SUM($T$7)))</f>
        <v/>
      </c>
      <c r="AB202" s="815" t="str">
        <f t="shared" ref="AB202:AB205" si="52">IF(OR($B202="NSO",$B202=0,U202=""),"",IF(AND(Q202="",U202=""),"",SUM($Q$7+$U$7)-(COUNTIF(Q202,"ML")*$Q$7)-(COUNTIF(U202,"ML")*$U$7)))</f>
        <v/>
      </c>
      <c r="AC202" s="815" t="str">
        <f t="shared" ref="AC202:AC205" si="53">IF(OR($B202="NSO",$B202=0,B202=""),"",IF(AND(Q202="",U202=""),IF(OR($P$3=$AT$8,$P$3=$AT$9,$P$3=$AT$10,$P$3=$AT$11,$P$3=$AT$12,$P$3=$AT$13,$P$3=$AT$15,$P$3=$AT$16,$P$3=$AT$17),IF(AND(L202="NA",N202="NA",M202="NA"),$O$7-X202,IF(AND(P202="ML"),$P$7-X202,IF(AND(T202="ML"),$T$7-X202,$W$7-X202))),IF(AND(R202="NA"),$R$7-X202,IF(AND(S202="ML"),$S$7-X202,IF(AND(V202="ML"),$V$7-X202,$W$7-X202)))),IF(AND(L202="NA",N202="NA",M202="NA"),$O$7-X202,IF(AND(P202="ML"),$P$7-X202,IF(AND(T202="ML"),$T$7-X202,$Z$7-X202)))))</f>
        <v/>
      </c>
      <c r="AD202" s="815" t="str">
        <f t="shared" ref="AD202:AD205" si="54">IF(AND(OR(L202="ab",L202="ml"),OR(M202="ab",M202="ml"),OR(P202="ab",P202="ml"),OR(P202="ab",P202="ml"),OR(S202="ab",S202="ml")),"AB",IF(AND(OR(M202="ab",M202="ml"),OR(N202="ab",N202="ml"),OR(P202="ab",P202="ml"),OR(S202="ab",S202="ml")),"AB",IF(AND(OR(N202="ab",N202="ml"),OR(L202="ab",L202="ml"),OR(P202="ab",P202="ml"),OR(T202="ab",T202="ml")),"AB",IF(AND(OR(P202="ab",P202="ml"),OR(T202="ab",T202="ml"),OR(Q202="ab",Q202="ml"),OR(P202="ab",P202="ml"),OR(T202="ab",T202="ml")),"AB",IF(AND(OR(P202="ab",P202="ml"),OR(M202="ab",M202="ml"),OR(T202="ab",T202="ml"),OR(P202="ab",P202="ml"),OR(U202="ab",U202="ml")),"AB","")))))</f>
        <v/>
      </c>
      <c r="AE202" s="816" t="str">
        <f t="shared" ref="AE202:AE205" si="55">IFERROR(IF(B202="","",IF(OR($P$3=$AT$14),AX202,AW202)),"")</f>
        <v/>
      </c>
      <c r="AF202" s="817" t="str">
        <f t="shared" ref="AF202:AF205" si="56">IF(OR(AE202="",AE202=0,AE202="S",AE202="RE",AE202="F",AE202="AB",B202="NSO"),"",IF(AE202="G","G",IF(W202&gt;=75%*SUM(AB202,AC202),"I",IF(W202&gt;=60%*SUM(AB202,AC202),"I",IF(W202&gt;=48%*SUM(AB202,AC202),"II",IF(W202&gt;=36%*SUM(AB202,AC202),"III",""))))))</f>
        <v/>
      </c>
      <c r="AG202" s="818" t="str">
        <f t="shared" ref="AG202:AG205" si="57">IF(W202="","",IF(OR(AE202="",AE202=0,AE202="RE",AE202="AB"),"",IF(B202="NSO","NSO",IF(AE202="G","By Grace",IF(AE202="S","Supplementary",IF(AE202="F","Fail",IF(W202&gt;=75%*AC202,"D",IF(AE202="FP","Fail in Practical",""))))))))</f>
        <v/>
      </c>
      <c r="AW202" s="17" t="str">
        <f t="shared" ref="AW202:AW210" si="58">IF(B202="","",IF(OR(T202="AB",U202="AB",AD202="AB"),"AB",IF(OR(T202="ML",V202="ML"),"RE",IF(U202="MLP","REP",IF(U202&lt;33%*$U$7,"FP",IF(Q202&lt;33%*$Q$7,"FP",IF(AND(Z202&gt;=36%*AC202,SUM(T202)&gt;=20%*AA202,Y202&gt;=SUM(AB202)*36%),"P",IF(AND(Z202&gt;=34%*AC202,SUM(T202)&gt;=20%*AA202,Y202&gt;=SUM(AB202)*36%),"G",IF(AND(Z202&gt;=31%*AC202,SUM(T202)&gt;=20%*AA202,Y202&gt;=SUM(AB202)*36%),"G",IF(AND(Z202&gt;=25%*AC202,SUM(T202)&gt;=20%*AA202),"S","F"))))))))))</f>
        <v/>
      </c>
      <c r="AX202" s="17" t="str">
        <f t="shared" ref="AX202:AX210" si="59">IF(B202="","",IF(AND(W202&gt;=36%*AC202,SUM(V202)&gt;=20%*$V$7),"P",""))</f>
        <v/>
      </c>
      <c r="BM202" s="17" t="str">
        <f>IFERROR(VLOOKUP(B202,'Statement of Marks'!$B$8:'Statement of Marks'!$HI$207,37,0),"")</f>
        <v>A</v>
      </c>
      <c r="BN202" s="17" t="str">
        <f>IFERROR(VLOOKUP(B202,'Statement of Marks'!$B$8:'Statement of Marks'!$HI$207,60,0),"")</f>
        <v>A</v>
      </c>
      <c r="BO202" s="17" t="str">
        <f>IFERROR(VLOOKUP(B202,'Statement of Marks'!$B$8:'Statement of Marks'!$HI$207,83,0),"")</f>
        <v>A</v>
      </c>
      <c r="BP202" s="17" t="str">
        <f>IFERROR(VLOOKUP(B202,'Statement of Marks'!$B$8:'Statement of Marks'!$HI$207,107,0),"")</f>
        <v/>
      </c>
    </row>
    <row r="203" spans="1:68">
      <c r="A203" s="806">
        <f>IF('Statement of Marks'!A202="","",'Statement of Marks'!A202)</f>
        <v>195</v>
      </c>
      <c r="B203" s="807" t="str">
        <f>IF(OR($E$3="",$P$3=""),"",IF('Statement of Marks'!B202="","",'Statement of Marks'!B202))</f>
        <v/>
      </c>
      <c r="C203" s="816" t="str">
        <f>IF(OR($E$3="",$P$3=""),"",IF('Marks Entry'!C202="","",'Marks Entry'!C202))</f>
        <v/>
      </c>
      <c r="D203" s="808" t="str">
        <f>IF(OR($E$3="",$P$3=""),"",IF('Statement of Marks'!C202="","",'Statement of Marks'!C202))</f>
        <v/>
      </c>
      <c r="E203" s="809" t="str">
        <f>IF(OR($E$3="",$P$3=""),"",IF('Statement of Marks'!D202="","",'Statement of Marks'!D202))</f>
        <v/>
      </c>
      <c r="F203" s="810" t="str">
        <f>IF(OR($E$3="",$P$3=""),"",IF('Statement of Marks'!E202="","",'Statement of Marks'!E202))</f>
        <v/>
      </c>
      <c r="G203" s="810" t="str">
        <f>IF(OR($E$3="",$P$3=""),"",IF('Statement of Marks'!F202="","",'Statement of Marks'!F202))</f>
        <v/>
      </c>
      <c r="H203" s="810" t="str">
        <f>IF(OR($E$3="",$P$3=""),"",IF('Statement of Marks'!G202="","",'Statement of Marks'!G202))</f>
        <v/>
      </c>
      <c r="I203" s="811" t="str">
        <f>IF(OR($E$3="",$P$3=""),"",IF('Statement of Marks'!H202="","",'Statement of Marks'!H202))</f>
        <v/>
      </c>
      <c r="J203" s="811" t="str">
        <f>IF(OR($E$3="",$P$3=""),"",IF('Statement of Marks'!I202="","",'Statement of Marks'!I202))</f>
        <v/>
      </c>
      <c r="K203" s="811" t="str">
        <f>IFERROR(IF(B203="","",IF($P$3=$AT$10,IF(AND(BM203="A"),'Marks Entry'!$U$2,IF(AND(BM203="B"),'Marks Entry'!$Y$2,IF(AND(BM203="C"),'Marks Entry'!$AA$2,""))),IF($P$3=$AT$11,IF(AND(BN203="A"),'Marks Entry'!$AC$2,IF(AND(BN203="B"),'Marks Entry'!$AG$2,IF(AND(BN203="C"),'Marks Entry'!$AI$2,""))),IF($P$3=$AT$12,IF(AND(BO203="A"),'Marks Entry'!$AK$2,IF(AND(BO203="B"),'Marks Entry'!$AO$2,IF(AND(BO203="C"),'Marks Entry'!$AQ$2,""))),IF($P$3=$AT$13,IF(AND(BP203="A"),'Marks Entry'!$AS$2,IF(AND(BP203="B"),'Marks Entry'!$AW$2,IF(AND(BP203="C"),'Marks Entry'!$AY$2,""))),"-"))))),"")</f>
        <v/>
      </c>
      <c r="L203" s="812" t="str">
        <f>IFERROR(IF(B203="","",IF($P$3=$AT$8,'Statement of Marks'!J202,IF($P$3=$AT$9,'Statement of Marks'!X202,IF($P$3=$AT$10,'Statement of Marks'!AM202,IF($P$3=$AT$11,'Statement of Marks'!BJ202,IF($P$3=$AT$12,'Statement of Marks'!CG202,IF($P$3=$AT$13,'Statement of Marks'!DE202,IF($P$3=$AT$14,"",IF($P$3=$AT$15,'Statement of Marks'!EY202,""))))))))),"")</f>
        <v/>
      </c>
      <c r="M203" s="812" t="str">
        <f>IFERROR(IF(B203="","",IF($P$3=$AT$8,'Statement of Marks'!K202,IF($P$3=$AT$9,'Statement of Marks'!Y202,IF($P$3=$AT$10,'Statement of Marks'!AN202,IF($P$3=$AT$11,'Statement of Marks'!BK202,IF($P$3=$AT$12,'Statement of Marks'!CH202,IF($P$3=$AT$13,'Statement of Marks'!DF202,IF($P$3=$AT$14,"",IF($P$3=$AT$15,'Statement of Marks'!EZ202,""))))))))),"")</f>
        <v/>
      </c>
      <c r="N203" s="812" t="str">
        <f>IFERROR(IF(B203="","",IF($P$3=$AT$8,'Statement of Marks'!L202,IF($P$3=$AT$9,'Statement of Marks'!Z202,IF($P$3=$AT$10,'Statement of Marks'!AO202,IF($P$3=$AT$11,'Statement of Marks'!BL202,IF($P$3=$AT$12,'Statement of Marks'!CI202,IF($P$3=$AT$13,'Statement of Marks'!DG202,IF($P$3=$AT$14,"",IF($P$3=$AT$15,'Statement of Marks'!FA202,""))))))))),"")</f>
        <v/>
      </c>
      <c r="O203" s="813" t="str">
        <f t="shared" si="46"/>
        <v/>
      </c>
      <c r="P203" s="812" t="str">
        <f>IFERROR(IF(B203="","",IF($P$3=$AT$8,'Statement of Marks'!N202,IF($P$3=$AT$9,'Statement of Marks'!AB202,IF($P$3=$AT$10,'Statement of Marks'!AQ202,IF($P$3=$AT$11,'Statement of Marks'!BN202,IF($P$3=$AT$12,'Statement of Marks'!CK202,IF($P$3=$AT$13,'Statement of Marks'!DI202,IF($P$3=$AT$14,"",IF($P$3=$AT$15,'Statement of Marks'!FC202,""))))))))),"")</f>
        <v/>
      </c>
      <c r="Q203" s="812" t="str">
        <f>IFERROR(IF(B203="","",IF($P$3=$AT$8,"",IF($P$3=$AT$9,"",IF($P$3=$AT$10,'Statement of Marks'!AR202,IF($P$3=$AT$11,'Statement of Marks'!BO202,IF($P$3=$AT$12,'Statement of Marks'!CL202,IF($P$3=$AT$13,'Statement of Marks'!DJ202,IF($P$3=$AT$14,"",IF($P$3=$AT$15,"",""))))))))),"")</f>
        <v/>
      </c>
      <c r="R203" s="824" t="str">
        <f>IFERROR(IF(B203="","",IF(AND(P203="",Q203="",$P$3=""),"",IF($P$3=$AT$14,'Statement of Marks'!EC202,SUM(P203,Q203)))),"")</f>
        <v/>
      </c>
      <c r="S203" s="823" t="str">
        <f>IFERROR(IF(B203="","",IF($P$3=$AT$14,'Statement of Marks'!ED202,IF(AND(O203="NA",P203="NA",Q203="NA"),"NA",IF(AND(O203="",P203="",Q203=""),"",SUM(O203,P203,Q203))))),"")</f>
        <v/>
      </c>
      <c r="T203" s="812" t="str">
        <f>IFERROR(IF(B203="","",IF($P$3=$AT$8,'Statement of Marks'!P202,IF($P$3=$AT$9,'Statement of Marks'!AD202,IF($P$3=$AT$10,'Statement of Marks'!AU202,IF($P$3=$AT$11,'Statement of Marks'!BR202,IF($P$3=$AT$12,'Statement of Marks'!CO202,IF($P$3=$AT$13,'Statement of Marks'!DM202,IF($P$3=$AT$14,"",IF($P$3=$AT$15,'Statement of Marks'!FD202,""))))))))),"")</f>
        <v/>
      </c>
      <c r="U203" s="812" t="str">
        <f>IFERROR(IF(B203="","",IF($P$3=$AT$8,"",IF($P$3=$AT$9,"",IF($P$3=$AT$10,'Statement of Marks'!AV202,IF($P$3=$AT$11,'Statement of Marks'!BS202,IF($P$3=$AT$12,'Statement of Marks'!CP202,IF($P$3=$AT$13,'Statement of Marks'!DN202,IF($P$3=$AT$14,"",IF($P$3=$AT$15,"",""))))))))),"")</f>
        <v/>
      </c>
      <c r="V203" s="824" t="str">
        <f>IFERROR(IF(B203="","",IF(AND(T203="",U203="",$P$3=""),"",IF($P$3=$AT$14,'Statement of Marks'!EE202,SUM(T203,U203)))),"")</f>
        <v/>
      </c>
      <c r="W203" s="814" t="str">
        <f t="shared" si="47"/>
        <v/>
      </c>
      <c r="X203" s="815">
        <f t="shared" si="48"/>
        <v>0</v>
      </c>
      <c r="Y203" s="815">
        <f t="shared" si="49"/>
        <v>0</v>
      </c>
      <c r="Z203" s="815">
        <f t="shared" si="50"/>
        <v>0</v>
      </c>
      <c r="AA203" s="815" t="str">
        <f t="shared" si="51"/>
        <v/>
      </c>
      <c r="AB203" s="815" t="str">
        <f t="shared" si="52"/>
        <v/>
      </c>
      <c r="AC203" s="815" t="str">
        <f t="shared" si="53"/>
        <v/>
      </c>
      <c r="AD203" s="815" t="str">
        <f t="shared" si="54"/>
        <v/>
      </c>
      <c r="AE203" s="816" t="str">
        <f t="shared" si="55"/>
        <v/>
      </c>
      <c r="AF203" s="817" t="str">
        <f t="shared" si="56"/>
        <v/>
      </c>
      <c r="AG203" s="818" t="str">
        <f t="shared" si="57"/>
        <v/>
      </c>
      <c r="AW203" s="17" t="str">
        <f t="shared" si="58"/>
        <v/>
      </c>
      <c r="AX203" s="17" t="str">
        <f t="shared" si="59"/>
        <v/>
      </c>
      <c r="BM203" s="17" t="str">
        <f>IFERROR(VLOOKUP(B203,'Statement of Marks'!$B$8:'Statement of Marks'!$HI$207,37,0),"")</f>
        <v>A</v>
      </c>
      <c r="BN203" s="17" t="str">
        <f>IFERROR(VLOOKUP(B203,'Statement of Marks'!$B$8:'Statement of Marks'!$HI$207,60,0),"")</f>
        <v>A</v>
      </c>
      <c r="BO203" s="17" t="str">
        <f>IFERROR(VLOOKUP(B203,'Statement of Marks'!$B$8:'Statement of Marks'!$HI$207,83,0),"")</f>
        <v>A</v>
      </c>
      <c r="BP203" s="17" t="str">
        <f>IFERROR(VLOOKUP(B203,'Statement of Marks'!$B$8:'Statement of Marks'!$HI$207,107,0),"")</f>
        <v/>
      </c>
    </row>
    <row r="204" spans="1:68">
      <c r="A204" s="806">
        <f>IF('Statement of Marks'!A203="","",'Statement of Marks'!A203)</f>
        <v>196</v>
      </c>
      <c r="B204" s="807" t="str">
        <f>IF(OR($E$3="",$P$3=""),"",IF('Statement of Marks'!B203="","",'Statement of Marks'!B203))</f>
        <v/>
      </c>
      <c r="C204" s="816" t="str">
        <f>IF(OR($E$3="",$P$3=""),"",IF('Marks Entry'!C203="","",'Marks Entry'!C203))</f>
        <v/>
      </c>
      <c r="D204" s="808" t="str">
        <f>IF(OR($E$3="",$P$3=""),"",IF('Statement of Marks'!C203="","",'Statement of Marks'!C203))</f>
        <v/>
      </c>
      <c r="E204" s="809" t="str">
        <f>IF(OR($E$3="",$P$3=""),"",IF('Statement of Marks'!D203="","",'Statement of Marks'!D203))</f>
        <v/>
      </c>
      <c r="F204" s="810" t="str">
        <f>IF(OR($E$3="",$P$3=""),"",IF('Statement of Marks'!E203="","",'Statement of Marks'!E203))</f>
        <v/>
      </c>
      <c r="G204" s="810" t="str">
        <f>IF(OR($E$3="",$P$3=""),"",IF('Statement of Marks'!F203="","",'Statement of Marks'!F203))</f>
        <v/>
      </c>
      <c r="H204" s="810" t="str">
        <f>IF(OR($E$3="",$P$3=""),"",IF('Statement of Marks'!G203="","",'Statement of Marks'!G203))</f>
        <v/>
      </c>
      <c r="I204" s="811" t="str">
        <f>IF(OR($E$3="",$P$3=""),"",IF('Statement of Marks'!H203="","",'Statement of Marks'!H203))</f>
        <v/>
      </c>
      <c r="J204" s="811" t="str">
        <f>IF(OR($E$3="",$P$3=""),"",IF('Statement of Marks'!I203="","",'Statement of Marks'!I203))</f>
        <v/>
      </c>
      <c r="K204" s="811" t="str">
        <f>IFERROR(IF(B204="","",IF($P$3=$AT$10,IF(AND(BM204="A"),'Marks Entry'!$U$2,IF(AND(BM204="B"),'Marks Entry'!$Y$2,IF(AND(BM204="C"),'Marks Entry'!$AA$2,""))),IF($P$3=$AT$11,IF(AND(BN204="A"),'Marks Entry'!$AC$2,IF(AND(BN204="B"),'Marks Entry'!$AG$2,IF(AND(BN204="C"),'Marks Entry'!$AI$2,""))),IF($P$3=$AT$12,IF(AND(BO204="A"),'Marks Entry'!$AK$2,IF(AND(BO204="B"),'Marks Entry'!$AO$2,IF(AND(BO204="C"),'Marks Entry'!$AQ$2,""))),IF($P$3=$AT$13,IF(AND(BP204="A"),'Marks Entry'!$AS$2,IF(AND(BP204="B"),'Marks Entry'!$AW$2,IF(AND(BP204="C"),'Marks Entry'!$AY$2,""))),"-"))))),"")</f>
        <v/>
      </c>
      <c r="L204" s="812" t="str">
        <f>IFERROR(IF(B204="","",IF($P$3=$AT$8,'Statement of Marks'!J203,IF($P$3=$AT$9,'Statement of Marks'!X203,IF($P$3=$AT$10,'Statement of Marks'!AM203,IF($P$3=$AT$11,'Statement of Marks'!BJ203,IF($P$3=$AT$12,'Statement of Marks'!CG203,IF($P$3=$AT$13,'Statement of Marks'!DE203,IF($P$3=$AT$14,"",IF($P$3=$AT$15,'Statement of Marks'!EY203,""))))))))),"")</f>
        <v/>
      </c>
      <c r="M204" s="812" t="str">
        <f>IFERROR(IF(B204="","",IF($P$3=$AT$8,'Statement of Marks'!K203,IF($P$3=$AT$9,'Statement of Marks'!Y203,IF($P$3=$AT$10,'Statement of Marks'!AN203,IF($P$3=$AT$11,'Statement of Marks'!BK203,IF($P$3=$AT$12,'Statement of Marks'!CH203,IF($P$3=$AT$13,'Statement of Marks'!DF203,IF($P$3=$AT$14,"",IF($P$3=$AT$15,'Statement of Marks'!EZ203,""))))))))),"")</f>
        <v/>
      </c>
      <c r="N204" s="812" t="str">
        <f>IFERROR(IF(B204="","",IF($P$3=$AT$8,'Statement of Marks'!L203,IF($P$3=$AT$9,'Statement of Marks'!Z203,IF($P$3=$AT$10,'Statement of Marks'!AO203,IF($P$3=$AT$11,'Statement of Marks'!BL203,IF($P$3=$AT$12,'Statement of Marks'!CI203,IF($P$3=$AT$13,'Statement of Marks'!DG203,IF($P$3=$AT$14,"",IF($P$3=$AT$15,'Statement of Marks'!FA203,""))))))))),"")</f>
        <v/>
      </c>
      <c r="O204" s="813" t="str">
        <f t="shared" si="46"/>
        <v/>
      </c>
      <c r="P204" s="812" t="str">
        <f>IFERROR(IF(B204="","",IF($P$3=$AT$8,'Statement of Marks'!N203,IF($P$3=$AT$9,'Statement of Marks'!AB203,IF($P$3=$AT$10,'Statement of Marks'!AQ203,IF($P$3=$AT$11,'Statement of Marks'!BN203,IF($P$3=$AT$12,'Statement of Marks'!CK203,IF($P$3=$AT$13,'Statement of Marks'!DI203,IF($P$3=$AT$14,"",IF($P$3=$AT$15,'Statement of Marks'!FC203,""))))))))),"")</f>
        <v/>
      </c>
      <c r="Q204" s="812" t="str">
        <f>IFERROR(IF(B204="","",IF($P$3=$AT$8,"",IF($P$3=$AT$9,"",IF($P$3=$AT$10,'Statement of Marks'!AR203,IF($P$3=$AT$11,'Statement of Marks'!BO203,IF($P$3=$AT$12,'Statement of Marks'!CL203,IF($P$3=$AT$13,'Statement of Marks'!DJ203,IF($P$3=$AT$14,"",IF($P$3=$AT$15,"",""))))))))),"")</f>
        <v/>
      </c>
      <c r="R204" s="824" t="str">
        <f>IFERROR(IF(B204="","",IF(AND(P204="",Q204="",$P$3=""),"",IF($P$3=$AT$14,'Statement of Marks'!EC203,SUM(P204,Q204)))),"")</f>
        <v/>
      </c>
      <c r="S204" s="823" t="str">
        <f>IFERROR(IF(B204="","",IF($P$3=$AT$14,'Statement of Marks'!ED203,IF(AND(O204="NA",P204="NA",Q204="NA"),"NA",IF(AND(O204="",P204="",Q204=""),"",SUM(O204,P204,Q204))))),"")</f>
        <v/>
      </c>
      <c r="T204" s="812" t="str">
        <f>IFERROR(IF(B204="","",IF($P$3=$AT$8,'Statement of Marks'!P203,IF($P$3=$AT$9,'Statement of Marks'!AD203,IF($P$3=$AT$10,'Statement of Marks'!AU203,IF($P$3=$AT$11,'Statement of Marks'!BR203,IF($P$3=$AT$12,'Statement of Marks'!CO203,IF($P$3=$AT$13,'Statement of Marks'!DM203,IF($P$3=$AT$14,"",IF($P$3=$AT$15,'Statement of Marks'!FD203,""))))))))),"")</f>
        <v/>
      </c>
      <c r="U204" s="812" t="str">
        <f>IFERROR(IF(B204="","",IF($P$3=$AT$8,"",IF($P$3=$AT$9,"",IF($P$3=$AT$10,'Statement of Marks'!AV203,IF($P$3=$AT$11,'Statement of Marks'!BS203,IF($P$3=$AT$12,'Statement of Marks'!CP203,IF($P$3=$AT$13,'Statement of Marks'!DN203,IF($P$3=$AT$14,"",IF($P$3=$AT$15,"",""))))))))),"")</f>
        <v/>
      </c>
      <c r="V204" s="824" t="str">
        <f>IFERROR(IF(B204="","",IF(AND(T204="",U204="",$P$3=""),"",IF($P$3=$AT$14,'Statement of Marks'!EE203,SUM(T204,U204)))),"")</f>
        <v/>
      </c>
      <c r="W204" s="814" t="str">
        <f t="shared" si="47"/>
        <v/>
      </c>
      <c r="X204" s="815">
        <f t="shared" si="48"/>
        <v>0</v>
      </c>
      <c r="Y204" s="815">
        <f t="shared" si="49"/>
        <v>0</v>
      </c>
      <c r="Z204" s="815">
        <f t="shared" si="50"/>
        <v>0</v>
      </c>
      <c r="AA204" s="815" t="str">
        <f t="shared" si="51"/>
        <v/>
      </c>
      <c r="AB204" s="815" t="str">
        <f t="shared" si="52"/>
        <v/>
      </c>
      <c r="AC204" s="815" t="str">
        <f t="shared" si="53"/>
        <v/>
      </c>
      <c r="AD204" s="815" t="str">
        <f t="shared" si="54"/>
        <v/>
      </c>
      <c r="AE204" s="816" t="str">
        <f t="shared" si="55"/>
        <v/>
      </c>
      <c r="AF204" s="817" t="str">
        <f t="shared" si="56"/>
        <v/>
      </c>
      <c r="AG204" s="818" t="str">
        <f t="shared" si="57"/>
        <v/>
      </c>
      <c r="AW204" s="17" t="str">
        <f t="shared" si="58"/>
        <v/>
      </c>
      <c r="AX204" s="17" t="str">
        <f t="shared" si="59"/>
        <v/>
      </c>
      <c r="BM204" s="17" t="str">
        <f>IFERROR(VLOOKUP(B204,'Statement of Marks'!$B$8:'Statement of Marks'!$HI$207,37,0),"")</f>
        <v>A</v>
      </c>
      <c r="BN204" s="17" t="str">
        <f>IFERROR(VLOOKUP(B204,'Statement of Marks'!$B$8:'Statement of Marks'!$HI$207,60,0),"")</f>
        <v>A</v>
      </c>
      <c r="BO204" s="17" t="str">
        <f>IFERROR(VLOOKUP(B204,'Statement of Marks'!$B$8:'Statement of Marks'!$HI$207,83,0),"")</f>
        <v>A</v>
      </c>
      <c r="BP204" s="17" t="str">
        <f>IFERROR(VLOOKUP(B204,'Statement of Marks'!$B$8:'Statement of Marks'!$HI$207,107,0),"")</f>
        <v/>
      </c>
    </row>
    <row r="205" spans="1:68">
      <c r="A205" s="806">
        <f>IF('Statement of Marks'!A204="","",'Statement of Marks'!A204)</f>
        <v>197</v>
      </c>
      <c r="B205" s="807" t="str">
        <f>IF(OR($E$3="",$P$3=""),"",IF('Statement of Marks'!B204="","",'Statement of Marks'!B204))</f>
        <v/>
      </c>
      <c r="C205" s="816" t="str">
        <f>IF(OR($E$3="",$P$3=""),"",IF('Marks Entry'!C204="","",'Marks Entry'!C204))</f>
        <v/>
      </c>
      <c r="D205" s="808" t="str">
        <f>IF(OR($E$3="",$P$3=""),"",IF('Statement of Marks'!C204="","",'Statement of Marks'!C204))</f>
        <v/>
      </c>
      <c r="E205" s="809" t="str">
        <f>IF(OR($E$3="",$P$3=""),"",IF('Statement of Marks'!D204="","",'Statement of Marks'!D204))</f>
        <v/>
      </c>
      <c r="F205" s="810" t="str">
        <f>IF(OR($E$3="",$P$3=""),"",IF('Statement of Marks'!E204="","",'Statement of Marks'!E204))</f>
        <v/>
      </c>
      <c r="G205" s="810" t="str">
        <f>IF(OR($E$3="",$P$3=""),"",IF('Statement of Marks'!F204="","",'Statement of Marks'!F204))</f>
        <v/>
      </c>
      <c r="H205" s="810" t="str">
        <f>IF(OR($E$3="",$P$3=""),"",IF('Statement of Marks'!G204="","",'Statement of Marks'!G204))</f>
        <v/>
      </c>
      <c r="I205" s="811" t="str">
        <f>IF(OR($E$3="",$P$3=""),"",IF('Statement of Marks'!H204="","",'Statement of Marks'!H204))</f>
        <v/>
      </c>
      <c r="J205" s="811" t="str">
        <f>IF(OR($E$3="",$P$3=""),"",IF('Statement of Marks'!I204="","",'Statement of Marks'!I204))</f>
        <v/>
      </c>
      <c r="K205" s="811" t="str">
        <f>IFERROR(IF(B205="","",IF($P$3=$AT$10,IF(AND(BM205="A"),'Marks Entry'!$U$2,IF(AND(BM205="B"),'Marks Entry'!$Y$2,IF(AND(BM205="C"),'Marks Entry'!$AA$2,""))),IF($P$3=$AT$11,IF(AND(BN205="A"),'Marks Entry'!$AC$2,IF(AND(BN205="B"),'Marks Entry'!$AG$2,IF(AND(BN205="C"),'Marks Entry'!$AI$2,""))),IF($P$3=$AT$12,IF(AND(BO205="A"),'Marks Entry'!$AK$2,IF(AND(BO205="B"),'Marks Entry'!$AO$2,IF(AND(BO205="C"),'Marks Entry'!$AQ$2,""))),IF($P$3=$AT$13,IF(AND(BP205="A"),'Marks Entry'!$AS$2,IF(AND(BP205="B"),'Marks Entry'!$AW$2,IF(AND(BP205="C"),'Marks Entry'!$AY$2,""))),"-"))))),"")</f>
        <v/>
      </c>
      <c r="L205" s="812" t="str">
        <f>IFERROR(IF(B205="","",IF($P$3=$AT$8,'Statement of Marks'!J204,IF($P$3=$AT$9,'Statement of Marks'!X204,IF($P$3=$AT$10,'Statement of Marks'!AM204,IF($P$3=$AT$11,'Statement of Marks'!BJ204,IF($P$3=$AT$12,'Statement of Marks'!CG204,IF($P$3=$AT$13,'Statement of Marks'!DE204,IF($P$3=$AT$14,"",IF($P$3=$AT$15,'Statement of Marks'!EY204,""))))))))),"")</f>
        <v/>
      </c>
      <c r="M205" s="812" t="str">
        <f>IFERROR(IF(B205="","",IF($P$3=$AT$8,'Statement of Marks'!K204,IF($P$3=$AT$9,'Statement of Marks'!Y204,IF($P$3=$AT$10,'Statement of Marks'!AN204,IF($P$3=$AT$11,'Statement of Marks'!BK204,IF($P$3=$AT$12,'Statement of Marks'!CH204,IF($P$3=$AT$13,'Statement of Marks'!DF204,IF($P$3=$AT$14,"",IF($P$3=$AT$15,'Statement of Marks'!EZ204,""))))))))),"")</f>
        <v/>
      </c>
      <c r="N205" s="812" t="str">
        <f>IFERROR(IF(B205="","",IF($P$3=$AT$8,'Statement of Marks'!L204,IF($P$3=$AT$9,'Statement of Marks'!Z204,IF($P$3=$AT$10,'Statement of Marks'!AO204,IF($P$3=$AT$11,'Statement of Marks'!BL204,IF($P$3=$AT$12,'Statement of Marks'!CI204,IF($P$3=$AT$13,'Statement of Marks'!DG204,IF($P$3=$AT$14,"",IF($P$3=$AT$15,'Statement of Marks'!FA204,""))))))))),"")</f>
        <v/>
      </c>
      <c r="O205" s="813" t="str">
        <f t="shared" si="46"/>
        <v/>
      </c>
      <c r="P205" s="812" t="str">
        <f>IFERROR(IF(B205="","",IF($P$3=$AT$8,'Statement of Marks'!N204,IF($P$3=$AT$9,'Statement of Marks'!AB204,IF($P$3=$AT$10,'Statement of Marks'!AQ204,IF($P$3=$AT$11,'Statement of Marks'!BN204,IF($P$3=$AT$12,'Statement of Marks'!CK204,IF($P$3=$AT$13,'Statement of Marks'!DI204,IF($P$3=$AT$14,"",IF($P$3=$AT$15,'Statement of Marks'!FC204,""))))))))),"")</f>
        <v/>
      </c>
      <c r="Q205" s="812" t="str">
        <f>IFERROR(IF(B205="","",IF($P$3=$AT$8,"",IF($P$3=$AT$9,"",IF($P$3=$AT$10,'Statement of Marks'!AR204,IF($P$3=$AT$11,'Statement of Marks'!BO204,IF($P$3=$AT$12,'Statement of Marks'!CL204,IF($P$3=$AT$13,'Statement of Marks'!DJ204,IF($P$3=$AT$14,"",IF($P$3=$AT$15,"",""))))))))),"")</f>
        <v/>
      </c>
      <c r="R205" s="824" t="str">
        <f>IFERROR(IF(B205="","",IF(AND(P205="",Q205="",$P$3=""),"",IF($P$3=$AT$14,'Statement of Marks'!EC204,SUM(P205,Q205)))),"")</f>
        <v/>
      </c>
      <c r="S205" s="823" t="str">
        <f>IFERROR(IF(B205="","",IF($P$3=$AT$14,'Statement of Marks'!ED204,IF(AND(O205="NA",P205="NA",Q205="NA"),"NA",IF(AND(O205="",P205="",Q205=""),"",SUM(O205,P205,Q205))))),"")</f>
        <v/>
      </c>
      <c r="T205" s="812" t="str">
        <f>IFERROR(IF(B205="","",IF($P$3=$AT$8,'Statement of Marks'!P204,IF($P$3=$AT$9,'Statement of Marks'!AD204,IF($P$3=$AT$10,'Statement of Marks'!AU204,IF($P$3=$AT$11,'Statement of Marks'!BR204,IF($P$3=$AT$12,'Statement of Marks'!CO204,IF($P$3=$AT$13,'Statement of Marks'!DM204,IF($P$3=$AT$14,"",IF($P$3=$AT$15,'Statement of Marks'!FD204,""))))))))),"")</f>
        <v/>
      </c>
      <c r="U205" s="812" t="str">
        <f>IFERROR(IF(B205="","",IF($P$3=$AT$8,"",IF($P$3=$AT$9,"",IF($P$3=$AT$10,'Statement of Marks'!AV204,IF($P$3=$AT$11,'Statement of Marks'!BS204,IF($P$3=$AT$12,'Statement of Marks'!CP204,IF($P$3=$AT$13,'Statement of Marks'!DN204,IF($P$3=$AT$14,"",IF($P$3=$AT$15,"",""))))))))),"")</f>
        <v/>
      </c>
      <c r="V205" s="824" t="str">
        <f>IFERROR(IF(B205="","",IF(AND(T205="",U205="",$P$3=""),"",IF($P$3=$AT$14,'Statement of Marks'!EE204,SUM(T205,U205)))),"")</f>
        <v/>
      </c>
      <c r="W205" s="814" t="str">
        <f t="shared" si="47"/>
        <v/>
      </c>
      <c r="X205" s="815">
        <f t="shared" si="48"/>
        <v>0</v>
      </c>
      <c r="Y205" s="815">
        <f t="shared" si="49"/>
        <v>0</v>
      </c>
      <c r="Z205" s="815">
        <f t="shared" si="50"/>
        <v>0</v>
      </c>
      <c r="AA205" s="815" t="str">
        <f t="shared" si="51"/>
        <v/>
      </c>
      <c r="AB205" s="815" t="str">
        <f t="shared" si="52"/>
        <v/>
      </c>
      <c r="AC205" s="815" t="str">
        <f t="shared" si="53"/>
        <v/>
      </c>
      <c r="AD205" s="815" t="str">
        <f t="shared" si="54"/>
        <v/>
      </c>
      <c r="AE205" s="816" t="str">
        <f t="shared" si="55"/>
        <v/>
      </c>
      <c r="AF205" s="817" t="str">
        <f t="shared" si="56"/>
        <v/>
      </c>
      <c r="AG205" s="818" t="str">
        <f t="shared" si="57"/>
        <v/>
      </c>
      <c r="AW205" s="17" t="str">
        <f t="shared" si="58"/>
        <v/>
      </c>
      <c r="AX205" s="17" t="str">
        <f t="shared" si="59"/>
        <v/>
      </c>
      <c r="BM205" s="17" t="str">
        <f>IFERROR(VLOOKUP(B205,'Statement of Marks'!$B$8:'Statement of Marks'!$HI$207,37,0),"")</f>
        <v>A</v>
      </c>
      <c r="BN205" s="17" t="str">
        <f>IFERROR(VLOOKUP(B205,'Statement of Marks'!$B$8:'Statement of Marks'!$HI$207,60,0),"")</f>
        <v>A</v>
      </c>
      <c r="BO205" s="17" t="str">
        <f>IFERROR(VLOOKUP(B205,'Statement of Marks'!$B$8:'Statement of Marks'!$HI$207,83,0),"")</f>
        <v>A</v>
      </c>
      <c r="BP205" s="17" t="str">
        <f>IFERROR(VLOOKUP(B205,'Statement of Marks'!$B$8:'Statement of Marks'!$HI$207,107,0),"")</f>
        <v/>
      </c>
    </row>
    <row r="206" spans="1:68">
      <c r="A206" s="806">
        <f>IF('Statement of Marks'!A205="","",'Statement of Marks'!A205)</f>
        <v>198</v>
      </c>
      <c r="B206" s="807" t="str">
        <f>IF(OR($E$3="",$P$3=""),"",IF('Statement of Marks'!B205="","",'Statement of Marks'!B205))</f>
        <v/>
      </c>
      <c r="C206" s="816" t="str">
        <f>IF(OR($E$3="",$P$3=""),"",IF('Marks Entry'!C205="","",'Marks Entry'!C205))</f>
        <v/>
      </c>
      <c r="D206" s="808" t="str">
        <f>IF(OR($E$3="",$P$3=""),"",IF('Statement of Marks'!C205="","",'Statement of Marks'!C205))</f>
        <v/>
      </c>
      <c r="E206" s="809" t="str">
        <f>IF(OR($E$3="",$P$3=""),"",IF('Statement of Marks'!D205="","",'Statement of Marks'!D205))</f>
        <v/>
      </c>
      <c r="F206" s="810" t="str">
        <f>IF(OR($E$3="",$P$3=""),"",IF('Statement of Marks'!E205="","",'Statement of Marks'!E205))</f>
        <v/>
      </c>
      <c r="G206" s="810" t="str">
        <f>IF(OR($E$3="",$P$3=""),"",IF('Statement of Marks'!F205="","",'Statement of Marks'!F205))</f>
        <v/>
      </c>
      <c r="H206" s="810" t="str">
        <f>IF(OR($E$3="",$P$3=""),"",IF('Statement of Marks'!G205="","",'Statement of Marks'!G205))</f>
        <v/>
      </c>
      <c r="I206" s="811" t="str">
        <f>IF(OR($E$3="",$P$3=""),"",IF('Statement of Marks'!H205="","",'Statement of Marks'!H205))</f>
        <v/>
      </c>
      <c r="J206" s="811" t="str">
        <f>IF(OR($E$3="",$P$3=""),"",IF('Statement of Marks'!I205="","",'Statement of Marks'!I205))</f>
        <v/>
      </c>
      <c r="K206" s="811" t="str">
        <f>IFERROR(IF(B206="","",IF($P$3=$AT$10,IF(AND(BM206="A"),'Marks Entry'!$U$2,IF(AND(BM206="B"),'Marks Entry'!$Y$2,IF(AND(BM206="C"),'Marks Entry'!$AA$2,""))),IF($P$3=$AT$11,IF(AND(BN206="A"),'Marks Entry'!$AC$2,IF(AND(BN206="B"),'Marks Entry'!$AG$2,IF(AND(BN206="C"),'Marks Entry'!$AI$2,""))),IF($P$3=$AT$12,IF(AND(BO206="A"),'Marks Entry'!$AK$2,IF(AND(BO206="B"),'Marks Entry'!$AO$2,IF(AND(BO206="C"),'Marks Entry'!$AQ$2,""))),IF($P$3=$AT$13,IF(AND(BP206="A"),'Marks Entry'!$AS$2,IF(AND(BP206="B"),'Marks Entry'!$AW$2,IF(AND(BP206="C"),'Marks Entry'!$AY$2,""))),"-"))))),"")</f>
        <v/>
      </c>
      <c r="L206" s="812" t="str">
        <f>IFERROR(IF(B206="","",IF($P$3=$AT$8,'Statement of Marks'!J205,IF($P$3=$AT$9,'Statement of Marks'!X205,IF($P$3=$AT$10,'Statement of Marks'!AM205,IF($P$3=$AT$11,'Statement of Marks'!BJ205,IF($P$3=$AT$12,'Statement of Marks'!CG205,IF($P$3=$AT$13,'Statement of Marks'!DE205,IF($P$3=$AT$14,"",IF($P$3=$AT$15,'Statement of Marks'!EY205,""))))))))),"")</f>
        <v/>
      </c>
      <c r="M206" s="812" t="str">
        <f>IFERROR(IF(B206="","",IF($P$3=$AT$8,'Statement of Marks'!K205,IF($P$3=$AT$9,'Statement of Marks'!Y205,IF($P$3=$AT$10,'Statement of Marks'!AN205,IF($P$3=$AT$11,'Statement of Marks'!BK205,IF($P$3=$AT$12,'Statement of Marks'!CH205,IF($P$3=$AT$13,'Statement of Marks'!DF205,IF($P$3=$AT$14,"",IF($P$3=$AT$15,'Statement of Marks'!EZ205,""))))))))),"")</f>
        <v/>
      </c>
      <c r="N206" s="812" t="str">
        <f>IFERROR(IF(B206="","",IF($P$3=$AT$8,'Statement of Marks'!L205,IF($P$3=$AT$9,'Statement of Marks'!Z205,IF($P$3=$AT$10,'Statement of Marks'!AO205,IF($P$3=$AT$11,'Statement of Marks'!BL205,IF($P$3=$AT$12,'Statement of Marks'!CI205,IF($P$3=$AT$13,'Statement of Marks'!DG205,IF($P$3=$AT$14,"",IF($P$3=$AT$15,'Statement of Marks'!FA205,""))))))))),"")</f>
        <v/>
      </c>
      <c r="O206" s="813" t="str">
        <f t="shared" ref="O206:O208" si="60">IF(AND(L206="",M206="",N206="",$P$3=""),"",IF(OR($P$3=$AT$14,$P$3=$AT$14),"",IF(B206="","",SUM(L206:N206))))</f>
        <v/>
      </c>
      <c r="P206" s="812" t="str">
        <f>IFERROR(IF(B206="","",IF($P$3=$AT$8,'Statement of Marks'!N205,IF($P$3=$AT$9,'Statement of Marks'!AB205,IF($P$3=$AT$10,'Statement of Marks'!AQ205,IF($P$3=$AT$11,'Statement of Marks'!BN205,IF($P$3=$AT$12,'Statement of Marks'!CK205,IF($P$3=$AT$13,'Statement of Marks'!DI205,IF($P$3=$AT$14,"",IF($P$3=$AT$15,'Statement of Marks'!FC205,""))))))))),"")</f>
        <v/>
      </c>
      <c r="Q206" s="812" t="str">
        <f>IFERROR(IF(B206="","",IF($P$3=$AT$8,"",IF($P$3=$AT$9,"",IF($P$3=$AT$10,'Statement of Marks'!AR205,IF($P$3=$AT$11,'Statement of Marks'!BO205,IF($P$3=$AT$12,'Statement of Marks'!CL205,IF($P$3=$AT$13,'Statement of Marks'!DJ205,IF($P$3=$AT$14,"",IF($P$3=$AT$15,"",""))))))))),"")</f>
        <v/>
      </c>
      <c r="R206" s="824" t="str">
        <f>IFERROR(IF(B206="","",IF(AND(P206="",Q206="",$P$3=""),"",IF($P$3=$AT$14,'Statement of Marks'!EC205,SUM(P206,Q206)))),"")</f>
        <v/>
      </c>
      <c r="S206" s="823" t="str">
        <f>IFERROR(IF(B206="","",IF($P$3=$AT$14,'Statement of Marks'!ED205,IF(AND(O206="NA",P206="NA",Q206="NA"),"NA",IF(AND(O206="",P206="",Q206=""),"",SUM(O206,P206,Q206))))),"")</f>
        <v/>
      </c>
      <c r="T206" s="812" t="str">
        <f>IFERROR(IF(B206="","",IF($P$3=$AT$8,'Statement of Marks'!P205,IF($P$3=$AT$9,'Statement of Marks'!AD205,IF($P$3=$AT$10,'Statement of Marks'!AU205,IF($P$3=$AT$11,'Statement of Marks'!BR205,IF($P$3=$AT$12,'Statement of Marks'!CO205,IF($P$3=$AT$13,'Statement of Marks'!DM205,IF($P$3=$AT$14,"",IF($P$3=$AT$15,'Statement of Marks'!FD205,""))))))))),"")</f>
        <v/>
      </c>
      <c r="U206" s="812" t="str">
        <f>IFERROR(IF(B206="","",IF($P$3=$AT$8,"",IF($P$3=$AT$9,"",IF($P$3=$AT$10,'Statement of Marks'!AV205,IF($P$3=$AT$11,'Statement of Marks'!BS205,IF($P$3=$AT$12,'Statement of Marks'!CP205,IF($P$3=$AT$13,'Statement of Marks'!DN205,IF($P$3=$AT$14,"",IF($P$3=$AT$15,"",""))))))))),"")</f>
        <v/>
      </c>
      <c r="V206" s="824" t="str">
        <f>IFERROR(IF(B206="","",IF(AND(T206="",U206="",$P$3=""),"",IF($P$3=$AT$14,'Statement of Marks'!EE205,SUM(T206,U206)))),"")</f>
        <v/>
      </c>
      <c r="W206" s="814" t="str">
        <f t="shared" ref="W206:W208" si="61">IFERROR(IF(B206="","",IF($P$3="","",IF(OR($P$3=$AT$14),SUM(R206,S206,V206),SUM(S206,V206)))),"")</f>
        <v/>
      </c>
      <c r="X206" s="815">
        <f t="shared" ref="X206:X208" si="62">IFERROR(IF($P$3="","",IF(OR($P$3=$AT$8,$P$3=$AT$9,$P$3=$AT$10,$P$3=$AT$11,$P$3=$AT$12,$P$3=$AT$13,$P$3=$AT$15),COUNTIF(L206:N206,"NA")*$L$7+(COUNTIF(L206:N206,"ML")*$L$7)+(COUNTIF(P206,"ML")*$P$7)+(COUNTIF(T206,"ML")*$T$8)+(COUNTIF(T206,"ML")*$T$7),COUNTIF(R206,"NA")*$R$7+(COUNTIF(R206,"ML")*$R$7)+(COUNTIF(S206,"ML")*$S$7)+(COUNTIF(V206,"ML")*$V$7))),0)</f>
        <v>0</v>
      </c>
      <c r="Y206" s="815">
        <f t="shared" ref="Y206:Y208" si="63">SUM(Q206,U206)</f>
        <v>0</v>
      </c>
      <c r="Z206" s="815">
        <f t="shared" ref="Z206:Z208" si="64">SUM(O206,P206,T206)</f>
        <v>0</v>
      </c>
      <c r="AA206" s="815" t="str">
        <f t="shared" ref="AA206:AA208" si="65">IF(OR($B206="NSO",$B206=0,T206=""),"",IF(AND(Q206="",U206=""),SUM($T$8),SUM($T$7)))</f>
        <v/>
      </c>
      <c r="AB206" s="815" t="str">
        <f t="shared" ref="AB206:AB208" si="66">IF(OR($B206="NSO",$B206=0,U206=""),"",IF(AND(Q206="",U206=""),"",SUM($Q$7+$U$7)-(COUNTIF(Q206,"ML")*$Q$7)-(COUNTIF(U206,"ML")*$U$7)))</f>
        <v/>
      </c>
      <c r="AC206" s="815" t="str">
        <f t="shared" ref="AC206:AC208" si="67">IF(OR($B206="NSO",$B206=0,B206=""),"",IF(AND(Q206="",U206=""),IF(OR($P$3=$AT$8,$P$3=$AT$9,$P$3=$AT$10,$P$3=$AT$11,$P$3=$AT$12,$P$3=$AT$13,$P$3=$AT$15,$P$3=$AT$16,$P$3=$AT$17),IF(AND(L206="NA",N206="NA",M206="NA"),$O$7-X206,IF(AND(P206="ML"),$P$7-X206,IF(AND(T206="ML"),$T$7-X206,$W$7-X206))),IF(AND(R206="NA"),$R$7-X206,IF(AND(S206="ML"),$S$7-X206,IF(AND(V206="ML"),$V$7-X206,$W$7-X206)))),IF(AND(L206="NA",N206="NA",M206="NA"),$O$7-X206,IF(AND(P206="ML"),$P$7-X206,IF(AND(T206="ML"),$T$7-X206,$Z$7-X206)))))</f>
        <v/>
      </c>
      <c r="AD206" s="815" t="str">
        <f t="shared" ref="AD206:AD208" si="68">IF(AND(OR(L206="ab",L206="ml"),OR(M206="ab",M206="ml"),OR(P206="ab",P206="ml"),OR(P206="ab",P206="ml"),OR(S206="ab",S206="ml")),"AB",IF(AND(OR(M206="ab",M206="ml"),OR(N206="ab",N206="ml"),OR(P206="ab",P206="ml"),OR(S206="ab",S206="ml")),"AB",IF(AND(OR(N206="ab",N206="ml"),OR(L206="ab",L206="ml"),OR(P206="ab",P206="ml"),OR(T206="ab",T206="ml")),"AB",IF(AND(OR(P206="ab",P206="ml"),OR(T206="ab",T206="ml"),OR(Q206="ab",Q206="ml"),OR(P206="ab",P206="ml"),OR(T206="ab",T206="ml")),"AB",IF(AND(OR(P206="ab",P206="ml"),OR(M206="ab",M206="ml"),OR(T206="ab",T206="ml"),OR(P206="ab",P206="ml"),OR(U206="ab",U206="ml")),"AB","")))))</f>
        <v/>
      </c>
      <c r="AE206" s="816" t="str">
        <f t="shared" ref="AE206:AE208" si="69">IFERROR(IF(B206="","",IF(OR($P$3=$AT$14),AX206,AW206)),"")</f>
        <v/>
      </c>
      <c r="AF206" s="817" t="str">
        <f t="shared" ref="AF206:AF208" si="70">IF(OR(AE206="",AE206=0,AE206="S",AE206="RE",AE206="F",AE206="AB",B206="NSO"),"",IF(AE206="G","G",IF(W206&gt;=75%*SUM(AB206,AC206),"I",IF(W206&gt;=60%*SUM(AB206,AC206),"I",IF(W206&gt;=48%*SUM(AB206,AC206),"II",IF(W206&gt;=36%*SUM(AB206,AC206),"III",""))))))</f>
        <v/>
      </c>
      <c r="AG206" s="818" t="str">
        <f t="shared" ref="AG206:AG208" si="71">IF(W206="","",IF(OR(AE206="",AE206=0,AE206="RE",AE206="AB"),"",IF(B206="NSO","NSO",IF(AE206="G","By Grace",IF(AE206="S","Supplementary",IF(AE206="F","Fail",IF(W206&gt;=75%*AC206,"D",IF(AE206="FP","Fail in Practical",""))))))))</f>
        <v/>
      </c>
    </row>
    <row r="207" spans="1:68">
      <c r="A207" s="806">
        <f>IF('Statement of Marks'!A206="","",'Statement of Marks'!A206)</f>
        <v>199</v>
      </c>
      <c r="B207" s="807" t="str">
        <f>IF(OR($E$3="",$P$3=""),"",IF('Statement of Marks'!B206="","",'Statement of Marks'!B206))</f>
        <v/>
      </c>
      <c r="C207" s="816" t="str">
        <f>IF(OR($E$3="",$P$3=""),"",IF('Marks Entry'!C206="","",'Marks Entry'!C206))</f>
        <v/>
      </c>
      <c r="D207" s="808" t="str">
        <f>IF(OR($E$3="",$P$3=""),"",IF('Statement of Marks'!C206="","",'Statement of Marks'!C206))</f>
        <v/>
      </c>
      <c r="E207" s="809" t="str">
        <f>IF(OR($E$3="",$P$3=""),"",IF('Statement of Marks'!D206="","",'Statement of Marks'!D206))</f>
        <v/>
      </c>
      <c r="F207" s="810" t="str">
        <f>IF(OR($E$3="",$P$3=""),"",IF('Statement of Marks'!E206="","",'Statement of Marks'!E206))</f>
        <v/>
      </c>
      <c r="G207" s="810" t="str">
        <f>IF(OR($E$3="",$P$3=""),"",IF('Statement of Marks'!F206="","",'Statement of Marks'!F206))</f>
        <v/>
      </c>
      <c r="H207" s="810" t="str">
        <f>IF(OR($E$3="",$P$3=""),"",IF('Statement of Marks'!G206="","",'Statement of Marks'!G206))</f>
        <v/>
      </c>
      <c r="I207" s="811" t="str">
        <f>IF(OR($E$3="",$P$3=""),"",IF('Statement of Marks'!H206="","",'Statement of Marks'!H206))</f>
        <v/>
      </c>
      <c r="J207" s="811" t="str">
        <f>IF(OR($E$3="",$P$3=""),"",IF('Statement of Marks'!I206="","",'Statement of Marks'!I206))</f>
        <v/>
      </c>
      <c r="K207" s="811" t="str">
        <f>IFERROR(IF(B207="","",IF($P$3=$AT$10,IF(AND(BM207="A"),'Marks Entry'!$U$2,IF(AND(BM207="B"),'Marks Entry'!$Y$2,IF(AND(BM207="C"),'Marks Entry'!$AA$2,""))),IF($P$3=$AT$11,IF(AND(BN207="A"),'Marks Entry'!$AC$2,IF(AND(BN207="B"),'Marks Entry'!$AG$2,IF(AND(BN207="C"),'Marks Entry'!$AI$2,""))),IF($P$3=$AT$12,IF(AND(BO207="A"),'Marks Entry'!$AK$2,IF(AND(BO207="B"),'Marks Entry'!$AO$2,IF(AND(BO207="C"),'Marks Entry'!$AQ$2,""))),IF($P$3=$AT$13,IF(AND(BP207="A"),'Marks Entry'!$AS$2,IF(AND(BP207="B"),'Marks Entry'!$AW$2,IF(AND(BP207="C"),'Marks Entry'!$AY$2,""))),"-"))))),"")</f>
        <v/>
      </c>
      <c r="L207" s="812" t="str">
        <f>IFERROR(IF(B207="","",IF($P$3=$AT$8,'Statement of Marks'!J206,IF($P$3=$AT$9,'Statement of Marks'!X206,IF($P$3=$AT$10,'Statement of Marks'!AM206,IF($P$3=$AT$11,'Statement of Marks'!BJ206,IF($P$3=$AT$12,'Statement of Marks'!CG206,IF($P$3=$AT$13,'Statement of Marks'!DE206,IF($P$3=$AT$14,"",IF($P$3=$AT$15,'Statement of Marks'!EY206,""))))))))),"")</f>
        <v/>
      </c>
      <c r="M207" s="812" t="str">
        <f>IFERROR(IF(B207="","",IF($P$3=$AT$8,'Statement of Marks'!K206,IF($P$3=$AT$9,'Statement of Marks'!Y206,IF($P$3=$AT$10,'Statement of Marks'!AN206,IF($P$3=$AT$11,'Statement of Marks'!BK206,IF($P$3=$AT$12,'Statement of Marks'!CH206,IF($P$3=$AT$13,'Statement of Marks'!DF206,IF($P$3=$AT$14,"",IF($P$3=$AT$15,'Statement of Marks'!EZ206,""))))))))),"")</f>
        <v/>
      </c>
      <c r="N207" s="812" t="str">
        <f>IFERROR(IF(B207="","",IF($P$3=$AT$8,'Statement of Marks'!L206,IF($P$3=$AT$9,'Statement of Marks'!Z206,IF($P$3=$AT$10,'Statement of Marks'!AO206,IF($P$3=$AT$11,'Statement of Marks'!BL206,IF($P$3=$AT$12,'Statement of Marks'!CI206,IF($P$3=$AT$13,'Statement of Marks'!DG206,IF($P$3=$AT$14,"",IF($P$3=$AT$15,'Statement of Marks'!FA206,""))))))))),"")</f>
        <v/>
      </c>
      <c r="O207" s="813" t="str">
        <f t="shared" si="60"/>
        <v/>
      </c>
      <c r="P207" s="812" t="str">
        <f>IFERROR(IF(B207="","",IF($P$3=$AT$8,'Statement of Marks'!N206,IF($P$3=$AT$9,'Statement of Marks'!AB206,IF($P$3=$AT$10,'Statement of Marks'!AQ206,IF($P$3=$AT$11,'Statement of Marks'!BN206,IF($P$3=$AT$12,'Statement of Marks'!CK206,IF($P$3=$AT$13,'Statement of Marks'!DI206,IF($P$3=$AT$14,"",IF($P$3=$AT$15,'Statement of Marks'!FC206,""))))))))),"")</f>
        <v/>
      </c>
      <c r="Q207" s="812" t="str">
        <f>IFERROR(IF(B207="","",IF($P$3=$AT$8,"",IF($P$3=$AT$9,"",IF($P$3=$AT$10,'Statement of Marks'!AR206,IF($P$3=$AT$11,'Statement of Marks'!BO206,IF($P$3=$AT$12,'Statement of Marks'!CL206,IF($P$3=$AT$13,'Statement of Marks'!DJ206,IF($P$3=$AT$14,"",IF($P$3=$AT$15,"",""))))))))),"")</f>
        <v/>
      </c>
      <c r="R207" s="824" t="str">
        <f>IFERROR(IF(B207="","",IF(AND(P207="",Q207="",$P$3=""),"",IF($P$3=$AT$14,'Statement of Marks'!EC206,SUM(P207,Q207)))),"")</f>
        <v/>
      </c>
      <c r="S207" s="823" t="str">
        <f>IFERROR(IF(B207="","",IF($P$3=$AT$14,'Statement of Marks'!ED206,IF(AND(O207="NA",P207="NA",Q207="NA"),"NA",IF(AND(O207="",P207="",Q207=""),"",SUM(O207,P207,Q207))))),"")</f>
        <v/>
      </c>
      <c r="T207" s="812" t="str">
        <f>IFERROR(IF(B207="","",IF($P$3=$AT$8,'Statement of Marks'!P206,IF($P$3=$AT$9,'Statement of Marks'!AD206,IF($P$3=$AT$10,'Statement of Marks'!AU206,IF($P$3=$AT$11,'Statement of Marks'!BR206,IF($P$3=$AT$12,'Statement of Marks'!CO206,IF($P$3=$AT$13,'Statement of Marks'!DM206,IF($P$3=$AT$14,"",IF($P$3=$AT$15,'Statement of Marks'!FD206,""))))))))),"")</f>
        <v/>
      </c>
      <c r="U207" s="812" t="str">
        <f>IFERROR(IF(B207="","",IF($P$3=$AT$8,"",IF($P$3=$AT$9,"",IF($P$3=$AT$10,'Statement of Marks'!AV206,IF($P$3=$AT$11,'Statement of Marks'!BS206,IF($P$3=$AT$12,'Statement of Marks'!CP206,IF($P$3=$AT$13,'Statement of Marks'!DN206,IF($P$3=$AT$14,"",IF($P$3=$AT$15,"",""))))))))),"")</f>
        <v/>
      </c>
      <c r="V207" s="824" t="str">
        <f>IFERROR(IF(B207="","",IF(AND(T207="",U207="",$P$3=""),"",IF($P$3=$AT$14,'Statement of Marks'!EE206,SUM(T207,U207)))),"")</f>
        <v/>
      </c>
      <c r="W207" s="814" t="str">
        <f t="shared" si="61"/>
        <v/>
      </c>
      <c r="X207" s="815">
        <f t="shared" si="62"/>
        <v>0</v>
      </c>
      <c r="Y207" s="815">
        <f t="shared" si="63"/>
        <v>0</v>
      </c>
      <c r="Z207" s="815">
        <f t="shared" si="64"/>
        <v>0</v>
      </c>
      <c r="AA207" s="815" t="str">
        <f t="shared" si="65"/>
        <v/>
      </c>
      <c r="AB207" s="815" t="str">
        <f t="shared" si="66"/>
        <v/>
      </c>
      <c r="AC207" s="815" t="str">
        <f t="shared" si="67"/>
        <v/>
      </c>
      <c r="AD207" s="815" t="str">
        <f t="shared" si="68"/>
        <v/>
      </c>
      <c r="AE207" s="816" t="str">
        <f t="shared" si="69"/>
        <v/>
      </c>
      <c r="AF207" s="817" t="str">
        <f t="shared" si="70"/>
        <v/>
      </c>
      <c r="AG207" s="818" t="str">
        <f t="shared" si="71"/>
        <v/>
      </c>
      <c r="AW207" s="17" t="str">
        <f t="shared" si="58"/>
        <v/>
      </c>
      <c r="AX207" s="17" t="str">
        <f t="shared" si="59"/>
        <v/>
      </c>
      <c r="BM207" s="17" t="str">
        <f>IFERROR(VLOOKUP(B207,'Statement of Marks'!$B$8:'Statement of Marks'!$HI$207,37,0),"")</f>
        <v>A</v>
      </c>
      <c r="BN207" s="17" t="str">
        <f>IFERROR(VLOOKUP(B207,'Statement of Marks'!$B$8:'Statement of Marks'!$HI$207,60,0),"")</f>
        <v>A</v>
      </c>
      <c r="BO207" s="17" t="str">
        <f>IFERROR(VLOOKUP(B207,'Statement of Marks'!$B$8:'Statement of Marks'!$HI$207,83,0),"")</f>
        <v>A</v>
      </c>
      <c r="BP207" s="17" t="str">
        <f>IFERROR(VLOOKUP(B207,'Statement of Marks'!$B$8:'Statement of Marks'!$HI$207,107,0),"")</f>
        <v/>
      </c>
    </row>
    <row r="208" spans="1:68">
      <c r="A208" s="806">
        <f>IF('Statement of Marks'!A207="","",'Statement of Marks'!A207)</f>
        <v>200</v>
      </c>
      <c r="B208" s="807" t="str">
        <f>IF(OR($E$3="",$P$3=""),"",IF('Statement of Marks'!B207="","",'Statement of Marks'!B207))</f>
        <v/>
      </c>
      <c r="C208" s="816" t="str">
        <f>IF(OR($E$3="",$P$3=""),"",IF('Marks Entry'!C207="","",'Marks Entry'!C207))</f>
        <v/>
      </c>
      <c r="D208" s="808" t="str">
        <f>IF(OR($E$3="",$P$3=""),"",IF('Statement of Marks'!C207="","",'Statement of Marks'!C207))</f>
        <v/>
      </c>
      <c r="E208" s="809" t="str">
        <f>IF(OR($E$3="",$P$3=""),"",IF('Statement of Marks'!D207="","",'Statement of Marks'!D207))</f>
        <v/>
      </c>
      <c r="F208" s="810" t="str">
        <f>IF(OR($E$3="",$P$3=""),"",IF('Statement of Marks'!E207="","",'Statement of Marks'!E207))</f>
        <v/>
      </c>
      <c r="G208" s="810" t="str">
        <f>IF(OR($E$3="",$P$3=""),"",IF('Statement of Marks'!F207="","",'Statement of Marks'!F207))</f>
        <v/>
      </c>
      <c r="H208" s="810" t="str">
        <f>IF(OR($E$3="",$P$3=""),"",IF('Statement of Marks'!G207="","",'Statement of Marks'!G207))</f>
        <v/>
      </c>
      <c r="I208" s="811" t="str">
        <f>IF(OR($E$3="",$P$3=""),"",IF('Statement of Marks'!H207="","",'Statement of Marks'!H207))</f>
        <v/>
      </c>
      <c r="J208" s="811" t="str">
        <f>IF(OR($E$3="",$P$3=""),"",IF('Statement of Marks'!I207="","",'Statement of Marks'!I207))</f>
        <v/>
      </c>
      <c r="K208" s="811" t="str">
        <f>IFERROR(IF(B208="","",IF($P$3=$AT$10,IF(AND(BM208="A"),'Marks Entry'!$U$2,IF(AND(BM208="B"),'Marks Entry'!$Y$2,IF(AND(BM208="C"),'Marks Entry'!$AA$2,""))),IF($P$3=$AT$11,IF(AND(BN208="A"),'Marks Entry'!$AC$2,IF(AND(BN208="B"),'Marks Entry'!$AG$2,IF(AND(BN208="C"),'Marks Entry'!$AI$2,""))),IF($P$3=$AT$12,IF(AND(BO208="A"),'Marks Entry'!$AK$2,IF(AND(BO208="B"),'Marks Entry'!$AO$2,IF(AND(BO208="C"),'Marks Entry'!$AQ$2,""))),IF($P$3=$AT$13,IF(AND(BP208="A"),'Marks Entry'!$AS$2,IF(AND(BP208="B"),'Marks Entry'!$AW$2,IF(AND(BP208="C"),'Marks Entry'!$AY$2,""))),"-"))))),"")</f>
        <v/>
      </c>
      <c r="L208" s="812" t="str">
        <f>IFERROR(IF(B208="","",IF($P$3=$AT$8,'Statement of Marks'!J207,IF($P$3=$AT$9,'Statement of Marks'!X207,IF($P$3=$AT$10,'Statement of Marks'!AM207,IF($P$3=$AT$11,'Statement of Marks'!BJ207,IF($P$3=$AT$12,'Statement of Marks'!CG207,IF($P$3=$AT$13,'Statement of Marks'!DE207,IF($P$3=$AT$14,"",IF($P$3=$AT$15,'Statement of Marks'!EY207,""))))))))),"")</f>
        <v/>
      </c>
      <c r="M208" s="812" t="str">
        <f>IFERROR(IF(B208="","",IF($P$3=$AT$8,'Statement of Marks'!K207,IF($P$3=$AT$9,'Statement of Marks'!Y207,IF($P$3=$AT$10,'Statement of Marks'!AN207,IF($P$3=$AT$11,'Statement of Marks'!BK207,IF($P$3=$AT$12,'Statement of Marks'!CH207,IF($P$3=$AT$13,'Statement of Marks'!DF207,IF($P$3=$AT$14,"",IF($P$3=$AT$15,'Statement of Marks'!EZ207,""))))))))),"")</f>
        <v/>
      </c>
      <c r="N208" s="812" t="str">
        <f>IFERROR(IF(B208="","",IF($P$3=$AT$8,'Statement of Marks'!L207,IF($P$3=$AT$9,'Statement of Marks'!Z207,IF($P$3=$AT$10,'Statement of Marks'!AO207,IF($P$3=$AT$11,'Statement of Marks'!BL207,IF($P$3=$AT$12,'Statement of Marks'!CI207,IF($P$3=$AT$13,'Statement of Marks'!DG207,IF($P$3=$AT$14,"",IF($P$3=$AT$15,'Statement of Marks'!FA207,""))))))))),"")</f>
        <v/>
      </c>
      <c r="O208" s="813" t="str">
        <f t="shared" si="60"/>
        <v/>
      </c>
      <c r="P208" s="812" t="str">
        <f>IFERROR(IF(B208="","",IF($P$3=$AT$8,'Statement of Marks'!N207,IF($P$3=$AT$9,'Statement of Marks'!AB207,IF($P$3=$AT$10,'Statement of Marks'!AQ207,IF($P$3=$AT$11,'Statement of Marks'!BN207,IF($P$3=$AT$12,'Statement of Marks'!CK207,IF($P$3=$AT$13,'Statement of Marks'!DI207,IF($P$3=$AT$14,"",IF($P$3=$AT$15,'Statement of Marks'!FC207,""))))))))),"")</f>
        <v/>
      </c>
      <c r="Q208" s="812" t="str">
        <f>IFERROR(IF(B208="","",IF($P$3=$AT$8,"",IF($P$3=$AT$9,"",IF($P$3=$AT$10,'Statement of Marks'!AR207,IF($P$3=$AT$11,'Statement of Marks'!BO207,IF($P$3=$AT$12,'Statement of Marks'!CL207,IF($P$3=$AT$13,'Statement of Marks'!DJ207,IF($P$3=$AT$14,"",IF($P$3=$AT$15,"",""))))))))),"")</f>
        <v/>
      </c>
      <c r="R208" s="824" t="str">
        <f>IFERROR(IF(B208="","",IF(AND(P208="",Q208="",$P$3=""),"",IF($P$3=$AT$14,'Statement of Marks'!EC207,SUM(P208,Q208)))),"")</f>
        <v/>
      </c>
      <c r="S208" s="823" t="str">
        <f>IFERROR(IF(B208="","",IF($P$3=$AT$14,'Statement of Marks'!ED207,IF(AND(O208="NA",P208="NA",Q208="NA"),"NA",IF(AND(O208="",P208="",Q208=""),"",SUM(O208,P208,Q208))))),"")</f>
        <v/>
      </c>
      <c r="T208" s="812" t="str">
        <f>IFERROR(IF(B208="","",IF($P$3=$AT$8,'Statement of Marks'!P207,IF($P$3=$AT$9,'Statement of Marks'!AD207,IF($P$3=$AT$10,'Statement of Marks'!AU207,IF($P$3=$AT$11,'Statement of Marks'!BR207,IF($P$3=$AT$12,'Statement of Marks'!CO207,IF($P$3=$AT$13,'Statement of Marks'!DM207,IF($P$3=$AT$14,"",IF($P$3=$AT$15,'Statement of Marks'!FD207,""))))))))),"")</f>
        <v/>
      </c>
      <c r="U208" s="812" t="str">
        <f>IFERROR(IF(B208="","",IF($P$3=$AT$8,"",IF($P$3=$AT$9,"",IF($P$3=$AT$10,'Statement of Marks'!AV207,IF($P$3=$AT$11,'Statement of Marks'!BS207,IF($P$3=$AT$12,'Statement of Marks'!CP207,IF($P$3=$AT$13,'Statement of Marks'!DN207,IF($P$3=$AT$14,"",IF($P$3=$AT$15,"",""))))))))),"")</f>
        <v/>
      </c>
      <c r="V208" s="824" t="str">
        <f>IFERROR(IF(B208="","",IF(AND(T208="",U208="",$P$3=""),"",IF($P$3=$AT$14,'Statement of Marks'!EE207,SUM(T208,U208)))),"")</f>
        <v/>
      </c>
      <c r="W208" s="814" t="str">
        <f t="shared" si="61"/>
        <v/>
      </c>
      <c r="X208" s="815">
        <f t="shared" si="62"/>
        <v>0</v>
      </c>
      <c r="Y208" s="815">
        <f t="shared" si="63"/>
        <v>0</v>
      </c>
      <c r="Z208" s="815">
        <f t="shared" si="64"/>
        <v>0</v>
      </c>
      <c r="AA208" s="815" t="str">
        <f t="shared" si="65"/>
        <v/>
      </c>
      <c r="AB208" s="815" t="str">
        <f t="shared" si="66"/>
        <v/>
      </c>
      <c r="AC208" s="815" t="str">
        <f t="shared" si="67"/>
        <v/>
      </c>
      <c r="AD208" s="815" t="str">
        <f t="shared" si="68"/>
        <v/>
      </c>
      <c r="AE208" s="816" t="str">
        <f t="shared" si="69"/>
        <v/>
      </c>
      <c r="AF208" s="817" t="str">
        <f t="shared" si="70"/>
        <v/>
      </c>
      <c r="AG208" s="818" t="str">
        <f t="shared" si="71"/>
        <v/>
      </c>
      <c r="AW208" s="17" t="str">
        <f t="shared" si="58"/>
        <v/>
      </c>
      <c r="AX208" s="17" t="str">
        <f t="shared" si="59"/>
        <v/>
      </c>
      <c r="BM208" s="17" t="str">
        <f>IFERROR(VLOOKUP(B208,'Statement of Marks'!$B$8:'Statement of Marks'!$HI$207,37,0),"")</f>
        <v>A</v>
      </c>
      <c r="BN208" s="17" t="str">
        <f>IFERROR(VLOOKUP(B208,'Statement of Marks'!$B$8:'Statement of Marks'!$HI$207,60,0),"")</f>
        <v>A</v>
      </c>
      <c r="BO208" s="17" t="str">
        <f>IFERROR(VLOOKUP(B208,'Statement of Marks'!$B$8:'Statement of Marks'!$HI$207,83,0),"")</f>
        <v>A</v>
      </c>
      <c r="BP208" s="17" t="str">
        <f>IFERROR(VLOOKUP(B208,'Statement of Marks'!$B$8:'Statement of Marks'!$HI$207,107,0),"")</f>
        <v/>
      </c>
    </row>
    <row r="209" spans="1:68">
      <c r="A209" s="1298"/>
      <c r="B209" s="1298"/>
      <c r="C209" s="1298"/>
      <c r="D209" s="1298"/>
      <c r="E209" s="1298"/>
      <c r="F209" s="1298"/>
      <c r="G209" s="1298"/>
      <c r="H209" s="1298"/>
      <c r="I209" s="1298"/>
      <c r="J209" s="1298"/>
      <c r="K209" s="1298"/>
      <c r="L209" s="1298"/>
      <c r="M209" s="1298"/>
      <c r="N209" s="1298"/>
      <c r="O209" s="1298"/>
      <c r="P209" s="1298"/>
      <c r="Q209" s="1298"/>
      <c r="R209" s="1298"/>
      <c r="S209" s="1298"/>
      <c r="T209" s="1298"/>
      <c r="U209" s="1298"/>
      <c r="V209" s="1298"/>
      <c r="W209" s="1298"/>
      <c r="X209" s="1298"/>
      <c r="Y209" s="1298"/>
      <c r="Z209" s="1298"/>
      <c r="AA209" s="1298"/>
      <c r="AB209" s="1298"/>
      <c r="AC209" s="1298"/>
      <c r="AD209" s="1298"/>
      <c r="AE209" s="1298"/>
      <c r="AF209" s="1298"/>
      <c r="AG209" s="1298"/>
      <c r="AW209" s="17" t="str">
        <f t="shared" si="58"/>
        <v/>
      </c>
      <c r="AX209" s="17" t="str">
        <f t="shared" si="59"/>
        <v/>
      </c>
      <c r="BM209" s="17" t="str">
        <f>IFERROR(VLOOKUP(B209,'Statement of Marks'!$B$8:'Statement of Marks'!$HI$207,37,0),"")</f>
        <v/>
      </c>
      <c r="BN209" s="17" t="str">
        <f>IFERROR(VLOOKUP(B209,'Statement of Marks'!$B$8:'Statement of Marks'!$HI$207,60,0),"")</f>
        <v/>
      </c>
      <c r="BO209" s="17" t="str">
        <f>IFERROR(VLOOKUP(B209,'Statement of Marks'!$B$8:'Statement of Marks'!$HI$207,83,0),"")</f>
        <v/>
      </c>
      <c r="BP209" s="17" t="str">
        <f>IFERROR(VLOOKUP(B209,'Statement of Marks'!$B$8:'Statement of Marks'!$HI$207,107,0),"")</f>
        <v/>
      </c>
    </row>
    <row r="210" spans="1:68" ht="15" customHeight="1">
      <c r="A210" s="1299" t="s">
        <v>300</v>
      </c>
      <c r="B210" s="1300"/>
      <c r="C210" s="1300"/>
      <c r="D210" s="1300"/>
      <c r="E210" s="1300"/>
      <c r="F210" s="1301"/>
      <c r="G210" s="1293" t="str">
        <f>IF('Master Sheet'!D11="Hindi","विषय का नाम :","Subject Name :")</f>
        <v>विषय का नाम :</v>
      </c>
      <c r="H210" s="1293"/>
      <c r="I210" s="1338" t="str">
        <f>IF(OR($E$3="",$P$3=""),"",IF($P$3=$AT$8,'Statement of Marks'!J3,IF($P$3=$AT$9,'Statement of Marks'!X3,IF($P$3=$AT$10,'Statement of Marks'!AL3,IF($P$3=$AT$11,'Statement of Marks'!BI3,IF($P$3=$AT$12,'Statement of Marks'!CF3,IF($P$3=$AT$13,'Statement of Marks'!DD3,IF($P$3=$AT$14,'Statement of Marks'!EC4,IF($P$3=$AT$15,'Statement of Marks'!EY3,"")))))))))</f>
        <v>POLITICAL SCIENCE</v>
      </c>
      <c r="J210" s="1338"/>
      <c r="K210" s="1338"/>
      <c r="L210" s="1338"/>
      <c r="M210" s="1338"/>
      <c r="N210" s="1338"/>
      <c r="O210" s="1338" t="str">
        <f>IF(OR($E$3="",$P$3=""),"",IF($P$3=$AT$8,"",IF($P$3=$AT$9,"",IF($P$3=$AT$10,'Statement of Marks'!AR3,IF($P$3=$AT$11,'Statement of Marks'!BO3,IF($P$3=$AT$12,'Statement of Marks'!CL3,IF($P$3=$AT$13,'Statement of Marks'!DK3,IF($P$3=$AT$14,"",IF($P$3=$AT$15,"","")))))))))</f>
        <v>BIOLOGY</v>
      </c>
      <c r="P210" s="1338"/>
      <c r="Q210" s="1338"/>
      <c r="R210" s="1338"/>
      <c r="S210" s="1338"/>
      <c r="T210" s="1338"/>
      <c r="U210" s="1338" t="str">
        <f>IF(OR($E$3="",$P$3=""),"",IF($P$3=$AT$8,"",IF($P$3=$AT$9,"",IF($P$3=$AT$10,'Statement of Marks'!AW3,IF($P$3=$AT$11,'Statement of Marks'!BT3,IF($P$3=$AT$12,'Statement of Marks'!CQ3,IF($P$3=$AT$13,'Statement of Marks'!DP3,IF($P$3=$AT$14,"",IF($P$3=$AT$15,"","")))))))))</f>
        <v/>
      </c>
      <c r="V210" s="1338"/>
      <c r="W210" s="1338"/>
      <c r="X210" s="1338"/>
      <c r="Y210" s="1338"/>
      <c r="Z210" s="1338"/>
      <c r="AA210" s="1338"/>
      <c r="AB210" s="1338"/>
      <c r="AC210" s="1338"/>
      <c r="AD210" s="1338"/>
      <c r="AE210" s="1338"/>
      <c r="AF210" s="1338"/>
      <c r="AG210" s="1307"/>
      <c r="AW210" s="17" t="str">
        <f t="shared" si="58"/>
        <v/>
      </c>
      <c r="AX210" s="17" t="str">
        <f t="shared" si="59"/>
        <v/>
      </c>
      <c r="BM210" s="17" t="str">
        <f>IFERROR(VLOOKUP(B210,'Statement of Marks'!$B$8:'Statement of Marks'!$HI$207,37,0),"")</f>
        <v/>
      </c>
      <c r="BN210" s="17" t="str">
        <f>IFERROR(VLOOKUP(B210,'Statement of Marks'!$B$8:'Statement of Marks'!$HI$207,60,0),"")</f>
        <v/>
      </c>
      <c r="BO210" s="17" t="str">
        <f>IFERROR(VLOOKUP(B210,'Statement of Marks'!$B$8:'Statement of Marks'!$HI$207,83,0),"")</f>
        <v/>
      </c>
      <c r="BP210" s="17" t="str">
        <f>IFERROR(VLOOKUP(B210,'Statement of Marks'!$B$8:'Statement of Marks'!$HI$207,107,0),"")</f>
        <v/>
      </c>
    </row>
    <row r="211" spans="1:68">
      <c r="A211" s="1302"/>
      <c r="B211" s="1303"/>
      <c r="C211" s="1303"/>
      <c r="D211" s="1303"/>
      <c r="E211" s="1303"/>
      <c r="F211" s="1304"/>
      <c r="G211" s="1293" t="str">
        <f>IF('Master Sheet'!D11="Hindi","विषयाध्यापक का नाम :","Name Of Subject Teacher :")</f>
        <v>विषयाध्यापक का नाम :</v>
      </c>
      <c r="H211" s="1293"/>
      <c r="I211" s="1338" t="str">
        <f>IF(OR($E$3="",$P$3=""),"",IF($P$3=$AT$8,'Statement of Marks'!J210,IF($P$3=$AT$9,'Statement of Marks'!X210,IF($P$3=$AT$10,'Statement of Marks'!AL210,IF($P$3=$AT$11,'Statement of Marks'!BI210,IF($P$3=$AT$12,'Statement of Marks'!CF210,IF($P$3=$AT$13,'Statement of Marks'!DD210,IF($P$3=$AT$14,'Statement of Marks'!DS210,IF($P$3=$AT$15,'Statement of Marks'!EY210,"")))))))))</f>
        <v>Heeralal Jat</v>
      </c>
      <c r="J211" s="1338"/>
      <c r="K211" s="1338"/>
      <c r="L211" s="1338"/>
      <c r="M211" s="1338"/>
      <c r="N211" s="1338"/>
      <c r="O211" s="1338" t="str">
        <f>IF(OR($E$3="",$P$3=""),"",IF($P$3=$AT$8,"",IF($P$3=$AT$9,"",IF($P$3=$AT$10,'Statement of Marks'!AQ210,IF($P$3=$AT$11,'Statement of Marks'!BN210,IF($P$3=$AT$12,'Statement of Marks'!CK210,IF($P$3=$AT$13,'Statement of Marks'!DI210,IF($P$3=$AT$14,"",IF($P$3=$AT$15,"","")))))))))</f>
        <v/>
      </c>
      <c r="P211" s="1338"/>
      <c r="Q211" s="1338"/>
      <c r="R211" s="1338"/>
      <c r="S211" s="1338"/>
      <c r="T211" s="1338"/>
      <c r="U211" s="1338" t="str">
        <f>IF(OR($E$3="",$P$3=""),"",IF($P$3=$AT$8,"",IF($P$3=$AT$9,"",IF($P$3=$AT$10,'Statement of Marks'!AV210,IF($P$3=$AT$11,'Statement of Marks'!BS210,IF($P$3=$AT$12,'Statement of Marks'!CP210,IF($P$3=$AT$13,'Statement of Marks'!DN210,IF($P$3=$AT$14,"",IF($P$3=$AT$15,"","")))))))))</f>
        <v/>
      </c>
      <c r="V211" s="1338"/>
      <c r="W211" s="1338"/>
      <c r="X211" s="1338"/>
      <c r="Y211" s="1338"/>
      <c r="Z211" s="1338"/>
      <c r="AA211" s="1338"/>
      <c r="AB211" s="1338"/>
      <c r="AC211" s="1338"/>
      <c r="AD211" s="1338"/>
      <c r="AE211" s="1338"/>
      <c r="AF211" s="1338"/>
      <c r="AG211" s="1308"/>
    </row>
    <row r="212" spans="1:68">
      <c r="A212" s="1302"/>
      <c r="B212" s="1303"/>
      <c r="C212" s="1303"/>
      <c r="D212" s="1303"/>
      <c r="E212" s="1303"/>
      <c r="F212" s="1304"/>
      <c r="G212" s="1293" t="str">
        <f>IF('Master Sheet'!D11="Hindi","परीक्षा में बैठने वाले विद्यार्थियों की संख्या :","No. of students appeared :")</f>
        <v>परीक्षा में बैठने वाले विद्यार्थियों की संख्या :</v>
      </c>
      <c r="H212" s="1293"/>
      <c r="I212" s="1339">
        <f>IF(AND(I210="",I211=""),"",IF(OR($P$3=$AT$8,$P$3=$AT$9,$P$3=$AT$14,$P$3=$AT$15),COUNTA(AE9:AE208)-COUNTIF(AE9:AE208,"RE")-COUNTIF(AE9:AE208,"AB")-COUNTIF(AE9:AE208,""),COUNTIF(K9:K208,$I$210)-COUNTIF(B8:B208,"NSO")-COUNTIF(AE8:AE208,"AB")))</f>
        <v>8</v>
      </c>
      <c r="J212" s="1339"/>
      <c r="K212" s="1339"/>
      <c r="L212" s="1339"/>
      <c r="M212" s="1339"/>
      <c r="N212" s="1339"/>
      <c r="O212" s="1339">
        <f>IF(AND(O210="",O211=""),"",COUNTIF(K9:K208,$O$210)-COUNTIF(B8:B208,"NSO")-COUNTIF(AE8:AE208,"AB"))</f>
        <v>3</v>
      </c>
      <c r="P212" s="1339"/>
      <c r="Q212" s="1339"/>
      <c r="R212" s="1339"/>
      <c r="S212" s="1339"/>
      <c r="T212" s="1339"/>
      <c r="U212" s="1339" t="str">
        <f>IF(AND(U210="",U211=""),"",COUNTIF(K9:K208,$U$210)-COUNTIF(B8:B208,"NSO")-COUNTIF(AE8:AE208,"AB"))</f>
        <v/>
      </c>
      <c r="V212" s="1339"/>
      <c r="W212" s="1339"/>
      <c r="X212" s="1339"/>
      <c r="Y212" s="1339"/>
      <c r="Z212" s="1339"/>
      <c r="AA212" s="1339"/>
      <c r="AB212" s="1339"/>
      <c r="AC212" s="1339"/>
      <c r="AD212" s="1339"/>
      <c r="AE212" s="1339"/>
      <c r="AF212" s="1339"/>
      <c r="AG212" s="1308"/>
    </row>
    <row r="213" spans="1:68">
      <c r="A213" s="1302"/>
      <c r="B213" s="1303"/>
      <c r="C213" s="1303"/>
      <c r="D213" s="1303"/>
      <c r="E213" s="1303"/>
      <c r="F213" s="1304"/>
      <c r="G213" s="1293" t="str">
        <f>IF('Master Sheet'!D11="Hindi","ग्रेड :","Grade :")</f>
        <v>ग्रेड :</v>
      </c>
      <c r="H213" s="1310"/>
      <c r="I213" s="826" t="s">
        <v>73</v>
      </c>
      <c r="J213" s="826" t="s">
        <v>74</v>
      </c>
      <c r="K213" s="826" t="s">
        <v>75</v>
      </c>
      <c r="L213" s="826" t="s">
        <v>111</v>
      </c>
      <c r="M213" s="1311" t="s">
        <v>91</v>
      </c>
      <c r="N213" s="1311"/>
      <c r="O213" s="826" t="s">
        <v>73</v>
      </c>
      <c r="P213" s="826" t="s">
        <v>74</v>
      </c>
      <c r="Q213" s="826" t="s">
        <v>75</v>
      </c>
      <c r="R213" s="826" t="s">
        <v>111</v>
      </c>
      <c r="S213" s="1311" t="s">
        <v>91</v>
      </c>
      <c r="T213" s="1311"/>
      <c r="U213" s="826" t="s">
        <v>73</v>
      </c>
      <c r="V213" s="826" t="s">
        <v>74</v>
      </c>
      <c r="W213" s="826" t="s">
        <v>75</v>
      </c>
      <c r="X213" s="826"/>
      <c r="Y213" s="1311"/>
      <c r="Z213" s="1311"/>
      <c r="AA213" s="826"/>
      <c r="AB213" s="826"/>
      <c r="AC213" s="826"/>
      <c r="AD213" s="826" t="s">
        <v>111</v>
      </c>
      <c r="AE213" s="1311" t="s">
        <v>91</v>
      </c>
      <c r="AF213" s="1311"/>
      <c r="AG213" s="1308"/>
    </row>
    <row r="214" spans="1:68">
      <c r="A214" s="1302"/>
      <c r="B214" s="1303"/>
      <c r="C214" s="1303"/>
      <c r="D214" s="1303"/>
      <c r="E214" s="1303"/>
      <c r="F214" s="1304"/>
      <c r="G214" s="1293" t="str">
        <f>IF('Master Sheet'!D11="Hindi","ग्रेडवार उत्तीर्ण विद्यार्थी :","Total Passed Grade wise :")</f>
        <v>ग्रेडवार उत्तीर्ण विद्यार्थी :</v>
      </c>
      <c r="H214" s="1293"/>
      <c r="I214" s="825">
        <f>IF(AND(I210="",I211=""),"",IF(OR($P$3=$AT$8,$P$3=$AT$9,$P$3=$AT$14,$P$3=$AT$15),COUNTIFS(AF9:AF208,"I"),COUNTIFS(K9:K208,$I$210,AF9:AF208,"I")))</f>
        <v>1</v>
      </c>
      <c r="J214" s="825">
        <f>IF(AND(I210="",I211=""),"",IF(OR($P$3=$AT$8,$P$3=$AT$9,$P$3=$AT$14,$P$3=$AT$15),COUNTIFS(AF9:AF208,"II"),COUNTIFS(K9:K208,$I$210,AF9:AF208,"II")))</f>
        <v>1</v>
      </c>
      <c r="K214" s="825">
        <f>IF(AND(I210="",I211=""),"",IF(OR($P$3=$AT$8,$P$3=$AT$9,$P$3=$AT$14,$P$3=$AT$15),COUNTIFS(AF9:AF208,"III"),COUNTIFS(K9:K208,$I$210,AF9:AF208,"III")))</f>
        <v>2</v>
      </c>
      <c r="L214" s="825">
        <f>IF(AND(I210="",I211=""),"",IF(OR($P$3=$AT$8,$P$3=$AT$9,$P$3=$AT$14,$P$3=$AT$15),COUNTIFS(AF9:AF208,"G"),COUNTIFS(K9:K208,$I$210,AF9:AF208,"G")))</f>
        <v>2</v>
      </c>
      <c r="M214" s="1312">
        <f>IF(AND(I210="",I211=""),"",SUM(I214,J214,K214,L214))</f>
        <v>6</v>
      </c>
      <c r="N214" s="1312"/>
      <c r="O214" s="825">
        <f>IF(AND(O210="",O211=""),"",COUNTIFS(K9:K208,$O$210,AF9:AF208,"I"))</f>
        <v>3</v>
      </c>
      <c r="P214" s="825">
        <f>IF(AND(O210="",O211=""),"",COUNTIFS(K9:K208,$O$210,AF9:AF208,"II"))</f>
        <v>0</v>
      </c>
      <c r="Q214" s="825">
        <f>IF(AND(O210="",O211=""),"",COUNTIFS(K9:K208,$O$210,AF9:AF208,"III"))</f>
        <v>0</v>
      </c>
      <c r="R214" s="825">
        <f>IF(AND(O210="",O211=""),"",COUNTIFS(K9:K208,$O$210,AF9:AF208,"G"))</f>
        <v>0</v>
      </c>
      <c r="S214" s="1312">
        <f>IF(AND(O210="",O211=""),"",SUM(O214,P214,Q214,R214))</f>
        <v>3</v>
      </c>
      <c r="T214" s="1312"/>
      <c r="U214" s="825" t="str">
        <f>IF(AND(U210="",U211=""),"",COUNTIFS(K9:K208,$U$210,AF9:AF208,"I"))</f>
        <v/>
      </c>
      <c r="V214" s="825" t="str">
        <f>IF(AND(U210="",U211=""),"",COUNTIFS(K9:K208,$U$210,AF9:AF208,"II"))</f>
        <v/>
      </c>
      <c r="W214" s="825" t="str">
        <f>IF(AND(U210="",U211=""),"",COUNTIFS(K9:K208,$U$210,AF9:AF208,"III"))</f>
        <v/>
      </c>
      <c r="X214" s="825"/>
      <c r="Y214" s="1312"/>
      <c r="Z214" s="1312"/>
      <c r="AA214" s="825"/>
      <c r="AB214" s="825"/>
      <c r="AC214" s="825"/>
      <c r="AD214" s="825" t="str">
        <f>IF(AND(U210="",U211=""),"",COUNTIFS(K9:K208,$U$210,AF9:AF208,"G"))</f>
        <v/>
      </c>
      <c r="AE214" s="1312" t="str">
        <f>IF(AND(U210="",U211=""),"",SUM(U214,V214,W214,AD214))</f>
        <v/>
      </c>
      <c r="AF214" s="1312"/>
      <c r="AG214" s="1308"/>
    </row>
    <row r="215" spans="1:68">
      <c r="A215" s="1302"/>
      <c r="B215" s="1303"/>
      <c r="C215" s="1303"/>
      <c r="D215" s="1303"/>
      <c r="E215" s="1303"/>
      <c r="F215" s="1304"/>
      <c r="G215" s="1293" t="str">
        <f>IF('Master Sheet'!D11="Hindi","कुल उत्तीर्ण प्रतिशत में  :","Total Pass  %  :")</f>
        <v>कुल उत्तीर्ण प्रतिशत में  :</v>
      </c>
      <c r="H215" s="1293"/>
      <c r="I215" s="1313">
        <f>IF(AND(I210="",I211=""),"",IF(I212=0,0,M214/I212*100))</f>
        <v>75</v>
      </c>
      <c r="J215" s="1313"/>
      <c r="K215" s="1313"/>
      <c r="L215" s="1313"/>
      <c r="M215" s="1313"/>
      <c r="N215" s="1313"/>
      <c r="O215" s="1313">
        <f>IF(AND(O210="",O211=""),"",IF(O212=0,0,S214/O212*100))</f>
        <v>100</v>
      </c>
      <c r="P215" s="1313"/>
      <c r="Q215" s="1313"/>
      <c r="R215" s="1313"/>
      <c r="S215" s="1313"/>
      <c r="T215" s="1313"/>
      <c r="U215" s="1313" t="str">
        <f>IF(AND(U210="",U211=""),"",IF(U212=0,0,AE214/U212*100))</f>
        <v/>
      </c>
      <c r="V215" s="1313"/>
      <c r="W215" s="1313"/>
      <c r="X215" s="1313"/>
      <c r="Y215" s="1313"/>
      <c r="Z215" s="1313"/>
      <c r="AA215" s="1313"/>
      <c r="AB215" s="1313"/>
      <c r="AC215" s="1313"/>
      <c r="AD215" s="1313"/>
      <c r="AE215" s="1313"/>
      <c r="AF215" s="1313"/>
      <c r="AG215" s="1308"/>
    </row>
    <row r="216" spans="1:68">
      <c r="A216" s="1302"/>
      <c r="B216" s="1303"/>
      <c r="C216" s="1303"/>
      <c r="D216" s="1303"/>
      <c r="E216" s="1303"/>
      <c r="F216" s="1304"/>
      <c r="G216" s="1293" t="str">
        <f>IF('Master Sheet'!D11="Hindi","पूरक परीक्षा  :","Supplementary  :")</f>
        <v>पूरक परीक्षा  :</v>
      </c>
      <c r="H216" s="1293"/>
      <c r="I216" s="1340">
        <f>IF(AND(I210="",I211=""),"",COUNTIFS(K9:K208,$I$210,AE9:AE208,"S"))</f>
        <v>1</v>
      </c>
      <c r="J216" s="1340"/>
      <c r="K216" s="1340"/>
      <c r="L216" s="1340"/>
      <c r="M216" s="1340"/>
      <c r="N216" s="1340"/>
      <c r="O216" s="1340">
        <f>IF(AND(O210="",O211=""),"",COUNTIFS(K9:K208,$O$210,AE9:AE208,"S"))</f>
        <v>0</v>
      </c>
      <c r="P216" s="1340"/>
      <c r="Q216" s="1340"/>
      <c r="R216" s="1340"/>
      <c r="S216" s="1340"/>
      <c r="T216" s="1340"/>
      <c r="U216" s="1340" t="str">
        <f>IF(AND(U210="",U211=""),"",COUNTIFS(K9:K208,$U$210,AE9:AE208,"S"))</f>
        <v/>
      </c>
      <c r="V216" s="1340"/>
      <c r="W216" s="1340"/>
      <c r="X216" s="1340"/>
      <c r="Y216" s="1340"/>
      <c r="Z216" s="1340"/>
      <c r="AA216" s="1340"/>
      <c r="AB216" s="1340"/>
      <c r="AC216" s="1340"/>
      <c r="AD216" s="1340"/>
      <c r="AE216" s="1340"/>
      <c r="AF216" s="1340"/>
      <c r="AG216" s="1308"/>
    </row>
    <row r="217" spans="1:68">
      <c r="A217" s="1302"/>
      <c r="B217" s="1303"/>
      <c r="C217" s="1303"/>
      <c r="D217" s="1303"/>
      <c r="E217" s="1303"/>
      <c r="F217" s="1304"/>
      <c r="G217" s="1294" t="str">
        <f>IF('Master Sheet'!D11="Hindi","अनुतीर्ण  :","Failed  :")</f>
        <v>अनुतीर्ण  :</v>
      </c>
      <c r="H217" s="1294"/>
      <c r="I217" s="1340">
        <f>IF(AND(I210="",I211=""),"",COUNTIFS(K9:K208,$I$210,AE9:AE208,"F"))</f>
        <v>1</v>
      </c>
      <c r="J217" s="1340"/>
      <c r="K217" s="1340"/>
      <c r="L217" s="1340"/>
      <c r="M217" s="1340"/>
      <c r="N217" s="1340"/>
      <c r="O217" s="1340">
        <f>IF(AND(O210="",O211=""),"",COUNTIFS(K9:K208,$O$210,AE9:AE208,"F"))</f>
        <v>0</v>
      </c>
      <c r="P217" s="1340"/>
      <c r="Q217" s="1340"/>
      <c r="R217" s="1340"/>
      <c r="S217" s="1340"/>
      <c r="T217" s="1340"/>
      <c r="U217" s="1340" t="str">
        <f>IF(AND(U210="",U211=""),"",COUNTIFS(K9:K208,$U$210,AE9:AE208,"F"))</f>
        <v/>
      </c>
      <c r="V217" s="1340"/>
      <c r="W217" s="1340"/>
      <c r="X217" s="1340"/>
      <c r="Y217" s="1340"/>
      <c r="Z217" s="1340"/>
      <c r="AA217" s="1340"/>
      <c r="AB217" s="1340"/>
      <c r="AC217" s="1340"/>
      <c r="AD217" s="1340"/>
      <c r="AE217" s="1340"/>
      <c r="AF217" s="1340"/>
      <c r="AG217" s="1308"/>
    </row>
    <row r="218" spans="1:68">
      <c r="A218" s="1302"/>
      <c r="B218" s="1303"/>
      <c r="C218" s="1303"/>
      <c r="D218" s="1303"/>
      <c r="E218" s="1303"/>
      <c r="F218" s="1304"/>
      <c r="G218" s="1294" t="str">
        <f>IF('Master Sheet'!D11="Hindi","पुनः परीक्षा तक परिणाम रोका गया  :","Result with held until re-exam  :")</f>
        <v>पुनः परीक्षा तक परिणाम रोका गया  :</v>
      </c>
      <c r="H218" s="1294"/>
      <c r="I218" s="1340">
        <f>IF(AND(I210="",I211=""),"",COUNTIFS(K9:K208,$I$210,AE9:AE208,"RW"))</f>
        <v>0</v>
      </c>
      <c r="J218" s="1340"/>
      <c r="K218" s="1340"/>
      <c r="L218" s="1340"/>
      <c r="M218" s="1340"/>
      <c r="N218" s="1340"/>
      <c r="O218" s="1340">
        <f>IF(AND(O210="",O211=""),"",COUNTIFS(K9:K208,$O$210,AE9:AE208,"RW"))</f>
        <v>0</v>
      </c>
      <c r="P218" s="1340"/>
      <c r="Q218" s="1340"/>
      <c r="R218" s="1340"/>
      <c r="S218" s="1340"/>
      <c r="T218" s="1340"/>
      <c r="U218" s="1340" t="str">
        <f>IF(AND(U210="",U211=""),"",COUNTIFS(K9:K208,$U$210,AE9:AE208,"RW"))</f>
        <v/>
      </c>
      <c r="V218" s="1340"/>
      <c r="W218" s="1340"/>
      <c r="X218" s="1340"/>
      <c r="Y218" s="1340"/>
      <c r="Z218" s="1340"/>
      <c r="AA218" s="1340"/>
      <c r="AB218" s="1340"/>
      <c r="AC218" s="1340"/>
      <c r="AD218" s="1340"/>
      <c r="AE218" s="1340"/>
      <c r="AF218" s="1340"/>
      <c r="AG218" s="1308"/>
    </row>
    <row r="219" spans="1:68">
      <c r="A219" s="1302"/>
      <c r="B219" s="1303"/>
      <c r="C219" s="1303"/>
      <c r="D219" s="1303"/>
      <c r="E219" s="1303"/>
      <c r="F219" s="1304"/>
      <c r="G219" s="1293" t="str">
        <f>IF('Master Sheet'!D11="Hindi","अनुपस्थिति  :","Absence  :")</f>
        <v>अनुपस्थिति  :</v>
      </c>
      <c r="H219" s="1293"/>
      <c r="I219" s="1340">
        <f>IF(AND(I210="",I211=""),"",COUNTIFS(K9:K208,$I$210,AE9:AE208,"AB"))</f>
        <v>0</v>
      </c>
      <c r="J219" s="1340"/>
      <c r="K219" s="1340"/>
      <c r="L219" s="1340"/>
      <c r="M219" s="1340"/>
      <c r="N219" s="1340"/>
      <c r="O219" s="1340">
        <f>IF(AND(O210="",O211=""),"",COUNTIFS(K9:K208,$O$210,AE9:AE208,"AB"))</f>
        <v>0</v>
      </c>
      <c r="P219" s="1340"/>
      <c r="Q219" s="1340"/>
      <c r="R219" s="1340"/>
      <c r="S219" s="1340"/>
      <c r="T219" s="1340"/>
      <c r="U219" s="1340" t="str">
        <f>IF(AND(U210="",U211=""),"",COUNTIFS(K9:K208,$U$210,AE9:AE208,"AB"))</f>
        <v/>
      </c>
      <c r="V219" s="1340"/>
      <c r="W219" s="1340"/>
      <c r="X219" s="1340"/>
      <c r="Y219" s="1340"/>
      <c r="Z219" s="1340"/>
      <c r="AA219" s="1340"/>
      <c r="AB219" s="1340"/>
      <c r="AC219" s="1340"/>
      <c r="AD219" s="1340"/>
      <c r="AE219" s="1340"/>
      <c r="AF219" s="1340"/>
      <c r="AG219" s="1308"/>
    </row>
    <row r="220" spans="1:68">
      <c r="A220" s="1302"/>
      <c r="B220" s="1303"/>
      <c r="C220" s="1303"/>
      <c r="D220" s="1303"/>
      <c r="E220" s="1303"/>
      <c r="F220" s="1304"/>
      <c r="G220" s="1293" t="str">
        <f>IF('Master Sheet'!D11="Hindi","नाम पृथक विद्यार्थियों की संख्या  :","N.S.O. Students :")</f>
        <v>नाम पृथक विद्यार्थियों की संख्या  :</v>
      </c>
      <c r="H220" s="1293"/>
      <c r="I220" s="1340">
        <f>IF(AND(I210="",I211=""),"",COUNTIFS(K9:K208,$I$210,AE9:AE208,"NSO"))</f>
        <v>0</v>
      </c>
      <c r="J220" s="1340"/>
      <c r="K220" s="1340"/>
      <c r="L220" s="1340"/>
      <c r="M220" s="1340"/>
      <c r="N220" s="1340"/>
      <c r="O220" s="1340">
        <f>IF(AND(O210="",O211=""),"",COUNTIFS(K9:K208,$O$210,AE9:AE208,"NSO"))</f>
        <v>0</v>
      </c>
      <c r="P220" s="1340"/>
      <c r="Q220" s="1340"/>
      <c r="R220" s="1340"/>
      <c r="S220" s="1340"/>
      <c r="T220" s="1340"/>
      <c r="U220" s="1340" t="str">
        <f>IF(AND(U210="",U211=""),"",COUNTIFS(K9:K208,$U$210,AE9:AE208,"NSO"))</f>
        <v/>
      </c>
      <c r="V220" s="1340"/>
      <c r="W220" s="1340"/>
      <c r="X220" s="1340"/>
      <c r="Y220" s="1340"/>
      <c r="Z220" s="1340"/>
      <c r="AA220" s="1340"/>
      <c r="AB220" s="1340"/>
      <c r="AC220" s="1340"/>
      <c r="AD220" s="1340"/>
      <c r="AE220" s="1340"/>
      <c r="AF220" s="1340"/>
      <c r="AG220" s="1308"/>
    </row>
    <row r="221" spans="1:68">
      <c r="A221" s="1305"/>
      <c r="B221" s="1306"/>
      <c r="C221" s="1306"/>
      <c r="D221" s="1306"/>
      <c r="E221" s="1306"/>
      <c r="F221" s="1306"/>
      <c r="G221" s="1293" t="str">
        <f>IF('Master Sheet'!D11="Hindi","पुनः परीक्षा वाले विद्यार्थियों की संख्या  :","No. of students for re-exam. :")</f>
        <v>पुनः परीक्षा वाले विद्यार्थियों की संख्या  :</v>
      </c>
      <c r="H221" s="1293"/>
      <c r="I221" s="1340">
        <f>IF(AND(I210="",I211=""),"",COUNTIFS(K9:K208,$I$210,AE9:AE208,"RE"))</f>
        <v>0</v>
      </c>
      <c r="J221" s="1340"/>
      <c r="K221" s="1340"/>
      <c r="L221" s="1340"/>
      <c r="M221" s="1340"/>
      <c r="N221" s="1340"/>
      <c r="O221" s="1340">
        <f>IF(AND(O210="",O211=""),"",COUNTIFS(K9:K208,$O$210,AE9:AE208,"RE"))</f>
        <v>0</v>
      </c>
      <c r="P221" s="1340"/>
      <c r="Q221" s="1340"/>
      <c r="R221" s="1340"/>
      <c r="S221" s="1340"/>
      <c r="T221" s="1340"/>
      <c r="U221" s="1340" t="str">
        <f>IF(AND(U210="",U211=""),"",COUNTIFS(K9:K208,$U$210,AE9:AE208,"RE"))</f>
        <v/>
      </c>
      <c r="V221" s="1340"/>
      <c r="W221" s="1340"/>
      <c r="X221" s="1340"/>
      <c r="Y221" s="1340"/>
      <c r="Z221" s="1340"/>
      <c r="AA221" s="1340"/>
      <c r="AB221" s="1340"/>
      <c r="AC221" s="1340"/>
      <c r="AD221" s="1340"/>
      <c r="AE221" s="1340"/>
      <c r="AF221" s="1340"/>
      <c r="AG221" s="1309"/>
    </row>
  </sheetData>
  <sheetProtection password="D1E2" sheet="1" objects="1" scenarios="1"/>
  <protectedRanges>
    <protectedRange password="EA02" sqref="P6:R6 O5:R5 S5:V6 L5:N6 R8:U8 L7:V7 S9:U208 V8:V208 O8:O208" name="mark sheet"/>
  </protectedRanges>
  <mergeCells count="84">
    <mergeCell ref="U221:AF221"/>
    <mergeCell ref="U216:AF216"/>
    <mergeCell ref="U217:AF217"/>
    <mergeCell ref="U218:AF218"/>
    <mergeCell ref="U219:AF219"/>
    <mergeCell ref="U220:AF220"/>
    <mergeCell ref="I221:N221"/>
    <mergeCell ref="O215:T215"/>
    <mergeCell ref="O216:T216"/>
    <mergeCell ref="O217:T217"/>
    <mergeCell ref="O218:T218"/>
    <mergeCell ref="O219:T219"/>
    <mergeCell ref="O220:T220"/>
    <mergeCell ref="O221:T221"/>
    <mergeCell ref="I216:N216"/>
    <mergeCell ref="I217:N217"/>
    <mergeCell ref="I218:N218"/>
    <mergeCell ref="I219:N219"/>
    <mergeCell ref="I220:N220"/>
    <mergeCell ref="I215:N215"/>
    <mergeCell ref="Y213:Z213"/>
    <mergeCell ref="AE213:AF213"/>
    <mergeCell ref="Y214:Z214"/>
    <mergeCell ref="AE214:AF214"/>
    <mergeCell ref="I210:N210"/>
    <mergeCell ref="I211:N211"/>
    <mergeCell ref="I212:N212"/>
    <mergeCell ref="O210:T210"/>
    <mergeCell ref="O211:T211"/>
    <mergeCell ref="O212:T212"/>
    <mergeCell ref="U210:AF210"/>
    <mergeCell ref="U211:AF211"/>
    <mergeCell ref="U212:AF212"/>
    <mergeCell ref="P5:R5"/>
    <mergeCell ref="A1:AG1"/>
    <mergeCell ref="A2:AG2"/>
    <mergeCell ref="B3:D3"/>
    <mergeCell ref="C5:C8"/>
    <mergeCell ref="I3:L3"/>
    <mergeCell ref="M3:O3"/>
    <mergeCell ref="P3:AG3"/>
    <mergeCell ref="K5:K8"/>
    <mergeCell ref="A5:A8"/>
    <mergeCell ref="B5:B8"/>
    <mergeCell ref="D5:D8"/>
    <mergeCell ref="E5:E8"/>
    <mergeCell ref="F5:F8"/>
    <mergeCell ref="G221:H221"/>
    <mergeCell ref="AJ10:AO10"/>
    <mergeCell ref="S5:S6"/>
    <mergeCell ref="W5:W6"/>
    <mergeCell ref="X5:X6"/>
    <mergeCell ref="AC5:AC6"/>
    <mergeCell ref="AD5:AD6"/>
    <mergeCell ref="T5:V5"/>
    <mergeCell ref="AE5:AE6"/>
    <mergeCell ref="AF5:AF6"/>
    <mergeCell ref="AG5:AG6"/>
    <mergeCell ref="AJ5:AN6"/>
    <mergeCell ref="AJ8:AO9"/>
    <mergeCell ref="L5:O5"/>
    <mergeCell ref="I5:I8"/>
    <mergeCell ref="J5:J8"/>
    <mergeCell ref="G219:H219"/>
    <mergeCell ref="A209:AG209"/>
    <mergeCell ref="A210:F221"/>
    <mergeCell ref="G210:H210"/>
    <mergeCell ref="AG210:AG221"/>
    <mergeCell ref="G211:H211"/>
    <mergeCell ref="G212:H212"/>
    <mergeCell ref="G213:H213"/>
    <mergeCell ref="G214:H214"/>
    <mergeCell ref="G215:H215"/>
    <mergeCell ref="M213:N213"/>
    <mergeCell ref="M214:N214"/>
    <mergeCell ref="S213:T213"/>
    <mergeCell ref="S214:T214"/>
    <mergeCell ref="G220:H220"/>
    <mergeCell ref="U215:AF215"/>
    <mergeCell ref="G216:H216"/>
    <mergeCell ref="G217:H217"/>
    <mergeCell ref="G5:G8"/>
    <mergeCell ref="H5:H8"/>
    <mergeCell ref="G218:H218"/>
  </mergeCells>
  <conditionalFormatting sqref="AE8:AE208">
    <cfRule type="containsText" dxfId="146" priority="21" stopIfTrue="1" operator="containsText" text="F">
      <formula>NOT(ISERROR(SEARCH("F",AE8)))</formula>
    </cfRule>
  </conditionalFormatting>
  <conditionalFormatting sqref="AE8:AE208">
    <cfRule type="containsText" dxfId="145" priority="18" stopIfTrue="1" operator="containsText" text="G">
      <formula>NOT(ISERROR(SEARCH("G",AE8)))</formula>
    </cfRule>
    <cfRule type="containsText" dxfId="144" priority="19" stopIfTrue="1" operator="containsText" text="S">
      <formula>NOT(ISERROR(SEARCH("S",AE8)))</formula>
    </cfRule>
    <cfRule type="containsText" dxfId="143" priority="20" stopIfTrue="1" operator="containsText" text="D">
      <formula>NOT(ISERROR(SEARCH("D",AE8)))</formula>
    </cfRule>
  </conditionalFormatting>
  <conditionalFormatting sqref="T9:V208">
    <cfRule type="containsText" dxfId="142" priority="15" stopIfTrue="1" operator="containsText" text="OBC">
      <formula>NOT(ISERROR(SEARCH("OBC",T9)))</formula>
    </cfRule>
    <cfRule type="containsText" dxfId="141" priority="16" stopIfTrue="1" operator="containsText" text="ST">
      <formula>NOT(ISERROR(SEARCH("ST",T9)))</formula>
    </cfRule>
    <cfRule type="containsText" dxfId="140" priority="17" stopIfTrue="1" operator="containsText" text="SC">
      <formula>NOT(ISERROR(SEARCH("SC",T9)))</formula>
    </cfRule>
  </conditionalFormatting>
  <conditionalFormatting sqref="T9:V208">
    <cfRule type="expression" dxfId="139" priority="13">
      <formula>T9="F"</formula>
    </cfRule>
    <cfRule type="expression" dxfId="138" priority="14">
      <formula>T9="M"</formula>
    </cfRule>
  </conditionalFormatting>
  <conditionalFormatting sqref="O215">
    <cfRule type="containsText" dxfId="137" priority="5" stopIfTrue="1" operator="containsText" text="His">
      <formula>NOT(ISERROR(SEARCH("His",O215)))</formula>
    </cfRule>
    <cfRule type="containsText" dxfId="136" priority="6" stopIfTrue="1" operator="containsText" text="ACC">
      <formula>NOT(ISERROR(SEARCH("ACC",O215)))</formula>
    </cfRule>
    <cfRule type="containsText" dxfId="135" priority="7" stopIfTrue="1" operator="containsText" text="SC">
      <formula>NOT(ISERROR(SEARCH("SC",O215)))</formula>
    </cfRule>
  </conditionalFormatting>
  <conditionalFormatting sqref="I9:I208">
    <cfRule type="containsText" dxfId="134" priority="25" stopIfTrue="1" operator="containsText" text="OBC">
      <formula>NOT(ISERROR(SEARCH("OBC",I9)))</formula>
    </cfRule>
    <cfRule type="containsText" dxfId="133" priority="26" stopIfTrue="1" operator="containsText" text="GEN">
      <formula>NOT(ISERROR(SEARCH("GEN",I9)))</formula>
    </cfRule>
    <cfRule type="cellIs" dxfId="132" priority="2" stopIfTrue="1" operator="equal">
      <formula>"SC"</formula>
    </cfRule>
    <cfRule type="cellIs" dxfId="131" priority="1" stopIfTrue="1" operator="equal">
      <formula>"ST"</formula>
    </cfRule>
  </conditionalFormatting>
  <conditionalFormatting sqref="K9:K208">
    <cfRule type="expression" dxfId="130" priority="23" stopIfTrue="1">
      <formula>K9=eng</formula>
    </cfRule>
    <cfRule type="expression" dxfId="129" priority="24" stopIfTrue="1">
      <formula>K9=hin</formula>
    </cfRule>
    <cfRule type="containsText" dxfId="128" priority="27" stopIfTrue="1" operator="containsText" text="SC">
      <formula>NOT(ISERROR(SEARCH("SC",K9)))</formula>
    </cfRule>
  </conditionalFormatting>
  <conditionalFormatting sqref="J9:J208">
    <cfRule type="cellIs" dxfId="127" priority="4" operator="equal">
      <formula>"M"</formula>
    </cfRule>
    <cfRule type="cellIs" dxfId="126" priority="3" stopIfTrue="1" operator="equal">
      <formula>"F"</formula>
    </cfRule>
  </conditionalFormatting>
  <dataValidations count="1">
    <dataValidation type="list" allowBlank="1" showInputMessage="1" showErrorMessage="1" sqref="P3">
      <formula1>subject5</formula1>
    </dataValidation>
  </dataValidations>
  <pageMargins left="0.45" right="0.2" top="0.25" bottom="0.25" header="0.3" footer="0.3"/>
  <pageSetup paperSize="9" scale="70" fitToHeight="6" orientation="landscape" r:id="rId1"/>
</worksheet>
</file>

<file path=xl/worksheets/sheet7.xml><?xml version="1.0" encoding="utf-8"?>
<worksheet xmlns="http://schemas.openxmlformats.org/spreadsheetml/2006/main" xmlns:r="http://schemas.openxmlformats.org/officeDocument/2006/relationships">
  <sheetPr codeName="Sheet6"/>
  <dimension ref="A1:AW220"/>
  <sheetViews>
    <sheetView showGridLines="0" workbookViewId="0">
      <selection activeCell="K1" sqref="K1:S1"/>
    </sheetView>
  </sheetViews>
  <sheetFormatPr defaultColWidth="0" defaultRowHeight="15" zeroHeight="1"/>
  <cols>
    <col min="1" max="1" width="4" style="17" customWidth="1"/>
    <col min="2" max="2" width="6.625" style="17" customWidth="1"/>
    <col min="3" max="3" width="6.375" style="17" customWidth="1"/>
    <col min="4" max="4" width="10.125" style="17" customWidth="1"/>
    <col min="5" max="5" width="17.875" style="17" customWidth="1"/>
    <col min="6" max="6" width="17.125" style="17" customWidth="1"/>
    <col min="7" max="7" width="17.375" style="17" customWidth="1"/>
    <col min="8" max="8" width="12.875" style="17" customWidth="1"/>
    <col min="9" max="9" width="5.25" style="17" customWidth="1"/>
    <col min="10" max="10" width="8.875" style="17" customWidth="1"/>
    <col min="11" max="11" width="4.25" style="17" customWidth="1"/>
    <col min="12" max="16" width="4.75" style="17" customWidth="1"/>
    <col min="17" max="18" width="5.25" style="17" customWidth="1"/>
    <col min="19" max="19" width="26.75" style="17" customWidth="1"/>
    <col min="20" max="20" width="5.25" style="17" customWidth="1"/>
    <col min="21" max="21" width="4.75" style="17" customWidth="1"/>
    <col min="22" max="22" width="5.75" style="17" customWidth="1"/>
    <col min="23" max="27" width="4.75" style="17" customWidth="1"/>
    <col min="28" max="28" width="6.25" style="17" customWidth="1"/>
    <col min="29" max="30" width="4.75" style="17" customWidth="1"/>
    <col min="31" max="31" width="5.75" style="17" customWidth="1"/>
    <col min="32" max="32" width="5" style="17" customWidth="1"/>
    <col min="33" max="33" width="4.75" style="17" customWidth="1"/>
    <col min="34" max="34" width="5.75" style="17" customWidth="1"/>
    <col min="35" max="38" width="5.25" style="17" customWidth="1"/>
    <col min="39" max="39" width="5.125" style="17" customWidth="1"/>
    <col min="40" max="43" width="4.75" style="17" customWidth="1"/>
    <col min="44" max="44" width="5.375" style="17" customWidth="1"/>
    <col min="45" max="45" width="9.75" style="17" customWidth="1"/>
    <col min="46" max="46" width="7.25" style="17" customWidth="1"/>
    <col min="47" max="47" width="5.625" style="17" customWidth="1"/>
    <col min="48" max="48" width="8.75" style="17" customWidth="1"/>
    <col min="49" max="49" width="0" style="17" hidden="1" customWidth="1"/>
    <col min="50" max="16384" width="9.125" style="17" hidden="1"/>
  </cols>
  <sheetData>
    <row r="1" spans="1:48" ht="28.5" customHeight="1">
      <c r="A1" s="1354" t="str">
        <f>IF('Master Sheet'!D11="Hindi",CONCATENATE("विद्यालय का नाम :-","  ",'Master Sheet'!D8),CONCATENATE("School Name :-","  ",'Master Sheet'!D7))</f>
        <v xml:space="preserve">विद्यालय का नाम :-  महात्मा गाँधी राजकीय विद्यालय (अंग्रेजी माध्यम) बर, पाली </v>
      </c>
      <c r="B1" s="1354"/>
      <c r="C1" s="1354"/>
      <c r="D1" s="1354"/>
      <c r="E1" s="1354"/>
      <c r="F1" s="1354"/>
      <c r="G1" s="1354"/>
      <c r="H1" s="1354"/>
      <c r="I1" s="1354"/>
      <c r="J1" s="1354"/>
      <c r="K1" s="1355"/>
      <c r="L1" s="1355"/>
      <c r="M1" s="1355"/>
      <c r="N1" s="1355"/>
      <c r="O1" s="1355"/>
      <c r="P1" s="1355"/>
      <c r="Q1" s="1355"/>
      <c r="R1" s="1355"/>
      <c r="S1" s="1355"/>
      <c r="T1" s="1353" t="str">
        <f>IF('Master Sheet'!D11="Hindi","पूरक परीक्षा के अंको की एंट्री","Supplementary Exam Marks Entry")</f>
        <v>पूरक परीक्षा के अंको की एंट्री</v>
      </c>
      <c r="U1" s="1353"/>
      <c r="V1" s="1353"/>
      <c r="W1" s="1353"/>
      <c r="X1" s="1353"/>
      <c r="Y1" s="1353"/>
      <c r="Z1" s="1353"/>
      <c r="AA1" s="1353"/>
      <c r="AB1" s="1353"/>
      <c r="AC1" s="1353"/>
      <c r="AD1" s="1353"/>
      <c r="AE1" s="1353"/>
      <c r="AF1" s="1353"/>
      <c r="AG1" s="1353"/>
      <c r="AH1" s="1353"/>
      <c r="AI1" s="1353"/>
      <c r="AJ1" s="1353"/>
      <c r="AK1" s="1353"/>
      <c r="AL1" s="1353"/>
      <c r="AM1" s="1353"/>
      <c r="AN1" s="1353"/>
      <c r="AO1" s="1353"/>
      <c r="AP1" s="1353"/>
      <c r="AQ1" s="1353"/>
      <c r="AR1" s="1353"/>
      <c r="AS1" s="1353"/>
      <c r="AT1" s="1353"/>
      <c r="AU1" s="652"/>
    </row>
    <row r="2" spans="1:48" ht="24.75" customHeight="1">
      <c r="A2" s="1356" t="str">
        <f>IF('Master Sheet'!$D$11="Hindi","कक्षा :-","Class :-")</f>
        <v>कक्षा :-</v>
      </c>
      <c r="B2" s="1357"/>
      <c r="C2" s="1344">
        <f>IF('Marks Entry'!H2="","",'Marks Entry'!H2)</f>
        <v>11</v>
      </c>
      <c r="D2" s="1347" t="str">
        <f>IF('Master Sheet'!$D$11="Hindi","संकाय :-","Faculty :-")</f>
        <v>संकाय :-</v>
      </c>
      <c r="E2" s="1350" t="str">
        <f>IF('Marks Entry'!H3="","",'Marks Entry'!H3)</f>
        <v>Arts</v>
      </c>
      <c r="F2" s="1417" t="str">
        <f>IF('Master Sheet'!$D$11="Hindi","सत्र :-","Session :-")</f>
        <v>सत्र :-</v>
      </c>
      <c r="G2" s="1341" t="str">
        <f>'Marks Entry'!H1</f>
        <v>2023-2024</v>
      </c>
      <c r="H2" s="656"/>
      <c r="I2" s="656"/>
      <c r="J2" s="657"/>
      <c r="K2" s="1421" t="str">
        <f>IF('Master Sheet'!D11="Hindi","मुख्य परीक्षा विषयवार परिणाम ","Main Exam Subject wise Result")</f>
        <v xml:space="preserve">मुख्य परीक्षा विषयवार परिणाम </v>
      </c>
      <c r="L2" s="1422"/>
      <c r="M2" s="1422"/>
      <c r="N2" s="1422"/>
      <c r="O2" s="1422"/>
      <c r="P2" s="1422"/>
      <c r="Q2" s="1422"/>
      <c r="R2" s="1423"/>
      <c r="S2" s="1362" t="str">
        <f>IF('Master Sheet'!D11="Hindi","पूरक परीक्षा के विषय","Supplementary Exam Subject")</f>
        <v>पूरक परीक्षा के विषय</v>
      </c>
      <c r="T2" s="1363" t="str">
        <f>IF('Master Sheet'!D11="Hindi","पूरक परीक्षा के विषयों की संख्या","Total No. of Supplementary Subjects")</f>
        <v>पूरक परीक्षा के विषयों की संख्या</v>
      </c>
      <c r="U2" s="1366" t="str">
        <f>'Statement of Marks'!J3</f>
        <v>Com. Hindi</v>
      </c>
      <c r="V2" s="1367"/>
      <c r="W2" s="1367"/>
      <c r="X2" s="1367" t="str">
        <f>'Statement of Marks'!X3</f>
        <v>Com. English</v>
      </c>
      <c r="Y2" s="1367"/>
      <c r="Z2" s="1367"/>
      <c r="AA2" s="1372" t="str">
        <f>'Statement of Marks'!AL3</f>
        <v>POLITICAL SCIENCE</v>
      </c>
      <c r="AB2" s="1373"/>
      <c r="AC2" s="1373"/>
      <c r="AD2" s="1372" t="str">
        <f>'Statement of Marks'!BI3</f>
        <v>HISTORY</v>
      </c>
      <c r="AE2" s="1373"/>
      <c r="AF2" s="1373"/>
      <c r="AG2" s="1372" t="str">
        <f>'Statement of Marks'!CF3</f>
        <v>GEOGRAPHY</v>
      </c>
      <c r="AH2" s="1373"/>
      <c r="AI2" s="1373"/>
      <c r="AJ2" s="1372" t="str">
        <f>'Statement of Marks'!DD3</f>
        <v/>
      </c>
      <c r="AK2" s="1373"/>
      <c r="AL2" s="1373"/>
      <c r="AM2" s="1408" t="str">
        <f>'Statement of Marks'!EC4</f>
        <v>जीवन कौशल</v>
      </c>
      <c r="AN2" s="1409"/>
      <c r="AO2" s="1408" t="str">
        <f>'Statement of Marks'!EY3</f>
        <v xml:space="preserve">आजादी के बाद का स्वर्णिम भारत </v>
      </c>
      <c r="AP2" s="1409"/>
      <c r="AQ2" s="1414" t="str">
        <f>IF('Master Sheet'!D11="Hindi","पूरक/पुनः परीक्षा के कुल विषय","Supp. / Re-exam Marks Number of Subjects Entered")</f>
        <v>पूरक/पुनः परीक्षा के कुल विषय</v>
      </c>
      <c r="AR2" s="1414" t="str">
        <f>IF('Master Sheet'!D11="Hindi","पूरक/पुनः परीक्षा में उतीर्ण कुल विषय","No. of Subjects Passed in Supp. / Re-exam")</f>
        <v>पूरक/पुनः परीक्षा में उतीर्ण कुल विषय</v>
      </c>
      <c r="AS2" s="1399" t="str">
        <f>IF('Master Sheet'!D11="Hindi","पूरक/पुनः परीक्षा का परिणाम","Supp. / Re-exam Result")</f>
        <v>पूरक/पुनः परीक्षा का परिणाम</v>
      </c>
      <c r="AT2" s="1400"/>
      <c r="AU2" s="1401"/>
    </row>
    <row r="3" spans="1:48" ht="24.75" customHeight="1">
      <c r="A3" s="1358"/>
      <c r="B3" s="1359"/>
      <c r="C3" s="1345"/>
      <c r="D3" s="1348"/>
      <c r="E3" s="1351"/>
      <c r="F3" s="1418"/>
      <c r="G3" s="1342"/>
      <c r="H3" s="658"/>
      <c r="I3" s="658"/>
      <c r="J3" s="659"/>
      <c r="K3" s="1424"/>
      <c r="L3" s="1425"/>
      <c r="M3" s="1425"/>
      <c r="N3" s="1425"/>
      <c r="O3" s="1425"/>
      <c r="P3" s="1425"/>
      <c r="Q3" s="1425"/>
      <c r="R3" s="1426"/>
      <c r="S3" s="1362"/>
      <c r="T3" s="1364"/>
      <c r="U3" s="1368"/>
      <c r="V3" s="1369"/>
      <c r="W3" s="1369"/>
      <c r="X3" s="1369"/>
      <c r="Y3" s="1369"/>
      <c r="Z3" s="1369"/>
      <c r="AA3" s="1372" t="str">
        <f>'Statement of Marks'!AR3</f>
        <v>BIOLOGY</v>
      </c>
      <c r="AB3" s="1373"/>
      <c r="AC3" s="1373"/>
      <c r="AD3" s="1372" t="str">
        <f>'Statement of Marks'!BO3</f>
        <v>ACCOUNTANCY</v>
      </c>
      <c r="AE3" s="1373"/>
      <c r="AF3" s="1373"/>
      <c r="AG3" s="1372" t="str">
        <f>'Statement of Marks'!CL3</f>
        <v>HOME SCIENCE</v>
      </c>
      <c r="AH3" s="1373"/>
      <c r="AI3" s="1373"/>
      <c r="AJ3" s="1372" t="str">
        <f>'Statement of Marks'!DK3</f>
        <v/>
      </c>
      <c r="AK3" s="1373"/>
      <c r="AL3" s="1373"/>
      <c r="AM3" s="1410"/>
      <c r="AN3" s="1411"/>
      <c r="AO3" s="1410"/>
      <c r="AP3" s="1411"/>
      <c r="AQ3" s="1415"/>
      <c r="AR3" s="1415"/>
      <c r="AS3" s="1402"/>
      <c r="AT3" s="1403"/>
      <c r="AU3" s="1404"/>
    </row>
    <row r="4" spans="1:48" s="291" customFormat="1" ht="27" customHeight="1">
      <c r="A4" s="1360"/>
      <c r="B4" s="1361"/>
      <c r="C4" s="1346"/>
      <c r="D4" s="1349"/>
      <c r="E4" s="1352"/>
      <c r="F4" s="1419"/>
      <c r="G4" s="1343"/>
      <c r="H4" s="660"/>
      <c r="I4" s="660"/>
      <c r="J4" s="661"/>
      <c r="K4" s="1427"/>
      <c r="L4" s="1428"/>
      <c r="M4" s="1428"/>
      <c r="N4" s="1428"/>
      <c r="O4" s="1428"/>
      <c r="P4" s="1428"/>
      <c r="Q4" s="1428"/>
      <c r="R4" s="1429"/>
      <c r="S4" s="1362"/>
      <c r="T4" s="1364"/>
      <c r="U4" s="1370"/>
      <c r="V4" s="1371"/>
      <c r="W4" s="1371"/>
      <c r="X4" s="1371"/>
      <c r="Y4" s="1371"/>
      <c r="Z4" s="1371"/>
      <c r="AA4" s="1372" t="str">
        <f>'Statement of Marks'!AW3</f>
        <v/>
      </c>
      <c r="AB4" s="1373"/>
      <c r="AC4" s="1373"/>
      <c r="AD4" s="1372" t="str">
        <f>'Statement of Marks'!BT3</f>
        <v>ECONOMICS</v>
      </c>
      <c r="AE4" s="1373"/>
      <c r="AF4" s="1373"/>
      <c r="AG4" s="1372" t="str">
        <f>'Statement of Marks'!CQ3</f>
        <v>TYPING</v>
      </c>
      <c r="AH4" s="1373"/>
      <c r="AI4" s="1373"/>
      <c r="AJ4" s="1372" t="str">
        <f>'Statement of Marks'!DP3</f>
        <v/>
      </c>
      <c r="AK4" s="1373"/>
      <c r="AL4" s="1373"/>
      <c r="AM4" s="1412"/>
      <c r="AN4" s="1413"/>
      <c r="AO4" s="1412"/>
      <c r="AP4" s="1413"/>
      <c r="AQ4" s="1415"/>
      <c r="AR4" s="1415"/>
      <c r="AS4" s="1405"/>
      <c r="AT4" s="1406"/>
      <c r="AU4" s="1407"/>
    </row>
    <row r="5" spans="1:48" s="291" customFormat="1" ht="90.75" customHeight="1">
      <c r="A5" s="1391" t="str">
        <f>IF('Statement of Marks'!A4="","",'Statement of Marks'!A4)</f>
        <v xml:space="preserve">क्रमांक </v>
      </c>
      <c r="B5" s="1391" t="str">
        <f>IF('Statement of Marks'!B4="","",'Statement of Marks'!B4)</f>
        <v xml:space="preserve">नामांक
Roll No. </v>
      </c>
      <c r="C5" s="1391" t="str">
        <f>IF('Statement of Marks'!C4="","",'Statement of Marks'!C4)</f>
        <v xml:space="preserve">प्रवेशांक
SR. No. </v>
      </c>
      <c r="D5" s="1391" t="str">
        <f>IF('Statement of Marks'!D4="","",'Statement of Marks'!D4)</f>
        <v>जन्मतिथि 
Date of Birth</v>
      </c>
      <c r="E5" s="1392" t="str">
        <f>IF('Statement of Marks'!E4="","",'Statement of Marks'!E4)</f>
        <v>विद्यार्थी का नाम   Name of student</v>
      </c>
      <c r="F5" s="1392" t="str">
        <f>IF('Statement of Marks'!F4="","",'Statement of Marks'!F4)</f>
        <v>पिता का नाम   Father's Name</v>
      </c>
      <c r="G5" s="1392" t="str">
        <f>IF('Statement of Marks'!G4="","",'Statement of Marks'!G4)</f>
        <v>माता का नाम   Mother's Name</v>
      </c>
      <c r="H5" s="1393" t="str">
        <f>IF('Master Sheet'!D11="Hindi","मुख्य परीक्षा परिणाम ","Main Exam Result")</f>
        <v xml:space="preserve">मुख्य परीक्षा परिणाम </v>
      </c>
      <c r="I5" s="1395" t="str">
        <f>IF('Master Sheet'!D11="Hindi","श्रेणी","Division")</f>
        <v>श्रेणी</v>
      </c>
      <c r="J5" s="1397" t="str">
        <f>IF('Master Sheet'!D11="Hindi","प्राप्तांक प्रतिशत","Optained Percentage %")</f>
        <v>प्राप्तांक प्रतिशत</v>
      </c>
      <c r="K5" s="1390" t="str">
        <f>'Statement of Marks'!J3</f>
        <v>Com. Hindi</v>
      </c>
      <c r="L5" s="1390" t="str">
        <f>'Statement of Marks'!X3</f>
        <v>Com. English</v>
      </c>
      <c r="M5" s="1390" t="str">
        <f>'Statement of Marks'!AL2</f>
        <v>Optional Subject - 01</v>
      </c>
      <c r="N5" s="1390" t="str">
        <f>'Statement of Marks'!BI2</f>
        <v>Optional Subject - 02</v>
      </c>
      <c r="O5" s="1390" t="str">
        <f>'Statement of Marks'!CF2</f>
        <v>Optional Subject - 03</v>
      </c>
      <c r="P5" s="1390" t="str">
        <f>'Statement of Marks'!DD2</f>
        <v>Additional Sub. / Vocational  Subject</v>
      </c>
      <c r="Q5" s="1430" t="str">
        <f>'Statement of Marks'!DS209</f>
        <v>जीवन कौशल</v>
      </c>
      <c r="R5" s="1430" t="str">
        <f>'Statement of Marks'!EY3</f>
        <v xml:space="preserve">आजादी के बाद का स्वर्णिम भारत </v>
      </c>
      <c r="S5" s="1362"/>
      <c r="T5" s="1365"/>
      <c r="U5" s="617" t="str">
        <f>IF('Master Sheet'!D11="Hindi","प्राप्तांक","Marks Obtained")</f>
        <v>प्राप्तांक</v>
      </c>
      <c r="V5" s="617" t="str">
        <f>IF('Master Sheet'!D11="Hindi","जोड़े जाने वाले अंक","Marks to be Added")</f>
        <v>जोड़े जाने वाले अंक</v>
      </c>
      <c r="W5" s="617" t="str">
        <f>IF('Master Sheet'!D11="Hindi","विषय परिणाम","Subject Result")</f>
        <v>विषय परिणाम</v>
      </c>
      <c r="X5" s="617" t="str">
        <f>IF('Master Sheet'!D11="Hindi","प्राप्तांक","Marks Obtained")</f>
        <v>प्राप्तांक</v>
      </c>
      <c r="Y5" s="617" t="str">
        <f>IF('Master Sheet'!D11="Hindi","जोड़े जाने वाले अंक","Marks to be Added")</f>
        <v>जोड़े जाने वाले अंक</v>
      </c>
      <c r="Z5" s="617" t="str">
        <f>IF('Master Sheet'!D11="Hindi","विषय परिणाम","Subject Result")</f>
        <v>विषय परिणाम</v>
      </c>
      <c r="AA5" s="617" t="str">
        <f>IF('Master Sheet'!D11="Hindi","प्राप्तांक","Marks Obtained")</f>
        <v>प्राप्तांक</v>
      </c>
      <c r="AB5" s="617" t="str">
        <f>IF('Master Sheet'!D11="Hindi","जोड़े जाने वाले अंक","Marks to be Added")</f>
        <v>जोड़े जाने वाले अंक</v>
      </c>
      <c r="AC5" s="617" t="str">
        <f>IF('Master Sheet'!D11="Hindi","विषय परिणाम","Subject Result")</f>
        <v>विषय परिणाम</v>
      </c>
      <c r="AD5" s="617" t="str">
        <f>IF('Master Sheet'!D11="Hindi","प्राप्तांक","Marks Obtained")</f>
        <v>प्राप्तांक</v>
      </c>
      <c r="AE5" s="617" t="str">
        <f>IF('Master Sheet'!D11="Hindi","जोड़े जाने वाले अंक","Marks to be Added")</f>
        <v>जोड़े जाने वाले अंक</v>
      </c>
      <c r="AF5" s="617" t="str">
        <f>IF('Master Sheet'!D11="Hindi","विषय परिणाम","Subject Result")</f>
        <v>विषय परिणाम</v>
      </c>
      <c r="AG5" s="617" t="str">
        <f>IF('Master Sheet'!D11="Hindi","प्राप्तांक","Marks Obtained")</f>
        <v>प्राप्तांक</v>
      </c>
      <c r="AH5" s="617" t="str">
        <f>IF('Master Sheet'!D11="Hindi","जोड़े जाने वाले अंक","Marks to be Added")</f>
        <v>जोड़े जाने वाले अंक</v>
      </c>
      <c r="AI5" s="617" t="str">
        <f>IF('Master Sheet'!D11="Hindi","विषय परिणाम","Subject Result")</f>
        <v>विषय परिणाम</v>
      </c>
      <c r="AJ5" s="617" t="str">
        <f>IF('Master Sheet'!D11="Hindi","प्राप्तांक","Marks Obtained")</f>
        <v>प्राप्तांक</v>
      </c>
      <c r="AK5" s="617" t="str">
        <f>IF('Master Sheet'!D11="Hindi","जोड़े जाने वाले अंक","Marks to be Added")</f>
        <v>जोड़े जाने वाले अंक</v>
      </c>
      <c r="AL5" s="617" t="str">
        <f>IF('Master Sheet'!D11="Hindi","विषय परिणाम","Subject Result")</f>
        <v>विषय परिणाम</v>
      </c>
      <c r="AM5" s="617" t="str">
        <f>IF('Master Sheet'!D11="Hindi","प्राप्तांक","Marks Obtained")</f>
        <v>प्राप्तांक</v>
      </c>
      <c r="AN5" s="617" t="str">
        <f>IF('Master Sheet'!D11="Hindi","विषय परिणाम","Subject Result")</f>
        <v>विषय परिणाम</v>
      </c>
      <c r="AO5" s="617" t="str">
        <f>IF('Master Sheet'!D11="Hindi","प्राप्तांक","Marks Obtained")</f>
        <v>प्राप्तांक</v>
      </c>
      <c r="AP5" s="617" t="str">
        <f>IF('Master Sheet'!D11="Hindi","विषय परिणाम","Subject Result")</f>
        <v>विषय परिणाम</v>
      </c>
      <c r="AQ5" s="1416"/>
      <c r="AR5" s="1416"/>
      <c r="AS5" s="616" t="str">
        <f>IF('Master Sheet'!D11="Hindi","परिणाम ","Result")</f>
        <v xml:space="preserve">परिणाम </v>
      </c>
      <c r="AT5" s="649" t="str">
        <f>IF('Master Sheet'!D11="Hindi","प्रतिशत","Percentage")</f>
        <v>प्रतिशत</v>
      </c>
      <c r="AU5" s="649" t="str">
        <f>IF('Master Sheet'!D11="Hindi","श्रेणी","Division")</f>
        <v>श्रेणी</v>
      </c>
    </row>
    <row r="6" spans="1:48" s="291" customFormat="1" ht="21" customHeight="1">
      <c r="A6" s="1391"/>
      <c r="B6" s="1391"/>
      <c r="C6" s="1391"/>
      <c r="D6" s="1391"/>
      <c r="E6" s="1393"/>
      <c r="F6" s="1393"/>
      <c r="G6" s="1393"/>
      <c r="H6" s="1394"/>
      <c r="I6" s="1396"/>
      <c r="J6" s="1398"/>
      <c r="K6" s="1390"/>
      <c r="L6" s="1390"/>
      <c r="M6" s="1390"/>
      <c r="N6" s="1390"/>
      <c r="O6" s="1390"/>
      <c r="P6" s="1390"/>
      <c r="Q6" s="1431"/>
      <c r="R6" s="1431"/>
      <c r="S6" s="651" t="str">
        <f>IF('Master Sheet'!D11="Hindi","पूरक परीक्षा के अंक","Supplementary Exam Marks")</f>
        <v>पूरक परीक्षा के अंक</v>
      </c>
      <c r="T6" s="650" t="s">
        <v>77</v>
      </c>
      <c r="U6" s="289">
        <v>100</v>
      </c>
      <c r="V6" s="292"/>
      <c r="W6" s="292"/>
      <c r="X6" s="289">
        <v>100</v>
      </c>
      <c r="Y6" s="292"/>
      <c r="Z6" s="292"/>
      <c r="AA6" s="290">
        <v>100</v>
      </c>
      <c r="AB6" s="292"/>
      <c r="AC6" s="292"/>
      <c r="AD6" s="290">
        <v>100</v>
      </c>
      <c r="AE6" s="292"/>
      <c r="AF6" s="292"/>
      <c r="AG6" s="290">
        <v>100</v>
      </c>
      <c r="AH6" s="292"/>
      <c r="AI6" s="292"/>
      <c r="AJ6" s="290">
        <v>100</v>
      </c>
      <c r="AK6" s="292"/>
      <c r="AL6" s="292"/>
      <c r="AM6" s="290">
        <v>40</v>
      </c>
      <c r="AN6" s="293"/>
      <c r="AO6" s="290">
        <v>100</v>
      </c>
      <c r="AP6" s="293"/>
      <c r="AQ6" s="293"/>
      <c r="AR6" s="293"/>
      <c r="AS6" s="294"/>
      <c r="AT6" s="294"/>
      <c r="AU6" s="294"/>
    </row>
    <row r="7" spans="1:48">
      <c r="A7" s="283">
        <f>IF('Statement of Marks'!A8="","",'Statement of Marks'!A8)</f>
        <v>1</v>
      </c>
      <c r="B7" s="283">
        <f>IF('Statement of Marks'!B8="","",'Statement of Marks'!B8)</f>
        <v>1101</v>
      </c>
      <c r="C7" s="283">
        <f>IF('Statement of Marks'!C8="","",'Statement of Marks'!C8)</f>
        <v>230</v>
      </c>
      <c r="D7" s="284">
        <f>IF('Statement of Marks'!D8="","",'Statement of Marks'!D8)</f>
        <v>37622</v>
      </c>
      <c r="E7" s="285" t="str">
        <f>IF('Statement of Marks'!E8="","",'Statement of Marks'!E8)</f>
        <v>A</v>
      </c>
      <c r="F7" s="285" t="str">
        <f>IF('Statement of Marks'!F8="","",'Statement of Marks'!F8)</f>
        <v>X</v>
      </c>
      <c r="G7" s="285" t="str">
        <f>IF('Statement of Marks'!G8="","",'Statement of Marks'!G8)</f>
        <v>M</v>
      </c>
      <c r="H7" s="286" t="str">
        <f>IF('Statement of Marks'!GY8="","",'Statement of Marks'!GY8)</f>
        <v>PASS</v>
      </c>
      <c r="I7" s="286" t="str">
        <f>IF('Statement of Marks'!HB8="","",'Statement of Marks'!HB8)</f>
        <v>I</v>
      </c>
      <c r="J7" s="287">
        <f>IF('Statement of Marks'!HC8="","",'Statement of Marks'!HC8)</f>
        <v>70.7</v>
      </c>
      <c r="K7" s="295" t="str">
        <f>IF(B7="","",'Statement of Marks'!FJ8)</f>
        <v>I</v>
      </c>
      <c r="L7" s="295" t="str">
        <f>IF(B7="","",'Statement of Marks'!FM8)</f>
        <v>I</v>
      </c>
      <c r="M7" s="295" t="str">
        <f>IF(B7="","",'Statement of Marks'!FP8)</f>
        <v>I</v>
      </c>
      <c r="N7" s="295" t="str">
        <f>IF(B7="","",'Statement of Marks'!FW8)</f>
        <v>D</v>
      </c>
      <c r="O7" s="295" t="str">
        <f>IF(B7="","",'Statement of Marks'!GD8)</f>
        <v>I</v>
      </c>
      <c r="P7" s="295" t="str">
        <f>IF(B7="","",'Statement of Marks'!GK8)</f>
        <v/>
      </c>
      <c r="Q7" s="295" t="str">
        <f>IF(B7="","",'Statement of Marks'!GR8)</f>
        <v>A</v>
      </c>
      <c r="R7" s="295" t="str">
        <f>IF(B7="","",'Statement of Marks'!GS8)</f>
        <v>A</v>
      </c>
      <c r="S7" s="287" t="str">
        <f>IF(COUNTIF(K7:R7,"F")&gt;0,"",CONCATENATE('Statement of Marks'!GU8,'Statement of Marks'!GW8))</f>
        <v xml:space="preserve">           </v>
      </c>
      <c r="T7" s="288">
        <f>IF(COUNTIF(K7:R7,"F")&gt;0,"",COUNTIF(K7:R7,"S")+COUNTIF(K7:R7,"RE")+COUNTIF(K7:R7,"REP"))</f>
        <v>0</v>
      </c>
      <c r="U7" s="16"/>
      <c r="V7" s="296" t="str">
        <f>IF(U7="","",IF(OR(U7="AB",K7="RE"),U7,IF(AND(K7="S"),ROUNDUP(U7,0),)))</f>
        <v/>
      </c>
      <c r="W7" s="296" t="str">
        <f>IF(U7="","",IF(OR(U7="AB",U7&lt;36%*$U$6),"F","P"))</f>
        <v/>
      </c>
      <c r="X7" s="16"/>
      <c r="Y7" s="296" t="str">
        <f>IF(X7="","",IF(OR(X7="AB",L7="RE"),X7,IF(AND(L7="S"),ROUNDUP(X7,0),)))</f>
        <v/>
      </c>
      <c r="Z7" s="296" t="str">
        <f>IF(X7="","",IF(OR(X7="AB",X7&lt;36%*$X$6),"F","P"))</f>
        <v/>
      </c>
      <c r="AA7" s="16"/>
      <c r="AB7" s="296" t="str">
        <f>IF(AA7="","",IF(OR(AA7="AB",M7="RE"),AA7,IF(AND(M7="S"),ROUNDUP(AA7,0),)))</f>
        <v/>
      </c>
      <c r="AC7" s="297" t="str">
        <f>IF(AA7="","",IF(OR(AA7="AB",AA7&lt;36%*$AA$6),"F","P"))</f>
        <v/>
      </c>
      <c r="AD7" s="16"/>
      <c r="AE7" s="296" t="str">
        <f>IF(AD7="","",IF(OR(AD7="AB",N7="RE"),AD7,IF(AND(N7="S"),ROUNDUP(AD7,0),)))</f>
        <v/>
      </c>
      <c r="AF7" s="297" t="str">
        <f>IF(AD7="","",IF(OR(AD7="AB",AD7&lt;36%*$AD$6),"F","P"))</f>
        <v/>
      </c>
      <c r="AG7" s="16"/>
      <c r="AH7" s="296" t="str">
        <f>IF(AG7="","",IF(OR(AG7="AB",O7="RE"),AG7,IF(AND(O7="S"),ROUNDUP(AG7,0),)))</f>
        <v/>
      </c>
      <c r="AI7" s="297" t="str">
        <f>IF(AG7="","",IF(OR(AG7="AB",AG7&lt;36%*$AG$6),"F","P"))</f>
        <v/>
      </c>
      <c r="AJ7" s="16"/>
      <c r="AK7" s="297" t="str">
        <f>IF(AJ7="","",IF(OR(AJ7="AB",P7="RE"),AJ7,IF(AND(P7="S"),ROUNDUP(AJ7,0),)))</f>
        <v/>
      </c>
      <c r="AL7" s="297" t="str">
        <f>IF(AJ7="","",IF(OR(AJ7="AB",AJ7&lt;36%*$AJ$6),"F","P"))</f>
        <v/>
      </c>
      <c r="AM7" s="16"/>
      <c r="AN7" s="296" t="str">
        <f>IF(AM7="","",IF(OR(AM7="AB",AM7&lt;15),"F","P"))</f>
        <v/>
      </c>
      <c r="AO7" s="16"/>
      <c r="AP7" s="296" t="str">
        <f>IF(AO7="","",IF(OR(AO7="AB",AO7&lt;36),"F","P"))</f>
        <v/>
      </c>
      <c r="AQ7" s="298">
        <f>IF(COUNTIF(K7:R7,"F")&gt;0,"",COUNTA(U7,X7,AA7,AD7,AG7,AJ7,AM7,AO7))</f>
        <v>0</v>
      </c>
      <c r="AR7" s="298">
        <f>IF(COUNTIF(K7:R7,"F")&gt;0,"",COUNTIF(U7:AP7,"P"))</f>
        <v>0</v>
      </c>
      <c r="AS7" s="299" t="str">
        <f>IF(AND(U7="",X7="",AA7="",AD7="",AG7="",AJ7="",AM7="",AO7=""),"",IF(COUNTIF(K7:R7,"F")&gt;0,"",IF(T7=0,"",IF(T7&gt;AQ7,H7,IF(T7&gt;AR7,"FAIL","PASS")))))</f>
        <v/>
      </c>
      <c r="AT7" s="300" t="str">
        <f>IF(COUNTIF(K7:R7,"F")&gt;0,"",IF(AS7="PASS",'Statement of Marks'!HF8,""))</f>
        <v/>
      </c>
      <c r="AU7" s="300" t="str">
        <f>IF(AS7="PASS",'Statement of Marks'!HG8,"")</f>
        <v/>
      </c>
    </row>
    <row r="8" spans="1:48" ht="15.95" customHeight="1">
      <c r="A8" s="283">
        <f>IF('Statement of Marks'!A9="","",'Statement of Marks'!A9)</f>
        <v>2</v>
      </c>
      <c r="B8" s="283">
        <f>IF('Statement of Marks'!B9="","",'Statement of Marks'!B9)</f>
        <v>1102</v>
      </c>
      <c r="C8" s="283">
        <f>IF('Statement of Marks'!C9="","",'Statement of Marks'!C9)</f>
        <v>231</v>
      </c>
      <c r="D8" s="284">
        <f>IF('Statement of Marks'!D9="","",'Statement of Marks'!D9)</f>
        <v>38090</v>
      </c>
      <c r="E8" s="285" t="str">
        <f>IF('Statement of Marks'!E9="","",'Statement of Marks'!E9)</f>
        <v>B</v>
      </c>
      <c r="F8" s="285" t="str">
        <f>IF('Statement of Marks'!F9="","",'Statement of Marks'!F9)</f>
        <v>Y</v>
      </c>
      <c r="G8" s="285" t="str">
        <f>IF('Statement of Marks'!G9="","",'Statement of Marks'!G9)</f>
        <v>N</v>
      </c>
      <c r="H8" s="286" t="str">
        <f>IF('Statement of Marks'!GY9="","",'Statement of Marks'!GY9)</f>
        <v>PASS</v>
      </c>
      <c r="I8" s="286" t="str">
        <f>IF('Statement of Marks'!HB9="","",'Statement of Marks'!HB9)</f>
        <v>I</v>
      </c>
      <c r="J8" s="287">
        <f>IF('Statement of Marks'!HC9="","",'Statement of Marks'!HC9)</f>
        <v>64.2</v>
      </c>
      <c r="K8" s="295" t="str">
        <f>IF(B8="","",'Statement of Marks'!FJ9)</f>
        <v>II</v>
      </c>
      <c r="L8" s="295" t="str">
        <f>IF(B8="","",'Statement of Marks'!FM9)</f>
        <v>I</v>
      </c>
      <c r="M8" s="295" t="str">
        <f>IF(B8="","",'Statement of Marks'!FP9)</f>
        <v>I</v>
      </c>
      <c r="N8" s="295" t="str">
        <f>IF(B8="","",'Statement of Marks'!FW9)</f>
        <v>D</v>
      </c>
      <c r="O8" s="295" t="str">
        <f>IF(B8="","",'Statement of Marks'!GD9)</f>
        <v>II</v>
      </c>
      <c r="P8" s="295" t="str">
        <f>IF(B8="","",'Statement of Marks'!GK9)</f>
        <v>I</v>
      </c>
      <c r="Q8" s="295" t="str">
        <f>IF(B8="","",'Statement of Marks'!GR9)</f>
        <v>A</v>
      </c>
      <c r="R8" s="295" t="str">
        <f>IF(B8="","",'Statement of Marks'!GS9)</f>
        <v>B</v>
      </c>
      <c r="S8" s="287" t="str">
        <f>IF(COUNTIF(K8:R8,"F")&gt;0,"",CONCATENATE('Statement of Marks'!GU9,'Statement of Marks'!GW9))</f>
        <v xml:space="preserve">           </v>
      </c>
      <c r="T8" s="288">
        <f t="shared" ref="T8:T71" si="0">IF(COUNTIF(K8:R8,"F")&gt;0,"",COUNTIF(K8:R8,"S")+COUNTIF(K8:R8,"RE")+COUNTIF(K8:R8,"REP"))</f>
        <v>0</v>
      </c>
      <c r="U8" s="16"/>
      <c r="V8" s="296" t="str">
        <f t="shared" ref="V8:V71" si="1">IF(U8="","",IF(OR(U8="AB",K8="RE"),U8,IF(AND(K8="S"),ROUNDUP(U8,0),)))</f>
        <v/>
      </c>
      <c r="W8" s="296" t="str">
        <f t="shared" ref="W8:W71" si="2">IF(U8="","",IF(OR(U8="AB",U8&lt;36%*$U$6),"F","P"))</f>
        <v/>
      </c>
      <c r="X8" s="16"/>
      <c r="Y8" s="296" t="str">
        <f t="shared" ref="Y8:Y71" si="3">IF(X8="","",IF(OR(X8="AB",L8="RE"),X8,IF(AND(L8="S"),ROUNDUP(X8,0),)))</f>
        <v/>
      </c>
      <c r="Z8" s="296" t="str">
        <f t="shared" ref="Z8:Z71" si="4">IF(X8="","",IF(OR(X8="AB",X8&lt;36%*$X$6),"F","P"))</f>
        <v/>
      </c>
      <c r="AA8" s="16"/>
      <c r="AB8" s="296" t="str">
        <f t="shared" ref="AB8:AB71" si="5">IF(AA8="","",IF(OR(AA8="AB",M8="RE"),AA8,IF(AND(M8="S"),ROUNDUP(AA8,0),)))</f>
        <v/>
      </c>
      <c r="AC8" s="297" t="str">
        <f t="shared" ref="AC8:AC71" si="6">IF(AA8="","",IF(OR(AA8="AB",AA8&lt;36%*$AA$6),"F","P"))</f>
        <v/>
      </c>
      <c r="AD8" s="16"/>
      <c r="AE8" s="296" t="str">
        <f t="shared" ref="AE8:AE71" si="7">IF(AD8="","",IF(OR(AD8="AB",N8="RE"),AD8,IF(AND(N8="S"),ROUNDUP(AD8,0),)))</f>
        <v/>
      </c>
      <c r="AF8" s="297" t="str">
        <f t="shared" ref="AF8:AF71" si="8">IF(AD8="","",IF(OR(AD8="AB",AD8&lt;36%*$AD$6),"F","P"))</f>
        <v/>
      </c>
      <c r="AG8" s="16"/>
      <c r="AH8" s="296" t="str">
        <f t="shared" ref="AH8:AH71" si="9">IF(AG8="","",IF(OR(AG8="AB",O8="RE"),AG8,IF(AND(O8="S"),ROUNDUP(AG8,0),)))</f>
        <v/>
      </c>
      <c r="AI8" s="297" t="str">
        <f t="shared" ref="AI8:AI71" si="10">IF(AG8="","",IF(OR(AG8="AB",AG8&lt;36%*$AG$6),"F","P"))</f>
        <v/>
      </c>
      <c r="AJ8" s="16"/>
      <c r="AK8" s="297" t="str">
        <f t="shared" ref="AK8:AK71" si="11">IF(AJ8="","",IF(OR(AJ8="AB",P8="RE"),AJ8,IF(AND(P8="S"),ROUNDUP(AJ8,0),)))</f>
        <v/>
      </c>
      <c r="AL8" s="297" t="str">
        <f t="shared" ref="AL8:AL71" si="12">IF(AJ8="","",IF(OR(AJ8="AB",AJ8&lt;36%*$AJ$6),"F","P"))</f>
        <v/>
      </c>
      <c r="AM8" s="16"/>
      <c r="AN8" s="296" t="str">
        <f t="shared" ref="AN8:AN71" si="13">IF(AM8="","",IF(OR(AM8="AB",AM8&lt;15),"F","P"))</f>
        <v/>
      </c>
      <c r="AO8" s="16"/>
      <c r="AP8" s="296" t="str">
        <f t="shared" ref="AP8:AP71" si="14">IF(AO8="","",IF(OR(AO8="AB",AO8&lt;36),"F","P"))</f>
        <v/>
      </c>
      <c r="AQ8" s="298">
        <f t="shared" ref="AQ8:AQ71" si="15">IF(COUNTIF(K8:Q8,"F")&gt;0,"",COUNTA(U8,X8,AA8,AD8,AG8,AJ8,AM8))</f>
        <v>0</v>
      </c>
      <c r="AR8" s="298">
        <f t="shared" ref="AR8:AR71" si="16">IF(COUNTIF(K8:Q8,"F")&gt;0,"",COUNTIF(U8:AN8,"P"))</f>
        <v>0</v>
      </c>
      <c r="AS8" s="299" t="str">
        <f t="shared" ref="AS8:AS71" si="17">IF(AND(U8="",X8="",AA8="",AD8="",AG8="",AJ8="",AM8="",AO8=""),"",IF(COUNTIF(K8:R8,"F")&gt;0,"",IF(T8=0,"",IF(T8&gt;AQ8,H8,IF(T8&gt;AR8,"FAIL","PASS")))))</f>
        <v/>
      </c>
      <c r="AT8" s="300" t="str">
        <f>IF(COUNTIF(K8:R8,"F")&gt;0,"",IF(AS8="PASS",'Statement of Marks'!HF9,""))</f>
        <v/>
      </c>
      <c r="AU8" s="300" t="str">
        <f>IF(AS8="PASS",'Statement of Marks'!HG9,"")</f>
        <v/>
      </c>
    </row>
    <row r="9" spans="1:48">
      <c r="A9" s="283">
        <f>IF('Statement of Marks'!A10="","",'Statement of Marks'!A10)</f>
        <v>3</v>
      </c>
      <c r="B9" s="283">
        <f>IF('Statement of Marks'!B10="","",'Statement of Marks'!B10)</f>
        <v>1103</v>
      </c>
      <c r="C9" s="283">
        <f>IF('Statement of Marks'!C10="","",'Statement of Marks'!C10)</f>
        <v>555</v>
      </c>
      <c r="D9" s="284">
        <f>IF('Statement of Marks'!D10="","",'Statement of Marks'!D10)</f>
        <v>38414</v>
      </c>
      <c r="E9" s="285" t="str">
        <f>IF('Statement of Marks'!E10="","",'Statement of Marks'!E10)</f>
        <v>C</v>
      </c>
      <c r="F9" s="285" t="str">
        <f>IF('Statement of Marks'!F10="","",'Statement of Marks'!F10)</f>
        <v>Z</v>
      </c>
      <c r="G9" s="285" t="str">
        <f>IF('Statement of Marks'!G10="","",'Statement of Marks'!G10)</f>
        <v>O</v>
      </c>
      <c r="H9" s="286" t="str">
        <f>IF('Statement of Marks'!GY10="","",'Statement of Marks'!GY10)</f>
        <v>PASS</v>
      </c>
      <c r="I9" s="286" t="str">
        <f>IF('Statement of Marks'!HB10="","",'Statement of Marks'!HB10)</f>
        <v>I</v>
      </c>
      <c r="J9" s="287">
        <f>IF('Statement of Marks'!HC10="","",'Statement of Marks'!HC10)</f>
        <v>64.099999999999994</v>
      </c>
      <c r="K9" s="295" t="str">
        <f>IF(B9="","",'Statement of Marks'!FJ10)</f>
        <v>I</v>
      </c>
      <c r="L9" s="295" t="str">
        <f>IF(B9="","",'Statement of Marks'!FM10)</f>
        <v>I</v>
      </c>
      <c r="M9" s="295" t="str">
        <f>IF(B9="","",'Statement of Marks'!FP10)</f>
        <v>II</v>
      </c>
      <c r="N9" s="295" t="str">
        <f>IF(B9="","",'Statement of Marks'!FW10)</f>
        <v>I</v>
      </c>
      <c r="O9" s="295" t="str">
        <f>IF(B9="","",'Statement of Marks'!GD10)</f>
        <v>II</v>
      </c>
      <c r="P9" s="295" t="str">
        <f>IF(B9="","",'Statement of Marks'!GK10)</f>
        <v/>
      </c>
      <c r="Q9" s="295" t="str">
        <f>IF(B9="","",'Statement of Marks'!GR10)</f>
        <v>A</v>
      </c>
      <c r="R9" s="295" t="str">
        <f>IF(B9="","",'Statement of Marks'!GS10)</f>
        <v>B</v>
      </c>
      <c r="S9" s="287" t="str">
        <f>IF(COUNTIF(K9:R9,"F")&gt;0,"",CONCATENATE('Statement of Marks'!GU10,'Statement of Marks'!GW10))</f>
        <v xml:space="preserve">           </v>
      </c>
      <c r="T9" s="288">
        <f t="shared" si="0"/>
        <v>0</v>
      </c>
      <c r="U9" s="16"/>
      <c r="V9" s="296" t="str">
        <f t="shared" si="1"/>
        <v/>
      </c>
      <c r="W9" s="296" t="str">
        <f t="shared" si="2"/>
        <v/>
      </c>
      <c r="X9" s="16"/>
      <c r="Y9" s="296" t="str">
        <f t="shared" si="3"/>
        <v/>
      </c>
      <c r="Z9" s="296" t="str">
        <f t="shared" si="4"/>
        <v/>
      </c>
      <c r="AA9" s="16"/>
      <c r="AB9" s="296" t="str">
        <f t="shared" si="5"/>
        <v/>
      </c>
      <c r="AC9" s="297" t="str">
        <f t="shared" si="6"/>
        <v/>
      </c>
      <c r="AD9" s="16"/>
      <c r="AE9" s="296" t="str">
        <f t="shared" si="7"/>
        <v/>
      </c>
      <c r="AF9" s="297" t="str">
        <f t="shared" si="8"/>
        <v/>
      </c>
      <c r="AG9" s="16"/>
      <c r="AH9" s="296" t="str">
        <f t="shared" si="9"/>
        <v/>
      </c>
      <c r="AI9" s="297" t="str">
        <f t="shared" si="10"/>
        <v/>
      </c>
      <c r="AJ9" s="16"/>
      <c r="AK9" s="297" t="str">
        <f t="shared" si="11"/>
        <v/>
      </c>
      <c r="AL9" s="297" t="str">
        <f t="shared" si="12"/>
        <v/>
      </c>
      <c r="AM9" s="16"/>
      <c r="AN9" s="296" t="str">
        <f t="shared" si="13"/>
        <v/>
      </c>
      <c r="AO9" s="16"/>
      <c r="AP9" s="296" t="str">
        <f t="shared" si="14"/>
        <v/>
      </c>
      <c r="AQ9" s="298">
        <f t="shared" si="15"/>
        <v>0</v>
      </c>
      <c r="AR9" s="298">
        <f t="shared" si="16"/>
        <v>0</v>
      </c>
      <c r="AS9" s="299" t="str">
        <f t="shared" si="17"/>
        <v/>
      </c>
      <c r="AT9" s="300" t="str">
        <f>IF(COUNTIF(K9:R9,"F")&gt;0,"",IF(AS9="PASS",'Statement of Marks'!HF10,""))</f>
        <v/>
      </c>
      <c r="AU9" s="300" t="str">
        <f>IF(AS9="PASS",'Statement of Marks'!HG10,"")</f>
        <v/>
      </c>
    </row>
    <row r="10" spans="1:48">
      <c r="A10" s="283">
        <f>IF('Statement of Marks'!A11="","",'Statement of Marks'!A11)</f>
        <v>4</v>
      </c>
      <c r="B10" s="283">
        <f>IF('Statement of Marks'!B11="","",'Statement of Marks'!B11)</f>
        <v>1104</v>
      </c>
      <c r="C10" s="283">
        <f>IF('Statement of Marks'!C11="","",'Statement of Marks'!C11)</f>
        <v>444</v>
      </c>
      <c r="D10" s="284">
        <f>IF('Statement of Marks'!D11="","",'Statement of Marks'!D11)</f>
        <v>38874</v>
      </c>
      <c r="E10" s="285" t="str">
        <f>IF('Statement of Marks'!E11="","",'Statement of Marks'!E11)</f>
        <v>D</v>
      </c>
      <c r="F10" s="285" t="str">
        <f>IF('Statement of Marks'!F11="","",'Statement of Marks'!F11)</f>
        <v>W</v>
      </c>
      <c r="G10" s="285" t="str">
        <f>IF('Statement of Marks'!G11="","",'Statement of Marks'!G11)</f>
        <v>P</v>
      </c>
      <c r="H10" s="286" t="str">
        <f>IF('Statement of Marks'!GY11="","",'Statement of Marks'!GY11)</f>
        <v>PASS</v>
      </c>
      <c r="I10" s="286" t="str">
        <f>IF('Statement of Marks'!HB11="","",'Statement of Marks'!HB11)</f>
        <v>I</v>
      </c>
      <c r="J10" s="287">
        <f>IF('Statement of Marks'!HC11="","",'Statement of Marks'!HC11)</f>
        <v>64.7</v>
      </c>
      <c r="K10" s="295" t="str">
        <f>IF(B10="","",'Statement of Marks'!FJ11)</f>
        <v>II</v>
      </c>
      <c r="L10" s="295" t="str">
        <f>IF(B10="","",'Statement of Marks'!FM11)</f>
        <v>I</v>
      </c>
      <c r="M10" s="295" t="str">
        <f>IF(B10="","",'Statement of Marks'!FP11)</f>
        <v>I</v>
      </c>
      <c r="N10" s="295" t="str">
        <f>IF(B10="","",'Statement of Marks'!FW11)</f>
        <v>II</v>
      </c>
      <c r="O10" s="295" t="str">
        <f>IF(B10="","",'Statement of Marks'!GD11)</f>
        <v>D</v>
      </c>
      <c r="P10" s="295" t="str">
        <f>IF(B10="","",'Statement of Marks'!GK11)</f>
        <v>III</v>
      </c>
      <c r="Q10" s="295" t="str">
        <f>IF(B10="","",'Statement of Marks'!GR11)</f>
        <v>A</v>
      </c>
      <c r="R10" s="295" t="str">
        <f>IF(B10="","",'Statement of Marks'!GS11)</f>
        <v>B</v>
      </c>
      <c r="S10" s="287" t="str">
        <f>IF(COUNTIF(K10:R10,"F")&gt;0,"",CONCATENATE('Statement of Marks'!GU11,'Statement of Marks'!GW11))</f>
        <v xml:space="preserve">           </v>
      </c>
      <c r="T10" s="288">
        <f t="shared" si="0"/>
        <v>0</v>
      </c>
      <c r="U10" s="16"/>
      <c r="V10" s="296" t="str">
        <f t="shared" si="1"/>
        <v/>
      </c>
      <c r="W10" s="296" t="str">
        <f t="shared" si="2"/>
        <v/>
      </c>
      <c r="X10" s="16"/>
      <c r="Y10" s="296" t="str">
        <f t="shared" si="3"/>
        <v/>
      </c>
      <c r="Z10" s="296" t="str">
        <f t="shared" si="4"/>
        <v/>
      </c>
      <c r="AA10" s="16"/>
      <c r="AB10" s="296" t="str">
        <f t="shared" si="5"/>
        <v/>
      </c>
      <c r="AC10" s="297" t="str">
        <f t="shared" si="6"/>
        <v/>
      </c>
      <c r="AD10" s="16"/>
      <c r="AE10" s="296" t="str">
        <f t="shared" si="7"/>
        <v/>
      </c>
      <c r="AF10" s="297" t="str">
        <f t="shared" si="8"/>
        <v/>
      </c>
      <c r="AG10" s="16"/>
      <c r="AH10" s="296" t="str">
        <f t="shared" si="9"/>
        <v/>
      </c>
      <c r="AI10" s="297" t="str">
        <f t="shared" si="10"/>
        <v/>
      </c>
      <c r="AJ10" s="16"/>
      <c r="AK10" s="297" t="str">
        <f t="shared" si="11"/>
        <v/>
      </c>
      <c r="AL10" s="297" t="str">
        <f t="shared" si="12"/>
        <v/>
      </c>
      <c r="AM10" s="16"/>
      <c r="AN10" s="296" t="str">
        <f t="shared" si="13"/>
        <v/>
      </c>
      <c r="AO10" s="16"/>
      <c r="AP10" s="296" t="str">
        <f t="shared" si="14"/>
        <v/>
      </c>
      <c r="AQ10" s="298">
        <f t="shared" si="15"/>
        <v>0</v>
      </c>
      <c r="AR10" s="298">
        <f t="shared" si="16"/>
        <v>0</v>
      </c>
      <c r="AS10" s="299" t="str">
        <f t="shared" si="17"/>
        <v/>
      </c>
      <c r="AT10" s="300" t="str">
        <f>IF(COUNTIF(K10:R10,"F")&gt;0,"",IF(AS10="PASS",'Statement of Marks'!HF11,""))</f>
        <v/>
      </c>
      <c r="AU10" s="300" t="str">
        <f>IF(AS10="PASS",'Statement of Marks'!HG11,"")</f>
        <v/>
      </c>
    </row>
    <row r="11" spans="1:48" ht="15.95" customHeight="1">
      <c r="A11" s="283">
        <f>IF('Statement of Marks'!A12="","",'Statement of Marks'!A12)</f>
        <v>5</v>
      </c>
      <c r="B11" s="283">
        <f>IF('Statement of Marks'!B12="","",'Statement of Marks'!B12)</f>
        <v>1105</v>
      </c>
      <c r="C11" s="283">
        <f>IF('Statement of Marks'!C12="","",'Statement of Marks'!C12)</f>
        <v>333</v>
      </c>
      <c r="D11" s="284">
        <f>IF('Statement of Marks'!D12="","",'Statement of Marks'!D12)</f>
        <v>39270</v>
      </c>
      <c r="E11" s="285" t="str">
        <f>IF('Statement of Marks'!E12="","",'Statement of Marks'!E12)</f>
        <v>E</v>
      </c>
      <c r="F11" s="285" t="str">
        <f>IF('Statement of Marks'!F12="","",'Statement of Marks'!F12)</f>
        <v>V</v>
      </c>
      <c r="G11" s="285" t="str">
        <f>IF('Statement of Marks'!G12="","",'Statement of Marks'!G12)</f>
        <v>Q</v>
      </c>
      <c r="H11" s="286" t="str">
        <f>IF('Statement of Marks'!GY12="","",'Statement of Marks'!GY12)</f>
        <v>PASS</v>
      </c>
      <c r="I11" s="286" t="str">
        <f>IF('Statement of Marks'!HB12="","",'Statement of Marks'!HB12)</f>
        <v>I</v>
      </c>
      <c r="J11" s="287">
        <f>IF('Statement of Marks'!HC12="","",'Statement of Marks'!HC12)</f>
        <v>68.600000000000009</v>
      </c>
      <c r="K11" s="295" t="str">
        <f>IF(B11="","",'Statement of Marks'!FJ12)</f>
        <v>I</v>
      </c>
      <c r="L11" s="295" t="str">
        <f>IF(B11="","",'Statement of Marks'!FM12)</f>
        <v>I</v>
      </c>
      <c r="M11" s="295" t="str">
        <f>IF(B11="","",'Statement of Marks'!FP12)</f>
        <v>I</v>
      </c>
      <c r="N11" s="295" t="str">
        <f>IF(B11="","",'Statement of Marks'!FW12)</f>
        <v>I</v>
      </c>
      <c r="O11" s="295" t="str">
        <f>IF(B11="","",'Statement of Marks'!GD12)</f>
        <v>D</v>
      </c>
      <c r="P11" s="295" t="str">
        <f>IF(B11="","",'Statement of Marks'!GK12)</f>
        <v>III</v>
      </c>
      <c r="Q11" s="295" t="str">
        <f>IF(B11="","",'Statement of Marks'!GR12)</f>
        <v>A</v>
      </c>
      <c r="R11" s="295" t="str">
        <f>IF(B11="","",'Statement of Marks'!GS12)</f>
        <v>B</v>
      </c>
      <c r="S11" s="287" t="str">
        <f>IF(COUNTIF(K11:R11,"F")&gt;0,"",CONCATENATE('Statement of Marks'!GU12,'Statement of Marks'!GW12))</f>
        <v xml:space="preserve">           </v>
      </c>
      <c r="T11" s="288">
        <f t="shared" si="0"/>
        <v>0</v>
      </c>
      <c r="U11" s="16"/>
      <c r="V11" s="296" t="str">
        <f t="shared" si="1"/>
        <v/>
      </c>
      <c r="W11" s="296" t="str">
        <f t="shared" si="2"/>
        <v/>
      </c>
      <c r="X11" s="16"/>
      <c r="Y11" s="296" t="str">
        <f t="shared" si="3"/>
        <v/>
      </c>
      <c r="Z11" s="296" t="str">
        <f t="shared" si="4"/>
        <v/>
      </c>
      <c r="AA11" s="16"/>
      <c r="AB11" s="296" t="str">
        <f t="shared" si="5"/>
        <v/>
      </c>
      <c r="AC11" s="297" t="str">
        <f t="shared" si="6"/>
        <v/>
      </c>
      <c r="AD11" s="16"/>
      <c r="AE11" s="296" t="str">
        <f t="shared" si="7"/>
        <v/>
      </c>
      <c r="AF11" s="297" t="str">
        <f t="shared" si="8"/>
        <v/>
      </c>
      <c r="AG11" s="16"/>
      <c r="AH11" s="296" t="str">
        <f t="shared" si="9"/>
        <v/>
      </c>
      <c r="AI11" s="297" t="str">
        <f t="shared" si="10"/>
        <v/>
      </c>
      <c r="AJ11" s="16"/>
      <c r="AK11" s="297" t="str">
        <f t="shared" si="11"/>
        <v/>
      </c>
      <c r="AL11" s="297" t="str">
        <f t="shared" si="12"/>
        <v/>
      </c>
      <c r="AM11" s="16"/>
      <c r="AN11" s="296" t="str">
        <f t="shared" si="13"/>
        <v/>
      </c>
      <c r="AO11" s="16"/>
      <c r="AP11" s="296" t="str">
        <f t="shared" si="14"/>
        <v/>
      </c>
      <c r="AQ11" s="298">
        <f t="shared" si="15"/>
        <v>0</v>
      </c>
      <c r="AR11" s="298">
        <f t="shared" si="16"/>
        <v>0</v>
      </c>
      <c r="AS11" s="299" t="str">
        <f t="shared" si="17"/>
        <v/>
      </c>
      <c r="AT11" s="300" t="str">
        <f>IF(COUNTIF(K11:R11,"F")&gt;0,"",IF(AS11="PASS",'Statement of Marks'!HF12,""))</f>
        <v/>
      </c>
      <c r="AU11" s="300" t="str">
        <f>IF(AS11="PASS",'Statement of Marks'!HG12,"")</f>
        <v/>
      </c>
    </row>
    <row r="12" spans="1:48" ht="15.95" customHeight="1">
      <c r="A12" s="283">
        <f>IF('Statement of Marks'!A13="","",'Statement of Marks'!A13)</f>
        <v>6</v>
      </c>
      <c r="B12" s="283">
        <f>IF('Statement of Marks'!B13="","",'Statement of Marks'!B13)</f>
        <v>1106</v>
      </c>
      <c r="C12" s="283">
        <f>IF('Statement of Marks'!C13="","",'Statement of Marks'!C13)</f>
        <v>666</v>
      </c>
      <c r="D12" s="284">
        <f>IF('Statement of Marks'!D13="","",'Statement of Marks'!D13)</f>
        <v>39668</v>
      </c>
      <c r="E12" s="285" t="str">
        <f>IF('Statement of Marks'!E13="","",'Statement of Marks'!E13)</f>
        <v>F</v>
      </c>
      <c r="F12" s="285" t="str">
        <f>IF('Statement of Marks'!F13="","",'Statement of Marks'!F13)</f>
        <v>U</v>
      </c>
      <c r="G12" s="285" t="str">
        <f>IF('Statement of Marks'!G13="","",'Statement of Marks'!G13)</f>
        <v>R</v>
      </c>
      <c r="H12" s="286" t="str">
        <f>IF('Statement of Marks'!GY13="","",'Statement of Marks'!GY13)</f>
        <v>PASS</v>
      </c>
      <c r="I12" s="286" t="str">
        <f>IF('Statement of Marks'!HB13="","",'Statement of Marks'!HB13)</f>
        <v>II</v>
      </c>
      <c r="J12" s="287">
        <f>IF('Statement of Marks'!HC13="","",'Statement of Marks'!HC13)</f>
        <v>56.100000000000009</v>
      </c>
      <c r="K12" s="295" t="str">
        <f>IF(B12="","",'Statement of Marks'!FJ13)</f>
        <v>II</v>
      </c>
      <c r="L12" s="295" t="str">
        <f>IF(B12="","",'Statement of Marks'!FM13)</f>
        <v>I</v>
      </c>
      <c r="M12" s="295" t="str">
        <f>IF(B12="","",'Statement of Marks'!FP13)</f>
        <v>III</v>
      </c>
      <c r="N12" s="295" t="str">
        <f>IF(B12="","",'Statement of Marks'!FW13)</f>
        <v>I</v>
      </c>
      <c r="O12" s="295" t="str">
        <f>IF(B12="","",'Statement of Marks'!GD13)</f>
        <v>II</v>
      </c>
      <c r="P12" s="295" t="str">
        <f>IF(B12="","",'Statement of Marks'!GK13)</f>
        <v>III</v>
      </c>
      <c r="Q12" s="295" t="str">
        <f>IF(B12="","",'Statement of Marks'!GR13)</f>
        <v>A</v>
      </c>
      <c r="R12" s="295" t="str">
        <f>IF(B12="","",'Statement of Marks'!GS13)</f>
        <v>B</v>
      </c>
      <c r="S12" s="287" t="str">
        <f>IF(COUNTIF(K12:R12,"F")&gt;0,"",CONCATENATE('Statement of Marks'!GU13,'Statement of Marks'!GW13))</f>
        <v xml:space="preserve">           </v>
      </c>
      <c r="T12" s="288">
        <f t="shared" si="0"/>
        <v>0</v>
      </c>
      <c r="U12" s="16"/>
      <c r="V12" s="296" t="str">
        <f t="shared" si="1"/>
        <v/>
      </c>
      <c r="W12" s="296" t="str">
        <f t="shared" si="2"/>
        <v/>
      </c>
      <c r="X12" s="16"/>
      <c r="Y12" s="296" t="str">
        <f t="shared" si="3"/>
        <v/>
      </c>
      <c r="Z12" s="296" t="str">
        <f t="shared" si="4"/>
        <v/>
      </c>
      <c r="AA12" s="16"/>
      <c r="AB12" s="296" t="str">
        <f t="shared" si="5"/>
        <v/>
      </c>
      <c r="AC12" s="297" t="str">
        <f t="shared" si="6"/>
        <v/>
      </c>
      <c r="AD12" s="16"/>
      <c r="AE12" s="296" t="str">
        <f t="shared" si="7"/>
        <v/>
      </c>
      <c r="AF12" s="297" t="str">
        <f t="shared" si="8"/>
        <v/>
      </c>
      <c r="AG12" s="16"/>
      <c r="AH12" s="296" t="str">
        <f t="shared" si="9"/>
        <v/>
      </c>
      <c r="AI12" s="297" t="str">
        <f t="shared" si="10"/>
        <v/>
      </c>
      <c r="AJ12" s="16"/>
      <c r="AK12" s="297" t="str">
        <f t="shared" si="11"/>
        <v/>
      </c>
      <c r="AL12" s="297" t="str">
        <f t="shared" si="12"/>
        <v/>
      </c>
      <c r="AM12" s="16"/>
      <c r="AN12" s="296" t="str">
        <f t="shared" si="13"/>
        <v/>
      </c>
      <c r="AO12" s="16"/>
      <c r="AP12" s="296" t="str">
        <f t="shared" si="14"/>
        <v/>
      </c>
      <c r="AQ12" s="298">
        <f t="shared" si="15"/>
        <v>0</v>
      </c>
      <c r="AR12" s="298">
        <f t="shared" si="16"/>
        <v>0</v>
      </c>
      <c r="AS12" s="299" t="str">
        <f t="shared" si="17"/>
        <v/>
      </c>
      <c r="AT12" s="300" t="str">
        <f>IF(COUNTIF(K12:R12,"F")&gt;0,"",IF(AS12="PASS",'Statement of Marks'!HF13,""))</f>
        <v/>
      </c>
      <c r="AU12" s="300" t="str">
        <f>IF(AS12="PASS",'Statement of Marks'!HG13,"")</f>
        <v/>
      </c>
      <c r="AV12" s="301"/>
    </row>
    <row r="13" spans="1:48" ht="15.95" customHeight="1">
      <c r="A13" s="283">
        <f>IF('Statement of Marks'!A14="","",'Statement of Marks'!A14)</f>
        <v>7</v>
      </c>
      <c r="B13" s="283">
        <f>IF('Statement of Marks'!B14="","",'Statement of Marks'!B14)</f>
        <v>1107</v>
      </c>
      <c r="C13" s="283">
        <f>IF('Statement of Marks'!C14="","",'Statement of Marks'!C14)</f>
        <v>222</v>
      </c>
      <c r="D13" s="284">
        <f>IF('Statement of Marks'!D14="","",'Statement of Marks'!D14)</f>
        <v>40065</v>
      </c>
      <c r="E13" s="285" t="str">
        <f>IF('Statement of Marks'!E14="","",'Statement of Marks'!E14)</f>
        <v>G</v>
      </c>
      <c r="F13" s="285" t="str">
        <f>IF('Statement of Marks'!F14="","",'Statement of Marks'!F14)</f>
        <v>T</v>
      </c>
      <c r="G13" s="285" t="str">
        <f>IF('Statement of Marks'!G14="","",'Statement of Marks'!G14)</f>
        <v>S</v>
      </c>
      <c r="H13" s="286" t="str">
        <f>IF('Statement of Marks'!GY14="","",'Statement of Marks'!GY14)</f>
        <v>SUPPLEMENTARY</v>
      </c>
      <c r="I13" s="286" t="str">
        <f>IF('Statement of Marks'!HB14="","",'Statement of Marks'!HB14)</f>
        <v/>
      </c>
      <c r="J13" s="287" t="str">
        <f>IF('Statement of Marks'!HC14="","",'Statement of Marks'!HC14)</f>
        <v/>
      </c>
      <c r="K13" s="295" t="str">
        <f>IF(B13="","",'Statement of Marks'!FJ14)</f>
        <v>II</v>
      </c>
      <c r="L13" s="295" t="str">
        <f>IF(B13="","",'Statement of Marks'!FM14)</f>
        <v>I</v>
      </c>
      <c r="M13" s="295" t="str">
        <f>IF(B13="","",'Statement of Marks'!FP14)</f>
        <v>S</v>
      </c>
      <c r="N13" s="295" t="str">
        <f>IF(B13="","",'Statement of Marks'!FW14)</f>
        <v>I</v>
      </c>
      <c r="O13" s="295" t="str">
        <f>IF(B13="","",'Statement of Marks'!GD14)</f>
        <v/>
      </c>
      <c r="P13" s="295" t="str">
        <f>IF(B13="","",'Statement of Marks'!GK14)</f>
        <v/>
      </c>
      <c r="Q13" s="295" t="str">
        <f>IF(B13="","",'Statement of Marks'!GR14)</f>
        <v>A</v>
      </c>
      <c r="R13" s="295" t="str">
        <f>IF(B13="","",'Statement of Marks'!GS14)</f>
        <v>B</v>
      </c>
      <c r="S13" s="287" t="str">
        <f>IF(COUNTIF(K13:R13,"F")&gt;0,"",CONCATENATE('Statement of Marks'!GU14,'Statement of Marks'!GW14))</f>
        <v xml:space="preserve">  POLITICAL SCIENCE         </v>
      </c>
      <c r="T13" s="288">
        <f t="shared" si="0"/>
        <v>1</v>
      </c>
      <c r="U13" s="16"/>
      <c r="V13" s="296" t="str">
        <f t="shared" si="1"/>
        <v/>
      </c>
      <c r="W13" s="296" t="str">
        <f t="shared" si="2"/>
        <v/>
      </c>
      <c r="X13" s="16"/>
      <c r="Y13" s="296" t="str">
        <f t="shared" si="3"/>
        <v/>
      </c>
      <c r="Z13" s="296" t="str">
        <f t="shared" si="4"/>
        <v/>
      </c>
      <c r="AA13" s="16">
        <v>36</v>
      </c>
      <c r="AB13" s="296">
        <f t="shared" si="5"/>
        <v>36</v>
      </c>
      <c r="AC13" s="297" t="str">
        <f t="shared" si="6"/>
        <v>P</v>
      </c>
      <c r="AD13" s="16"/>
      <c r="AE13" s="296" t="str">
        <f t="shared" si="7"/>
        <v/>
      </c>
      <c r="AF13" s="297" t="str">
        <f t="shared" si="8"/>
        <v/>
      </c>
      <c r="AG13" s="16"/>
      <c r="AH13" s="296" t="str">
        <f t="shared" si="9"/>
        <v/>
      </c>
      <c r="AI13" s="297" t="str">
        <f t="shared" si="10"/>
        <v/>
      </c>
      <c r="AJ13" s="16"/>
      <c r="AK13" s="297" t="str">
        <f>IF(AJ13="","",IF(OR(AJ13="AB",P13="RE"),AJ13,IF(AND(P13="S"),ROUNDUP(AJ13,0),)))</f>
        <v/>
      </c>
      <c r="AL13" s="297" t="str">
        <f t="shared" si="12"/>
        <v/>
      </c>
      <c r="AM13" s="16"/>
      <c r="AN13" s="296" t="str">
        <f t="shared" si="13"/>
        <v/>
      </c>
      <c r="AO13" s="16"/>
      <c r="AP13" s="296" t="str">
        <f t="shared" si="14"/>
        <v/>
      </c>
      <c r="AQ13" s="298">
        <f t="shared" si="15"/>
        <v>1</v>
      </c>
      <c r="AR13" s="298">
        <f t="shared" si="16"/>
        <v>1</v>
      </c>
      <c r="AS13" s="299" t="str">
        <f t="shared" si="17"/>
        <v>PASS</v>
      </c>
      <c r="AT13" s="300">
        <f>IF(COUNTIF(K13:R13,"F")&gt;0,"",IF(AS13="PASS",'Statement of Marks'!HF14,""))</f>
        <v>45</v>
      </c>
      <c r="AU13" s="300" t="str">
        <f>IF(AS13="PASS",'Statement of Marks'!HG14,"")</f>
        <v>III</v>
      </c>
    </row>
    <row r="14" spans="1:48" ht="15.95" customHeight="1">
      <c r="A14" s="283">
        <f>IF('Statement of Marks'!A15="","",'Statement of Marks'!A15)</f>
        <v>8</v>
      </c>
      <c r="B14" s="283">
        <f>IF('Statement of Marks'!B15="","",'Statement of Marks'!B15)</f>
        <v>1108</v>
      </c>
      <c r="C14" s="283">
        <f>IF('Statement of Marks'!C15="","",'Statement of Marks'!C15)</f>
        <v>123</v>
      </c>
      <c r="D14" s="284">
        <f>IF('Statement of Marks'!D15="","",'Statement of Marks'!D15)</f>
        <v>39763</v>
      </c>
      <c r="E14" s="285" t="str">
        <f>IF('Statement of Marks'!E15="","",'Statement of Marks'!E15)</f>
        <v>O</v>
      </c>
      <c r="F14" s="285" t="str">
        <f>IF('Statement of Marks'!F15="","",'Statement of Marks'!F15)</f>
        <v>R</v>
      </c>
      <c r="G14" s="285" t="str">
        <f>IF('Statement of Marks'!G15="","",'Statement of Marks'!G15)</f>
        <v>I</v>
      </c>
      <c r="H14" s="286" t="str">
        <f>IF('Statement of Marks'!GY15="","",'Statement of Marks'!GY15)</f>
        <v>BY GRACE PASS</v>
      </c>
      <c r="I14" s="286" t="str">
        <f>IF('Statement of Marks'!HB15="","",'Statement of Marks'!HB15)</f>
        <v>III</v>
      </c>
      <c r="J14" s="287">
        <f>IF('Statement of Marks'!HC15="","",'Statement of Marks'!HC15)</f>
        <v>43.7</v>
      </c>
      <c r="K14" s="295" t="str">
        <f>IF(B14="","",'Statement of Marks'!FJ15)</f>
        <v>II</v>
      </c>
      <c r="L14" s="295" t="str">
        <f>IF(B14="","",'Statement of Marks'!FM15)</f>
        <v>I</v>
      </c>
      <c r="M14" s="295" t="str">
        <f>IF(B14="","",'Statement of Marks'!FP15)</f>
        <v>G</v>
      </c>
      <c r="N14" s="295" t="str">
        <f>IF(B14="","",'Statement of Marks'!FW15)</f>
        <v>I</v>
      </c>
      <c r="O14" s="295" t="str">
        <f>IF(B14="","",'Statement of Marks'!GD15)</f>
        <v/>
      </c>
      <c r="P14" s="295" t="str">
        <f>IF(B14="","",'Statement of Marks'!GK15)</f>
        <v/>
      </c>
      <c r="Q14" s="295" t="str">
        <f>IF(B14="","",'Statement of Marks'!GR15)</f>
        <v>A</v>
      </c>
      <c r="R14" s="295" t="str">
        <f>IF(B14="","",'Statement of Marks'!GS15)</f>
        <v>B</v>
      </c>
      <c r="S14" s="287" t="str">
        <f>IF(COUNTIF(K14:R14,"F")&gt;0,"",CONCATENATE('Statement of Marks'!GU15,'Statement of Marks'!GW15))</f>
        <v xml:space="preserve">           </v>
      </c>
      <c r="T14" s="288">
        <f t="shared" si="0"/>
        <v>0</v>
      </c>
      <c r="U14" s="16"/>
      <c r="V14" s="296" t="str">
        <f t="shared" si="1"/>
        <v/>
      </c>
      <c r="W14" s="296" t="str">
        <f t="shared" si="2"/>
        <v/>
      </c>
      <c r="X14" s="16"/>
      <c r="Y14" s="296" t="str">
        <f t="shared" si="3"/>
        <v/>
      </c>
      <c r="Z14" s="296" t="str">
        <f t="shared" si="4"/>
        <v/>
      </c>
      <c r="AA14" s="16">
        <v>36</v>
      </c>
      <c r="AB14" s="296">
        <f t="shared" si="5"/>
        <v>0</v>
      </c>
      <c r="AC14" s="297" t="str">
        <f t="shared" si="6"/>
        <v>P</v>
      </c>
      <c r="AD14" s="16"/>
      <c r="AE14" s="296" t="str">
        <f t="shared" si="7"/>
        <v/>
      </c>
      <c r="AF14" s="297" t="str">
        <f t="shared" si="8"/>
        <v/>
      </c>
      <c r="AG14" s="16">
        <v>36</v>
      </c>
      <c r="AH14" s="296">
        <f t="shared" si="9"/>
        <v>0</v>
      </c>
      <c r="AI14" s="297" t="str">
        <f t="shared" si="10"/>
        <v>P</v>
      </c>
      <c r="AJ14" s="16"/>
      <c r="AK14" s="297" t="str">
        <f t="shared" si="11"/>
        <v/>
      </c>
      <c r="AL14" s="297" t="str">
        <f t="shared" si="12"/>
        <v/>
      </c>
      <c r="AM14" s="16"/>
      <c r="AN14" s="296" t="str">
        <f t="shared" si="13"/>
        <v/>
      </c>
      <c r="AO14" s="16"/>
      <c r="AP14" s="296" t="str">
        <f t="shared" si="14"/>
        <v/>
      </c>
      <c r="AQ14" s="298">
        <f t="shared" si="15"/>
        <v>2</v>
      </c>
      <c r="AR14" s="298">
        <f t="shared" si="16"/>
        <v>2</v>
      </c>
      <c r="AS14" s="299" t="str">
        <f t="shared" si="17"/>
        <v/>
      </c>
      <c r="AT14" s="300" t="str">
        <f>IF(COUNTIF(K14:R14,"F")&gt;0,"",IF(AS14="PASS",'Statement of Marks'!HF15,""))</f>
        <v/>
      </c>
      <c r="AU14" s="300" t="str">
        <f>IF(AS14="PASS",'Statement of Marks'!HG15,"")</f>
        <v/>
      </c>
    </row>
    <row r="15" spans="1:48" ht="15.95" customHeight="1">
      <c r="A15" s="283">
        <f>IF('Statement of Marks'!A16="","",'Statement of Marks'!A16)</f>
        <v>9</v>
      </c>
      <c r="B15" s="283">
        <f>IF('Statement of Marks'!B16="","",'Statement of Marks'!B16)</f>
        <v>1109</v>
      </c>
      <c r="C15" s="283">
        <f>IF('Statement of Marks'!C16="","",'Statement of Marks'!C16)</f>
        <v>345</v>
      </c>
      <c r="D15" s="284">
        <f>IF('Statement of Marks'!D16="","",'Statement of Marks'!D16)</f>
        <v>40795</v>
      </c>
      <c r="E15" s="285" t="str">
        <f>IF('Statement of Marks'!E16="","",'Statement of Marks'!E16)</f>
        <v>P</v>
      </c>
      <c r="F15" s="285" t="str">
        <f>IF('Statement of Marks'!F16="","",'Statement of Marks'!F16)</f>
        <v>P</v>
      </c>
      <c r="G15" s="285" t="str">
        <f>IF('Statement of Marks'!G16="","",'Statement of Marks'!G16)</f>
        <v>N</v>
      </c>
      <c r="H15" s="286" t="str">
        <f>IF('Statement of Marks'!GY16="","",'Statement of Marks'!GY16)</f>
        <v>FAIL</v>
      </c>
      <c r="I15" s="286" t="str">
        <f>IF('Statement of Marks'!HB16="","",'Statement of Marks'!HB16)</f>
        <v/>
      </c>
      <c r="J15" s="287" t="str">
        <f>IF('Statement of Marks'!HC16="","",'Statement of Marks'!HC16)</f>
        <v/>
      </c>
      <c r="K15" s="295" t="str">
        <f>IF(B15="","",'Statement of Marks'!FJ16)</f>
        <v>II</v>
      </c>
      <c r="L15" s="295" t="str">
        <f>IF(B15="","",'Statement of Marks'!FM16)</f>
        <v>II</v>
      </c>
      <c r="M15" s="295" t="str">
        <f>IF(B15="","",'Statement of Marks'!FP16)</f>
        <v>F</v>
      </c>
      <c r="N15" s="295" t="str">
        <f>IF(B15="","",'Statement of Marks'!FW16)</f>
        <v>II</v>
      </c>
      <c r="O15" s="295" t="str">
        <f>IF(B15="","",'Statement of Marks'!GD16)</f>
        <v/>
      </c>
      <c r="P15" s="295" t="str">
        <f>IF(B15="","",'Statement of Marks'!GK16)</f>
        <v/>
      </c>
      <c r="Q15" s="295" t="str">
        <f>IF(B15="","",'Statement of Marks'!GR16)</f>
        <v>A</v>
      </c>
      <c r="R15" s="295" t="str">
        <f>IF(B15="","",'Statement of Marks'!GS16)</f>
        <v>B</v>
      </c>
      <c r="S15" s="287" t="str">
        <f>IF(COUNTIF(K15:R15,"F")&gt;0,"",CONCATENATE('Statement of Marks'!GU16,'Statement of Marks'!GW16))</f>
        <v/>
      </c>
      <c r="T15" s="288" t="str">
        <f t="shared" si="0"/>
        <v/>
      </c>
      <c r="U15" s="16"/>
      <c r="V15" s="296" t="str">
        <f t="shared" si="1"/>
        <v/>
      </c>
      <c r="W15" s="296" t="str">
        <f t="shared" si="2"/>
        <v/>
      </c>
      <c r="X15" s="16"/>
      <c r="Y15" s="296" t="str">
        <f t="shared" si="3"/>
        <v/>
      </c>
      <c r="Z15" s="296" t="str">
        <f t="shared" si="4"/>
        <v/>
      </c>
      <c r="AA15" s="16"/>
      <c r="AB15" s="296" t="str">
        <f t="shared" si="5"/>
        <v/>
      </c>
      <c r="AC15" s="297" t="str">
        <f t="shared" si="6"/>
        <v/>
      </c>
      <c r="AD15" s="16"/>
      <c r="AE15" s="296" t="str">
        <f t="shared" si="7"/>
        <v/>
      </c>
      <c r="AF15" s="297" t="str">
        <f t="shared" si="8"/>
        <v/>
      </c>
      <c r="AG15" s="16"/>
      <c r="AH15" s="296" t="str">
        <f t="shared" si="9"/>
        <v/>
      </c>
      <c r="AI15" s="297" t="str">
        <f t="shared" si="10"/>
        <v/>
      </c>
      <c r="AJ15" s="16"/>
      <c r="AK15" s="297" t="str">
        <f t="shared" si="11"/>
        <v/>
      </c>
      <c r="AL15" s="297" t="str">
        <f t="shared" si="12"/>
        <v/>
      </c>
      <c r="AM15" s="16"/>
      <c r="AN15" s="296" t="str">
        <f t="shared" si="13"/>
        <v/>
      </c>
      <c r="AO15" s="16"/>
      <c r="AP15" s="296" t="str">
        <f t="shared" si="14"/>
        <v/>
      </c>
      <c r="AQ15" s="298" t="str">
        <f t="shared" si="15"/>
        <v/>
      </c>
      <c r="AR15" s="298" t="str">
        <f t="shared" si="16"/>
        <v/>
      </c>
      <c r="AS15" s="299" t="str">
        <f t="shared" si="17"/>
        <v/>
      </c>
      <c r="AT15" s="300" t="str">
        <f>IF(COUNTIF(K15:R15,"F")&gt;0,"",IF(AS15="PASS",'Statement of Marks'!HF16,""))</f>
        <v/>
      </c>
      <c r="AU15" s="300" t="str">
        <f>IF(AS15="PASS",'Statement of Marks'!HG16,"")</f>
        <v/>
      </c>
    </row>
    <row r="16" spans="1:48" ht="15.95" customHeight="1">
      <c r="A16" s="283">
        <f>IF('Statement of Marks'!A17="","",'Statement of Marks'!A17)</f>
        <v>10</v>
      </c>
      <c r="B16" s="283">
        <f>IF('Statement of Marks'!B17="","",'Statement of Marks'!B17)</f>
        <v>1110</v>
      </c>
      <c r="C16" s="283">
        <f>IF('Statement of Marks'!C17="","",'Statement of Marks'!C17)</f>
        <v>678</v>
      </c>
      <c r="D16" s="284">
        <f>IF('Statement of Marks'!D17="","",'Statement of Marks'!D17)</f>
        <v>38841</v>
      </c>
      <c r="E16" s="285" t="str">
        <f>IF('Statement of Marks'!E17="","",'Statement of Marks'!E17)</f>
        <v>S</v>
      </c>
      <c r="F16" s="285" t="str">
        <f>IF('Statement of Marks'!F17="","",'Statement of Marks'!F17)</f>
        <v>M</v>
      </c>
      <c r="G16" s="285" t="str">
        <f>IF('Statement of Marks'!G17="","",'Statement of Marks'!G17)</f>
        <v>B</v>
      </c>
      <c r="H16" s="286" t="str">
        <f>IF('Statement of Marks'!GY17="","",'Statement of Marks'!GY17)</f>
        <v>BY GRACE PASS</v>
      </c>
      <c r="I16" s="286" t="str">
        <f>IF('Statement of Marks'!HB17="","",'Statement of Marks'!HB17)</f>
        <v>III</v>
      </c>
      <c r="J16" s="287">
        <f>IF('Statement of Marks'!HC17="","",'Statement of Marks'!HC17)</f>
        <v>41.616161616161619</v>
      </c>
      <c r="K16" s="295" t="str">
        <f>IF(B16="","",'Statement of Marks'!FJ17)</f>
        <v>II</v>
      </c>
      <c r="L16" s="295" t="str">
        <f>IF(B16="","",'Statement of Marks'!FM17)</f>
        <v>II</v>
      </c>
      <c r="M16" s="295" t="str">
        <f>IF(B16="","",'Statement of Marks'!FP17)</f>
        <v>G</v>
      </c>
      <c r="N16" s="295" t="str">
        <f>IF(B16="","",'Statement of Marks'!FW17)</f>
        <v>III</v>
      </c>
      <c r="O16" s="295" t="str">
        <f>IF(B16="","",'Statement of Marks'!GD17)</f>
        <v/>
      </c>
      <c r="P16" s="295" t="str">
        <f>IF(B16="","",'Statement of Marks'!GK17)</f>
        <v/>
      </c>
      <c r="Q16" s="295" t="str">
        <f>IF(B16="","",'Statement of Marks'!GR17)</f>
        <v>A</v>
      </c>
      <c r="R16" s="295" t="str">
        <f>IF(B16="","",'Statement of Marks'!GS17)</f>
        <v>B</v>
      </c>
      <c r="S16" s="287" t="str">
        <f>IF(COUNTIF(K16:R16,"F")&gt;0,"",CONCATENATE('Statement of Marks'!GU17,'Statement of Marks'!GW17))</f>
        <v xml:space="preserve">           </v>
      </c>
      <c r="T16" s="288">
        <f t="shared" si="0"/>
        <v>0</v>
      </c>
      <c r="U16" s="16"/>
      <c r="V16" s="296" t="str">
        <f t="shared" si="1"/>
        <v/>
      </c>
      <c r="W16" s="296" t="str">
        <f t="shared" si="2"/>
        <v/>
      </c>
      <c r="X16" s="16"/>
      <c r="Y16" s="296" t="str">
        <f t="shared" si="3"/>
        <v/>
      </c>
      <c r="Z16" s="296" t="str">
        <f t="shared" si="4"/>
        <v/>
      </c>
      <c r="AA16" s="16"/>
      <c r="AB16" s="296" t="str">
        <f t="shared" si="5"/>
        <v/>
      </c>
      <c r="AC16" s="297" t="str">
        <f t="shared" si="6"/>
        <v/>
      </c>
      <c r="AD16" s="16"/>
      <c r="AE16" s="296" t="str">
        <f t="shared" si="7"/>
        <v/>
      </c>
      <c r="AF16" s="297" t="str">
        <f t="shared" si="8"/>
        <v/>
      </c>
      <c r="AG16" s="16"/>
      <c r="AH16" s="296" t="str">
        <f t="shared" si="9"/>
        <v/>
      </c>
      <c r="AI16" s="297" t="str">
        <f t="shared" si="10"/>
        <v/>
      </c>
      <c r="AJ16" s="16"/>
      <c r="AK16" s="297" t="str">
        <f t="shared" si="11"/>
        <v/>
      </c>
      <c r="AL16" s="297" t="str">
        <f t="shared" si="12"/>
        <v/>
      </c>
      <c r="AM16" s="16"/>
      <c r="AN16" s="296" t="str">
        <f t="shared" si="13"/>
        <v/>
      </c>
      <c r="AO16" s="16"/>
      <c r="AP16" s="296" t="str">
        <f t="shared" si="14"/>
        <v/>
      </c>
      <c r="AQ16" s="298">
        <f t="shared" si="15"/>
        <v>0</v>
      </c>
      <c r="AR16" s="298">
        <f t="shared" si="16"/>
        <v>0</v>
      </c>
      <c r="AS16" s="299" t="str">
        <f t="shared" si="17"/>
        <v/>
      </c>
      <c r="AT16" s="300" t="str">
        <f>IF(COUNTIF(K16:R16,"F")&gt;0,"",IF(AS16="PASS",'Statement of Marks'!HF17,""))</f>
        <v/>
      </c>
      <c r="AU16" s="300" t="str">
        <f>IF(AS16="PASS",'Statement of Marks'!HG17,"")</f>
        <v/>
      </c>
    </row>
    <row r="17" spans="1:47" ht="15.95" customHeight="1">
      <c r="A17" s="283">
        <f>IF('Statement of Marks'!A18="","",'Statement of Marks'!A18)</f>
        <v>11</v>
      </c>
      <c r="B17" s="283">
        <f>IF('Statement of Marks'!B18="","",'Statement of Marks'!B18)</f>
        <v>1111</v>
      </c>
      <c r="C17" s="283">
        <f>IF('Statement of Marks'!C18="","",'Statement of Marks'!C18)</f>
        <v>654</v>
      </c>
      <c r="D17" s="284">
        <f>IF('Statement of Marks'!D18="","",'Statement of Marks'!D18)</f>
        <v>39635</v>
      </c>
      <c r="E17" s="285" t="str">
        <f>IF('Statement of Marks'!E18="","",'Statement of Marks'!E18)</f>
        <v>M</v>
      </c>
      <c r="F17" s="285" t="str">
        <f>IF('Statement of Marks'!F18="","",'Statement of Marks'!F18)</f>
        <v>N</v>
      </c>
      <c r="G17" s="285" t="str">
        <f>IF('Statement of Marks'!G18="","",'Statement of Marks'!G18)</f>
        <v>A</v>
      </c>
      <c r="H17" s="286" t="str">
        <f>IF('Statement of Marks'!GY18="","",'Statement of Marks'!GY18)</f>
        <v>PASS</v>
      </c>
      <c r="I17" s="286" t="str">
        <f>IF('Statement of Marks'!HB18="","",'Statement of Marks'!HB18)</f>
        <v>III</v>
      </c>
      <c r="J17" s="287">
        <f>IF('Statement of Marks'!HC18="","",'Statement of Marks'!HC18)</f>
        <v>46.632653061224488</v>
      </c>
      <c r="K17" s="295" t="str">
        <f>IF(B17="","",'Statement of Marks'!FJ18)</f>
        <v>III</v>
      </c>
      <c r="L17" s="295" t="str">
        <f>IF(B17="","",'Statement of Marks'!FM18)</f>
        <v>II</v>
      </c>
      <c r="M17" s="295" t="str">
        <f>IF(B17="","",'Statement of Marks'!FP18)</f>
        <v>III</v>
      </c>
      <c r="N17" s="295" t="str">
        <f>IF(B17="","",'Statement of Marks'!FW18)</f>
        <v>III</v>
      </c>
      <c r="O17" s="295" t="str">
        <f>IF(B17="","",'Statement of Marks'!GD18)</f>
        <v>II</v>
      </c>
      <c r="P17" s="295" t="str">
        <f>IF(B17="","",'Statement of Marks'!GK18)</f>
        <v/>
      </c>
      <c r="Q17" s="295" t="str">
        <f>IF(B17="","",'Statement of Marks'!GR18)</f>
        <v>A</v>
      </c>
      <c r="R17" s="295" t="str">
        <f>IF(B17="","",'Statement of Marks'!GS18)</f>
        <v>B</v>
      </c>
      <c r="S17" s="287" t="str">
        <f>IF(COUNTIF(K17:R17,"F")&gt;0,"",CONCATENATE('Statement of Marks'!GU18,'Statement of Marks'!GW18))</f>
        <v xml:space="preserve">           </v>
      </c>
      <c r="T17" s="288">
        <f t="shared" si="0"/>
        <v>0</v>
      </c>
      <c r="U17" s="16"/>
      <c r="V17" s="296" t="str">
        <f t="shared" si="1"/>
        <v/>
      </c>
      <c r="W17" s="296" t="str">
        <f t="shared" si="2"/>
        <v/>
      </c>
      <c r="X17" s="16"/>
      <c r="Y17" s="296" t="str">
        <f t="shared" si="3"/>
        <v/>
      </c>
      <c r="Z17" s="296" t="str">
        <f t="shared" si="4"/>
        <v/>
      </c>
      <c r="AA17" s="16"/>
      <c r="AB17" s="296" t="str">
        <f t="shared" si="5"/>
        <v/>
      </c>
      <c r="AC17" s="297" t="str">
        <f t="shared" si="6"/>
        <v/>
      </c>
      <c r="AD17" s="16"/>
      <c r="AE17" s="296" t="str">
        <f t="shared" si="7"/>
        <v/>
      </c>
      <c r="AF17" s="297" t="str">
        <f t="shared" si="8"/>
        <v/>
      </c>
      <c r="AG17" s="16"/>
      <c r="AH17" s="296" t="str">
        <f t="shared" si="9"/>
        <v/>
      </c>
      <c r="AI17" s="297" t="str">
        <f t="shared" si="10"/>
        <v/>
      </c>
      <c r="AJ17" s="16"/>
      <c r="AK17" s="297" t="str">
        <f t="shared" si="11"/>
        <v/>
      </c>
      <c r="AL17" s="297" t="str">
        <f t="shared" si="12"/>
        <v/>
      </c>
      <c r="AM17" s="16"/>
      <c r="AN17" s="296" t="str">
        <f t="shared" si="13"/>
        <v/>
      </c>
      <c r="AO17" s="16"/>
      <c r="AP17" s="296" t="str">
        <f t="shared" si="14"/>
        <v/>
      </c>
      <c r="AQ17" s="298">
        <f t="shared" si="15"/>
        <v>0</v>
      </c>
      <c r="AR17" s="298">
        <f t="shared" si="16"/>
        <v>0</v>
      </c>
      <c r="AS17" s="299" t="str">
        <f t="shared" si="17"/>
        <v/>
      </c>
      <c r="AT17" s="300" t="str">
        <f>IF(COUNTIF(K17:R17,"F")&gt;0,"",IF(AS17="PASS",'Statement of Marks'!HF18,""))</f>
        <v/>
      </c>
      <c r="AU17" s="300" t="str">
        <f>IF(AS17="PASS",'Statement of Marks'!HG18,"")</f>
        <v/>
      </c>
    </row>
    <row r="18" spans="1:47">
      <c r="A18" s="283">
        <f>IF('Statement of Marks'!A19="","",'Statement of Marks'!A19)</f>
        <v>12</v>
      </c>
      <c r="B18" s="283" t="str">
        <f>IF('Statement of Marks'!B19="","",'Statement of Marks'!B19)</f>
        <v/>
      </c>
      <c r="C18" s="283" t="str">
        <f>IF('Statement of Marks'!C19="","",'Statement of Marks'!C19)</f>
        <v/>
      </c>
      <c r="D18" s="284" t="str">
        <f>IF('Statement of Marks'!D19="","",'Statement of Marks'!D19)</f>
        <v/>
      </c>
      <c r="E18" s="285" t="str">
        <f>IF('Statement of Marks'!E19="","",'Statement of Marks'!E19)</f>
        <v/>
      </c>
      <c r="F18" s="285" t="str">
        <f>IF('Statement of Marks'!F19="","",'Statement of Marks'!F19)</f>
        <v/>
      </c>
      <c r="G18" s="285" t="str">
        <f>IF('Statement of Marks'!G19="","",'Statement of Marks'!G19)</f>
        <v/>
      </c>
      <c r="H18" s="286" t="str">
        <f>IF('Statement of Marks'!GY19="","",'Statement of Marks'!GY19)</f>
        <v/>
      </c>
      <c r="I18" s="286" t="str">
        <f>IF('Statement of Marks'!HB19="","",'Statement of Marks'!HB19)</f>
        <v/>
      </c>
      <c r="J18" s="287" t="str">
        <f>IF('Statement of Marks'!HC19="","",'Statement of Marks'!HC19)</f>
        <v/>
      </c>
      <c r="K18" s="295" t="str">
        <f>IF(B18="","",'Statement of Marks'!FJ19)</f>
        <v/>
      </c>
      <c r="L18" s="295" t="str">
        <f>IF(B18="","",'Statement of Marks'!FM19)</f>
        <v/>
      </c>
      <c r="M18" s="295" t="str">
        <f>IF(B18="","",'Statement of Marks'!FP19)</f>
        <v/>
      </c>
      <c r="N18" s="295" t="str">
        <f>IF(B18="","",'Statement of Marks'!FW19)</f>
        <v/>
      </c>
      <c r="O18" s="295" t="str">
        <f>IF(B18="","",'Statement of Marks'!GD19)</f>
        <v/>
      </c>
      <c r="P18" s="295" t="str">
        <f>IF(B18="","",'Statement of Marks'!GK19)</f>
        <v/>
      </c>
      <c r="Q18" s="295" t="str">
        <f>IF(B18="","",'Statement of Marks'!GR19)</f>
        <v/>
      </c>
      <c r="R18" s="295" t="str">
        <f>IF(B18="","",'Statement of Marks'!GS19)</f>
        <v/>
      </c>
      <c r="S18" s="287" t="str">
        <f>IF(COUNTIF(K18:R18,"F")&gt;0,"",CONCATENATE('Statement of Marks'!GU19,'Statement of Marks'!GW19))</f>
        <v xml:space="preserve">           </v>
      </c>
      <c r="T18" s="288">
        <f t="shared" si="0"/>
        <v>0</v>
      </c>
      <c r="U18" s="16"/>
      <c r="V18" s="296" t="str">
        <f t="shared" si="1"/>
        <v/>
      </c>
      <c r="W18" s="296" t="str">
        <f t="shared" si="2"/>
        <v/>
      </c>
      <c r="X18" s="16"/>
      <c r="Y18" s="296" t="str">
        <f t="shared" si="3"/>
        <v/>
      </c>
      <c r="Z18" s="296" t="str">
        <f t="shared" si="4"/>
        <v/>
      </c>
      <c r="AA18" s="16"/>
      <c r="AB18" s="296" t="str">
        <f t="shared" si="5"/>
        <v/>
      </c>
      <c r="AC18" s="297" t="str">
        <f t="shared" si="6"/>
        <v/>
      </c>
      <c r="AD18" s="16"/>
      <c r="AE18" s="296" t="str">
        <f t="shared" si="7"/>
        <v/>
      </c>
      <c r="AF18" s="297" t="str">
        <f t="shared" si="8"/>
        <v/>
      </c>
      <c r="AG18" s="16"/>
      <c r="AH18" s="296" t="str">
        <f t="shared" si="9"/>
        <v/>
      </c>
      <c r="AI18" s="297" t="str">
        <f t="shared" si="10"/>
        <v/>
      </c>
      <c r="AJ18" s="16"/>
      <c r="AK18" s="297" t="str">
        <f t="shared" si="11"/>
        <v/>
      </c>
      <c r="AL18" s="297" t="str">
        <f t="shared" si="12"/>
        <v/>
      </c>
      <c r="AM18" s="16"/>
      <c r="AN18" s="296" t="str">
        <f t="shared" si="13"/>
        <v/>
      </c>
      <c r="AO18" s="16"/>
      <c r="AP18" s="296" t="str">
        <f t="shared" si="14"/>
        <v/>
      </c>
      <c r="AQ18" s="298">
        <f t="shared" si="15"/>
        <v>0</v>
      </c>
      <c r="AR18" s="298">
        <f t="shared" si="16"/>
        <v>0</v>
      </c>
      <c r="AS18" s="299" t="str">
        <f t="shared" si="17"/>
        <v/>
      </c>
      <c r="AT18" s="300" t="str">
        <f>IF(COUNTIF(K18:R18,"F")&gt;0,"",IF(AS18="PASS",'Statement of Marks'!HF19,""))</f>
        <v/>
      </c>
      <c r="AU18" s="300" t="str">
        <f>IF(AS18="PASS",'Statement of Marks'!HG19,"")</f>
        <v/>
      </c>
    </row>
    <row r="19" spans="1:47">
      <c r="A19" s="283">
        <f>IF('Statement of Marks'!A20="","",'Statement of Marks'!A20)</f>
        <v>13</v>
      </c>
      <c r="B19" s="283" t="str">
        <f>IF('Statement of Marks'!B20="","",'Statement of Marks'!B20)</f>
        <v/>
      </c>
      <c r="C19" s="283" t="str">
        <f>IF('Statement of Marks'!C20="","",'Statement of Marks'!C20)</f>
        <v/>
      </c>
      <c r="D19" s="284" t="str">
        <f>IF('Statement of Marks'!D20="","",'Statement of Marks'!D20)</f>
        <v/>
      </c>
      <c r="E19" s="285" t="str">
        <f>IF('Statement of Marks'!E20="","",'Statement of Marks'!E20)</f>
        <v/>
      </c>
      <c r="F19" s="285" t="str">
        <f>IF('Statement of Marks'!F20="","",'Statement of Marks'!F20)</f>
        <v/>
      </c>
      <c r="G19" s="285" t="str">
        <f>IF('Statement of Marks'!G20="","",'Statement of Marks'!G20)</f>
        <v/>
      </c>
      <c r="H19" s="286" t="str">
        <f>IF('Statement of Marks'!GY20="","",'Statement of Marks'!GY20)</f>
        <v/>
      </c>
      <c r="I19" s="286" t="str">
        <f>IF('Statement of Marks'!HB20="","",'Statement of Marks'!HB20)</f>
        <v/>
      </c>
      <c r="J19" s="287" t="str">
        <f>IF('Statement of Marks'!HC20="","",'Statement of Marks'!HC20)</f>
        <v/>
      </c>
      <c r="K19" s="295" t="str">
        <f>IF(B19="","",'Statement of Marks'!FJ20)</f>
        <v/>
      </c>
      <c r="L19" s="295" t="str">
        <f>IF(B19="","",'Statement of Marks'!FM20)</f>
        <v/>
      </c>
      <c r="M19" s="295" t="str">
        <f>IF(B19="","",'Statement of Marks'!FP20)</f>
        <v/>
      </c>
      <c r="N19" s="295" t="str">
        <f>IF(B19="","",'Statement of Marks'!FW20)</f>
        <v/>
      </c>
      <c r="O19" s="295" t="str">
        <f>IF(B19="","",'Statement of Marks'!GD20)</f>
        <v/>
      </c>
      <c r="P19" s="295" t="str">
        <f>IF(B19="","",'Statement of Marks'!GK20)</f>
        <v/>
      </c>
      <c r="Q19" s="295" t="str">
        <f>IF(B19="","",'Statement of Marks'!GR20)</f>
        <v/>
      </c>
      <c r="R19" s="295" t="str">
        <f>IF(B19="","",'Statement of Marks'!GS20)</f>
        <v/>
      </c>
      <c r="S19" s="287" t="str">
        <f>IF(COUNTIF(K19:R19,"F")&gt;0,"",CONCATENATE('Statement of Marks'!GU20,'Statement of Marks'!GW20))</f>
        <v xml:space="preserve">           </v>
      </c>
      <c r="T19" s="288">
        <f t="shared" si="0"/>
        <v>0</v>
      </c>
      <c r="U19" s="16"/>
      <c r="V19" s="296" t="str">
        <f t="shared" si="1"/>
        <v/>
      </c>
      <c r="W19" s="296" t="str">
        <f t="shared" si="2"/>
        <v/>
      </c>
      <c r="X19" s="16"/>
      <c r="Y19" s="296" t="str">
        <f t="shared" si="3"/>
        <v/>
      </c>
      <c r="Z19" s="296" t="str">
        <f t="shared" si="4"/>
        <v/>
      </c>
      <c r="AA19" s="16"/>
      <c r="AB19" s="296" t="str">
        <f t="shared" si="5"/>
        <v/>
      </c>
      <c r="AC19" s="297" t="str">
        <f t="shared" si="6"/>
        <v/>
      </c>
      <c r="AD19" s="16"/>
      <c r="AE19" s="296" t="str">
        <f t="shared" si="7"/>
        <v/>
      </c>
      <c r="AF19" s="297" t="str">
        <f t="shared" si="8"/>
        <v/>
      </c>
      <c r="AG19" s="16"/>
      <c r="AH19" s="296" t="str">
        <f t="shared" si="9"/>
        <v/>
      </c>
      <c r="AI19" s="297" t="str">
        <f t="shared" si="10"/>
        <v/>
      </c>
      <c r="AJ19" s="16"/>
      <c r="AK19" s="297" t="str">
        <f t="shared" si="11"/>
        <v/>
      </c>
      <c r="AL19" s="297" t="str">
        <f t="shared" si="12"/>
        <v/>
      </c>
      <c r="AM19" s="16"/>
      <c r="AN19" s="296" t="str">
        <f t="shared" si="13"/>
        <v/>
      </c>
      <c r="AO19" s="16"/>
      <c r="AP19" s="296" t="str">
        <f t="shared" si="14"/>
        <v/>
      </c>
      <c r="AQ19" s="298">
        <f t="shared" si="15"/>
        <v>0</v>
      </c>
      <c r="AR19" s="298">
        <f t="shared" si="16"/>
        <v>0</v>
      </c>
      <c r="AS19" s="299" t="str">
        <f t="shared" si="17"/>
        <v/>
      </c>
      <c r="AT19" s="300" t="str">
        <f>IF(COUNTIF(K19:R19,"F")&gt;0,"",IF(AS19="PASS",'Statement of Marks'!HF20,""))</f>
        <v/>
      </c>
      <c r="AU19" s="300" t="str">
        <f>IF(AS19="PASS",'Statement of Marks'!HG20,"")</f>
        <v/>
      </c>
    </row>
    <row r="20" spans="1:47">
      <c r="A20" s="283">
        <f>IF('Statement of Marks'!A21="","",'Statement of Marks'!A21)</f>
        <v>14</v>
      </c>
      <c r="B20" s="283" t="str">
        <f>IF('Statement of Marks'!B21="","",'Statement of Marks'!B21)</f>
        <v/>
      </c>
      <c r="C20" s="283" t="str">
        <f>IF('Statement of Marks'!C21="","",'Statement of Marks'!C21)</f>
        <v/>
      </c>
      <c r="D20" s="284" t="str">
        <f>IF('Statement of Marks'!D21="","",'Statement of Marks'!D21)</f>
        <v/>
      </c>
      <c r="E20" s="285" t="str">
        <f>IF('Statement of Marks'!E21="","",'Statement of Marks'!E21)</f>
        <v/>
      </c>
      <c r="F20" s="285" t="str">
        <f>IF('Statement of Marks'!F21="","",'Statement of Marks'!F21)</f>
        <v/>
      </c>
      <c r="G20" s="285" t="str">
        <f>IF('Statement of Marks'!G21="","",'Statement of Marks'!G21)</f>
        <v/>
      </c>
      <c r="H20" s="286" t="str">
        <f>IF('Statement of Marks'!GY21="","",'Statement of Marks'!GY21)</f>
        <v/>
      </c>
      <c r="I20" s="286" t="str">
        <f>IF('Statement of Marks'!HB21="","",'Statement of Marks'!HB21)</f>
        <v/>
      </c>
      <c r="J20" s="287" t="str">
        <f>IF('Statement of Marks'!HC21="","",'Statement of Marks'!HC21)</f>
        <v/>
      </c>
      <c r="K20" s="295" t="str">
        <f>IF(B20="","",'Statement of Marks'!FJ21)</f>
        <v/>
      </c>
      <c r="L20" s="295" t="str">
        <f>IF(B20="","",'Statement of Marks'!FM21)</f>
        <v/>
      </c>
      <c r="M20" s="295" t="str">
        <f>IF(B20="","",'Statement of Marks'!FP21)</f>
        <v/>
      </c>
      <c r="N20" s="295" t="str">
        <f>IF(B20="","",'Statement of Marks'!FW21)</f>
        <v/>
      </c>
      <c r="O20" s="295" t="str">
        <f>IF(B20="","",'Statement of Marks'!GD21)</f>
        <v/>
      </c>
      <c r="P20" s="295" t="str">
        <f>IF(B20="","",'Statement of Marks'!GK21)</f>
        <v/>
      </c>
      <c r="Q20" s="295" t="str">
        <f>IF(B20="","",'Statement of Marks'!GR21)</f>
        <v/>
      </c>
      <c r="R20" s="295" t="str">
        <f>IF(B20="","",'Statement of Marks'!GS21)</f>
        <v/>
      </c>
      <c r="S20" s="287" t="str">
        <f>IF(COUNTIF(K20:R20,"F")&gt;0,"",CONCATENATE('Statement of Marks'!GU21,'Statement of Marks'!GW21))</f>
        <v xml:space="preserve">           </v>
      </c>
      <c r="T20" s="288">
        <f t="shared" si="0"/>
        <v>0</v>
      </c>
      <c r="U20" s="16"/>
      <c r="V20" s="296" t="str">
        <f t="shared" si="1"/>
        <v/>
      </c>
      <c r="W20" s="296" t="str">
        <f t="shared" si="2"/>
        <v/>
      </c>
      <c r="X20" s="16"/>
      <c r="Y20" s="296" t="str">
        <f t="shared" si="3"/>
        <v/>
      </c>
      <c r="Z20" s="296" t="str">
        <f t="shared" si="4"/>
        <v/>
      </c>
      <c r="AA20" s="16"/>
      <c r="AB20" s="296" t="str">
        <f t="shared" si="5"/>
        <v/>
      </c>
      <c r="AC20" s="297" t="str">
        <f t="shared" si="6"/>
        <v/>
      </c>
      <c r="AD20" s="16"/>
      <c r="AE20" s="296" t="str">
        <f t="shared" si="7"/>
        <v/>
      </c>
      <c r="AF20" s="297" t="str">
        <f t="shared" si="8"/>
        <v/>
      </c>
      <c r="AG20" s="16"/>
      <c r="AH20" s="296" t="str">
        <f t="shared" si="9"/>
        <v/>
      </c>
      <c r="AI20" s="297" t="str">
        <f t="shared" si="10"/>
        <v/>
      </c>
      <c r="AJ20" s="16"/>
      <c r="AK20" s="297" t="str">
        <f t="shared" si="11"/>
        <v/>
      </c>
      <c r="AL20" s="297" t="str">
        <f t="shared" si="12"/>
        <v/>
      </c>
      <c r="AM20" s="16"/>
      <c r="AN20" s="296" t="str">
        <f t="shared" si="13"/>
        <v/>
      </c>
      <c r="AO20" s="16"/>
      <c r="AP20" s="296" t="str">
        <f t="shared" si="14"/>
        <v/>
      </c>
      <c r="AQ20" s="298">
        <f t="shared" si="15"/>
        <v>0</v>
      </c>
      <c r="AR20" s="298">
        <f t="shared" si="16"/>
        <v>0</v>
      </c>
      <c r="AS20" s="299" t="str">
        <f t="shared" si="17"/>
        <v/>
      </c>
      <c r="AT20" s="300" t="str">
        <f>IF(COUNTIF(K20:R20,"F")&gt;0,"",IF(AS20="PASS",'Statement of Marks'!HF21,""))</f>
        <v/>
      </c>
      <c r="AU20" s="300" t="str">
        <f>IF(AS20="PASS",'Statement of Marks'!HG21,"")</f>
        <v/>
      </c>
    </row>
    <row r="21" spans="1:47">
      <c r="A21" s="283">
        <f>IF('Statement of Marks'!A22="","",'Statement of Marks'!A22)</f>
        <v>15</v>
      </c>
      <c r="B21" s="283" t="str">
        <f>IF('Statement of Marks'!B22="","",'Statement of Marks'!B22)</f>
        <v/>
      </c>
      <c r="C21" s="283" t="str">
        <f>IF('Statement of Marks'!C22="","",'Statement of Marks'!C22)</f>
        <v/>
      </c>
      <c r="D21" s="284" t="str">
        <f>IF('Statement of Marks'!D22="","",'Statement of Marks'!D22)</f>
        <v/>
      </c>
      <c r="E21" s="285" t="str">
        <f>IF('Statement of Marks'!E22="","",'Statement of Marks'!E22)</f>
        <v/>
      </c>
      <c r="F21" s="285" t="str">
        <f>IF('Statement of Marks'!F22="","",'Statement of Marks'!F22)</f>
        <v/>
      </c>
      <c r="G21" s="285" t="str">
        <f>IF('Statement of Marks'!G22="","",'Statement of Marks'!G22)</f>
        <v/>
      </c>
      <c r="H21" s="286" t="str">
        <f>IF('Statement of Marks'!GY22="","",'Statement of Marks'!GY22)</f>
        <v/>
      </c>
      <c r="I21" s="286" t="str">
        <f>IF('Statement of Marks'!HB22="","",'Statement of Marks'!HB22)</f>
        <v/>
      </c>
      <c r="J21" s="287" t="str">
        <f>IF('Statement of Marks'!HC22="","",'Statement of Marks'!HC22)</f>
        <v/>
      </c>
      <c r="K21" s="295" t="str">
        <f>IF(B21="","",'Statement of Marks'!FJ22)</f>
        <v/>
      </c>
      <c r="L21" s="295" t="str">
        <f>IF(B21="","",'Statement of Marks'!FM22)</f>
        <v/>
      </c>
      <c r="M21" s="295" t="str">
        <f>IF(B21="","",'Statement of Marks'!FP22)</f>
        <v/>
      </c>
      <c r="N21" s="295" t="str">
        <f>IF(B21="","",'Statement of Marks'!FW22)</f>
        <v/>
      </c>
      <c r="O21" s="295" t="str">
        <f>IF(B21="","",'Statement of Marks'!GD22)</f>
        <v/>
      </c>
      <c r="P21" s="295" t="str">
        <f>IF(B21="","",'Statement of Marks'!GK22)</f>
        <v/>
      </c>
      <c r="Q21" s="295" t="str">
        <f>IF(B21="","",'Statement of Marks'!GR22)</f>
        <v/>
      </c>
      <c r="R21" s="295" t="str">
        <f>IF(B21="","",'Statement of Marks'!GS22)</f>
        <v/>
      </c>
      <c r="S21" s="287" t="str">
        <f>IF(COUNTIF(K21:R21,"F")&gt;0,"",CONCATENATE('Statement of Marks'!GU22,'Statement of Marks'!GW22))</f>
        <v xml:space="preserve">           </v>
      </c>
      <c r="T21" s="288">
        <f t="shared" si="0"/>
        <v>0</v>
      </c>
      <c r="U21" s="16"/>
      <c r="V21" s="296" t="str">
        <f t="shared" si="1"/>
        <v/>
      </c>
      <c r="W21" s="296" t="str">
        <f t="shared" si="2"/>
        <v/>
      </c>
      <c r="X21" s="16"/>
      <c r="Y21" s="296" t="str">
        <f t="shared" si="3"/>
        <v/>
      </c>
      <c r="Z21" s="296" t="str">
        <f t="shared" si="4"/>
        <v/>
      </c>
      <c r="AA21" s="16"/>
      <c r="AB21" s="296" t="str">
        <f t="shared" si="5"/>
        <v/>
      </c>
      <c r="AC21" s="297" t="str">
        <f t="shared" si="6"/>
        <v/>
      </c>
      <c r="AD21" s="16"/>
      <c r="AE21" s="296" t="str">
        <f t="shared" si="7"/>
        <v/>
      </c>
      <c r="AF21" s="297" t="str">
        <f t="shared" si="8"/>
        <v/>
      </c>
      <c r="AG21" s="16"/>
      <c r="AH21" s="296" t="str">
        <f t="shared" si="9"/>
        <v/>
      </c>
      <c r="AI21" s="297" t="str">
        <f t="shared" si="10"/>
        <v/>
      </c>
      <c r="AJ21" s="16"/>
      <c r="AK21" s="297" t="str">
        <f t="shared" si="11"/>
        <v/>
      </c>
      <c r="AL21" s="297" t="str">
        <f t="shared" si="12"/>
        <v/>
      </c>
      <c r="AM21" s="16"/>
      <c r="AN21" s="296" t="str">
        <f t="shared" si="13"/>
        <v/>
      </c>
      <c r="AO21" s="16"/>
      <c r="AP21" s="296" t="str">
        <f t="shared" si="14"/>
        <v/>
      </c>
      <c r="AQ21" s="298">
        <f t="shared" si="15"/>
        <v>0</v>
      </c>
      <c r="AR21" s="298">
        <f t="shared" si="16"/>
        <v>0</v>
      </c>
      <c r="AS21" s="299" t="str">
        <f t="shared" si="17"/>
        <v/>
      </c>
      <c r="AT21" s="300" t="str">
        <f>IF(COUNTIF(K21:R21,"F")&gt;0,"",IF(AS21="PASS",'Statement of Marks'!HF22,""))</f>
        <v/>
      </c>
      <c r="AU21" s="300" t="str">
        <f>IF(AS21="PASS",'Statement of Marks'!HG22,"")</f>
        <v/>
      </c>
    </row>
    <row r="22" spans="1:47">
      <c r="A22" s="283">
        <f>IF('Statement of Marks'!A23="","",'Statement of Marks'!A23)</f>
        <v>16</v>
      </c>
      <c r="B22" s="283" t="str">
        <f>IF('Statement of Marks'!B23="","",'Statement of Marks'!B23)</f>
        <v/>
      </c>
      <c r="C22" s="283" t="str">
        <f>IF('Statement of Marks'!C23="","",'Statement of Marks'!C23)</f>
        <v/>
      </c>
      <c r="D22" s="284" t="str">
        <f>IF('Statement of Marks'!D23="","",'Statement of Marks'!D23)</f>
        <v/>
      </c>
      <c r="E22" s="285" t="str">
        <f>IF('Statement of Marks'!E23="","",'Statement of Marks'!E23)</f>
        <v/>
      </c>
      <c r="F22" s="285" t="str">
        <f>IF('Statement of Marks'!F23="","",'Statement of Marks'!F23)</f>
        <v/>
      </c>
      <c r="G22" s="285" t="str">
        <f>IF('Statement of Marks'!G23="","",'Statement of Marks'!G23)</f>
        <v/>
      </c>
      <c r="H22" s="286" t="str">
        <f>IF('Statement of Marks'!GY23="","",'Statement of Marks'!GY23)</f>
        <v/>
      </c>
      <c r="I22" s="286" t="str">
        <f>IF('Statement of Marks'!HB23="","",'Statement of Marks'!HB23)</f>
        <v/>
      </c>
      <c r="J22" s="287" t="str">
        <f>IF('Statement of Marks'!HC23="","",'Statement of Marks'!HC23)</f>
        <v/>
      </c>
      <c r="K22" s="295" t="str">
        <f>IF(B22="","",'Statement of Marks'!FJ23)</f>
        <v/>
      </c>
      <c r="L22" s="295" t="str">
        <f>IF(B22="","",'Statement of Marks'!FM23)</f>
        <v/>
      </c>
      <c r="M22" s="295" t="str">
        <f>IF(B22="","",'Statement of Marks'!FP23)</f>
        <v/>
      </c>
      <c r="N22" s="295" t="str">
        <f>IF(B22="","",'Statement of Marks'!FW23)</f>
        <v/>
      </c>
      <c r="O22" s="295" t="str">
        <f>IF(B22="","",'Statement of Marks'!GD23)</f>
        <v/>
      </c>
      <c r="P22" s="295" t="str">
        <f>IF(B22="","",'Statement of Marks'!GK23)</f>
        <v/>
      </c>
      <c r="Q22" s="295" t="str">
        <f>IF(B22="","",'Statement of Marks'!GR23)</f>
        <v/>
      </c>
      <c r="R22" s="295" t="str">
        <f>IF(B22="","",'Statement of Marks'!GS23)</f>
        <v/>
      </c>
      <c r="S22" s="287" t="str">
        <f>IF(COUNTIF(K22:R22,"F")&gt;0,"",CONCATENATE('Statement of Marks'!GU23,'Statement of Marks'!GW23))</f>
        <v xml:space="preserve">           </v>
      </c>
      <c r="T22" s="288">
        <f t="shared" si="0"/>
        <v>0</v>
      </c>
      <c r="U22" s="16"/>
      <c r="V22" s="296" t="str">
        <f t="shared" si="1"/>
        <v/>
      </c>
      <c r="W22" s="296" t="str">
        <f t="shared" si="2"/>
        <v/>
      </c>
      <c r="X22" s="16"/>
      <c r="Y22" s="296" t="str">
        <f t="shared" si="3"/>
        <v/>
      </c>
      <c r="Z22" s="296" t="str">
        <f t="shared" si="4"/>
        <v/>
      </c>
      <c r="AA22" s="16"/>
      <c r="AB22" s="296" t="str">
        <f t="shared" si="5"/>
        <v/>
      </c>
      <c r="AC22" s="297" t="str">
        <f t="shared" si="6"/>
        <v/>
      </c>
      <c r="AD22" s="16"/>
      <c r="AE22" s="296" t="str">
        <f t="shared" si="7"/>
        <v/>
      </c>
      <c r="AF22" s="297" t="str">
        <f t="shared" si="8"/>
        <v/>
      </c>
      <c r="AG22" s="16"/>
      <c r="AH22" s="296" t="str">
        <f t="shared" si="9"/>
        <v/>
      </c>
      <c r="AI22" s="297" t="str">
        <f t="shared" si="10"/>
        <v/>
      </c>
      <c r="AJ22" s="16"/>
      <c r="AK22" s="297" t="str">
        <f t="shared" si="11"/>
        <v/>
      </c>
      <c r="AL22" s="297" t="str">
        <f t="shared" si="12"/>
        <v/>
      </c>
      <c r="AM22" s="16"/>
      <c r="AN22" s="296" t="str">
        <f t="shared" si="13"/>
        <v/>
      </c>
      <c r="AO22" s="16"/>
      <c r="AP22" s="296" t="str">
        <f t="shared" si="14"/>
        <v/>
      </c>
      <c r="AQ22" s="298">
        <f t="shared" si="15"/>
        <v>0</v>
      </c>
      <c r="AR22" s="298">
        <f t="shared" si="16"/>
        <v>0</v>
      </c>
      <c r="AS22" s="299" t="str">
        <f t="shared" si="17"/>
        <v/>
      </c>
      <c r="AT22" s="300" t="str">
        <f>IF(COUNTIF(K22:R22,"F")&gt;0,"",IF(AS22="PASS",'Statement of Marks'!HF23,""))</f>
        <v/>
      </c>
      <c r="AU22" s="300" t="str">
        <f>IF(AS22="PASS",'Statement of Marks'!HG23,"")</f>
        <v/>
      </c>
    </row>
    <row r="23" spans="1:47">
      <c r="A23" s="283">
        <f>IF('Statement of Marks'!A24="","",'Statement of Marks'!A24)</f>
        <v>17</v>
      </c>
      <c r="B23" s="283" t="str">
        <f>IF('Statement of Marks'!B24="","",'Statement of Marks'!B24)</f>
        <v/>
      </c>
      <c r="C23" s="283" t="str">
        <f>IF('Statement of Marks'!C24="","",'Statement of Marks'!C24)</f>
        <v/>
      </c>
      <c r="D23" s="284" t="str">
        <f>IF('Statement of Marks'!D24="","",'Statement of Marks'!D24)</f>
        <v/>
      </c>
      <c r="E23" s="285" t="str">
        <f>IF('Statement of Marks'!E24="","",'Statement of Marks'!E24)</f>
        <v/>
      </c>
      <c r="F23" s="285" t="str">
        <f>IF('Statement of Marks'!F24="","",'Statement of Marks'!F24)</f>
        <v/>
      </c>
      <c r="G23" s="285" t="str">
        <f>IF('Statement of Marks'!G24="","",'Statement of Marks'!G24)</f>
        <v/>
      </c>
      <c r="H23" s="286" t="str">
        <f>IF('Statement of Marks'!GY24="","",'Statement of Marks'!GY24)</f>
        <v/>
      </c>
      <c r="I23" s="286" t="str">
        <f>IF('Statement of Marks'!HB24="","",'Statement of Marks'!HB24)</f>
        <v/>
      </c>
      <c r="J23" s="287" t="str">
        <f>IF('Statement of Marks'!HC24="","",'Statement of Marks'!HC24)</f>
        <v/>
      </c>
      <c r="K23" s="295" t="str">
        <f>IF(B23="","",'Statement of Marks'!FJ24)</f>
        <v/>
      </c>
      <c r="L23" s="295" t="str">
        <f>IF(B23="","",'Statement of Marks'!FM24)</f>
        <v/>
      </c>
      <c r="M23" s="295" t="str">
        <f>IF(B23="","",'Statement of Marks'!FP24)</f>
        <v/>
      </c>
      <c r="N23" s="295" t="str">
        <f>IF(B23="","",'Statement of Marks'!FW24)</f>
        <v/>
      </c>
      <c r="O23" s="295" t="str">
        <f>IF(B23="","",'Statement of Marks'!GD24)</f>
        <v/>
      </c>
      <c r="P23" s="295" t="str">
        <f>IF(B23="","",'Statement of Marks'!GK24)</f>
        <v/>
      </c>
      <c r="Q23" s="295" t="str">
        <f>IF(B23="","",'Statement of Marks'!GR24)</f>
        <v/>
      </c>
      <c r="R23" s="295" t="str">
        <f>IF(B23="","",'Statement of Marks'!GS24)</f>
        <v/>
      </c>
      <c r="S23" s="287" t="str">
        <f>IF(COUNTIF(K23:R23,"F")&gt;0,"",CONCATENATE('Statement of Marks'!GU24,'Statement of Marks'!GW24))</f>
        <v xml:space="preserve">           </v>
      </c>
      <c r="T23" s="288">
        <f t="shared" si="0"/>
        <v>0</v>
      </c>
      <c r="U23" s="16"/>
      <c r="V23" s="296" t="str">
        <f t="shared" si="1"/>
        <v/>
      </c>
      <c r="W23" s="296" t="str">
        <f t="shared" si="2"/>
        <v/>
      </c>
      <c r="X23" s="16"/>
      <c r="Y23" s="296" t="str">
        <f t="shared" si="3"/>
        <v/>
      </c>
      <c r="Z23" s="296" t="str">
        <f t="shared" si="4"/>
        <v/>
      </c>
      <c r="AA23" s="16"/>
      <c r="AB23" s="296" t="str">
        <f t="shared" si="5"/>
        <v/>
      </c>
      <c r="AC23" s="297" t="str">
        <f t="shared" si="6"/>
        <v/>
      </c>
      <c r="AD23" s="16"/>
      <c r="AE23" s="296" t="str">
        <f t="shared" si="7"/>
        <v/>
      </c>
      <c r="AF23" s="297" t="str">
        <f t="shared" si="8"/>
        <v/>
      </c>
      <c r="AG23" s="16"/>
      <c r="AH23" s="296" t="str">
        <f t="shared" si="9"/>
        <v/>
      </c>
      <c r="AI23" s="297" t="str">
        <f t="shared" si="10"/>
        <v/>
      </c>
      <c r="AJ23" s="16"/>
      <c r="AK23" s="297" t="str">
        <f t="shared" si="11"/>
        <v/>
      </c>
      <c r="AL23" s="297" t="str">
        <f t="shared" si="12"/>
        <v/>
      </c>
      <c r="AM23" s="16"/>
      <c r="AN23" s="296" t="str">
        <f t="shared" si="13"/>
        <v/>
      </c>
      <c r="AO23" s="16"/>
      <c r="AP23" s="296" t="str">
        <f t="shared" si="14"/>
        <v/>
      </c>
      <c r="AQ23" s="298">
        <f t="shared" si="15"/>
        <v>0</v>
      </c>
      <c r="AR23" s="298">
        <f t="shared" si="16"/>
        <v>0</v>
      </c>
      <c r="AS23" s="299" t="str">
        <f t="shared" si="17"/>
        <v/>
      </c>
      <c r="AT23" s="300" t="str">
        <f>IF(COUNTIF(K23:R23,"F")&gt;0,"",IF(AS23="PASS",'Statement of Marks'!HF24,""))</f>
        <v/>
      </c>
      <c r="AU23" s="300" t="str">
        <f>IF(AS23="PASS",'Statement of Marks'!HG24,"")</f>
        <v/>
      </c>
    </row>
    <row r="24" spans="1:47">
      <c r="A24" s="283">
        <f>IF('Statement of Marks'!A25="","",'Statement of Marks'!A25)</f>
        <v>18</v>
      </c>
      <c r="B24" s="283" t="str">
        <f>IF('Statement of Marks'!B25="","",'Statement of Marks'!B25)</f>
        <v/>
      </c>
      <c r="C24" s="283" t="str">
        <f>IF('Statement of Marks'!C25="","",'Statement of Marks'!C25)</f>
        <v/>
      </c>
      <c r="D24" s="284" t="str">
        <f>IF('Statement of Marks'!D25="","",'Statement of Marks'!D25)</f>
        <v/>
      </c>
      <c r="E24" s="285" t="str">
        <f>IF('Statement of Marks'!E25="","",'Statement of Marks'!E25)</f>
        <v/>
      </c>
      <c r="F24" s="285" t="str">
        <f>IF('Statement of Marks'!F25="","",'Statement of Marks'!F25)</f>
        <v/>
      </c>
      <c r="G24" s="285" t="str">
        <f>IF('Statement of Marks'!G25="","",'Statement of Marks'!G25)</f>
        <v/>
      </c>
      <c r="H24" s="286" t="str">
        <f>IF('Statement of Marks'!GY25="","",'Statement of Marks'!GY25)</f>
        <v/>
      </c>
      <c r="I24" s="286" t="str">
        <f>IF('Statement of Marks'!HB25="","",'Statement of Marks'!HB25)</f>
        <v/>
      </c>
      <c r="J24" s="287" t="str">
        <f>IF('Statement of Marks'!HC25="","",'Statement of Marks'!HC25)</f>
        <v/>
      </c>
      <c r="K24" s="295" t="str">
        <f>IF(B24="","",'Statement of Marks'!FJ25)</f>
        <v/>
      </c>
      <c r="L24" s="295" t="str">
        <f>IF(B24="","",'Statement of Marks'!FM25)</f>
        <v/>
      </c>
      <c r="M24" s="295" t="str">
        <f>IF(B24="","",'Statement of Marks'!FP25)</f>
        <v/>
      </c>
      <c r="N24" s="295" t="str">
        <f>IF(B24="","",'Statement of Marks'!FW25)</f>
        <v/>
      </c>
      <c r="O24" s="295" t="str">
        <f>IF(B24="","",'Statement of Marks'!GD25)</f>
        <v/>
      </c>
      <c r="P24" s="295" t="str">
        <f>IF(B24="","",'Statement of Marks'!GK25)</f>
        <v/>
      </c>
      <c r="Q24" s="295" t="str">
        <f>IF(B24="","",'Statement of Marks'!GR25)</f>
        <v/>
      </c>
      <c r="R24" s="295" t="str">
        <f>IF(B24="","",'Statement of Marks'!GS25)</f>
        <v/>
      </c>
      <c r="S24" s="287" t="str">
        <f>IF(COUNTIF(K24:R24,"F")&gt;0,"",CONCATENATE('Statement of Marks'!GU25,'Statement of Marks'!GW25))</f>
        <v xml:space="preserve">           </v>
      </c>
      <c r="T24" s="288">
        <f t="shared" si="0"/>
        <v>0</v>
      </c>
      <c r="U24" s="16"/>
      <c r="V24" s="296" t="str">
        <f t="shared" si="1"/>
        <v/>
      </c>
      <c r="W24" s="296" t="str">
        <f t="shared" si="2"/>
        <v/>
      </c>
      <c r="X24" s="16"/>
      <c r="Y24" s="296" t="str">
        <f t="shared" si="3"/>
        <v/>
      </c>
      <c r="Z24" s="296" t="str">
        <f t="shared" si="4"/>
        <v/>
      </c>
      <c r="AA24" s="16"/>
      <c r="AB24" s="296" t="str">
        <f t="shared" si="5"/>
        <v/>
      </c>
      <c r="AC24" s="297" t="str">
        <f t="shared" si="6"/>
        <v/>
      </c>
      <c r="AD24" s="16"/>
      <c r="AE24" s="296" t="str">
        <f t="shared" si="7"/>
        <v/>
      </c>
      <c r="AF24" s="297" t="str">
        <f t="shared" si="8"/>
        <v/>
      </c>
      <c r="AG24" s="16"/>
      <c r="AH24" s="296" t="str">
        <f t="shared" si="9"/>
        <v/>
      </c>
      <c r="AI24" s="297" t="str">
        <f t="shared" si="10"/>
        <v/>
      </c>
      <c r="AJ24" s="16"/>
      <c r="AK24" s="297" t="str">
        <f t="shared" si="11"/>
        <v/>
      </c>
      <c r="AL24" s="297" t="str">
        <f t="shared" si="12"/>
        <v/>
      </c>
      <c r="AM24" s="16"/>
      <c r="AN24" s="296" t="str">
        <f t="shared" si="13"/>
        <v/>
      </c>
      <c r="AO24" s="16"/>
      <c r="AP24" s="296" t="str">
        <f t="shared" si="14"/>
        <v/>
      </c>
      <c r="AQ24" s="298">
        <f t="shared" si="15"/>
        <v>0</v>
      </c>
      <c r="AR24" s="298">
        <f t="shared" si="16"/>
        <v>0</v>
      </c>
      <c r="AS24" s="299" t="str">
        <f t="shared" si="17"/>
        <v/>
      </c>
      <c r="AT24" s="300" t="str">
        <f>IF(COUNTIF(K24:R24,"F")&gt;0,"",IF(AS24="PASS",'Statement of Marks'!HF25,""))</f>
        <v/>
      </c>
      <c r="AU24" s="300" t="str">
        <f>IF(AS24="PASS",'Statement of Marks'!HG25,"")</f>
        <v/>
      </c>
    </row>
    <row r="25" spans="1:47" ht="15.75" customHeight="1">
      <c r="A25" s="283">
        <f>IF('Statement of Marks'!A26="","",'Statement of Marks'!A26)</f>
        <v>19</v>
      </c>
      <c r="B25" s="283" t="str">
        <f>IF('Statement of Marks'!B26="","",'Statement of Marks'!B26)</f>
        <v/>
      </c>
      <c r="C25" s="283" t="str">
        <f>IF('Statement of Marks'!C26="","",'Statement of Marks'!C26)</f>
        <v/>
      </c>
      <c r="D25" s="284" t="str">
        <f>IF('Statement of Marks'!D26="","",'Statement of Marks'!D26)</f>
        <v/>
      </c>
      <c r="E25" s="285" t="str">
        <f>IF('Statement of Marks'!E26="","",'Statement of Marks'!E26)</f>
        <v/>
      </c>
      <c r="F25" s="285" t="str">
        <f>IF('Statement of Marks'!F26="","",'Statement of Marks'!F26)</f>
        <v/>
      </c>
      <c r="G25" s="285" t="str">
        <f>IF('Statement of Marks'!G26="","",'Statement of Marks'!G26)</f>
        <v/>
      </c>
      <c r="H25" s="286" t="str">
        <f>IF('Statement of Marks'!GY26="","",'Statement of Marks'!GY26)</f>
        <v/>
      </c>
      <c r="I25" s="286" t="str">
        <f>IF('Statement of Marks'!HB26="","",'Statement of Marks'!HB26)</f>
        <v/>
      </c>
      <c r="J25" s="287" t="str">
        <f>IF('Statement of Marks'!HC26="","",'Statement of Marks'!HC26)</f>
        <v/>
      </c>
      <c r="K25" s="295" t="str">
        <f>IF(B25="","",'Statement of Marks'!FJ26)</f>
        <v/>
      </c>
      <c r="L25" s="295" t="str">
        <f>IF(B25="","",'Statement of Marks'!FM26)</f>
        <v/>
      </c>
      <c r="M25" s="295" t="str">
        <f>IF(B25="","",'Statement of Marks'!FP26)</f>
        <v/>
      </c>
      <c r="N25" s="295" t="str">
        <f>IF(B25="","",'Statement of Marks'!FW26)</f>
        <v/>
      </c>
      <c r="O25" s="295" t="str">
        <f>IF(B25="","",'Statement of Marks'!GD26)</f>
        <v/>
      </c>
      <c r="P25" s="295" t="str">
        <f>IF(B25="","",'Statement of Marks'!GK26)</f>
        <v/>
      </c>
      <c r="Q25" s="295" t="str">
        <f>IF(B25="","",'Statement of Marks'!GR26)</f>
        <v/>
      </c>
      <c r="R25" s="295" t="str">
        <f>IF(B25="","",'Statement of Marks'!GS26)</f>
        <v/>
      </c>
      <c r="S25" s="287" t="str">
        <f>IF(COUNTIF(K25:R25,"F")&gt;0,"",CONCATENATE('Statement of Marks'!GU26,'Statement of Marks'!GW26))</f>
        <v xml:space="preserve">           </v>
      </c>
      <c r="T25" s="288">
        <f t="shared" si="0"/>
        <v>0</v>
      </c>
      <c r="U25" s="16"/>
      <c r="V25" s="296" t="str">
        <f t="shared" si="1"/>
        <v/>
      </c>
      <c r="W25" s="296" t="str">
        <f t="shared" si="2"/>
        <v/>
      </c>
      <c r="X25" s="16"/>
      <c r="Y25" s="296" t="str">
        <f t="shared" si="3"/>
        <v/>
      </c>
      <c r="Z25" s="296" t="str">
        <f t="shared" si="4"/>
        <v/>
      </c>
      <c r="AA25" s="16"/>
      <c r="AB25" s="296" t="str">
        <f t="shared" si="5"/>
        <v/>
      </c>
      <c r="AC25" s="297" t="str">
        <f t="shared" si="6"/>
        <v/>
      </c>
      <c r="AD25" s="16"/>
      <c r="AE25" s="296" t="str">
        <f t="shared" si="7"/>
        <v/>
      </c>
      <c r="AF25" s="297" t="str">
        <f t="shared" si="8"/>
        <v/>
      </c>
      <c r="AG25" s="16"/>
      <c r="AH25" s="296" t="str">
        <f t="shared" si="9"/>
        <v/>
      </c>
      <c r="AI25" s="297" t="str">
        <f t="shared" si="10"/>
        <v/>
      </c>
      <c r="AJ25" s="16"/>
      <c r="AK25" s="297" t="str">
        <f t="shared" si="11"/>
        <v/>
      </c>
      <c r="AL25" s="297" t="str">
        <f t="shared" si="12"/>
        <v/>
      </c>
      <c r="AM25" s="16"/>
      <c r="AN25" s="296" t="str">
        <f t="shared" si="13"/>
        <v/>
      </c>
      <c r="AO25" s="16"/>
      <c r="AP25" s="296" t="str">
        <f t="shared" si="14"/>
        <v/>
      </c>
      <c r="AQ25" s="298">
        <f t="shared" si="15"/>
        <v>0</v>
      </c>
      <c r="AR25" s="298">
        <f t="shared" si="16"/>
        <v>0</v>
      </c>
      <c r="AS25" s="299" t="str">
        <f t="shared" si="17"/>
        <v/>
      </c>
      <c r="AT25" s="300" t="str">
        <f>IF(COUNTIF(K25:R25,"F")&gt;0,"",IF(AS25="PASS",'Statement of Marks'!HF26,""))</f>
        <v/>
      </c>
      <c r="AU25" s="300" t="str">
        <f>IF(AS25="PASS",'Statement of Marks'!HG26,"")</f>
        <v/>
      </c>
    </row>
    <row r="26" spans="1:47">
      <c r="A26" s="283">
        <f>IF('Statement of Marks'!A27="","",'Statement of Marks'!A27)</f>
        <v>20</v>
      </c>
      <c r="B26" s="283" t="str">
        <f>IF('Statement of Marks'!B27="","",'Statement of Marks'!B27)</f>
        <v/>
      </c>
      <c r="C26" s="283" t="str">
        <f>IF('Statement of Marks'!C27="","",'Statement of Marks'!C27)</f>
        <v/>
      </c>
      <c r="D26" s="284" t="str">
        <f>IF('Statement of Marks'!D27="","",'Statement of Marks'!D27)</f>
        <v/>
      </c>
      <c r="E26" s="285" t="str">
        <f>IF('Statement of Marks'!E27="","",'Statement of Marks'!E27)</f>
        <v/>
      </c>
      <c r="F26" s="285" t="str">
        <f>IF('Statement of Marks'!F27="","",'Statement of Marks'!F27)</f>
        <v/>
      </c>
      <c r="G26" s="285" t="str">
        <f>IF('Statement of Marks'!G27="","",'Statement of Marks'!G27)</f>
        <v/>
      </c>
      <c r="H26" s="286" t="str">
        <f>IF('Statement of Marks'!GY27="","",'Statement of Marks'!GY27)</f>
        <v/>
      </c>
      <c r="I26" s="286" t="str">
        <f>IF('Statement of Marks'!HB27="","",'Statement of Marks'!HB27)</f>
        <v/>
      </c>
      <c r="J26" s="287" t="str">
        <f>IF('Statement of Marks'!HC27="","",'Statement of Marks'!HC27)</f>
        <v/>
      </c>
      <c r="K26" s="295" t="str">
        <f>IF(B26="","",'Statement of Marks'!FJ27)</f>
        <v/>
      </c>
      <c r="L26" s="295" t="str">
        <f>IF(B26="","",'Statement of Marks'!FM27)</f>
        <v/>
      </c>
      <c r="M26" s="295" t="str">
        <f>IF(B26="","",'Statement of Marks'!FP27)</f>
        <v/>
      </c>
      <c r="N26" s="295" t="str">
        <f>IF(B26="","",'Statement of Marks'!FW27)</f>
        <v/>
      </c>
      <c r="O26" s="295" t="str">
        <f>IF(B26="","",'Statement of Marks'!GD27)</f>
        <v/>
      </c>
      <c r="P26" s="295" t="str">
        <f>IF(B26="","",'Statement of Marks'!GK27)</f>
        <v/>
      </c>
      <c r="Q26" s="295" t="str">
        <f>IF(B26="","",'Statement of Marks'!GR27)</f>
        <v/>
      </c>
      <c r="R26" s="295" t="str">
        <f>IF(B26="","",'Statement of Marks'!GS27)</f>
        <v/>
      </c>
      <c r="S26" s="287" t="str">
        <f>IF(COUNTIF(K26:R26,"F")&gt;0,"",CONCATENATE('Statement of Marks'!GU27,'Statement of Marks'!GW27))</f>
        <v xml:space="preserve">           </v>
      </c>
      <c r="T26" s="288">
        <f t="shared" si="0"/>
        <v>0</v>
      </c>
      <c r="U26" s="16"/>
      <c r="V26" s="296" t="str">
        <f t="shared" si="1"/>
        <v/>
      </c>
      <c r="W26" s="296" t="str">
        <f t="shared" si="2"/>
        <v/>
      </c>
      <c r="X26" s="16"/>
      <c r="Y26" s="296" t="str">
        <f t="shared" si="3"/>
        <v/>
      </c>
      <c r="Z26" s="296" t="str">
        <f t="shared" si="4"/>
        <v/>
      </c>
      <c r="AA26" s="16"/>
      <c r="AB26" s="296" t="str">
        <f t="shared" si="5"/>
        <v/>
      </c>
      <c r="AC26" s="297" t="str">
        <f t="shared" si="6"/>
        <v/>
      </c>
      <c r="AD26" s="16"/>
      <c r="AE26" s="296" t="str">
        <f t="shared" si="7"/>
        <v/>
      </c>
      <c r="AF26" s="297" t="str">
        <f t="shared" si="8"/>
        <v/>
      </c>
      <c r="AG26" s="16"/>
      <c r="AH26" s="296" t="str">
        <f t="shared" si="9"/>
        <v/>
      </c>
      <c r="AI26" s="297" t="str">
        <f t="shared" si="10"/>
        <v/>
      </c>
      <c r="AJ26" s="16"/>
      <c r="AK26" s="297" t="str">
        <f t="shared" si="11"/>
        <v/>
      </c>
      <c r="AL26" s="297" t="str">
        <f t="shared" si="12"/>
        <v/>
      </c>
      <c r="AM26" s="16"/>
      <c r="AN26" s="296" t="str">
        <f t="shared" si="13"/>
        <v/>
      </c>
      <c r="AO26" s="16"/>
      <c r="AP26" s="296" t="str">
        <f t="shared" si="14"/>
        <v/>
      </c>
      <c r="AQ26" s="298">
        <f t="shared" si="15"/>
        <v>0</v>
      </c>
      <c r="AR26" s="298">
        <f t="shared" si="16"/>
        <v>0</v>
      </c>
      <c r="AS26" s="299" t="str">
        <f t="shared" si="17"/>
        <v/>
      </c>
      <c r="AT26" s="300" t="str">
        <f>IF(COUNTIF(K26:R26,"F")&gt;0,"",IF(AS26="PASS",'Statement of Marks'!HF27,""))</f>
        <v/>
      </c>
      <c r="AU26" s="300" t="str">
        <f>IF(AS26="PASS",'Statement of Marks'!HG27,"")</f>
        <v/>
      </c>
    </row>
    <row r="27" spans="1:47">
      <c r="A27" s="283">
        <f>IF('Statement of Marks'!A28="","",'Statement of Marks'!A28)</f>
        <v>21</v>
      </c>
      <c r="B27" s="283" t="str">
        <f>IF('Statement of Marks'!B28="","",'Statement of Marks'!B28)</f>
        <v/>
      </c>
      <c r="C27" s="283" t="str">
        <f>IF('Statement of Marks'!C28="","",'Statement of Marks'!C28)</f>
        <v/>
      </c>
      <c r="D27" s="284" t="str">
        <f>IF('Statement of Marks'!D28="","",'Statement of Marks'!D28)</f>
        <v/>
      </c>
      <c r="E27" s="285" t="str">
        <f>IF('Statement of Marks'!E28="","",'Statement of Marks'!E28)</f>
        <v/>
      </c>
      <c r="F27" s="285" t="str">
        <f>IF('Statement of Marks'!F28="","",'Statement of Marks'!F28)</f>
        <v/>
      </c>
      <c r="G27" s="285" t="str">
        <f>IF('Statement of Marks'!G28="","",'Statement of Marks'!G28)</f>
        <v/>
      </c>
      <c r="H27" s="286" t="str">
        <f>IF('Statement of Marks'!GY28="","",'Statement of Marks'!GY28)</f>
        <v/>
      </c>
      <c r="I27" s="286" t="str">
        <f>IF('Statement of Marks'!HB28="","",'Statement of Marks'!HB28)</f>
        <v/>
      </c>
      <c r="J27" s="287" t="str">
        <f>IF('Statement of Marks'!HC28="","",'Statement of Marks'!HC28)</f>
        <v/>
      </c>
      <c r="K27" s="295" t="str">
        <f>IF(B27="","",'Statement of Marks'!FJ28)</f>
        <v/>
      </c>
      <c r="L27" s="295" t="str">
        <f>IF(B27="","",'Statement of Marks'!FM28)</f>
        <v/>
      </c>
      <c r="M27" s="295" t="str">
        <f>IF(B27="","",'Statement of Marks'!FP28)</f>
        <v/>
      </c>
      <c r="N27" s="295" t="str">
        <f>IF(B27="","",'Statement of Marks'!FW28)</f>
        <v/>
      </c>
      <c r="O27" s="295" t="str">
        <f>IF(B27="","",'Statement of Marks'!GD28)</f>
        <v/>
      </c>
      <c r="P27" s="295" t="str">
        <f>IF(B27="","",'Statement of Marks'!GK28)</f>
        <v/>
      </c>
      <c r="Q27" s="295" t="str">
        <f>IF(B27="","",'Statement of Marks'!GR28)</f>
        <v/>
      </c>
      <c r="R27" s="295" t="str">
        <f>IF(B27="","",'Statement of Marks'!GS28)</f>
        <v/>
      </c>
      <c r="S27" s="287" t="str">
        <f>IF(COUNTIF(K27:R27,"F")&gt;0,"",CONCATENATE('Statement of Marks'!GU28,'Statement of Marks'!GW28))</f>
        <v xml:space="preserve">           </v>
      </c>
      <c r="T27" s="288">
        <f t="shared" si="0"/>
        <v>0</v>
      </c>
      <c r="U27" s="16"/>
      <c r="V27" s="296" t="str">
        <f t="shared" si="1"/>
        <v/>
      </c>
      <c r="W27" s="296" t="str">
        <f t="shared" si="2"/>
        <v/>
      </c>
      <c r="X27" s="16"/>
      <c r="Y27" s="296" t="str">
        <f t="shared" si="3"/>
        <v/>
      </c>
      <c r="Z27" s="296" t="str">
        <f t="shared" si="4"/>
        <v/>
      </c>
      <c r="AA27" s="16"/>
      <c r="AB27" s="296" t="str">
        <f t="shared" si="5"/>
        <v/>
      </c>
      <c r="AC27" s="297" t="str">
        <f t="shared" si="6"/>
        <v/>
      </c>
      <c r="AD27" s="16"/>
      <c r="AE27" s="296" t="str">
        <f t="shared" si="7"/>
        <v/>
      </c>
      <c r="AF27" s="297" t="str">
        <f t="shared" si="8"/>
        <v/>
      </c>
      <c r="AG27" s="16"/>
      <c r="AH27" s="296" t="str">
        <f t="shared" si="9"/>
        <v/>
      </c>
      <c r="AI27" s="297" t="str">
        <f t="shared" si="10"/>
        <v/>
      </c>
      <c r="AJ27" s="16"/>
      <c r="AK27" s="297" t="str">
        <f t="shared" si="11"/>
        <v/>
      </c>
      <c r="AL27" s="297" t="str">
        <f t="shared" si="12"/>
        <v/>
      </c>
      <c r="AM27" s="16"/>
      <c r="AN27" s="296" t="str">
        <f t="shared" si="13"/>
        <v/>
      </c>
      <c r="AO27" s="16"/>
      <c r="AP27" s="296" t="str">
        <f t="shared" si="14"/>
        <v/>
      </c>
      <c r="AQ27" s="298">
        <f t="shared" si="15"/>
        <v>0</v>
      </c>
      <c r="AR27" s="298">
        <f t="shared" si="16"/>
        <v>0</v>
      </c>
      <c r="AS27" s="299" t="str">
        <f t="shared" si="17"/>
        <v/>
      </c>
      <c r="AT27" s="300" t="str">
        <f>IF(COUNTIF(K27:R27,"F")&gt;0,"",IF(AS27="PASS",'Statement of Marks'!HF28,""))</f>
        <v/>
      </c>
      <c r="AU27" s="300" t="str">
        <f>IF(AS27="PASS",'Statement of Marks'!HG28,"")</f>
        <v/>
      </c>
    </row>
    <row r="28" spans="1:47">
      <c r="A28" s="283">
        <f>IF('Statement of Marks'!A29="","",'Statement of Marks'!A29)</f>
        <v>22</v>
      </c>
      <c r="B28" s="283" t="str">
        <f>IF('Statement of Marks'!B29="","",'Statement of Marks'!B29)</f>
        <v/>
      </c>
      <c r="C28" s="283" t="str">
        <f>IF('Statement of Marks'!C29="","",'Statement of Marks'!C29)</f>
        <v/>
      </c>
      <c r="D28" s="284" t="str">
        <f>IF('Statement of Marks'!D29="","",'Statement of Marks'!D29)</f>
        <v/>
      </c>
      <c r="E28" s="285" t="str">
        <f>IF('Statement of Marks'!E29="","",'Statement of Marks'!E29)</f>
        <v/>
      </c>
      <c r="F28" s="285" t="str">
        <f>IF('Statement of Marks'!F29="","",'Statement of Marks'!F29)</f>
        <v/>
      </c>
      <c r="G28" s="285" t="str">
        <f>IF('Statement of Marks'!G29="","",'Statement of Marks'!G29)</f>
        <v/>
      </c>
      <c r="H28" s="286" t="str">
        <f>IF('Statement of Marks'!GY29="","",'Statement of Marks'!GY29)</f>
        <v/>
      </c>
      <c r="I28" s="286" t="str">
        <f>IF('Statement of Marks'!HB29="","",'Statement of Marks'!HB29)</f>
        <v/>
      </c>
      <c r="J28" s="287" t="str">
        <f>IF('Statement of Marks'!HC29="","",'Statement of Marks'!HC29)</f>
        <v/>
      </c>
      <c r="K28" s="295" t="str">
        <f>IF(B28="","",'Statement of Marks'!FJ29)</f>
        <v/>
      </c>
      <c r="L28" s="295" t="str">
        <f>IF(B28="","",'Statement of Marks'!FM29)</f>
        <v/>
      </c>
      <c r="M28" s="295" t="str">
        <f>IF(B28="","",'Statement of Marks'!FP29)</f>
        <v/>
      </c>
      <c r="N28" s="295" t="str">
        <f>IF(B28="","",'Statement of Marks'!FW29)</f>
        <v/>
      </c>
      <c r="O28" s="295" t="str">
        <f>IF(B28="","",'Statement of Marks'!GD29)</f>
        <v/>
      </c>
      <c r="P28" s="295" t="str">
        <f>IF(B28="","",'Statement of Marks'!GK29)</f>
        <v/>
      </c>
      <c r="Q28" s="295" t="str">
        <f>IF(B28="","",'Statement of Marks'!GR29)</f>
        <v/>
      </c>
      <c r="R28" s="295" t="str">
        <f>IF(B28="","",'Statement of Marks'!GS29)</f>
        <v/>
      </c>
      <c r="S28" s="287" t="str">
        <f>IF(COUNTIF(K28:R28,"F")&gt;0,"",CONCATENATE('Statement of Marks'!GU29,'Statement of Marks'!GW29))</f>
        <v xml:space="preserve">           </v>
      </c>
      <c r="T28" s="288">
        <f t="shared" si="0"/>
        <v>0</v>
      </c>
      <c r="U28" s="16"/>
      <c r="V28" s="296" t="str">
        <f t="shared" si="1"/>
        <v/>
      </c>
      <c r="W28" s="296" t="str">
        <f t="shared" si="2"/>
        <v/>
      </c>
      <c r="X28" s="16"/>
      <c r="Y28" s="296" t="str">
        <f t="shared" si="3"/>
        <v/>
      </c>
      <c r="Z28" s="296" t="str">
        <f t="shared" si="4"/>
        <v/>
      </c>
      <c r="AA28" s="16"/>
      <c r="AB28" s="296" t="str">
        <f t="shared" si="5"/>
        <v/>
      </c>
      <c r="AC28" s="297" t="str">
        <f t="shared" si="6"/>
        <v/>
      </c>
      <c r="AD28" s="16"/>
      <c r="AE28" s="296" t="str">
        <f t="shared" si="7"/>
        <v/>
      </c>
      <c r="AF28" s="297" t="str">
        <f t="shared" si="8"/>
        <v/>
      </c>
      <c r="AG28" s="16"/>
      <c r="AH28" s="296" t="str">
        <f t="shared" si="9"/>
        <v/>
      </c>
      <c r="AI28" s="297" t="str">
        <f t="shared" si="10"/>
        <v/>
      </c>
      <c r="AJ28" s="16"/>
      <c r="AK28" s="297" t="str">
        <f t="shared" si="11"/>
        <v/>
      </c>
      <c r="AL28" s="297" t="str">
        <f t="shared" si="12"/>
        <v/>
      </c>
      <c r="AM28" s="16"/>
      <c r="AN28" s="296" t="str">
        <f t="shared" si="13"/>
        <v/>
      </c>
      <c r="AO28" s="16"/>
      <c r="AP28" s="296" t="str">
        <f t="shared" si="14"/>
        <v/>
      </c>
      <c r="AQ28" s="298">
        <f t="shared" si="15"/>
        <v>0</v>
      </c>
      <c r="AR28" s="298">
        <f t="shared" si="16"/>
        <v>0</v>
      </c>
      <c r="AS28" s="299" t="str">
        <f t="shared" si="17"/>
        <v/>
      </c>
      <c r="AT28" s="300" t="str">
        <f>IF(COUNTIF(K28:R28,"F")&gt;0,"",IF(AS28="PASS",'Statement of Marks'!HF29,""))</f>
        <v/>
      </c>
      <c r="AU28" s="300" t="str">
        <f>IF(AS28="PASS",'Statement of Marks'!HG29,"")</f>
        <v/>
      </c>
    </row>
    <row r="29" spans="1:47">
      <c r="A29" s="283">
        <f>IF('Statement of Marks'!A30="","",'Statement of Marks'!A30)</f>
        <v>23</v>
      </c>
      <c r="B29" s="283" t="str">
        <f>IF('Statement of Marks'!B30="","",'Statement of Marks'!B30)</f>
        <v/>
      </c>
      <c r="C29" s="283" t="str">
        <f>IF('Statement of Marks'!C30="","",'Statement of Marks'!C30)</f>
        <v/>
      </c>
      <c r="D29" s="284" t="str">
        <f>IF('Statement of Marks'!D30="","",'Statement of Marks'!D30)</f>
        <v/>
      </c>
      <c r="E29" s="285" t="str">
        <f>IF('Statement of Marks'!E30="","",'Statement of Marks'!E30)</f>
        <v/>
      </c>
      <c r="F29" s="285" t="str">
        <f>IF('Statement of Marks'!F30="","",'Statement of Marks'!F30)</f>
        <v/>
      </c>
      <c r="G29" s="285" t="str">
        <f>IF('Statement of Marks'!G30="","",'Statement of Marks'!G30)</f>
        <v/>
      </c>
      <c r="H29" s="286" t="str">
        <f>IF('Statement of Marks'!GY30="","",'Statement of Marks'!GY30)</f>
        <v/>
      </c>
      <c r="I29" s="286" t="str">
        <f>IF('Statement of Marks'!HB30="","",'Statement of Marks'!HB30)</f>
        <v/>
      </c>
      <c r="J29" s="287" t="str">
        <f>IF('Statement of Marks'!HC30="","",'Statement of Marks'!HC30)</f>
        <v/>
      </c>
      <c r="K29" s="295" t="str">
        <f>IF(B29="","",'Statement of Marks'!FJ30)</f>
        <v/>
      </c>
      <c r="L29" s="295" t="str">
        <f>IF(B29="","",'Statement of Marks'!FM30)</f>
        <v/>
      </c>
      <c r="M29" s="295" t="str">
        <f>IF(B29="","",'Statement of Marks'!FP30)</f>
        <v/>
      </c>
      <c r="N29" s="295" t="str">
        <f>IF(B29="","",'Statement of Marks'!FW30)</f>
        <v/>
      </c>
      <c r="O29" s="295" t="str">
        <f>IF(B29="","",'Statement of Marks'!GD30)</f>
        <v/>
      </c>
      <c r="P29" s="295" t="str">
        <f>IF(B29="","",'Statement of Marks'!GK30)</f>
        <v/>
      </c>
      <c r="Q29" s="295" t="str">
        <f>IF(B29="","",'Statement of Marks'!GR30)</f>
        <v/>
      </c>
      <c r="R29" s="295" t="str">
        <f>IF(B29="","",'Statement of Marks'!GS30)</f>
        <v/>
      </c>
      <c r="S29" s="287" t="str">
        <f>IF(COUNTIF(K29:R29,"F")&gt;0,"",CONCATENATE('Statement of Marks'!GU30,'Statement of Marks'!GW30))</f>
        <v xml:space="preserve">           </v>
      </c>
      <c r="T29" s="288">
        <f t="shared" si="0"/>
        <v>0</v>
      </c>
      <c r="U29" s="16"/>
      <c r="V29" s="296" t="str">
        <f t="shared" si="1"/>
        <v/>
      </c>
      <c r="W29" s="296" t="str">
        <f t="shared" si="2"/>
        <v/>
      </c>
      <c r="X29" s="16"/>
      <c r="Y29" s="296" t="str">
        <f t="shared" si="3"/>
        <v/>
      </c>
      <c r="Z29" s="296" t="str">
        <f t="shared" si="4"/>
        <v/>
      </c>
      <c r="AA29" s="16"/>
      <c r="AB29" s="296" t="str">
        <f t="shared" si="5"/>
        <v/>
      </c>
      <c r="AC29" s="297" t="str">
        <f t="shared" si="6"/>
        <v/>
      </c>
      <c r="AD29" s="16"/>
      <c r="AE29" s="296" t="str">
        <f t="shared" si="7"/>
        <v/>
      </c>
      <c r="AF29" s="297" t="str">
        <f t="shared" si="8"/>
        <v/>
      </c>
      <c r="AG29" s="16"/>
      <c r="AH29" s="296" t="str">
        <f t="shared" si="9"/>
        <v/>
      </c>
      <c r="AI29" s="297" t="str">
        <f t="shared" si="10"/>
        <v/>
      </c>
      <c r="AJ29" s="16"/>
      <c r="AK29" s="297" t="str">
        <f t="shared" si="11"/>
        <v/>
      </c>
      <c r="AL29" s="297" t="str">
        <f t="shared" si="12"/>
        <v/>
      </c>
      <c r="AM29" s="16"/>
      <c r="AN29" s="296" t="str">
        <f t="shared" si="13"/>
        <v/>
      </c>
      <c r="AO29" s="16"/>
      <c r="AP29" s="296" t="str">
        <f t="shared" si="14"/>
        <v/>
      </c>
      <c r="AQ29" s="298">
        <f t="shared" si="15"/>
        <v>0</v>
      </c>
      <c r="AR29" s="298">
        <f t="shared" si="16"/>
        <v>0</v>
      </c>
      <c r="AS29" s="299" t="str">
        <f t="shared" si="17"/>
        <v/>
      </c>
      <c r="AT29" s="300" t="str">
        <f>IF(COUNTIF(K29:R29,"F")&gt;0,"",IF(AS29="PASS",'Statement of Marks'!HF30,""))</f>
        <v/>
      </c>
      <c r="AU29" s="300" t="str">
        <f>IF(AS29="PASS",'Statement of Marks'!HG30,"")</f>
        <v/>
      </c>
    </row>
    <row r="30" spans="1:47">
      <c r="A30" s="283">
        <f>IF('Statement of Marks'!A31="","",'Statement of Marks'!A31)</f>
        <v>24</v>
      </c>
      <c r="B30" s="283" t="str">
        <f>IF('Statement of Marks'!B31="","",'Statement of Marks'!B31)</f>
        <v/>
      </c>
      <c r="C30" s="283" t="str">
        <f>IF('Statement of Marks'!C31="","",'Statement of Marks'!C31)</f>
        <v/>
      </c>
      <c r="D30" s="284" t="str">
        <f>IF('Statement of Marks'!D31="","",'Statement of Marks'!D31)</f>
        <v/>
      </c>
      <c r="E30" s="285" t="str">
        <f>IF('Statement of Marks'!E31="","",'Statement of Marks'!E31)</f>
        <v/>
      </c>
      <c r="F30" s="285" t="str">
        <f>IF('Statement of Marks'!F31="","",'Statement of Marks'!F31)</f>
        <v/>
      </c>
      <c r="G30" s="285" t="str">
        <f>IF('Statement of Marks'!G31="","",'Statement of Marks'!G31)</f>
        <v/>
      </c>
      <c r="H30" s="286" t="str">
        <f>IF('Statement of Marks'!GY31="","",'Statement of Marks'!GY31)</f>
        <v/>
      </c>
      <c r="I30" s="286" t="str">
        <f>IF('Statement of Marks'!HB31="","",'Statement of Marks'!HB31)</f>
        <v/>
      </c>
      <c r="J30" s="287" t="str">
        <f>IF('Statement of Marks'!HC31="","",'Statement of Marks'!HC31)</f>
        <v/>
      </c>
      <c r="K30" s="295" t="str">
        <f>IF(B30="","",'Statement of Marks'!FJ31)</f>
        <v/>
      </c>
      <c r="L30" s="295" t="str">
        <f>IF(B30="","",'Statement of Marks'!FM31)</f>
        <v/>
      </c>
      <c r="M30" s="295" t="str">
        <f>IF(B30="","",'Statement of Marks'!FP31)</f>
        <v/>
      </c>
      <c r="N30" s="295" t="str">
        <f>IF(B30="","",'Statement of Marks'!FW31)</f>
        <v/>
      </c>
      <c r="O30" s="295" t="str">
        <f>IF(B30="","",'Statement of Marks'!GD31)</f>
        <v/>
      </c>
      <c r="P30" s="295" t="str">
        <f>IF(B30="","",'Statement of Marks'!GK31)</f>
        <v/>
      </c>
      <c r="Q30" s="295" t="str">
        <f>IF(B30="","",'Statement of Marks'!GR31)</f>
        <v/>
      </c>
      <c r="R30" s="295" t="str">
        <f>IF(B30="","",'Statement of Marks'!GS31)</f>
        <v/>
      </c>
      <c r="S30" s="287" t="str">
        <f>IF(COUNTIF(K30:R30,"F")&gt;0,"",CONCATENATE('Statement of Marks'!GU31,'Statement of Marks'!GW31))</f>
        <v xml:space="preserve">           </v>
      </c>
      <c r="T30" s="288">
        <f t="shared" si="0"/>
        <v>0</v>
      </c>
      <c r="U30" s="16"/>
      <c r="V30" s="296" t="str">
        <f t="shared" si="1"/>
        <v/>
      </c>
      <c r="W30" s="296" t="str">
        <f t="shared" si="2"/>
        <v/>
      </c>
      <c r="X30" s="16"/>
      <c r="Y30" s="296" t="str">
        <f t="shared" si="3"/>
        <v/>
      </c>
      <c r="Z30" s="296" t="str">
        <f t="shared" si="4"/>
        <v/>
      </c>
      <c r="AA30" s="16"/>
      <c r="AB30" s="296" t="str">
        <f t="shared" si="5"/>
        <v/>
      </c>
      <c r="AC30" s="297" t="str">
        <f t="shared" si="6"/>
        <v/>
      </c>
      <c r="AD30" s="16"/>
      <c r="AE30" s="296" t="str">
        <f t="shared" si="7"/>
        <v/>
      </c>
      <c r="AF30" s="297" t="str">
        <f t="shared" si="8"/>
        <v/>
      </c>
      <c r="AG30" s="16"/>
      <c r="AH30" s="296" t="str">
        <f t="shared" si="9"/>
        <v/>
      </c>
      <c r="AI30" s="297" t="str">
        <f t="shared" si="10"/>
        <v/>
      </c>
      <c r="AJ30" s="16"/>
      <c r="AK30" s="297" t="str">
        <f t="shared" si="11"/>
        <v/>
      </c>
      <c r="AL30" s="297" t="str">
        <f t="shared" si="12"/>
        <v/>
      </c>
      <c r="AM30" s="16"/>
      <c r="AN30" s="296" t="str">
        <f t="shared" si="13"/>
        <v/>
      </c>
      <c r="AO30" s="16"/>
      <c r="AP30" s="296" t="str">
        <f t="shared" si="14"/>
        <v/>
      </c>
      <c r="AQ30" s="298">
        <f t="shared" si="15"/>
        <v>0</v>
      </c>
      <c r="AR30" s="298">
        <f t="shared" si="16"/>
        <v>0</v>
      </c>
      <c r="AS30" s="299" t="str">
        <f t="shared" si="17"/>
        <v/>
      </c>
      <c r="AT30" s="300" t="str">
        <f>IF(COUNTIF(K30:R30,"F")&gt;0,"",IF(AS30="PASS",'Statement of Marks'!HF31,""))</f>
        <v/>
      </c>
      <c r="AU30" s="300" t="str">
        <f>IF(AS30="PASS",'Statement of Marks'!HG31,"")</f>
        <v/>
      </c>
    </row>
    <row r="31" spans="1:47">
      <c r="A31" s="283">
        <f>IF('Statement of Marks'!A32="","",'Statement of Marks'!A32)</f>
        <v>25</v>
      </c>
      <c r="B31" s="283" t="str">
        <f>IF('Statement of Marks'!B32="","",'Statement of Marks'!B32)</f>
        <v/>
      </c>
      <c r="C31" s="283" t="str">
        <f>IF('Statement of Marks'!C32="","",'Statement of Marks'!C32)</f>
        <v/>
      </c>
      <c r="D31" s="284" t="str">
        <f>IF('Statement of Marks'!D32="","",'Statement of Marks'!D32)</f>
        <v/>
      </c>
      <c r="E31" s="285" t="str">
        <f>IF('Statement of Marks'!E32="","",'Statement of Marks'!E32)</f>
        <v/>
      </c>
      <c r="F31" s="285" t="str">
        <f>IF('Statement of Marks'!F32="","",'Statement of Marks'!F32)</f>
        <v/>
      </c>
      <c r="G31" s="285" t="str">
        <f>IF('Statement of Marks'!G32="","",'Statement of Marks'!G32)</f>
        <v/>
      </c>
      <c r="H31" s="286" t="str">
        <f>IF('Statement of Marks'!GY32="","",'Statement of Marks'!GY32)</f>
        <v/>
      </c>
      <c r="I31" s="286" t="str">
        <f>IF('Statement of Marks'!HB32="","",'Statement of Marks'!HB32)</f>
        <v/>
      </c>
      <c r="J31" s="287" t="str">
        <f>IF('Statement of Marks'!HC32="","",'Statement of Marks'!HC32)</f>
        <v/>
      </c>
      <c r="K31" s="295" t="str">
        <f>IF(B31="","",'Statement of Marks'!FJ32)</f>
        <v/>
      </c>
      <c r="L31" s="295" t="str">
        <f>IF(B31="","",'Statement of Marks'!FM32)</f>
        <v/>
      </c>
      <c r="M31" s="295" t="str">
        <f>IF(B31="","",'Statement of Marks'!FP32)</f>
        <v/>
      </c>
      <c r="N31" s="295" t="str">
        <f>IF(B31="","",'Statement of Marks'!FW32)</f>
        <v/>
      </c>
      <c r="O31" s="295" t="str">
        <f>IF(B31="","",'Statement of Marks'!GD32)</f>
        <v/>
      </c>
      <c r="P31" s="295" t="str">
        <f>IF(B31="","",'Statement of Marks'!GK32)</f>
        <v/>
      </c>
      <c r="Q31" s="295" t="str">
        <f>IF(B31="","",'Statement of Marks'!GR32)</f>
        <v/>
      </c>
      <c r="R31" s="295" t="str">
        <f>IF(B31="","",'Statement of Marks'!GS32)</f>
        <v/>
      </c>
      <c r="S31" s="287" t="str">
        <f>IF(COUNTIF(K31:R31,"F")&gt;0,"",CONCATENATE('Statement of Marks'!GU32,'Statement of Marks'!GW32))</f>
        <v xml:space="preserve">           </v>
      </c>
      <c r="T31" s="288">
        <f t="shared" si="0"/>
        <v>0</v>
      </c>
      <c r="U31" s="16"/>
      <c r="V31" s="296" t="str">
        <f t="shared" si="1"/>
        <v/>
      </c>
      <c r="W31" s="296" t="str">
        <f t="shared" si="2"/>
        <v/>
      </c>
      <c r="X31" s="16"/>
      <c r="Y31" s="296" t="str">
        <f t="shared" si="3"/>
        <v/>
      </c>
      <c r="Z31" s="296" t="str">
        <f t="shared" si="4"/>
        <v/>
      </c>
      <c r="AA31" s="16"/>
      <c r="AB31" s="296" t="str">
        <f t="shared" si="5"/>
        <v/>
      </c>
      <c r="AC31" s="297" t="str">
        <f t="shared" si="6"/>
        <v/>
      </c>
      <c r="AD31" s="16"/>
      <c r="AE31" s="296" t="str">
        <f t="shared" si="7"/>
        <v/>
      </c>
      <c r="AF31" s="297" t="str">
        <f t="shared" si="8"/>
        <v/>
      </c>
      <c r="AG31" s="16"/>
      <c r="AH31" s="296" t="str">
        <f t="shared" si="9"/>
        <v/>
      </c>
      <c r="AI31" s="297" t="str">
        <f t="shared" si="10"/>
        <v/>
      </c>
      <c r="AJ31" s="16"/>
      <c r="AK31" s="297" t="str">
        <f t="shared" si="11"/>
        <v/>
      </c>
      <c r="AL31" s="297" t="str">
        <f t="shared" si="12"/>
        <v/>
      </c>
      <c r="AM31" s="16"/>
      <c r="AN31" s="296" t="str">
        <f t="shared" si="13"/>
        <v/>
      </c>
      <c r="AO31" s="16"/>
      <c r="AP31" s="296" t="str">
        <f t="shared" si="14"/>
        <v/>
      </c>
      <c r="AQ31" s="298">
        <f t="shared" si="15"/>
        <v>0</v>
      </c>
      <c r="AR31" s="298">
        <f t="shared" si="16"/>
        <v>0</v>
      </c>
      <c r="AS31" s="299" t="str">
        <f t="shared" si="17"/>
        <v/>
      </c>
      <c r="AT31" s="300" t="str">
        <f>IF(COUNTIF(K31:R31,"F")&gt;0,"",IF(AS31="PASS",'Statement of Marks'!HF32,""))</f>
        <v/>
      </c>
      <c r="AU31" s="300" t="str">
        <f>IF(AS31="PASS",'Statement of Marks'!HG32,"")</f>
        <v/>
      </c>
    </row>
    <row r="32" spans="1:47">
      <c r="A32" s="283">
        <f>IF('Statement of Marks'!A33="","",'Statement of Marks'!A33)</f>
        <v>26</v>
      </c>
      <c r="B32" s="283" t="str">
        <f>IF('Statement of Marks'!B33="","",'Statement of Marks'!B33)</f>
        <v/>
      </c>
      <c r="C32" s="283" t="str">
        <f>IF('Statement of Marks'!C33="","",'Statement of Marks'!C33)</f>
        <v/>
      </c>
      <c r="D32" s="284" t="str">
        <f>IF('Statement of Marks'!D33="","",'Statement of Marks'!D33)</f>
        <v/>
      </c>
      <c r="E32" s="285" t="str">
        <f>IF('Statement of Marks'!E33="","",'Statement of Marks'!E33)</f>
        <v/>
      </c>
      <c r="F32" s="285" t="str">
        <f>IF('Statement of Marks'!F33="","",'Statement of Marks'!F33)</f>
        <v/>
      </c>
      <c r="G32" s="285" t="str">
        <f>IF('Statement of Marks'!G33="","",'Statement of Marks'!G33)</f>
        <v/>
      </c>
      <c r="H32" s="286" t="str">
        <f>IF('Statement of Marks'!GY33="","",'Statement of Marks'!GY33)</f>
        <v/>
      </c>
      <c r="I32" s="286" t="str">
        <f>IF('Statement of Marks'!HB33="","",'Statement of Marks'!HB33)</f>
        <v/>
      </c>
      <c r="J32" s="287" t="str">
        <f>IF('Statement of Marks'!HC33="","",'Statement of Marks'!HC33)</f>
        <v/>
      </c>
      <c r="K32" s="295" t="str">
        <f>IF(B32="","",'Statement of Marks'!FJ33)</f>
        <v/>
      </c>
      <c r="L32" s="295" t="str">
        <f>IF(B32="","",'Statement of Marks'!FM33)</f>
        <v/>
      </c>
      <c r="M32" s="295" t="str">
        <f>IF(B32="","",'Statement of Marks'!FP33)</f>
        <v/>
      </c>
      <c r="N32" s="295" t="str">
        <f>IF(B32="","",'Statement of Marks'!FW33)</f>
        <v/>
      </c>
      <c r="O32" s="295" t="str">
        <f>IF(B32="","",'Statement of Marks'!GD33)</f>
        <v/>
      </c>
      <c r="P32" s="295" t="str">
        <f>IF(B32="","",'Statement of Marks'!GK33)</f>
        <v/>
      </c>
      <c r="Q32" s="295" t="str">
        <f>IF(B32="","",'Statement of Marks'!GR33)</f>
        <v/>
      </c>
      <c r="R32" s="295" t="str">
        <f>IF(B32="","",'Statement of Marks'!GS33)</f>
        <v/>
      </c>
      <c r="S32" s="287" t="str">
        <f>IF(COUNTIF(K32:R32,"F")&gt;0,"",CONCATENATE('Statement of Marks'!GU33,'Statement of Marks'!GW33))</f>
        <v xml:space="preserve">           </v>
      </c>
      <c r="T32" s="288">
        <f t="shared" si="0"/>
        <v>0</v>
      </c>
      <c r="U32" s="16"/>
      <c r="V32" s="296" t="str">
        <f t="shared" si="1"/>
        <v/>
      </c>
      <c r="W32" s="296" t="str">
        <f t="shared" si="2"/>
        <v/>
      </c>
      <c r="X32" s="16"/>
      <c r="Y32" s="296" t="str">
        <f t="shared" si="3"/>
        <v/>
      </c>
      <c r="Z32" s="296" t="str">
        <f t="shared" si="4"/>
        <v/>
      </c>
      <c r="AA32" s="16"/>
      <c r="AB32" s="296" t="str">
        <f t="shared" si="5"/>
        <v/>
      </c>
      <c r="AC32" s="297" t="str">
        <f t="shared" si="6"/>
        <v/>
      </c>
      <c r="AD32" s="16"/>
      <c r="AE32" s="296" t="str">
        <f t="shared" si="7"/>
        <v/>
      </c>
      <c r="AF32" s="297" t="str">
        <f t="shared" si="8"/>
        <v/>
      </c>
      <c r="AG32" s="16"/>
      <c r="AH32" s="296" t="str">
        <f t="shared" si="9"/>
        <v/>
      </c>
      <c r="AI32" s="297" t="str">
        <f t="shared" si="10"/>
        <v/>
      </c>
      <c r="AJ32" s="16"/>
      <c r="AK32" s="297" t="str">
        <f t="shared" si="11"/>
        <v/>
      </c>
      <c r="AL32" s="297" t="str">
        <f t="shared" si="12"/>
        <v/>
      </c>
      <c r="AM32" s="16"/>
      <c r="AN32" s="296" t="str">
        <f t="shared" si="13"/>
        <v/>
      </c>
      <c r="AO32" s="16"/>
      <c r="AP32" s="296" t="str">
        <f t="shared" si="14"/>
        <v/>
      </c>
      <c r="AQ32" s="298">
        <f t="shared" si="15"/>
        <v>0</v>
      </c>
      <c r="AR32" s="298">
        <f t="shared" si="16"/>
        <v>0</v>
      </c>
      <c r="AS32" s="299" t="str">
        <f t="shared" si="17"/>
        <v/>
      </c>
      <c r="AT32" s="300" t="str">
        <f>IF(COUNTIF(K32:R32,"F")&gt;0,"",IF(AS32="PASS",'Statement of Marks'!HF33,""))</f>
        <v/>
      </c>
      <c r="AU32" s="300" t="str">
        <f>IF(AS32="PASS",'Statement of Marks'!HG33,"")</f>
        <v/>
      </c>
    </row>
    <row r="33" spans="1:47">
      <c r="A33" s="283">
        <f>IF('Statement of Marks'!A34="","",'Statement of Marks'!A34)</f>
        <v>27</v>
      </c>
      <c r="B33" s="283" t="str">
        <f>IF('Statement of Marks'!B34="","",'Statement of Marks'!B34)</f>
        <v/>
      </c>
      <c r="C33" s="283" t="str">
        <f>IF('Statement of Marks'!C34="","",'Statement of Marks'!C34)</f>
        <v/>
      </c>
      <c r="D33" s="284" t="str">
        <f>IF('Statement of Marks'!D34="","",'Statement of Marks'!D34)</f>
        <v/>
      </c>
      <c r="E33" s="285" t="str">
        <f>IF('Statement of Marks'!E34="","",'Statement of Marks'!E34)</f>
        <v/>
      </c>
      <c r="F33" s="285" t="str">
        <f>IF('Statement of Marks'!F34="","",'Statement of Marks'!F34)</f>
        <v/>
      </c>
      <c r="G33" s="285" t="str">
        <f>IF('Statement of Marks'!G34="","",'Statement of Marks'!G34)</f>
        <v/>
      </c>
      <c r="H33" s="286" t="str">
        <f>IF('Statement of Marks'!GY34="","",'Statement of Marks'!GY34)</f>
        <v/>
      </c>
      <c r="I33" s="286" t="str">
        <f>IF('Statement of Marks'!HB34="","",'Statement of Marks'!HB34)</f>
        <v/>
      </c>
      <c r="J33" s="287" t="str">
        <f>IF('Statement of Marks'!HC34="","",'Statement of Marks'!HC34)</f>
        <v/>
      </c>
      <c r="K33" s="295" t="str">
        <f>IF(B33="","",'Statement of Marks'!FJ34)</f>
        <v/>
      </c>
      <c r="L33" s="295" t="str">
        <f>IF(B33="","",'Statement of Marks'!FM34)</f>
        <v/>
      </c>
      <c r="M33" s="295" t="str">
        <f>IF(B33="","",'Statement of Marks'!FP34)</f>
        <v/>
      </c>
      <c r="N33" s="295" t="str">
        <f>IF(B33="","",'Statement of Marks'!FW34)</f>
        <v/>
      </c>
      <c r="O33" s="295" t="str">
        <f>IF(B33="","",'Statement of Marks'!GD34)</f>
        <v/>
      </c>
      <c r="P33" s="295" t="str">
        <f>IF(B33="","",'Statement of Marks'!GK34)</f>
        <v/>
      </c>
      <c r="Q33" s="295" t="str">
        <f>IF(B33="","",'Statement of Marks'!GR34)</f>
        <v/>
      </c>
      <c r="R33" s="295" t="str">
        <f>IF(B33="","",'Statement of Marks'!GS34)</f>
        <v/>
      </c>
      <c r="S33" s="287" t="str">
        <f>IF(COUNTIF(K33:R33,"F")&gt;0,"",CONCATENATE('Statement of Marks'!GU34,'Statement of Marks'!GW34))</f>
        <v xml:space="preserve">           </v>
      </c>
      <c r="T33" s="288">
        <f t="shared" si="0"/>
        <v>0</v>
      </c>
      <c r="U33" s="16"/>
      <c r="V33" s="296" t="str">
        <f t="shared" si="1"/>
        <v/>
      </c>
      <c r="W33" s="296" t="str">
        <f t="shared" si="2"/>
        <v/>
      </c>
      <c r="X33" s="16"/>
      <c r="Y33" s="296" t="str">
        <f t="shared" si="3"/>
        <v/>
      </c>
      <c r="Z33" s="296" t="str">
        <f t="shared" si="4"/>
        <v/>
      </c>
      <c r="AA33" s="16"/>
      <c r="AB33" s="296" t="str">
        <f t="shared" si="5"/>
        <v/>
      </c>
      <c r="AC33" s="297" t="str">
        <f t="shared" si="6"/>
        <v/>
      </c>
      <c r="AD33" s="16"/>
      <c r="AE33" s="296" t="str">
        <f t="shared" si="7"/>
        <v/>
      </c>
      <c r="AF33" s="297" t="str">
        <f t="shared" si="8"/>
        <v/>
      </c>
      <c r="AG33" s="16"/>
      <c r="AH33" s="296" t="str">
        <f t="shared" si="9"/>
        <v/>
      </c>
      <c r="AI33" s="297" t="str">
        <f t="shared" si="10"/>
        <v/>
      </c>
      <c r="AJ33" s="16"/>
      <c r="AK33" s="297" t="str">
        <f t="shared" si="11"/>
        <v/>
      </c>
      <c r="AL33" s="297" t="str">
        <f t="shared" si="12"/>
        <v/>
      </c>
      <c r="AM33" s="16"/>
      <c r="AN33" s="296" t="str">
        <f t="shared" si="13"/>
        <v/>
      </c>
      <c r="AO33" s="16"/>
      <c r="AP33" s="296" t="str">
        <f t="shared" si="14"/>
        <v/>
      </c>
      <c r="AQ33" s="298">
        <f t="shared" si="15"/>
        <v>0</v>
      </c>
      <c r="AR33" s="298">
        <f t="shared" si="16"/>
        <v>0</v>
      </c>
      <c r="AS33" s="299" t="str">
        <f t="shared" si="17"/>
        <v/>
      </c>
      <c r="AT33" s="300" t="str">
        <f>IF(COUNTIF(K33:R33,"F")&gt;0,"",IF(AS33="PASS",'Statement of Marks'!HF34,""))</f>
        <v/>
      </c>
      <c r="AU33" s="300" t="str">
        <f>IF(AS33="PASS",'Statement of Marks'!HG34,"")</f>
        <v/>
      </c>
    </row>
    <row r="34" spans="1:47">
      <c r="A34" s="283">
        <f>IF('Statement of Marks'!A35="","",'Statement of Marks'!A35)</f>
        <v>28</v>
      </c>
      <c r="B34" s="283" t="str">
        <f>IF('Statement of Marks'!B35="","",'Statement of Marks'!B35)</f>
        <v/>
      </c>
      <c r="C34" s="283" t="str">
        <f>IF('Statement of Marks'!C35="","",'Statement of Marks'!C35)</f>
        <v/>
      </c>
      <c r="D34" s="284" t="str">
        <f>IF('Statement of Marks'!D35="","",'Statement of Marks'!D35)</f>
        <v/>
      </c>
      <c r="E34" s="285" t="str">
        <f>IF('Statement of Marks'!E35="","",'Statement of Marks'!E35)</f>
        <v/>
      </c>
      <c r="F34" s="285" t="str">
        <f>IF('Statement of Marks'!F35="","",'Statement of Marks'!F35)</f>
        <v/>
      </c>
      <c r="G34" s="285" t="str">
        <f>IF('Statement of Marks'!G35="","",'Statement of Marks'!G35)</f>
        <v/>
      </c>
      <c r="H34" s="286" t="str">
        <f>IF('Statement of Marks'!GY35="","",'Statement of Marks'!GY35)</f>
        <v/>
      </c>
      <c r="I34" s="286" t="str">
        <f>IF('Statement of Marks'!HB35="","",'Statement of Marks'!HB35)</f>
        <v/>
      </c>
      <c r="J34" s="287" t="str">
        <f>IF('Statement of Marks'!HC35="","",'Statement of Marks'!HC35)</f>
        <v/>
      </c>
      <c r="K34" s="295" t="str">
        <f>IF(B34="","",'Statement of Marks'!FJ35)</f>
        <v/>
      </c>
      <c r="L34" s="295" t="str">
        <f>IF(B34="","",'Statement of Marks'!FM35)</f>
        <v/>
      </c>
      <c r="M34" s="295" t="str">
        <f>IF(B34="","",'Statement of Marks'!FP35)</f>
        <v/>
      </c>
      <c r="N34" s="295" t="str">
        <f>IF(B34="","",'Statement of Marks'!FW35)</f>
        <v/>
      </c>
      <c r="O34" s="295" t="str">
        <f>IF(B34="","",'Statement of Marks'!GD35)</f>
        <v/>
      </c>
      <c r="P34" s="295" t="str">
        <f>IF(B34="","",'Statement of Marks'!GK35)</f>
        <v/>
      </c>
      <c r="Q34" s="295" t="str">
        <f>IF(B34="","",'Statement of Marks'!GR35)</f>
        <v/>
      </c>
      <c r="R34" s="295" t="str">
        <f>IF(B34="","",'Statement of Marks'!GS35)</f>
        <v/>
      </c>
      <c r="S34" s="287" t="str">
        <f>IF(COUNTIF(K34:R34,"F")&gt;0,"",CONCATENATE('Statement of Marks'!GU35,'Statement of Marks'!GW35))</f>
        <v xml:space="preserve">           </v>
      </c>
      <c r="T34" s="288">
        <f t="shared" si="0"/>
        <v>0</v>
      </c>
      <c r="U34" s="16"/>
      <c r="V34" s="296" t="str">
        <f t="shared" si="1"/>
        <v/>
      </c>
      <c r="W34" s="296" t="str">
        <f t="shared" si="2"/>
        <v/>
      </c>
      <c r="X34" s="16"/>
      <c r="Y34" s="296" t="str">
        <f t="shared" si="3"/>
        <v/>
      </c>
      <c r="Z34" s="296" t="str">
        <f t="shared" si="4"/>
        <v/>
      </c>
      <c r="AA34" s="16"/>
      <c r="AB34" s="296" t="str">
        <f t="shared" si="5"/>
        <v/>
      </c>
      <c r="AC34" s="297" t="str">
        <f t="shared" si="6"/>
        <v/>
      </c>
      <c r="AD34" s="16"/>
      <c r="AE34" s="296" t="str">
        <f t="shared" si="7"/>
        <v/>
      </c>
      <c r="AF34" s="297" t="str">
        <f t="shared" si="8"/>
        <v/>
      </c>
      <c r="AG34" s="16"/>
      <c r="AH34" s="296" t="str">
        <f t="shared" si="9"/>
        <v/>
      </c>
      <c r="AI34" s="297" t="str">
        <f t="shared" si="10"/>
        <v/>
      </c>
      <c r="AJ34" s="16"/>
      <c r="AK34" s="297" t="str">
        <f t="shared" si="11"/>
        <v/>
      </c>
      <c r="AL34" s="297" t="str">
        <f t="shared" si="12"/>
        <v/>
      </c>
      <c r="AM34" s="16"/>
      <c r="AN34" s="296" t="str">
        <f t="shared" si="13"/>
        <v/>
      </c>
      <c r="AO34" s="16"/>
      <c r="AP34" s="296" t="str">
        <f t="shared" si="14"/>
        <v/>
      </c>
      <c r="AQ34" s="298">
        <f t="shared" si="15"/>
        <v>0</v>
      </c>
      <c r="AR34" s="298">
        <f t="shared" si="16"/>
        <v>0</v>
      </c>
      <c r="AS34" s="299" t="str">
        <f t="shared" si="17"/>
        <v/>
      </c>
      <c r="AT34" s="300" t="str">
        <f>IF(COUNTIF(K34:R34,"F")&gt;0,"",IF(AS34="PASS",'Statement of Marks'!HF35,""))</f>
        <v/>
      </c>
      <c r="AU34" s="300" t="str">
        <f>IF(AS34="PASS",'Statement of Marks'!HG35,"")</f>
        <v/>
      </c>
    </row>
    <row r="35" spans="1:47">
      <c r="A35" s="283">
        <f>IF('Statement of Marks'!A36="","",'Statement of Marks'!A36)</f>
        <v>29</v>
      </c>
      <c r="B35" s="283" t="str">
        <f>IF('Statement of Marks'!B36="","",'Statement of Marks'!B36)</f>
        <v/>
      </c>
      <c r="C35" s="283" t="str">
        <f>IF('Statement of Marks'!C36="","",'Statement of Marks'!C36)</f>
        <v/>
      </c>
      <c r="D35" s="284" t="str">
        <f>IF('Statement of Marks'!D36="","",'Statement of Marks'!D36)</f>
        <v/>
      </c>
      <c r="E35" s="285" t="str">
        <f>IF('Statement of Marks'!E36="","",'Statement of Marks'!E36)</f>
        <v/>
      </c>
      <c r="F35" s="285" t="str">
        <f>IF('Statement of Marks'!F36="","",'Statement of Marks'!F36)</f>
        <v/>
      </c>
      <c r="G35" s="285" t="str">
        <f>IF('Statement of Marks'!G36="","",'Statement of Marks'!G36)</f>
        <v/>
      </c>
      <c r="H35" s="286" t="str">
        <f>IF('Statement of Marks'!GY36="","",'Statement of Marks'!GY36)</f>
        <v/>
      </c>
      <c r="I35" s="286" t="str">
        <f>IF('Statement of Marks'!HB36="","",'Statement of Marks'!HB36)</f>
        <v/>
      </c>
      <c r="J35" s="287" t="str">
        <f>IF('Statement of Marks'!HC36="","",'Statement of Marks'!HC36)</f>
        <v/>
      </c>
      <c r="K35" s="295" t="str">
        <f>IF(B35="","",'Statement of Marks'!FJ36)</f>
        <v/>
      </c>
      <c r="L35" s="295" t="str">
        <f>IF(B35="","",'Statement of Marks'!FM36)</f>
        <v/>
      </c>
      <c r="M35" s="295" t="str">
        <f>IF(B35="","",'Statement of Marks'!FP36)</f>
        <v/>
      </c>
      <c r="N35" s="295" t="str">
        <f>IF(B35="","",'Statement of Marks'!FW36)</f>
        <v/>
      </c>
      <c r="O35" s="295" t="str">
        <f>IF(B35="","",'Statement of Marks'!GD36)</f>
        <v/>
      </c>
      <c r="P35" s="295" t="str">
        <f>IF(B35="","",'Statement of Marks'!GK36)</f>
        <v/>
      </c>
      <c r="Q35" s="295" t="str">
        <f>IF(B35="","",'Statement of Marks'!GR36)</f>
        <v/>
      </c>
      <c r="R35" s="295" t="str">
        <f>IF(B35="","",'Statement of Marks'!GS36)</f>
        <v/>
      </c>
      <c r="S35" s="287" t="str">
        <f>IF(COUNTIF(K35:R35,"F")&gt;0,"",CONCATENATE('Statement of Marks'!GU36,'Statement of Marks'!GW36))</f>
        <v xml:space="preserve">           </v>
      </c>
      <c r="T35" s="288">
        <f t="shared" si="0"/>
        <v>0</v>
      </c>
      <c r="U35" s="16"/>
      <c r="V35" s="296" t="str">
        <f t="shared" si="1"/>
        <v/>
      </c>
      <c r="W35" s="296" t="str">
        <f t="shared" si="2"/>
        <v/>
      </c>
      <c r="X35" s="16"/>
      <c r="Y35" s="296" t="str">
        <f t="shared" si="3"/>
        <v/>
      </c>
      <c r="Z35" s="296" t="str">
        <f t="shared" si="4"/>
        <v/>
      </c>
      <c r="AA35" s="16"/>
      <c r="AB35" s="296" t="str">
        <f t="shared" si="5"/>
        <v/>
      </c>
      <c r="AC35" s="297" t="str">
        <f t="shared" si="6"/>
        <v/>
      </c>
      <c r="AD35" s="16"/>
      <c r="AE35" s="296" t="str">
        <f t="shared" si="7"/>
        <v/>
      </c>
      <c r="AF35" s="297" t="str">
        <f t="shared" si="8"/>
        <v/>
      </c>
      <c r="AG35" s="16"/>
      <c r="AH35" s="296" t="str">
        <f t="shared" si="9"/>
        <v/>
      </c>
      <c r="AI35" s="297" t="str">
        <f t="shared" si="10"/>
        <v/>
      </c>
      <c r="AJ35" s="16"/>
      <c r="AK35" s="297" t="str">
        <f t="shared" si="11"/>
        <v/>
      </c>
      <c r="AL35" s="297" t="str">
        <f t="shared" si="12"/>
        <v/>
      </c>
      <c r="AM35" s="16"/>
      <c r="AN35" s="296" t="str">
        <f t="shared" si="13"/>
        <v/>
      </c>
      <c r="AO35" s="16"/>
      <c r="AP35" s="296" t="str">
        <f t="shared" si="14"/>
        <v/>
      </c>
      <c r="AQ35" s="298">
        <f t="shared" si="15"/>
        <v>0</v>
      </c>
      <c r="AR35" s="298">
        <f t="shared" si="16"/>
        <v>0</v>
      </c>
      <c r="AS35" s="299" t="str">
        <f t="shared" si="17"/>
        <v/>
      </c>
      <c r="AT35" s="300" t="str">
        <f>IF(COUNTIF(K35:R35,"F")&gt;0,"",IF(AS35="PASS",'Statement of Marks'!HF36,""))</f>
        <v/>
      </c>
      <c r="AU35" s="300" t="str">
        <f>IF(AS35="PASS",'Statement of Marks'!HG36,"")</f>
        <v/>
      </c>
    </row>
    <row r="36" spans="1:47">
      <c r="A36" s="283">
        <f>IF('Statement of Marks'!A37="","",'Statement of Marks'!A37)</f>
        <v>30</v>
      </c>
      <c r="B36" s="283" t="str">
        <f>IF('Statement of Marks'!B37="","",'Statement of Marks'!B37)</f>
        <v/>
      </c>
      <c r="C36" s="283" t="str">
        <f>IF('Statement of Marks'!C37="","",'Statement of Marks'!C37)</f>
        <v/>
      </c>
      <c r="D36" s="284" t="str">
        <f>IF('Statement of Marks'!D37="","",'Statement of Marks'!D37)</f>
        <v/>
      </c>
      <c r="E36" s="285" t="str">
        <f>IF('Statement of Marks'!E37="","",'Statement of Marks'!E37)</f>
        <v/>
      </c>
      <c r="F36" s="285" t="str">
        <f>IF('Statement of Marks'!F37="","",'Statement of Marks'!F37)</f>
        <v/>
      </c>
      <c r="G36" s="285" t="str">
        <f>IF('Statement of Marks'!G37="","",'Statement of Marks'!G37)</f>
        <v/>
      </c>
      <c r="H36" s="286" t="str">
        <f>IF('Statement of Marks'!GY37="","",'Statement of Marks'!GY37)</f>
        <v/>
      </c>
      <c r="I36" s="286" t="str">
        <f>IF('Statement of Marks'!HB37="","",'Statement of Marks'!HB37)</f>
        <v/>
      </c>
      <c r="J36" s="287" t="str">
        <f>IF('Statement of Marks'!HC37="","",'Statement of Marks'!HC37)</f>
        <v/>
      </c>
      <c r="K36" s="295" t="str">
        <f>IF(B36="","",'Statement of Marks'!FJ37)</f>
        <v/>
      </c>
      <c r="L36" s="295" t="str">
        <f>IF(B36="","",'Statement of Marks'!FM37)</f>
        <v/>
      </c>
      <c r="M36" s="295" t="str">
        <f>IF(B36="","",'Statement of Marks'!FP37)</f>
        <v/>
      </c>
      <c r="N36" s="295" t="str">
        <f>IF(B36="","",'Statement of Marks'!FW37)</f>
        <v/>
      </c>
      <c r="O36" s="295" t="str">
        <f>IF(B36="","",'Statement of Marks'!GD37)</f>
        <v/>
      </c>
      <c r="P36" s="295" t="str">
        <f>IF(B36="","",'Statement of Marks'!GK37)</f>
        <v/>
      </c>
      <c r="Q36" s="295" t="str">
        <f>IF(B36="","",'Statement of Marks'!GR37)</f>
        <v/>
      </c>
      <c r="R36" s="295" t="str">
        <f>IF(B36="","",'Statement of Marks'!GS37)</f>
        <v/>
      </c>
      <c r="S36" s="287" t="str">
        <f>IF(COUNTIF(K36:R36,"F")&gt;0,"",CONCATENATE('Statement of Marks'!GU37,'Statement of Marks'!GW37))</f>
        <v xml:space="preserve">           </v>
      </c>
      <c r="T36" s="288">
        <f t="shared" si="0"/>
        <v>0</v>
      </c>
      <c r="U36" s="16"/>
      <c r="V36" s="296" t="str">
        <f t="shared" si="1"/>
        <v/>
      </c>
      <c r="W36" s="296" t="str">
        <f t="shared" si="2"/>
        <v/>
      </c>
      <c r="X36" s="16"/>
      <c r="Y36" s="296" t="str">
        <f t="shared" si="3"/>
        <v/>
      </c>
      <c r="Z36" s="296" t="str">
        <f t="shared" si="4"/>
        <v/>
      </c>
      <c r="AA36" s="16"/>
      <c r="AB36" s="296" t="str">
        <f t="shared" si="5"/>
        <v/>
      </c>
      <c r="AC36" s="297" t="str">
        <f t="shared" si="6"/>
        <v/>
      </c>
      <c r="AD36" s="16"/>
      <c r="AE36" s="296" t="str">
        <f t="shared" si="7"/>
        <v/>
      </c>
      <c r="AF36" s="297" t="str">
        <f t="shared" si="8"/>
        <v/>
      </c>
      <c r="AG36" s="16"/>
      <c r="AH36" s="296" t="str">
        <f t="shared" si="9"/>
        <v/>
      </c>
      <c r="AI36" s="297" t="str">
        <f t="shared" si="10"/>
        <v/>
      </c>
      <c r="AJ36" s="16"/>
      <c r="AK36" s="297" t="str">
        <f t="shared" si="11"/>
        <v/>
      </c>
      <c r="AL36" s="297" t="str">
        <f t="shared" si="12"/>
        <v/>
      </c>
      <c r="AM36" s="16"/>
      <c r="AN36" s="296" t="str">
        <f t="shared" si="13"/>
        <v/>
      </c>
      <c r="AO36" s="16"/>
      <c r="AP36" s="296" t="str">
        <f t="shared" si="14"/>
        <v/>
      </c>
      <c r="AQ36" s="298">
        <f t="shared" si="15"/>
        <v>0</v>
      </c>
      <c r="AR36" s="298">
        <f t="shared" si="16"/>
        <v>0</v>
      </c>
      <c r="AS36" s="299" t="str">
        <f t="shared" si="17"/>
        <v/>
      </c>
      <c r="AT36" s="300" t="str">
        <f>IF(COUNTIF(K36:R36,"F")&gt;0,"",IF(AS36="PASS",'Statement of Marks'!HF37,""))</f>
        <v/>
      </c>
      <c r="AU36" s="300" t="str">
        <f>IF(AS36="PASS",'Statement of Marks'!HG37,"")</f>
        <v/>
      </c>
    </row>
    <row r="37" spans="1:47">
      <c r="A37" s="283">
        <f>IF('Statement of Marks'!A38="","",'Statement of Marks'!A38)</f>
        <v>31</v>
      </c>
      <c r="B37" s="283" t="str">
        <f>IF('Statement of Marks'!B38="","",'Statement of Marks'!B38)</f>
        <v/>
      </c>
      <c r="C37" s="283" t="str">
        <f>IF('Statement of Marks'!C38="","",'Statement of Marks'!C38)</f>
        <v/>
      </c>
      <c r="D37" s="284" t="str">
        <f>IF('Statement of Marks'!D38="","",'Statement of Marks'!D38)</f>
        <v/>
      </c>
      <c r="E37" s="285" t="str">
        <f>IF('Statement of Marks'!E38="","",'Statement of Marks'!E38)</f>
        <v/>
      </c>
      <c r="F37" s="285" t="str">
        <f>IF('Statement of Marks'!F38="","",'Statement of Marks'!F38)</f>
        <v/>
      </c>
      <c r="G37" s="285" t="str">
        <f>IF('Statement of Marks'!G38="","",'Statement of Marks'!G38)</f>
        <v/>
      </c>
      <c r="H37" s="286" t="str">
        <f>IF('Statement of Marks'!GY38="","",'Statement of Marks'!GY38)</f>
        <v/>
      </c>
      <c r="I37" s="286" t="str">
        <f>IF('Statement of Marks'!HB38="","",'Statement of Marks'!HB38)</f>
        <v/>
      </c>
      <c r="J37" s="287" t="str">
        <f>IF('Statement of Marks'!HC38="","",'Statement of Marks'!HC38)</f>
        <v/>
      </c>
      <c r="K37" s="295" t="str">
        <f>IF(B37="","",'Statement of Marks'!FJ38)</f>
        <v/>
      </c>
      <c r="L37" s="295" t="str">
        <f>IF(B37="","",'Statement of Marks'!FM38)</f>
        <v/>
      </c>
      <c r="M37" s="295" t="str">
        <f>IF(B37="","",'Statement of Marks'!FP38)</f>
        <v/>
      </c>
      <c r="N37" s="295" t="str">
        <f>IF(B37="","",'Statement of Marks'!FW38)</f>
        <v/>
      </c>
      <c r="O37" s="295" t="str">
        <f>IF(B37="","",'Statement of Marks'!GD38)</f>
        <v/>
      </c>
      <c r="P37" s="295" t="str">
        <f>IF(B37="","",'Statement of Marks'!GK38)</f>
        <v/>
      </c>
      <c r="Q37" s="295" t="str">
        <f>IF(B37="","",'Statement of Marks'!GR38)</f>
        <v/>
      </c>
      <c r="R37" s="295" t="str">
        <f>IF(B37="","",'Statement of Marks'!GS38)</f>
        <v/>
      </c>
      <c r="S37" s="287" t="str">
        <f>IF(COUNTIF(K37:R37,"F")&gt;0,"",CONCATENATE('Statement of Marks'!GU38,'Statement of Marks'!GW38))</f>
        <v xml:space="preserve">           </v>
      </c>
      <c r="T37" s="288">
        <f t="shared" si="0"/>
        <v>0</v>
      </c>
      <c r="U37" s="16"/>
      <c r="V37" s="296" t="str">
        <f t="shared" si="1"/>
        <v/>
      </c>
      <c r="W37" s="296" t="str">
        <f t="shared" si="2"/>
        <v/>
      </c>
      <c r="X37" s="16"/>
      <c r="Y37" s="296" t="str">
        <f t="shared" si="3"/>
        <v/>
      </c>
      <c r="Z37" s="296" t="str">
        <f t="shared" si="4"/>
        <v/>
      </c>
      <c r="AA37" s="16"/>
      <c r="AB37" s="296" t="str">
        <f t="shared" si="5"/>
        <v/>
      </c>
      <c r="AC37" s="297" t="str">
        <f t="shared" si="6"/>
        <v/>
      </c>
      <c r="AD37" s="16"/>
      <c r="AE37" s="296" t="str">
        <f t="shared" si="7"/>
        <v/>
      </c>
      <c r="AF37" s="297" t="str">
        <f t="shared" si="8"/>
        <v/>
      </c>
      <c r="AG37" s="16"/>
      <c r="AH37" s="296" t="str">
        <f t="shared" si="9"/>
        <v/>
      </c>
      <c r="AI37" s="297" t="str">
        <f t="shared" si="10"/>
        <v/>
      </c>
      <c r="AJ37" s="16"/>
      <c r="AK37" s="297" t="str">
        <f t="shared" si="11"/>
        <v/>
      </c>
      <c r="AL37" s="297" t="str">
        <f t="shared" si="12"/>
        <v/>
      </c>
      <c r="AM37" s="16"/>
      <c r="AN37" s="296" t="str">
        <f t="shared" si="13"/>
        <v/>
      </c>
      <c r="AO37" s="16"/>
      <c r="AP37" s="296" t="str">
        <f t="shared" si="14"/>
        <v/>
      </c>
      <c r="AQ37" s="298">
        <f t="shared" si="15"/>
        <v>0</v>
      </c>
      <c r="AR37" s="298">
        <f t="shared" si="16"/>
        <v>0</v>
      </c>
      <c r="AS37" s="299" t="str">
        <f t="shared" si="17"/>
        <v/>
      </c>
      <c r="AT37" s="300" t="str">
        <f>IF(COUNTIF(K37:R37,"F")&gt;0,"",IF(AS37="PASS",'Statement of Marks'!HF38,""))</f>
        <v/>
      </c>
      <c r="AU37" s="300" t="str">
        <f>IF(AS37="PASS",'Statement of Marks'!HG38,"")</f>
        <v/>
      </c>
    </row>
    <row r="38" spans="1:47">
      <c r="A38" s="283">
        <f>IF('Statement of Marks'!A39="","",'Statement of Marks'!A39)</f>
        <v>32</v>
      </c>
      <c r="B38" s="283" t="str">
        <f>IF('Statement of Marks'!B39="","",'Statement of Marks'!B39)</f>
        <v/>
      </c>
      <c r="C38" s="283" t="str">
        <f>IF('Statement of Marks'!C39="","",'Statement of Marks'!C39)</f>
        <v/>
      </c>
      <c r="D38" s="284" t="str">
        <f>IF('Statement of Marks'!D39="","",'Statement of Marks'!D39)</f>
        <v/>
      </c>
      <c r="E38" s="285" t="str">
        <f>IF('Statement of Marks'!E39="","",'Statement of Marks'!E39)</f>
        <v/>
      </c>
      <c r="F38" s="285" t="str">
        <f>IF('Statement of Marks'!F39="","",'Statement of Marks'!F39)</f>
        <v/>
      </c>
      <c r="G38" s="285" t="str">
        <f>IF('Statement of Marks'!G39="","",'Statement of Marks'!G39)</f>
        <v/>
      </c>
      <c r="H38" s="286" t="str">
        <f>IF('Statement of Marks'!GY39="","",'Statement of Marks'!GY39)</f>
        <v/>
      </c>
      <c r="I38" s="286" t="str">
        <f>IF('Statement of Marks'!HB39="","",'Statement of Marks'!HB39)</f>
        <v/>
      </c>
      <c r="J38" s="287" t="str">
        <f>IF('Statement of Marks'!HC39="","",'Statement of Marks'!HC39)</f>
        <v/>
      </c>
      <c r="K38" s="295" t="str">
        <f>IF(B38="","",'Statement of Marks'!FJ39)</f>
        <v/>
      </c>
      <c r="L38" s="295" t="str">
        <f>IF(B38="","",'Statement of Marks'!FM39)</f>
        <v/>
      </c>
      <c r="M38" s="295" t="str">
        <f>IF(B38="","",'Statement of Marks'!FP39)</f>
        <v/>
      </c>
      <c r="N38" s="295" t="str">
        <f>IF(B38="","",'Statement of Marks'!FW39)</f>
        <v/>
      </c>
      <c r="O38" s="295" t="str">
        <f>IF(B38="","",'Statement of Marks'!GD39)</f>
        <v/>
      </c>
      <c r="P38" s="295" t="str">
        <f>IF(B38="","",'Statement of Marks'!GK39)</f>
        <v/>
      </c>
      <c r="Q38" s="295" t="str">
        <f>IF(B38="","",'Statement of Marks'!GR39)</f>
        <v/>
      </c>
      <c r="R38" s="295" t="str">
        <f>IF(B38="","",'Statement of Marks'!GS39)</f>
        <v/>
      </c>
      <c r="S38" s="287" t="str">
        <f>IF(COUNTIF(K38:R38,"F")&gt;0,"",CONCATENATE('Statement of Marks'!GU39,'Statement of Marks'!GW39))</f>
        <v xml:space="preserve">           </v>
      </c>
      <c r="T38" s="288">
        <f t="shared" si="0"/>
        <v>0</v>
      </c>
      <c r="U38" s="16"/>
      <c r="V38" s="296" t="str">
        <f t="shared" si="1"/>
        <v/>
      </c>
      <c r="W38" s="296" t="str">
        <f t="shared" si="2"/>
        <v/>
      </c>
      <c r="X38" s="16"/>
      <c r="Y38" s="296" t="str">
        <f t="shared" si="3"/>
        <v/>
      </c>
      <c r="Z38" s="296" t="str">
        <f t="shared" si="4"/>
        <v/>
      </c>
      <c r="AA38" s="16"/>
      <c r="AB38" s="296" t="str">
        <f t="shared" si="5"/>
        <v/>
      </c>
      <c r="AC38" s="297" t="str">
        <f t="shared" si="6"/>
        <v/>
      </c>
      <c r="AD38" s="16"/>
      <c r="AE38" s="296" t="str">
        <f t="shared" si="7"/>
        <v/>
      </c>
      <c r="AF38" s="297" t="str">
        <f t="shared" si="8"/>
        <v/>
      </c>
      <c r="AG38" s="16"/>
      <c r="AH38" s="296" t="str">
        <f t="shared" si="9"/>
        <v/>
      </c>
      <c r="AI38" s="297" t="str">
        <f t="shared" si="10"/>
        <v/>
      </c>
      <c r="AJ38" s="16"/>
      <c r="AK38" s="297" t="str">
        <f t="shared" si="11"/>
        <v/>
      </c>
      <c r="AL38" s="297" t="str">
        <f t="shared" si="12"/>
        <v/>
      </c>
      <c r="AM38" s="16"/>
      <c r="AN38" s="296" t="str">
        <f t="shared" si="13"/>
        <v/>
      </c>
      <c r="AO38" s="16"/>
      <c r="AP38" s="296" t="str">
        <f t="shared" si="14"/>
        <v/>
      </c>
      <c r="AQ38" s="298">
        <f t="shared" si="15"/>
        <v>0</v>
      </c>
      <c r="AR38" s="298">
        <f t="shared" si="16"/>
        <v>0</v>
      </c>
      <c r="AS38" s="299" t="str">
        <f t="shared" si="17"/>
        <v/>
      </c>
      <c r="AT38" s="300" t="str">
        <f>IF(COUNTIF(K38:R38,"F")&gt;0,"",IF(AS38="PASS",'Statement of Marks'!HF39,""))</f>
        <v/>
      </c>
      <c r="AU38" s="300" t="str">
        <f>IF(AS38="PASS",'Statement of Marks'!HG39,"")</f>
        <v/>
      </c>
    </row>
    <row r="39" spans="1:47">
      <c r="A39" s="283">
        <f>IF('Statement of Marks'!A40="","",'Statement of Marks'!A40)</f>
        <v>33</v>
      </c>
      <c r="B39" s="283" t="str">
        <f>IF('Statement of Marks'!B40="","",'Statement of Marks'!B40)</f>
        <v/>
      </c>
      <c r="C39" s="283" t="str">
        <f>IF('Statement of Marks'!C40="","",'Statement of Marks'!C40)</f>
        <v/>
      </c>
      <c r="D39" s="284" t="str">
        <f>IF('Statement of Marks'!D40="","",'Statement of Marks'!D40)</f>
        <v/>
      </c>
      <c r="E39" s="285" t="str">
        <f>IF('Statement of Marks'!E40="","",'Statement of Marks'!E40)</f>
        <v/>
      </c>
      <c r="F39" s="285" t="str">
        <f>IF('Statement of Marks'!F40="","",'Statement of Marks'!F40)</f>
        <v/>
      </c>
      <c r="G39" s="285" t="str">
        <f>IF('Statement of Marks'!G40="","",'Statement of Marks'!G40)</f>
        <v/>
      </c>
      <c r="H39" s="286" t="str">
        <f>IF('Statement of Marks'!GY40="","",'Statement of Marks'!GY40)</f>
        <v/>
      </c>
      <c r="I39" s="286" t="str">
        <f>IF('Statement of Marks'!HB40="","",'Statement of Marks'!HB40)</f>
        <v/>
      </c>
      <c r="J39" s="287" t="str">
        <f>IF('Statement of Marks'!HC40="","",'Statement of Marks'!HC40)</f>
        <v/>
      </c>
      <c r="K39" s="295" t="str">
        <f>IF(B39="","",'Statement of Marks'!FJ40)</f>
        <v/>
      </c>
      <c r="L39" s="295" t="str">
        <f>IF(B39="","",'Statement of Marks'!FM40)</f>
        <v/>
      </c>
      <c r="M39" s="295" t="str">
        <f>IF(B39="","",'Statement of Marks'!FP40)</f>
        <v/>
      </c>
      <c r="N39" s="295" t="str">
        <f>IF(B39="","",'Statement of Marks'!FW40)</f>
        <v/>
      </c>
      <c r="O39" s="295" t="str">
        <f>IF(B39="","",'Statement of Marks'!GD40)</f>
        <v/>
      </c>
      <c r="P39" s="295" t="str">
        <f>IF(B39="","",'Statement of Marks'!GK40)</f>
        <v/>
      </c>
      <c r="Q39" s="295" t="str">
        <f>IF(B39="","",'Statement of Marks'!GR40)</f>
        <v/>
      </c>
      <c r="R39" s="295" t="str">
        <f>IF(B39="","",'Statement of Marks'!GS40)</f>
        <v/>
      </c>
      <c r="S39" s="287" t="str">
        <f>IF(COUNTIF(K39:R39,"F")&gt;0,"",CONCATENATE('Statement of Marks'!GU40,'Statement of Marks'!GW40))</f>
        <v xml:space="preserve">           </v>
      </c>
      <c r="T39" s="288">
        <f t="shared" si="0"/>
        <v>0</v>
      </c>
      <c r="U39" s="16"/>
      <c r="V39" s="296" t="str">
        <f t="shared" si="1"/>
        <v/>
      </c>
      <c r="W39" s="296" t="str">
        <f t="shared" si="2"/>
        <v/>
      </c>
      <c r="X39" s="16"/>
      <c r="Y39" s="296" t="str">
        <f t="shared" si="3"/>
        <v/>
      </c>
      <c r="Z39" s="296" t="str">
        <f t="shared" si="4"/>
        <v/>
      </c>
      <c r="AA39" s="16"/>
      <c r="AB39" s="296" t="str">
        <f t="shared" si="5"/>
        <v/>
      </c>
      <c r="AC39" s="297" t="str">
        <f t="shared" si="6"/>
        <v/>
      </c>
      <c r="AD39" s="16"/>
      <c r="AE39" s="296" t="str">
        <f t="shared" si="7"/>
        <v/>
      </c>
      <c r="AF39" s="297" t="str">
        <f t="shared" si="8"/>
        <v/>
      </c>
      <c r="AG39" s="16"/>
      <c r="AH39" s="296" t="str">
        <f t="shared" si="9"/>
        <v/>
      </c>
      <c r="AI39" s="297" t="str">
        <f t="shared" si="10"/>
        <v/>
      </c>
      <c r="AJ39" s="16"/>
      <c r="AK39" s="297" t="str">
        <f t="shared" si="11"/>
        <v/>
      </c>
      <c r="AL39" s="297" t="str">
        <f t="shared" si="12"/>
        <v/>
      </c>
      <c r="AM39" s="16"/>
      <c r="AN39" s="296" t="str">
        <f t="shared" si="13"/>
        <v/>
      </c>
      <c r="AO39" s="16"/>
      <c r="AP39" s="296" t="str">
        <f t="shared" si="14"/>
        <v/>
      </c>
      <c r="AQ39" s="298">
        <f t="shared" si="15"/>
        <v>0</v>
      </c>
      <c r="AR39" s="298">
        <f t="shared" si="16"/>
        <v>0</v>
      </c>
      <c r="AS39" s="299" t="str">
        <f t="shared" si="17"/>
        <v/>
      </c>
      <c r="AT39" s="300" t="str">
        <f>IF(COUNTIF(K39:R39,"F")&gt;0,"",IF(AS39="PASS",'Statement of Marks'!HF40,""))</f>
        <v/>
      </c>
      <c r="AU39" s="300" t="str">
        <f>IF(AS39="PASS",'Statement of Marks'!HG40,"")</f>
        <v/>
      </c>
    </row>
    <row r="40" spans="1:47">
      <c r="A40" s="283">
        <f>IF('Statement of Marks'!A41="","",'Statement of Marks'!A41)</f>
        <v>34</v>
      </c>
      <c r="B40" s="283" t="str">
        <f>IF('Statement of Marks'!B41="","",'Statement of Marks'!B41)</f>
        <v/>
      </c>
      <c r="C40" s="283" t="str">
        <f>IF('Statement of Marks'!C41="","",'Statement of Marks'!C41)</f>
        <v/>
      </c>
      <c r="D40" s="284" t="str">
        <f>IF('Statement of Marks'!D41="","",'Statement of Marks'!D41)</f>
        <v/>
      </c>
      <c r="E40" s="285" t="str">
        <f>IF('Statement of Marks'!E41="","",'Statement of Marks'!E41)</f>
        <v/>
      </c>
      <c r="F40" s="285" t="str">
        <f>IF('Statement of Marks'!F41="","",'Statement of Marks'!F41)</f>
        <v/>
      </c>
      <c r="G40" s="285" t="str">
        <f>IF('Statement of Marks'!G41="","",'Statement of Marks'!G41)</f>
        <v/>
      </c>
      <c r="H40" s="286" t="str">
        <f>IF('Statement of Marks'!GY41="","",'Statement of Marks'!GY41)</f>
        <v/>
      </c>
      <c r="I40" s="286" t="str">
        <f>IF('Statement of Marks'!HB41="","",'Statement of Marks'!HB41)</f>
        <v/>
      </c>
      <c r="J40" s="287" t="str">
        <f>IF('Statement of Marks'!HC41="","",'Statement of Marks'!HC41)</f>
        <v/>
      </c>
      <c r="K40" s="295" t="str">
        <f>IF(B40="","",'Statement of Marks'!FJ41)</f>
        <v/>
      </c>
      <c r="L40" s="295" t="str">
        <f>IF(B40="","",'Statement of Marks'!FM41)</f>
        <v/>
      </c>
      <c r="M40" s="295" t="str">
        <f>IF(B40="","",'Statement of Marks'!FP41)</f>
        <v/>
      </c>
      <c r="N40" s="295" t="str">
        <f>IF(B40="","",'Statement of Marks'!FW41)</f>
        <v/>
      </c>
      <c r="O40" s="295" t="str">
        <f>IF(B40="","",'Statement of Marks'!GD41)</f>
        <v/>
      </c>
      <c r="P40" s="295" t="str">
        <f>IF(B40="","",'Statement of Marks'!GK41)</f>
        <v/>
      </c>
      <c r="Q40" s="295" t="str">
        <f>IF(B40="","",'Statement of Marks'!GR41)</f>
        <v/>
      </c>
      <c r="R40" s="295" t="str">
        <f>IF(B40="","",'Statement of Marks'!GS41)</f>
        <v/>
      </c>
      <c r="S40" s="287" t="str">
        <f>IF(COUNTIF(K40:R40,"F")&gt;0,"",CONCATENATE('Statement of Marks'!GU41,'Statement of Marks'!GW41))</f>
        <v xml:space="preserve">           </v>
      </c>
      <c r="T40" s="288">
        <f t="shared" si="0"/>
        <v>0</v>
      </c>
      <c r="U40" s="16"/>
      <c r="V40" s="296" t="str">
        <f t="shared" si="1"/>
        <v/>
      </c>
      <c r="W40" s="296" t="str">
        <f t="shared" si="2"/>
        <v/>
      </c>
      <c r="X40" s="16"/>
      <c r="Y40" s="296" t="str">
        <f t="shared" si="3"/>
        <v/>
      </c>
      <c r="Z40" s="296" t="str">
        <f t="shared" si="4"/>
        <v/>
      </c>
      <c r="AA40" s="16"/>
      <c r="AB40" s="296" t="str">
        <f t="shared" si="5"/>
        <v/>
      </c>
      <c r="AC40" s="297" t="str">
        <f t="shared" si="6"/>
        <v/>
      </c>
      <c r="AD40" s="16"/>
      <c r="AE40" s="296" t="str">
        <f t="shared" si="7"/>
        <v/>
      </c>
      <c r="AF40" s="297" t="str">
        <f t="shared" si="8"/>
        <v/>
      </c>
      <c r="AG40" s="16"/>
      <c r="AH40" s="296" t="str">
        <f t="shared" si="9"/>
        <v/>
      </c>
      <c r="AI40" s="297" t="str">
        <f t="shared" si="10"/>
        <v/>
      </c>
      <c r="AJ40" s="16"/>
      <c r="AK40" s="297" t="str">
        <f t="shared" si="11"/>
        <v/>
      </c>
      <c r="AL40" s="297" t="str">
        <f t="shared" si="12"/>
        <v/>
      </c>
      <c r="AM40" s="16"/>
      <c r="AN40" s="296" t="str">
        <f t="shared" si="13"/>
        <v/>
      </c>
      <c r="AO40" s="16"/>
      <c r="AP40" s="296" t="str">
        <f t="shared" si="14"/>
        <v/>
      </c>
      <c r="AQ40" s="298">
        <f t="shared" si="15"/>
        <v>0</v>
      </c>
      <c r="AR40" s="298">
        <f t="shared" si="16"/>
        <v>0</v>
      </c>
      <c r="AS40" s="299" t="str">
        <f t="shared" si="17"/>
        <v/>
      </c>
      <c r="AT40" s="300" t="str">
        <f>IF(COUNTIF(K40:R40,"F")&gt;0,"",IF(AS40="PASS",'Statement of Marks'!HF41,""))</f>
        <v/>
      </c>
      <c r="AU40" s="300" t="str">
        <f>IF(AS40="PASS",'Statement of Marks'!HG41,"")</f>
        <v/>
      </c>
    </row>
    <row r="41" spans="1:47">
      <c r="A41" s="283">
        <f>IF('Statement of Marks'!A42="","",'Statement of Marks'!A42)</f>
        <v>35</v>
      </c>
      <c r="B41" s="283" t="str">
        <f>IF('Statement of Marks'!B42="","",'Statement of Marks'!B42)</f>
        <v/>
      </c>
      <c r="C41" s="283" t="str">
        <f>IF('Statement of Marks'!C42="","",'Statement of Marks'!C42)</f>
        <v/>
      </c>
      <c r="D41" s="284" t="str">
        <f>IF('Statement of Marks'!D42="","",'Statement of Marks'!D42)</f>
        <v/>
      </c>
      <c r="E41" s="285" t="str">
        <f>IF('Statement of Marks'!E42="","",'Statement of Marks'!E42)</f>
        <v/>
      </c>
      <c r="F41" s="285" t="str">
        <f>IF('Statement of Marks'!F42="","",'Statement of Marks'!F42)</f>
        <v/>
      </c>
      <c r="G41" s="285" t="str">
        <f>IF('Statement of Marks'!G42="","",'Statement of Marks'!G42)</f>
        <v/>
      </c>
      <c r="H41" s="286" t="str">
        <f>IF('Statement of Marks'!GY42="","",'Statement of Marks'!GY42)</f>
        <v/>
      </c>
      <c r="I41" s="286" t="str">
        <f>IF('Statement of Marks'!HB42="","",'Statement of Marks'!HB42)</f>
        <v/>
      </c>
      <c r="J41" s="287" t="str">
        <f>IF('Statement of Marks'!HC42="","",'Statement of Marks'!HC42)</f>
        <v/>
      </c>
      <c r="K41" s="295" t="str">
        <f>IF(B41="","",'Statement of Marks'!FJ42)</f>
        <v/>
      </c>
      <c r="L41" s="295" t="str">
        <f>IF(B41="","",'Statement of Marks'!FM42)</f>
        <v/>
      </c>
      <c r="M41" s="295" t="str">
        <f>IF(B41="","",'Statement of Marks'!FP42)</f>
        <v/>
      </c>
      <c r="N41" s="295" t="str">
        <f>IF(B41="","",'Statement of Marks'!FW42)</f>
        <v/>
      </c>
      <c r="O41" s="295" t="str">
        <f>IF(B41="","",'Statement of Marks'!GD42)</f>
        <v/>
      </c>
      <c r="P41" s="295" t="str">
        <f>IF(B41="","",'Statement of Marks'!GK42)</f>
        <v/>
      </c>
      <c r="Q41" s="295" t="str">
        <f>IF(B41="","",'Statement of Marks'!GR42)</f>
        <v/>
      </c>
      <c r="R41" s="295" t="str">
        <f>IF(B41="","",'Statement of Marks'!GS42)</f>
        <v/>
      </c>
      <c r="S41" s="287" t="str">
        <f>IF(COUNTIF(K41:R41,"F")&gt;0,"",CONCATENATE('Statement of Marks'!GU42,'Statement of Marks'!GW42))</f>
        <v xml:space="preserve">           </v>
      </c>
      <c r="T41" s="288">
        <f t="shared" si="0"/>
        <v>0</v>
      </c>
      <c r="U41" s="16"/>
      <c r="V41" s="296" t="str">
        <f t="shared" si="1"/>
        <v/>
      </c>
      <c r="W41" s="296" t="str">
        <f t="shared" si="2"/>
        <v/>
      </c>
      <c r="X41" s="16"/>
      <c r="Y41" s="296" t="str">
        <f t="shared" si="3"/>
        <v/>
      </c>
      <c r="Z41" s="296" t="str">
        <f t="shared" si="4"/>
        <v/>
      </c>
      <c r="AA41" s="16"/>
      <c r="AB41" s="296" t="str">
        <f t="shared" si="5"/>
        <v/>
      </c>
      <c r="AC41" s="297" t="str">
        <f t="shared" si="6"/>
        <v/>
      </c>
      <c r="AD41" s="16"/>
      <c r="AE41" s="296" t="str">
        <f t="shared" si="7"/>
        <v/>
      </c>
      <c r="AF41" s="297" t="str">
        <f t="shared" si="8"/>
        <v/>
      </c>
      <c r="AG41" s="16"/>
      <c r="AH41" s="296" t="str">
        <f t="shared" si="9"/>
        <v/>
      </c>
      <c r="AI41" s="297" t="str">
        <f t="shared" si="10"/>
        <v/>
      </c>
      <c r="AJ41" s="16"/>
      <c r="AK41" s="297" t="str">
        <f t="shared" si="11"/>
        <v/>
      </c>
      <c r="AL41" s="297" t="str">
        <f t="shared" si="12"/>
        <v/>
      </c>
      <c r="AM41" s="16"/>
      <c r="AN41" s="296" t="str">
        <f t="shared" si="13"/>
        <v/>
      </c>
      <c r="AO41" s="16"/>
      <c r="AP41" s="296" t="str">
        <f t="shared" si="14"/>
        <v/>
      </c>
      <c r="AQ41" s="298">
        <f t="shared" si="15"/>
        <v>0</v>
      </c>
      <c r="AR41" s="298">
        <f t="shared" si="16"/>
        <v>0</v>
      </c>
      <c r="AS41" s="299" t="str">
        <f t="shared" si="17"/>
        <v/>
      </c>
      <c r="AT41" s="300" t="str">
        <f>IF(COUNTIF(K41:R41,"F")&gt;0,"",IF(AS41="PASS",'Statement of Marks'!HF42,""))</f>
        <v/>
      </c>
      <c r="AU41" s="300" t="str">
        <f>IF(AS41="PASS",'Statement of Marks'!HG42,"")</f>
        <v/>
      </c>
    </row>
    <row r="42" spans="1:47">
      <c r="A42" s="283">
        <f>IF('Statement of Marks'!A43="","",'Statement of Marks'!A43)</f>
        <v>36</v>
      </c>
      <c r="B42" s="283" t="str">
        <f>IF('Statement of Marks'!B43="","",'Statement of Marks'!B43)</f>
        <v/>
      </c>
      <c r="C42" s="283" t="str">
        <f>IF('Statement of Marks'!C43="","",'Statement of Marks'!C43)</f>
        <v/>
      </c>
      <c r="D42" s="284" t="str">
        <f>IF('Statement of Marks'!D43="","",'Statement of Marks'!D43)</f>
        <v/>
      </c>
      <c r="E42" s="285" t="str">
        <f>IF('Statement of Marks'!E43="","",'Statement of Marks'!E43)</f>
        <v/>
      </c>
      <c r="F42" s="285" t="str">
        <f>IF('Statement of Marks'!F43="","",'Statement of Marks'!F43)</f>
        <v/>
      </c>
      <c r="G42" s="285" t="str">
        <f>IF('Statement of Marks'!G43="","",'Statement of Marks'!G43)</f>
        <v/>
      </c>
      <c r="H42" s="286" t="str">
        <f>IF('Statement of Marks'!GY43="","",'Statement of Marks'!GY43)</f>
        <v/>
      </c>
      <c r="I42" s="286" t="str">
        <f>IF('Statement of Marks'!HB43="","",'Statement of Marks'!HB43)</f>
        <v/>
      </c>
      <c r="J42" s="287" t="str">
        <f>IF('Statement of Marks'!HC43="","",'Statement of Marks'!HC43)</f>
        <v/>
      </c>
      <c r="K42" s="295" t="str">
        <f>IF(B42="","",'Statement of Marks'!FJ43)</f>
        <v/>
      </c>
      <c r="L42" s="295" t="str">
        <f>IF(B42="","",'Statement of Marks'!FM43)</f>
        <v/>
      </c>
      <c r="M42" s="295" t="str">
        <f>IF(B42="","",'Statement of Marks'!FP43)</f>
        <v/>
      </c>
      <c r="N42" s="295" t="str">
        <f>IF(B42="","",'Statement of Marks'!FW43)</f>
        <v/>
      </c>
      <c r="O42" s="295" t="str">
        <f>IF(B42="","",'Statement of Marks'!GD43)</f>
        <v/>
      </c>
      <c r="P42" s="295" t="str">
        <f>IF(B42="","",'Statement of Marks'!GK43)</f>
        <v/>
      </c>
      <c r="Q42" s="295" t="str">
        <f>IF(B42="","",'Statement of Marks'!GR43)</f>
        <v/>
      </c>
      <c r="R42" s="295" t="str">
        <f>IF(B42="","",'Statement of Marks'!GS43)</f>
        <v/>
      </c>
      <c r="S42" s="287" t="str">
        <f>IF(COUNTIF(K42:R42,"F")&gt;0,"",CONCATENATE('Statement of Marks'!GU43,'Statement of Marks'!GW43))</f>
        <v xml:space="preserve">           </v>
      </c>
      <c r="T42" s="288">
        <f t="shared" si="0"/>
        <v>0</v>
      </c>
      <c r="U42" s="16"/>
      <c r="V42" s="296" t="str">
        <f t="shared" si="1"/>
        <v/>
      </c>
      <c r="W42" s="296" t="str">
        <f t="shared" si="2"/>
        <v/>
      </c>
      <c r="X42" s="16"/>
      <c r="Y42" s="296" t="str">
        <f t="shared" si="3"/>
        <v/>
      </c>
      <c r="Z42" s="296" t="str">
        <f t="shared" si="4"/>
        <v/>
      </c>
      <c r="AA42" s="16"/>
      <c r="AB42" s="296" t="str">
        <f t="shared" si="5"/>
        <v/>
      </c>
      <c r="AC42" s="297" t="str">
        <f t="shared" si="6"/>
        <v/>
      </c>
      <c r="AD42" s="16"/>
      <c r="AE42" s="296" t="str">
        <f t="shared" si="7"/>
        <v/>
      </c>
      <c r="AF42" s="297" t="str">
        <f t="shared" si="8"/>
        <v/>
      </c>
      <c r="AG42" s="16"/>
      <c r="AH42" s="296" t="str">
        <f t="shared" si="9"/>
        <v/>
      </c>
      <c r="AI42" s="297" t="str">
        <f t="shared" si="10"/>
        <v/>
      </c>
      <c r="AJ42" s="16"/>
      <c r="AK42" s="297" t="str">
        <f t="shared" si="11"/>
        <v/>
      </c>
      <c r="AL42" s="297" t="str">
        <f t="shared" si="12"/>
        <v/>
      </c>
      <c r="AM42" s="16"/>
      <c r="AN42" s="296" t="str">
        <f t="shared" si="13"/>
        <v/>
      </c>
      <c r="AO42" s="16"/>
      <c r="AP42" s="296" t="str">
        <f t="shared" si="14"/>
        <v/>
      </c>
      <c r="AQ42" s="298">
        <f t="shared" si="15"/>
        <v>0</v>
      </c>
      <c r="AR42" s="298">
        <f t="shared" si="16"/>
        <v>0</v>
      </c>
      <c r="AS42" s="299" t="str">
        <f t="shared" si="17"/>
        <v/>
      </c>
      <c r="AT42" s="300" t="str">
        <f>IF(COUNTIF(K42:R42,"F")&gt;0,"",IF(AS42="PASS",'Statement of Marks'!HF43,""))</f>
        <v/>
      </c>
      <c r="AU42" s="300" t="str">
        <f>IF(AS42="PASS",'Statement of Marks'!HG43,"")</f>
        <v/>
      </c>
    </row>
    <row r="43" spans="1:47">
      <c r="A43" s="283">
        <f>IF('Statement of Marks'!A44="","",'Statement of Marks'!A44)</f>
        <v>37</v>
      </c>
      <c r="B43" s="283" t="str">
        <f>IF('Statement of Marks'!B44="","",'Statement of Marks'!B44)</f>
        <v/>
      </c>
      <c r="C43" s="283" t="str">
        <f>IF('Statement of Marks'!C44="","",'Statement of Marks'!C44)</f>
        <v/>
      </c>
      <c r="D43" s="284" t="str">
        <f>IF('Statement of Marks'!D44="","",'Statement of Marks'!D44)</f>
        <v/>
      </c>
      <c r="E43" s="285" t="str">
        <f>IF('Statement of Marks'!E44="","",'Statement of Marks'!E44)</f>
        <v/>
      </c>
      <c r="F43" s="285" t="str">
        <f>IF('Statement of Marks'!F44="","",'Statement of Marks'!F44)</f>
        <v/>
      </c>
      <c r="G43" s="285" t="str">
        <f>IF('Statement of Marks'!G44="","",'Statement of Marks'!G44)</f>
        <v/>
      </c>
      <c r="H43" s="286" t="str">
        <f>IF('Statement of Marks'!GY44="","",'Statement of Marks'!GY44)</f>
        <v/>
      </c>
      <c r="I43" s="286" t="str">
        <f>IF('Statement of Marks'!HB44="","",'Statement of Marks'!HB44)</f>
        <v/>
      </c>
      <c r="J43" s="287" t="str">
        <f>IF('Statement of Marks'!HC44="","",'Statement of Marks'!HC44)</f>
        <v/>
      </c>
      <c r="K43" s="295" t="str">
        <f>IF(B43="","",'Statement of Marks'!FJ44)</f>
        <v/>
      </c>
      <c r="L43" s="295" t="str">
        <f>IF(B43="","",'Statement of Marks'!FM44)</f>
        <v/>
      </c>
      <c r="M43" s="295" t="str">
        <f>IF(B43="","",'Statement of Marks'!FP44)</f>
        <v/>
      </c>
      <c r="N43" s="295" t="str">
        <f>IF(B43="","",'Statement of Marks'!FW44)</f>
        <v/>
      </c>
      <c r="O43" s="295" t="str">
        <f>IF(B43="","",'Statement of Marks'!GD44)</f>
        <v/>
      </c>
      <c r="P43" s="295" t="str">
        <f>IF(B43="","",'Statement of Marks'!GK44)</f>
        <v/>
      </c>
      <c r="Q43" s="295" t="str">
        <f>IF(B43="","",'Statement of Marks'!GR44)</f>
        <v/>
      </c>
      <c r="R43" s="295" t="str">
        <f>IF(B43="","",'Statement of Marks'!GS44)</f>
        <v/>
      </c>
      <c r="S43" s="287" t="str">
        <f>IF(COUNTIF(K43:R43,"F")&gt;0,"",CONCATENATE('Statement of Marks'!GU44,'Statement of Marks'!GW44))</f>
        <v xml:space="preserve">           </v>
      </c>
      <c r="T43" s="288">
        <f t="shared" si="0"/>
        <v>0</v>
      </c>
      <c r="U43" s="16"/>
      <c r="V43" s="296" t="str">
        <f t="shared" si="1"/>
        <v/>
      </c>
      <c r="W43" s="296" t="str">
        <f t="shared" si="2"/>
        <v/>
      </c>
      <c r="X43" s="16"/>
      <c r="Y43" s="296" t="str">
        <f t="shared" si="3"/>
        <v/>
      </c>
      <c r="Z43" s="296" t="str">
        <f t="shared" si="4"/>
        <v/>
      </c>
      <c r="AA43" s="16"/>
      <c r="AB43" s="296" t="str">
        <f t="shared" si="5"/>
        <v/>
      </c>
      <c r="AC43" s="297" t="str">
        <f t="shared" si="6"/>
        <v/>
      </c>
      <c r="AD43" s="16"/>
      <c r="AE43" s="296" t="str">
        <f t="shared" si="7"/>
        <v/>
      </c>
      <c r="AF43" s="297" t="str">
        <f t="shared" si="8"/>
        <v/>
      </c>
      <c r="AG43" s="16"/>
      <c r="AH43" s="296" t="str">
        <f t="shared" si="9"/>
        <v/>
      </c>
      <c r="AI43" s="297" t="str">
        <f t="shared" si="10"/>
        <v/>
      </c>
      <c r="AJ43" s="16"/>
      <c r="AK43" s="297" t="str">
        <f t="shared" si="11"/>
        <v/>
      </c>
      <c r="AL43" s="297" t="str">
        <f t="shared" si="12"/>
        <v/>
      </c>
      <c r="AM43" s="16"/>
      <c r="AN43" s="296" t="str">
        <f t="shared" si="13"/>
        <v/>
      </c>
      <c r="AO43" s="16"/>
      <c r="AP43" s="296" t="str">
        <f t="shared" si="14"/>
        <v/>
      </c>
      <c r="AQ43" s="298">
        <f t="shared" si="15"/>
        <v>0</v>
      </c>
      <c r="AR43" s="298">
        <f t="shared" si="16"/>
        <v>0</v>
      </c>
      <c r="AS43" s="299" t="str">
        <f t="shared" si="17"/>
        <v/>
      </c>
      <c r="AT43" s="300" t="str">
        <f>IF(COUNTIF(K43:R43,"F")&gt;0,"",IF(AS43="PASS",'Statement of Marks'!HF44,""))</f>
        <v/>
      </c>
      <c r="AU43" s="300" t="str">
        <f>IF(AS43="PASS",'Statement of Marks'!HG44,"")</f>
        <v/>
      </c>
    </row>
    <row r="44" spans="1:47">
      <c r="A44" s="283">
        <f>IF('Statement of Marks'!A45="","",'Statement of Marks'!A45)</f>
        <v>38</v>
      </c>
      <c r="B44" s="283" t="str">
        <f>IF('Statement of Marks'!B45="","",'Statement of Marks'!B45)</f>
        <v/>
      </c>
      <c r="C44" s="283" t="str">
        <f>IF('Statement of Marks'!C45="","",'Statement of Marks'!C45)</f>
        <v/>
      </c>
      <c r="D44" s="284" t="str">
        <f>IF('Statement of Marks'!D45="","",'Statement of Marks'!D45)</f>
        <v/>
      </c>
      <c r="E44" s="285" t="str">
        <f>IF('Statement of Marks'!E45="","",'Statement of Marks'!E45)</f>
        <v/>
      </c>
      <c r="F44" s="285" t="str">
        <f>IF('Statement of Marks'!F45="","",'Statement of Marks'!F45)</f>
        <v/>
      </c>
      <c r="G44" s="285" t="str">
        <f>IF('Statement of Marks'!G45="","",'Statement of Marks'!G45)</f>
        <v/>
      </c>
      <c r="H44" s="286" t="str">
        <f>IF('Statement of Marks'!GY45="","",'Statement of Marks'!GY45)</f>
        <v/>
      </c>
      <c r="I44" s="286" t="str">
        <f>IF('Statement of Marks'!HB45="","",'Statement of Marks'!HB45)</f>
        <v/>
      </c>
      <c r="J44" s="287" t="str">
        <f>IF('Statement of Marks'!HC45="","",'Statement of Marks'!HC45)</f>
        <v/>
      </c>
      <c r="K44" s="295" t="str">
        <f>IF(B44="","",'Statement of Marks'!FJ45)</f>
        <v/>
      </c>
      <c r="L44" s="295" t="str">
        <f>IF(B44="","",'Statement of Marks'!FM45)</f>
        <v/>
      </c>
      <c r="M44" s="295" t="str">
        <f>IF(B44="","",'Statement of Marks'!FP45)</f>
        <v/>
      </c>
      <c r="N44" s="295" t="str">
        <f>IF(B44="","",'Statement of Marks'!FW45)</f>
        <v/>
      </c>
      <c r="O44" s="295" t="str">
        <f>IF(B44="","",'Statement of Marks'!GD45)</f>
        <v/>
      </c>
      <c r="P44" s="295" t="str">
        <f>IF(B44="","",'Statement of Marks'!GK45)</f>
        <v/>
      </c>
      <c r="Q44" s="295" t="str">
        <f>IF(B44="","",'Statement of Marks'!GR45)</f>
        <v/>
      </c>
      <c r="R44" s="295" t="str">
        <f>IF(B44="","",'Statement of Marks'!GS45)</f>
        <v/>
      </c>
      <c r="S44" s="287" t="str">
        <f>IF(COUNTIF(K44:R44,"F")&gt;0,"",CONCATENATE('Statement of Marks'!GU45,'Statement of Marks'!GW45))</f>
        <v xml:space="preserve">           </v>
      </c>
      <c r="T44" s="288">
        <f t="shared" si="0"/>
        <v>0</v>
      </c>
      <c r="U44" s="16"/>
      <c r="V44" s="296" t="str">
        <f t="shared" si="1"/>
        <v/>
      </c>
      <c r="W44" s="296" t="str">
        <f t="shared" si="2"/>
        <v/>
      </c>
      <c r="X44" s="16"/>
      <c r="Y44" s="296" t="str">
        <f t="shared" si="3"/>
        <v/>
      </c>
      <c r="Z44" s="296" t="str">
        <f t="shared" si="4"/>
        <v/>
      </c>
      <c r="AA44" s="16"/>
      <c r="AB44" s="296" t="str">
        <f t="shared" si="5"/>
        <v/>
      </c>
      <c r="AC44" s="297" t="str">
        <f t="shared" si="6"/>
        <v/>
      </c>
      <c r="AD44" s="16"/>
      <c r="AE44" s="296" t="str">
        <f t="shared" si="7"/>
        <v/>
      </c>
      <c r="AF44" s="297" t="str">
        <f t="shared" si="8"/>
        <v/>
      </c>
      <c r="AG44" s="16"/>
      <c r="AH44" s="296" t="str">
        <f t="shared" si="9"/>
        <v/>
      </c>
      <c r="AI44" s="297" t="str">
        <f t="shared" si="10"/>
        <v/>
      </c>
      <c r="AJ44" s="16"/>
      <c r="AK44" s="297" t="str">
        <f t="shared" si="11"/>
        <v/>
      </c>
      <c r="AL44" s="297" t="str">
        <f t="shared" si="12"/>
        <v/>
      </c>
      <c r="AM44" s="16"/>
      <c r="AN44" s="296" t="str">
        <f t="shared" si="13"/>
        <v/>
      </c>
      <c r="AO44" s="16"/>
      <c r="AP44" s="296" t="str">
        <f t="shared" si="14"/>
        <v/>
      </c>
      <c r="AQ44" s="298">
        <f t="shared" si="15"/>
        <v>0</v>
      </c>
      <c r="AR44" s="298">
        <f t="shared" si="16"/>
        <v>0</v>
      </c>
      <c r="AS44" s="299" t="str">
        <f t="shared" si="17"/>
        <v/>
      </c>
      <c r="AT44" s="300" t="str">
        <f>IF(COUNTIF(K44:R44,"F")&gt;0,"",IF(AS44="PASS",'Statement of Marks'!HF45,""))</f>
        <v/>
      </c>
      <c r="AU44" s="300" t="str">
        <f>IF(AS44="PASS",'Statement of Marks'!HG45,"")</f>
        <v/>
      </c>
    </row>
    <row r="45" spans="1:47">
      <c r="A45" s="283">
        <f>IF('Statement of Marks'!A46="","",'Statement of Marks'!A46)</f>
        <v>39</v>
      </c>
      <c r="B45" s="283" t="str">
        <f>IF('Statement of Marks'!B46="","",'Statement of Marks'!B46)</f>
        <v/>
      </c>
      <c r="C45" s="283" t="str">
        <f>IF('Statement of Marks'!C46="","",'Statement of Marks'!C46)</f>
        <v/>
      </c>
      <c r="D45" s="284" t="str">
        <f>IF('Statement of Marks'!D46="","",'Statement of Marks'!D46)</f>
        <v/>
      </c>
      <c r="E45" s="285" t="str">
        <f>IF('Statement of Marks'!E46="","",'Statement of Marks'!E46)</f>
        <v/>
      </c>
      <c r="F45" s="285" t="str">
        <f>IF('Statement of Marks'!F46="","",'Statement of Marks'!F46)</f>
        <v/>
      </c>
      <c r="G45" s="285" t="str">
        <f>IF('Statement of Marks'!G46="","",'Statement of Marks'!G46)</f>
        <v/>
      </c>
      <c r="H45" s="286" t="str">
        <f>IF('Statement of Marks'!GY46="","",'Statement of Marks'!GY46)</f>
        <v/>
      </c>
      <c r="I45" s="286" t="str">
        <f>IF('Statement of Marks'!HB46="","",'Statement of Marks'!HB46)</f>
        <v/>
      </c>
      <c r="J45" s="287" t="str">
        <f>IF('Statement of Marks'!HC46="","",'Statement of Marks'!HC46)</f>
        <v/>
      </c>
      <c r="K45" s="295" t="str">
        <f>IF(B45="","",'Statement of Marks'!FJ46)</f>
        <v/>
      </c>
      <c r="L45" s="295" t="str">
        <f>IF(B45="","",'Statement of Marks'!FM46)</f>
        <v/>
      </c>
      <c r="M45" s="295" t="str">
        <f>IF(B45="","",'Statement of Marks'!FP46)</f>
        <v/>
      </c>
      <c r="N45" s="295" t="str">
        <f>IF(B45="","",'Statement of Marks'!FW46)</f>
        <v/>
      </c>
      <c r="O45" s="295" t="str">
        <f>IF(B45="","",'Statement of Marks'!GD46)</f>
        <v/>
      </c>
      <c r="P45" s="295" t="str">
        <f>IF(B45="","",'Statement of Marks'!GK46)</f>
        <v/>
      </c>
      <c r="Q45" s="295" t="str">
        <f>IF(B45="","",'Statement of Marks'!GR46)</f>
        <v/>
      </c>
      <c r="R45" s="295" t="str">
        <f>IF(B45="","",'Statement of Marks'!GS46)</f>
        <v/>
      </c>
      <c r="S45" s="287" t="str">
        <f>IF(COUNTIF(K45:R45,"F")&gt;0,"",CONCATENATE('Statement of Marks'!GU46,'Statement of Marks'!GW46))</f>
        <v xml:space="preserve">           </v>
      </c>
      <c r="T45" s="288">
        <f t="shared" si="0"/>
        <v>0</v>
      </c>
      <c r="U45" s="16"/>
      <c r="V45" s="296" t="str">
        <f t="shared" si="1"/>
        <v/>
      </c>
      <c r="W45" s="296" t="str">
        <f t="shared" si="2"/>
        <v/>
      </c>
      <c r="X45" s="16"/>
      <c r="Y45" s="296" t="str">
        <f t="shared" si="3"/>
        <v/>
      </c>
      <c r="Z45" s="296" t="str">
        <f t="shared" si="4"/>
        <v/>
      </c>
      <c r="AA45" s="16"/>
      <c r="AB45" s="296" t="str">
        <f t="shared" si="5"/>
        <v/>
      </c>
      <c r="AC45" s="297" t="str">
        <f t="shared" si="6"/>
        <v/>
      </c>
      <c r="AD45" s="16"/>
      <c r="AE45" s="296" t="str">
        <f t="shared" si="7"/>
        <v/>
      </c>
      <c r="AF45" s="297" t="str">
        <f t="shared" si="8"/>
        <v/>
      </c>
      <c r="AG45" s="16"/>
      <c r="AH45" s="296" t="str">
        <f t="shared" si="9"/>
        <v/>
      </c>
      <c r="AI45" s="297" t="str">
        <f t="shared" si="10"/>
        <v/>
      </c>
      <c r="AJ45" s="16"/>
      <c r="AK45" s="297" t="str">
        <f t="shared" si="11"/>
        <v/>
      </c>
      <c r="AL45" s="297" t="str">
        <f t="shared" si="12"/>
        <v/>
      </c>
      <c r="AM45" s="16"/>
      <c r="AN45" s="296" t="str">
        <f t="shared" si="13"/>
        <v/>
      </c>
      <c r="AO45" s="16"/>
      <c r="AP45" s="296" t="str">
        <f t="shared" si="14"/>
        <v/>
      </c>
      <c r="AQ45" s="298">
        <f t="shared" si="15"/>
        <v>0</v>
      </c>
      <c r="AR45" s="298">
        <f t="shared" si="16"/>
        <v>0</v>
      </c>
      <c r="AS45" s="299" t="str">
        <f t="shared" si="17"/>
        <v/>
      </c>
      <c r="AT45" s="300" t="str">
        <f>IF(COUNTIF(K45:R45,"F")&gt;0,"",IF(AS45="PASS",'Statement of Marks'!HF46,""))</f>
        <v/>
      </c>
      <c r="AU45" s="300" t="str">
        <f>IF(AS45="PASS",'Statement of Marks'!HG46,"")</f>
        <v/>
      </c>
    </row>
    <row r="46" spans="1:47">
      <c r="A46" s="283">
        <f>IF('Statement of Marks'!A47="","",'Statement of Marks'!A47)</f>
        <v>40</v>
      </c>
      <c r="B46" s="283" t="str">
        <f>IF('Statement of Marks'!B47="","",'Statement of Marks'!B47)</f>
        <v/>
      </c>
      <c r="C46" s="283" t="str">
        <f>IF('Statement of Marks'!C47="","",'Statement of Marks'!C47)</f>
        <v/>
      </c>
      <c r="D46" s="284" t="str">
        <f>IF('Statement of Marks'!D47="","",'Statement of Marks'!D47)</f>
        <v/>
      </c>
      <c r="E46" s="285" t="str">
        <f>IF('Statement of Marks'!E47="","",'Statement of Marks'!E47)</f>
        <v/>
      </c>
      <c r="F46" s="285" t="str">
        <f>IF('Statement of Marks'!F47="","",'Statement of Marks'!F47)</f>
        <v/>
      </c>
      <c r="G46" s="285" t="str">
        <f>IF('Statement of Marks'!G47="","",'Statement of Marks'!G47)</f>
        <v/>
      </c>
      <c r="H46" s="286" t="str">
        <f>IF('Statement of Marks'!GY47="","",'Statement of Marks'!GY47)</f>
        <v/>
      </c>
      <c r="I46" s="286" t="str">
        <f>IF('Statement of Marks'!HB47="","",'Statement of Marks'!HB47)</f>
        <v/>
      </c>
      <c r="J46" s="287" t="str">
        <f>IF('Statement of Marks'!HC47="","",'Statement of Marks'!HC47)</f>
        <v/>
      </c>
      <c r="K46" s="295" t="str">
        <f>IF(B46="","",'Statement of Marks'!FJ47)</f>
        <v/>
      </c>
      <c r="L46" s="295" t="str">
        <f>IF(B46="","",'Statement of Marks'!FM47)</f>
        <v/>
      </c>
      <c r="M46" s="295" t="str">
        <f>IF(B46="","",'Statement of Marks'!FP47)</f>
        <v/>
      </c>
      <c r="N46" s="295" t="str">
        <f>IF(B46="","",'Statement of Marks'!FW47)</f>
        <v/>
      </c>
      <c r="O46" s="295" t="str">
        <f>IF(B46="","",'Statement of Marks'!GD47)</f>
        <v/>
      </c>
      <c r="P46" s="295" t="str">
        <f>IF(B46="","",'Statement of Marks'!GK47)</f>
        <v/>
      </c>
      <c r="Q46" s="295" t="str">
        <f>IF(B46="","",'Statement of Marks'!GR47)</f>
        <v/>
      </c>
      <c r="R46" s="295" t="str">
        <f>IF(B46="","",'Statement of Marks'!GS47)</f>
        <v/>
      </c>
      <c r="S46" s="287" t="str">
        <f>IF(COUNTIF(K46:R46,"F")&gt;0,"",CONCATENATE('Statement of Marks'!GU47,'Statement of Marks'!GW47))</f>
        <v xml:space="preserve">           </v>
      </c>
      <c r="T46" s="288">
        <f t="shared" si="0"/>
        <v>0</v>
      </c>
      <c r="U46" s="16"/>
      <c r="V46" s="296" t="str">
        <f t="shared" si="1"/>
        <v/>
      </c>
      <c r="W46" s="296" t="str">
        <f t="shared" si="2"/>
        <v/>
      </c>
      <c r="X46" s="16"/>
      <c r="Y46" s="296" t="str">
        <f t="shared" si="3"/>
        <v/>
      </c>
      <c r="Z46" s="296" t="str">
        <f t="shared" si="4"/>
        <v/>
      </c>
      <c r="AA46" s="16"/>
      <c r="AB46" s="296" t="str">
        <f t="shared" si="5"/>
        <v/>
      </c>
      <c r="AC46" s="297" t="str">
        <f t="shared" si="6"/>
        <v/>
      </c>
      <c r="AD46" s="16"/>
      <c r="AE46" s="296" t="str">
        <f t="shared" si="7"/>
        <v/>
      </c>
      <c r="AF46" s="297" t="str">
        <f t="shared" si="8"/>
        <v/>
      </c>
      <c r="AG46" s="16"/>
      <c r="AH46" s="296" t="str">
        <f t="shared" si="9"/>
        <v/>
      </c>
      <c r="AI46" s="297" t="str">
        <f t="shared" si="10"/>
        <v/>
      </c>
      <c r="AJ46" s="16"/>
      <c r="AK46" s="297" t="str">
        <f t="shared" si="11"/>
        <v/>
      </c>
      <c r="AL46" s="297" t="str">
        <f t="shared" si="12"/>
        <v/>
      </c>
      <c r="AM46" s="16"/>
      <c r="AN46" s="296" t="str">
        <f t="shared" si="13"/>
        <v/>
      </c>
      <c r="AO46" s="16"/>
      <c r="AP46" s="296" t="str">
        <f t="shared" si="14"/>
        <v/>
      </c>
      <c r="AQ46" s="298">
        <f t="shared" si="15"/>
        <v>0</v>
      </c>
      <c r="AR46" s="298">
        <f t="shared" si="16"/>
        <v>0</v>
      </c>
      <c r="AS46" s="299" t="str">
        <f t="shared" si="17"/>
        <v/>
      </c>
      <c r="AT46" s="300" t="str">
        <f>IF(COUNTIF(K46:R46,"F")&gt;0,"",IF(AS46="PASS",'Statement of Marks'!HF47,""))</f>
        <v/>
      </c>
      <c r="AU46" s="300" t="str">
        <f>IF(AS46="PASS",'Statement of Marks'!HG47,"")</f>
        <v/>
      </c>
    </row>
    <row r="47" spans="1:47">
      <c r="A47" s="283">
        <f>IF('Statement of Marks'!A48="","",'Statement of Marks'!A48)</f>
        <v>41</v>
      </c>
      <c r="B47" s="283" t="str">
        <f>IF('Statement of Marks'!B48="","",'Statement of Marks'!B48)</f>
        <v/>
      </c>
      <c r="C47" s="283" t="str">
        <f>IF('Statement of Marks'!C48="","",'Statement of Marks'!C48)</f>
        <v/>
      </c>
      <c r="D47" s="284" t="str">
        <f>IF('Statement of Marks'!D48="","",'Statement of Marks'!D48)</f>
        <v/>
      </c>
      <c r="E47" s="285" t="str">
        <f>IF('Statement of Marks'!E48="","",'Statement of Marks'!E48)</f>
        <v/>
      </c>
      <c r="F47" s="285" t="str">
        <f>IF('Statement of Marks'!F48="","",'Statement of Marks'!F48)</f>
        <v/>
      </c>
      <c r="G47" s="285" t="str">
        <f>IF('Statement of Marks'!G48="","",'Statement of Marks'!G48)</f>
        <v/>
      </c>
      <c r="H47" s="286" t="str">
        <f>IF('Statement of Marks'!GY48="","",'Statement of Marks'!GY48)</f>
        <v/>
      </c>
      <c r="I47" s="286" t="str">
        <f>IF('Statement of Marks'!HB48="","",'Statement of Marks'!HB48)</f>
        <v/>
      </c>
      <c r="J47" s="287" t="str">
        <f>IF('Statement of Marks'!HC48="","",'Statement of Marks'!HC48)</f>
        <v/>
      </c>
      <c r="K47" s="295" t="str">
        <f>IF(B47="","",'Statement of Marks'!FJ48)</f>
        <v/>
      </c>
      <c r="L47" s="295" t="str">
        <f>IF(B47="","",'Statement of Marks'!FM48)</f>
        <v/>
      </c>
      <c r="M47" s="295" t="str">
        <f>IF(B47="","",'Statement of Marks'!FP48)</f>
        <v/>
      </c>
      <c r="N47" s="295" t="str">
        <f>IF(B47="","",'Statement of Marks'!FW48)</f>
        <v/>
      </c>
      <c r="O47" s="295" t="str">
        <f>IF(B47="","",'Statement of Marks'!GD48)</f>
        <v/>
      </c>
      <c r="P47" s="295" t="str">
        <f>IF(B47="","",'Statement of Marks'!GK48)</f>
        <v/>
      </c>
      <c r="Q47" s="295" t="str">
        <f>IF(B47="","",'Statement of Marks'!GR48)</f>
        <v/>
      </c>
      <c r="R47" s="295" t="str">
        <f>IF(B47="","",'Statement of Marks'!GS48)</f>
        <v/>
      </c>
      <c r="S47" s="287" t="str">
        <f>IF(COUNTIF(K47:R47,"F")&gt;0,"",CONCATENATE('Statement of Marks'!GU48,'Statement of Marks'!GW48))</f>
        <v xml:space="preserve">           </v>
      </c>
      <c r="T47" s="288">
        <f t="shared" si="0"/>
        <v>0</v>
      </c>
      <c r="U47" s="16"/>
      <c r="V47" s="296" t="str">
        <f t="shared" si="1"/>
        <v/>
      </c>
      <c r="W47" s="296" t="str">
        <f t="shared" si="2"/>
        <v/>
      </c>
      <c r="X47" s="16"/>
      <c r="Y47" s="296" t="str">
        <f t="shared" si="3"/>
        <v/>
      </c>
      <c r="Z47" s="296" t="str">
        <f t="shared" si="4"/>
        <v/>
      </c>
      <c r="AA47" s="16"/>
      <c r="AB47" s="296" t="str">
        <f t="shared" si="5"/>
        <v/>
      </c>
      <c r="AC47" s="297" t="str">
        <f t="shared" si="6"/>
        <v/>
      </c>
      <c r="AD47" s="16"/>
      <c r="AE47" s="296" t="str">
        <f t="shared" si="7"/>
        <v/>
      </c>
      <c r="AF47" s="297" t="str">
        <f t="shared" si="8"/>
        <v/>
      </c>
      <c r="AG47" s="16"/>
      <c r="AH47" s="296" t="str">
        <f t="shared" si="9"/>
        <v/>
      </c>
      <c r="AI47" s="297" t="str">
        <f t="shared" si="10"/>
        <v/>
      </c>
      <c r="AJ47" s="16"/>
      <c r="AK47" s="297" t="str">
        <f t="shared" si="11"/>
        <v/>
      </c>
      <c r="AL47" s="297" t="str">
        <f t="shared" si="12"/>
        <v/>
      </c>
      <c r="AM47" s="16"/>
      <c r="AN47" s="296" t="str">
        <f t="shared" si="13"/>
        <v/>
      </c>
      <c r="AO47" s="16"/>
      <c r="AP47" s="296" t="str">
        <f t="shared" si="14"/>
        <v/>
      </c>
      <c r="AQ47" s="298">
        <f t="shared" si="15"/>
        <v>0</v>
      </c>
      <c r="AR47" s="298">
        <f t="shared" si="16"/>
        <v>0</v>
      </c>
      <c r="AS47" s="299" t="str">
        <f t="shared" si="17"/>
        <v/>
      </c>
      <c r="AT47" s="300" t="str">
        <f>IF(COUNTIF(K47:R47,"F")&gt;0,"",IF(AS47="PASS",'Statement of Marks'!HF48,""))</f>
        <v/>
      </c>
      <c r="AU47" s="300" t="str">
        <f>IF(AS47="PASS",'Statement of Marks'!HG48,"")</f>
        <v/>
      </c>
    </row>
    <row r="48" spans="1:47">
      <c r="A48" s="283">
        <f>IF('Statement of Marks'!A49="","",'Statement of Marks'!A49)</f>
        <v>42</v>
      </c>
      <c r="B48" s="283" t="str">
        <f>IF('Statement of Marks'!B49="","",'Statement of Marks'!B49)</f>
        <v/>
      </c>
      <c r="C48" s="283" t="str">
        <f>IF('Statement of Marks'!C49="","",'Statement of Marks'!C49)</f>
        <v/>
      </c>
      <c r="D48" s="284" t="str">
        <f>IF('Statement of Marks'!D49="","",'Statement of Marks'!D49)</f>
        <v/>
      </c>
      <c r="E48" s="285" t="str">
        <f>IF('Statement of Marks'!E49="","",'Statement of Marks'!E49)</f>
        <v/>
      </c>
      <c r="F48" s="285" t="str">
        <f>IF('Statement of Marks'!F49="","",'Statement of Marks'!F49)</f>
        <v/>
      </c>
      <c r="G48" s="285" t="str">
        <f>IF('Statement of Marks'!G49="","",'Statement of Marks'!G49)</f>
        <v/>
      </c>
      <c r="H48" s="286" t="str">
        <f>IF('Statement of Marks'!GY49="","",'Statement of Marks'!GY49)</f>
        <v/>
      </c>
      <c r="I48" s="286" t="str">
        <f>IF('Statement of Marks'!HB49="","",'Statement of Marks'!HB49)</f>
        <v/>
      </c>
      <c r="J48" s="287" t="str">
        <f>IF('Statement of Marks'!HC49="","",'Statement of Marks'!HC49)</f>
        <v/>
      </c>
      <c r="K48" s="295" t="str">
        <f>IF(B48="","",'Statement of Marks'!FJ49)</f>
        <v/>
      </c>
      <c r="L48" s="295" t="str">
        <f>IF(B48="","",'Statement of Marks'!FM49)</f>
        <v/>
      </c>
      <c r="M48" s="295" t="str">
        <f>IF(B48="","",'Statement of Marks'!FP49)</f>
        <v/>
      </c>
      <c r="N48" s="295" t="str">
        <f>IF(B48="","",'Statement of Marks'!FW49)</f>
        <v/>
      </c>
      <c r="O48" s="295" t="str">
        <f>IF(B48="","",'Statement of Marks'!GD49)</f>
        <v/>
      </c>
      <c r="P48" s="295" t="str">
        <f>IF(B48="","",'Statement of Marks'!GK49)</f>
        <v/>
      </c>
      <c r="Q48" s="295" t="str">
        <f>IF(B48="","",'Statement of Marks'!GR49)</f>
        <v/>
      </c>
      <c r="R48" s="295" t="str">
        <f>IF(B48="","",'Statement of Marks'!GS49)</f>
        <v/>
      </c>
      <c r="S48" s="287" t="str">
        <f>IF(COUNTIF(K48:R48,"F")&gt;0,"",CONCATENATE('Statement of Marks'!GU49,'Statement of Marks'!GW49))</f>
        <v xml:space="preserve">           </v>
      </c>
      <c r="T48" s="288">
        <f t="shared" si="0"/>
        <v>0</v>
      </c>
      <c r="U48" s="16"/>
      <c r="V48" s="296" t="str">
        <f t="shared" si="1"/>
        <v/>
      </c>
      <c r="W48" s="296" t="str">
        <f t="shared" si="2"/>
        <v/>
      </c>
      <c r="X48" s="16"/>
      <c r="Y48" s="296" t="str">
        <f t="shared" si="3"/>
        <v/>
      </c>
      <c r="Z48" s="296" t="str">
        <f t="shared" si="4"/>
        <v/>
      </c>
      <c r="AA48" s="16"/>
      <c r="AB48" s="296" t="str">
        <f t="shared" si="5"/>
        <v/>
      </c>
      <c r="AC48" s="297" t="str">
        <f t="shared" si="6"/>
        <v/>
      </c>
      <c r="AD48" s="16"/>
      <c r="AE48" s="296" t="str">
        <f t="shared" si="7"/>
        <v/>
      </c>
      <c r="AF48" s="297" t="str">
        <f t="shared" si="8"/>
        <v/>
      </c>
      <c r="AG48" s="16"/>
      <c r="AH48" s="296" t="str">
        <f t="shared" si="9"/>
        <v/>
      </c>
      <c r="AI48" s="297" t="str">
        <f t="shared" si="10"/>
        <v/>
      </c>
      <c r="AJ48" s="16"/>
      <c r="AK48" s="297" t="str">
        <f t="shared" si="11"/>
        <v/>
      </c>
      <c r="AL48" s="297" t="str">
        <f t="shared" si="12"/>
        <v/>
      </c>
      <c r="AM48" s="16"/>
      <c r="AN48" s="296" t="str">
        <f t="shared" si="13"/>
        <v/>
      </c>
      <c r="AO48" s="16"/>
      <c r="AP48" s="296" t="str">
        <f t="shared" si="14"/>
        <v/>
      </c>
      <c r="AQ48" s="298">
        <f t="shared" si="15"/>
        <v>0</v>
      </c>
      <c r="AR48" s="298">
        <f t="shared" si="16"/>
        <v>0</v>
      </c>
      <c r="AS48" s="299" t="str">
        <f t="shared" si="17"/>
        <v/>
      </c>
      <c r="AT48" s="300" t="str">
        <f>IF(COUNTIF(K48:R48,"F")&gt;0,"",IF(AS48="PASS",'Statement of Marks'!HF49,""))</f>
        <v/>
      </c>
      <c r="AU48" s="300" t="str">
        <f>IF(AS48="PASS",'Statement of Marks'!HG49,"")</f>
        <v/>
      </c>
    </row>
    <row r="49" spans="1:47">
      <c r="A49" s="283">
        <f>IF('Statement of Marks'!A50="","",'Statement of Marks'!A50)</f>
        <v>43</v>
      </c>
      <c r="B49" s="283" t="str">
        <f>IF('Statement of Marks'!B50="","",'Statement of Marks'!B50)</f>
        <v/>
      </c>
      <c r="C49" s="283" t="str">
        <f>IF('Statement of Marks'!C50="","",'Statement of Marks'!C50)</f>
        <v/>
      </c>
      <c r="D49" s="284" t="str">
        <f>IF('Statement of Marks'!D50="","",'Statement of Marks'!D50)</f>
        <v/>
      </c>
      <c r="E49" s="285" t="str">
        <f>IF('Statement of Marks'!E50="","",'Statement of Marks'!E50)</f>
        <v/>
      </c>
      <c r="F49" s="285" t="str">
        <f>IF('Statement of Marks'!F50="","",'Statement of Marks'!F50)</f>
        <v/>
      </c>
      <c r="G49" s="285" t="str">
        <f>IF('Statement of Marks'!G50="","",'Statement of Marks'!G50)</f>
        <v/>
      </c>
      <c r="H49" s="286" t="str">
        <f>IF('Statement of Marks'!GY50="","",'Statement of Marks'!GY50)</f>
        <v/>
      </c>
      <c r="I49" s="286" t="str">
        <f>IF('Statement of Marks'!HB50="","",'Statement of Marks'!HB50)</f>
        <v/>
      </c>
      <c r="J49" s="287" t="str">
        <f>IF('Statement of Marks'!HC50="","",'Statement of Marks'!HC50)</f>
        <v/>
      </c>
      <c r="K49" s="295" t="str">
        <f>IF(B49="","",'Statement of Marks'!FJ50)</f>
        <v/>
      </c>
      <c r="L49" s="295" t="str">
        <f>IF(B49="","",'Statement of Marks'!FM50)</f>
        <v/>
      </c>
      <c r="M49" s="295" t="str">
        <f>IF(B49="","",'Statement of Marks'!FP50)</f>
        <v/>
      </c>
      <c r="N49" s="295" t="str">
        <f>IF(B49="","",'Statement of Marks'!FW50)</f>
        <v/>
      </c>
      <c r="O49" s="295" t="str">
        <f>IF(B49="","",'Statement of Marks'!GD50)</f>
        <v/>
      </c>
      <c r="P49" s="295" t="str">
        <f>IF(B49="","",'Statement of Marks'!GK50)</f>
        <v/>
      </c>
      <c r="Q49" s="295" t="str">
        <f>IF(B49="","",'Statement of Marks'!GR50)</f>
        <v/>
      </c>
      <c r="R49" s="295" t="str">
        <f>IF(B49="","",'Statement of Marks'!GS50)</f>
        <v/>
      </c>
      <c r="S49" s="287" t="str">
        <f>IF(COUNTIF(K49:R49,"F")&gt;0,"",CONCATENATE('Statement of Marks'!GU50,'Statement of Marks'!GW50))</f>
        <v xml:space="preserve">           </v>
      </c>
      <c r="T49" s="288">
        <f t="shared" si="0"/>
        <v>0</v>
      </c>
      <c r="U49" s="16"/>
      <c r="V49" s="296" t="str">
        <f t="shared" si="1"/>
        <v/>
      </c>
      <c r="W49" s="296" t="str">
        <f t="shared" si="2"/>
        <v/>
      </c>
      <c r="X49" s="16"/>
      <c r="Y49" s="296" t="str">
        <f t="shared" si="3"/>
        <v/>
      </c>
      <c r="Z49" s="296" t="str">
        <f t="shared" si="4"/>
        <v/>
      </c>
      <c r="AA49" s="16"/>
      <c r="AB49" s="296" t="str">
        <f t="shared" si="5"/>
        <v/>
      </c>
      <c r="AC49" s="297" t="str">
        <f t="shared" si="6"/>
        <v/>
      </c>
      <c r="AD49" s="16"/>
      <c r="AE49" s="296" t="str">
        <f t="shared" si="7"/>
        <v/>
      </c>
      <c r="AF49" s="297" t="str">
        <f t="shared" si="8"/>
        <v/>
      </c>
      <c r="AG49" s="16"/>
      <c r="AH49" s="296" t="str">
        <f t="shared" si="9"/>
        <v/>
      </c>
      <c r="AI49" s="297" t="str">
        <f t="shared" si="10"/>
        <v/>
      </c>
      <c r="AJ49" s="16"/>
      <c r="AK49" s="297" t="str">
        <f t="shared" si="11"/>
        <v/>
      </c>
      <c r="AL49" s="297" t="str">
        <f t="shared" si="12"/>
        <v/>
      </c>
      <c r="AM49" s="16"/>
      <c r="AN49" s="296" t="str">
        <f t="shared" si="13"/>
        <v/>
      </c>
      <c r="AO49" s="16"/>
      <c r="AP49" s="296" t="str">
        <f t="shared" si="14"/>
        <v/>
      </c>
      <c r="AQ49" s="298">
        <f t="shared" si="15"/>
        <v>0</v>
      </c>
      <c r="AR49" s="298">
        <f t="shared" si="16"/>
        <v>0</v>
      </c>
      <c r="AS49" s="299" t="str">
        <f t="shared" si="17"/>
        <v/>
      </c>
      <c r="AT49" s="300" t="str">
        <f>IF(COUNTIF(K49:R49,"F")&gt;0,"",IF(AS49="PASS",'Statement of Marks'!HF50,""))</f>
        <v/>
      </c>
      <c r="AU49" s="300" t="str">
        <f>IF(AS49="PASS",'Statement of Marks'!HG50,"")</f>
        <v/>
      </c>
    </row>
    <row r="50" spans="1:47">
      <c r="A50" s="283">
        <f>IF('Statement of Marks'!A51="","",'Statement of Marks'!A51)</f>
        <v>44</v>
      </c>
      <c r="B50" s="283" t="str">
        <f>IF('Statement of Marks'!B51="","",'Statement of Marks'!B51)</f>
        <v/>
      </c>
      <c r="C50" s="283" t="str">
        <f>IF('Statement of Marks'!C51="","",'Statement of Marks'!C51)</f>
        <v/>
      </c>
      <c r="D50" s="284" t="str">
        <f>IF('Statement of Marks'!D51="","",'Statement of Marks'!D51)</f>
        <v/>
      </c>
      <c r="E50" s="285" t="str">
        <f>IF('Statement of Marks'!E51="","",'Statement of Marks'!E51)</f>
        <v/>
      </c>
      <c r="F50" s="285" t="str">
        <f>IF('Statement of Marks'!F51="","",'Statement of Marks'!F51)</f>
        <v/>
      </c>
      <c r="G50" s="285" t="str">
        <f>IF('Statement of Marks'!G51="","",'Statement of Marks'!G51)</f>
        <v/>
      </c>
      <c r="H50" s="286" t="str">
        <f>IF('Statement of Marks'!GY51="","",'Statement of Marks'!GY51)</f>
        <v/>
      </c>
      <c r="I50" s="286" t="str">
        <f>IF('Statement of Marks'!HB51="","",'Statement of Marks'!HB51)</f>
        <v/>
      </c>
      <c r="J50" s="287" t="str">
        <f>IF('Statement of Marks'!HC51="","",'Statement of Marks'!HC51)</f>
        <v/>
      </c>
      <c r="K50" s="295" t="str">
        <f>IF(B50="","",'Statement of Marks'!FJ51)</f>
        <v/>
      </c>
      <c r="L50" s="295" t="str">
        <f>IF(B50="","",'Statement of Marks'!FM51)</f>
        <v/>
      </c>
      <c r="M50" s="295" t="str">
        <f>IF(B50="","",'Statement of Marks'!FP51)</f>
        <v/>
      </c>
      <c r="N50" s="295" t="str">
        <f>IF(B50="","",'Statement of Marks'!FW51)</f>
        <v/>
      </c>
      <c r="O50" s="295" t="str">
        <f>IF(B50="","",'Statement of Marks'!GD51)</f>
        <v/>
      </c>
      <c r="P50" s="295" t="str">
        <f>IF(B50="","",'Statement of Marks'!GK51)</f>
        <v/>
      </c>
      <c r="Q50" s="295" t="str">
        <f>IF(B50="","",'Statement of Marks'!GR51)</f>
        <v/>
      </c>
      <c r="R50" s="295" t="str">
        <f>IF(B50="","",'Statement of Marks'!GS51)</f>
        <v/>
      </c>
      <c r="S50" s="287" t="str">
        <f>IF(COUNTIF(K50:R50,"F")&gt;0,"",CONCATENATE('Statement of Marks'!GU51,'Statement of Marks'!GW51))</f>
        <v xml:space="preserve">           </v>
      </c>
      <c r="T50" s="288">
        <f t="shared" si="0"/>
        <v>0</v>
      </c>
      <c r="U50" s="16"/>
      <c r="V50" s="296" t="str">
        <f t="shared" si="1"/>
        <v/>
      </c>
      <c r="W50" s="296" t="str">
        <f t="shared" si="2"/>
        <v/>
      </c>
      <c r="X50" s="16"/>
      <c r="Y50" s="296" t="str">
        <f t="shared" si="3"/>
        <v/>
      </c>
      <c r="Z50" s="296" t="str">
        <f t="shared" si="4"/>
        <v/>
      </c>
      <c r="AA50" s="16"/>
      <c r="AB50" s="296" t="str">
        <f t="shared" si="5"/>
        <v/>
      </c>
      <c r="AC50" s="297" t="str">
        <f t="shared" si="6"/>
        <v/>
      </c>
      <c r="AD50" s="16"/>
      <c r="AE50" s="296" t="str">
        <f t="shared" si="7"/>
        <v/>
      </c>
      <c r="AF50" s="297" t="str">
        <f t="shared" si="8"/>
        <v/>
      </c>
      <c r="AG50" s="16"/>
      <c r="AH50" s="296" t="str">
        <f t="shared" si="9"/>
        <v/>
      </c>
      <c r="AI50" s="297" t="str">
        <f t="shared" si="10"/>
        <v/>
      </c>
      <c r="AJ50" s="16"/>
      <c r="AK50" s="297" t="str">
        <f t="shared" si="11"/>
        <v/>
      </c>
      <c r="AL50" s="297" t="str">
        <f t="shared" si="12"/>
        <v/>
      </c>
      <c r="AM50" s="16"/>
      <c r="AN50" s="296" t="str">
        <f t="shared" si="13"/>
        <v/>
      </c>
      <c r="AO50" s="16"/>
      <c r="AP50" s="296" t="str">
        <f t="shared" si="14"/>
        <v/>
      </c>
      <c r="AQ50" s="298">
        <f t="shared" si="15"/>
        <v>0</v>
      </c>
      <c r="AR50" s="298">
        <f t="shared" si="16"/>
        <v>0</v>
      </c>
      <c r="AS50" s="299" t="str">
        <f t="shared" si="17"/>
        <v/>
      </c>
      <c r="AT50" s="300" t="str">
        <f>IF(COUNTIF(K50:R50,"F")&gt;0,"",IF(AS50="PASS",'Statement of Marks'!HF51,""))</f>
        <v/>
      </c>
      <c r="AU50" s="300" t="str">
        <f>IF(AS50="PASS",'Statement of Marks'!HG51,"")</f>
        <v/>
      </c>
    </row>
    <row r="51" spans="1:47">
      <c r="A51" s="283">
        <f>IF('Statement of Marks'!A52="","",'Statement of Marks'!A52)</f>
        <v>45</v>
      </c>
      <c r="B51" s="283" t="str">
        <f>IF('Statement of Marks'!B52="","",'Statement of Marks'!B52)</f>
        <v/>
      </c>
      <c r="C51" s="283" t="str">
        <f>IF('Statement of Marks'!C52="","",'Statement of Marks'!C52)</f>
        <v/>
      </c>
      <c r="D51" s="284" t="str">
        <f>IF('Statement of Marks'!D52="","",'Statement of Marks'!D52)</f>
        <v/>
      </c>
      <c r="E51" s="285" t="str">
        <f>IF('Statement of Marks'!E52="","",'Statement of Marks'!E52)</f>
        <v/>
      </c>
      <c r="F51" s="285" t="str">
        <f>IF('Statement of Marks'!F52="","",'Statement of Marks'!F52)</f>
        <v/>
      </c>
      <c r="G51" s="285" t="str">
        <f>IF('Statement of Marks'!G52="","",'Statement of Marks'!G52)</f>
        <v/>
      </c>
      <c r="H51" s="286" t="str">
        <f>IF('Statement of Marks'!GY52="","",'Statement of Marks'!GY52)</f>
        <v/>
      </c>
      <c r="I51" s="286" t="str">
        <f>IF('Statement of Marks'!HB52="","",'Statement of Marks'!HB52)</f>
        <v/>
      </c>
      <c r="J51" s="287" t="str">
        <f>IF('Statement of Marks'!HC52="","",'Statement of Marks'!HC52)</f>
        <v/>
      </c>
      <c r="K51" s="295" t="str">
        <f>IF(B51="","",'Statement of Marks'!FJ52)</f>
        <v/>
      </c>
      <c r="L51" s="295" t="str">
        <f>IF(B51="","",'Statement of Marks'!FM52)</f>
        <v/>
      </c>
      <c r="M51" s="295" t="str">
        <f>IF(B51="","",'Statement of Marks'!FP52)</f>
        <v/>
      </c>
      <c r="N51" s="295" t="str">
        <f>IF(B51="","",'Statement of Marks'!FW52)</f>
        <v/>
      </c>
      <c r="O51" s="295" t="str">
        <f>IF(B51="","",'Statement of Marks'!GD52)</f>
        <v/>
      </c>
      <c r="P51" s="295" t="str">
        <f>IF(B51="","",'Statement of Marks'!GK52)</f>
        <v/>
      </c>
      <c r="Q51" s="295" t="str">
        <f>IF(B51="","",'Statement of Marks'!GR52)</f>
        <v/>
      </c>
      <c r="R51" s="295" t="str">
        <f>IF(B51="","",'Statement of Marks'!GS52)</f>
        <v/>
      </c>
      <c r="S51" s="287" t="str">
        <f>IF(COUNTIF(K51:R51,"F")&gt;0,"",CONCATENATE('Statement of Marks'!GU52,'Statement of Marks'!GW52))</f>
        <v xml:space="preserve">           </v>
      </c>
      <c r="T51" s="288">
        <f t="shared" si="0"/>
        <v>0</v>
      </c>
      <c r="U51" s="16"/>
      <c r="V51" s="296" t="str">
        <f t="shared" si="1"/>
        <v/>
      </c>
      <c r="W51" s="296" t="str">
        <f t="shared" si="2"/>
        <v/>
      </c>
      <c r="X51" s="16"/>
      <c r="Y51" s="296" t="str">
        <f t="shared" si="3"/>
        <v/>
      </c>
      <c r="Z51" s="296" t="str">
        <f t="shared" si="4"/>
        <v/>
      </c>
      <c r="AA51" s="16"/>
      <c r="AB51" s="296" t="str">
        <f t="shared" si="5"/>
        <v/>
      </c>
      <c r="AC51" s="297" t="str">
        <f t="shared" si="6"/>
        <v/>
      </c>
      <c r="AD51" s="16"/>
      <c r="AE51" s="296" t="str">
        <f t="shared" si="7"/>
        <v/>
      </c>
      <c r="AF51" s="297" t="str">
        <f t="shared" si="8"/>
        <v/>
      </c>
      <c r="AG51" s="16"/>
      <c r="AH51" s="296" t="str">
        <f t="shared" si="9"/>
        <v/>
      </c>
      <c r="AI51" s="297" t="str">
        <f t="shared" si="10"/>
        <v/>
      </c>
      <c r="AJ51" s="16"/>
      <c r="AK51" s="297" t="str">
        <f t="shared" si="11"/>
        <v/>
      </c>
      <c r="AL51" s="297" t="str">
        <f t="shared" si="12"/>
        <v/>
      </c>
      <c r="AM51" s="16"/>
      <c r="AN51" s="296" t="str">
        <f t="shared" si="13"/>
        <v/>
      </c>
      <c r="AO51" s="16"/>
      <c r="AP51" s="296" t="str">
        <f t="shared" si="14"/>
        <v/>
      </c>
      <c r="AQ51" s="298">
        <f t="shared" si="15"/>
        <v>0</v>
      </c>
      <c r="AR51" s="298">
        <f t="shared" si="16"/>
        <v>0</v>
      </c>
      <c r="AS51" s="299" t="str">
        <f t="shared" si="17"/>
        <v/>
      </c>
      <c r="AT51" s="300" t="str">
        <f>IF(COUNTIF(K51:R51,"F")&gt;0,"",IF(AS51="PASS",'Statement of Marks'!HF52,""))</f>
        <v/>
      </c>
      <c r="AU51" s="300" t="str">
        <f>IF(AS51="PASS",'Statement of Marks'!HG52,"")</f>
        <v/>
      </c>
    </row>
    <row r="52" spans="1:47">
      <c r="A52" s="283">
        <f>IF('Statement of Marks'!A53="","",'Statement of Marks'!A53)</f>
        <v>46</v>
      </c>
      <c r="B52" s="283" t="str">
        <f>IF('Statement of Marks'!B53="","",'Statement of Marks'!B53)</f>
        <v/>
      </c>
      <c r="C52" s="283" t="str">
        <f>IF('Statement of Marks'!C53="","",'Statement of Marks'!C53)</f>
        <v/>
      </c>
      <c r="D52" s="284" t="str">
        <f>IF('Statement of Marks'!D53="","",'Statement of Marks'!D53)</f>
        <v/>
      </c>
      <c r="E52" s="285" t="str">
        <f>IF('Statement of Marks'!E53="","",'Statement of Marks'!E53)</f>
        <v/>
      </c>
      <c r="F52" s="285" t="str">
        <f>IF('Statement of Marks'!F53="","",'Statement of Marks'!F53)</f>
        <v/>
      </c>
      <c r="G52" s="285" t="str">
        <f>IF('Statement of Marks'!G53="","",'Statement of Marks'!G53)</f>
        <v/>
      </c>
      <c r="H52" s="286" t="str">
        <f>IF('Statement of Marks'!GY53="","",'Statement of Marks'!GY53)</f>
        <v/>
      </c>
      <c r="I52" s="286" t="str">
        <f>IF('Statement of Marks'!HB53="","",'Statement of Marks'!HB53)</f>
        <v/>
      </c>
      <c r="J52" s="287" t="str">
        <f>IF('Statement of Marks'!HC53="","",'Statement of Marks'!HC53)</f>
        <v/>
      </c>
      <c r="K52" s="295" t="str">
        <f>IF(B52="","",'Statement of Marks'!FJ53)</f>
        <v/>
      </c>
      <c r="L52" s="295" t="str">
        <f>IF(B52="","",'Statement of Marks'!FM53)</f>
        <v/>
      </c>
      <c r="M52" s="295" t="str">
        <f>IF(B52="","",'Statement of Marks'!FP53)</f>
        <v/>
      </c>
      <c r="N52" s="295" t="str">
        <f>IF(B52="","",'Statement of Marks'!FW53)</f>
        <v/>
      </c>
      <c r="O52" s="295" t="str">
        <f>IF(B52="","",'Statement of Marks'!GD53)</f>
        <v/>
      </c>
      <c r="P52" s="295" t="str">
        <f>IF(B52="","",'Statement of Marks'!GK53)</f>
        <v/>
      </c>
      <c r="Q52" s="295" t="str">
        <f>IF(B52="","",'Statement of Marks'!GR53)</f>
        <v/>
      </c>
      <c r="R52" s="295" t="str">
        <f>IF(B52="","",'Statement of Marks'!GS53)</f>
        <v/>
      </c>
      <c r="S52" s="287" t="str">
        <f>IF(COUNTIF(K52:R52,"F")&gt;0,"",CONCATENATE('Statement of Marks'!GU53,'Statement of Marks'!GW53))</f>
        <v xml:space="preserve">           </v>
      </c>
      <c r="T52" s="288">
        <f t="shared" si="0"/>
        <v>0</v>
      </c>
      <c r="U52" s="16"/>
      <c r="V52" s="296" t="str">
        <f t="shared" si="1"/>
        <v/>
      </c>
      <c r="W52" s="296" t="str">
        <f t="shared" si="2"/>
        <v/>
      </c>
      <c r="X52" s="16"/>
      <c r="Y52" s="296" t="str">
        <f t="shared" si="3"/>
        <v/>
      </c>
      <c r="Z52" s="296" t="str">
        <f t="shared" si="4"/>
        <v/>
      </c>
      <c r="AA52" s="16"/>
      <c r="AB52" s="296" t="str">
        <f t="shared" si="5"/>
        <v/>
      </c>
      <c r="AC52" s="297" t="str">
        <f t="shared" si="6"/>
        <v/>
      </c>
      <c r="AD52" s="16"/>
      <c r="AE52" s="296" t="str">
        <f t="shared" si="7"/>
        <v/>
      </c>
      <c r="AF52" s="297" t="str">
        <f t="shared" si="8"/>
        <v/>
      </c>
      <c r="AG52" s="16"/>
      <c r="AH52" s="296" t="str">
        <f t="shared" si="9"/>
        <v/>
      </c>
      <c r="AI52" s="297" t="str">
        <f t="shared" si="10"/>
        <v/>
      </c>
      <c r="AJ52" s="16"/>
      <c r="AK52" s="297" t="str">
        <f t="shared" si="11"/>
        <v/>
      </c>
      <c r="AL52" s="297" t="str">
        <f t="shared" si="12"/>
        <v/>
      </c>
      <c r="AM52" s="16"/>
      <c r="AN52" s="296" t="str">
        <f t="shared" si="13"/>
        <v/>
      </c>
      <c r="AO52" s="16"/>
      <c r="AP52" s="296" t="str">
        <f t="shared" si="14"/>
        <v/>
      </c>
      <c r="AQ52" s="298">
        <f t="shared" si="15"/>
        <v>0</v>
      </c>
      <c r="AR52" s="298">
        <f t="shared" si="16"/>
        <v>0</v>
      </c>
      <c r="AS52" s="299" t="str">
        <f t="shared" si="17"/>
        <v/>
      </c>
      <c r="AT52" s="300" t="str">
        <f>IF(COUNTIF(K52:R52,"F")&gt;0,"",IF(AS52="PASS",'Statement of Marks'!HF53,""))</f>
        <v/>
      </c>
      <c r="AU52" s="300" t="str">
        <f>IF(AS52="PASS",'Statement of Marks'!HG53,"")</f>
        <v/>
      </c>
    </row>
    <row r="53" spans="1:47">
      <c r="A53" s="283">
        <f>IF('Statement of Marks'!A54="","",'Statement of Marks'!A54)</f>
        <v>47</v>
      </c>
      <c r="B53" s="283" t="str">
        <f>IF('Statement of Marks'!B54="","",'Statement of Marks'!B54)</f>
        <v/>
      </c>
      <c r="C53" s="283" t="str">
        <f>IF('Statement of Marks'!C54="","",'Statement of Marks'!C54)</f>
        <v/>
      </c>
      <c r="D53" s="284" t="str">
        <f>IF('Statement of Marks'!D54="","",'Statement of Marks'!D54)</f>
        <v/>
      </c>
      <c r="E53" s="285" t="str">
        <f>IF('Statement of Marks'!E54="","",'Statement of Marks'!E54)</f>
        <v/>
      </c>
      <c r="F53" s="285" t="str">
        <f>IF('Statement of Marks'!F54="","",'Statement of Marks'!F54)</f>
        <v/>
      </c>
      <c r="G53" s="285" t="str">
        <f>IF('Statement of Marks'!G54="","",'Statement of Marks'!G54)</f>
        <v/>
      </c>
      <c r="H53" s="286" t="str">
        <f>IF('Statement of Marks'!GY54="","",'Statement of Marks'!GY54)</f>
        <v/>
      </c>
      <c r="I53" s="286" t="str">
        <f>IF('Statement of Marks'!HB54="","",'Statement of Marks'!HB54)</f>
        <v/>
      </c>
      <c r="J53" s="287" t="str">
        <f>IF('Statement of Marks'!HC54="","",'Statement of Marks'!HC54)</f>
        <v/>
      </c>
      <c r="K53" s="295" t="str">
        <f>IF(B53="","",'Statement of Marks'!FJ54)</f>
        <v/>
      </c>
      <c r="L53" s="295" t="str">
        <f>IF(B53="","",'Statement of Marks'!FM54)</f>
        <v/>
      </c>
      <c r="M53" s="295" t="str">
        <f>IF(B53="","",'Statement of Marks'!FP54)</f>
        <v/>
      </c>
      <c r="N53" s="295" t="str">
        <f>IF(B53="","",'Statement of Marks'!FW54)</f>
        <v/>
      </c>
      <c r="O53" s="295" t="str">
        <f>IF(B53="","",'Statement of Marks'!GD54)</f>
        <v/>
      </c>
      <c r="P53" s="295" t="str">
        <f>IF(B53="","",'Statement of Marks'!GK54)</f>
        <v/>
      </c>
      <c r="Q53" s="295" t="str">
        <f>IF(B53="","",'Statement of Marks'!GR54)</f>
        <v/>
      </c>
      <c r="R53" s="295" t="str">
        <f>IF(B53="","",'Statement of Marks'!GS54)</f>
        <v/>
      </c>
      <c r="S53" s="287" t="str">
        <f>IF(COUNTIF(K53:R53,"F")&gt;0,"",CONCATENATE('Statement of Marks'!GU54,'Statement of Marks'!GW54))</f>
        <v xml:space="preserve">           </v>
      </c>
      <c r="T53" s="288">
        <f t="shared" si="0"/>
        <v>0</v>
      </c>
      <c r="U53" s="16"/>
      <c r="V53" s="296" t="str">
        <f t="shared" si="1"/>
        <v/>
      </c>
      <c r="W53" s="296" t="str">
        <f t="shared" si="2"/>
        <v/>
      </c>
      <c r="X53" s="16"/>
      <c r="Y53" s="296" t="str">
        <f t="shared" si="3"/>
        <v/>
      </c>
      <c r="Z53" s="296" t="str">
        <f t="shared" si="4"/>
        <v/>
      </c>
      <c r="AA53" s="16"/>
      <c r="AB53" s="296" t="str">
        <f t="shared" si="5"/>
        <v/>
      </c>
      <c r="AC53" s="297" t="str">
        <f t="shared" si="6"/>
        <v/>
      </c>
      <c r="AD53" s="16"/>
      <c r="AE53" s="296" t="str">
        <f t="shared" si="7"/>
        <v/>
      </c>
      <c r="AF53" s="297" t="str">
        <f t="shared" si="8"/>
        <v/>
      </c>
      <c r="AG53" s="16"/>
      <c r="AH53" s="296" t="str">
        <f t="shared" si="9"/>
        <v/>
      </c>
      <c r="AI53" s="297" t="str">
        <f t="shared" si="10"/>
        <v/>
      </c>
      <c r="AJ53" s="16"/>
      <c r="AK53" s="297" t="str">
        <f t="shared" si="11"/>
        <v/>
      </c>
      <c r="AL53" s="297" t="str">
        <f t="shared" si="12"/>
        <v/>
      </c>
      <c r="AM53" s="16"/>
      <c r="AN53" s="296" t="str">
        <f t="shared" si="13"/>
        <v/>
      </c>
      <c r="AO53" s="16"/>
      <c r="AP53" s="296" t="str">
        <f t="shared" si="14"/>
        <v/>
      </c>
      <c r="AQ53" s="298">
        <f t="shared" si="15"/>
        <v>0</v>
      </c>
      <c r="AR53" s="298">
        <f t="shared" si="16"/>
        <v>0</v>
      </c>
      <c r="AS53" s="299" t="str">
        <f t="shared" si="17"/>
        <v/>
      </c>
      <c r="AT53" s="300" t="str">
        <f>IF(COUNTIF(K53:R53,"F")&gt;0,"",IF(AS53="PASS",'Statement of Marks'!HF54,""))</f>
        <v/>
      </c>
      <c r="AU53" s="300" t="str">
        <f>IF(AS53="PASS",'Statement of Marks'!HG54,"")</f>
        <v/>
      </c>
    </row>
    <row r="54" spans="1:47">
      <c r="A54" s="283">
        <f>IF('Statement of Marks'!A55="","",'Statement of Marks'!A55)</f>
        <v>48</v>
      </c>
      <c r="B54" s="283" t="str">
        <f>IF('Statement of Marks'!B55="","",'Statement of Marks'!B55)</f>
        <v/>
      </c>
      <c r="C54" s="283" t="str">
        <f>IF('Statement of Marks'!C55="","",'Statement of Marks'!C55)</f>
        <v/>
      </c>
      <c r="D54" s="284" t="str">
        <f>IF('Statement of Marks'!D55="","",'Statement of Marks'!D55)</f>
        <v/>
      </c>
      <c r="E54" s="285" t="str">
        <f>IF('Statement of Marks'!E55="","",'Statement of Marks'!E55)</f>
        <v/>
      </c>
      <c r="F54" s="285" t="str">
        <f>IF('Statement of Marks'!F55="","",'Statement of Marks'!F55)</f>
        <v/>
      </c>
      <c r="G54" s="285" t="str">
        <f>IF('Statement of Marks'!G55="","",'Statement of Marks'!G55)</f>
        <v/>
      </c>
      <c r="H54" s="286" t="str">
        <f>IF('Statement of Marks'!GY55="","",'Statement of Marks'!GY55)</f>
        <v/>
      </c>
      <c r="I54" s="286" t="str">
        <f>IF('Statement of Marks'!HB55="","",'Statement of Marks'!HB55)</f>
        <v/>
      </c>
      <c r="J54" s="287" t="str">
        <f>IF('Statement of Marks'!HC55="","",'Statement of Marks'!HC55)</f>
        <v/>
      </c>
      <c r="K54" s="295" t="str">
        <f>IF(B54="","",'Statement of Marks'!FJ55)</f>
        <v/>
      </c>
      <c r="L54" s="295" t="str">
        <f>IF(B54="","",'Statement of Marks'!FM55)</f>
        <v/>
      </c>
      <c r="M54" s="295" t="str">
        <f>IF(B54="","",'Statement of Marks'!FP55)</f>
        <v/>
      </c>
      <c r="N54" s="295" t="str">
        <f>IF(B54="","",'Statement of Marks'!FW55)</f>
        <v/>
      </c>
      <c r="O54" s="295" t="str">
        <f>IF(B54="","",'Statement of Marks'!GD55)</f>
        <v/>
      </c>
      <c r="P54" s="295" t="str">
        <f>IF(B54="","",'Statement of Marks'!GK55)</f>
        <v/>
      </c>
      <c r="Q54" s="295" t="str">
        <f>IF(B54="","",'Statement of Marks'!GR55)</f>
        <v/>
      </c>
      <c r="R54" s="295" t="str">
        <f>IF(B54="","",'Statement of Marks'!GS55)</f>
        <v/>
      </c>
      <c r="S54" s="287" t="str">
        <f>IF(COUNTIF(K54:R54,"F")&gt;0,"",CONCATENATE('Statement of Marks'!GU55,'Statement of Marks'!GW55))</f>
        <v xml:space="preserve">           </v>
      </c>
      <c r="T54" s="288">
        <f t="shared" si="0"/>
        <v>0</v>
      </c>
      <c r="U54" s="16"/>
      <c r="V54" s="296" t="str">
        <f t="shared" si="1"/>
        <v/>
      </c>
      <c r="W54" s="296" t="str">
        <f t="shared" si="2"/>
        <v/>
      </c>
      <c r="X54" s="16"/>
      <c r="Y54" s="296" t="str">
        <f t="shared" si="3"/>
        <v/>
      </c>
      <c r="Z54" s="296" t="str">
        <f t="shared" si="4"/>
        <v/>
      </c>
      <c r="AA54" s="16"/>
      <c r="AB54" s="296" t="str">
        <f t="shared" si="5"/>
        <v/>
      </c>
      <c r="AC54" s="297" t="str">
        <f t="shared" si="6"/>
        <v/>
      </c>
      <c r="AD54" s="16"/>
      <c r="AE54" s="296" t="str">
        <f t="shared" si="7"/>
        <v/>
      </c>
      <c r="AF54" s="297" t="str">
        <f t="shared" si="8"/>
        <v/>
      </c>
      <c r="AG54" s="16"/>
      <c r="AH54" s="296" t="str">
        <f t="shared" si="9"/>
        <v/>
      </c>
      <c r="AI54" s="297" t="str">
        <f t="shared" si="10"/>
        <v/>
      </c>
      <c r="AJ54" s="16"/>
      <c r="AK54" s="297" t="str">
        <f t="shared" si="11"/>
        <v/>
      </c>
      <c r="AL54" s="297" t="str">
        <f t="shared" si="12"/>
        <v/>
      </c>
      <c r="AM54" s="16"/>
      <c r="AN54" s="296" t="str">
        <f t="shared" si="13"/>
        <v/>
      </c>
      <c r="AO54" s="16"/>
      <c r="AP54" s="296" t="str">
        <f t="shared" si="14"/>
        <v/>
      </c>
      <c r="AQ54" s="298">
        <f t="shared" si="15"/>
        <v>0</v>
      </c>
      <c r="AR54" s="298">
        <f t="shared" si="16"/>
        <v>0</v>
      </c>
      <c r="AS54" s="299" t="str">
        <f t="shared" si="17"/>
        <v/>
      </c>
      <c r="AT54" s="300" t="str">
        <f>IF(COUNTIF(K54:R54,"F")&gt;0,"",IF(AS54="PASS",'Statement of Marks'!HF55,""))</f>
        <v/>
      </c>
      <c r="AU54" s="300" t="str">
        <f>IF(AS54="PASS",'Statement of Marks'!HG55,"")</f>
        <v/>
      </c>
    </row>
    <row r="55" spans="1:47">
      <c r="A55" s="283">
        <f>IF('Statement of Marks'!A56="","",'Statement of Marks'!A56)</f>
        <v>49</v>
      </c>
      <c r="B55" s="283" t="str">
        <f>IF('Statement of Marks'!B56="","",'Statement of Marks'!B56)</f>
        <v/>
      </c>
      <c r="C55" s="283" t="str">
        <f>IF('Statement of Marks'!C56="","",'Statement of Marks'!C56)</f>
        <v/>
      </c>
      <c r="D55" s="284" t="str">
        <f>IF('Statement of Marks'!D56="","",'Statement of Marks'!D56)</f>
        <v/>
      </c>
      <c r="E55" s="285" t="str">
        <f>IF('Statement of Marks'!E56="","",'Statement of Marks'!E56)</f>
        <v/>
      </c>
      <c r="F55" s="285" t="str">
        <f>IF('Statement of Marks'!F56="","",'Statement of Marks'!F56)</f>
        <v/>
      </c>
      <c r="G55" s="285" t="str">
        <f>IF('Statement of Marks'!G56="","",'Statement of Marks'!G56)</f>
        <v/>
      </c>
      <c r="H55" s="286" t="str">
        <f>IF('Statement of Marks'!GY56="","",'Statement of Marks'!GY56)</f>
        <v/>
      </c>
      <c r="I55" s="286" t="str">
        <f>IF('Statement of Marks'!HB56="","",'Statement of Marks'!HB56)</f>
        <v/>
      </c>
      <c r="J55" s="287" t="str">
        <f>IF('Statement of Marks'!HC56="","",'Statement of Marks'!HC56)</f>
        <v/>
      </c>
      <c r="K55" s="295" t="str">
        <f>IF(B55="","",'Statement of Marks'!FJ56)</f>
        <v/>
      </c>
      <c r="L55" s="295" t="str">
        <f>IF(B55="","",'Statement of Marks'!FM56)</f>
        <v/>
      </c>
      <c r="M55" s="295" t="str">
        <f>IF(B55="","",'Statement of Marks'!FP56)</f>
        <v/>
      </c>
      <c r="N55" s="295" t="str">
        <f>IF(B55="","",'Statement of Marks'!FW56)</f>
        <v/>
      </c>
      <c r="O55" s="295" t="str">
        <f>IF(B55="","",'Statement of Marks'!GD56)</f>
        <v/>
      </c>
      <c r="P55" s="295" t="str">
        <f>IF(B55="","",'Statement of Marks'!GK56)</f>
        <v/>
      </c>
      <c r="Q55" s="295" t="str">
        <f>IF(B55="","",'Statement of Marks'!GR56)</f>
        <v/>
      </c>
      <c r="R55" s="295" t="str">
        <f>IF(B55="","",'Statement of Marks'!GS56)</f>
        <v/>
      </c>
      <c r="S55" s="287" t="str">
        <f>IF(COUNTIF(K55:R55,"F")&gt;0,"",CONCATENATE('Statement of Marks'!GU56,'Statement of Marks'!GW56))</f>
        <v xml:space="preserve">           </v>
      </c>
      <c r="T55" s="288">
        <f t="shared" si="0"/>
        <v>0</v>
      </c>
      <c r="U55" s="16"/>
      <c r="V55" s="296" t="str">
        <f t="shared" si="1"/>
        <v/>
      </c>
      <c r="W55" s="296" t="str">
        <f t="shared" si="2"/>
        <v/>
      </c>
      <c r="X55" s="16"/>
      <c r="Y55" s="296" t="str">
        <f t="shared" si="3"/>
        <v/>
      </c>
      <c r="Z55" s="296" t="str">
        <f t="shared" si="4"/>
        <v/>
      </c>
      <c r="AA55" s="16"/>
      <c r="AB55" s="296" t="str">
        <f t="shared" si="5"/>
        <v/>
      </c>
      <c r="AC55" s="297" t="str">
        <f t="shared" si="6"/>
        <v/>
      </c>
      <c r="AD55" s="16"/>
      <c r="AE55" s="296" t="str">
        <f t="shared" si="7"/>
        <v/>
      </c>
      <c r="AF55" s="297" t="str">
        <f t="shared" si="8"/>
        <v/>
      </c>
      <c r="AG55" s="16"/>
      <c r="AH55" s="296" t="str">
        <f t="shared" si="9"/>
        <v/>
      </c>
      <c r="AI55" s="297" t="str">
        <f t="shared" si="10"/>
        <v/>
      </c>
      <c r="AJ55" s="16"/>
      <c r="AK55" s="297" t="str">
        <f t="shared" si="11"/>
        <v/>
      </c>
      <c r="AL55" s="297" t="str">
        <f t="shared" si="12"/>
        <v/>
      </c>
      <c r="AM55" s="16"/>
      <c r="AN55" s="296" t="str">
        <f t="shared" si="13"/>
        <v/>
      </c>
      <c r="AO55" s="16"/>
      <c r="AP55" s="296" t="str">
        <f t="shared" si="14"/>
        <v/>
      </c>
      <c r="AQ55" s="298">
        <f t="shared" si="15"/>
        <v>0</v>
      </c>
      <c r="AR55" s="298">
        <f t="shared" si="16"/>
        <v>0</v>
      </c>
      <c r="AS55" s="299" t="str">
        <f t="shared" si="17"/>
        <v/>
      </c>
      <c r="AT55" s="300" t="str">
        <f>IF(COUNTIF(K55:R55,"F")&gt;0,"",IF(AS55="PASS",'Statement of Marks'!HF56,""))</f>
        <v/>
      </c>
      <c r="AU55" s="300" t="str">
        <f>IF(AS55="PASS",'Statement of Marks'!HG56,"")</f>
        <v/>
      </c>
    </row>
    <row r="56" spans="1:47">
      <c r="A56" s="283">
        <f>IF('Statement of Marks'!A57="","",'Statement of Marks'!A57)</f>
        <v>50</v>
      </c>
      <c r="B56" s="283" t="str">
        <f>IF('Statement of Marks'!B57="","",'Statement of Marks'!B57)</f>
        <v/>
      </c>
      <c r="C56" s="283" t="str">
        <f>IF('Statement of Marks'!C57="","",'Statement of Marks'!C57)</f>
        <v/>
      </c>
      <c r="D56" s="284" t="str">
        <f>IF('Statement of Marks'!D57="","",'Statement of Marks'!D57)</f>
        <v/>
      </c>
      <c r="E56" s="285" t="str">
        <f>IF('Statement of Marks'!E57="","",'Statement of Marks'!E57)</f>
        <v/>
      </c>
      <c r="F56" s="285" t="str">
        <f>IF('Statement of Marks'!F57="","",'Statement of Marks'!F57)</f>
        <v/>
      </c>
      <c r="G56" s="285" t="str">
        <f>IF('Statement of Marks'!G57="","",'Statement of Marks'!G57)</f>
        <v/>
      </c>
      <c r="H56" s="286" t="str">
        <f>IF('Statement of Marks'!GY57="","",'Statement of Marks'!GY57)</f>
        <v/>
      </c>
      <c r="I56" s="286" t="str">
        <f>IF('Statement of Marks'!HB57="","",'Statement of Marks'!HB57)</f>
        <v/>
      </c>
      <c r="J56" s="287" t="str">
        <f>IF('Statement of Marks'!HC57="","",'Statement of Marks'!HC57)</f>
        <v/>
      </c>
      <c r="K56" s="295" t="str">
        <f>IF(B56="","",'Statement of Marks'!FJ57)</f>
        <v/>
      </c>
      <c r="L56" s="295" t="str">
        <f>IF(B56="","",'Statement of Marks'!FM57)</f>
        <v/>
      </c>
      <c r="M56" s="295" t="str">
        <f>IF(B56="","",'Statement of Marks'!FP57)</f>
        <v/>
      </c>
      <c r="N56" s="295" t="str">
        <f>IF(B56="","",'Statement of Marks'!FW57)</f>
        <v/>
      </c>
      <c r="O56" s="295" t="str">
        <f>IF(B56="","",'Statement of Marks'!GD57)</f>
        <v/>
      </c>
      <c r="P56" s="295" t="str">
        <f>IF(B56="","",'Statement of Marks'!GK57)</f>
        <v/>
      </c>
      <c r="Q56" s="295" t="str">
        <f>IF(B56="","",'Statement of Marks'!GR57)</f>
        <v/>
      </c>
      <c r="R56" s="295" t="str">
        <f>IF(B56="","",'Statement of Marks'!GS57)</f>
        <v/>
      </c>
      <c r="S56" s="287" t="str">
        <f>IF(COUNTIF(K56:R56,"F")&gt;0,"",CONCATENATE('Statement of Marks'!GU57,'Statement of Marks'!GW57))</f>
        <v xml:space="preserve">           </v>
      </c>
      <c r="T56" s="288">
        <f t="shared" si="0"/>
        <v>0</v>
      </c>
      <c r="U56" s="16"/>
      <c r="V56" s="296" t="str">
        <f t="shared" si="1"/>
        <v/>
      </c>
      <c r="W56" s="296" t="str">
        <f t="shared" si="2"/>
        <v/>
      </c>
      <c r="X56" s="16"/>
      <c r="Y56" s="296" t="str">
        <f t="shared" si="3"/>
        <v/>
      </c>
      <c r="Z56" s="296" t="str">
        <f t="shared" si="4"/>
        <v/>
      </c>
      <c r="AA56" s="16"/>
      <c r="AB56" s="296" t="str">
        <f t="shared" si="5"/>
        <v/>
      </c>
      <c r="AC56" s="297" t="str">
        <f t="shared" si="6"/>
        <v/>
      </c>
      <c r="AD56" s="16"/>
      <c r="AE56" s="296" t="str">
        <f t="shared" si="7"/>
        <v/>
      </c>
      <c r="AF56" s="297" t="str">
        <f t="shared" si="8"/>
        <v/>
      </c>
      <c r="AG56" s="16"/>
      <c r="AH56" s="296" t="str">
        <f t="shared" si="9"/>
        <v/>
      </c>
      <c r="AI56" s="297" t="str">
        <f t="shared" si="10"/>
        <v/>
      </c>
      <c r="AJ56" s="16"/>
      <c r="AK56" s="297" t="str">
        <f t="shared" si="11"/>
        <v/>
      </c>
      <c r="AL56" s="297" t="str">
        <f t="shared" si="12"/>
        <v/>
      </c>
      <c r="AM56" s="16"/>
      <c r="AN56" s="296" t="str">
        <f t="shared" si="13"/>
        <v/>
      </c>
      <c r="AO56" s="16"/>
      <c r="AP56" s="296" t="str">
        <f t="shared" si="14"/>
        <v/>
      </c>
      <c r="AQ56" s="298">
        <f t="shared" si="15"/>
        <v>0</v>
      </c>
      <c r="AR56" s="298">
        <f t="shared" si="16"/>
        <v>0</v>
      </c>
      <c r="AS56" s="299" t="str">
        <f t="shared" si="17"/>
        <v/>
      </c>
      <c r="AT56" s="300" t="str">
        <f>IF(COUNTIF(K56:R56,"F")&gt;0,"",IF(AS56="PASS",'Statement of Marks'!HF57,""))</f>
        <v/>
      </c>
      <c r="AU56" s="300" t="str">
        <f>IF(AS56="PASS",'Statement of Marks'!HG57,"")</f>
        <v/>
      </c>
    </row>
    <row r="57" spans="1:47">
      <c r="A57" s="283">
        <f>IF('Statement of Marks'!A58="","",'Statement of Marks'!A58)</f>
        <v>51</v>
      </c>
      <c r="B57" s="283" t="str">
        <f>IF('Statement of Marks'!B58="","",'Statement of Marks'!B58)</f>
        <v/>
      </c>
      <c r="C57" s="283" t="str">
        <f>IF('Statement of Marks'!C58="","",'Statement of Marks'!C58)</f>
        <v/>
      </c>
      <c r="D57" s="284" t="str">
        <f>IF('Statement of Marks'!D58="","",'Statement of Marks'!D58)</f>
        <v/>
      </c>
      <c r="E57" s="285" t="str">
        <f>IF('Statement of Marks'!E58="","",'Statement of Marks'!E58)</f>
        <v/>
      </c>
      <c r="F57" s="285" t="str">
        <f>IF('Statement of Marks'!F58="","",'Statement of Marks'!F58)</f>
        <v/>
      </c>
      <c r="G57" s="285" t="str">
        <f>IF('Statement of Marks'!G58="","",'Statement of Marks'!G58)</f>
        <v/>
      </c>
      <c r="H57" s="286" t="str">
        <f>IF('Statement of Marks'!GY58="","",'Statement of Marks'!GY58)</f>
        <v/>
      </c>
      <c r="I57" s="286" t="str">
        <f>IF('Statement of Marks'!HB58="","",'Statement of Marks'!HB58)</f>
        <v/>
      </c>
      <c r="J57" s="287" t="str">
        <f>IF('Statement of Marks'!HC58="","",'Statement of Marks'!HC58)</f>
        <v/>
      </c>
      <c r="K57" s="295" t="str">
        <f>IF(B57="","",'Statement of Marks'!FJ58)</f>
        <v/>
      </c>
      <c r="L57" s="295" t="str">
        <f>IF(B57="","",'Statement of Marks'!FM58)</f>
        <v/>
      </c>
      <c r="M57" s="295" t="str">
        <f>IF(B57="","",'Statement of Marks'!FP58)</f>
        <v/>
      </c>
      <c r="N57" s="295" t="str">
        <f>IF(B57="","",'Statement of Marks'!FW58)</f>
        <v/>
      </c>
      <c r="O57" s="295" t="str">
        <f>IF(B57="","",'Statement of Marks'!GD58)</f>
        <v/>
      </c>
      <c r="P57" s="295" t="str">
        <f>IF(B57="","",'Statement of Marks'!GK58)</f>
        <v/>
      </c>
      <c r="Q57" s="295" t="str">
        <f>IF(B57="","",'Statement of Marks'!GR58)</f>
        <v/>
      </c>
      <c r="R57" s="295" t="str">
        <f>IF(B57="","",'Statement of Marks'!GS58)</f>
        <v/>
      </c>
      <c r="S57" s="287" t="str">
        <f>IF(COUNTIF(K57:R57,"F")&gt;0,"",CONCATENATE('Statement of Marks'!GU58,'Statement of Marks'!GW58))</f>
        <v xml:space="preserve">           </v>
      </c>
      <c r="T57" s="288">
        <f t="shared" si="0"/>
        <v>0</v>
      </c>
      <c r="U57" s="16"/>
      <c r="V57" s="296" t="str">
        <f t="shared" si="1"/>
        <v/>
      </c>
      <c r="W57" s="296" t="str">
        <f t="shared" si="2"/>
        <v/>
      </c>
      <c r="X57" s="16"/>
      <c r="Y57" s="296" t="str">
        <f t="shared" si="3"/>
        <v/>
      </c>
      <c r="Z57" s="296" t="str">
        <f t="shared" si="4"/>
        <v/>
      </c>
      <c r="AA57" s="16"/>
      <c r="AB57" s="296" t="str">
        <f t="shared" si="5"/>
        <v/>
      </c>
      <c r="AC57" s="297" t="str">
        <f t="shared" si="6"/>
        <v/>
      </c>
      <c r="AD57" s="16"/>
      <c r="AE57" s="296" t="str">
        <f t="shared" si="7"/>
        <v/>
      </c>
      <c r="AF57" s="297" t="str">
        <f t="shared" si="8"/>
        <v/>
      </c>
      <c r="AG57" s="16"/>
      <c r="AH57" s="296" t="str">
        <f t="shared" si="9"/>
        <v/>
      </c>
      <c r="AI57" s="297" t="str">
        <f t="shared" si="10"/>
        <v/>
      </c>
      <c r="AJ57" s="16"/>
      <c r="AK57" s="297" t="str">
        <f t="shared" si="11"/>
        <v/>
      </c>
      <c r="AL57" s="297" t="str">
        <f t="shared" si="12"/>
        <v/>
      </c>
      <c r="AM57" s="16"/>
      <c r="AN57" s="296" t="str">
        <f t="shared" si="13"/>
        <v/>
      </c>
      <c r="AO57" s="16"/>
      <c r="AP57" s="296" t="str">
        <f t="shared" si="14"/>
        <v/>
      </c>
      <c r="AQ57" s="298">
        <f t="shared" si="15"/>
        <v>0</v>
      </c>
      <c r="AR57" s="298">
        <f t="shared" si="16"/>
        <v>0</v>
      </c>
      <c r="AS57" s="299" t="str">
        <f t="shared" si="17"/>
        <v/>
      </c>
      <c r="AT57" s="300" t="str">
        <f>IF(COUNTIF(K57:R57,"F")&gt;0,"",IF(AS57="PASS",'Statement of Marks'!HF58,""))</f>
        <v/>
      </c>
      <c r="AU57" s="300" t="str">
        <f>IF(AS57="PASS",'Statement of Marks'!HG58,"")</f>
        <v/>
      </c>
    </row>
    <row r="58" spans="1:47">
      <c r="A58" s="283">
        <f>IF('Statement of Marks'!A59="","",'Statement of Marks'!A59)</f>
        <v>52</v>
      </c>
      <c r="B58" s="283" t="str">
        <f>IF('Statement of Marks'!B59="","",'Statement of Marks'!B59)</f>
        <v/>
      </c>
      <c r="C58" s="283" t="str">
        <f>IF('Statement of Marks'!C59="","",'Statement of Marks'!C59)</f>
        <v/>
      </c>
      <c r="D58" s="284" t="str">
        <f>IF('Statement of Marks'!D59="","",'Statement of Marks'!D59)</f>
        <v/>
      </c>
      <c r="E58" s="285" t="str">
        <f>IF('Statement of Marks'!E59="","",'Statement of Marks'!E59)</f>
        <v/>
      </c>
      <c r="F58" s="285" t="str">
        <f>IF('Statement of Marks'!F59="","",'Statement of Marks'!F59)</f>
        <v/>
      </c>
      <c r="G58" s="285" t="str">
        <f>IF('Statement of Marks'!G59="","",'Statement of Marks'!G59)</f>
        <v/>
      </c>
      <c r="H58" s="286" t="str">
        <f>IF('Statement of Marks'!GY59="","",'Statement of Marks'!GY59)</f>
        <v/>
      </c>
      <c r="I58" s="286" t="str">
        <f>IF('Statement of Marks'!HB59="","",'Statement of Marks'!HB59)</f>
        <v/>
      </c>
      <c r="J58" s="287" t="str">
        <f>IF('Statement of Marks'!HC59="","",'Statement of Marks'!HC59)</f>
        <v/>
      </c>
      <c r="K58" s="295" t="str">
        <f>IF(B58="","",'Statement of Marks'!FJ59)</f>
        <v/>
      </c>
      <c r="L58" s="295" t="str">
        <f>IF(B58="","",'Statement of Marks'!FM59)</f>
        <v/>
      </c>
      <c r="M58" s="295" t="str">
        <f>IF(B58="","",'Statement of Marks'!FP59)</f>
        <v/>
      </c>
      <c r="N58" s="295" t="str">
        <f>IF(B58="","",'Statement of Marks'!FW59)</f>
        <v/>
      </c>
      <c r="O58" s="295" t="str">
        <f>IF(B58="","",'Statement of Marks'!GD59)</f>
        <v/>
      </c>
      <c r="P58" s="295" t="str">
        <f>IF(B58="","",'Statement of Marks'!GK59)</f>
        <v/>
      </c>
      <c r="Q58" s="295" t="str">
        <f>IF(B58="","",'Statement of Marks'!GR59)</f>
        <v/>
      </c>
      <c r="R58" s="295" t="str">
        <f>IF(B58="","",'Statement of Marks'!GS59)</f>
        <v/>
      </c>
      <c r="S58" s="287" t="str">
        <f>IF(COUNTIF(K58:R58,"F")&gt;0,"",CONCATENATE('Statement of Marks'!GU59,'Statement of Marks'!GW59))</f>
        <v xml:space="preserve">           </v>
      </c>
      <c r="T58" s="288">
        <f t="shared" si="0"/>
        <v>0</v>
      </c>
      <c r="U58" s="16"/>
      <c r="V58" s="296" t="str">
        <f t="shared" si="1"/>
        <v/>
      </c>
      <c r="W58" s="296" t="str">
        <f t="shared" si="2"/>
        <v/>
      </c>
      <c r="X58" s="16"/>
      <c r="Y58" s="296" t="str">
        <f t="shared" si="3"/>
        <v/>
      </c>
      <c r="Z58" s="296" t="str">
        <f t="shared" si="4"/>
        <v/>
      </c>
      <c r="AA58" s="16"/>
      <c r="AB58" s="296" t="str">
        <f t="shared" si="5"/>
        <v/>
      </c>
      <c r="AC58" s="297" t="str">
        <f t="shared" si="6"/>
        <v/>
      </c>
      <c r="AD58" s="16"/>
      <c r="AE58" s="296" t="str">
        <f t="shared" si="7"/>
        <v/>
      </c>
      <c r="AF58" s="297" t="str">
        <f t="shared" si="8"/>
        <v/>
      </c>
      <c r="AG58" s="16"/>
      <c r="AH58" s="296" t="str">
        <f t="shared" si="9"/>
        <v/>
      </c>
      <c r="AI58" s="297" t="str">
        <f t="shared" si="10"/>
        <v/>
      </c>
      <c r="AJ58" s="16"/>
      <c r="AK58" s="297" t="str">
        <f t="shared" si="11"/>
        <v/>
      </c>
      <c r="AL58" s="297" t="str">
        <f t="shared" si="12"/>
        <v/>
      </c>
      <c r="AM58" s="16"/>
      <c r="AN58" s="296" t="str">
        <f t="shared" si="13"/>
        <v/>
      </c>
      <c r="AO58" s="16"/>
      <c r="AP58" s="296" t="str">
        <f t="shared" si="14"/>
        <v/>
      </c>
      <c r="AQ58" s="298">
        <f t="shared" si="15"/>
        <v>0</v>
      </c>
      <c r="AR58" s="298">
        <f t="shared" si="16"/>
        <v>0</v>
      </c>
      <c r="AS58" s="299" t="str">
        <f t="shared" si="17"/>
        <v/>
      </c>
      <c r="AT58" s="300" t="str">
        <f>IF(COUNTIF(K58:R58,"F")&gt;0,"",IF(AS58="PASS",'Statement of Marks'!HF59,""))</f>
        <v/>
      </c>
      <c r="AU58" s="300" t="str">
        <f>IF(AS58="PASS",'Statement of Marks'!HG59,"")</f>
        <v/>
      </c>
    </row>
    <row r="59" spans="1:47">
      <c r="A59" s="283">
        <f>IF('Statement of Marks'!A60="","",'Statement of Marks'!A60)</f>
        <v>53</v>
      </c>
      <c r="B59" s="283" t="str">
        <f>IF('Statement of Marks'!B60="","",'Statement of Marks'!B60)</f>
        <v/>
      </c>
      <c r="C59" s="283" t="str">
        <f>IF('Statement of Marks'!C60="","",'Statement of Marks'!C60)</f>
        <v/>
      </c>
      <c r="D59" s="284" t="str">
        <f>IF('Statement of Marks'!D60="","",'Statement of Marks'!D60)</f>
        <v/>
      </c>
      <c r="E59" s="285" t="str">
        <f>IF('Statement of Marks'!E60="","",'Statement of Marks'!E60)</f>
        <v/>
      </c>
      <c r="F59" s="285" t="str">
        <f>IF('Statement of Marks'!F60="","",'Statement of Marks'!F60)</f>
        <v/>
      </c>
      <c r="G59" s="285" t="str">
        <f>IF('Statement of Marks'!G60="","",'Statement of Marks'!G60)</f>
        <v/>
      </c>
      <c r="H59" s="286" t="str">
        <f>IF('Statement of Marks'!GY60="","",'Statement of Marks'!GY60)</f>
        <v/>
      </c>
      <c r="I59" s="286" t="str">
        <f>IF('Statement of Marks'!HB60="","",'Statement of Marks'!HB60)</f>
        <v/>
      </c>
      <c r="J59" s="287" t="str">
        <f>IF('Statement of Marks'!HC60="","",'Statement of Marks'!HC60)</f>
        <v/>
      </c>
      <c r="K59" s="295" t="str">
        <f>IF(B59="","",'Statement of Marks'!FJ60)</f>
        <v/>
      </c>
      <c r="L59" s="295" t="str">
        <f>IF(B59="","",'Statement of Marks'!FM60)</f>
        <v/>
      </c>
      <c r="M59" s="295" t="str">
        <f>IF(B59="","",'Statement of Marks'!FP60)</f>
        <v/>
      </c>
      <c r="N59" s="295" t="str">
        <f>IF(B59="","",'Statement of Marks'!FW60)</f>
        <v/>
      </c>
      <c r="O59" s="295" t="str">
        <f>IF(B59="","",'Statement of Marks'!GD60)</f>
        <v/>
      </c>
      <c r="P59" s="295" t="str">
        <f>IF(B59="","",'Statement of Marks'!GK60)</f>
        <v/>
      </c>
      <c r="Q59" s="295" t="str">
        <f>IF(B59="","",'Statement of Marks'!GR60)</f>
        <v/>
      </c>
      <c r="R59" s="295" t="str">
        <f>IF(B59="","",'Statement of Marks'!GS60)</f>
        <v/>
      </c>
      <c r="S59" s="287" t="str">
        <f>IF(COUNTIF(K59:R59,"F")&gt;0,"",CONCATENATE('Statement of Marks'!GU60,'Statement of Marks'!GW60))</f>
        <v xml:space="preserve">           </v>
      </c>
      <c r="T59" s="288">
        <f t="shared" si="0"/>
        <v>0</v>
      </c>
      <c r="U59" s="16"/>
      <c r="V59" s="296" t="str">
        <f t="shared" si="1"/>
        <v/>
      </c>
      <c r="W59" s="296" t="str">
        <f t="shared" si="2"/>
        <v/>
      </c>
      <c r="X59" s="16"/>
      <c r="Y59" s="296" t="str">
        <f t="shared" si="3"/>
        <v/>
      </c>
      <c r="Z59" s="296" t="str">
        <f t="shared" si="4"/>
        <v/>
      </c>
      <c r="AA59" s="16"/>
      <c r="AB59" s="296" t="str">
        <f t="shared" si="5"/>
        <v/>
      </c>
      <c r="AC59" s="297" t="str">
        <f t="shared" si="6"/>
        <v/>
      </c>
      <c r="AD59" s="16"/>
      <c r="AE59" s="296" t="str">
        <f t="shared" si="7"/>
        <v/>
      </c>
      <c r="AF59" s="297" t="str">
        <f t="shared" si="8"/>
        <v/>
      </c>
      <c r="AG59" s="16"/>
      <c r="AH59" s="296" t="str">
        <f t="shared" si="9"/>
        <v/>
      </c>
      <c r="AI59" s="297" t="str">
        <f t="shared" si="10"/>
        <v/>
      </c>
      <c r="AJ59" s="16"/>
      <c r="AK59" s="297" t="str">
        <f t="shared" si="11"/>
        <v/>
      </c>
      <c r="AL59" s="297" t="str">
        <f t="shared" si="12"/>
        <v/>
      </c>
      <c r="AM59" s="16"/>
      <c r="AN59" s="296" t="str">
        <f t="shared" si="13"/>
        <v/>
      </c>
      <c r="AO59" s="16"/>
      <c r="AP59" s="296" t="str">
        <f t="shared" si="14"/>
        <v/>
      </c>
      <c r="AQ59" s="298">
        <f t="shared" si="15"/>
        <v>0</v>
      </c>
      <c r="AR59" s="298">
        <f t="shared" si="16"/>
        <v>0</v>
      </c>
      <c r="AS59" s="299" t="str">
        <f t="shared" si="17"/>
        <v/>
      </c>
      <c r="AT59" s="300" t="str">
        <f>IF(COUNTIF(K59:R59,"F")&gt;0,"",IF(AS59="PASS",'Statement of Marks'!HF60,""))</f>
        <v/>
      </c>
      <c r="AU59" s="300" t="str">
        <f>IF(AS59="PASS",'Statement of Marks'!HG60,"")</f>
        <v/>
      </c>
    </row>
    <row r="60" spans="1:47">
      <c r="A60" s="283">
        <f>IF('Statement of Marks'!A61="","",'Statement of Marks'!A61)</f>
        <v>54</v>
      </c>
      <c r="B60" s="283" t="str">
        <f>IF('Statement of Marks'!B61="","",'Statement of Marks'!B61)</f>
        <v/>
      </c>
      <c r="C60" s="283" t="str">
        <f>IF('Statement of Marks'!C61="","",'Statement of Marks'!C61)</f>
        <v/>
      </c>
      <c r="D60" s="284" t="str">
        <f>IF('Statement of Marks'!D61="","",'Statement of Marks'!D61)</f>
        <v/>
      </c>
      <c r="E60" s="285" t="str">
        <f>IF('Statement of Marks'!E61="","",'Statement of Marks'!E61)</f>
        <v/>
      </c>
      <c r="F60" s="285" t="str">
        <f>IF('Statement of Marks'!F61="","",'Statement of Marks'!F61)</f>
        <v/>
      </c>
      <c r="G60" s="285" t="str">
        <f>IF('Statement of Marks'!G61="","",'Statement of Marks'!G61)</f>
        <v/>
      </c>
      <c r="H60" s="286" t="str">
        <f>IF('Statement of Marks'!GY61="","",'Statement of Marks'!GY61)</f>
        <v/>
      </c>
      <c r="I60" s="286" t="str">
        <f>IF('Statement of Marks'!HB61="","",'Statement of Marks'!HB61)</f>
        <v/>
      </c>
      <c r="J60" s="287" t="str">
        <f>IF('Statement of Marks'!HC61="","",'Statement of Marks'!HC61)</f>
        <v/>
      </c>
      <c r="K60" s="295" t="str">
        <f>IF(B60="","",'Statement of Marks'!FJ61)</f>
        <v/>
      </c>
      <c r="L60" s="295" t="str">
        <f>IF(B60="","",'Statement of Marks'!FM61)</f>
        <v/>
      </c>
      <c r="M60" s="295" t="str">
        <f>IF(B60="","",'Statement of Marks'!FP61)</f>
        <v/>
      </c>
      <c r="N60" s="295" t="str">
        <f>IF(B60="","",'Statement of Marks'!FW61)</f>
        <v/>
      </c>
      <c r="O60" s="295" t="str">
        <f>IF(B60="","",'Statement of Marks'!GD61)</f>
        <v/>
      </c>
      <c r="P60" s="295" t="str">
        <f>IF(B60="","",'Statement of Marks'!GK61)</f>
        <v/>
      </c>
      <c r="Q60" s="295" t="str">
        <f>IF(B60="","",'Statement of Marks'!GR61)</f>
        <v/>
      </c>
      <c r="R60" s="295" t="str">
        <f>IF(B60="","",'Statement of Marks'!GS61)</f>
        <v/>
      </c>
      <c r="S60" s="287" t="str">
        <f>IF(COUNTIF(K60:R60,"F")&gt;0,"",CONCATENATE('Statement of Marks'!GU61,'Statement of Marks'!GW61))</f>
        <v xml:space="preserve">           </v>
      </c>
      <c r="T60" s="288">
        <f t="shared" si="0"/>
        <v>0</v>
      </c>
      <c r="U60" s="16"/>
      <c r="V60" s="296" t="str">
        <f t="shared" si="1"/>
        <v/>
      </c>
      <c r="W60" s="296" t="str">
        <f t="shared" si="2"/>
        <v/>
      </c>
      <c r="X60" s="16"/>
      <c r="Y60" s="296" t="str">
        <f t="shared" si="3"/>
        <v/>
      </c>
      <c r="Z60" s="296" t="str">
        <f t="shared" si="4"/>
        <v/>
      </c>
      <c r="AA60" s="16"/>
      <c r="AB60" s="296" t="str">
        <f t="shared" si="5"/>
        <v/>
      </c>
      <c r="AC60" s="297" t="str">
        <f t="shared" si="6"/>
        <v/>
      </c>
      <c r="AD60" s="16"/>
      <c r="AE60" s="296" t="str">
        <f t="shared" si="7"/>
        <v/>
      </c>
      <c r="AF60" s="297" t="str">
        <f t="shared" si="8"/>
        <v/>
      </c>
      <c r="AG60" s="16"/>
      <c r="AH60" s="296" t="str">
        <f t="shared" si="9"/>
        <v/>
      </c>
      <c r="AI60" s="297" t="str">
        <f t="shared" si="10"/>
        <v/>
      </c>
      <c r="AJ60" s="16"/>
      <c r="AK60" s="297" t="str">
        <f t="shared" si="11"/>
        <v/>
      </c>
      <c r="AL60" s="297" t="str">
        <f t="shared" si="12"/>
        <v/>
      </c>
      <c r="AM60" s="16"/>
      <c r="AN60" s="296" t="str">
        <f t="shared" si="13"/>
        <v/>
      </c>
      <c r="AO60" s="16"/>
      <c r="AP60" s="296" t="str">
        <f t="shared" si="14"/>
        <v/>
      </c>
      <c r="AQ60" s="298">
        <f t="shared" si="15"/>
        <v>0</v>
      </c>
      <c r="AR60" s="298">
        <f t="shared" si="16"/>
        <v>0</v>
      </c>
      <c r="AS60" s="299" t="str">
        <f t="shared" si="17"/>
        <v/>
      </c>
      <c r="AT60" s="300" t="str">
        <f>IF(COUNTIF(K60:R60,"F")&gt;0,"",IF(AS60="PASS",'Statement of Marks'!HF61,""))</f>
        <v/>
      </c>
      <c r="AU60" s="300" t="str">
        <f>IF(AS60="PASS",'Statement of Marks'!HG61,"")</f>
        <v/>
      </c>
    </row>
    <row r="61" spans="1:47">
      <c r="A61" s="283">
        <f>IF('Statement of Marks'!A62="","",'Statement of Marks'!A62)</f>
        <v>55</v>
      </c>
      <c r="B61" s="283" t="str">
        <f>IF('Statement of Marks'!B62="","",'Statement of Marks'!B62)</f>
        <v/>
      </c>
      <c r="C61" s="283" t="str">
        <f>IF('Statement of Marks'!C62="","",'Statement of Marks'!C62)</f>
        <v/>
      </c>
      <c r="D61" s="284" t="str">
        <f>IF('Statement of Marks'!D62="","",'Statement of Marks'!D62)</f>
        <v/>
      </c>
      <c r="E61" s="285" t="str">
        <f>IF('Statement of Marks'!E62="","",'Statement of Marks'!E62)</f>
        <v/>
      </c>
      <c r="F61" s="285" t="str">
        <f>IF('Statement of Marks'!F62="","",'Statement of Marks'!F62)</f>
        <v/>
      </c>
      <c r="G61" s="285" t="str">
        <f>IF('Statement of Marks'!G62="","",'Statement of Marks'!G62)</f>
        <v/>
      </c>
      <c r="H61" s="286" t="str">
        <f>IF('Statement of Marks'!GY62="","",'Statement of Marks'!GY62)</f>
        <v/>
      </c>
      <c r="I61" s="286" t="str">
        <f>IF('Statement of Marks'!HB62="","",'Statement of Marks'!HB62)</f>
        <v/>
      </c>
      <c r="J61" s="287" t="str">
        <f>IF('Statement of Marks'!HC62="","",'Statement of Marks'!HC62)</f>
        <v/>
      </c>
      <c r="K61" s="295" t="str">
        <f>IF(B61="","",'Statement of Marks'!FJ62)</f>
        <v/>
      </c>
      <c r="L61" s="295" t="str">
        <f>IF(B61="","",'Statement of Marks'!FM62)</f>
        <v/>
      </c>
      <c r="M61" s="295" t="str">
        <f>IF(B61="","",'Statement of Marks'!FP62)</f>
        <v/>
      </c>
      <c r="N61" s="295" t="str">
        <f>IF(B61="","",'Statement of Marks'!FW62)</f>
        <v/>
      </c>
      <c r="O61" s="295" t="str">
        <f>IF(B61="","",'Statement of Marks'!GD62)</f>
        <v/>
      </c>
      <c r="P61" s="295" t="str">
        <f>IF(B61="","",'Statement of Marks'!GK62)</f>
        <v/>
      </c>
      <c r="Q61" s="295" t="str">
        <f>IF(B61="","",'Statement of Marks'!GR62)</f>
        <v/>
      </c>
      <c r="R61" s="295" t="str">
        <f>IF(B61="","",'Statement of Marks'!GS62)</f>
        <v/>
      </c>
      <c r="S61" s="287" t="str">
        <f>IF(COUNTIF(K61:R61,"F")&gt;0,"",CONCATENATE('Statement of Marks'!GU62,'Statement of Marks'!GW62))</f>
        <v xml:space="preserve">           </v>
      </c>
      <c r="T61" s="288">
        <f t="shared" si="0"/>
        <v>0</v>
      </c>
      <c r="U61" s="16"/>
      <c r="V61" s="296" t="str">
        <f t="shared" si="1"/>
        <v/>
      </c>
      <c r="W61" s="296" t="str">
        <f t="shared" si="2"/>
        <v/>
      </c>
      <c r="X61" s="16"/>
      <c r="Y61" s="296" t="str">
        <f t="shared" si="3"/>
        <v/>
      </c>
      <c r="Z61" s="296" t="str">
        <f t="shared" si="4"/>
        <v/>
      </c>
      <c r="AA61" s="16"/>
      <c r="AB61" s="296" t="str">
        <f t="shared" si="5"/>
        <v/>
      </c>
      <c r="AC61" s="297" t="str">
        <f t="shared" si="6"/>
        <v/>
      </c>
      <c r="AD61" s="16"/>
      <c r="AE61" s="296" t="str">
        <f t="shared" si="7"/>
        <v/>
      </c>
      <c r="AF61" s="297" t="str">
        <f t="shared" si="8"/>
        <v/>
      </c>
      <c r="AG61" s="16"/>
      <c r="AH61" s="296" t="str">
        <f t="shared" si="9"/>
        <v/>
      </c>
      <c r="AI61" s="297" t="str">
        <f t="shared" si="10"/>
        <v/>
      </c>
      <c r="AJ61" s="16"/>
      <c r="AK61" s="297" t="str">
        <f t="shared" si="11"/>
        <v/>
      </c>
      <c r="AL61" s="297" t="str">
        <f t="shared" si="12"/>
        <v/>
      </c>
      <c r="AM61" s="16"/>
      <c r="AN61" s="296" t="str">
        <f t="shared" si="13"/>
        <v/>
      </c>
      <c r="AO61" s="16"/>
      <c r="AP61" s="296" t="str">
        <f t="shared" si="14"/>
        <v/>
      </c>
      <c r="AQ61" s="298">
        <f t="shared" si="15"/>
        <v>0</v>
      </c>
      <c r="AR61" s="298">
        <f t="shared" si="16"/>
        <v>0</v>
      </c>
      <c r="AS61" s="299" t="str">
        <f t="shared" si="17"/>
        <v/>
      </c>
      <c r="AT61" s="300" t="str">
        <f>IF(COUNTIF(K61:R61,"F")&gt;0,"",IF(AS61="PASS",'Statement of Marks'!HF62,""))</f>
        <v/>
      </c>
      <c r="AU61" s="300" t="str">
        <f>IF(AS61="PASS",'Statement of Marks'!HG62,"")</f>
        <v/>
      </c>
    </row>
    <row r="62" spans="1:47">
      <c r="A62" s="283">
        <f>IF('Statement of Marks'!A63="","",'Statement of Marks'!A63)</f>
        <v>56</v>
      </c>
      <c r="B62" s="283" t="str">
        <f>IF('Statement of Marks'!B63="","",'Statement of Marks'!B63)</f>
        <v/>
      </c>
      <c r="C62" s="283" t="str">
        <f>IF('Statement of Marks'!C63="","",'Statement of Marks'!C63)</f>
        <v/>
      </c>
      <c r="D62" s="284" t="str">
        <f>IF('Statement of Marks'!D63="","",'Statement of Marks'!D63)</f>
        <v/>
      </c>
      <c r="E62" s="285" t="str">
        <f>IF('Statement of Marks'!E63="","",'Statement of Marks'!E63)</f>
        <v/>
      </c>
      <c r="F62" s="285" t="str">
        <f>IF('Statement of Marks'!F63="","",'Statement of Marks'!F63)</f>
        <v/>
      </c>
      <c r="G62" s="285" t="str">
        <f>IF('Statement of Marks'!G63="","",'Statement of Marks'!G63)</f>
        <v/>
      </c>
      <c r="H62" s="286" t="str">
        <f>IF('Statement of Marks'!GY63="","",'Statement of Marks'!GY63)</f>
        <v/>
      </c>
      <c r="I62" s="286" t="str">
        <f>IF('Statement of Marks'!HB63="","",'Statement of Marks'!HB63)</f>
        <v/>
      </c>
      <c r="J62" s="287" t="str">
        <f>IF('Statement of Marks'!HC63="","",'Statement of Marks'!HC63)</f>
        <v/>
      </c>
      <c r="K62" s="295" t="str">
        <f>IF(B62="","",'Statement of Marks'!FJ63)</f>
        <v/>
      </c>
      <c r="L62" s="295" t="str">
        <f>IF(B62="","",'Statement of Marks'!FM63)</f>
        <v/>
      </c>
      <c r="M62" s="295" t="str">
        <f>IF(B62="","",'Statement of Marks'!FP63)</f>
        <v/>
      </c>
      <c r="N62" s="295" t="str">
        <f>IF(B62="","",'Statement of Marks'!FW63)</f>
        <v/>
      </c>
      <c r="O62" s="295" t="str">
        <f>IF(B62="","",'Statement of Marks'!GD63)</f>
        <v/>
      </c>
      <c r="P62" s="295" t="str">
        <f>IF(B62="","",'Statement of Marks'!GK63)</f>
        <v/>
      </c>
      <c r="Q62" s="295" t="str">
        <f>IF(B62="","",'Statement of Marks'!GR63)</f>
        <v/>
      </c>
      <c r="R62" s="295" t="str">
        <f>IF(B62="","",'Statement of Marks'!GS63)</f>
        <v/>
      </c>
      <c r="S62" s="287" t="str">
        <f>IF(COUNTIF(K62:R62,"F")&gt;0,"",CONCATENATE('Statement of Marks'!GU63,'Statement of Marks'!GW63))</f>
        <v xml:space="preserve">           </v>
      </c>
      <c r="T62" s="288">
        <f t="shared" si="0"/>
        <v>0</v>
      </c>
      <c r="U62" s="16"/>
      <c r="V62" s="296" t="str">
        <f t="shared" si="1"/>
        <v/>
      </c>
      <c r="W62" s="296" t="str">
        <f t="shared" si="2"/>
        <v/>
      </c>
      <c r="X62" s="16"/>
      <c r="Y62" s="296" t="str">
        <f t="shared" si="3"/>
        <v/>
      </c>
      <c r="Z62" s="296" t="str">
        <f t="shared" si="4"/>
        <v/>
      </c>
      <c r="AA62" s="16"/>
      <c r="AB62" s="296" t="str">
        <f t="shared" si="5"/>
        <v/>
      </c>
      <c r="AC62" s="297" t="str">
        <f t="shared" si="6"/>
        <v/>
      </c>
      <c r="AD62" s="16"/>
      <c r="AE62" s="296" t="str">
        <f t="shared" si="7"/>
        <v/>
      </c>
      <c r="AF62" s="297" t="str">
        <f t="shared" si="8"/>
        <v/>
      </c>
      <c r="AG62" s="16"/>
      <c r="AH62" s="296" t="str">
        <f t="shared" si="9"/>
        <v/>
      </c>
      <c r="AI62" s="297" t="str">
        <f t="shared" si="10"/>
        <v/>
      </c>
      <c r="AJ62" s="16"/>
      <c r="AK62" s="297" t="str">
        <f t="shared" si="11"/>
        <v/>
      </c>
      <c r="AL62" s="297" t="str">
        <f t="shared" si="12"/>
        <v/>
      </c>
      <c r="AM62" s="16"/>
      <c r="AN62" s="296" t="str">
        <f t="shared" si="13"/>
        <v/>
      </c>
      <c r="AO62" s="16"/>
      <c r="AP62" s="296" t="str">
        <f t="shared" si="14"/>
        <v/>
      </c>
      <c r="AQ62" s="298">
        <f t="shared" si="15"/>
        <v>0</v>
      </c>
      <c r="AR62" s="298">
        <f t="shared" si="16"/>
        <v>0</v>
      </c>
      <c r="AS62" s="299" t="str">
        <f t="shared" si="17"/>
        <v/>
      </c>
      <c r="AT62" s="300" t="str">
        <f>IF(COUNTIF(K62:R62,"F")&gt;0,"",IF(AS62="PASS",'Statement of Marks'!HF63,""))</f>
        <v/>
      </c>
      <c r="AU62" s="300" t="str">
        <f>IF(AS62="PASS",'Statement of Marks'!HG63,"")</f>
        <v/>
      </c>
    </row>
    <row r="63" spans="1:47">
      <c r="A63" s="283">
        <f>IF('Statement of Marks'!A64="","",'Statement of Marks'!A64)</f>
        <v>57</v>
      </c>
      <c r="B63" s="283" t="str">
        <f>IF('Statement of Marks'!B64="","",'Statement of Marks'!B64)</f>
        <v/>
      </c>
      <c r="C63" s="283" t="str">
        <f>IF('Statement of Marks'!C64="","",'Statement of Marks'!C64)</f>
        <v/>
      </c>
      <c r="D63" s="284" t="str">
        <f>IF('Statement of Marks'!D64="","",'Statement of Marks'!D64)</f>
        <v/>
      </c>
      <c r="E63" s="285" t="str">
        <f>IF('Statement of Marks'!E64="","",'Statement of Marks'!E64)</f>
        <v/>
      </c>
      <c r="F63" s="285" t="str">
        <f>IF('Statement of Marks'!F64="","",'Statement of Marks'!F64)</f>
        <v/>
      </c>
      <c r="G63" s="285" t="str">
        <f>IF('Statement of Marks'!G64="","",'Statement of Marks'!G64)</f>
        <v/>
      </c>
      <c r="H63" s="286" t="str">
        <f>IF('Statement of Marks'!GY64="","",'Statement of Marks'!GY64)</f>
        <v/>
      </c>
      <c r="I63" s="286" t="str">
        <f>IF('Statement of Marks'!HB64="","",'Statement of Marks'!HB64)</f>
        <v/>
      </c>
      <c r="J63" s="287" t="str">
        <f>IF('Statement of Marks'!HC64="","",'Statement of Marks'!HC64)</f>
        <v/>
      </c>
      <c r="K63" s="295" t="str">
        <f>IF(B63="","",'Statement of Marks'!FJ64)</f>
        <v/>
      </c>
      <c r="L63" s="295" t="str">
        <f>IF(B63="","",'Statement of Marks'!FM64)</f>
        <v/>
      </c>
      <c r="M63" s="295" t="str">
        <f>IF(B63="","",'Statement of Marks'!FP64)</f>
        <v/>
      </c>
      <c r="N63" s="295" t="str">
        <f>IF(B63="","",'Statement of Marks'!FW64)</f>
        <v/>
      </c>
      <c r="O63" s="295" t="str">
        <f>IF(B63="","",'Statement of Marks'!GD64)</f>
        <v/>
      </c>
      <c r="P63" s="295" t="str">
        <f>IF(B63="","",'Statement of Marks'!GK64)</f>
        <v/>
      </c>
      <c r="Q63" s="295" t="str">
        <f>IF(B63="","",'Statement of Marks'!GR64)</f>
        <v/>
      </c>
      <c r="R63" s="295" t="str">
        <f>IF(B63="","",'Statement of Marks'!GS64)</f>
        <v/>
      </c>
      <c r="S63" s="287" t="str">
        <f>IF(COUNTIF(K63:R63,"F")&gt;0,"",CONCATENATE('Statement of Marks'!GU64,'Statement of Marks'!GW64))</f>
        <v xml:space="preserve">           </v>
      </c>
      <c r="T63" s="288">
        <f t="shared" si="0"/>
        <v>0</v>
      </c>
      <c r="U63" s="16"/>
      <c r="V63" s="296" t="str">
        <f t="shared" si="1"/>
        <v/>
      </c>
      <c r="W63" s="296" t="str">
        <f t="shared" si="2"/>
        <v/>
      </c>
      <c r="X63" s="16"/>
      <c r="Y63" s="296" t="str">
        <f t="shared" si="3"/>
        <v/>
      </c>
      <c r="Z63" s="296" t="str">
        <f t="shared" si="4"/>
        <v/>
      </c>
      <c r="AA63" s="16"/>
      <c r="AB63" s="296" t="str">
        <f t="shared" si="5"/>
        <v/>
      </c>
      <c r="AC63" s="297" t="str">
        <f t="shared" si="6"/>
        <v/>
      </c>
      <c r="AD63" s="16"/>
      <c r="AE63" s="296" t="str">
        <f t="shared" si="7"/>
        <v/>
      </c>
      <c r="AF63" s="297" t="str">
        <f t="shared" si="8"/>
        <v/>
      </c>
      <c r="AG63" s="16"/>
      <c r="AH63" s="296" t="str">
        <f t="shared" si="9"/>
        <v/>
      </c>
      <c r="AI63" s="297" t="str">
        <f t="shared" si="10"/>
        <v/>
      </c>
      <c r="AJ63" s="16"/>
      <c r="AK63" s="297" t="str">
        <f t="shared" si="11"/>
        <v/>
      </c>
      <c r="AL63" s="297" t="str">
        <f t="shared" si="12"/>
        <v/>
      </c>
      <c r="AM63" s="16"/>
      <c r="AN63" s="296" t="str">
        <f t="shared" si="13"/>
        <v/>
      </c>
      <c r="AO63" s="16"/>
      <c r="AP63" s="296" t="str">
        <f t="shared" si="14"/>
        <v/>
      </c>
      <c r="AQ63" s="298">
        <f t="shared" si="15"/>
        <v>0</v>
      </c>
      <c r="AR63" s="298">
        <f t="shared" si="16"/>
        <v>0</v>
      </c>
      <c r="AS63" s="299" t="str">
        <f t="shared" si="17"/>
        <v/>
      </c>
      <c r="AT63" s="300" t="str">
        <f>IF(COUNTIF(K63:R63,"F")&gt;0,"",IF(AS63="PASS",'Statement of Marks'!HF64,""))</f>
        <v/>
      </c>
      <c r="AU63" s="300" t="str">
        <f>IF(AS63="PASS",'Statement of Marks'!HG64,"")</f>
        <v/>
      </c>
    </row>
    <row r="64" spans="1:47">
      <c r="A64" s="283">
        <f>IF('Statement of Marks'!A65="","",'Statement of Marks'!A65)</f>
        <v>58</v>
      </c>
      <c r="B64" s="283" t="str">
        <f>IF('Statement of Marks'!B65="","",'Statement of Marks'!B65)</f>
        <v/>
      </c>
      <c r="C64" s="283" t="str">
        <f>IF('Statement of Marks'!C65="","",'Statement of Marks'!C65)</f>
        <v/>
      </c>
      <c r="D64" s="284" t="str">
        <f>IF('Statement of Marks'!D65="","",'Statement of Marks'!D65)</f>
        <v/>
      </c>
      <c r="E64" s="285" t="str">
        <f>IF('Statement of Marks'!E65="","",'Statement of Marks'!E65)</f>
        <v/>
      </c>
      <c r="F64" s="285" t="str">
        <f>IF('Statement of Marks'!F65="","",'Statement of Marks'!F65)</f>
        <v/>
      </c>
      <c r="G64" s="285" t="str">
        <f>IF('Statement of Marks'!G65="","",'Statement of Marks'!G65)</f>
        <v/>
      </c>
      <c r="H64" s="286" t="str">
        <f>IF('Statement of Marks'!GY65="","",'Statement of Marks'!GY65)</f>
        <v/>
      </c>
      <c r="I64" s="286" t="str">
        <f>IF('Statement of Marks'!HB65="","",'Statement of Marks'!HB65)</f>
        <v/>
      </c>
      <c r="J64" s="287" t="str">
        <f>IF('Statement of Marks'!HC65="","",'Statement of Marks'!HC65)</f>
        <v/>
      </c>
      <c r="K64" s="295" t="str">
        <f>IF(B64="","",'Statement of Marks'!FJ65)</f>
        <v/>
      </c>
      <c r="L64" s="295" t="str">
        <f>IF(B64="","",'Statement of Marks'!FM65)</f>
        <v/>
      </c>
      <c r="M64" s="295" t="str">
        <f>IF(B64="","",'Statement of Marks'!FP65)</f>
        <v/>
      </c>
      <c r="N64" s="295" t="str">
        <f>IF(B64="","",'Statement of Marks'!FW65)</f>
        <v/>
      </c>
      <c r="O64" s="295" t="str">
        <f>IF(B64="","",'Statement of Marks'!GD65)</f>
        <v/>
      </c>
      <c r="P64" s="295" t="str">
        <f>IF(B64="","",'Statement of Marks'!GK65)</f>
        <v/>
      </c>
      <c r="Q64" s="295" t="str">
        <f>IF(B64="","",'Statement of Marks'!GR65)</f>
        <v/>
      </c>
      <c r="R64" s="295" t="str">
        <f>IF(B64="","",'Statement of Marks'!GS65)</f>
        <v/>
      </c>
      <c r="S64" s="287" t="str">
        <f>IF(COUNTIF(K64:R64,"F")&gt;0,"",CONCATENATE('Statement of Marks'!GU65,'Statement of Marks'!GW65))</f>
        <v xml:space="preserve">           </v>
      </c>
      <c r="T64" s="288">
        <f t="shared" si="0"/>
        <v>0</v>
      </c>
      <c r="U64" s="16"/>
      <c r="V64" s="296" t="str">
        <f t="shared" si="1"/>
        <v/>
      </c>
      <c r="W64" s="296" t="str">
        <f t="shared" si="2"/>
        <v/>
      </c>
      <c r="X64" s="16"/>
      <c r="Y64" s="296" t="str">
        <f t="shared" si="3"/>
        <v/>
      </c>
      <c r="Z64" s="296" t="str">
        <f t="shared" si="4"/>
        <v/>
      </c>
      <c r="AA64" s="16"/>
      <c r="AB64" s="296" t="str">
        <f t="shared" si="5"/>
        <v/>
      </c>
      <c r="AC64" s="297" t="str">
        <f t="shared" si="6"/>
        <v/>
      </c>
      <c r="AD64" s="16"/>
      <c r="AE64" s="296" t="str">
        <f t="shared" si="7"/>
        <v/>
      </c>
      <c r="AF64" s="297" t="str">
        <f t="shared" si="8"/>
        <v/>
      </c>
      <c r="AG64" s="16"/>
      <c r="AH64" s="296" t="str">
        <f t="shared" si="9"/>
        <v/>
      </c>
      <c r="AI64" s="297" t="str">
        <f t="shared" si="10"/>
        <v/>
      </c>
      <c r="AJ64" s="16"/>
      <c r="AK64" s="297" t="str">
        <f t="shared" si="11"/>
        <v/>
      </c>
      <c r="AL64" s="297" t="str">
        <f t="shared" si="12"/>
        <v/>
      </c>
      <c r="AM64" s="16"/>
      <c r="AN64" s="296" t="str">
        <f t="shared" si="13"/>
        <v/>
      </c>
      <c r="AO64" s="16"/>
      <c r="AP64" s="296" t="str">
        <f t="shared" si="14"/>
        <v/>
      </c>
      <c r="AQ64" s="298">
        <f t="shared" si="15"/>
        <v>0</v>
      </c>
      <c r="AR64" s="298">
        <f t="shared" si="16"/>
        <v>0</v>
      </c>
      <c r="AS64" s="299" t="str">
        <f t="shared" si="17"/>
        <v/>
      </c>
      <c r="AT64" s="300" t="str">
        <f>IF(COUNTIF(K64:R64,"F")&gt;0,"",IF(AS64="PASS",'Statement of Marks'!HF65,""))</f>
        <v/>
      </c>
      <c r="AU64" s="300" t="str">
        <f>IF(AS64="PASS",'Statement of Marks'!HG65,"")</f>
        <v/>
      </c>
    </row>
    <row r="65" spans="1:47">
      <c r="A65" s="283">
        <f>IF('Statement of Marks'!A66="","",'Statement of Marks'!A66)</f>
        <v>59</v>
      </c>
      <c r="B65" s="283" t="str">
        <f>IF('Statement of Marks'!B66="","",'Statement of Marks'!B66)</f>
        <v/>
      </c>
      <c r="C65" s="283" t="str">
        <f>IF('Statement of Marks'!C66="","",'Statement of Marks'!C66)</f>
        <v/>
      </c>
      <c r="D65" s="284" t="str">
        <f>IF('Statement of Marks'!D66="","",'Statement of Marks'!D66)</f>
        <v/>
      </c>
      <c r="E65" s="285" t="str">
        <f>IF('Statement of Marks'!E66="","",'Statement of Marks'!E66)</f>
        <v/>
      </c>
      <c r="F65" s="285" t="str">
        <f>IF('Statement of Marks'!F66="","",'Statement of Marks'!F66)</f>
        <v/>
      </c>
      <c r="G65" s="285" t="str">
        <f>IF('Statement of Marks'!G66="","",'Statement of Marks'!G66)</f>
        <v/>
      </c>
      <c r="H65" s="286" t="str">
        <f>IF('Statement of Marks'!GY66="","",'Statement of Marks'!GY66)</f>
        <v/>
      </c>
      <c r="I65" s="286" t="str">
        <f>IF('Statement of Marks'!HB66="","",'Statement of Marks'!HB66)</f>
        <v/>
      </c>
      <c r="J65" s="287" t="str">
        <f>IF('Statement of Marks'!HC66="","",'Statement of Marks'!HC66)</f>
        <v/>
      </c>
      <c r="K65" s="295" t="str">
        <f>IF(B65="","",'Statement of Marks'!FJ66)</f>
        <v/>
      </c>
      <c r="L65" s="295" t="str">
        <f>IF(B65="","",'Statement of Marks'!FM66)</f>
        <v/>
      </c>
      <c r="M65" s="295" t="str">
        <f>IF(B65="","",'Statement of Marks'!FP66)</f>
        <v/>
      </c>
      <c r="N65" s="295" t="str">
        <f>IF(B65="","",'Statement of Marks'!FW66)</f>
        <v/>
      </c>
      <c r="O65" s="295" t="str">
        <f>IF(B65="","",'Statement of Marks'!GD66)</f>
        <v/>
      </c>
      <c r="P65" s="295" t="str">
        <f>IF(B65="","",'Statement of Marks'!GK66)</f>
        <v/>
      </c>
      <c r="Q65" s="295" t="str">
        <f>IF(B65="","",'Statement of Marks'!GR66)</f>
        <v/>
      </c>
      <c r="R65" s="295" t="str">
        <f>IF(B65="","",'Statement of Marks'!GS66)</f>
        <v/>
      </c>
      <c r="S65" s="287" t="str">
        <f>IF(COUNTIF(K65:R65,"F")&gt;0,"",CONCATENATE('Statement of Marks'!GU66,'Statement of Marks'!GW66))</f>
        <v xml:space="preserve">           </v>
      </c>
      <c r="T65" s="288">
        <f t="shared" si="0"/>
        <v>0</v>
      </c>
      <c r="U65" s="16"/>
      <c r="V65" s="296" t="str">
        <f t="shared" si="1"/>
        <v/>
      </c>
      <c r="W65" s="296" t="str">
        <f t="shared" si="2"/>
        <v/>
      </c>
      <c r="X65" s="16"/>
      <c r="Y65" s="296" t="str">
        <f t="shared" si="3"/>
        <v/>
      </c>
      <c r="Z65" s="296" t="str">
        <f t="shared" si="4"/>
        <v/>
      </c>
      <c r="AA65" s="16"/>
      <c r="AB65" s="296" t="str">
        <f t="shared" si="5"/>
        <v/>
      </c>
      <c r="AC65" s="297" t="str">
        <f t="shared" si="6"/>
        <v/>
      </c>
      <c r="AD65" s="16"/>
      <c r="AE65" s="296" t="str">
        <f t="shared" si="7"/>
        <v/>
      </c>
      <c r="AF65" s="297" t="str">
        <f t="shared" si="8"/>
        <v/>
      </c>
      <c r="AG65" s="16"/>
      <c r="AH65" s="296" t="str">
        <f t="shared" si="9"/>
        <v/>
      </c>
      <c r="AI65" s="297" t="str">
        <f t="shared" si="10"/>
        <v/>
      </c>
      <c r="AJ65" s="16"/>
      <c r="AK65" s="297" t="str">
        <f t="shared" si="11"/>
        <v/>
      </c>
      <c r="AL65" s="297" t="str">
        <f t="shared" si="12"/>
        <v/>
      </c>
      <c r="AM65" s="16"/>
      <c r="AN65" s="296" t="str">
        <f t="shared" si="13"/>
        <v/>
      </c>
      <c r="AO65" s="16"/>
      <c r="AP65" s="296" t="str">
        <f t="shared" si="14"/>
        <v/>
      </c>
      <c r="AQ65" s="298">
        <f t="shared" si="15"/>
        <v>0</v>
      </c>
      <c r="AR65" s="298">
        <f t="shared" si="16"/>
        <v>0</v>
      </c>
      <c r="AS65" s="299" t="str">
        <f t="shared" si="17"/>
        <v/>
      </c>
      <c r="AT65" s="300" t="str">
        <f>IF(COUNTIF(K65:R65,"F")&gt;0,"",IF(AS65="PASS",'Statement of Marks'!HF66,""))</f>
        <v/>
      </c>
      <c r="AU65" s="300" t="str">
        <f>IF(AS65="PASS",'Statement of Marks'!HG66,"")</f>
        <v/>
      </c>
    </row>
    <row r="66" spans="1:47">
      <c r="A66" s="283">
        <f>IF('Statement of Marks'!A67="","",'Statement of Marks'!A67)</f>
        <v>60</v>
      </c>
      <c r="B66" s="283" t="str">
        <f>IF('Statement of Marks'!B67="","",'Statement of Marks'!B67)</f>
        <v/>
      </c>
      <c r="C66" s="283" t="str">
        <f>IF('Statement of Marks'!C67="","",'Statement of Marks'!C67)</f>
        <v/>
      </c>
      <c r="D66" s="284" t="str">
        <f>IF('Statement of Marks'!D67="","",'Statement of Marks'!D67)</f>
        <v/>
      </c>
      <c r="E66" s="285" t="str">
        <f>IF('Statement of Marks'!E67="","",'Statement of Marks'!E67)</f>
        <v/>
      </c>
      <c r="F66" s="285" t="str">
        <f>IF('Statement of Marks'!F67="","",'Statement of Marks'!F67)</f>
        <v/>
      </c>
      <c r="G66" s="285" t="str">
        <f>IF('Statement of Marks'!G67="","",'Statement of Marks'!G67)</f>
        <v/>
      </c>
      <c r="H66" s="286" t="str">
        <f>IF('Statement of Marks'!GY67="","",'Statement of Marks'!GY67)</f>
        <v/>
      </c>
      <c r="I66" s="286" t="str">
        <f>IF('Statement of Marks'!HB67="","",'Statement of Marks'!HB67)</f>
        <v/>
      </c>
      <c r="J66" s="287" t="str">
        <f>IF('Statement of Marks'!HC67="","",'Statement of Marks'!HC67)</f>
        <v/>
      </c>
      <c r="K66" s="295" t="str">
        <f>IF(B66="","",'Statement of Marks'!FJ67)</f>
        <v/>
      </c>
      <c r="L66" s="295" t="str">
        <f>IF(B66="","",'Statement of Marks'!FM67)</f>
        <v/>
      </c>
      <c r="M66" s="295" t="str">
        <f>IF(B66="","",'Statement of Marks'!FP67)</f>
        <v/>
      </c>
      <c r="N66" s="295" t="str">
        <f>IF(B66="","",'Statement of Marks'!FW67)</f>
        <v/>
      </c>
      <c r="O66" s="295" t="str">
        <f>IF(B66="","",'Statement of Marks'!GD67)</f>
        <v/>
      </c>
      <c r="P66" s="295" t="str">
        <f>IF(B66="","",'Statement of Marks'!GK67)</f>
        <v/>
      </c>
      <c r="Q66" s="295" t="str">
        <f>IF(B66="","",'Statement of Marks'!GR67)</f>
        <v/>
      </c>
      <c r="R66" s="295" t="str">
        <f>IF(B66="","",'Statement of Marks'!GS67)</f>
        <v/>
      </c>
      <c r="S66" s="287" t="str">
        <f>IF(COUNTIF(K66:R66,"F")&gt;0,"",CONCATENATE('Statement of Marks'!GU67,'Statement of Marks'!GW67))</f>
        <v xml:space="preserve">           </v>
      </c>
      <c r="T66" s="288">
        <f t="shared" si="0"/>
        <v>0</v>
      </c>
      <c r="U66" s="16"/>
      <c r="V66" s="296" t="str">
        <f t="shared" si="1"/>
        <v/>
      </c>
      <c r="W66" s="296" t="str">
        <f t="shared" si="2"/>
        <v/>
      </c>
      <c r="X66" s="16"/>
      <c r="Y66" s="296" t="str">
        <f t="shared" si="3"/>
        <v/>
      </c>
      <c r="Z66" s="296" t="str">
        <f t="shared" si="4"/>
        <v/>
      </c>
      <c r="AA66" s="16"/>
      <c r="AB66" s="296" t="str">
        <f t="shared" si="5"/>
        <v/>
      </c>
      <c r="AC66" s="297" t="str">
        <f t="shared" si="6"/>
        <v/>
      </c>
      <c r="AD66" s="16"/>
      <c r="AE66" s="296" t="str">
        <f t="shared" si="7"/>
        <v/>
      </c>
      <c r="AF66" s="297" t="str">
        <f t="shared" si="8"/>
        <v/>
      </c>
      <c r="AG66" s="16"/>
      <c r="AH66" s="296" t="str">
        <f t="shared" si="9"/>
        <v/>
      </c>
      <c r="AI66" s="297" t="str">
        <f t="shared" si="10"/>
        <v/>
      </c>
      <c r="AJ66" s="16"/>
      <c r="AK66" s="297" t="str">
        <f t="shared" si="11"/>
        <v/>
      </c>
      <c r="AL66" s="297" t="str">
        <f t="shared" si="12"/>
        <v/>
      </c>
      <c r="AM66" s="16"/>
      <c r="AN66" s="296" t="str">
        <f t="shared" si="13"/>
        <v/>
      </c>
      <c r="AO66" s="16"/>
      <c r="AP66" s="296" t="str">
        <f t="shared" si="14"/>
        <v/>
      </c>
      <c r="AQ66" s="298">
        <f t="shared" si="15"/>
        <v>0</v>
      </c>
      <c r="AR66" s="298">
        <f t="shared" si="16"/>
        <v>0</v>
      </c>
      <c r="AS66" s="299" t="str">
        <f t="shared" si="17"/>
        <v/>
      </c>
      <c r="AT66" s="300" t="str">
        <f>IF(COUNTIF(K66:R66,"F")&gt;0,"",IF(AS66="PASS",'Statement of Marks'!HF67,""))</f>
        <v/>
      </c>
      <c r="AU66" s="300" t="str">
        <f>IF(AS66="PASS",'Statement of Marks'!HG67,"")</f>
        <v/>
      </c>
    </row>
    <row r="67" spans="1:47">
      <c r="A67" s="283">
        <f>IF('Statement of Marks'!A68="","",'Statement of Marks'!A68)</f>
        <v>61</v>
      </c>
      <c r="B67" s="283" t="str">
        <f>IF('Statement of Marks'!B68="","",'Statement of Marks'!B68)</f>
        <v/>
      </c>
      <c r="C67" s="283" t="str">
        <f>IF('Statement of Marks'!C68="","",'Statement of Marks'!C68)</f>
        <v/>
      </c>
      <c r="D67" s="284" t="str">
        <f>IF('Statement of Marks'!D68="","",'Statement of Marks'!D68)</f>
        <v/>
      </c>
      <c r="E67" s="285" t="str">
        <f>IF('Statement of Marks'!E68="","",'Statement of Marks'!E68)</f>
        <v/>
      </c>
      <c r="F67" s="285" t="str">
        <f>IF('Statement of Marks'!F68="","",'Statement of Marks'!F68)</f>
        <v/>
      </c>
      <c r="G67" s="285" t="str">
        <f>IF('Statement of Marks'!G68="","",'Statement of Marks'!G68)</f>
        <v/>
      </c>
      <c r="H67" s="286" t="str">
        <f>IF('Statement of Marks'!GY68="","",'Statement of Marks'!GY68)</f>
        <v/>
      </c>
      <c r="I67" s="286" t="str">
        <f>IF('Statement of Marks'!HB68="","",'Statement of Marks'!HB68)</f>
        <v/>
      </c>
      <c r="J67" s="287" t="str">
        <f>IF('Statement of Marks'!HC68="","",'Statement of Marks'!HC68)</f>
        <v/>
      </c>
      <c r="K67" s="295" t="str">
        <f>IF(B67="","",'Statement of Marks'!FJ68)</f>
        <v/>
      </c>
      <c r="L67" s="295" t="str">
        <f>IF(B67="","",'Statement of Marks'!FM68)</f>
        <v/>
      </c>
      <c r="M67" s="295" t="str">
        <f>IF(B67="","",'Statement of Marks'!FP68)</f>
        <v/>
      </c>
      <c r="N67" s="295" t="str">
        <f>IF(B67="","",'Statement of Marks'!FW68)</f>
        <v/>
      </c>
      <c r="O67" s="295" t="str">
        <f>IF(B67="","",'Statement of Marks'!GD68)</f>
        <v/>
      </c>
      <c r="P67" s="295" t="str">
        <f>IF(B67="","",'Statement of Marks'!GK68)</f>
        <v/>
      </c>
      <c r="Q67" s="295" t="str">
        <f>IF(B67="","",'Statement of Marks'!GR68)</f>
        <v/>
      </c>
      <c r="R67" s="295" t="str">
        <f>IF(B67="","",'Statement of Marks'!GS68)</f>
        <v/>
      </c>
      <c r="S67" s="287" t="str">
        <f>IF(COUNTIF(K67:R67,"F")&gt;0,"",CONCATENATE('Statement of Marks'!GU68,'Statement of Marks'!GW68))</f>
        <v xml:space="preserve">           </v>
      </c>
      <c r="T67" s="288">
        <f t="shared" si="0"/>
        <v>0</v>
      </c>
      <c r="U67" s="16"/>
      <c r="V67" s="296" t="str">
        <f t="shared" si="1"/>
        <v/>
      </c>
      <c r="W67" s="296" t="str">
        <f t="shared" si="2"/>
        <v/>
      </c>
      <c r="X67" s="16"/>
      <c r="Y67" s="296" t="str">
        <f t="shared" si="3"/>
        <v/>
      </c>
      <c r="Z67" s="296" t="str">
        <f t="shared" si="4"/>
        <v/>
      </c>
      <c r="AA67" s="16"/>
      <c r="AB67" s="296" t="str">
        <f t="shared" si="5"/>
        <v/>
      </c>
      <c r="AC67" s="297" t="str">
        <f t="shared" si="6"/>
        <v/>
      </c>
      <c r="AD67" s="16"/>
      <c r="AE67" s="296" t="str">
        <f t="shared" si="7"/>
        <v/>
      </c>
      <c r="AF67" s="297" t="str">
        <f t="shared" si="8"/>
        <v/>
      </c>
      <c r="AG67" s="16"/>
      <c r="AH67" s="296" t="str">
        <f t="shared" si="9"/>
        <v/>
      </c>
      <c r="AI67" s="297" t="str">
        <f t="shared" si="10"/>
        <v/>
      </c>
      <c r="AJ67" s="16"/>
      <c r="AK67" s="297" t="str">
        <f t="shared" si="11"/>
        <v/>
      </c>
      <c r="AL67" s="297" t="str">
        <f t="shared" si="12"/>
        <v/>
      </c>
      <c r="AM67" s="16"/>
      <c r="AN67" s="296" t="str">
        <f t="shared" si="13"/>
        <v/>
      </c>
      <c r="AO67" s="16"/>
      <c r="AP67" s="296" t="str">
        <f t="shared" si="14"/>
        <v/>
      </c>
      <c r="AQ67" s="298">
        <f t="shared" si="15"/>
        <v>0</v>
      </c>
      <c r="AR67" s="298">
        <f t="shared" si="16"/>
        <v>0</v>
      </c>
      <c r="AS67" s="299" t="str">
        <f t="shared" si="17"/>
        <v/>
      </c>
      <c r="AT67" s="300" t="str">
        <f>IF(COUNTIF(K67:R67,"F")&gt;0,"",IF(AS67="PASS",'Statement of Marks'!HF68,""))</f>
        <v/>
      </c>
      <c r="AU67" s="300" t="str">
        <f>IF(AS67="PASS",'Statement of Marks'!HG68,"")</f>
        <v/>
      </c>
    </row>
    <row r="68" spans="1:47">
      <c r="A68" s="283">
        <f>IF('Statement of Marks'!A69="","",'Statement of Marks'!A69)</f>
        <v>62</v>
      </c>
      <c r="B68" s="283" t="str">
        <f>IF('Statement of Marks'!B69="","",'Statement of Marks'!B69)</f>
        <v/>
      </c>
      <c r="C68" s="283" t="str">
        <f>IF('Statement of Marks'!C69="","",'Statement of Marks'!C69)</f>
        <v/>
      </c>
      <c r="D68" s="284" t="str">
        <f>IF('Statement of Marks'!D69="","",'Statement of Marks'!D69)</f>
        <v/>
      </c>
      <c r="E68" s="285" t="str">
        <f>IF('Statement of Marks'!E69="","",'Statement of Marks'!E69)</f>
        <v/>
      </c>
      <c r="F68" s="285" t="str">
        <f>IF('Statement of Marks'!F69="","",'Statement of Marks'!F69)</f>
        <v/>
      </c>
      <c r="G68" s="285" t="str">
        <f>IF('Statement of Marks'!G69="","",'Statement of Marks'!G69)</f>
        <v/>
      </c>
      <c r="H68" s="286" t="str">
        <f>IF('Statement of Marks'!GY69="","",'Statement of Marks'!GY69)</f>
        <v/>
      </c>
      <c r="I68" s="286" t="str">
        <f>IF('Statement of Marks'!HB69="","",'Statement of Marks'!HB69)</f>
        <v/>
      </c>
      <c r="J68" s="287" t="str">
        <f>IF('Statement of Marks'!HC69="","",'Statement of Marks'!HC69)</f>
        <v/>
      </c>
      <c r="K68" s="295" t="str">
        <f>IF(B68="","",'Statement of Marks'!FJ69)</f>
        <v/>
      </c>
      <c r="L68" s="295" t="str">
        <f>IF(B68="","",'Statement of Marks'!FM69)</f>
        <v/>
      </c>
      <c r="M68" s="295" t="str">
        <f>IF(B68="","",'Statement of Marks'!FP69)</f>
        <v/>
      </c>
      <c r="N68" s="295" t="str">
        <f>IF(B68="","",'Statement of Marks'!FW69)</f>
        <v/>
      </c>
      <c r="O68" s="295" t="str">
        <f>IF(B68="","",'Statement of Marks'!GD69)</f>
        <v/>
      </c>
      <c r="P68" s="295" t="str">
        <f>IF(B68="","",'Statement of Marks'!GK69)</f>
        <v/>
      </c>
      <c r="Q68" s="295" t="str">
        <f>IF(B68="","",'Statement of Marks'!GR69)</f>
        <v/>
      </c>
      <c r="R68" s="295" t="str">
        <f>IF(B68="","",'Statement of Marks'!GS69)</f>
        <v/>
      </c>
      <c r="S68" s="287" t="str">
        <f>IF(COUNTIF(K68:R68,"F")&gt;0,"",CONCATENATE('Statement of Marks'!GU69,'Statement of Marks'!GW69))</f>
        <v xml:space="preserve">           </v>
      </c>
      <c r="T68" s="288">
        <f t="shared" si="0"/>
        <v>0</v>
      </c>
      <c r="U68" s="16"/>
      <c r="V68" s="296" t="str">
        <f t="shared" si="1"/>
        <v/>
      </c>
      <c r="W68" s="296" t="str">
        <f t="shared" si="2"/>
        <v/>
      </c>
      <c r="X68" s="16"/>
      <c r="Y68" s="296" t="str">
        <f t="shared" si="3"/>
        <v/>
      </c>
      <c r="Z68" s="296" t="str">
        <f t="shared" si="4"/>
        <v/>
      </c>
      <c r="AA68" s="16"/>
      <c r="AB68" s="296" t="str">
        <f t="shared" si="5"/>
        <v/>
      </c>
      <c r="AC68" s="297" t="str">
        <f t="shared" si="6"/>
        <v/>
      </c>
      <c r="AD68" s="16"/>
      <c r="AE68" s="296" t="str">
        <f t="shared" si="7"/>
        <v/>
      </c>
      <c r="AF68" s="297" t="str">
        <f t="shared" si="8"/>
        <v/>
      </c>
      <c r="AG68" s="16"/>
      <c r="AH68" s="296" t="str">
        <f t="shared" si="9"/>
        <v/>
      </c>
      <c r="AI68" s="297" t="str">
        <f t="shared" si="10"/>
        <v/>
      </c>
      <c r="AJ68" s="16"/>
      <c r="AK68" s="297" t="str">
        <f t="shared" si="11"/>
        <v/>
      </c>
      <c r="AL68" s="297" t="str">
        <f t="shared" si="12"/>
        <v/>
      </c>
      <c r="AM68" s="16"/>
      <c r="AN68" s="296" t="str">
        <f t="shared" si="13"/>
        <v/>
      </c>
      <c r="AO68" s="16"/>
      <c r="AP68" s="296" t="str">
        <f t="shared" si="14"/>
        <v/>
      </c>
      <c r="AQ68" s="298">
        <f t="shared" si="15"/>
        <v>0</v>
      </c>
      <c r="AR68" s="298">
        <f t="shared" si="16"/>
        <v>0</v>
      </c>
      <c r="AS68" s="299" t="str">
        <f t="shared" si="17"/>
        <v/>
      </c>
      <c r="AT68" s="300" t="str">
        <f>IF(COUNTIF(K68:R68,"F")&gt;0,"",IF(AS68="PASS",'Statement of Marks'!HF69,""))</f>
        <v/>
      </c>
      <c r="AU68" s="300" t="str">
        <f>IF(AS68="PASS",'Statement of Marks'!HG69,"")</f>
        <v/>
      </c>
    </row>
    <row r="69" spans="1:47">
      <c r="A69" s="283">
        <f>IF('Statement of Marks'!A70="","",'Statement of Marks'!A70)</f>
        <v>63</v>
      </c>
      <c r="B69" s="283" t="str">
        <f>IF('Statement of Marks'!B70="","",'Statement of Marks'!B70)</f>
        <v/>
      </c>
      <c r="C69" s="283" t="str">
        <f>IF('Statement of Marks'!C70="","",'Statement of Marks'!C70)</f>
        <v/>
      </c>
      <c r="D69" s="284" t="str">
        <f>IF('Statement of Marks'!D70="","",'Statement of Marks'!D70)</f>
        <v/>
      </c>
      <c r="E69" s="285" t="str">
        <f>IF('Statement of Marks'!E70="","",'Statement of Marks'!E70)</f>
        <v/>
      </c>
      <c r="F69" s="285" t="str">
        <f>IF('Statement of Marks'!F70="","",'Statement of Marks'!F70)</f>
        <v/>
      </c>
      <c r="G69" s="285" t="str">
        <f>IF('Statement of Marks'!G70="","",'Statement of Marks'!G70)</f>
        <v/>
      </c>
      <c r="H69" s="286" t="str">
        <f>IF('Statement of Marks'!GY70="","",'Statement of Marks'!GY70)</f>
        <v/>
      </c>
      <c r="I69" s="286" t="str">
        <f>IF('Statement of Marks'!HB70="","",'Statement of Marks'!HB70)</f>
        <v/>
      </c>
      <c r="J69" s="287" t="str">
        <f>IF('Statement of Marks'!HC70="","",'Statement of Marks'!HC70)</f>
        <v/>
      </c>
      <c r="K69" s="295" t="str">
        <f>IF(B69="","",'Statement of Marks'!FJ70)</f>
        <v/>
      </c>
      <c r="L69" s="295" t="str">
        <f>IF(B69="","",'Statement of Marks'!FM70)</f>
        <v/>
      </c>
      <c r="M69" s="295" t="str">
        <f>IF(B69="","",'Statement of Marks'!FP70)</f>
        <v/>
      </c>
      <c r="N69" s="295" t="str">
        <f>IF(B69="","",'Statement of Marks'!FW70)</f>
        <v/>
      </c>
      <c r="O69" s="295" t="str">
        <f>IF(B69="","",'Statement of Marks'!GD70)</f>
        <v/>
      </c>
      <c r="P69" s="295" t="str">
        <f>IF(B69="","",'Statement of Marks'!GK70)</f>
        <v/>
      </c>
      <c r="Q69" s="295" t="str">
        <f>IF(B69="","",'Statement of Marks'!GR70)</f>
        <v/>
      </c>
      <c r="R69" s="295" t="str">
        <f>IF(B69="","",'Statement of Marks'!GS70)</f>
        <v/>
      </c>
      <c r="S69" s="287" t="str">
        <f>IF(COUNTIF(K69:R69,"F")&gt;0,"",CONCATENATE('Statement of Marks'!GU70,'Statement of Marks'!GW70))</f>
        <v xml:space="preserve">           </v>
      </c>
      <c r="T69" s="288">
        <f t="shared" si="0"/>
        <v>0</v>
      </c>
      <c r="U69" s="16"/>
      <c r="V69" s="296" t="str">
        <f t="shared" si="1"/>
        <v/>
      </c>
      <c r="W69" s="296" t="str">
        <f t="shared" si="2"/>
        <v/>
      </c>
      <c r="X69" s="16"/>
      <c r="Y69" s="296" t="str">
        <f t="shared" si="3"/>
        <v/>
      </c>
      <c r="Z69" s="296" t="str">
        <f t="shared" si="4"/>
        <v/>
      </c>
      <c r="AA69" s="16"/>
      <c r="AB69" s="296" t="str">
        <f t="shared" si="5"/>
        <v/>
      </c>
      <c r="AC69" s="297" t="str">
        <f t="shared" si="6"/>
        <v/>
      </c>
      <c r="AD69" s="16"/>
      <c r="AE69" s="296" t="str">
        <f t="shared" si="7"/>
        <v/>
      </c>
      <c r="AF69" s="297" t="str">
        <f t="shared" si="8"/>
        <v/>
      </c>
      <c r="AG69" s="16"/>
      <c r="AH69" s="296" t="str">
        <f t="shared" si="9"/>
        <v/>
      </c>
      <c r="AI69" s="297" t="str">
        <f t="shared" si="10"/>
        <v/>
      </c>
      <c r="AJ69" s="16"/>
      <c r="AK69" s="297" t="str">
        <f t="shared" si="11"/>
        <v/>
      </c>
      <c r="AL69" s="297" t="str">
        <f t="shared" si="12"/>
        <v/>
      </c>
      <c r="AM69" s="16"/>
      <c r="AN69" s="296" t="str">
        <f t="shared" si="13"/>
        <v/>
      </c>
      <c r="AO69" s="16"/>
      <c r="AP69" s="296" t="str">
        <f t="shared" si="14"/>
        <v/>
      </c>
      <c r="AQ69" s="298">
        <f t="shared" si="15"/>
        <v>0</v>
      </c>
      <c r="AR69" s="298">
        <f t="shared" si="16"/>
        <v>0</v>
      </c>
      <c r="AS69" s="299" t="str">
        <f t="shared" si="17"/>
        <v/>
      </c>
      <c r="AT69" s="300" t="str">
        <f>IF(COUNTIF(K69:R69,"F")&gt;0,"",IF(AS69="PASS",'Statement of Marks'!HF70,""))</f>
        <v/>
      </c>
      <c r="AU69" s="300" t="str">
        <f>IF(AS69="PASS",'Statement of Marks'!HG70,"")</f>
        <v/>
      </c>
    </row>
    <row r="70" spans="1:47">
      <c r="A70" s="283">
        <f>IF('Statement of Marks'!A71="","",'Statement of Marks'!A71)</f>
        <v>64</v>
      </c>
      <c r="B70" s="283" t="str">
        <f>IF('Statement of Marks'!B71="","",'Statement of Marks'!B71)</f>
        <v/>
      </c>
      <c r="C70" s="283" t="str">
        <f>IF('Statement of Marks'!C71="","",'Statement of Marks'!C71)</f>
        <v/>
      </c>
      <c r="D70" s="284" t="str">
        <f>IF('Statement of Marks'!D71="","",'Statement of Marks'!D71)</f>
        <v/>
      </c>
      <c r="E70" s="285" t="str">
        <f>IF('Statement of Marks'!E71="","",'Statement of Marks'!E71)</f>
        <v/>
      </c>
      <c r="F70" s="285" t="str">
        <f>IF('Statement of Marks'!F71="","",'Statement of Marks'!F71)</f>
        <v/>
      </c>
      <c r="G70" s="285" t="str">
        <f>IF('Statement of Marks'!G71="","",'Statement of Marks'!G71)</f>
        <v/>
      </c>
      <c r="H70" s="286" t="str">
        <f>IF('Statement of Marks'!GY71="","",'Statement of Marks'!GY71)</f>
        <v/>
      </c>
      <c r="I70" s="286" t="str">
        <f>IF('Statement of Marks'!HB71="","",'Statement of Marks'!HB71)</f>
        <v/>
      </c>
      <c r="J70" s="287" t="str">
        <f>IF('Statement of Marks'!HC71="","",'Statement of Marks'!HC71)</f>
        <v/>
      </c>
      <c r="K70" s="295" t="str">
        <f>IF(B70="","",'Statement of Marks'!FJ71)</f>
        <v/>
      </c>
      <c r="L70" s="295" t="str">
        <f>IF(B70="","",'Statement of Marks'!FM71)</f>
        <v/>
      </c>
      <c r="M70" s="295" t="str">
        <f>IF(B70="","",'Statement of Marks'!FP71)</f>
        <v/>
      </c>
      <c r="N70" s="295" t="str">
        <f>IF(B70="","",'Statement of Marks'!FW71)</f>
        <v/>
      </c>
      <c r="O70" s="295" t="str">
        <f>IF(B70="","",'Statement of Marks'!GD71)</f>
        <v/>
      </c>
      <c r="P70" s="295" t="str">
        <f>IF(B70="","",'Statement of Marks'!GK71)</f>
        <v/>
      </c>
      <c r="Q70" s="295" t="str">
        <f>IF(B70="","",'Statement of Marks'!GR71)</f>
        <v/>
      </c>
      <c r="R70" s="295" t="str">
        <f>IF(B70="","",'Statement of Marks'!GS71)</f>
        <v/>
      </c>
      <c r="S70" s="287" t="str">
        <f>IF(COUNTIF(K70:R70,"F")&gt;0,"",CONCATENATE('Statement of Marks'!GU71,'Statement of Marks'!GW71))</f>
        <v xml:space="preserve">           </v>
      </c>
      <c r="T70" s="288">
        <f t="shared" si="0"/>
        <v>0</v>
      </c>
      <c r="U70" s="16"/>
      <c r="V70" s="296" t="str">
        <f t="shared" si="1"/>
        <v/>
      </c>
      <c r="W70" s="296" t="str">
        <f t="shared" si="2"/>
        <v/>
      </c>
      <c r="X70" s="16"/>
      <c r="Y70" s="296" t="str">
        <f t="shared" si="3"/>
        <v/>
      </c>
      <c r="Z70" s="296" t="str">
        <f t="shared" si="4"/>
        <v/>
      </c>
      <c r="AA70" s="16"/>
      <c r="AB70" s="296" t="str">
        <f t="shared" si="5"/>
        <v/>
      </c>
      <c r="AC70" s="297" t="str">
        <f t="shared" si="6"/>
        <v/>
      </c>
      <c r="AD70" s="16"/>
      <c r="AE70" s="296" t="str">
        <f t="shared" si="7"/>
        <v/>
      </c>
      <c r="AF70" s="297" t="str">
        <f t="shared" si="8"/>
        <v/>
      </c>
      <c r="AG70" s="16"/>
      <c r="AH70" s="296" t="str">
        <f t="shared" si="9"/>
        <v/>
      </c>
      <c r="AI70" s="297" t="str">
        <f t="shared" si="10"/>
        <v/>
      </c>
      <c r="AJ70" s="16"/>
      <c r="AK70" s="297" t="str">
        <f t="shared" si="11"/>
        <v/>
      </c>
      <c r="AL70" s="297" t="str">
        <f t="shared" si="12"/>
        <v/>
      </c>
      <c r="AM70" s="16"/>
      <c r="AN70" s="296" t="str">
        <f t="shared" si="13"/>
        <v/>
      </c>
      <c r="AO70" s="16"/>
      <c r="AP70" s="296" t="str">
        <f t="shared" si="14"/>
        <v/>
      </c>
      <c r="AQ70" s="298">
        <f t="shared" si="15"/>
        <v>0</v>
      </c>
      <c r="AR70" s="298">
        <f t="shared" si="16"/>
        <v>0</v>
      </c>
      <c r="AS70" s="299" t="str">
        <f t="shared" si="17"/>
        <v/>
      </c>
      <c r="AT70" s="300" t="str">
        <f>IF(COUNTIF(K70:R70,"F")&gt;0,"",IF(AS70="PASS",'Statement of Marks'!HF71,""))</f>
        <v/>
      </c>
      <c r="AU70" s="300" t="str">
        <f>IF(AS70="PASS",'Statement of Marks'!HG71,"")</f>
        <v/>
      </c>
    </row>
    <row r="71" spans="1:47">
      <c r="A71" s="283">
        <f>IF('Statement of Marks'!A72="","",'Statement of Marks'!A72)</f>
        <v>65</v>
      </c>
      <c r="B71" s="283" t="str">
        <f>IF('Statement of Marks'!B72="","",'Statement of Marks'!B72)</f>
        <v/>
      </c>
      <c r="C71" s="283" t="str">
        <f>IF('Statement of Marks'!C72="","",'Statement of Marks'!C72)</f>
        <v/>
      </c>
      <c r="D71" s="284" t="str">
        <f>IF('Statement of Marks'!D72="","",'Statement of Marks'!D72)</f>
        <v/>
      </c>
      <c r="E71" s="285" t="str">
        <f>IF('Statement of Marks'!E72="","",'Statement of Marks'!E72)</f>
        <v/>
      </c>
      <c r="F71" s="285" t="str">
        <f>IF('Statement of Marks'!F72="","",'Statement of Marks'!F72)</f>
        <v/>
      </c>
      <c r="G71" s="285" t="str">
        <f>IF('Statement of Marks'!G72="","",'Statement of Marks'!G72)</f>
        <v/>
      </c>
      <c r="H71" s="286" t="str">
        <f>IF('Statement of Marks'!GY72="","",'Statement of Marks'!GY72)</f>
        <v/>
      </c>
      <c r="I71" s="286" t="str">
        <f>IF('Statement of Marks'!HB72="","",'Statement of Marks'!HB72)</f>
        <v/>
      </c>
      <c r="J71" s="287" t="str">
        <f>IF('Statement of Marks'!HC72="","",'Statement of Marks'!HC72)</f>
        <v/>
      </c>
      <c r="K71" s="295" t="str">
        <f>IF(B71="","",'Statement of Marks'!FJ72)</f>
        <v/>
      </c>
      <c r="L71" s="295" t="str">
        <f>IF(B71="","",'Statement of Marks'!FM72)</f>
        <v/>
      </c>
      <c r="M71" s="295" t="str">
        <f>IF(B71="","",'Statement of Marks'!FP72)</f>
        <v/>
      </c>
      <c r="N71" s="295" t="str">
        <f>IF(B71="","",'Statement of Marks'!FW72)</f>
        <v/>
      </c>
      <c r="O71" s="295" t="str">
        <f>IF(B71="","",'Statement of Marks'!GD72)</f>
        <v/>
      </c>
      <c r="P71" s="295" t="str">
        <f>IF(B71="","",'Statement of Marks'!GK72)</f>
        <v/>
      </c>
      <c r="Q71" s="295" t="str">
        <f>IF(B71="","",'Statement of Marks'!GR72)</f>
        <v/>
      </c>
      <c r="R71" s="295" t="str">
        <f>IF(B71="","",'Statement of Marks'!GS72)</f>
        <v/>
      </c>
      <c r="S71" s="287" t="str">
        <f>IF(COUNTIF(K71:R71,"F")&gt;0,"",CONCATENATE('Statement of Marks'!GU72,'Statement of Marks'!GW72))</f>
        <v xml:space="preserve">           </v>
      </c>
      <c r="T71" s="288">
        <f t="shared" si="0"/>
        <v>0</v>
      </c>
      <c r="U71" s="16"/>
      <c r="V71" s="296" t="str">
        <f t="shared" si="1"/>
        <v/>
      </c>
      <c r="W71" s="296" t="str">
        <f t="shared" si="2"/>
        <v/>
      </c>
      <c r="X71" s="16"/>
      <c r="Y71" s="296" t="str">
        <f t="shared" si="3"/>
        <v/>
      </c>
      <c r="Z71" s="296" t="str">
        <f t="shared" si="4"/>
        <v/>
      </c>
      <c r="AA71" s="16"/>
      <c r="AB71" s="296" t="str">
        <f t="shared" si="5"/>
        <v/>
      </c>
      <c r="AC71" s="297" t="str">
        <f t="shared" si="6"/>
        <v/>
      </c>
      <c r="AD71" s="16"/>
      <c r="AE71" s="296" t="str">
        <f t="shared" si="7"/>
        <v/>
      </c>
      <c r="AF71" s="297" t="str">
        <f t="shared" si="8"/>
        <v/>
      </c>
      <c r="AG71" s="16"/>
      <c r="AH71" s="296" t="str">
        <f t="shared" si="9"/>
        <v/>
      </c>
      <c r="AI71" s="297" t="str">
        <f t="shared" si="10"/>
        <v/>
      </c>
      <c r="AJ71" s="16"/>
      <c r="AK71" s="297" t="str">
        <f t="shared" si="11"/>
        <v/>
      </c>
      <c r="AL71" s="297" t="str">
        <f t="shared" si="12"/>
        <v/>
      </c>
      <c r="AM71" s="16"/>
      <c r="AN71" s="296" t="str">
        <f t="shared" si="13"/>
        <v/>
      </c>
      <c r="AO71" s="16"/>
      <c r="AP71" s="296" t="str">
        <f t="shared" si="14"/>
        <v/>
      </c>
      <c r="AQ71" s="298">
        <f t="shared" si="15"/>
        <v>0</v>
      </c>
      <c r="AR71" s="298">
        <f t="shared" si="16"/>
        <v>0</v>
      </c>
      <c r="AS71" s="299" t="str">
        <f t="shared" si="17"/>
        <v/>
      </c>
      <c r="AT71" s="300" t="str">
        <f>IF(COUNTIF(K71:R71,"F")&gt;0,"",IF(AS71="PASS",'Statement of Marks'!HF72,""))</f>
        <v/>
      </c>
      <c r="AU71" s="300" t="str">
        <f>IF(AS71="PASS",'Statement of Marks'!HG72,"")</f>
        <v/>
      </c>
    </row>
    <row r="72" spans="1:47">
      <c r="A72" s="283">
        <f>IF('Statement of Marks'!A73="","",'Statement of Marks'!A73)</f>
        <v>66</v>
      </c>
      <c r="B72" s="283" t="str">
        <f>IF('Statement of Marks'!B73="","",'Statement of Marks'!B73)</f>
        <v/>
      </c>
      <c r="C72" s="283" t="str">
        <f>IF('Statement of Marks'!C73="","",'Statement of Marks'!C73)</f>
        <v/>
      </c>
      <c r="D72" s="284" t="str">
        <f>IF('Statement of Marks'!D73="","",'Statement of Marks'!D73)</f>
        <v/>
      </c>
      <c r="E72" s="285" t="str">
        <f>IF('Statement of Marks'!E73="","",'Statement of Marks'!E73)</f>
        <v/>
      </c>
      <c r="F72" s="285" t="str">
        <f>IF('Statement of Marks'!F73="","",'Statement of Marks'!F73)</f>
        <v/>
      </c>
      <c r="G72" s="285" t="str">
        <f>IF('Statement of Marks'!G73="","",'Statement of Marks'!G73)</f>
        <v/>
      </c>
      <c r="H72" s="286" t="str">
        <f>IF('Statement of Marks'!GY73="","",'Statement of Marks'!GY73)</f>
        <v/>
      </c>
      <c r="I72" s="286" t="str">
        <f>IF('Statement of Marks'!HB73="","",'Statement of Marks'!HB73)</f>
        <v/>
      </c>
      <c r="J72" s="287" t="str">
        <f>IF('Statement of Marks'!HC73="","",'Statement of Marks'!HC73)</f>
        <v/>
      </c>
      <c r="K72" s="295" t="str">
        <f>IF(B72="","",'Statement of Marks'!FJ73)</f>
        <v/>
      </c>
      <c r="L72" s="295" t="str">
        <f>IF(B72="","",'Statement of Marks'!FM73)</f>
        <v/>
      </c>
      <c r="M72" s="295" t="str">
        <f>IF(B72="","",'Statement of Marks'!FP73)</f>
        <v/>
      </c>
      <c r="N72" s="295" t="str">
        <f>IF(B72="","",'Statement of Marks'!FW73)</f>
        <v/>
      </c>
      <c r="O72" s="295" t="str">
        <f>IF(B72="","",'Statement of Marks'!GD73)</f>
        <v/>
      </c>
      <c r="P72" s="295" t="str">
        <f>IF(B72="","",'Statement of Marks'!GK73)</f>
        <v/>
      </c>
      <c r="Q72" s="295" t="str">
        <f>IF(B72="","",'Statement of Marks'!GR73)</f>
        <v/>
      </c>
      <c r="R72" s="295" t="str">
        <f>IF(B72="","",'Statement of Marks'!GS73)</f>
        <v/>
      </c>
      <c r="S72" s="287" t="str">
        <f>IF(COUNTIF(K72:R72,"F")&gt;0,"",CONCATENATE('Statement of Marks'!GU73,'Statement of Marks'!GW73))</f>
        <v xml:space="preserve">           </v>
      </c>
      <c r="T72" s="288">
        <f t="shared" ref="T72:T135" si="18">IF(COUNTIF(K72:R72,"F")&gt;0,"",COUNTIF(K72:R72,"S")+COUNTIF(K72:R72,"RE")+COUNTIF(K72:R72,"REP"))</f>
        <v>0</v>
      </c>
      <c r="U72" s="16"/>
      <c r="V72" s="296" t="str">
        <f t="shared" ref="V72:V135" si="19">IF(U72="","",IF(OR(U72="AB",K72="RE"),U72,IF(AND(K72="S"),ROUNDUP(U72,0),)))</f>
        <v/>
      </c>
      <c r="W72" s="296" t="str">
        <f t="shared" ref="W72:W135" si="20">IF(U72="","",IF(OR(U72="AB",U72&lt;36%*$U$6),"F","P"))</f>
        <v/>
      </c>
      <c r="X72" s="16"/>
      <c r="Y72" s="296" t="str">
        <f t="shared" ref="Y72:Y135" si="21">IF(X72="","",IF(OR(X72="AB",L72="RE"),X72,IF(AND(L72="S"),ROUNDUP(X72,0),)))</f>
        <v/>
      </c>
      <c r="Z72" s="296" t="str">
        <f t="shared" ref="Z72:Z135" si="22">IF(X72="","",IF(OR(X72="AB",X72&lt;36%*$X$6),"F","P"))</f>
        <v/>
      </c>
      <c r="AA72" s="16"/>
      <c r="AB72" s="296" t="str">
        <f t="shared" ref="AB72:AB135" si="23">IF(AA72="","",IF(OR(AA72="AB",M72="RE"),AA72,IF(AND(M72="S"),ROUNDUP(AA72,0),)))</f>
        <v/>
      </c>
      <c r="AC72" s="297" t="str">
        <f t="shared" ref="AC72:AC135" si="24">IF(AA72="","",IF(OR(AA72="AB",AA72&lt;36%*$AA$6),"F","P"))</f>
        <v/>
      </c>
      <c r="AD72" s="16"/>
      <c r="AE72" s="296" t="str">
        <f t="shared" ref="AE72:AE135" si="25">IF(AD72="","",IF(OR(AD72="AB",N72="RE"),AD72,IF(AND(N72="S"),ROUNDUP(AD72,0),)))</f>
        <v/>
      </c>
      <c r="AF72" s="297" t="str">
        <f t="shared" ref="AF72:AF135" si="26">IF(AD72="","",IF(OR(AD72="AB",AD72&lt;36%*$AD$6),"F","P"))</f>
        <v/>
      </c>
      <c r="AG72" s="16"/>
      <c r="AH72" s="296" t="str">
        <f t="shared" ref="AH72:AH135" si="27">IF(AG72="","",IF(OR(AG72="AB",O72="RE"),AG72,IF(AND(O72="S"),ROUNDUP(AG72,0),)))</f>
        <v/>
      </c>
      <c r="AI72" s="297" t="str">
        <f t="shared" ref="AI72:AI135" si="28">IF(AG72="","",IF(OR(AG72="AB",AG72&lt;36%*$AG$6),"F","P"))</f>
        <v/>
      </c>
      <c r="AJ72" s="16"/>
      <c r="AK72" s="297" t="str">
        <f t="shared" ref="AK72:AK135" si="29">IF(AJ72="","",IF(OR(AJ72="AB",P72="RE"),AJ72,IF(AND(P72="S"),ROUNDUP(AJ72,0),)))</f>
        <v/>
      </c>
      <c r="AL72" s="297" t="str">
        <f t="shared" ref="AL72:AL135" si="30">IF(AJ72="","",IF(OR(AJ72="AB",AJ72&lt;36%*$AJ$6),"F","P"))</f>
        <v/>
      </c>
      <c r="AM72" s="16"/>
      <c r="AN72" s="296" t="str">
        <f t="shared" ref="AN72:AN135" si="31">IF(AM72="","",IF(OR(AM72="AB",AM72&lt;15),"F","P"))</f>
        <v/>
      </c>
      <c r="AO72" s="16"/>
      <c r="AP72" s="296" t="str">
        <f t="shared" ref="AP72:AP135" si="32">IF(AO72="","",IF(OR(AO72="AB",AO72&lt;36),"F","P"))</f>
        <v/>
      </c>
      <c r="AQ72" s="298">
        <f t="shared" ref="AQ72:AQ135" si="33">IF(COUNTIF(K72:Q72,"F")&gt;0,"",COUNTA(U72,X72,AA72,AD72,AG72,AJ72,AM72))</f>
        <v>0</v>
      </c>
      <c r="AR72" s="298">
        <f t="shared" ref="AR72:AR135" si="34">IF(COUNTIF(K72:Q72,"F")&gt;0,"",COUNTIF(U72:AN72,"P"))</f>
        <v>0</v>
      </c>
      <c r="AS72" s="299" t="str">
        <f t="shared" ref="AS72:AS135" si="35">IF(AND(U72="",X72="",AA72="",AD72="",AG72="",AJ72="",AM72="",AO72=""),"",IF(COUNTIF(K72:R72,"F")&gt;0,"",IF(T72=0,"",IF(T72&gt;AQ72,H72,IF(T72&gt;AR72,"FAIL","PASS")))))</f>
        <v/>
      </c>
      <c r="AT72" s="300" t="str">
        <f>IF(COUNTIF(K72:R72,"F")&gt;0,"",IF(AS72="PASS",'Statement of Marks'!HF73,""))</f>
        <v/>
      </c>
      <c r="AU72" s="300" t="str">
        <f>IF(AS72="PASS",'Statement of Marks'!HG73,"")</f>
        <v/>
      </c>
    </row>
    <row r="73" spans="1:47">
      <c r="A73" s="283">
        <f>IF('Statement of Marks'!A74="","",'Statement of Marks'!A74)</f>
        <v>67</v>
      </c>
      <c r="B73" s="283" t="str">
        <f>IF('Statement of Marks'!B74="","",'Statement of Marks'!B74)</f>
        <v/>
      </c>
      <c r="C73" s="283" t="str">
        <f>IF('Statement of Marks'!C74="","",'Statement of Marks'!C74)</f>
        <v/>
      </c>
      <c r="D73" s="284" t="str">
        <f>IF('Statement of Marks'!D74="","",'Statement of Marks'!D74)</f>
        <v/>
      </c>
      <c r="E73" s="285" t="str">
        <f>IF('Statement of Marks'!E74="","",'Statement of Marks'!E74)</f>
        <v/>
      </c>
      <c r="F73" s="285" t="str">
        <f>IF('Statement of Marks'!F74="","",'Statement of Marks'!F74)</f>
        <v/>
      </c>
      <c r="G73" s="285" t="str">
        <f>IF('Statement of Marks'!G74="","",'Statement of Marks'!G74)</f>
        <v/>
      </c>
      <c r="H73" s="286" t="str">
        <f>IF('Statement of Marks'!GY74="","",'Statement of Marks'!GY74)</f>
        <v/>
      </c>
      <c r="I73" s="286" t="str">
        <f>IF('Statement of Marks'!HB74="","",'Statement of Marks'!HB74)</f>
        <v/>
      </c>
      <c r="J73" s="287" t="str">
        <f>IF('Statement of Marks'!HC74="","",'Statement of Marks'!HC74)</f>
        <v/>
      </c>
      <c r="K73" s="295" t="str">
        <f>IF(B73="","",'Statement of Marks'!FJ74)</f>
        <v/>
      </c>
      <c r="L73" s="295" t="str">
        <f>IF(B73="","",'Statement of Marks'!FM74)</f>
        <v/>
      </c>
      <c r="M73" s="295" t="str">
        <f>IF(B73="","",'Statement of Marks'!FP74)</f>
        <v/>
      </c>
      <c r="N73" s="295" t="str">
        <f>IF(B73="","",'Statement of Marks'!FW74)</f>
        <v/>
      </c>
      <c r="O73" s="295" t="str">
        <f>IF(B73="","",'Statement of Marks'!GD74)</f>
        <v/>
      </c>
      <c r="P73" s="295" t="str">
        <f>IF(B73="","",'Statement of Marks'!GK74)</f>
        <v/>
      </c>
      <c r="Q73" s="295" t="str">
        <f>IF(B73="","",'Statement of Marks'!GR74)</f>
        <v/>
      </c>
      <c r="R73" s="295" t="str">
        <f>IF(B73="","",'Statement of Marks'!GS74)</f>
        <v/>
      </c>
      <c r="S73" s="287" t="str">
        <f>IF(COUNTIF(K73:R73,"F")&gt;0,"",CONCATENATE('Statement of Marks'!GU74,'Statement of Marks'!GW74))</f>
        <v xml:space="preserve">           </v>
      </c>
      <c r="T73" s="288">
        <f t="shared" si="18"/>
        <v>0</v>
      </c>
      <c r="U73" s="16"/>
      <c r="V73" s="296" t="str">
        <f t="shared" si="19"/>
        <v/>
      </c>
      <c r="W73" s="296" t="str">
        <f t="shared" si="20"/>
        <v/>
      </c>
      <c r="X73" s="16"/>
      <c r="Y73" s="296" t="str">
        <f t="shared" si="21"/>
        <v/>
      </c>
      <c r="Z73" s="296" t="str">
        <f t="shared" si="22"/>
        <v/>
      </c>
      <c r="AA73" s="16"/>
      <c r="AB73" s="296" t="str">
        <f t="shared" si="23"/>
        <v/>
      </c>
      <c r="AC73" s="297" t="str">
        <f t="shared" si="24"/>
        <v/>
      </c>
      <c r="AD73" s="16"/>
      <c r="AE73" s="296" t="str">
        <f t="shared" si="25"/>
        <v/>
      </c>
      <c r="AF73" s="297" t="str">
        <f t="shared" si="26"/>
        <v/>
      </c>
      <c r="AG73" s="16"/>
      <c r="AH73" s="296" t="str">
        <f t="shared" si="27"/>
        <v/>
      </c>
      <c r="AI73" s="297" t="str">
        <f t="shared" si="28"/>
        <v/>
      </c>
      <c r="AJ73" s="16"/>
      <c r="AK73" s="297" t="str">
        <f t="shared" si="29"/>
        <v/>
      </c>
      <c r="AL73" s="297" t="str">
        <f t="shared" si="30"/>
        <v/>
      </c>
      <c r="AM73" s="16"/>
      <c r="AN73" s="296" t="str">
        <f t="shared" si="31"/>
        <v/>
      </c>
      <c r="AO73" s="16"/>
      <c r="AP73" s="296" t="str">
        <f t="shared" si="32"/>
        <v/>
      </c>
      <c r="AQ73" s="298">
        <f t="shared" si="33"/>
        <v>0</v>
      </c>
      <c r="AR73" s="298">
        <f t="shared" si="34"/>
        <v>0</v>
      </c>
      <c r="AS73" s="299" t="str">
        <f t="shared" si="35"/>
        <v/>
      </c>
      <c r="AT73" s="300" t="str">
        <f>IF(COUNTIF(K73:R73,"F")&gt;0,"",IF(AS73="PASS",'Statement of Marks'!HF74,""))</f>
        <v/>
      </c>
      <c r="AU73" s="300" t="str">
        <f>IF(AS73="PASS",'Statement of Marks'!HG74,"")</f>
        <v/>
      </c>
    </row>
    <row r="74" spans="1:47">
      <c r="A74" s="283">
        <f>IF('Statement of Marks'!A75="","",'Statement of Marks'!A75)</f>
        <v>68</v>
      </c>
      <c r="B74" s="283" t="str">
        <f>IF('Statement of Marks'!B75="","",'Statement of Marks'!B75)</f>
        <v/>
      </c>
      <c r="C74" s="283" t="str">
        <f>IF('Statement of Marks'!C75="","",'Statement of Marks'!C75)</f>
        <v/>
      </c>
      <c r="D74" s="284" t="str">
        <f>IF('Statement of Marks'!D75="","",'Statement of Marks'!D75)</f>
        <v/>
      </c>
      <c r="E74" s="285" t="str">
        <f>IF('Statement of Marks'!E75="","",'Statement of Marks'!E75)</f>
        <v/>
      </c>
      <c r="F74" s="285" t="str">
        <f>IF('Statement of Marks'!F75="","",'Statement of Marks'!F75)</f>
        <v/>
      </c>
      <c r="G74" s="285" t="str">
        <f>IF('Statement of Marks'!G75="","",'Statement of Marks'!G75)</f>
        <v/>
      </c>
      <c r="H74" s="286" t="str">
        <f>IF('Statement of Marks'!GY75="","",'Statement of Marks'!GY75)</f>
        <v/>
      </c>
      <c r="I74" s="286" t="str">
        <f>IF('Statement of Marks'!HB75="","",'Statement of Marks'!HB75)</f>
        <v/>
      </c>
      <c r="J74" s="287" t="str">
        <f>IF('Statement of Marks'!HC75="","",'Statement of Marks'!HC75)</f>
        <v/>
      </c>
      <c r="K74" s="295" t="str">
        <f>IF(B74="","",'Statement of Marks'!FJ75)</f>
        <v/>
      </c>
      <c r="L74" s="295" t="str">
        <f>IF(B74="","",'Statement of Marks'!FM75)</f>
        <v/>
      </c>
      <c r="M74" s="295" t="str">
        <f>IF(B74="","",'Statement of Marks'!FP75)</f>
        <v/>
      </c>
      <c r="N74" s="295" t="str">
        <f>IF(B74="","",'Statement of Marks'!FW75)</f>
        <v/>
      </c>
      <c r="O74" s="295" t="str">
        <f>IF(B74="","",'Statement of Marks'!GD75)</f>
        <v/>
      </c>
      <c r="P74" s="295" t="str">
        <f>IF(B74="","",'Statement of Marks'!GK75)</f>
        <v/>
      </c>
      <c r="Q74" s="295" t="str">
        <f>IF(B74="","",'Statement of Marks'!GR75)</f>
        <v/>
      </c>
      <c r="R74" s="295" t="str">
        <f>IF(B74="","",'Statement of Marks'!GS75)</f>
        <v/>
      </c>
      <c r="S74" s="287" t="str">
        <f>IF(COUNTIF(K74:R74,"F")&gt;0,"",CONCATENATE('Statement of Marks'!GU75,'Statement of Marks'!GW75))</f>
        <v xml:space="preserve">           </v>
      </c>
      <c r="T74" s="288">
        <f t="shared" si="18"/>
        <v>0</v>
      </c>
      <c r="U74" s="16"/>
      <c r="V74" s="296" t="str">
        <f t="shared" si="19"/>
        <v/>
      </c>
      <c r="W74" s="296" t="str">
        <f t="shared" si="20"/>
        <v/>
      </c>
      <c r="X74" s="16"/>
      <c r="Y74" s="296" t="str">
        <f t="shared" si="21"/>
        <v/>
      </c>
      <c r="Z74" s="296" t="str">
        <f t="shared" si="22"/>
        <v/>
      </c>
      <c r="AA74" s="16"/>
      <c r="AB74" s="296" t="str">
        <f t="shared" si="23"/>
        <v/>
      </c>
      <c r="AC74" s="297" t="str">
        <f t="shared" si="24"/>
        <v/>
      </c>
      <c r="AD74" s="16"/>
      <c r="AE74" s="296" t="str">
        <f t="shared" si="25"/>
        <v/>
      </c>
      <c r="AF74" s="297" t="str">
        <f t="shared" si="26"/>
        <v/>
      </c>
      <c r="AG74" s="16"/>
      <c r="AH74" s="296" t="str">
        <f t="shared" si="27"/>
        <v/>
      </c>
      <c r="AI74" s="297" t="str">
        <f t="shared" si="28"/>
        <v/>
      </c>
      <c r="AJ74" s="16"/>
      <c r="AK74" s="297" t="str">
        <f t="shared" si="29"/>
        <v/>
      </c>
      <c r="AL74" s="297" t="str">
        <f t="shared" si="30"/>
        <v/>
      </c>
      <c r="AM74" s="16"/>
      <c r="AN74" s="296" t="str">
        <f t="shared" si="31"/>
        <v/>
      </c>
      <c r="AO74" s="16"/>
      <c r="AP74" s="296" t="str">
        <f t="shared" si="32"/>
        <v/>
      </c>
      <c r="AQ74" s="298">
        <f t="shared" si="33"/>
        <v>0</v>
      </c>
      <c r="AR74" s="298">
        <f t="shared" si="34"/>
        <v>0</v>
      </c>
      <c r="AS74" s="299" t="str">
        <f t="shared" si="35"/>
        <v/>
      </c>
      <c r="AT74" s="300" t="str">
        <f>IF(COUNTIF(K74:R74,"F")&gt;0,"",IF(AS74="PASS",'Statement of Marks'!HF75,""))</f>
        <v/>
      </c>
      <c r="AU74" s="300" t="str">
        <f>IF(AS74="PASS",'Statement of Marks'!HG75,"")</f>
        <v/>
      </c>
    </row>
    <row r="75" spans="1:47">
      <c r="A75" s="283">
        <f>IF('Statement of Marks'!A76="","",'Statement of Marks'!A76)</f>
        <v>69</v>
      </c>
      <c r="B75" s="283" t="str">
        <f>IF('Statement of Marks'!B76="","",'Statement of Marks'!B76)</f>
        <v/>
      </c>
      <c r="C75" s="283" t="str">
        <f>IF('Statement of Marks'!C76="","",'Statement of Marks'!C76)</f>
        <v/>
      </c>
      <c r="D75" s="284" t="str">
        <f>IF('Statement of Marks'!D76="","",'Statement of Marks'!D76)</f>
        <v/>
      </c>
      <c r="E75" s="285" t="str">
        <f>IF('Statement of Marks'!E76="","",'Statement of Marks'!E76)</f>
        <v/>
      </c>
      <c r="F75" s="285" t="str">
        <f>IF('Statement of Marks'!F76="","",'Statement of Marks'!F76)</f>
        <v/>
      </c>
      <c r="G75" s="285" t="str">
        <f>IF('Statement of Marks'!G76="","",'Statement of Marks'!G76)</f>
        <v/>
      </c>
      <c r="H75" s="286" t="str">
        <f>IF('Statement of Marks'!GY76="","",'Statement of Marks'!GY76)</f>
        <v/>
      </c>
      <c r="I75" s="286" t="str">
        <f>IF('Statement of Marks'!HB76="","",'Statement of Marks'!HB76)</f>
        <v/>
      </c>
      <c r="J75" s="287" t="str">
        <f>IF('Statement of Marks'!HC76="","",'Statement of Marks'!HC76)</f>
        <v/>
      </c>
      <c r="K75" s="295" t="str">
        <f>IF(B75="","",'Statement of Marks'!FJ76)</f>
        <v/>
      </c>
      <c r="L75" s="295" t="str">
        <f>IF(B75="","",'Statement of Marks'!FM76)</f>
        <v/>
      </c>
      <c r="M75" s="295" t="str">
        <f>IF(B75="","",'Statement of Marks'!FP76)</f>
        <v/>
      </c>
      <c r="N75" s="295" t="str">
        <f>IF(B75="","",'Statement of Marks'!FW76)</f>
        <v/>
      </c>
      <c r="O75" s="295" t="str">
        <f>IF(B75="","",'Statement of Marks'!GD76)</f>
        <v/>
      </c>
      <c r="P75" s="295" t="str">
        <f>IF(B75="","",'Statement of Marks'!GK76)</f>
        <v/>
      </c>
      <c r="Q75" s="295" t="str">
        <f>IF(B75="","",'Statement of Marks'!GR76)</f>
        <v/>
      </c>
      <c r="R75" s="295" t="str">
        <f>IF(B75="","",'Statement of Marks'!GS76)</f>
        <v/>
      </c>
      <c r="S75" s="287" t="str">
        <f>IF(COUNTIF(K75:R75,"F")&gt;0,"",CONCATENATE('Statement of Marks'!GU76,'Statement of Marks'!GW76))</f>
        <v xml:space="preserve">           </v>
      </c>
      <c r="T75" s="288">
        <f t="shared" si="18"/>
        <v>0</v>
      </c>
      <c r="U75" s="16"/>
      <c r="V75" s="296" t="str">
        <f t="shared" si="19"/>
        <v/>
      </c>
      <c r="W75" s="296" t="str">
        <f t="shared" si="20"/>
        <v/>
      </c>
      <c r="X75" s="16"/>
      <c r="Y75" s="296" t="str">
        <f t="shared" si="21"/>
        <v/>
      </c>
      <c r="Z75" s="296" t="str">
        <f t="shared" si="22"/>
        <v/>
      </c>
      <c r="AA75" s="16"/>
      <c r="AB75" s="296" t="str">
        <f t="shared" si="23"/>
        <v/>
      </c>
      <c r="AC75" s="297" t="str">
        <f t="shared" si="24"/>
        <v/>
      </c>
      <c r="AD75" s="16"/>
      <c r="AE75" s="296" t="str">
        <f t="shared" si="25"/>
        <v/>
      </c>
      <c r="AF75" s="297" t="str">
        <f t="shared" si="26"/>
        <v/>
      </c>
      <c r="AG75" s="16"/>
      <c r="AH75" s="296" t="str">
        <f t="shared" si="27"/>
        <v/>
      </c>
      <c r="AI75" s="297" t="str">
        <f t="shared" si="28"/>
        <v/>
      </c>
      <c r="AJ75" s="16"/>
      <c r="AK75" s="297" t="str">
        <f t="shared" si="29"/>
        <v/>
      </c>
      <c r="AL75" s="297" t="str">
        <f t="shared" si="30"/>
        <v/>
      </c>
      <c r="AM75" s="16"/>
      <c r="AN75" s="296" t="str">
        <f t="shared" si="31"/>
        <v/>
      </c>
      <c r="AO75" s="16"/>
      <c r="AP75" s="296" t="str">
        <f t="shared" si="32"/>
        <v/>
      </c>
      <c r="AQ75" s="298">
        <f t="shared" si="33"/>
        <v>0</v>
      </c>
      <c r="AR75" s="298">
        <f t="shared" si="34"/>
        <v>0</v>
      </c>
      <c r="AS75" s="299" t="str">
        <f t="shared" si="35"/>
        <v/>
      </c>
      <c r="AT75" s="300" t="str">
        <f>IF(COUNTIF(K75:R75,"F")&gt;0,"",IF(AS75="PASS",'Statement of Marks'!HF76,""))</f>
        <v/>
      </c>
      <c r="AU75" s="300" t="str">
        <f>IF(AS75="PASS",'Statement of Marks'!HG76,"")</f>
        <v/>
      </c>
    </row>
    <row r="76" spans="1:47">
      <c r="A76" s="283">
        <f>IF('Statement of Marks'!A77="","",'Statement of Marks'!A77)</f>
        <v>70</v>
      </c>
      <c r="B76" s="283" t="str">
        <f>IF('Statement of Marks'!B77="","",'Statement of Marks'!B77)</f>
        <v/>
      </c>
      <c r="C76" s="283" t="str">
        <f>IF('Statement of Marks'!C77="","",'Statement of Marks'!C77)</f>
        <v/>
      </c>
      <c r="D76" s="284" t="str">
        <f>IF('Statement of Marks'!D77="","",'Statement of Marks'!D77)</f>
        <v/>
      </c>
      <c r="E76" s="285" t="str">
        <f>IF('Statement of Marks'!E77="","",'Statement of Marks'!E77)</f>
        <v/>
      </c>
      <c r="F76" s="285" t="str">
        <f>IF('Statement of Marks'!F77="","",'Statement of Marks'!F77)</f>
        <v/>
      </c>
      <c r="G76" s="285" t="str">
        <f>IF('Statement of Marks'!G77="","",'Statement of Marks'!G77)</f>
        <v/>
      </c>
      <c r="H76" s="286" t="str">
        <f>IF('Statement of Marks'!GY77="","",'Statement of Marks'!GY77)</f>
        <v/>
      </c>
      <c r="I76" s="286" t="str">
        <f>IF('Statement of Marks'!HB77="","",'Statement of Marks'!HB77)</f>
        <v/>
      </c>
      <c r="J76" s="287" t="str">
        <f>IF('Statement of Marks'!HC77="","",'Statement of Marks'!HC77)</f>
        <v/>
      </c>
      <c r="K76" s="295" t="str">
        <f>IF(B76="","",'Statement of Marks'!FJ77)</f>
        <v/>
      </c>
      <c r="L76" s="295" t="str">
        <f>IF(B76="","",'Statement of Marks'!FM77)</f>
        <v/>
      </c>
      <c r="M76" s="295" t="str">
        <f>IF(B76="","",'Statement of Marks'!FP77)</f>
        <v/>
      </c>
      <c r="N76" s="295" t="str">
        <f>IF(B76="","",'Statement of Marks'!FW77)</f>
        <v/>
      </c>
      <c r="O76" s="295" t="str">
        <f>IF(B76="","",'Statement of Marks'!GD77)</f>
        <v/>
      </c>
      <c r="P76" s="295" t="str">
        <f>IF(B76="","",'Statement of Marks'!GK77)</f>
        <v/>
      </c>
      <c r="Q76" s="295" t="str">
        <f>IF(B76="","",'Statement of Marks'!GR77)</f>
        <v/>
      </c>
      <c r="R76" s="295" t="str">
        <f>IF(B76="","",'Statement of Marks'!GS77)</f>
        <v/>
      </c>
      <c r="S76" s="287" t="str">
        <f>IF(COUNTIF(K76:R76,"F")&gt;0,"",CONCATENATE('Statement of Marks'!GU77,'Statement of Marks'!GW77))</f>
        <v xml:space="preserve">           </v>
      </c>
      <c r="T76" s="288">
        <f t="shared" si="18"/>
        <v>0</v>
      </c>
      <c r="U76" s="16"/>
      <c r="V76" s="296" t="str">
        <f t="shared" si="19"/>
        <v/>
      </c>
      <c r="W76" s="296" t="str">
        <f t="shared" si="20"/>
        <v/>
      </c>
      <c r="X76" s="16"/>
      <c r="Y76" s="296" t="str">
        <f t="shared" si="21"/>
        <v/>
      </c>
      <c r="Z76" s="296" t="str">
        <f t="shared" si="22"/>
        <v/>
      </c>
      <c r="AA76" s="16"/>
      <c r="AB76" s="296" t="str">
        <f t="shared" si="23"/>
        <v/>
      </c>
      <c r="AC76" s="297" t="str">
        <f t="shared" si="24"/>
        <v/>
      </c>
      <c r="AD76" s="16"/>
      <c r="AE76" s="296" t="str">
        <f t="shared" si="25"/>
        <v/>
      </c>
      <c r="AF76" s="297" t="str">
        <f t="shared" si="26"/>
        <v/>
      </c>
      <c r="AG76" s="16"/>
      <c r="AH76" s="296" t="str">
        <f t="shared" si="27"/>
        <v/>
      </c>
      <c r="AI76" s="297" t="str">
        <f t="shared" si="28"/>
        <v/>
      </c>
      <c r="AJ76" s="16"/>
      <c r="AK76" s="297" t="str">
        <f t="shared" si="29"/>
        <v/>
      </c>
      <c r="AL76" s="297" t="str">
        <f t="shared" si="30"/>
        <v/>
      </c>
      <c r="AM76" s="16"/>
      <c r="AN76" s="296" t="str">
        <f t="shared" si="31"/>
        <v/>
      </c>
      <c r="AO76" s="16"/>
      <c r="AP76" s="296" t="str">
        <f t="shared" si="32"/>
        <v/>
      </c>
      <c r="AQ76" s="298">
        <f t="shared" si="33"/>
        <v>0</v>
      </c>
      <c r="AR76" s="298">
        <f t="shared" si="34"/>
        <v>0</v>
      </c>
      <c r="AS76" s="299" t="str">
        <f t="shared" si="35"/>
        <v/>
      </c>
      <c r="AT76" s="300" t="str">
        <f>IF(COUNTIF(K76:R76,"F")&gt;0,"",IF(AS76="PASS",'Statement of Marks'!HF77,""))</f>
        <v/>
      </c>
      <c r="AU76" s="300" t="str">
        <f>IF(AS76="PASS",'Statement of Marks'!HG77,"")</f>
        <v/>
      </c>
    </row>
    <row r="77" spans="1:47">
      <c r="A77" s="283">
        <f>IF('Statement of Marks'!A78="","",'Statement of Marks'!A78)</f>
        <v>71</v>
      </c>
      <c r="B77" s="283" t="str">
        <f>IF('Statement of Marks'!B78="","",'Statement of Marks'!B78)</f>
        <v/>
      </c>
      <c r="C77" s="283" t="str">
        <f>IF('Statement of Marks'!C78="","",'Statement of Marks'!C78)</f>
        <v/>
      </c>
      <c r="D77" s="284" t="str">
        <f>IF('Statement of Marks'!D78="","",'Statement of Marks'!D78)</f>
        <v/>
      </c>
      <c r="E77" s="285" t="str">
        <f>IF('Statement of Marks'!E78="","",'Statement of Marks'!E78)</f>
        <v/>
      </c>
      <c r="F77" s="285" t="str">
        <f>IF('Statement of Marks'!F78="","",'Statement of Marks'!F78)</f>
        <v/>
      </c>
      <c r="G77" s="285" t="str">
        <f>IF('Statement of Marks'!G78="","",'Statement of Marks'!G78)</f>
        <v/>
      </c>
      <c r="H77" s="286" t="str">
        <f>IF('Statement of Marks'!GY78="","",'Statement of Marks'!GY78)</f>
        <v/>
      </c>
      <c r="I77" s="286" t="str">
        <f>IF('Statement of Marks'!HB78="","",'Statement of Marks'!HB78)</f>
        <v/>
      </c>
      <c r="J77" s="287" t="str">
        <f>IF('Statement of Marks'!HC78="","",'Statement of Marks'!HC78)</f>
        <v/>
      </c>
      <c r="K77" s="295" t="str">
        <f>IF(B77="","",'Statement of Marks'!FJ78)</f>
        <v/>
      </c>
      <c r="L77" s="295" t="str">
        <f>IF(B77="","",'Statement of Marks'!FM78)</f>
        <v/>
      </c>
      <c r="M77" s="295" t="str">
        <f>IF(B77="","",'Statement of Marks'!FP78)</f>
        <v/>
      </c>
      <c r="N77" s="295" t="str">
        <f>IF(B77="","",'Statement of Marks'!FW78)</f>
        <v/>
      </c>
      <c r="O77" s="295" t="str">
        <f>IF(B77="","",'Statement of Marks'!GD78)</f>
        <v/>
      </c>
      <c r="P77" s="295" t="str">
        <f>IF(B77="","",'Statement of Marks'!GK78)</f>
        <v/>
      </c>
      <c r="Q77" s="295" t="str">
        <f>IF(B77="","",'Statement of Marks'!GR78)</f>
        <v/>
      </c>
      <c r="R77" s="295" t="str">
        <f>IF(B77="","",'Statement of Marks'!GS78)</f>
        <v/>
      </c>
      <c r="S77" s="287" t="str">
        <f>IF(COUNTIF(K77:R77,"F")&gt;0,"",CONCATENATE('Statement of Marks'!GU78,'Statement of Marks'!GW78))</f>
        <v xml:space="preserve">           </v>
      </c>
      <c r="T77" s="288">
        <f t="shared" si="18"/>
        <v>0</v>
      </c>
      <c r="U77" s="16"/>
      <c r="V77" s="296" t="str">
        <f t="shared" si="19"/>
        <v/>
      </c>
      <c r="W77" s="296" t="str">
        <f t="shared" si="20"/>
        <v/>
      </c>
      <c r="X77" s="16"/>
      <c r="Y77" s="296" t="str">
        <f t="shared" si="21"/>
        <v/>
      </c>
      <c r="Z77" s="296" t="str">
        <f t="shared" si="22"/>
        <v/>
      </c>
      <c r="AA77" s="16"/>
      <c r="AB77" s="296" t="str">
        <f t="shared" si="23"/>
        <v/>
      </c>
      <c r="AC77" s="297" t="str">
        <f t="shared" si="24"/>
        <v/>
      </c>
      <c r="AD77" s="16"/>
      <c r="AE77" s="296" t="str">
        <f t="shared" si="25"/>
        <v/>
      </c>
      <c r="AF77" s="297" t="str">
        <f t="shared" si="26"/>
        <v/>
      </c>
      <c r="AG77" s="16"/>
      <c r="AH77" s="296" t="str">
        <f t="shared" si="27"/>
        <v/>
      </c>
      <c r="AI77" s="297" t="str">
        <f t="shared" si="28"/>
        <v/>
      </c>
      <c r="AJ77" s="16"/>
      <c r="AK77" s="297" t="str">
        <f t="shared" si="29"/>
        <v/>
      </c>
      <c r="AL77" s="297" t="str">
        <f t="shared" si="30"/>
        <v/>
      </c>
      <c r="AM77" s="16"/>
      <c r="AN77" s="296" t="str">
        <f t="shared" si="31"/>
        <v/>
      </c>
      <c r="AO77" s="16"/>
      <c r="AP77" s="296" t="str">
        <f t="shared" si="32"/>
        <v/>
      </c>
      <c r="AQ77" s="298">
        <f t="shared" si="33"/>
        <v>0</v>
      </c>
      <c r="AR77" s="298">
        <f t="shared" si="34"/>
        <v>0</v>
      </c>
      <c r="AS77" s="299" t="str">
        <f t="shared" si="35"/>
        <v/>
      </c>
      <c r="AT77" s="300" t="str">
        <f>IF(COUNTIF(K77:R77,"F")&gt;0,"",IF(AS77="PASS",'Statement of Marks'!HF78,""))</f>
        <v/>
      </c>
      <c r="AU77" s="300" t="str">
        <f>IF(AS77="PASS",'Statement of Marks'!HG78,"")</f>
        <v/>
      </c>
    </row>
    <row r="78" spans="1:47">
      <c r="A78" s="283">
        <f>IF('Statement of Marks'!A79="","",'Statement of Marks'!A79)</f>
        <v>72</v>
      </c>
      <c r="B78" s="283" t="str">
        <f>IF('Statement of Marks'!B79="","",'Statement of Marks'!B79)</f>
        <v/>
      </c>
      <c r="C78" s="283" t="str">
        <f>IF('Statement of Marks'!C79="","",'Statement of Marks'!C79)</f>
        <v/>
      </c>
      <c r="D78" s="284" t="str">
        <f>IF('Statement of Marks'!D79="","",'Statement of Marks'!D79)</f>
        <v/>
      </c>
      <c r="E78" s="285" t="str">
        <f>IF('Statement of Marks'!E79="","",'Statement of Marks'!E79)</f>
        <v/>
      </c>
      <c r="F78" s="285" t="str">
        <f>IF('Statement of Marks'!F79="","",'Statement of Marks'!F79)</f>
        <v/>
      </c>
      <c r="G78" s="285" t="str">
        <f>IF('Statement of Marks'!G79="","",'Statement of Marks'!G79)</f>
        <v/>
      </c>
      <c r="H78" s="286" t="str">
        <f>IF('Statement of Marks'!GY79="","",'Statement of Marks'!GY79)</f>
        <v/>
      </c>
      <c r="I78" s="286" t="str">
        <f>IF('Statement of Marks'!HB79="","",'Statement of Marks'!HB79)</f>
        <v/>
      </c>
      <c r="J78" s="287" t="str">
        <f>IF('Statement of Marks'!HC79="","",'Statement of Marks'!HC79)</f>
        <v/>
      </c>
      <c r="K78" s="295" t="str">
        <f>IF(B78="","",'Statement of Marks'!FJ79)</f>
        <v/>
      </c>
      <c r="L78" s="295" t="str">
        <f>IF(B78="","",'Statement of Marks'!FM79)</f>
        <v/>
      </c>
      <c r="M78" s="295" t="str">
        <f>IF(B78="","",'Statement of Marks'!FP79)</f>
        <v/>
      </c>
      <c r="N78" s="295" t="str">
        <f>IF(B78="","",'Statement of Marks'!FW79)</f>
        <v/>
      </c>
      <c r="O78" s="295" t="str">
        <f>IF(B78="","",'Statement of Marks'!GD79)</f>
        <v/>
      </c>
      <c r="P78" s="295" t="str">
        <f>IF(B78="","",'Statement of Marks'!GK79)</f>
        <v/>
      </c>
      <c r="Q78" s="295" t="str">
        <f>IF(B78="","",'Statement of Marks'!GR79)</f>
        <v/>
      </c>
      <c r="R78" s="295" t="str">
        <f>IF(B78="","",'Statement of Marks'!GS79)</f>
        <v/>
      </c>
      <c r="S78" s="287" t="str">
        <f>IF(COUNTIF(K78:R78,"F")&gt;0,"",CONCATENATE('Statement of Marks'!GU79,'Statement of Marks'!GW79))</f>
        <v xml:space="preserve">           </v>
      </c>
      <c r="T78" s="288">
        <f t="shared" si="18"/>
        <v>0</v>
      </c>
      <c r="U78" s="16"/>
      <c r="V78" s="296" t="str">
        <f t="shared" si="19"/>
        <v/>
      </c>
      <c r="W78" s="296" t="str">
        <f t="shared" si="20"/>
        <v/>
      </c>
      <c r="X78" s="16"/>
      <c r="Y78" s="296" t="str">
        <f t="shared" si="21"/>
        <v/>
      </c>
      <c r="Z78" s="296" t="str">
        <f t="shared" si="22"/>
        <v/>
      </c>
      <c r="AA78" s="16"/>
      <c r="AB78" s="296" t="str">
        <f t="shared" si="23"/>
        <v/>
      </c>
      <c r="AC78" s="297" t="str">
        <f t="shared" si="24"/>
        <v/>
      </c>
      <c r="AD78" s="16"/>
      <c r="AE78" s="296" t="str">
        <f t="shared" si="25"/>
        <v/>
      </c>
      <c r="AF78" s="297" t="str">
        <f t="shared" si="26"/>
        <v/>
      </c>
      <c r="AG78" s="16"/>
      <c r="AH78" s="296" t="str">
        <f t="shared" si="27"/>
        <v/>
      </c>
      <c r="AI78" s="297" t="str">
        <f t="shared" si="28"/>
        <v/>
      </c>
      <c r="AJ78" s="16"/>
      <c r="AK78" s="297" t="str">
        <f t="shared" si="29"/>
        <v/>
      </c>
      <c r="AL78" s="297" t="str">
        <f t="shared" si="30"/>
        <v/>
      </c>
      <c r="AM78" s="16"/>
      <c r="AN78" s="296" t="str">
        <f t="shared" si="31"/>
        <v/>
      </c>
      <c r="AO78" s="16"/>
      <c r="AP78" s="296" t="str">
        <f t="shared" si="32"/>
        <v/>
      </c>
      <c r="AQ78" s="298">
        <f t="shared" si="33"/>
        <v>0</v>
      </c>
      <c r="AR78" s="298">
        <f t="shared" si="34"/>
        <v>0</v>
      </c>
      <c r="AS78" s="299" t="str">
        <f t="shared" si="35"/>
        <v/>
      </c>
      <c r="AT78" s="300" t="str">
        <f>IF(COUNTIF(K78:R78,"F")&gt;0,"",IF(AS78="PASS",'Statement of Marks'!HF79,""))</f>
        <v/>
      </c>
      <c r="AU78" s="300" t="str">
        <f>IF(AS78="PASS",'Statement of Marks'!HG79,"")</f>
        <v/>
      </c>
    </row>
    <row r="79" spans="1:47">
      <c r="A79" s="283">
        <f>IF('Statement of Marks'!A80="","",'Statement of Marks'!A80)</f>
        <v>73</v>
      </c>
      <c r="B79" s="283" t="str">
        <f>IF('Statement of Marks'!B80="","",'Statement of Marks'!B80)</f>
        <v/>
      </c>
      <c r="C79" s="283" t="str">
        <f>IF('Statement of Marks'!C80="","",'Statement of Marks'!C80)</f>
        <v/>
      </c>
      <c r="D79" s="284" t="str">
        <f>IF('Statement of Marks'!D80="","",'Statement of Marks'!D80)</f>
        <v/>
      </c>
      <c r="E79" s="285" t="str">
        <f>IF('Statement of Marks'!E80="","",'Statement of Marks'!E80)</f>
        <v/>
      </c>
      <c r="F79" s="285" t="str">
        <f>IF('Statement of Marks'!F80="","",'Statement of Marks'!F80)</f>
        <v/>
      </c>
      <c r="G79" s="285" t="str">
        <f>IF('Statement of Marks'!G80="","",'Statement of Marks'!G80)</f>
        <v/>
      </c>
      <c r="H79" s="286" t="str">
        <f>IF('Statement of Marks'!GY80="","",'Statement of Marks'!GY80)</f>
        <v/>
      </c>
      <c r="I79" s="286" t="str">
        <f>IF('Statement of Marks'!HB80="","",'Statement of Marks'!HB80)</f>
        <v/>
      </c>
      <c r="J79" s="287" t="str">
        <f>IF('Statement of Marks'!HC80="","",'Statement of Marks'!HC80)</f>
        <v/>
      </c>
      <c r="K79" s="295" t="str">
        <f>IF(B79="","",'Statement of Marks'!FJ80)</f>
        <v/>
      </c>
      <c r="L79" s="295" t="str">
        <f>IF(B79="","",'Statement of Marks'!FM80)</f>
        <v/>
      </c>
      <c r="M79" s="295" t="str">
        <f>IF(B79="","",'Statement of Marks'!FP80)</f>
        <v/>
      </c>
      <c r="N79" s="295" t="str">
        <f>IF(B79="","",'Statement of Marks'!FW80)</f>
        <v/>
      </c>
      <c r="O79" s="295" t="str">
        <f>IF(B79="","",'Statement of Marks'!GD80)</f>
        <v/>
      </c>
      <c r="P79" s="295" t="str">
        <f>IF(B79="","",'Statement of Marks'!GK80)</f>
        <v/>
      </c>
      <c r="Q79" s="295" t="str">
        <f>IF(B79="","",'Statement of Marks'!GR80)</f>
        <v/>
      </c>
      <c r="R79" s="295" t="str">
        <f>IF(B79="","",'Statement of Marks'!GS80)</f>
        <v/>
      </c>
      <c r="S79" s="287" t="str">
        <f>IF(COUNTIF(K79:R79,"F")&gt;0,"",CONCATENATE('Statement of Marks'!GU80,'Statement of Marks'!GW80))</f>
        <v xml:space="preserve">           </v>
      </c>
      <c r="T79" s="288">
        <f t="shared" si="18"/>
        <v>0</v>
      </c>
      <c r="U79" s="16"/>
      <c r="V79" s="296" t="str">
        <f t="shared" si="19"/>
        <v/>
      </c>
      <c r="W79" s="296" t="str">
        <f t="shared" si="20"/>
        <v/>
      </c>
      <c r="X79" s="16"/>
      <c r="Y79" s="296" t="str">
        <f t="shared" si="21"/>
        <v/>
      </c>
      <c r="Z79" s="296" t="str">
        <f t="shared" si="22"/>
        <v/>
      </c>
      <c r="AA79" s="16"/>
      <c r="AB79" s="296" t="str">
        <f t="shared" si="23"/>
        <v/>
      </c>
      <c r="AC79" s="297" t="str">
        <f t="shared" si="24"/>
        <v/>
      </c>
      <c r="AD79" s="16"/>
      <c r="AE79" s="296" t="str">
        <f t="shared" si="25"/>
        <v/>
      </c>
      <c r="AF79" s="297" t="str">
        <f t="shared" si="26"/>
        <v/>
      </c>
      <c r="AG79" s="16"/>
      <c r="AH79" s="296" t="str">
        <f t="shared" si="27"/>
        <v/>
      </c>
      <c r="AI79" s="297" t="str">
        <f t="shared" si="28"/>
        <v/>
      </c>
      <c r="AJ79" s="16"/>
      <c r="AK79" s="297" t="str">
        <f t="shared" si="29"/>
        <v/>
      </c>
      <c r="AL79" s="297" t="str">
        <f t="shared" si="30"/>
        <v/>
      </c>
      <c r="AM79" s="16"/>
      <c r="AN79" s="296" t="str">
        <f t="shared" si="31"/>
        <v/>
      </c>
      <c r="AO79" s="16"/>
      <c r="AP79" s="296" t="str">
        <f t="shared" si="32"/>
        <v/>
      </c>
      <c r="AQ79" s="298">
        <f t="shared" si="33"/>
        <v>0</v>
      </c>
      <c r="AR79" s="298">
        <f t="shared" si="34"/>
        <v>0</v>
      </c>
      <c r="AS79" s="299" t="str">
        <f t="shared" si="35"/>
        <v/>
      </c>
      <c r="AT79" s="300" t="str">
        <f>IF(COUNTIF(K79:R79,"F")&gt;0,"",IF(AS79="PASS",'Statement of Marks'!HF80,""))</f>
        <v/>
      </c>
      <c r="AU79" s="300" t="str">
        <f>IF(AS79="PASS",'Statement of Marks'!HG80,"")</f>
        <v/>
      </c>
    </row>
    <row r="80" spans="1:47">
      <c r="A80" s="283">
        <f>IF('Statement of Marks'!A81="","",'Statement of Marks'!A81)</f>
        <v>74</v>
      </c>
      <c r="B80" s="283" t="str">
        <f>IF('Statement of Marks'!B81="","",'Statement of Marks'!B81)</f>
        <v/>
      </c>
      <c r="C80" s="283" t="str">
        <f>IF('Statement of Marks'!C81="","",'Statement of Marks'!C81)</f>
        <v/>
      </c>
      <c r="D80" s="284" t="str">
        <f>IF('Statement of Marks'!D81="","",'Statement of Marks'!D81)</f>
        <v/>
      </c>
      <c r="E80" s="285" t="str">
        <f>IF('Statement of Marks'!E81="","",'Statement of Marks'!E81)</f>
        <v/>
      </c>
      <c r="F80" s="285" t="str">
        <f>IF('Statement of Marks'!F81="","",'Statement of Marks'!F81)</f>
        <v/>
      </c>
      <c r="G80" s="285" t="str">
        <f>IF('Statement of Marks'!G81="","",'Statement of Marks'!G81)</f>
        <v/>
      </c>
      <c r="H80" s="286" t="str">
        <f>IF('Statement of Marks'!GY81="","",'Statement of Marks'!GY81)</f>
        <v/>
      </c>
      <c r="I80" s="286" t="str">
        <f>IF('Statement of Marks'!HB81="","",'Statement of Marks'!HB81)</f>
        <v/>
      </c>
      <c r="J80" s="287" t="str">
        <f>IF('Statement of Marks'!HC81="","",'Statement of Marks'!HC81)</f>
        <v/>
      </c>
      <c r="K80" s="295" t="str">
        <f>IF(B80="","",'Statement of Marks'!FJ81)</f>
        <v/>
      </c>
      <c r="L80" s="295" t="str">
        <f>IF(B80="","",'Statement of Marks'!FM81)</f>
        <v/>
      </c>
      <c r="M80" s="295" t="str">
        <f>IF(B80="","",'Statement of Marks'!FP81)</f>
        <v/>
      </c>
      <c r="N80" s="295" t="str">
        <f>IF(B80="","",'Statement of Marks'!FW81)</f>
        <v/>
      </c>
      <c r="O80" s="295" t="str">
        <f>IF(B80="","",'Statement of Marks'!GD81)</f>
        <v/>
      </c>
      <c r="P80" s="295" t="str">
        <f>IF(B80="","",'Statement of Marks'!GK81)</f>
        <v/>
      </c>
      <c r="Q80" s="295" t="str">
        <f>IF(B80="","",'Statement of Marks'!GR81)</f>
        <v/>
      </c>
      <c r="R80" s="295" t="str">
        <f>IF(B80="","",'Statement of Marks'!GS81)</f>
        <v/>
      </c>
      <c r="S80" s="287" t="str">
        <f>IF(COUNTIF(K80:R80,"F")&gt;0,"",CONCATENATE('Statement of Marks'!GU81,'Statement of Marks'!GW81))</f>
        <v xml:space="preserve">           </v>
      </c>
      <c r="T80" s="288">
        <f t="shared" si="18"/>
        <v>0</v>
      </c>
      <c r="U80" s="16"/>
      <c r="V80" s="296" t="str">
        <f t="shared" si="19"/>
        <v/>
      </c>
      <c r="W80" s="296" t="str">
        <f t="shared" si="20"/>
        <v/>
      </c>
      <c r="X80" s="16"/>
      <c r="Y80" s="296" t="str">
        <f t="shared" si="21"/>
        <v/>
      </c>
      <c r="Z80" s="296" t="str">
        <f t="shared" si="22"/>
        <v/>
      </c>
      <c r="AA80" s="16"/>
      <c r="AB80" s="296" t="str">
        <f t="shared" si="23"/>
        <v/>
      </c>
      <c r="AC80" s="297" t="str">
        <f t="shared" si="24"/>
        <v/>
      </c>
      <c r="AD80" s="16"/>
      <c r="AE80" s="296" t="str">
        <f t="shared" si="25"/>
        <v/>
      </c>
      <c r="AF80" s="297" t="str">
        <f t="shared" si="26"/>
        <v/>
      </c>
      <c r="AG80" s="16"/>
      <c r="AH80" s="296" t="str">
        <f t="shared" si="27"/>
        <v/>
      </c>
      <c r="AI80" s="297" t="str">
        <f t="shared" si="28"/>
        <v/>
      </c>
      <c r="AJ80" s="16"/>
      <c r="AK80" s="297" t="str">
        <f t="shared" si="29"/>
        <v/>
      </c>
      <c r="AL80" s="297" t="str">
        <f t="shared" si="30"/>
        <v/>
      </c>
      <c r="AM80" s="16"/>
      <c r="AN80" s="296" t="str">
        <f t="shared" si="31"/>
        <v/>
      </c>
      <c r="AO80" s="16"/>
      <c r="AP80" s="296" t="str">
        <f t="shared" si="32"/>
        <v/>
      </c>
      <c r="AQ80" s="298">
        <f t="shared" si="33"/>
        <v>0</v>
      </c>
      <c r="AR80" s="298">
        <f t="shared" si="34"/>
        <v>0</v>
      </c>
      <c r="AS80" s="299" t="str">
        <f t="shared" si="35"/>
        <v/>
      </c>
      <c r="AT80" s="300" t="str">
        <f>IF(COUNTIF(K80:R80,"F")&gt;0,"",IF(AS80="PASS",'Statement of Marks'!HF81,""))</f>
        <v/>
      </c>
      <c r="AU80" s="300" t="str">
        <f>IF(AS80="PASS",'Statement of Marks'!HG81,"")</f>
        <v/>
      </c>
    </row>
    <row r="81" spans="1:47">
      <c r="A81" s="283">
        <f>IF('Statement of Marks'!A82="","",'Statement of Marks'!A82)</f>
        <v>75</v>
      </c>
      <c r="B81" s="283" t="str">
        <f>IF('Statement of Marks'!B82="","",'Statement of Marks'!B82)</f>
        <v/>
      </c>
      <c r="C81" s="283" t="str">
        <f>IF('Statement of Marks'!C82="","",'Statement of Marks'!C82)</f>
        <v/>
      </c>
      <c r="D81" s="284" t="str">
        <f>IF('Statement of Marks'!D82="","",'Statement of Marks'!D82)</f>
        <v/>
      </c>
      <c r="E81" s="285" t="str">
        <f>IF('Statement of Marks'!E82="","",'Statement of Marks'!E82)</f>
        <v/>
      </c>
      <c r="F81" s="285" t="str">
        <f>IF('Statement of Marks'!F82="","",'Statement of Marks'!F82)</f>
        <v/>
      </c>
      <c r="G81" s="285" t="str">
        <f>IF('Statement of Marks'!G82="","",'Statement of Marks'!G82)</f>
        <v/>
      </c>
      <c r="H81" s="286" t="str">
        <f>IF('Statement of Marks'!GY82="","",'Statement of Marks'!GY82)</f>
        <v/>
      </c>
      <c r="I81" s="286" t="str">
        <f>IF('Statement of Marks'!HB82="","",'Statement of Marks'!HB82)</f>
        <v/>
      </c>
      <c r="J81" s="287" t="str">
        <f>IF('Statement of Marks'!HC82="","",'Statement of Marks'!HC82)</f>
        <v/>
      </c>
      <c r="K81" s="295" t="str">
        <f>IF(B81="","",'Statement of Marks'!FJ82)</f>
        <v/>
      </c>
      <c r="L81" s="295" t="str">
        <f>IF(B81="","",'Statement of Marks'!FM82)</f>
        <v/>
      </c>
      <c r="M81" s="295" t="str">
        <f>IF(B81="","",'Statement of Marks'!FP82)</f>
        <v/>
      </c>
      <c r="N81" s="295" t="str">
        <f>IF(B81="","",'Statement of Marks'!FW82)</f>
        <v/>
      </c>
      <c r="O81" s="295" t="str">
        <f>IF(B81="","",'Statement of Marks'!GD82)</f>
        <v/>
      </c>
      <c r="P81" s="295" t="str">
        <f>IF(B81="","",'Statement of Marks'!GK82)</f>
        <v/>
      </c>
      <c r="Q81" s="295" t="str">
        <f>IF(B81="","",'Statement of Marks'!GR82)</f>
        <v/>
      </c>
      <c r="R81" s="295" t="str">
        <f>IF(B81="","",'Statement of Marks'!GS82)</f>
        <v/>
      </c>
      <c r="S81" s="287" t="str">
        <f>IF(COUNTIF(K81:R81,"F")&gt;0,"",CONCATENATE('Statement of Marks'!GU82,'Statement of Marks'!GW82))</f>
        <v xml:space="preserve">           </v>
      </c>
      <c r="T81" s="288">
        <f t="shared" si="18"/>
        <v>0</v>
      </c>
      <c r="U81" s="16"/>
      <c r="V81" s="296" t="str">
        <f t="shared" si="19"/>
        <v/>
      </c>
      <c r="W81" s="296" t="str">
        <f t="shared" si="20"/>
        <v/>
      </c>
      <c r="X81" s="16"/>
      <c r="Y81" s="296" t="str">
        <f t="shared" si="21"/>
        <v/>
      </c>
      <c r="Z81" s="296" t="str">
        <f t="shared" si="22"/>
        <v/>
      </c>
      <c r="AA81" s="16"/>
      <c r="AB81" s="296" t="str">
        <f t="shared" si="23"/>
        <v/>
      </c>
      <c r="AC81" s="297" t="str">
        <f t="shared" si="24"/>
        <v/>
      </c>
      <c r="AD81" s="16"/>
      <c r="AE81" s="296" t="str">
        <f t="shared" si="25"/>
        <v/>
      </c>
      <c r="AF81" s="297" t="str">
        <f t="shared" si="26"/>
        <v/>
      </c>
      <c r="AG81" s="16"/>
      <c r="AH81" s="296" t="str">
        <f t="shared" si="27"/>
        <v/>
      </c>
      <c r="AI81" s="297" t="str">
        <f t="shared" si="28"/>
        <v/>
      </c>
      <c r="AJ81" s="16"/>
      <c r="AK81" s="297" t="str">
        <f t="shared" si="29"/>
        <v/>
      </c>
      <c r="AL81" s="297" t="str">
        <f t="shared" si="30"/>
        <v/>
      </c>
      <c r="AM81" s="16"/>
      <c r="AN81" s="296" t="str">
        <f t="shared" si="31"/>
        <v/>
      </c>
      <c r="AO81" s="16"/>
      <c r="AP81" s="296" t="str">
        <f t="shared" si="32"/>
        <v/>
      </c>
      <c r="AQ81" s="298">
        <f t="shared" si="33"/>
        <v>0</v>
      </c>
      <c r="AR81" s="298">
        <f t="shared" si="34"/>
        <v>0</v>
      </c>
      <c r="AS81" s="299" t="str">
        <f t="shared" si="35"/>
        <v/>
      </c>
      <c r="AT81" s="300" t="str">
        <f>IF(COUNTIF(K81:R81,"F")&gt;0,"",IF(AS81="PASS",'Statement of Marks'!HF82,""))</f>
        <v/>
      </c>
      <c r="AU81" s="300" t="str">
        <f>IF(AS81="PASS",'Statement of Marks'!HG82,"")</f>
        <v/>
      </c>
    </row>
    <row r="82" spans="1:47">
      <c r="A82" s="283">
        <f>IF('Statement of Marks'!A83="","",'Statement of Marks'!A83)</f>
        <v>76</v>
      </c>
      <c r="B82" s="283" t="str">
        <f>IF('Statement of Marks'!B83="","",'Statement of Marks'!B83)</f>
        <v/>
      </c>
      <c r="C82" s="283" t="str">
        <f>IF('Statement of Marks'!C83="","",'Statement of Marks'!C83)</f>
        <v/>
      </c>
      <c r="D82" s="284" t="str">
        <f>IF('Statement of Marks'!D83="","",'Statement of Marks'!D83)</f>
        <v/>
      </c>
      <c r="E82" s="285" t="str">
        <f>IF('Statement of Marks'!E83="","",'Statement of Marks'!E83)</f>
        <v/>
      </c>
      <c r="F82" s="285" t="str">
        <f>IF('Statement of Marks'!F83="","",'Statement of Marks'!F83)</f>
        <v/>
      </c>
      <c r="G82" s="285" t="str">
        <f>IF('Statement of Marks'!G83="","",'Statement of Marks'!G83)</f>
        <v/>
      </c>
      <c r="H82" s="286" t="str">
        <f>IF('Statement of Marks'!GY83="","",'Statement of Marks'!GY83)</f>
        <v/>
      </c>
      <c r="I82" s="286" t="str">
        <f>IF('Statement of Marks'!HB83="","",'Statement of Marks'!HB83)</f>
        <v/>
      </c>
      <c r="J82" s="287" t="str">
        <f>IF('Statement of Marks'!HC83="","",'Statement of Marks'!HC83)</f>
        <v/>
      </c>
      <c r="K82" s="295" t="str">
        <f>IF(B82="","",'Statement of Marks'!FJ83)</f>
        <v/>
      </c>
      <c r="L82" s="295" t="str">
        <f>IF(B82="","",'Statement of Marks'!FM83)</f>
        <v/>
      </c>
      <c r="M82" s="295" t="str">
        <f>IF(B82="","",'Statement of Marks'!FP83)</f>
        <v/>
      </c>
      <c r="N82" s="295" t="str">
        <f>IF(B82="","",'Statement of Marks'!FW83)</f>
        <v/>
      </c>
      <c r="O82" s="295" t="str">
        <f>IF(B82="","",'Statement of Marks'!GD83)</f>
        <v/>
      </c>
      <c r="P82" s="295" t="str">
        <f>IF(B82="","",'Statement of Marks'!GK83)</f>
        <v/>
      </c>
      <c r="Q82" s="295" t="str">
        <f>IF(B82="","",'Statement of Marks'!GR83)</f>
        <v/>
      </c>
      <c r="R82" s="295" t="str">
        <f>IF(B82="","",'Statement of Marks'!GS83)</f>
        <v/>
      </c>
      <c r="S82" s="287" t="str">
        <f>IF(COUNTIF(K82:R82,"F")&gt;0,"",CONCATENATE('Statement of Marks'!GU83,'Statement of Marks'!GW83))</f>
        <v xml:space="preserve">           </v>
      </c>
      <c r="T82" s="288">
        <f t="shared" si="18"/>
        <v>0</v>
      </c>
      <c r="U82" s="16"/>
      <c r="V82" s="296" t="str">
        <f t="shared" si="19"/>
        <v/>
      </c>
      <c r="W82" s="296" t="str">
        <f t="shared" si="20"/>
        <v/>
      </c>
      <c r="X82" s="16"/>
      <c r="Y82" s="296" t="str">
        <f t="shared" si="21"/>
        <v/>
      </c>
      <c r="Z82" s="296" t="str">
        <f t="shared" si="22"/>
        <v/>
      </c>
      <c r="AA82" s="16"/>
      <c r="AB82" s="296" t="str">
        <f t="shared" si="23"/>
        <v/>
      </c>
      <c r="AC82" s="297" t="str">
        <f t="shared" si="24"/>
        <v/>
      </c>
      <c r="AD82" s="16"/>
      <c r="AE82" s="296" t="str">
        <f t="shared" si="25"/>
        <v/>
      </c>
      <c r="AF82" s="297" t="str">
        <f t="shared" si="26"/>
        <v/>
      </c>
      <c r="AG82" s="16"/>
      <c r="AH82" s="296" t="str">
        <f t="shared" si="27"/>
        <v/>
      </c>
      <c r="AI82" s="297" t="str">
        <f t="shared" si="28"/>
        <v/>
      </c>
      <c r="AJ82" s="16"/>
      <c r="AK82" s="297" t="str">
        <f t="shared" si="29"/>
        <v/>
      </c>
      <c r="AL82" s="297" t="str">
        <f t="shared" si="30"/>
        <v/>
      </c>
      <c r="AM82" s="16"/>
      <c r="AN82" s="296" t="str">
        <f t="shared" si="31"/>
        <v/>
      </c>
      <c r="AO82" s="16"/>
      <c r="AP82" s="296" t="str">
        <f t="shared" si="32"/>
        <v/>
      </c>
      <c r="AQ82" s="298">
        <f t="shared" si="33"/>
        <v>0</v>
      </c>
      <c r="AR82" s="298">
        <f t="shared" si="34"/>
        <v>0</v>
      </c>
      <c r="AS82" s="299" t="str">
        <f t="shared" si="35"/>
        <v/>
      </c>
      <c r="AT82" s="300" t="str">
        <f>IF(COUNTIF(K82:R82,"F")&gt;0,"",IF(AS82="PASS",'Statement of Marks'!HF83,""))</f>
        <v/>
      </c>
      <c r="AU82" s="300" t="str">
        <f>IF(AS82="PASS",'Statement of Marks'!HG83,"")</f>
        <v/>
      </c>
    </row>
    <row r="83" spans="1:47">
      <c r="A83" s="283">
        <f>IF('Statement of Marks'!A84="","",'Statement of Marks'!A84)</f>
        <v>77</v>
      </c>
      <c r="B83" s="283" t="str">
        <f>IF('Statement of Marks'!B84="","",'Statement of Marks'!B84)</f>
        <v/>
      </c>
      <c r="C83" s="283" t="str">
        <f>IF('Statement of Marks'!C84="","",'Statement of Marks'!C84)</f>
        <v/>
      </c>
      <c r="D83" s="284" t="str">
        <f>IF('Statement of Marks'!D84="","",'Statement of Marks'!D84)</f>
        <v/>
      </c>
      <c r="E83" s="285" t="str">
        <f>IF('Statement of Marks'!E84="","",'Statement of Marks'!E84)</f>
        <v/>
      </c>
      <c r="F83" s="285" t="str">
        <f>IF('Statement of Marks'!F84="","",'Statement of Marks'!F84)</f>
        <v/>
      </c>
      <c r="G83" s="285" t="str">
        <f>IF('Statement of Marks'!G84="","",'Statement of Marks'!G84)</f>
        <v/>
      </c>
      <c r="H83" s="286" t="str">
        <f>IF('Statement of Marks'!GY84="","",'Statement of Marks'!GY84)</f>
        <v/>
      </c>
      <c r="I83" s="286" t="str">
        <f>IF('Statement of Marks'!HB84="","",'Statement of Marks'!HB84)</f>
        <v/>
      </c>
      <c r="J83" s="287" t="str">
        <f>IF('Statement of Marks'!HC84="","",'Statement of Marks'!HC84)</f>
        <v/>
      </c>
      <c r="K83" s="295" t="str">
        <f>IF(B83="","",'Statement of Marks'!FJ84)</f>
        <v/>
      </c>
      <c r="L83" s="295" t="str">
        <f>IF(B83="","",'Statement of Marks'!FM84)</f>
        <v/>
      </c>
      <c r="M83" s="295" t="str">
        <f>IF(B83="","",'Statement of Marks'!FP84)</f>
        <v/>
      </c>
      <c r="N83" s="295" t="str">
        <f>IF(B83="","",'Statement of Marks'!FW84)</f>
        <v/>
      </c>
      <c r="O83" s="295" t="str">
        <f>IF(B83="","",'Statement of Marks'!GD84)</f>
        <v/>
      </c>
      <c r="P83" s="295" t="str">
        <f>IF(B83="","",'Statement of Marks'!GK84)</f>
        <v/>
      </c>
      <c r="Q83" s="295" t="str">
        <f>IF(B83="","",'Statement of Marks'!GR84)</f>
        <v/>
      </c>
      <c r="R83" s="295" t="str">
        <f>IF(B83="","",'Statement of Marks'!GS84)</f>
        <v/>
      </c>
      <c r="S83" s="287" t="str">
        <f>IF(COUNTIF(K83:R83,"F")&gt;0,"",CONCATENATE('Statement of Marks'!GU84,'Statement of Marks'!GW84))</f>
        <v xml:space="preserve">           </v>
      </c>
      <c r="T83" s="288">
        <f t="shared" si="18"/>
        <v>0</v>
      </c>
      <c r="U83" s="16"/>
      <c r="V83" s="296" t="str">
        <f t="shared" si="19"/>
        <v/>
      </c>
      <c r="W83" s="296" t="str">
        <f t="shared" si="20"/>
        <v/>
      </c>
      <c r="X83" s="16"/>
      <c r="Y83" s="296" t="str">
        <f t="shared" si="21"/>
        <v/>
      </c>
      <c r="Z83" s="296" t="str">
        <f t="shared" si="22"/>
        <v/>
      </c>
      <c r="AA83" s="16"/>
      <c r="AB83" s="296" t="str">
        <f t="shared" si="23"/>
        <v/>
      </c>
      <c r="AC83" s="297" t="str">
        <f t="shared" si="24"/>
        <v/>
      </c>
      <c r="AD83" s="16"/>
      <c r="AE83" s="296" t="str">
        <f t="shared" si="25"/>
        <v/>
      </c>
      <c r="AF83" s="297" t="str">
        <f t="shared" si="26"/>
        <v/>
      </c>
      <c r="AG83" s="16"/>
      <c r="AH83" s="296" t="str">
        <f t="shared" si="27"/>
        <v/>
      </c>
      <c r="AI83" s="297" t="str">
        <f t="shared" si="28"/>
        <v/>
      </c>
      <c r="AJ83" s="16"/>
      <c r="AK83" s="297" t="str">
        <f t="shared" si="29"/>
        <v/>
      </c>
      <c r="AL83" s="297" t="str">
        <f t="shared" si="30"/>
        <v/>
      </c>
      <c r="AM83" s="16"/>
      <c r="AN83" s="296" t="str">
        <f t="shared" si="31"/>
        <v/>
      </c>
      <c r="AO83" s="16"/>
      <c r="AP83" s="296" t="str">
        <f t="shared" si="32"/>
        <v/>
      </c>
      <c r="AQ83" s="298">
        <f t="shared" si="33"/>
        <v>0</v>
      </c>
      <c r="AR83" s="298">
        <f t="shared" si="34"/>
        <v>0</v>
      </c>
      <c r="AS83" s="299" t="str">
        <f t="shared" si="35"/>
        <v/>
      </c>
      <c r="AT83" s="300" t="str">
        <f>IF(COUNTIF(K83:R83,"F")&gt;0,"",IF(AS83="PASS",'Statement of Marks'!HF84,""))</f>
        <v/>
      </c>
      <c r="AU83" s="300" t="str">
        <f>IF(AS83="PASS",'Statement of Marks'!HG84,"")</f>
        <v/>
      </c>
    </row>
    <row r="84" spans="1:47">
      <c r="A84" s="283">
        <f>IF('Statement of Marks'!A85="","",'Statement of Marks'!A85)</f>
        <v>78</v>
      </c>
      <c r="B84" s="283" t="str">
        <f>IF('Statement of Marks'!B85="","",'Statement of Marks'!B85)</f>
        <v/>
      </c>
      <c r="C84" s="283" t="str">
        <f>IF('Statement of Marks'!C85="","",'Statement of Marks'!C85)</f>
        <v/>
      </c>
      <c r="D84" s="284" t="str">
        <f>IF('Statement of Marks'!D85="","",'Statement of Marks'!D85)</f>
        <v/>
      </c>
      <c r="E84" s="285" t="str">
        <f>IF('Statement of Marks'!E85="","",'Statement of Marks'!E85)</f>
        <v/>
      </c>
      <c r="F84" s="285" t="str">
        <f>IF('Statement of Marks'!F85="","",'Statement of Marks'!F85)</f>
        <v/>
      </c>
      <c r="G84" s="285" t="str">
        <f>IF('Statement of Marks'!G85="","",'Statement of Marks'!G85)</f>
        <v/>
      </c>
      <c r="H84" s="286" t="str">
        <f>IF('Statement of Marks'!GY85="","",'Statement of Marks'!GY85)</f>
        <v/>
      </c>
      <c r="I84" s="286" t="str">
        <f>IF('Statement of Marks'!HB85="","",'Statement of Marks'!HB85)</f>
        <v/>
      </c>
      <c r="J84" s="287" t="str">
        <f>IF('Statement of Marks'!HC85="","",'Statement of Marks'!HC85)</f>
        <v/>
      </c>
      <c r="K84" s="295" t="str">
        <f>IF(B84="","",'Statement of Marks'!FJ85)</f>
        <v/>
      </c>
      <c r="L84" s="295" t="str">
        <f>IF(B84="","",'Statement of Marks'!FM85)</f>
        <v/>
      </c>
      <c r="M84" s="295" t="str">
        <f>IF(B84="","",'Statement of Marks'!FP85)</f>
        <v/>
      </c>
      <c r="N84" s="295" t="str">
        <f>IF(B84="","",'Statement of Marks'!FW85)</f>
        <v/>
      </c>
      <c r="O84" s="295" t="str">
        <f>IF(B84="","",'Statement of Marks'!GD85)</f>
        <v/>
      </c>
      <c r="P84" s="295" t="str">
        <f>IF(B84="","",'Statement of Marks'!GK85)</f>
        <v/>
      </c>
      <c r="Q84" s="295" t="str">
        <f>IF(B84="","",'Statement of Marks'!GR85)</f>
        <v/>
      </c>
      <c r="R84" s="295" t="str">
        <f>IF(B84="","",'Statement of Marks'!GS85)</f>
        <v/>
      </c>
      <c r="S84" s="287" t="str">
        <f>IF(COUNTIF(K84:R84,"F")&gt;0,"",CONCATENATE('Statement of Marks'!GU85,'Statement of Marks'!GW85))</f>
        <v xml:space="preserve">           </v>
      </c>
      <c r="T84" s="288">
        <f t="shared" si="18"/>
        <v>0</v>
      </c>
      <c r="U84" s="16"/>
      <c r="V84" s="296" t="str">
        <f t="shared" si="19"/>
        <v/>
      </c>
      <c r="W84" s="296" t="str">
        <f t="shared" si="20"/>
        <v/>
      </c>
      <c r="X84" s="16"/>
      <c r="Y84" s="296" t="str">
        <f t="shared" si="21"/>
        <v/>
      </c>
      <c r="Z84" s="296" t="str">
        <f t="shared" si="22"/>
        <v/>
      </c>
      <c r="AA84" s="16"/>
      <c r="AB84" s="296" t="str">
        <f t="shared" si="23"/>
        <v/>
      </c>
      <c r="AC84" s="297" t="str">
        <f t="shared" si="24"/>
        <v/>
      </c>
      <c r="AD84" s="16"/>
      <c r="AE84" s="296" t="str">
        <f t="shared" si="25"/>
        <v/>
      </c>
      <c r="AF84" s="297" t="str">
        <f t="shared" si="26"/>
        <v/>
      </c>
      <c r="AG84" s="16"/>
      <c r="AH84" s="296" t="str">
        <f t="shared" si="27"/>
        <v/>
      </c>
      <c r="AI84" s="297" t="str">
        <f t="shared" si="28"/>
        <v/>
      </c>
      <c r="AJ84" s="16"/>
      <c r="AK84" s="297" t="str">
        <f t="shared" si="29"/>
        <v/>
      </c>
      <c r="AL84" s="297" t="str">
        <f t="shared" si="30"/>
        <v/>
      </c>
      <c r="AM84" s="16"/>
      <c r="AN84" s="296" t="str">
        <f t="shared" si="31"/>
        <v/>
      </c>
      <c r="AO84" s="16"/>
      <c r="AP84" s="296" t="str">
        <f t="shared" si="32"/>
        <v/>
      </c>
      <c r="AQ84" s="298">
        <f t="shared" si="33"/>
        <v>0</v>
      </c>
      <c r="AR84" s="298">
        <f t="shared" si="34"/>
        <v>0</v>
      </c>
      <c r="AS84" s="299" t="str">
        <f t="shared" si="35"/>
        <v/>
      </c>
      <c r="AT84" s="300" t="str">
        <f>IF(COUNTIF(K84:R84,"F")&gt;0,"",IF(AS84="PASS",'Statement of Marks'!HF85,""))</f>
        <v/>
      </c>
      <c r="AU84" s="300" t="str">
        <f>IF(AS84="PASS",'Statement of Marks'!HG85,"")</f>
        <v/>
      </c>
    </row>
    <row r="85" spans="1:47">
      <c r="A85" s="283">
        <f>IF('Statement of Marks'!A86="","",'Statement of Marks'!A86)</f>
        <v>79</v>
      </c>
      <c r="B85" s="283" t="str">
        <f>IF('Statement of Marks'!B86="","",'Statement of Marks'!B86)</f>
        <v/>
      </c>
      <c r="C85" s="283" t="str">
        <f>IF('Statement of Marks'!C86="","",'Statement of Marks'!C86)</f>
        <v/>
      </c>
      <c r="D85" s="284" t="str">
        <f>IF('Statement of Marks'!D86="","",'Statement of Marks'!D86)</f>
        <v/>
      </c>
      <c r="E85" s="285" t="str">
        <f>IF('Statement of Marks'!E86="","",'Statement of Marks'!E86)</f>
        <v/>
      </c>
      <c r="F85" s="285" t="str">
        <f>IF('Statement of Marks'!F86="","",'Statement of Marks'!F86)</f>
        <v/>
      </c>
      <c r="G85" s="285" t="str">
        <f>IF('Statement of Marks'!G86="","",'Statement of Marks'!G86)</f>
        <v/>
      </c>
      <c r="H85" s="286" t="str">
        <f>IF('Statement of Marks'!GY86="","",'Statement of Marks'!GY86)</f>
        <v/>
      </c>
      <c r="I85" s="286" t="str">
        <f>IF('Statement of Marks'!HB86="","",'Statement of Marks'!HB86)</f>
        <v/>
      </c>
      <c r="J85" s="287" t="str">
        <f>IF('Statement of Marks'!HC86="","",'Statement of Marks'!HC86)</f>
        <v/>
      </c>
      <c r="K85" s="295" t="str">
        <f>IF(B85="","",'Statement of Marks'!FJ86)</f>
        <v/>
      </c>
      <c r="L85" s="295" t="str">
        <f>IF(B85="","",'Statement of Marks'!FM86)</f>
        <v/>
      </c>
      <c r="M85" s="295" t="str">
        <f>IF(B85="","",'Statement of Marks'!FP86)</f>
        <v/>
      </c>
      <c r="N85" s="295" t="str">
        <f>IF(B85="","",'Statement of Marks'!FW86)</f>
        <v/>
      </c>
      <c r="O85" s="295" t="str">
        <f>IF(B85="","",'Statement of Marks'!GD86)</f>
        <v/>
      </c>
      <c r="P85" s="295" t="str">
        <f>IF(B85="","",'Statement of Marks'!GK86)</f>
        <v/>
      </c>
      <c r="Q85" s="295" t="str">
        <f>IF(B85="","",'Statement of Marks'!GR86)</f>
        <v/>
      </c>
      <c r="R85" s="295" t="str">
        <f>IF(B85="","",'Statement of Marks'!GS86)</f>
        <v/>
      </c>
      <c r="S85" s="287" t="str">
        <f>IF(COUNTIF(K85:R85,"F")&gt;0,"",CONCATENATE('Statement of Marks'!GU86,'Statement of Marks'!GW86))</f>
        <v xml:space="preserve">           </v>
      </c>
      <c r="T85" s="288">
        <f t="shared" si="18"/>
        <v>0</v>
      </c>
      <c r="U85" s="16"/>
      <c r="V85" s="296" t="str">
        <f t="shared" si="19"/>
        <v/>
      </c>
      <c r="W85" s="296" t="str">
        <f t="shared" si="20"/>
        <v/>
      </c>
      <c r="X85" s="16"/>
      <c r="Y85" s="296" t="str">
        <f t="shared" si="21"/>
        <v/>
      </c>
      <c r="Z85" s="296" t="str">
        <f t="shared" si="22"/>
        <v/>
      </c>
      <c r="AA85" s="16"/>
      <c r="AB85" s="296" t="str">
        <f t="shared" si="23"/>
        <v/>
      </c>
      <c r="AC85" s="297" t="str">
        <f t="shared" si="24"/>
        <v/>
      </c>
      <c r="AD85" s="16"/>
      <c r="AE85" s="296" t="str">
        <f t="shared" si="25"/>
        <v/>
      </c>
      <c r="AF85" s="297" t="str">
        <f t="shared" si="26"/>
        <v/>
      </c>
      <c r="AG85" s="16"/>
      <c r="AH85" s="296" t="str">
        <f t="shared" si="27"/>
        <v/>
      </c>
      <c r="AI85" s="297" t="str">
        <f t="shared" si="28"/>
        <v/>
      </c>
      <c r="AJ85" s="16"/>
      <c r="AK85" s="297" t="str">
        <f t="shared" si="29"/>
        <v/>
      </c>
      <c r="AL85" s="297" t="str">
        <f t="shared" si="30"/>
        <v/>
      </c>
      <c r="AM85" s="16"/>
      <c r="AN85" s="296" t="str">
        <f t="shared" si="31"/>
        <v/>
      </c>
      <c r="AO85" s="16"/>
      <c r="AP85" s="296" t="str">
        <f t="shared" si="32"/>
        <v/>
      </c>
      <c r="AQ85" s="298">
        <f t="shared" si="33"/>
        <v>0</v>
      </c>
      <c r="AR85" s="298">
        <f t="shared" si="34"/>
        <v>0</v>
      </c>
      <c r="AS85" s="299" t="str">
        <f t="shared" si="35"/>
        <v/>
      </c>
      <c r="AT85" s="300" t="str">
        <f>IF(COUNTIF(K85:R85,"F")&gt;0,"",IF(AS85="PASS",'Statement of Marks'!HF86,""))</f>
        <v/>
      </c>
      <c r="AU85" s="300" t="str">
        <f>IF(AS85="PASS",'Statement of Marks'!HG86,"")</f>
        <v/>
      </c>
    </row>
    <row r="86" spans="1:47">
      <c r="A86" s="283">
        <f>IF('Statement of Marks'!A87="","",'Statement of Marks'!A87)</f>
        <v>80</v>
      </c>
      <c r="B86" s="283" t="str">
        <f>IF('Statement of Marks'!B87="","",'Statement of Marks'!B87)</f>
        <v/>
      </c>
      <c r="C86" s="283" t="str">
        <f>IF('Statement of Marks'!C87="","",'Statement of Marks'!C87)</f>
        <v/>
      </c>
      <c r="D86" s="284" t="str">
        <f>IF('Statement of Marks'!D87="","",'Statement of Marks'!D87)</f>
        <v/>
      </c>
      <c r="E86" s="285" t="str">
        <f>IF('Statement of Marks'!E87="","",'Statement of Marks'!E87)</f>
        <v/>
      </c>
      <c r="F86" s="285" t="str">
        <f>IF('Statement of Marks'!F87="","",'Statement of Marks'!F87)</f>
        <v/>
      </c>
      <c r="G86" s="285" t="str">
        <f>IF('Statement of Marks'!G87="","",'Statement of Marks'!G87)</f>
        <v/>
      </c>
      <c r="H86" s="286" t="str">
        <f>IF('Statement of Marks'!GY87="","",'Statement of Marks'!GY87)</f>
        <v/>
      </c>
      <c r="I86" s="286" t="str">
        <f>IF('Statement of Marks'!HB87="","",'Statement of Marks'!HB87)</f>
        <v/>
      </c>
      <c r="J86" s="287" t="str">
        <f>IF('Statement of Marks'!HC87="","",'Statement of Marks'!HC87)</f>
        <v/>
      </c>
      <c r="K86" s="295" t="str">
        <f>IF(B86="","",'Statement of Marks'!FJ87)</f>
        <v/>
      </c>
      <c r="L86" s="295" t="str">
        <f>IF(B86="","",'Statement of Marks'!FM87)</f>
        <v/>
      </c>
      <c r="M86" s="295" t="str">
        <f>IF(B86="","",'Statement of Marks'!FP87)</f>
        <v/>
      </c>
      <c r="N86" s="295" t="str">
        <f>IF(B86="","",'Statement of Marks'!FW87)</f>
        <v/>
      </c>
      <c r="O86" s="295" t="str">
        <f>IF(B86="","",'Statement of Marks'!GD87)</f>
        <v/>
      </c>
      <c r="P86" s="295" t="str">
        <f>IF(B86="","",'Statement of Marks'!GK87)</f>
        <v/>
      </c>
      <c r="Q86" s="295" t="str">
        <f>IF(B86="","",'Statement of Marks'!GR87)</f>
        <v/>
      </c>
      <c r="R86" s="295" t="str">
        <f>IF(B86="","",'Statement of Marks'!GS87)</f>
        <v/>
      </c>
      <c r="S86" s="287" t="str">
        <f>IF(COUNTIF(K86:R86,"F")&gt;0,"",CONCATENATE('Statement of Marks'!GU87,'Statement of Marks'!GW87))</f>
        <v xml:space="preserve">           </v>
      </c>
      <c r="T86" s="288">
        <f t="shared" si="18"/>
        <v>0</v>
      </c>
      <c r="U86" s="16"/>
      <c r="V86" s="296" t="str">
        <f t="shared" si="19"/>
        <v/>
      </c>
      <c r="W86" s="296" t="str">
        <f t="shared" si="20"/>
        <v/>
      </c>
      <c r="X86" s="16"/>
      <c r="Y86" s="296" t="str">
        <f t="shared" si="21"/>
        <v/>
      </c>
      <c r="Z86" s="296" t="str">
        <f t="shared" si="22"/>
        <v/>
      </c>
      <c r="AA86" s="16"/>
      <c r="AB86" s="296" t="str">
        <f t="shared" si="23"/>
        <v/>
      </c>
      <c r="AC86" s="297" t="str">
        <f t="shared" si="24"/>
        <v/>
      </c>
      <c r="AD86" s="16"/>
      <c r="AE86" s="296" t="str">
        <f t="shared" si="25"/>
        <v/>
      </c>
      <c r="AF86" s="297" t="str">
        <f t="shared" si="26"/>
        <v/>
      </c>
      <c r="AG86" s="16"/>
      <c r="AH86" s="296" t="str">
        <f t="shared" si="27"/>
        <v/>
      </c>
      <c r="AI86" s="297" t="str">
        <f t="shared" si="28"/>
        <v/>
      </c>
      <c r="AJ86" s="16"/>
      <c r="AK86" s="297" t="str">
        <f t="shared" si="29"/>
        <v/>
      </c>
      <c r="AL86" s="297" t="str">
        <f t="shared" si="30"/>
        <v/>
      </c>
      <c r="AM86" s="16"/>
      <c r="AN86" s="296" t="str">
        <f t="shared" si="31"/>
        <v/>
      </c>
      <c r="AO86" s="16"/>
      <c r="AP86" s="296" t="str">
        <f t="shared" si="32"/>
        <v/>
      </c>
      <c r="AQ86" s="298">
        <f t="shared" si="33"/>
        <v>0</v>
      </c>
      <c r="AR86" s="298">
        <f t="shared" si="34"/>
        <v>0</v>
      </c>
      <c r="AS86" s="299" t="str">
        <f t="shared" si="35"/>
        <v/>
      </c>
      <c r="AT86" s="300" t="str">
        <f>IF(COUNTIF(K86:R86,"F")&gt;0,"",IF(AS86="PASS",'Statement of Marks'!HF87,""))</f>
        <v/>
      </c>
      <c r="AU86" s="300" t="str">
        <f>IF(AS86="PASS",'Statement of Marks'!HG87,"")</f>
        <v/>
      </c>
    </row>
    <row r="87" spans="1:47">
      <c r="A87" s="283">
        <f>IF('Statement of Marks'!A88="","",'Statement of Marks'!A88)</f>
        <v>81</v>
      </c>
      <c r="B87" s="283" t="str">
        <f>IF('Statement of Marks'!B88="","",'Statement of Marks'!B88)</f>
        <v/>
      </c>
      <c r="C87" s="283" t="str">
        <f>IF('Statement of Marks'!C88="","",'Statement of Marks'!C88)</f>
        <v/>
      </c>
      <c r="D87" s="284" t="str">
        <f>IF('Statement of Marks'!D88="","",'Statement of Marks'!D88)</f>
        <v/>
      </c>
      <c r="E87" s="285" t="str">
        <f>IF('Statement of Marks'!E88="","",'Statement of Marks'!E88)</f>
        <v/>
      </c>
      <c r="F87" s="285" t="str">
        <f>IF('Statement of Marks'!F88="","",'Statement of Marks'!F88)</f>
        <v/>
      </c>
      <c r="G87" s="285" t="str">
        <f>IF('Statement of Marks'!G88="","",'Statement of Marks'!G88)</f>
        <v/>
      </c>
      <c r="H87" s="286" t="str">
        <f>IF('Statement of Marks'!GY88="","",'Statement of Marks'!GY88)</f>
        <v/>
      </c>
      <c r="I87" s="286" t="str">
        <f>IF('Statement of Marks'!HB88="","",'Statement of Marks'!HB88)</f>
        <v/>
      </c>
      <c r="J87" s="287" t="str">
        <f>IF('Statement of Marks'!HC88="","",'Statement of Marks'!HC88)</f>
        <v/>
      </c>
      <c r="K87" s="295" t="str">
        <f>IF(B87="","",'Statement of Marks'!FJ88)</f>
        <v/>
      </c>
      <c r="L87" s="295" t="str">
        <f>IF(B87="","",'Statement of Marks'!FM88)</f>
        <v/>
      </c>
      <c r="M87" s="295" t="str">
        <f>IF(B87="","",'Statement of Marks'!FP88)</f>
        <v/>
      </c>
      <c r="N87" s="295" t="str">
        <f>IF(B87="","",'Statement of Marks'!FW88)</f>
        <v/>
      </c>
      <c r="O87" s="295" t="str">
        <f>IF(B87="","",'Statement of Marks'!GD88)</f>
        <v/>
      </c>
      <c r="P87" s="295" t="str">
        <f>IF(B87="","",'Statement of Marks'!GK88)</f>
        <v/>
      </c>
      <c r="Q87" s="295" t="str">
        <f>IF(B87="","",'Statement of Marks'!GR88)</f>
        <v/>
      </c>
      <c r="R87" s="295" t="str">
        <f>IF(B87="","",'Statement of Marks'!GS88)</f>
        <v/>
      </c>
      <c r="S87" s="287" t="str">
        <f>IF(COUNTIF(K87:R87,"F")&gt;0,"",CONCATENATE('Statement of Marks'!GU88,'Statement of Marks'!GW88))</f>
        <v xml:space="preserve">           </v>
      </c>
      <c r="T87" s="288">
        <f t="shared" si="18"/>
        <v>0</v>
      </c>
      <c r="U87" s="16"/>
      <c r="V87" s="296" t="str">
        <f t="shared" si="19"/>
        <v/>
      </c>
      <c r="W87" s="296" t="str">
        <f t="shared" si="20"/>
        <v/>
      </c>
      <c r="X87" s="16"/>
      <c r="Y87" s="296" t="str">
        <f t="shared" si="21"/>
        <v/>
      </c>
      <c r="Z87" s="296" t="str">
        <f t="shared" si="22"/>
        <v/>
      </c>
      <c r="AA87" s="16"/>
      <c r="AB87" s="296" t="str">
        <f t="shared" si="23"/>
        <v/>
      </c>
      <c r="AC87" s="297" t="str">
        <f t="shared" si="24"/>
        <v/>
      </c>
      <c r="AD87" s="16"/>
      <c r="AE87" s="296" t="str">
        <f t="shared" si="25"/>
        <v/>
      </c>
      <c r="AF87" s="297" t="str">
        <f t="shared" si="26"/>
        <v/>
      </c>
      <c r="AG87" s="16"/>
      <c r="AH87" s="296" t="str">
        <f t="shared" si="27"/>
        <v/>
      </c>
      <c r="AI87" s="297" t="str">
        <f t="shared" si="28"/>
        <v/>
      </c>
      <c r="AJ87" s="16"/>
      <c r="AK87" s="297" t="str">
        <f t="shared" si="29"/>
        <v/>
      </c>
      <c r="AL87" s="297" t="str">
        <f t="shared" si="30"/>
        <v/>
      </c>
      <c r="AM87" s="16"/>
      <c r="AN87" s="296" t="str">
        <f t="shared" si="31"/>
        <v/>
      </c>
      <c r="AO87" s="16"/>
      <c r="AP87" s="296" t="str">
        <f t="shared" si="32"/>
        <v/>
      </c>
      <c r="AQ87" s="298">
        <f t="shared" si="33"/>
        <v>0</v>
      </c>
      <c r="AR87" s="298">
        <f t="shared" si="34"/>
        <v>0</v>
      </c>
      <c r="AS87" s="299" t="str">
        <f t="shared" si="35"/>
        <v/>
      </c>
      <c r="AT87" s="300" t="str">
        <f>IF(COUNTIF(K87:R87,"F")&gt;0,"",IF(AS87="PASS",'Statement of Marks'!HF88,""))</f>
        <v/>
      </c>
      <c r="AU87" s="300" t="str">
        <f>IF(AS87="PASS",'Statement of Marks'!HG88,"")</f>
        <v/>
      </c>
    </row>
    <row r="88" spans="1:47">
      <c r="A88" s="283">
        <f>IF('Statement of Marks'!A89="","",'Statement of Marks'!A89)</f>
        <v>82</v>
      </c>
      <c r="B88" s="283" t="str">
        <f>IF('Statement of Marks'!B89="","",'Statement of Marks'!B89)</f>
        <v/>
      </c>
      <c r="C88" s="283" t="str">
        <f>IF('Statement of Marks'!C89="","",'Statement of Marks'!C89)</f>
        <v/>
      </c>
      <c r="D88" s="284" t="str">
        <f>IF('Statement of Marks'!D89="","",'Statement of Marks'!D89)</f>
        <v/>
      </c>
      <c r="E88" s="285" t="str">
        <f>IF('Statement of Marks'!E89="","",'Statement of Marks'!E89)</f>
        <v/>
      </c>
      <c r="F88" s="285" t="str">
        <f>IF('Statement of Marks'!F89="","",'Statement of Marks'!F89)</f>
        <v/>
      </c>
      <c r="G88" s="285" t="str">
        <f>IF('Statement of Marks'!G89="","",'Statement of Marks'!G89)</f>
        <v/>
      </c>
      <c r="H88" s="286" t="str">
        <f>IF('Statement of Marks'!GY89="","",'Statement of Marks'!GY89)</f>
        <v/>
      </c>
      <c r="I88" s="286" t="str">
        <f>IF('Statement of Marks'!HB89="","",'Statement of Marks'!HB89)</f>
        <v/>
      </c>
      <c r="J88" s="287" t="str">
        <f>IF('Statement of Marks'!HC89="","",'Statement of Marks'!HC89)</f>
        <v/>
      </c>
      <c r="K88" s="295" t="str">
        <f>IF(B88="","",'Statement of Marks'!FJ89)</f>
        <v/>
      </c>
      <c r="L88" s="295" t="str">
        <f>IF(B88="","",'Statement of Marks'!FM89)</f>
        <v/>
      </c>
      <c r="M88" s="295" t="str">
        <f>IF(B88="","",'Statement of Marks'!FP89)</f>
        <v/>
      </c>
      <c r="N88" s="295" t="str">
        <f>IF(B88="","",'Statement of Marks'!FW89)</f>
        <v/>
      </c>
      <c r="O88" s="295" t="str">
        <f>IF(B88="","",'Statement of Marks'!GD89)</f>
        <v/>
      </c>
      <c r="P88" s="295" t="str">
        <f>IF(B88="","",'Statement of Marks'!GK89)</f>
        <v/>
      </c>
      <c r="Q88" s="295" t="str">
        <f>IF(B88="","",'Statement of Marks'!GR89)</f>
        <v/>
      </c>
      <c r="R88" s="295" t="str">
        <f>IF(B88="","",'Statement of Marks'!GS89)</f>
        <v/>
      </c>
      <c r="S88" s="287" t="str">
        <f>IF(COUNTIF(K88:R88,"F")&gt;0,"",CONCATENATE('Statement of Marks'!GU89,'Statement of Marks'!GW89))</f>
        <v xml:space="preserve">           </v>
      </c>
      <c r="T88" s="288">
        <f t="shared" si="18"/>
        <v>0</v>
      </c>
      <c r="U88" s="16"/>
      <c r="V88" s="296" t="str">
        <f t="shared" si="19"/>
        <v/>
      </c>
      <c r="W88" s="296" t="str">
        <f t="shared" si="20"/>
        <v/>
      </c>
      <c r="X88" s="16"/>
      <c r="Y88" s="296" t="str">
        <f t="shared" si="21"/>
        <v/>
      </c>
      <c r="Z88" s="296" t="str">
        <f t="shared" si="22"/>
        <v/>
      </c>
      <c r="AA88" s="16"/>
      <c r="AB88" s="296" t="str">
        <f t="shared" si="23"/>
        <v/>
      </c>
      <c r="AC88" s="297" t="str">
        <f t="shared" si="24"/>
        <v/>
      </c>
      <c r="AD88" s="16"/>
      <c r="AE88" s="296" t="str">
        <f t="shared" si="25"/>
        <v/>
      </c>
      <c r="AF88" s="297" t="str">
        <f t="shared" si="26"/>
        <v/>
      </c>
      <c r="AG88" s="16"/>
      <c r="AH88" s="296" t="str">
        <f t="shared" si="27"/>
        <v/>
      </c>
      <c r="AI88" s="297" t="str">
        <f t="shared" si="28"/>
        <v/>
      </c>
      <c r="AJ88" s="16"/>
      <c r="AK88" s="297" t="str">
        <f t="shared" si="29"/>
        <v/>
      </c>
      <c r="AL88" s="297" t="str">
        <f t="shared" si="30"/>
        <v/>
      </c>
      <c r="AM88" s="16"/>
      <c r="AN88" s="296" t="str">
        <f t="shared" si="31"/>
        <v/>
      </c>
      <c r="AO88" s="16"/>
      <c r="AP88" s="296" t="str">
        <f t="shared" si="32"/>
        <v/>
      </c>
      <c r="AQ88" s="298">
        <f t="shared" si="33"/>
        <v>0</v>
      </c>
      <c r="AR88" s="298">
        <f t="shared" si="34"/>
        <v>0</v>
      </c>
      <c r="AS88" s="299" t="str">
        <f t="shared" si="35"/>
        <v/>
      </c>
      <c r="AT88" s="300" t="str">
        <f>IF(COUNTIF(K88:R88,"F")&gt;0,"",IF(AS88="PASS",'Statement of Marks'!HF89,""))</f>
        <v/>
      </c>
      <c r="AU88" s="300" t="str">
        <f>IF(AS88="PASS",'Statement of Marks'!HG89,"")</f>
        <v/>
      </c>
    </row>
    <row r="89" spans="1:47">
      <c r="A89" s="283">
        <f>IF('Statement of Marks'!A90="","",'Statement of Marks'!A90)</f>
        <v>83</v>
      </c>
      <c r="B89" s="283" t="str">
        <f>IF('Statement of Marks'!B90="","",'Statement of Marks'!B90)</f>
        <v/>
      </c>
      <c r="C89" s="283" t="str">
        <f>IF('Statement of Marks'!C90="","",'Statement of Marks'!C90)</f>
        <v/>
      </c>
      <c r="D89" s="284" t="str">
        <f>IF('Statement of Marks'!D90="","",'Statement of Marks'!D90)</f>
        <v/>
      </c>
      <c r="E89" s="285" t="str">
        <f>IF('Statement of Marks'!E90="","",'Statement of Marks'!E90)</f>
        <v/>
      </c>
      <c r="F89" s="285" t="str">
        <f>IF('Statement of Marks'!F90="","",'Statement of Marks'!F90)</f>
        <v/>
      </c>
      <c r="G89" s="285" t="str">
        <f>IF('Statement of Marks'!G90="","",'Statement of Marks'!G90)</f>
        <v/>
      </c>
      <c r="H89" s="286" t="str">
        <f>IF('Statement of Marks'!GY90="","",'Statement of Marks'!GY90)</f>
        <v/>
      </c>
      <c r="I89" s="286" t="str">
        <f>IF('Statement of Marks'!HB90="","",'Statement of Marks'!HB90)</f>
        <v/>
      </c>
      <c r="J89" s="287" t="str">
        <f>IF('Statement of Marks'!HC90="","",'Statement of Marks'!HC90)</f>
        <v/>
      </c>
      <c r="K89" s="295" t="str">
        <f>IF(B89="","",'Statement of Marks'!FJ90)</f>
        <v/>
      </c>
      <c r="L89" s="295" t="str">
        <f>IF(B89="","",'Statement of Marks'!FM90)</f>
        <v/>
      </c>
      <c r="M89" s="295" t="str">
        <f>IF(B89="","",'Statement of Marks'!FP90)</f>
        <v/>
      </c>
      <c r="N89" s="295" t="str">
        <f>IF(B89="","",'Statement of Marks'!FW90)</f>
        <v/>
      </c>
      <c r="O89" s="295" t="str">
        <f>IF(B89="","",'Statement of Marks'!GD90)</f>
        <v/>
      </c>
      <c r="P89" s="295" t="str">
        <f>IF(B89="","",'Statement of Marks'!GK90)</f>
        <v/>
      </c>
      <c r="Q89" s="295" t="str">
        <f>IF(B89="","",'Statement of Marks'!GR90)</f>
        <v/>
      </c>
      <c r="R89" s="295" t="str">
        <f>IF(B89="","",'Statement of Marks'!GS90)</f>
        <v/>
      </c>
      <c r="S89" s="287" t="str">
        <f>IF(COUNTIF(K89:R89,"F")&gt;0,"",CONCATENATE('Statement of Marks'!GU90,'Statement of Marks'!GW90))</f>
        <v xml:space="preserve">           </v>
      </c>
      <c r="T89" s="288">
        <f t="shared" si="18"/>
        <v>0</v>
      </c>
      <c r="U89" s="16"/>
      <c r="V89" s="296" t="str">
        <f t="shared" si="19"/>
        <v/>
      </c>
      <c r="W89" s="296" t="str">
        <f t="shared" si="20"/>
        <v/>
      </c>
      <c r="X89" s="16"/>
      <c r="Y89" s="296" t="str">
        <f t="shared" si="21"/>
        <v/>
      </c>
      <c r="Z89" s="296" t="str">
        <f t="shared" si="22"/>
        <v/>
      </c>
      <c r="AA89" s="16"/>
      <c r="AB89" s="296" t="str">
        <f t="shared" si="23"/>
        <v/>
      </c>
      <c r="AC89" s="297" t="str">
        <f t="shared" si="24"/>
        <v/>
      </c>
      <c r="AD89" s="16"/>
      <c r="AE89" s="296" t="str">
        <f t="shared" si="25"/>
        <v/>
      </c>
      <c r="AF89" s="297" t="str">
        <f t="shared" si="26"/>
        <v/>
      </c>
      <c r="AG89" s="16"/>
      <c r="AH89" s="296" t="str">
        <f t="shared" si="27"/>
        <v/>
      </c>
      <c r="AI89" s="297" t="str">
        <f t="shared" si="28"/>
        <v/>
      </c>
      <c r="AJ89" s="16"/>
      <c r="AK89" s="297" t="str">
        <f t="shared" si="29"/>
        <v/>
      </c>
      <c r="AL89" s="297" t="str">
        <f t="shared" si="30"/>
        <v/>
      </c>
      <c r="AM89" s="16"/>
      <c r="AN89" s="296" t="str">
        <f t="shared" si="31"/>
        <v/>
      </c>
      <c r="AO89" s="16"/>
      <c r="AP89" s="296" t="str">
        <f t="shared" si="32"/>
        <v/>
      </c>
      <c r="AQ89" s="298">
        <f t="shared" si="33"/>
        <v>0</v>
      </c>
      <c r="AR89" s="298">
        <f t="shared" si="34"/>
        <v>0</v>
      </c>
      <c r="AS89" s="299" t="str">
        <f t="shared" si="35"/>
        <v/>
      </c>
      <c r="AT89" s="300" t="str">
        <f>IF(COUNTIF(K89:R89,"F")&gt;0,"",IF(AS89="PASS",'Statement of Marks'!HF90,""))</f>
        <v/>
      </c>
      <c r="AU89" s="300" t="str">
        <f>IF(AS89="PASS",'Statement of Marks'!HG90,"")</f>
        <v/>
      </c>
    </row>
    <row r="90" spans="1:47">
      <c r="A90" s="283">
        <f>IF('Statement of Marks'!A91="","",'Statement of Marks'!A91)</f>
        <v>84</v>
      </c>
      <c r="B90" s="283" t="str">
        <f>IF('Statement of Marks'!B91="","",'Statement of Marks'!B91)</f>
        <v/>
      </c>
      <c r="C90" s="283" t="str">
        <f>IF('Statement of Marks'!C91="","",'Statement of Marks'!C91)</f>
        <v/>
      </c>
      <c r="D90" s="284" t="str">
        <f>IF('Statement of Marks'!D91="","",'Statement of Marks'!D91)</f>
        <v/>
      </c>
      <c r="E90" s="285" t="str">
        <f>IF('Statement of Marks'!E91="","",'Statement of Marks'!E91)</f>
        <v/>
      </c>
      <c r="F90" s="285" t="str">
        <f>IF('Statement of Marks'!F91="","",'Statement of Marks'!F91)</f>
        <v/>
      </c>
      <c r="G90" s="285" t="str">
        <f>IF('Statement of Marks'!G91="","",'Statement of Marks'!G91)</f>
        <v/>
      </c>
      <c r="H90" s="286" t="str">
        <f>IF('Statement of Marks'!GY91="","",'Statement of Marks'!GY91)</f>
        <v/>
      </c>
      <c r="I90" s="286" t="str">
        <f>IF('Statement of Marks'!HB91="","",'Statement of Marks'!HB91)</f>
        <v/>
      </c>
      <c r="J90" s="287" t="str">
        <f>IF('Statement of Marks'!HC91="","",'Statement of Marks'!HC91)</f>
        <v/>
      </c>
      <c r="K90" s="295" t="str">
        <f>IF(B90="","",'Statement of Marks'!FJ91)</f>
        <v/>
      </c>
      <c r="L90" s="295" t="str">
        <f>IF(B90="","",'Statement of Marks'!FM91)</f>
        <v/>
      </c>
      <c r="M90" s="295" t="str">
        <f>IF(B90="","",'Statement of Marks'!FP91)</f>
        <v/>
      </c>
      <c r="N90" s="295" t="str">
        <f>IF(B90="","",'Statement of Marks'!FW91)</f>
        <v/>
      </c>
      <c r="O90" s="295" t="str">
        <f>IF(B90="","",'Statement of Marks'!GD91)</f>
        <v/>
      </c>
      <c r="P90" s="295" t="str">
        <f>IF(B90="","",'Statement of Marks'!GK91)</f>
        <v/>
      </c>
      <c r="Q90" s="295" t="str">
        <f>IF(B90="","",'Statement of Marks'!GR91)</f>
        <v/>
      </c>
      <c r="R90" s="295" t="str">
        <f>IF(B90="","",'Statement of Marks'!GS91)</f>
        <v/>
      </c>
      <c r="S90" s="287" t="str">
        <f>IF(COUNTIF(K90:R90,"F")&gt;0,"",CONCATENATE('Statement of Marks'!GU91,'Statement of Marks'!GW91))</f>
        <v xml:space="preserve">           </v>
      </c>
      <c r="T90" s="288">
        <f t="shared" si="18"/>
        <v>0</v>
      </c>
      <c r="U90" s="16"/>
      <c r="V90" s="296" t="str">
        <f t="shared" si="19"/>
        <v/>
      </c>
      <c r="W90" s="296" t="str">
        <f t="shared" si="20"/>
        <v/>
      </c>
      <c r="X90" s="16"/>
      <c r="Y90" s="296" t="str">
        <f t="shared" si="21"/>
        <v/>
      </c>
      <c r="Z90" s="296" t="str">
        <f t="shared" si="22"/>
        <v/>
      </c>
      <c r="AA90" s="16"/>
      <c r="AB90" s="296" t="str">
        <f t="shared" si="23"/>
        <v/>
      </c>
      <c r="AC90" s="297" t="str">
        <f t="shared" si="24"/>
        <v/>
      </c>
      <c r="AD90" s="16"/>
      <c r="AE90" s="296" t="str">
        <f t="shared" si="25"/>
        <v/>
      </c>
      <c r="AF90" s="297" t="str">
        <f t="shared" si="26"/>
        <v/>
      </c>
      <c r="AG90" s="16"/>
      <c r="AH90" s="296" t="str">
        <f t="shared" si="27"/>
        <v/>
      </c>
      <c r="AI90" s="297" t="str">
        <f t="shared" si="28"/>
        <v/>
      </c>
      <c r="AJ90" s="16"/>
      <c r="AK90" s="297" t="str">
        <f t="shared" si="29"/>
        <v/>
      </c>
      <c r="AL90" s="297" t="str">
        <f t="shared" si="30"/>
        <v/>
      </c>
      <c r="AM90" s="16"/>
      <c r="AN90" s="296" t="str">
        <f t="shared" si="31"/>
        <v/>
      </c>
      <c r="AO90" s="16"/>
      <c r="AP90" s="296" t="str">
        <f t="shared" si="32"/>
        <v/>
      </c>
      <c r="AQ90" s="298">
        <f t="shared" si="33"/>
        <v>0</v>
      </c>
      <c r="AR90" s="298">
        <f t="shared" si="34"/>
        <v>0</v>
      </c>
      <c r="AS90" s="299" t="str">
        <f t="shared" si="35"/>
        <v/>
      </c>
      <c r="AT90" s="300" t="str">
        <f>IF(COUNTIF(K90:R90,"F")&gt;0,"",IF(AS90="PASS",'Statement of Marks'!HF91,""))</f>
        <v/>
      </c>
      <c r="AU90" s="300" t="str">
        <f>IF(AS90="PASS",'Statement of Marks'!HG91,"")</f>
        <v/>
      </c>
    </row>
    <row r="91" spans="1:47">
      <c r="A91" s="283">
        <f>IF('Statement of Marks'!A92="","",'Statement of Marks'!A92)</f>
        <v>85</v>
      </c>
      <c r="B91" s="283" t="str">
        <f>IF('Statement of Marks'!B92="","",'Statement of Marks'!B92)</f>
        <v/>
      </c>
      <c r="C91" s="283" t="str">
        <f>IF('Statement of Marks'!C92="","",'Statement of Marks'!C92)</f>
        <v/>
      </c>
      <c r="D91" s="284" t="str">
        <f>IF('Statement of Marks'!D92="","",'Statement of Marks'!D92)</f>
        <v/>
      </c>
      <c r="E91" s="285" t="str">
        <f>IF('Statement of Marks'!E92="","",'Statement of Marks'!E92)</f>
        <v/>
      </c>
      <c r="F91" s="285" t="str">
        <f>IF('Statement of Marks'!F92="","",'Statement of Marks'!F92)</f>
        <v/>
      </c>
      <c r="G91" s="285" t="str">
        <f>IF('Statement of Marks'!G92="","",'Statement of Marks'!G92)</f>
        <v/>
      </c>
      <c r="H91" s="286" t="str">
        <f>IF('Statement of Marks'!GY92="","",'Statement of Marks'!GY92)</f>
        <v/>
      </c>
      <c r="I91" s="286" t="str">
        <f>IF('Statement of Marks'!HB92="","",'Statement of Marks'!HB92)</f>
        <v/>
      </c>
      <c r="J91" s="287" t="str">
        <f>IF('Statement of Marks'!HC92="","",'Statement of Marks'!HC92)</f>
        <v/>
      </c>
      <c r="K91" s="295" t="str">
        <f>IF(B91="","",'Statement of Marks'!FJ92)</f>
        <v/>
      </c>
      <c r="L91" s="295" t="str">
        <f>IF(B91="","",'Statement of Marks'!FM92)</f>
        <v/>
      </c>
      <c r="M91" s="295" t="str">
        <f>IF(B91="","",'Statement of Marks'!FP92)</f>
        <v/>
      </c>
      <c r="N91" s="295" t="str">
        <f>IF(B91="","",'Statement of Marks'!FW92)</f>
        <v/>
      </c>
      <c r="O91" s="295" t="str">
        <f>IF(B91="","",'Statement of Marks'!GD92)</f>
        <v/>
      </c>
      <c r="P91" s="295" t="str">
        <f>IF(B91="","",'Statement of Marks'!GK92)</f>
        <v/>
      </c>
      <c r="Q91" s="295" t="str">
        <f>IF(B91="","",'Statement of Marks'!GR92)</f>
        <v/>
      </c>
      <c r="R91" s="295" t="str">
        <f>IF(B91="","",'Statement of Marks'!GS92)</f>
        <v/>
      </c>
      <c r="S91" s="287" t="str">
        <f>IF(COUNTIF(K91:R91,"F")&gt;0,"",CONCATENATE('Statement of Marks'!GU92,'Statement of Marks'!GW92))</f>
        <v xml:space="preserve">           </v>
      </c>
      <c r="T91" s="288">
        <f t="shared" si="18"/>
        <v>0</v>
      </c>
      <c r="U91" s="16"/>
      <c r="V91" s="296" t="str">
        <f t="shared" si="19"/>
        <v/>
      </c>
      <c r="W91" s="296" t="str">
        <f t="shared" si="20"/>
        <v/>
      </c>
      <c r="X91" s="16"/>
      <c r="Y91" s="296" t="str">
        <f t="shared" si="21"/>
        <v/>
      </c>
      <c r="Z91" s="296" t="str">
        <f t="shared" si="22"/>
        <v/>
      </c>
      <c r="AA91" s="16"/>
      <c r="AB91" s="296" t="str">
        <f t="shared" si="23"/>
        <v/>
      </c>
      <c r="AC91" s="297" t="str">
        <f t="shared" si="24"/>
        <v/>
      </c>
      <c r="AD91" s="16"/>
      <c r="AE91" s="296" t="str">
        <f t="shared" si="25"/>
        <v/>
      </c>
      <c r="AF91" s="297" t="str">
        <f t="shared" si="26"/>
        <v/>
      </c>
      <c r="AG91" s="16"/>
      <c r="AH91" s="296" t="str">
        <f t="shared" si="27"/>
        <v/>
      </c>
      <c r="AI91" s="297" t="str">
        <f t="shared" si="28"/>
        <v/>
      </c>
      <c r="AJ91" s="16"/>
      <c r="AK91" s="297" t="str">
        <f t="shared" si="29"/>
        <v/>
      </c>
      <c r="AL91" s="297" t="str">
        <f t="shared" si="30"/>
        <v/>
      </c>
      <c r="AM91" s="16"/>
      <c r="AN91" s="296" t="str">
        <f t="shared" si="31"/>
        <v/>
      </c>
      <c r="AO91" s="16"/>
      <c r="AP91" s="296" t="str">
        <f t="shared" si="32"/>
        <v/>
      </c>
      <c r="AQ91" s="298">
        <f t="shared" si="33"/>
        <v>0</v>
      </c>
      <c r="AR91" s="298">
        <f t="shared" si="34"/>
        <v>0</v>
      </c>
      <c r="AS91" s="299" t="str">
        <f t="shared" si="35"/>
        <v/>
      </c>
      <c r="AT91" s="300" t="str">
        <f>IF(COUNTIF(K91:R91,"F")&gt;0,"",IF(AS91="PASS",'Statement of Marks'!HF92,""))</f>
        <v/>
      </c>
      <c r="AU91" s="300" t="str">
        <f>IF(AS91="PASS",'Statement of Marks'!HG92,"")</f>
        <v/>
      </c>
    </row>
    <row r="92" spans="1:47">
      <c r="A92" s="283">
        <f>IF('Statement of Marks'!A93="","",'Statement of Marks'!A93)</f>
        <v>86</v>
      </c>
      <c r="B92" s="283" t="str">
        <f>IF('Statement of Marks'!B93="","",'Statement of Marks'!B93)</f>
        <v/>
      </c>
      <c r="C92" s="283" t="str">
        <f>IF('Statement of Marks'!C93="","",'Statement of Marks'!C93)</f>
        <v/>
      </c>
      <c r="D92" s="284" t="str">
        <f>IF('Statement of Marks'!D93="","",'Statement of Marks'!D93)</f>
        <v/>
      </c>
      <c r="E92" s="285" t="str">
        <f>IF('Statement of Marks'!E93="","",'Statement of Marks'!E93)</f>
        <v/>
      </c>
      <c r="F92" s="285" t="str">
        <f>IF('Statement of Marks'!F93="","",'Statement of Marks'!F93)</f>
        <v/>
      </c>
      <c r="G92" s="285" t="str">
        <f>IF('Statement of Marks'!G93="","",'Statement of Marks'!G93)</f>
        <v/>
      </c>
      <c r="H92" s="286" t="str">
        <f>IF('Statement of Marks'!GY93="","",'Statement of Marks'!GY93)</f>
        <v/>
      </c>
      <c r="I92" s="286" t="str">
        <f>IF('Statement of Marks'!HB93="","",'Statement of Marks'!HB93)</f>
        <v/>
      </c>
      <c r="J92" s="287" t="str">
        <f>IF('Statement of Marks'!HC93="","",'Statement of Marks'!HC93)</f>
        <v/>
      </c>
      <c r="K92" s="295" t="str">
        <f>IF(B92="","",'Statement of Marks'!FJ93)</f>
        <v/>
      </c>
      <c r="L92" s="295" t="str">
        <f>IF(B92="","",'Statement of Marks'!FM93)</f>
        <v/>
      </c>
      <c r="M92" s="295" t="str">
        <f>IF(B92="","",'Statement of Marks'!FP93)</f>
        <v/>
      </c>
      <c r="N92" s="295" t="str">
        <f>IF(B92="","",'Statement of Marks'!FW93)</f>
        <v/>
      </c>
      <c r="O92" s="295" t="str">
        <f>IF(B92="","",'Statement of Marks'!GD93)</f>
        <v/>
      </c>
      <c r="P92" s="295" t="str">
        <f>IF(B92="","",'Statement of Marks'!GK93)</f>
        <v/>
      </c>
      <c r="Q92" s="295" t="str">
        <f>IF(B92="","",'Statement of Marks'!GR93)</f>
        <v/>
      </c>
      <c r="R92" s="295" t="str">
        <f>IF(B92="","",'Statement of Marks'!GS93)</f>
        <v/>
      </c>
      <c r="S92" s="287" t="str">
        <f>IF(COUNTIF(K92:R92,"F")&gt;0,"",CONCATENATE('Statement of Marks'!GU93,'Statement of Marks'!GW93))</f>
        <v xml:space="preserve">           </v>
      </c>
      <c r="T92" s="288">
        <f t="shared" si="18"/>
        <v>0</v>
      </c>
      <c r="U92" s="16"/>
      <c r="V92" s="296" t="str">
        <f t="shared" si="19"/>
        <v/>
      </c>
      <c r="W92" s="296" t="str">
        <f t="shared" si="20"/>
        <v/>
      </c>
      <c r="X92" s="16"/>
      <c r="Y92" s="296" t="str">
        <f t="shared" si="21"/>
        <v/>
      </c>
      <c r="Z92" s="296" t="str">
        <f t="shared" si="22"/>
        <v/>
      </c>
      <c r="AA92" s="16"/>
      <c r="AB92" s="296" t="str">
        <f t="shared" si="23"/>
        <v/>
      </c>
      <c r="AC92" s="297" t="str">
        <f t="shared" si="24"/>
        <v/>
      </c>
      <c r="AD92" s="16"/>
      <c r="AE92" s="296" t="str">
        <f t="shared" si="25"/>
        <v/>
      </c>
      <c r="AF92" s="297" t="str">
        <f t="shared" si="26"/>
        <v/>
      </c>
      <c r="AG92" s="16"/>
      <c r="AH92" s="296" t="str">
        <f t="shared" si="27"/>
        <v/>
      </c>
      <c r="AI92" s="297" t="str">
        <f t="shared" si="28"/>
        <v/>
      </c>
      <c r="AJ92" s="16"/>
      <c r="AK92" s="297" t="str">
        <f t="shared" si="29"/>
        <v/>
      </c>
      <c r="AL92" s="297" t="str">
        <f t="shared" si="30"/>
        <v/>
      </c>
      <c r="AM92" s="16"/>
      <c r="AN92" s="296" t="str">
        <f t="shared" si="31"/>
        <v/>
      </c>
      <c r="AO92" s="16"/>
      <c r="AP92" s="296" t="str">
        <f t="shared" si="32"/>
        <v/>
      </c>
      <c r="AQ92" s="298">
        <f t="shared" si="33"/>
        <v>0</v>
      </c>
      <c r="AR92" s="298">
        <f t="shared" si="34"/>
        <v>0</v>
      </c>
      <c r="AS92" s="299" t="str">
        <f t="shared" si="35"/>
        <v/>
      </c>
      <c r="AT92" s="300" t="str">
        <f>IF(COUNTIF(K92:R92,"F")&gt;0,"",IF(AS92="PASS",'Statement of Marks'!HF93,""))</f>
        <v/>
      </c>
      <c r="AU92" s="300" t="str">
        <f>IF(AS92="PASS",'Statement of Marks'!HG93,"")</f>
        <v/>
      </c>
    </row>
    <row r="93" spans="1:47">
      <c r="A93" s="283">
        <f>IF('Statement of Marks'!A94="","",'Statement of Marks'!A94)</f>
        <v>87</v>
      </c>
      <c r="B93" s="283" t="str">
        <f>IF('Statement of Marks'!B94="","",'Statement of Marks'!B94)</f>
        <v/>
      </c>
      <c r="C93" s="283" t="str">
        <f>IF('Statement of Marks'!C94="","",'Statement of Marks'!C94)</f>
        <v/>
      </c>
      <c r="D93" s="284" t="str">
        <f>IF('Statement of Marks'!D94="","",'Statement of Marks'!D94)</f>
        <v/>
      </c>
      <c r="E93" s="285" t="str">
        <f>IF('Statement of Marks'!E94="","",'Statement of Marks'!E94)</f>
        <v/>
      </c>
      <c r="F93" s="285" t="str">
        <f>IF('Statement of Marks'!F94="","",'Statement of Marks'!F94)</f>
        <v/>
      </c>
      <c r="G93" s="285" t="str">
        <f>IF('Statement of Marks'!G94="","",'Statement of Marks'!G94)</f>
        <v/>
      </c>
      <c r="H93" s="286" t="str">
        <f>IF('Statement of Marks'!GY94="","",'Statement of Marks'!GY94)</f>
        <v/>
      </c>
      <c r="I93" s="286" t="str">
        <f>IF('Statement of Marks'!HB94="","",'Statement of Marks'!HB94)</f>
        <v/>
      </c>
      <c r="J93" s="287" t="str">
        <f>IF('Statement of Marks'!HC94="","",'Statement of Marks'!HC94)</f>
        <v/>
      </c>
      <c r="K93" s="295" t="str">
        <f>IF(B93="","",'Statement of Marks'!FJ94)</f>
        <v/>
      </c>
      <c r="L93" s="295" t="str">
        <f>IF(B93="","",'Statement of Marks'!FM94)</f>
        <v/>
      </c>
      <c r="M93" s="295" t="str">
        <f>IF(B93="","",'Statement of Marks'!FP94)</f>
        <v/>
      </c>
      <c r="N93" s="295" t="str">
        <f>IF(B93="","",'Statement of Marks'!FW94)</f>
        <v/>
      </c>
      <c r="O93" s="295" t="str">
        <f>IF(B93="","",'Statement of Marks'!GD94)</f>
        <v/>
      </c>
      <c r="P93" s="295" t="str">
        <f>IF(B93="","",'Statement of Marks'!GK94)</f>
        <v/>
      </c>
      <c r="Q93" s="295" t="str">
        <f>IF(B93="","",'Statement of Marks'!GR94)</f>
        <v/>
      </c>
      <c r="R93" s="295" t="str">
        <f>IF(B93="","",'Statement of Marks'!GS94)</f>
        <v/>
      </c>
      <c r="S93" s="287" t="str">
        <f>IF(COUNTIF(K93:R93,"F")&gt;0,"",CONCATENATE('Statement of Marks'!GU94,'Statement of Marks'!GW94))</f>
        <v xml:space="preserve">           </v>
      </c>
      <c r="T93" s="288">
        <f t="shared" si="18"/>
        <v>0</v>
      </c>
      <c r="U93" s="16"/>
      <c r="V93" s="296" t="str">
        <f t="shared" si="19"/>
        <v/>
      </c>
      <c r="W93" s="296" t="str">
        <f t="shared" si="20"/>
        <v/>
      </c>
      <c r="X93" s="16"/>
      <c r="Y93" s="296" t="str">
        <f t="shared" si="21"/>
        <v/>
      </c>
      <c r="Z93" s="296" t="str">
        <f t="shared" si="22"/>
        <v/>
      </c>
      <c r="AA93" s="16"/>
      <c r="AB93" s="296" t="str">
        <f t="shared" si="23"/>
        <v/>
      </c>
      <c r="AC93" s="297" t="str">
        <f t="shared" si="24"/>
        <v/>
      </c>
      <c r="AD93" s="16"/>
      <c r="AE93" s="296" t="str">
        <f t="shared" si="25"/>
        <v/>
      </c>
      <c r="AF93" s="297" t="str">
        <f t="shared" si="26"/>
        <v/>
      </c>
      <c r="AG93" s="16"/>
      <c r="AH93" s="296" t="str">
        <f t="shared" si="27"/>
        <v/>
      </c>
      <c r="AI93" s="297" t="str">
        <f t="shared" si="28"/>
        <v/>
      </c>
      <c r="AJ93" s="16"/>
      <c r="AK93" s="297" t="str">
        <f t="shared" si="29"/>
        <v/>
      </c>
      <c r="AL93" s="297" t="str">
        <f t="shared" si="30"/>
        <v/>
      </c>
      <c r="AM93" s="16"/>
      <c r="AN93" s="296" t="str">
        <f t="shared" si="31"/>
        <v/>
      </c>
      <c r="AO93" s="16"/>
      <c r="AP93" s="296" t="str">
        <f t="shared" si="32"/>
        <v/>
      </c>
      <c r="AQ93" s="298">
        <f t="shared" si="33"/>
        <v>0</v>
      </c>
      <c r="AR93" s="298">
        <f t="shared" si="34"/>
        <v>0</v>
      </c>
      <c r="AS93" s="299" t="str">
        <f t="shared" si="35"/>
        <v/>
      </c>
      <c r="AT93" s="300" t="str">
        <f>IF(COUNTIF(K93:R93,"F")&gt;0,"",IF(AS93="PASS",'Statement of Marks'!HF94,""))</f>
        <v/>
      </c>
      <c r="AU93" s="300" t="str">
        <f>IF(AS93="PASS",'Statement of Marks'!HG94,"")</f>
        <v/>
      </c>
    </row>
    <row r="94" spans="1:47">
      <c r="A94" s="283">
        <f>IF('Statement of Marks'!A95="","",'Statement of Marks'!A95)</f>
        <v>88</v>
      </c>
      <c r="B94" s="283" t="str">
        <f>IF('Statement of Marks'!B95="","",'Statement of Marks'!B95)</f>
        <v/>
      </c>
      <c r="C94" s="283" t="str">
        <f>IF('Statement of Marks'!C95="","",'Statement of Marks'!C95)</f>
        <v/>
      </c>
      <c r="D94" s="284" t="str">
        <f>IF('Statement of Marks'!D95="","",'Statement of Marks'!D95)</f>
        <v/>
      </c>
      <c r="E94" s="285" t="str">
        <f>IF('Statement of Marks'!E95="","",'Statement of Marks'!E95)</f>
        <v/>
      </c>
      <c r="F94" s="285" t="str">
        <f>IF('Statement of Marks'!F95="","",'Statement of Marks'!F95)</f>
        <v/>
      </c>
      <c r="G94" s="285" t="str">
        <f>IF('Statement of Marks'!G95="","",'Statement of Marks'!G95)</f>
        <v/>
      </c>
      <c r="H94" s="286" t="str">
        <f>IF('Statement of Marks'!GY95="","",'Statement of Marks'!GY95)</f>
        <v/>
      </c>
      <c r="I94" s="286" t="str">
        <f>IF('Statement of Marks'!HB95="","",'Statement of Marks'!HB95)</f>
        <v/>
      </c>
      <c r="J94" s="287" t="str">
        <f>IF('Statement of Marks'!HC95="","",'Statement of Marks'!HC95)</f>
        <v/>
      </c>
      <c r="K94" s="295" t="str">
        <f>IF(B94="","",'Statement of Marks'!FJ95)</f>
        <v/>
      </c>
      <c r="L94" s="295" t="str">
        <f>IF(B94="","",'Statement of Marks'!FM95)</f>
        <v/>
      </c>
      <c r="M94" s="295" t="str">
        <f>IF(B94="","",'Statement of Marks'!FP95)</f>
        <v/>
      </c>
      <c r="N94" s="295" t="str">
        <f>IF(B94="","",'Statement of Marks'!FW95)</f>
        <v/>
      </c>
      <c r="O94" s="295" t="str">
        <f>IF(B94="","",'Statement of Marks'!GD95)</f>
        <v/>
      </c>
      <c r="P94" s="295" t="str">
        <f>IF(B94="","",'Statement of Marks'!GK95)</f>
        <v/>
      </c>
      <c r="Q94" s="295" t="str">
        <f>IF(B94="","",'Statement of Marks'!GR95)</f>
        <v/>
      </c>
      <c r="R94" s="295" t="str">
        <f>IF(B94="","",'Statement of Marks'!GS95)</f>
        <v/>
      </c>
      <c r="S94" s="287" t="str">
        <f>IF(COUNTIF(K94:R94,"F")&gt;0,"",CONCATENATE('Statement of Marks'!GU95,'Statement of Marks'!GW95))</f>
        <v xml:space="preserve">           </v>
      </c>
      <c r="T94" s="288">
        <f t="shared" si="18"/>
        <v>0</v>
      </c>
      <c r="U94" s="16"/>
      <c r="V94" s="296" t="str">
        <f t="shared" si="19"/>
        <v/>
      </c>
      <c r="W94" s="296" t="str">
        <f t="shared" si="20"/>
        <v/>
      </c>
      <c r="X94" s="16"/>
      <c r="Y94" s="296" t="str">
        <f t="shared" si="21"/>
        <v/>
      </c>
      <c r="Z94" s="296" t="str">
        <f t="shared" si="22"/>
        <v/>
      </c>
      <c r="AA94" s="16"/>
      <c r="AB94" s="296" t="str">
        <f t="shared" si="23"/>
        <v/>
      </c>
      <c r="AC94" s="297" t="str">
        <f t="shared" si="24"/>
        <v/>
      </c>
      <c r="AD94" s="16"/>
      <c r="AE94" s="296" t="str">
        <f t="shared" si="25"/>
        <v/>
      </c>
      <c r="AF94" s="297" t="str">
        <f t="shared" si="26"/>
        <v/>
      </c>
      <c r="AG94" s="16"/>
      <c r="AH94" s="296" t="str">
        <f t="shared" si="27"/>
        <v/>
      </c>
      <c r="AI94" s="297" t="str">
        <f t="shared" si="28"/>
        <v/>
      </c>
      <c r="AJ94" s="16"/>
      <c r="AK94" s="297" t="str">
        <f t="shared" si="29"/>
        <v/>
      </c>
      <c r="AL94" s="297" t="str">
        <f t="shared" si="30"/>
        <v/>
      </c>
      <c r="AM94" s="16"/>
      <c r="AN94" s="296" t="str">
        <f t="shared" si="31"/>
        <v/>
      </c>
      <c r="AO94" s="16"/>
      <c r="AP94" s="296" t="str">
        <f t="shared" si="32"/>
        <v/>
      </c>
      <c r="AQ94" s="298">
        <f t="shared" si="33"/>
        <v>0</v>
      </c>
      <c r="AR94" s="298">
        <f t="shared" si="34"/>
        <v>0</v>
      </c>
      <c r="AS94" s="299" t="str">
        <f t="shared" si="35"/>
        <v/>
      </c>
      <c r="AT94" s="300" t="str">
        <f>IF(COUNTIF(K94:R94,"F")&gt;0,"",IF(AS94="PASS",'Statement of Marks'!HF95,""))</f>
        <v/>
      </c>
      <c r="AU94" s="300" t="str">
        <f>IF(AS94="PASS",'Statement of Marks'!HG95,"")</f>
        <v/>
      </c>
    </row>
    <row r="95" spans="1:47">
      <c r="A95" s="283">
        <f>IF('Statement of Marks'!A96="","",'Statement of Marks'!A96)</f>
        <v>89</v>
      </c>
      <c r="B95" s="283" t="str">
        <f>IF('Statement of Marks'!B96="","",'Statement of Marks'!B96)</f>
        <v/>
      </c>
      <c r="C95" s="283" t="str">
        <f>IF('Statement of Marks'!C96="","",'Statement of Marks'!C96)</f>
        <v/>
      </c>
      <c r="D95" s="284" t="str">
        <f>IF('Statement of Marks'!D96="","",'Statement of Marks'!D96)</f>
        <v/>
      </c>
      <c r="E95" s="285" t="str">
        <f>IF('Statement of Marks'!E96="","",'Statement of Marks'!E96)</f>
        <v/>
      </c>
      <c r="F95" s="285" t="str">
        <f>IF('Statement of Marks'!F96="","",'Statement of Marks'!F96)</f>
        <v/>
      </c>
      <c r="G95" s="285" t="str">
        <f>IF('Statement of Marks'!G96="","",'Statement of Marks'!G96)</f>
        <v/>
      </c>
      <c r="H95" s="286" t="str">
        <f>IF('Statement of Marks'!GY96="","",'Statement of Marks'!GY96)</f>
        <v/>
      </c>
      <c r="I95" s="286" t="str">
        <f>IF('Statement of Marks'!HB96="","",'Statement of Marks'!HB96)</f>
        <v/>
      </c>
      <c r="J95" s="287" t="str">
        <f>IF('Statement of Marks'!HC96="","",'Statement of Marks'!HC96)</f>
        <v/>
      </c>
      <c r="K95" s="295" t="str">
        <f>IF(B95="","",'Statement of Marks'!FJ96)</f>
        <v/>
      </c>
      <c r="L95" s="295" t="str">
        <f>IF(B95="","",'Statement of Marks'!FM96)</f>
        <v/>
      </c>
      <c r="M95" s="295" t="str">
        <f>IF(B95="","",'Statement of Marks'!FP96)</f>
        <v/>
      </c>
      <c r="N95" s="295" t="str">
        <f>IF(B95="","",'Statement of Marks'!FW96)</f>
        <v/>
      </c>
      <c r="O95" s="295" t="str">
        <f>IF(B95="","",'Statement of Marks'!GD96)</f>
        <v/>
      </c>
      <c r="P95" s="295" t="str">
        <f>IF(B95="","",'Statement of Marks'!GK96)</f>
        <v/>
      </c>
      <c r="Q95" s="295" t="str">
        <f>IF(B95="","",'Statement of Marks'!GR96)</f>
        <v/>
      </c>
      <c r="R95" s="295" t="str">
        <f>IF(B95="","",'Statement of Marks'!GS96)</f>
        <v/>
      </c>
      <c r="S95" s="287" t="str">
        <f>IF(COUNTIF(K95:R95,"F")&gt;0,"",CONCATENATE('Statement of Marks'!GU96,'Statement of Marks'!GW96))</f>
        <v xml:space="preserve">           </v>
      </c>
      <c r="T95" s="288">
        <f t="shared" si="18"/>
        <v>0</v>
      </c>
      <c r="U95" s="16"/>
      <c r="V95" s="296" t="str">
        <f t="shared" si="19"/>
        <v/>
      </c>
      <c r="W95" s="296" t="str">
        <f t="shared" si="20"/>
        <v/>
      </c>
      <c r="X95" s="16"/>
      <c r="Y95" s="296" t="str">
        <f t="shared" si="21"/>
        <v/>
      </c>
      <c r="Z95" s="296" t="str">
        <f t="shared" si="22"/>
        <v/>
      </c>
      <c r="AA95" s="16"/>
      <c r="AB95" s="296" t="str">
        <f t="shared" si="23"/>
        <v/>
      </c>
      <c r="AC95" s="297" t="str">
        <f t="shared" si="24"/>
        <v/>
      </c>
      <c r="AD95" s="16"/>
      <c r="AE95" s="296" t="str">
        <f t="shared" si="25"/>
        <v/>
      </c>
      <c r="AF95" s="297" t="str">
        <f t="shared" si="26"/>
        <v/>
      </c>
      <c r="AG95" s="16"/>
      <c r="AH95" s="296" t="str">
        <f t="shared" si="27"/>
        <v/>
      </c>
      <c r="AI95" s="297" t="str">
        <f t="shared" si="28"/>
        <v/>
      </c>
      <c r="AJ95" s="16"/>
      <c r="AK95" s="297" t="str">
        <f t="shared" si="29"/>
        <v/>
      </c>
      <c r="AL95" s="297" t="str">
        <f t="shared" si="30"/>
        <v/>
      </c>
      <c r="AM95" s="16"/>
      <c r="AN95" s="296" t="str">
        <f t="shared" si="31"/>
        <v/>
      </c>
      <c r="AO95" s="16"/>
      <c r="AP95" s="296" t="str">
        <f t="shared" si="32"/>
        <v/>
      </c>
      <c r="AQ95" s="298">
        <f t="shared" si="33"/>
        <v>0</v>
      </c>
      <c r="AR95" s="298">
        <f t="shared" si="34"/>
        <v>0</v>
      </c>
      <c r="AS95" s="299" t="str">
        <f t="shared" si="35"/>
        <v/>
      </c>
      <c r="AT95" s="300" t="str">
        <f>IF(COUNTIF(K95:R95,"F")&gt;0,"",IF(AS95="PASS",'Statement of Marks'!HF96,""))</f>
        <v/>
      </c>
      <c r="AU95" s="300" t="str">
        <f>IF(AS95="PASS",'Statement of Marks'!HG96,"")</f>
        <v/>
      </c>
    </row>
    <row r="96" spans="1:47">
      <c r="A96" s="283">
        <f>IF('Statement of Marks'!A97="","",'Statement of Marks'!A97)</f>
        <v>90</v>
      </c>
      <c r="B96" s="283" t="str">
        <f>IF('Statement of Marks'!B97="","",'Statement of Marks'!B97)</f>
        <v/>
      </c>
      <c r="C96" s="283" t="str">
        <f>IF('Statement of Marks'!C97="","",'Statement of Marks'!C97)</f>
        <v/>
      </c>
      <c r="D96" s="284" t="str">
        <f>IF('Statement of Marks'!D97="","",'Statement of Marks'!D97)</f>
        <v/>
      </c>
      <c r="E96" s="285" t="str">
        <f>IF('Statement of Marks'!E97="","",'Statement of Marks'!E97)</f>
        <v/>
      </c>
      <c r="F96" s="285" t="str">
        <f>IF('Statement of Marks'!F97="","",'Statement of Marks'!F97)</f>
        <v/>
      </c>
      <c r="G96" s="285" t="str">
        <f>IF('Statement of Marks'!G97="","",'Statement of Marks'!G97)</f>
        <v/>
      </c>
      <c r="H96" s="286" t="str">
        <f>IF('Statement of Marks'!GY97="","",'Statement of Marks'!GY97)</f>
        <v/>
      </c>
      <c r="I96" s="286" t="str">
        <f>IF('Statement of Marks'!HB97="","",'Statement of Marks'!HB97)</f>
        <v/>
      </c>
      <c r="J96" s="287" t="str">
        <f>IF('Statement of Marks'!HC97="","",'Statement of Marks'!HC97)</f>
        <v/>
      </c>
      <c r="K96" s="295" t="str">
        <f>IF(B96="","",'Statement of Marks'!FJ97)</f>
        <v/>
      </c>
      <c r="L96" s="295" t="str">
        <f>IF(B96="","",'Statement of Marks'!FM97)</f>
        <v/>
      </c>
      <c r="M96" s="295" t="str">
        <f>IF(B96="","",'Statement of Marks'!FP97)</f>
        <v/>
      </c>
      <c r="N96" s="295" t="str">
        <f>IF(B96="","",'Statement of Marks'!FW97)</f>
        <v/>
      </c>
      <c r="O96" s="295" t="str">
        <f>IF(B96="","",'Statement of Marks'!GD97)</f>
        <v/>
      </c>
      <c r="P96" s="295" t="str">
        <f>IF(B96="","",'Statement of Marks'!GK97)</f>
        <v/>
      </c>
      <c r="Q96" s="295" t="str">
        <f>IF(B96="","",'Statement of Marks'!GR97)</f>
        <v/>
      </c>
      <c r="R96" s="295" t="str">
        <f>IF(B96="","",'Statement of Marks'!GS97)</f>
        <v/>
      </c>
      <c r="S96" s="287" t="str">
        <f>IF(COUNTIF(K96:R96,"F")&gt;0,"",CONCATENATE('Statement of Marks'!GU97,'Statement of Marks'!GW97))</f>
        <v xml:space="preserve">           </v>
      </c>
      <c r="T96" s="288">
        <f t="shared" si="18"/>
        <v>0</v>
      </c>
      <c r="U96" s="16"/>
      <c r="V96" s="296" t="str">
        <f t="shared" si="19"/>
        <v/>
      </c>
      <c r="W96" s="296" t="str">
        <f t="shared" si="20"/>
        <v/>
      </c>
      <c r="X96" s="16"/>
      <c r="Y96" s="296" t="str">
        <f t="shared" si="21"/>
        <v/>
      </c>
      <c r="Z96" s="296" t="str">
        <f t="shared" si="22"/>
        <v/>
      </c>
      <c r="AA96" s="16"/>
      <c r="AB96" s="296" t="str">
        <f t="shared" si="23"/>
        <v/>
      </c>
      <c r="AC96" s="297" t="str">
        <f t="shared" si="24"/>
        <v/>
      </c>
      <c r="AD96" s="16"/>
      <c r="AE96" s="296" t="str">
        <f t="shared" si="25"/>
        <v/>
      </c>
      <c r="AF96" s="297" t="str">
        <f t="shared" si="26"/>
        <v/>
      </c>
      <c r="AG96" s="16"/>
      <c r="AH96" s="296" t="str">
        <f t="shared" si="27"/>
        <v/>
      </c>
      <c r="AI96" s="297" t="str">
        <f t="shared" si="28"/>
        <v/>
      </c>
      <c r="AJ96" s="16"/>
      <c r="AK96" s="297" t="str">
        <f t="shared" si="29"/>
        <v/>
      </c>
      <c r="AL96" s="297" t="str">
        <f t="shared" si="30"/>
        <v/>
      </c>
      <c r="AM96" s="16"/>
      <c r="AN96" s="296" t="str">
        <f t="shared" si="31"/>
        <v/>
      </c>
      <c r="AO96" s="16"/>
      <c r="AP96" s="296" t="str">
        <f t="shared" si="32"/>
        <v/>
      </c>
      <c r="AQ96" s="298">
        <f t="shared" si="33"/>
        <v>0</v>
      </c>
      <c r="AR96" s="298">
        <f t="shared" si="34"/>
        <v>0</v>
      </c>
      <c r="AS96" s="299" t="str">
        <f t="shared" si="35"/>
        <v/>
      </c>
      <c r="AT96" s="300" t="str">
        <f>IF(COUNTIF(K96:R96,"F")&gt;0,"",IF(AS96="PASS",'Statement of Marks'!HF97,""))</f>
        <v/>
      </c>
      <c r="AU96" s="300" t="str">
        <f>IF(AS96="PASS",'Statement of Marks'!HG97,"")</f>
        <v/>
      </c>
    </row>
    <row r="97" spans="1:47">
      <c r="A97" s="283">
        <f>IF('Statement of Marks'!A98="","",'Statement of Marks'!A98)</f>
        <v>91</v>
      </c>
      <c r="B97" s="283" t="str">
        <f>IF('Statement of Marks'!B98="","",'Statement of Marks'!B98)</f>
        <v/>
      </c>
      <c r="C97" s="283" t="str">
        <f>IF('Statement of Marks'!C98="","",'Statement of Marks'!C98)</f>
        <v/>
      </c>
      <c r="D97" s="284" t="str">
        <f>IF('Statement of Marks'!D98="","",'Statement of Marks'!D98)</f>
        <v/>
      </c>
      <c r="E97" s="285" t="str">
        <f>IF('Statement of Marks'!E98="","",'Statement of Marks'!E98)</f>
        <v/>
      </c>
      <c r="F97" s="285" t="str">
        <f>IF('Statement of Marks'!F98="","",'Statement of Marks'!F98)</f>
        <v/>
      </c>
      <c r="G97" s="285" t="str">
        <f>IF('Statement of Marks'!G98="","",'Statement of Marks'!G98)</f>
        <v/>
      </c>
      <c r="H97" s="286" t="str">
        <f>IF('Statement of Marks'!GY98="","",'Statement of Marks'!GY98)</f>
        <v/>
      </c>
      <c r="I97" s="286" t="str">
        <f>IF('Statement of Marks'!HB98="","",'Statement of Marks'!HB98)</f>
        <v/>
      </c>
      <c r="J97" s="287" t="str">
        <f>IF('Statement of Marks'!HC98="","",'Statement of Marks'!HC98)</f>
        <v/>
      </c>
      <c r="K97" s="295" t="str">
        <f>IF(B97="","",'Statement of Marks'!FJ98)</f>
        <v/>
      </c>
      <c r="L97" s="295" t="str">
        <f>IF(B97="","",'Statement of Marks'!FM98)</f>
        <v/>
      </c>
      <c r="M97" s="295" t="str">
        <f>IF(B97="","",'Statement of Marks'!FP98)</f>
        <v/>
      </c>
      <c r="N97" s="295" t="str">
        <f>IF(B97="","",'Statement of Marks'!FW98)</f>
        <v/>
      </c>
      <c r="O97" s="295" t="str">
        <f>IF(B97="","",'Statement of Marks'!GD98)</f>
        <v/>
      </c>
      <c r="P97" s="295" t="str">
        <f>IF(B97="","",'Statement of Marks'!GK98)</f>
        <v/>
      </c>
      <c r="Q97" s="295" t="str">
        <f>IF(B97="","",'Statement of Marks'!GR98)</f>
        <v/>
      </c>
      <c r="R97" s="295" t="str">
        <f>IF(B97="","",'Statement of Marks'!GS98)</f>
        <v/>
      </c>
      <c r="S97" s="287" t="str">
        <f>IF(COUNTIF(K97:R97,"F")&gt;0,"",CONCATENATE('Statement of Marks'!GU98,'Statement of Marks'!GW98))</f>
        <v xml:space="preserve">           </v>
      </c>
      <c r="T97" s="288">
        <f t="shared" si="18"/>
        <v>0</v>
      </c>
      <c r="U97" s="16"/>
      <c r="V97" s="296" t="str">
        <f t="shared" si="19"/>
        <v/>
      </c>
      <c r="W97" s="296" t="str">
        <f t="shared" si="20"/>
        <v/>
      </c>
      <c r="X97" s="16"/>
      <c r="Y97" s="296" t="str">
        <f t="shared" si="21"/>
        <v/>
      </c>
      <c r="Z97" s="296" t="str">
        <f t="shared" si="22"/>
        <v/>
      </c>
      <c r="AA97" s="16"/>
      <c r="AB97" s="296" t="str">
        <f t="shared" si="23"/>
        <v/>
      </c>
      <c r="AC97" s="297" t="str">
        <f t="shared" si="24"/>
        <v/>
      </c>
      <c r="AD97" s="16"/>
      <c r="AE97" s="296" t="str">
        <f t="shared" si="25"/>
        <v/>
      </c>
      <c r="AF97" s="297" t="str">
        <f t="shared" si="26"/>
        <v/>
      </c>
      <c r="AG97" s="16"/>
      <c r="AH97" s="296" t="str">
        <f t="shared" si="27"/>
        <v/>
      </c>
      <c r="AI97" s="297" t="str">
        <f t="shared" si="28"/>
        <v/>
      </c>
      <c r="AJ97" s="16"/>
      <c r="AK97" s="297" t="str">
        <f t="shared" si="29"/>
        <v/>
      </c>
      <c r="AL97" s="297" t="str">
        <f t="shared" si="30"/>
        <v/>
      </c>
      <c r="AM97" s="16"/>
      <c r="AN97" s="296" t="str">
        <f t="shared" si="31"/>
        <v/>
      </c>
      <c r="AO97" s="16"/>
      <c r="AP97" s="296" t="str">
        <f t="shared" si="32"/>
        <v/>
      </c>
      <c r="AQ97" s="298">
        <f t="shared" si="33"/>
        <v>0</v>
      </c>
      <c r="AR97" s="298">
        <f t="shared" si="34"/>
        <v>0</v>
      </c>
      <c r="AS97" s="299" t="str">
        <f t="shared" si="35"/>
        <v/>
      </c>
      <c r="AT97" s="300" t="str">
        <f>IF(COUNTIF(K97:R97,"F")&gt;0,"",IF(AS97="PASS",'Statement of Marks'!HF98,""))</f>
        <v/>
      </c>
      <c r="AU97" s="300" t="str">
        <f>IF(AS97="PASS",'Statement of Marks'!HG98,"")</f>
        <v/>
      </c>
    </row>
    <row r="98" spans="1:47">
      <c r="A98" s="283">
        <f>IF('Statement of Marks'!A99="","",'Statement of Marks'!A99)</f>
        <v>92</v>
      </c>
      <c r="B98" s="283" t="str">
        <f>IF('Statement of Marks'!B99="","",'Statement of Marks'!B99)</f>
        <v/>
      </c>
      <c r="C98" s="283" t="str">
        <f>IF('Statement of Marks'!C99="","",'Statement of Marks'!C99)</f>
        <v/>
      </c>
      <c r="D98" s="284" t="str">
        <f>IF('Statement of Marks'!D99="","",'Statement of Marks'!D99)</f>
        <v/>
      </c>
      <c r="E98" s="285" t="str">
        <f>IF('Statement of Marks'!E99="","",'Statement of Marks'!E99)</f>
        <v/>
      </c>
      <c r="F98" s="285" t="str">
        <f>IF('Statement of Marks'!F99="","",'Statement of Marks'!F99)</f>
        <v/>
      </c>
      <c r="G98" s="285" t="str">
        <f>IF('Statement of Marks'!G99="","",'Statement of Marks'!G99)</f>
        <v/>
      </c>
      <c r="H98" s="286" t="str">
        <f>IF('Statement of Marks'!GY99="","",'Statement of Marks'!GY99)</f>
        <v/>
      </c>
      <c r="I98" s="286" t="str">
        <f>IF('Statement of Marks'!HB99="","",'Statement of Marks'!HB99)</f>
        <v/>
      </c>
      <c r="J98" s="287" t="str">
        <f>IF('Statement of Marks'!HC99="","",'Statement of Marks'!HC99)</f>
        <v/>
      </c>
      <c r="K98" s="295" t="str">
        <f>IF(B98="","",'Statement of Marks'!FJ99)</f>
        <v/>
      </c>
      <c r="L98" s="295" t="str">
        <f>IF(B98="","",'Statement of Marks'!FM99)</f>
        <v/>
      </c>
      <c r="M98" s="295" t="str">
        <f>IF(B98="","",'Statement of Marks'!FP99)</f>
        <v/>
      </c>
      <c r="N98" s="295" t="str">
        <f>IF(B98="","",'Statement of Marks'!FW99)</f>
        <v/>
      </c>
      <c r="O98" s="295" t="str">
        <f>IF(B98="","",'Statement of Marks'!GD99)</f>
        <v/>
      </c>
      <c r="P98" s="295" t="str">
        <f>IF(B98="","",'Statement of Marks'!GK99)</f>
        <v/>
      </c>
      <c r="Q98" s="295" t="str">
        <f>IF(B98="","",'Statement of Marks'!GR99)</f>
        <v/>
      </c>
      <c r="R98" s="295" t="str">
        <f>IF(B98="","",'Statement of Marks'!GS99)</f>
        <v/>
      </c>
      <c r="S98" s="287" t="str">
        <f>IF(COUNTIF(K98:R98,"F")&gt;0,"",CONCATENATE('Statement of Marks'!GU99,'Statement of Marks'!GW99))</f>
        <v xml:space="preserve">           </v>
      </c>
      <c r="T98" s="288">
        <f t="shared" si="18"/>
        <v>0</v>
      </c>
      <c r="U98" s="16"/>
      <c r="V98" s="296" t="str">
        <f t="shared" si="19"/>
        <v/>
      </c>
      <c r="W98" s="296" t="str">
        <f t="shared" si="20"/>
        <v/>
      </c>
      <c r="X98" s="16"/>
      <c r="Y98" s="296" t="str">
        <f t="shared" si="21"/>
        <v/>
      </c>
      <c r="Z98" s="296" t="str">
        <f t="shared" si="22"/>
        <v/>
      </c>
      <c r="AA98" s="16"/>
      <c r="AB98" s="296" t="str">
        <f t="shared" si="23"/>
        <v/>
      </c>
      <c r="AC98" s="297" t="str">
        <f t="shared" si="24"/>
        <v/>
      </c>
      <c r="AD98" s="16"/>
      <c r="AE98" s="296" t="str">
        <f t="shared" si="25"/>
        <v/>
      </c>
      <c r="AF98" s="297" t="str">
        <f t="shared" si="26"/>
        <v/>
      </c>
      <c r="AG98" s="16"/>
      <c r="AH98" s="296" t="str">
        <f t="shared" si="27"/>
        <v/>
      </c>
      <c r="AI98" s="297" t="str">
        <f t="shared" si="28"/>
        <v/>
      </c>
      <c r="AJ98" s="16"/>
      <c r="AK98" s="297" t="str">
        <f t="shared" si="29"/>
        <v/>
      </c>
      <c r="AL98" s="297" t="str">
        <f t="shared" si="30"/>
        <v/>
      </c>
      <c r="AM98" s="16"/>
      <c r="AN98" s="296" t="str">
        <f t="shared" si="31"/>
        <v/>
      </c>
      <c r="AO98" s="16"/>
      <c r="AP98" s="296" t="str">
        <f t="shared" si="32"/>
        <v/>
      </c>
      <c r="AQ98" s="298">
        <f t="shared" si="33"/>
        <v>0</v>
      </c>
      <c r="AR98" s="298">
        <f t="shared" si="34"/>
        <v>0</v>
      </c>
      <c r="AS98" s="299" t="str">
        <f t="shared" si="35"/>
        <v/>
      </c>
      <c r="AT98" s="300" t="str">
        <f>IF(COUNTIF(K98:R98,"F")&gt;0,"",IF(AS98="PASS",'Statement of Marks'!HF99,""))</f>
        <v/>
      </c>
      <c r="AU98" s="300" t="str">
        <f>IF(AS98="PASS",'Statement of Marks'!HG99,"")</f>
        <v/>
      </c>
    </row>
    <row r="99" spans="1:47">
      <c r="A99" s="283">
        <f>IF('Statement of Marks'!A100="","",'Statement of Marks'!A100)</f>
        <v>93</v>
      </c>
      <c r="B99" s="283" t="str">
        <f>IF('Statement of Marks'!B100="","",'Statement of Marks'!B100)</f>
        <v/>
      </c>
      <c r="C99" s="283" t="str">
        <f>IF('Statement of Marks'!C100="","",'Statement of Marks'!C100)</f>
        <v/>
      </c>
      <c r="D99" s="284" t="str">
        <f>IF('Statement of Marks'!D100="","",'Statement of Marks'!D100)</f>
        <v/>
      </c>
      <c r="E99" s="285" t="str">
        <f>IF('Statement of Marks'!E100="","",'Statement of Marks'!E100)</f>
        <v/>
      </c>
      <c r="F99" s="285" t="str">
        <f>IF('Statement of Marks'!F100="","",'Statement of Marks'!F100)</f>
        <v/>
      </c>
      <c r="G99" s="285" t="str">
        <f>IF('Statement of Marks'!G100="","",'Statement of Marks'!G100)</f>
        <v/>
      </c>
      <c r="H99" s="286" t="str">
        <f>IF('Statement of Marks'!GY100="","",'Statement of Marks'!GY100)</f>
        <v/>
      </c>
      <c r="I99" s="286" t="str">
        <f>IF('Statement of Marks'!HB100="","",'Statement of Marks'!HB100)</f>
        <v/>
      </c>
      <c r="J99" s="287" t="str">
        <f>IF('Statement of Marks'!HC100="","",'Statement of Marks'!HC100)</f>
        <v/>
      </c>
      <c r="K99" s="295" t="str">
        <f>IF(B99="","",'Statement of Marks'!FJ100)</f>
        <v/>
      </c>
      <c r="L99" s="295" t="str">
        <f>IF(B99="","",'Statement of Marks'!FM100)</f>
        <v/>
      </c>
      <c r="M99" s="295" t="str">
        <f>IF(B99="","",'Statement of Marks'!FP100)</f>
        <v/>
      </c>
      <c r="N99" s="295" t="str">
        <f>IF(B99="","",'Statement of Marks'!FW100)</f>
        <v/>
      </c>
      <c r="O99" s="295" t="str">
        <f>IF(B99="","",'Statement of Marks'!GD100)</f>
        <v/>
      </c>
      <c r="P99" s="295" t="str">
        <f>IF(B99="","",'Statement of Marks'!GK100)</f>
        <v/>
      </c>
      <c r="Q99" s="295" t="str">
        <f>IF(B99="","",'Statement of Marks'!GR100)</f>
        <v/>
      </c>
      <c r="R99" s="295" t="str">
        <f>IF(B99="","",'Statement of Marks'!GS100)</f>
        <v/>
      </c>
      <c r="S99" s="287" t="str">
        <f>IF(COUNTIF(K99:R99,"F")&gt;0,"",CONCATENATE('Statement of Marks'!GU100,'Statement of Marks'!GW100))</f>
        <v xml:space="preserve">           </v>
      </c>
      <c r="T99" s="288">
        <f t="shared" si="18"/>
        <v>0</v>
      </c>
      <c r="U99" s="16"/>
      <c r="V99" s="296" t="str">
        <f t="shared" si="19"/>
        <v/>
      </c>
      <c r="W99" s="296" t="str">
        <f t="shared" si="20"/>
        <v/>
      </c>
      <c r="X99" s="16"/>
      <c r="Y99" s="296" t="str">
        <f t="shared" si="21"/>
        <v/>
      </c>
      <c r="Z99" s="296" t="str">
        <f t="shared" si="22"/>
        <v/>
      </c>
      <c r="AA99" s="16"/>
      <c r="AB99" s="296" t="str">
        <f t="shared" si="23"/>
        <v/>
      </c>
      <c r="AC99" s="297" t="str">
        <f t="shared" si="24"/>
        <v/>
      </c>
      <c r="AD99" s="16"/>
      <c r="AE99" s="296" t="str">
        <f t="shared" si="25"/>
        <v/>
      </c>
      <c r="AF99" s="297" t="str">
        <f t="shared" si="26"/>
        <v/>
      </c>
      <c r="AG99" s="16"/>
      <c r="AH99" s="296" t="str">
        <f t="shared" si="27"/>
        <v/>
      </c>
      <c r="AI99" s="297" t="str">
        <f t="shared" si="28"/>
        <v/>
      </c>
      <c r="AJ99" s="16"/>
      <c r="AK99" s="297" t="str">
        <f t="shared" si="29"/>
        <v/>
      </c>
      <c r="AL99" s="297" t="str">
        <f t="shared" si="30"/>
        <v/>
      </c>
      <c r="AM99" s="16"/>
      <c r="AN99" s="296" t="str">
        <f t="shared" si="31"/>
        <v/>
      </c>
      <c r="AO99" s="16"/>
      <c r="AP99" s="296" t="str">
        <f t="shared" si="32"/>
        <v/>
      </c>
      <c r="AQ99" s="298">
        <f t="shared" si="33"/>
        <v>0</v>
      </c>
      <c r="AR99" s="298">
        <f t="shared" si="34"/>
        <v>0</v>
      </c>
      <c r="AS99" s="299" t="str">
        <f t="shared" si="35"/>
        <v/>
      </c>
      <c r="AT99" s="300" t="str">
        <f>IF(COUNTIF(K99:R99,"F")&gt;0,"",IF(AS99="PASS",'Statement of Marks'!HF100,""))</f>
        <v/>
      </c>
      <c r="AU99" s="300" t="str">
        <f>IF(AS99="PASS",'Statement of Marks'!HG100,"")</f>
        <v/>
      </c>
    </row>
    <row r="100" spans="1:47">
      <c r="A100" s="283">
        <f>IF('Statement of Marks'!A101="","",'Statement of Marks'!A101)</f>
        <v>94</v>
      </c>
      <c r="B100" s="283" t="str">
        <f>IF('Statement of Marks'!B101="","",'Statement of Marks'!B101)</f>
        <v/>
      </c>
      <c r="C100" s="283" t="str">
        <f>IF('Statement of Marks'!C101="","",'Statement of Marks'!C101)</f>
        <v/>
      </c>
      <c r="D100" s="284" t="str">
        <f>IF('Statement of Marks'!D101="","",'Statement of Marks'!D101)</f>
        <v/>
      </c>
      <c r="E100" s="285" t="str">
        <f>IF('Statement of Marks'!E101="","",'Statement of Marks'!E101)</f>
        <v/>
      </c>
      <c r="F100" s="285" t="str">
        <f>IF('Statement of Marks'!F101="","",'Statement of Marks'!F101)</f>
        <v/>
      </c>
      <c r="G100" s="285" t="str">
        <f>IF('Statement of Marks'!G101="","",'Statement of Marks'!G101)</f>
        <v/>
      </c>
      <c r="H100" s="286" t="str">
        <f>IF('Statement of Marks'!GY101="","",'Statement of Marks'!GY101)</f>
        <v/>
      </c>
      <c r="I100" s="286" t="str">
        <f>IF('Statement of Marks'!HB101="","",'Statement of Marks'!HB101)</f>
        <v/>
      </c>
      <c r="J100" s="287" t="str">
        <f>IF('Statement of Marks'!HC101="","",'Statement of Marks'!HC101)</f>
        <v/>
      </c>
      <c r="K100" s="295" t="str">
        <f>IF(B100="","",'Statement of Marks'!FJ101)</f>
        <v/>
      </c>
      <c r="L100" s="295" t="str">
        <f>IF(B100="","",'Statement of Marks'!FM101)</f>
        <v/>
      </c>
      <c r="M100" s="295" t="str">
        <f>IF(B100="","",'Statement of Marks'!FP101)</f>
        <v/>
      </c>
      <c r="N100" s="295" t="str">
        <f>IF(B100="","",'Statement of Marks'!FW101)</f>
        <v/>
      </c>
      <c r="O100" s="295" t="str">
        <f>IF(B100="","",'Statement of Marks'!GD101)</f>
        <v/>
      </c>
      <c r="P100" s="295" t="str">
        <f>IF(B100="","",'Statement of Marks'!GK101)</f>
        <v/>
      </c>
      <c r="Q100" s="295" t="str">
        <f>IF(B100="","",'Statement of Marks'!GR101)</f>
        <v/>
      </c>
      <c r="R100" s="295" t="str">
        <f>IF(B100="","",'Statement of Marks'!GS101)</f>
        <v/>
      </c>
      <c r="S100" s="287" t="str">
        <f>IF(COUNTIF(K100:R100,"F")&gt;0,"",CONCATENATE('Statement of Marks'!GU101,'Statement of Marks'!GW101))</f>
        <v xml:space="preserve">           </v>
      </c>
      <c r="T100" s="288">
        <f t="shared" si="18"/>
        <v>0</v>
      </c>
      <c r="U100" s="16"/>
      <c r="V100" s="296" t="str">
        <f t="shared" si="19"/>
        <v/>
      </c>
      <c r="W100" s="296" t="str">
        <f t="shared" si="20"/>
        <v/>
      </c>
      <c r="X100" s="16"/>
      <c r="Y100" s="296" t="str">
        <f t="shared" si="21"/>
        <v/>
      </c>
      <c r="Z100" s="296" t="str">
        <f t="shared" si="22"/>
        <v/>
      </c>
      <c r="AA100" s="16"/>
      <c r="AB100" s="296" t="str">
        <f t="shared" si="23"/>
        <v/>
      </c>
      <c r="AC100" s="297" t="str">
        <f t="shared" si="24"/>
        <v/>
      </c>
      <c r="AD100" s="16"/>
      <c r="AE100" s="296" t="str">
        <f t="shared" si="25"/>
        <v/>
      </c>
      <c r="AF100" s="297" t="str">
        <f t="shared" si="26"/>
        <v/>
      </c>
      <c r="AG100" s="16"/>
      <c r="AH100" s="296" t="str">
        <f t="shared" si="27"/>
        <v/>
      </c>
      <c r="AI100" s="297" t="str">
        <f t="shared" si="28"/>
        <v/>
      </c>
      <c r="AJ100" s="16"/>
      <c r="AK100" s="297" t="str">
        <f t="shared" si="29"/>
        <v/>
      </c>
      <c r="AL100" s="297" t="str">
        <f t="shared" si="30"/>
        <v/>
      </c>
      <c r="AM100" s="16"/>
      <c r="AN100" s="296" t="str">
        <f t="shared" si="31"/>
        <v/>
      </c>
      <c r="AO100" s="16"/>
      <c r="AP100" s="296" t="str">
        <f t="shared" si="32"/>
        <v/>
      </c>
      <c r="AQ100" s="298">
        <f t="shared" si="33"/>
        <v>0</v>
      </c>
      <c r="AR100" s="298">
        <f t="shared" si="34"/>
        <v>0</v>
      </c>
      <c r="AS100" s="299" t="str">
        <f t="shared" si="35"/>
        <v/>
      </c>
      <c r="AT100" s="300" t="str">
        <f>IF(COUNTIF(K100:R100,"F")&gt;0,"",IF(AS100="PASS",'Statement of Marks'!HF101,""))</f>
        <v/>
      </c>
      <c r="AU100" s="300" t="str">
        <f>IF(AS100="PASS",'Statement of Marks'!HG101,"")</f>
        <v/>
      </c>
    </row>
    <row r="101" spans="1:47">
      <c r="A101" s="283">
        <f>IF('Statement of Marks'!A102="","",'Statement of Marks'!A102)</f>
        <v>95</v>
      </c>
      <c r="B101" s="283" t="str">
        <f>IF('Statement of Marks'!B102="","",'Statement of Marks'!B102)</f>
        <v/>
      </c>
      <c r="C101" s="283" t="str">
        <f>IF('Statement of Marks'!C102="","",'Statement of Marks'!C102)</f>
        <v/>
      </c>
      <c r="D101" s="284" t="str">
        <f>IF('Statement of Marks'!D102="","",'Statement of Marks'!D102)</f>
        <v/>
      </c>
      <c r="E101" s="285" t="str">
        <f>IF('Statement of Marks'!E102="","",'Statement of Marks'!E102)</f>
        <v/>
      </c>
      <c r="F101" s="285" t="str">
        <f>IF('Statement of Marks'!F102="","",'Statement of Marks'!F102)</f>
        <v/>
      </c>
      <c r="G101" s="285" t="str">
        <f>IF('Statement of Marks'!G102="","",'Statement of Marks'!G102)</f>
        <v/>
      </c>
      <c r="H101" s="286" t="str">
        <f>IF('Statement of Marks'!GY102="","",'Statement of Marks'!GY102)</f>
        <v/>
      </c>
      <c r="I101" s="286" t="str">
        <f>IF('Statement of Marks'!HB102="","",'Statement of Marks'!HB102)</f>
        <v/>
      </c>
      <c r="J101" s="287" t="str">
        <f>IF('Statement of Marks'!HC102="","",'Statement of Marks'!HC102)</f>
        <v/>
      </c>
      <c r="K101" s="295" t="str">
        <f>IF(B101="","",'Statement of Marks'!FJ102)</f>
        <v/>
      </c>
      <c r="L101" s="295" t="str">
        <f>IF(B101="","",'Statement of Marks'!FM102)</f>
        <v/>
      </c>
      <c r="M101" s="295" t="str">
        <f>IF(B101="","",'Statement of Marks'!FP102)</f>
        <v/>
      </c>
      <c r="N101" s="295" t="str">
        <f>IF(B101="","",'Statement of Marks'!FW102)</f>
        <v/>
      </c>
      <c r="O101" s="295" t="str">
        <f>IF(B101="","",'Statement of Marks'!GD102)</f>
        <v/>
      </c>
      <c r="P101" s="295" t="str">
        <f>IF(B101="","",'Statement of Marks'!GK102)</f>
        <v/>
      </c>
      <c r="Q101" s="295" t="str">
        <f>IF(B101="","",'Statement of Marks'!GR102)</f>
        <v/>
      </c>
      <c r="R101" s="295" t="str">
        <f>IF(B101="","",'Statement of Marks'!GS102)</f>
        <v/>
      </c>
      <c r="S101" s="287" t="str">
        <f>IF(COUNTIF(K101:R101,"F")&gt;0,"",CONCATENATE('Statement of Marks'!GU102,'Statement of Marks'!GW102))</f>
        <v xml:space="preserve">           </v>
      </c>
      <c r="T101" s="288">
        <f t="shared" si="18"/>
        <v>0</v>
      </c>
      <c r="U101" s="16"/>
      <c r="V101" s="296" t="str">
        <f t="shared" si="19"/>
        <v/>
      </c>
      <c r="W101" s="296" t="str">
        <f t="shared" si="20"/>
        <v/>
      </c>
      <c r="X101" s="16"/>
      <c r="Y101" s="296" t="str">
        <f t="shared" si="21"/>
        <v/>
      </c>
      <c r="Z101" s="296" t="str">
        <f t="shared" si="22"/>
        <v/>
      </c>
      <c r="AA101" s="16"/>
      <c r="AB101" s="296" t="str">
        <f t="shared" si="23"/>
        <v/>
      </c>
      <c r="AC101" s="297" t="str">
        <f t="shared" si="24"/>
        <v/>
      </c>
      <c r="AD101" s="16"/>
      <c r="AE101" s="296" t="str">
        <f t="shared" si="25"/>
        <v/>
      </c>
      <c r="AF101" s="297" t="str">
        <f t="shared" si="26"/>
        <v/>
      </c>
      <c r="AG101" s="16"/>
      <c r="AH101" s="296" t="str">
        <f t="shared" si="27"/>
        <v/>
      </c>
      <c r="AI101" s="297" t="str">
        <f t="shared" si="28"/>
        <v/>
      </c>
      <c r="AJ101" s="16"/>
      <c r="AK101" s="297" t="str">
        <f t="shared" si="29"/>
        <v/>
      </c>
      <c r="AL101" s="297" t="str">
        <f t="shared" si="30"/>
        <v/>
      </c>
      <c r="AM101" s="16"/>
      <c r="AN101" s="296" t="str">
        <f t="shared" si="31"/>
        <v/>
      </c>
      <c r="AO101" s="16"/>
      <c r="AP101" s="296" t="str">
        <f t="shared" si="32"/>
        <v/>
      </c>
      <c r="AQ101" s="298">
        <f t="shared" si="33"/>
        <v>0</v>
      </c>
      <c r="AR101" s="298">
        <f t="shared" si="34"/>
        <v>0</v>
      </c>
      <c r="AS101" s="299" t="str">
        <f t="shared" si="35"/>
        <v/>
      </c>
      <c r="AT101" s="300" t="str">
        <f>IF(COUNTIF(K101:R101,"F")&gt;0,"",IF(AS101="PASS",'Statement of Marks'!HF102,""))</f>
        <v/>
      </c>
      <c r="AU101" s="300" t="str">
        <f>IF(AS101="PASS",'Statement of Marks'!HG102,"")</f>
        <v/>
      </c>
    </row>
    <row r="102" spans="1:47">
      <c r="A102" s="283">
        <f>IF('Statement of Marks'!A103="","",'Statement of Marks'!A103)</f>
        <v>96</v>
      </c>
      <c r="B102" s="283" t="str">
        <f>IF('Statement of Marks'!B103="","",'Statement of Marks'!B103)</f>
        <v/>
      </c>
      <c r="C102" s="283" t="str">
        <f>IF('Statement of Marks'!C103="","",'Statement of Marks'!C103)</f>
        <v/>
      </c>
      <c r="D102" s="284" t="str">
        <f>IF('Statement of Marks'!D103="","",'Statement of Marks'!D103)</f>
        <v/>
      </c>
      <c r="E102" s="285" t="str">
        <f>IF('Statement of Marks'!E103="","",'Statement of Marks'!E103)</f>
        <v/>
      </c>
      <c r="F102" s="285" t="str">
        <f>IF('Statement of Marks'!F103="","",'Statement of Marks'!F103)</f>
        <v/>
      </c>
      <c r="G102" s="285" t="str">
        <f>IF('Statement of Marks'!G103="","",'Statement of Marks'!G103)</f>
        <v/>
      </c>
      <c r="H102" s="286" t="str">
        <f>IF('Statement of Marks'!GY103="","",'Statement of Marks'!GY103)</f>
        <v/>
      </c>
      <c r="I102" s="286" t="str">
        <f>IF('Statement of Marks'!HB103="","",'Statement of Marks'!HB103)</f>
        <v/>
      </c>
      <c r="J102" s="287" t="str">
        <f>IF('Statement of Marks'!HC103="","",'Statement of Marks'!HC103)</f>
        <v/>
      </c>
      <c r="K102" s="295" t="str">
        <f>IF(B102="","",'Statement of Marks'!FJ103)</f>
        <v/>
      </c>
      <c r="L102" s="295" t="str">
        <f>IF(B102="","",'Statement of Marks'!FM103)</f>
        <v/>
      </c>
      <c r="M102" s="295" t="str">
        <f>IF(B102="","",'Statement of Marks'!FP103)</f>
        <v/>
      </c>
      <c r="N102" s="295" t="str">
        <f>IF(B102="","",'Statement of Marks'!FW103)</f>
        <v/>
      </c>
      <c r="O102" s="295" t="str">
        <f>IF(B102="","",'Statement of Marks'!GD103)</f>
        <v/>
      </c>
      <c r="P102" s="295" t="str">
        <f>IF(B102="","",'Statement of Marks'!GK103)</f>
        <v/>
      </c>
      <c r="Q102" s="295" t="str">
        <f>IF(B102="","",'Statement of Marks'!GR103)</f>
        <v/>
      </c>
      <c r="R102" s="295" t="str">
        <f>IF(B102="","",'Statement of Marks'!GS103)</f>
        <v/>
      </c>
      <c r="S102" s="287" t="str">
        <f>IF(COUNTIF(K102:R102,"F")&gt;0,"",CONCATENATE('Statement of Marks'!GU103,'Statement of Marks'!GW103))</f>
        <v xml:space="preserve">           </v>
      </c>
      <c r="T102" s="288">
        <f t="shared" si="18"/>
        <v>0</v>
      </c>
      <c r="U102" s="16"/>
      <c r="V102" s="296" t="str">
        <f t="shared" si="19"/>
        <v/>
      </c>
      <c r="W102" s="296" t="str">
        <f t="shared" si="20"/>
        <v/>
      </c>
      <c r="X102" s="16"/>
      <c r="Y102" s="296" t="str">
        <f t="shared" si="21"/>
        <v/>
      </c>
      <c r="Z102" s="296" t="str">
        <f t="shared" si="22"/>
        <v/>
      </c>
      <c r="AA102" s="16"/>
      <c r="AB102" s="296" t="str">
        <f t="shared" si="23"/>
        <v/>
      </c>
      <c r="AC102" s="297" t="str">
        <f t="shared" si="24"/>
        <v/>
      </c>
      <c r="AD102" s="16"/>
      <c r="AE102" s="296" t="str">
        <f t="shared" si="25"/>
        <v/>
      </c>
      <c r="AF102" s="297" t="str">
        <f t="shared" si="26"/>
        <v/>
      </c>
      <c r="AG102" s="16"/>
      <c r="AH102" s="296" t="str">
        <f t="shared" si="27"/>
        <v/>
      </c>
      <c r="AI102" s="297" t="str">
        <f t="shared" si="28"/>
        <v/>
      </c>
      <c r="AJ102" s="16"/>
      <c r="AK102" s="297" t="str">
        <f t="shared" si="29"/>
        <v/>
      </c>
      <c r="AL102" s="297" t="str">
        <f t="shared" si="30"/>
        <v/>
      </c>
      <c r="AM102" s="16"/>
      <c r="AN102" s="296" t="str">
        <f t="shared" si="31"/>
        <v/>
      </c>
      <c r="AO102" s="16"/>
      <c r="AP102" s="296" t="str">
        <f t="shared" si="32"/>
        <v/>
      </c>
      <c r="AQ102" s="298">
        <f t="shared" si="33"/>
        <v>0</v>
      </c>
      <c r="AR102" s="298">
        <f t="shared" si="34"/>
        <v>0</v>
      </c>
      <c r="AS102" s="299" t="str">
        <f t="shared" si="35"/>
        <v/>
      </c>
      <c r="AT102" s="300" t="str">
        <f>IF(COUNTIF(K102:R102,"F")&gt;0,"",IF(AS102="PASS",'Statement of Marks'!HF103,""))</f>
        <v/>
      </c>
      <c r="AU102" s="300" t="str">
        <f>IF(AS102="PASS",'Statement of Marks'!HG103,"")</f>
        <v/>
      </c>
    </row>
    <row r="103" spans="1:47">
      <c r="A103" s="283">
        <f>IF('Statement of Marks'!A104="","",'Statement of Marks'!A104)</f>
        <v>97</v>
      </c>
      <c r="B103" s="283" t="str">
        <f>IF('Statement of Marks'!B104="","",'Statement of Marks'!B104)</f>
        <v/>
      </c>
      <c r="C103" s="283" t="str">
        <f>IF('Statement of Marks'!C104="","",'Statement of Marks'!C104)</f>
        <v/>
      </c>
      <c r="D103" s="284" t="str">
        <f>IF('Statement of Marks'!D104="","",'Statement of Marks'!D104)</f>
        <v/>
      </c>
      <c r="E103" s="285" t="str">
        <f>IF('Statement of Marks'!E104="","",'Statement of Marks'!E104)</f>
        <v/>
      </c>
      <c r="F103" s="285" t="str">
        <f>IF('Statement of Marks'!F104="","",'Statement of Marks'!F104)</f>
        <v/>
      </c>
      <c r="G103" s="285" t="str">
        <f>IF('Statement of Marks'!G104="","",'Statement of Marks'!G104)</f>
        <v/>
      </c>
      <c r="H103" s="286" t="str">
        <f>IF('Statement of Marks'!GY104="","",'Statement of Marks'!GY104)</f>
        <v/>
      </c>
      <c r="I103" s="286" t="str">
        <f>IF('Statement of Marks'!HB104="","",'Statement of Marks'!HB104)</f>
        <v/>
      </c>
      <c r="J103" s="287" t="str">
        <f>IF('Statement of Marks'!HC104="","",'Statement of Marks'!HC104)</f>
        <v/>
      </c>
      <c r="K103" s="295" t="str">
        <f>IF(B103="","",'Statement of Marks'!FJ104)</f>
        <v/>
      </c>
      <c r="L103" s="295" t="str">
        <f>IF(B103="","",'Statement of Marks'!FM104)</f>
        <v/>
      </c>
      <c r="M103" s="295" t="str">
        <f>IF(B103="","",'Statement of Marks'!FP104)</f>
        <v/>
      </c>
      <c r="N103" s="295" t="str">
        <f>IF(B103="","",'Statement of Marks'!FW104)</f>
        <v/>
      </c>
      <c r="O103" s="295" t="str">
        <f>IF(B103="","",'Statement of Marks'!GD104)</f>
        <v/>
      </c>
      <c r="P103" s="295" t="str">
        <f>IF(B103="","",'Statement of Marks'!GK104)</f>
        <v/>
      </c>
      <c r="Q103" s="295" t="str">
        <f>IF(B103="","",'Statement of Marks'!GR104)</f>
        <v/>
      </c>
      <c r="R103" s="295" t="str">
        <f>IF(B103="","",'Statement of Marks'!GS104)</f>
        <v/>
      </c>
      <c r="S103" s="287" t="str">
        <f>IF(COUNTIF(K103:R103,"F")&gt;0,"",CONCATENATE('Statement of Marks'!GU104,'Statement of Marks'!GW104))</f>
        <v xml:space="preserve">           </v>
      </c>
      <c r="T103" s="288">
        <f t="shared" si="18"/>
        <v>0</v>
      </c>
      <c r="U103" s="16"/>
      <c r="V103" s="296" t="str">
        <f t="shared" si="19"/>
        <v/>
      </c>
      <c r="W103" s="296" t="str">
        <f t="shared" si="20"/>
        <v/>
      </c>
      <c r="X103" s="16"/>
      <c r="Y103" s="296" t="str">
        <f t="shared" si="21"/>
        <v/>
      </c>
      <c r="Z103" s="296" t="str">
        <f t="shared" si="22"/>
        <v/>
      </c>
      <c r="AA103" s="16"/>
      <c r="AB103" s="296" t="str">
        <f t="shared" si="23"/>
        <v/>
      </c>
      <c r="AC103" s="297" t="str">
        <f t="shared" si="24"/>
        <v/>
      </c>
      <c r="AD103" s="16"/>
      <c r="AE103" s="296" t="str">
        <f t="shared" si="25"/>
        <v/>
      </c>
      <c r="AF103" s="297" t="str">
        <f t="shared" si="26"/>
        <v/>
      </c>
      <c r="AG103" s="16"/>
      <c r="AH103" s="296" t="str">
        <f t="shared" si="27"/>
        <v/>
      </c>
      <c r="AI103" s="297" t="str">
        <f t="shared" si="28"/>
        <v/>
      </c>
      <c r="AJ103" s="16"/>
      <c r="AK103" s="297" t="str">
        <f t="shared" si="29"/>
        <v/>
      </c>
      <c r="AL103" s="297" t="str">
        <f t="shared" si="30"/>
        <v/>
      </c>
      <c r="AM103" s="16"/>
      <c r="AN103" s="296" t="str">
        <f t="shared" si="31"/>
        <v/>
      </c>
      <c r="AO103" s="16"/>
      <c r="AP103" s="296" t="str">
        <f t="shared" si="32"/>
        <v/>
      </c>
      <c r="AQ103" s="298">
        <f t="shared" si="33"/>
        <v>0</v>
      </c>
      <c r="AR103" s="298">
        <f t="shared" si="34"/>
        <v>0</v>
      </c>
      <c r="AS103" s="299" t="str">
        <f t="shared" si="35"/>
        <v/>
      </c>
      <c r="AT103" s="300" t="str">
        <f>IF(COUNTIF(K103:R103,"F")&gt;0,"",IF(AS103="PASS",'Statement of Marks'!HF104,""))</f>
        <v/>
      </c>
      <c r="AU103" s="300" t="str">
        <f>IF(AS103="PASS",'Statement of Marks'!HG104,"")</f>
        <v/>
      </c>
    </row>
    <row r="104" spans="1:47">
      <c r="A104" s="283">
        <f>IF('Statement of Marks'!A105="","",'Statement of Marks'!A105)</f>
        <v>98</v>
      </c>
      <c r="B104" s="283" t="str">
        <f>IF('Statement of Marks'!B105="","",'Statement of Marks'!B105)</f>
        <v/>
      </c>
      <c r="C104" s="283" t="str">
        <f>IF('Statement of Marks'!C105="","",'Statement of Marks'!C105)</f>
        <v/>
      </c>
      <c r="D104" s="284" t="str">
        <f>IF('Statement of Marks'!D105="","",'Statement of Marks'!D105)</f>
        <v/>
      </c>
      <c r="E104" s="285" t="str">
        <f>IF('Statement of Marks'!E105="","",'Statement of Marks'!E105)</f>
        <v/>
      </c>
      <c r="F104" s="285" t="str">
        <f>IF('Statement of Marks'!F105="","",'Statement of Marks'!F105)</f>
        <v/>
      </c>
      <c r="G104" s="285" t="str">
        <f>IF('Statement of Marks'!G105="","",'Statement of Marks'!G105)</f>
        <v/>
      </c>
      <c r="H104" s="286" t="str">
        <f>IF('Statement of Marks'!GY105="","",'Statement of Marks'!GY105)</f>
        <v/>
      </c>
      <c r="I104" s="286" t="str">
        <f>IF('Statement of Marks'!HB105="","",'Statement of Marks'!HB105)</f>
        <v/>
      </c>
      <c r="J104" s="287" t="str">
        <f>IF('Statement of Marks'!HC105="","",'Statement of Marks'!HC105)</f>
        <v/>
      </c>
      <c r="K104" s="295" t="str">
        <f>IF(B104="","",'Statement of Marks'!FJ105)</f>
        <v/>
      </c>
      <c r="L104" s="295" t="str">
        <f>IF(B104="","",'Statement of Marks'!FM105)</f>
        <v/>
      </c>
      <c r="M104" s="295" t="str">
        <f>IF(B104="","",'Statement of Marks'!FP105)</f>
        <v/>
      </c>
      <c r="N104" s="295" t="str">
        <f>IF(B104="","",'Statement of Marks'!FW105)</f>
        <v/>
      </c>
      <c r="O104" s="295" t="str">
        <f>IF(B104="","",'Statement of Marks'!GD105)</f>
        <v/>
      </c>
      <c r="P104" s="295" t="str">
        <f>IF(B104="","",'Statement of Marks'!GK105)</f>
        <v/>
      </c>
      <c r="Q104" s="295" t="str">
        <f>IF(B104="","",'Statement of Marks'!GR105)</f>
        <v/>
      </c>
      <c r="R104" s="295" t="str">
        <f>IF(B104="","",'Statement of Marks'!GS105)</f>
        <v/>
      </c>
      <c r="S104" s="287" t="str">
        <f>IF(COUNTIF(K104:R104,"F")&gt;0,"",CONCATENATE('Statement of Marks'!GU105,'Statement of Marks'!GW105))</f>
        <v xml:space="preserve">           </v>
      </c>
      <c r="T104" s="288">
        <f t="shared" si="18"/>
        <v>0</v>
      </c>
      <c r="U104" s="16"/>
      <c r="V104" s="296" t="str">
        <f t="shared" si="19"/>
        <v/>
      </c>
      <c r="W104" s="296" t="str">
        <f t="shared" si="20"/>
        <v/>
      </c>
      <c r="X104" s="16"/>
      <c r="Y104" s="296" t="str">
        <f t="shared" si="21"/>
        <v/>
      </c>
      <c r="Z104" s="296" t="str">
        <f t="shared" si="22"/>
        <v/>
      </c>
      <c r="AA104" s="16"/>
      <c r="AB104" s="296" t="str">
        <f t="shared" si="23"/>
        <v/>
      </c>
      <c r="AC104" s="297" t="str">
        <f t="shared" si="24"/>
        <v/>
      </c>
      <c r="AD104" s="16"/>
      <c r="AE104" s="296" t="str">
        <f t="shared" si="25"/>
        <v/>
      </c>
      <c r="AF104" s="297" t="str">
        <f t="shared" si="26"/>
        <v/>
      </c>
      <c r="AG104" s="16"/>
      <c r="AH104" s="296" t="str">
        <f t="shared" si="27"/>
        <v/>
      </c>
      <c r="AI104" s="297" t="str">
        <f t="shared" si="28"/>
        <v/>
      </c>
      <c r="AJ104" s="16"/>
      <c r="AK104" s="297" t="str">
        <f t="shared" si="29"/>
        <v/>
      </c>
      <c r="AL104" s="297" t="str">
        <f t="shared" si="30"/>
        <v/>
      </c>
      <c r="AM104" s="16"/>
      <c r="AN104" s="296" t="str">
        <f t="shared" si="31"/>
        <v/>
      </c>
      <c r="AO104" s="16"/>
      <c r="AP104" s="296" t="str">
        <f t="shared" si="32"/>
        <v/>
      </c>
      <c r="AQ104" s="298">
        <f t="shared" si="33"/>
        <v>0</v>
      </c>
      <c r="AR104" s="298">
        <f t="shared" si="34"/>
        <v>0</v>
      </c>
      <c r="AS104" s="299" t="str">
        <f t="shared" si="35"/>
        <v/>
      </c>
      <c r="AT104" s="300" t="str">
        <f>IF(COUNTIF(K104:R104,"F")&gt;0,"",IF(AS104="PASS",'Statement of Marks'!HF105,""))</f>
        <v/>
      </c>
      <c r="AU104" s="300" t="str">
        <f>IF(AS104="PASS",'Statement of Marks'!HG105,"")</f>
        <v/>
      </c>
    </row>
    <row r="105" spans="1:47">
      <c r="A105" s="283">
        <f>IF('Statement of Marks'!A106="","",'Statement of Marks'!A106)</f>
        <v>99</v>
      </c>
      <c r="B105" s="283" t="str">
        <f>IF('Statement of Marks'!B106="","",'Statement of Marks'!B106)</f>
        <v/>
      </c>
      <c r="C105" s="283" t="str">
        <f>IF('Statement of Marks'!C106="","",'Statement of Marks'!C106)</f>
        <v/>
      </c>
      <c r="D105" s="284" t="str">
        <f>IF('Statement of Marks'!D106="","",'Statement of Marks'!D106)</f>
        <v/>
      </c>
      <c r="E105" s="285" t="str">
        <f>IF('Statement of Marks'!E106="","",'Statement of Marks'!E106)</f>
        <v/>
      </c>
      <c r="F105" s="285" t="str">
        <f>IF('Statement of Marks'!F106="","",'Statement of Marks'!F106)</f>
        <v/>
      </c>
      <c r="G105" s="285" t="str">
        <f>IF('Statement of Marks'!G106="","",'Statement of Marks'!G106)</f>
        <v/>
      </c>
      <c r="H105" s="286" t="str">
        <f>IF('Statement of Marks'!GY106="","",'Statement of Marks'!GY106)</f>
        <v/>
      </c>
      <c r="I105" s="286" t="str">
        <f>IF('Statement of Marks'!HB106="","",'Statement of Marks'!HB106)</f>
        <v/>
      </c>
      <c r="J105" s="287" t="str">
        <f>IF('Statement of Marks'!HC106="","",'Statement of Marks'!HC106)</f>
        <v/>
      </c>
      <c r="K105" s="295" t="str">
        <f>IF(B105="","",'Statement of Marks'!FJ106)</f>
        <v/>
      </c>
      <c r="L105" s="295" t="str">
        <f>IF(B105="","",'Statement of Marks'!FM106)</f>
        <v/>
      </c>
      <c r="M105" s="295" t="str">
        <f>IF(B105="","",'Statement of Marks'!FP106)</f>
        <v/>
      </c>
      <c r="N105" s="295" t="str">
        <f>IF(B105="","",'Statement of Marks'!FW106)</f>
        <v/>
      </c>
      <c r="O105" s="295" t="str">
        <f>IF(B105="","",'Statement of Marks'!GD106)</f>
        <v/>
      </c>
      <c r="P105" s="295" t="str">
        <f>IF(B105="","",'Statement of Marks'!GK106)</f>
        <v/>
      </c>
      <c r="Q105" s="295" t="str">
        <f>IF(B105="","",'Statement of Marks'!GR106)</f>
        <v/>
      </c>
      <c r="R105" s="295" t="str">
        <f>IF(B105="","",'Statement of Marks'!GS106)</f>
        <v/>
      </c>
      <c r="S105" s="287" t="str">
        <f>IF(COUNTIF(K105:R105,"F")&gt;0,"",CONCATENATE('Statement of Marks'!GU106,'Statement of Marks'!GW106))</f>
        <v xml:space="preserve">           </v>
      </c>
      <c r="T105" s="288">
        <f t="shared" si="18"/>
        <v>0</v>
      </c>
      <c r="U105" s="16"/>
      <c r="V105" s="296" t="str">
        <f t="shared" si="19"/>
        <v/>
      </c>
      <c r="W105" s="296" t="str">
        <f t="shared" si="20"/>
        <v/>
      </c>
      <c r="X105" s="16"/>
      <c r="Y105" s="296" t="str">
        <f t="shared" si="21"/>
        <v/>
      </c>
      <c r="Z105" s="296" t="str">
        <f t="shared" si="22"/>
        <v/>
      </c>
      <c r="AA105" s="16"/>
      <c r="AB105" s="296" t="str">
        <f t="shared" si="23"/>
        <v/>
      </c>
      <c r="AC105" s="297" t="str">
        <f t="shared" si="24"/>
        <v/>
      </c>
      <c r="AD105" s="16"/>
      <c r="AE105" s="296" t="str">
        <f t="shared" si="25"/>
        <v/>
      </c>
      <c r="AF105" s="297" t="str">
        <f t="shared" si="26"/>
        <v/>
      </c>
      <c r="AG105" s="16"/>
      <c r="AH105" s="296" t="str">
        <f t="shared" si="27"/>
        <v/>
      </c>
      <c r="AI105" s="297" t="str">
        <f t="shared" si="28"/>
        <v/>
      </c>
      <c r="AJ105" s="16"/>
      <c r="AK105" s="297" t="str">
        <f t="shared" si="29"/>
        <v/>
      </c>
      <c r="AL105" s="297" t="str">
        <f t="shared" si="30"/>
        <v/>
      </c>
      <c r="AM105" s="16"/>
      <c r="AN105" s="296" t="str">
        <f t="shared" si="31"/>
        <v/>
      </c>
      <c r="AO105" s="16"/>
      <c r="AP105" s="296" t="str">
        <f t="shared" si="32"/>
        <v/>
      </c>
      <c r="AQ105" s="298">
        <f t="shared" si="33"/>
        <v>0</v>
      </c>
      <c r="AR105" s="298">
        <f t="shared" si="34"/>
        <v>0</v>
      </c>
      <c r="AS105" s="299" t="str">
        <f t="shared" si="35"/>
        <v/>
      </c>
      <c r="AT105" s="300" t="str">
        <f>IF(COUNTIF(K105:R105,"F")&gt;0,"",IF(AS105="PASS",'Statement of Marks'!HF106,""))</f>
        <v/>
      </c>
      <c r="AU105" s="300" t="str">
        <f>IF(AS105="PASS",'Statement of Marks'!HG106,"")</f>
        <v/>
      </c>
    </row>
    <row r="106" spans="1:47">
      <c r="A106" s="283">
        <f>IF('Statement of Marks'!A107="","",'Statement of Marks'!A107)</f>
        <v>100</v>
      </c>
      <c r="B106" s="283" t="str">
        <f>IF('Statement of Marks'!B107="","",'Statement of Marks'!B107)</f>
        <v/>
      </c>
      <c r="C106" s="283" t="str">
        <f>IF('Statement of Marks'!C107="","",'Statement of Marks'!C107)</f>
        <v/>
      </c>
      <c r="D106" s="284" t="str">
        <f>IF('Statement of Marks'!D107="","",'Statement of Marks'!D107)</f>
        <v/>
      </c>
      <c r="E106" s="285" t="str">
        <f>IF('Statement of Marks'!E107="","",'Statement of Marks'!E107)</f>
        <v/>
      </c>
      <c r="F106" s="285" t="str">
        <f>IF('Statement of Marks'!F107="","",'Statement of Marks'!F107)</f>
        <v/>
      </c>
      <c r="G106" s="285" t="str">
        <f>IF('Statement of Marks'!G107="","",'Statement of Marks'!G107)</f>
        <v/>
      </c>
      <c r="H106" s="286" t="str">
        <f>IF('Statement of Marks'!GY107="","",'Statement of Marks'!GY107)</f>
        <v/>
      </c>
      <c r="I106" s="286" t="str">
        <f>IF('Statement of Marks'!HB107="","",'Statement of Marks'!HB107)</f>
        <v/>
      </c>
      <c r="J106" s="287" t="str">
        <f>IF('Statement of Marks'!HC107="","",'Statement of Marks'!HC107)</f>
        <v/>
      </c>
      <c r="K106" s="295" t="str">
        <f>IF(B106="","",'Statement of Marks'!FJ107)</f>
        <v/>
      </c>
      <c r="L106" s="295" t="str">
        <f>IF(B106="","",'Statement of Marks'!FM107)</f>
        <v/>
      </c>
      <c r="M106" s="295" t="str">
        <f>IF(B106="","",'Statement of Marks'!FP107)</f>
        <v/>
      </c>
      <c r="N106" s="295" t="str">
        <f>IF(B106="","",'Statement of Marks'!FW107)</f>
        <v/>
      </c>
      <c r="O106" s="295" t="str">
        <f>IF(B106="","",'Statement of Marks'!GD107)</f>
        <v/>
      </c>
      <c r="P106" s="295" t="str">
        <f>IF(B106="","",'Statement of Marks'!GK107)</f>
        <v/>
      </c>
      <c r="Q106" s="295" t="str">
        <f>IF(B106="","",'Statement of Marks'!GR107)</f>
        <v/>
      </c>
      <c r="R106" s="295" t="str">
        <f>IF(B106="","",'Statement of Marks'!GS107)</f>
        <v/>
      </c>
      <c r="S106" s="287" t="str">
        <f>IF(COUNTIF(K106:R106,"F")&gt;0,"",CONCATENATE('Statement of Marks'!GU107,'Statement of Marks'!GW107))</f>
        <v xml:space="preserve">           </v>
      </c>
      <c r="T106" s="288">
        <f t="shared" si="18"/>
        <v>0</v>
      </c>
      <c r="U106" s="16"/>
      <c r="V106" s="296" t="str">
        <f t="shared" si="19"/>
        <v/>
      </c>
      <c r="W106" s="296" t="str">
        <f t="shared" si="20"/>
        <v/>
      </c>
      <c r="X106" s="16"/>
      <c r="Y106" s="296" t="str">
        <f t="shared" si="21"/>
        <v/>
      </c>
      <c r="Z106" s="296" t="str">
        <f t="shared" si="22"/>
        <v/>
      </c>
      <c r="AA106" s="16"/>
      <c r="AB106" s="296" t="str">
        <f t="shared" si="23"/>
        <v/>
      </c>
      <c r="AC106" s="297" t="str">
        <f t="shared" si="24"/>
        <v/>
      </c>
      <c r="AD106" s="16"/>
      <c r="AE106" s="296" t="str">
        <f t="shared" si="25"/>
        <v/>
      </c>
      <c r="AF106" s="297" t="str">
        <f t="shared" si="26"/>
        <v/>
      </c>
      <c r="AG106" s="16"/>
      <c r="AH106" s="296" t="str">
        <f t="shared" si="27"/>
        <v/>
      </c>
      <c r="AI106" s="297" t="str">
        <f t="shared" si="28"/>
        <v/>
      </c>
      <c r="AJ106" s="16"/>
      <c r="AK106" s="297" t="str">
        <f t="shared" si="29"/>
        <v/>
      </c>
      <c r="AL106" s="297" t="str">
        <f t="shared" si="30"/>
        <v/>
      </c>
      <c r="AM106" s="16"/>
      <c r="AN106" s="296" t="str">
        <f t="shared" si="31"/>
        <v/>
      </c>
      <c r="AO106" s="16"/>
      <c r="AP106" s="296" t="str">
        <f t="shared" si="32"/>
        <v/>
      </c>
      <c r="AQ106" s="298">
        <f t="shared" si="33"/>
        <v>0</v>
      </c>
      <c r="AR106" s="298">
        <f t="shared" si="34"/>
        <v>0</v>
      </c>
      <c r="AS106" s="299" t="str">
        <f t="shared" si="35"/>
        <v/>
      </c>
      <c r="AT106" s="300" t="str">
        <f>IF(COUNTIF(K106:R106,"F")&gt;0,"",IF(AS106="PASS",'Statement of Marks'!HF107,""))</f>
        <v/>
      </c>
      <c r="AU106" s="300" t="str">
        <f>IF(AS106="PASS",'Statement of Marks'!HG107,"")</f>
        <v/>
      </c>
    </row>
    <row r="107" spans="1:47">
      <c r="A107" s="283">
        <f>IF('Statement of Marks'!A108="","",'Statement of Marks'!A108)</f>
        <v>101</v>
      </c>
      <c r="B107" s="283" t="str">
        <f>IF('Statement of Marks'!B108="","",'Statement of Marks'!B108)</f>
        <v/>
      </c>
      <c r="C107" s="283" t="str">
        <f>IF('Statement of Marks'!C108="","",'Statement of Marks'!C108)</f>
        <v/>
      </c>
      <c r="D107" s="284" t="str">
        <f>IF('Statement of Marks'!D108="","",'Statement of Marks'!D108)</f>
        <v/>
      </c>
      <c r="E107" s="285" t="str">
        <f>IF('Statement of Marks'!E108="","",'Statement of Marks'!E108)</f>
        <v/>
      </c>
      <c r="F107" s="285" t="str">
        <f>IF('Statement of Marks'!F108="","",'Statement of Marks'!F108)</f>
        <v/>
      </c>
      <c r="G107" s="285" t="str">
        <f>IF('Statement of Marks'!G108="","",'Statement of Marks'!G108)</f>
        <v/>
      </c>
      <c r="H107" s="286" t="str">
        <f>IF('Statement of Marks'!GY108="","",'Statement of Marks'!GY108)</f>
        <v/>
      </c>
      <c r="I107" s="286" t="str">
        <f>IF('Statement of Marks'!HB108="","",'Statement of Marks'!HB108)</f>
        <v/>
      </c>
      <c r="J107" s="287" t="str">
        <f>IF('Statement of Marks'!HC108="","",'Statement of Marks'!HC108)</f>
        <v/>
      </c>
      <c r="K107" s="295" t="str">
        <f>IF(B107="","",'Statement of Marks'!FJ108)</f>
        <v/>
      </c>
      <c r="L107" s="295" t="str">
        <f>IF(B107="","",'Statement of Marks'!FM108)</f>
        <v/>
      </c>
      <c r="M107" s="295" t="str">
        <f>IF(B107="","",'Statement of Marks'!FP108)</f>
        <v/>
      </c>
      <c r="N107" s="295" t="str">
        <f>IF(B107="","",'Statement of Marks'!FW108)</f>
        <v/>
      </c>
      <c r="O107" s="295" t="str">
        <f>IF(B107="","",'Statement of Marks'!GD108)</f>
        <v/>
      </c>
      <c r="P107" s="295" t="str">
        <f>IF(B107="","",'Statement of Marks'!GK108)</f>
        <v/>
      </c>
      <c r="Q107" s="295" t="str">
        <f>IF(B107="","",'Statement of Marks'!GR108)</f>
        <v/>
      </c>
      <c r="R107" s="295" t="str">
        <f>IF(B107="","",'Statement of Marks'!GS108)</f>
        <v/>
      </c>
      <c r="S107" s="287" t="str">
        <f>IF(COUNTIF(K107:R107,"F")&gt;0,"",CONCATENATE('Statement of Marks'!GU108,'Statement of Marks'!GW108))</f>
        <v xml:space="preserve">           </v>
      </c>
      <c r="T107" s="288">
        <f t="shared" si="18"/>
        <v>0</v>
      </c>
      <c r="U107" s="16"/>
      <c r="V107" s="296" t="str">
        <f t="shared" si="19"/>
        <v/>
      </c>
      <c r="W107" s="296" t="str">
        <f t="shared" si="20"/>
        <v/>
      </c>
      <c r="X107" s="16"/>
      <c r="Y107" s="296" t="str">
        <f t="shared" si="21"/>
        <v/>
      </c>
      <c r="Z107" s="296" t="str">
        <f t="shared" si="22"/>
        <v/>
      </c>
      <c r="AA107" s="16"/>
      <c r="AB107" s="296" t="str">
        <f t="shared" si="23"/>
        <v/>
      </c>
      <c r="AC107" s="297" t="str">
        <f t="shared" si="24"/>
        <v/>
      </c>
      <c r="AD107" s="16"/>
      <c r="AE107" s="296" t="str">
        <f t="shared" si="25"/>
        <v/>
      </c>
      <c r="AF107" s="297" t="str">
        <f t="shared" si="26"/>
        <v/>
      </c>
      <c r="AG107" s="16"/>
      <c r="AH107" s="296" t="str">
        <f t="shared" si="27"/>
        <v/>
      </c>
      <c r="AI107" s="297" t="str">
        <f t="shared" si="28"/>
        <v/>
      </c>
      <c r="AJ107" s="16"/>
      <c r="AK107" s="297" t="str">
        <f t="shared" si="29"/>
        <v/>
      </c>
      <c r="AL107" s="297" t="str">
        <f t="shared" si="30"/>
        <v/>
      </c>
      <c r="AM107" s="16"/>
      <c r="AN107" s="296" t="str">
        <f t="shared" si="31"/>
        <v/>
      </c>
      <c r="AO107" s="16"/>
      <c r="AP107" s="296" t="str">
        <f t="shared" si="32"/>
        <v/>
      </c>
      <c r="AQ107" s="298">
        <f t="shared" si="33"/>
        <v>0</v>
      </c>
      <c r="AR107" s="298">
        <f t="shared" si="34"/>
        <v>0</v>
      </c>
      <c r="AS107" s="299" t="str">
        <f t="shared" si="35"/>
        <v/>
      </c>
      <c r="AT107" s="300" t="str">
        <f>IF(COUNTIF(K107:R107,"F")&gt;0,"",IF(AS107="PASS",'Statement of Marks'!HF108,""))</f>
        <v/>
      </c>
      <c r="AU107" s="300" t="str">
        <f>IF(AS107="PASS",'Statement of Marks'!HG108,"")</f>
        <v/>
      </c>
    </row>
    <row r="108" spans="1:47">
      <c r="A108" s="283">
        <f>IF('Statement of Marks'!A109="","",'Statement of Marks'!A109)</f>
        <v>102</v>
      </c>
      <c r="B108" s="283" t="str">
        <f>IF('Statement of Marks'!B109="","",'Statement of Marks'!B109)</f>
        <v/>
      </c>
      <c r="C108" s="283" t="str">
        <f>IF('Statement of Marks'!C109="","",'Statement of Marks'!C109)</f>
        <v/>
      </c>
      <c r="D108" s="284" t="str">
        <f>IF('Statement of Marks'!D109="","",'Statement of Marks'!D109)</f>
        <v/>
      </c>
      <c r="E108" s="285" t="str">
        <f>IF('Statement of Marks'!E109="","",'Statement of Marks'!E109)</f>
        <v/>
      </c>
      <c r="F108" s="285" t="str">
        <f>IF('Statement of Marks'!F109="","",'Statement of Marks'!F109)</f>
        <v/>
      </c>
      <c r="G108" s="285" t="str">
        <f>IF('Statement of Marks'!G109="","",'Statement of Marks'!G109)</f>
        <v/>
      </c>
      <c r="H108" s="286" t="str">
        <f>IF('Statement of Marks'!GY109="","",'Statement of Marks'!GY109)</f>
        <v/>
      </c>
      <c r="I108" s="286" t="str">
        <f>IF('Statement of Marks'!HB109="","",'Statement of Marks'!HB109)</f>
        <v/>
      </c>
      <c r="J108" s="287" t="str">
        <f>IF('Statement of Marks'!HC109="","",'Statement of Marks'!HC109)</f>
        <v/>
      </c>
      <c r="K108" s="295" t="str">
        <f>IF(B108="","",'Statement of Marks'!FJ109)</f>
        <v/>
      </c>
      <c r="L108" s="295" t="str">
        <f>IF(B108="","",'Statement of Marks'!FM109)</f>
        <v/>
      </c>
      <c r="M108" s="295" t="str">
        <f>IF(B108="","",'Statement of Marks'!FP109)</f>
        <v/>
      </c>
      <c r="N108" s="295" t="str">
        <f>IF(B108="","",'Statement of Marks'!FW109)</f>
        <v/>
      </c>
      <c r="O108" s="295" t="str">
        <f>IF(B108="","",'Statement of Marks'!GD109)</f>
        <v/>
      </c>
      <c r="P108" s="295" t="str">
        <f>IF(B108="","",'Statement of Marks'!GK109)</f>
        <v/>
      </c>
      <c r="Q108" s="295" t="str">
        <f>IF(B108="","",'Statement of Marks'!GR109)</f>
        <v/>
      </c>
      <c r="R108" s="295" t="str">
        <f>IF(B108="","",'Statement of Marks'!GS109)</f>
        <v/>
      </c>
      <c r="S108" s="287" t="str">
        <f>IF(COUNTIF(K108:R108,"F")&gt;0,"",CONCATENATE('Statement of Marks'!GU109,'Statement of Marks'!GW109))</f>
        <v xml:space="preserve">           </v>
      </c>
      <c r="T108" s="288">
        <f t="shared" si="18"/>
        <v>0</v>
      </c>
      <c r="U108" s="16"/>
      <c r="V108" s="296" t="str">
        <f t="shared" si="19"/>
        <v/>
      </c>
      <c r="W108" s="296" t="str">
        <f t="shared" si="20"/>
        <v/>
      </c>
      <c r="X108" s="16"/>
      <c r="Y108" s="296" t="str">
        <f t="shared" si="21"/>
        <v/>
      </c>
      <c r="Z108" s="296" t="str">
        <f t="shared" si="22"/>
        <v/>
      </c>
      <c r="AA108" s="16"/>
      <c r="AB108" s="296" t="str">
        <f t="shared" si="23"/>
        <v/>
      </c>
      <c r="AC108" s="297" t="str">
        <f t="shared" si="24"/>
        <v/>
      </c>
      <c r="AD108" s="16"/>
      <c r="AE108" s="296" t="str">
        <f t="shared" si="25"/>
        <v/>
      </c>
      <c r="AF108" s="297" t="str">
        <f t="shared" si="26"/>
        <v/>
      </c>
      <c r="AG108" s="16"/>
      <c r="AH108" s="296" t="str">
        <f t="shared" si="27"/>
        <v/>
      </c>
      <c r="AI108" s="297" t="str">
        <f t="shared" si="28"/>
        <v/>
      </c>
      <c r="AJ108" s="16"/>
      <c r="AK108" s="297" t="str">
        <f t="shared" si="29"/>
        <v/>
      </c>
      <c r="AL108" s="297" t="str">
        <f t="shared" si="30"/>
        <v/>
      </c>
      <c r="AM108" s="16"/>
      <c r="AN108" s="296" t="str">
        <f t="shared" si="31"/>
        <v/>
      </c>
      <c r="AO108" s="16"/>
      <c r="AP108" s="296" t="str">
        <f t="shared" si="32"/>
        <v/>
      </c>
      <c r="AQ108" s="298">
        <f t="shared" si="33"/>
        <v>0</v>
      </c>
      <c r="AR108" s="298">
        <f t="shared" si="34"/>
        <v>0</v>
      </c>
      <c r="AS108" s="299" t="str">
        <f t="shared" si="35"/>
        <v/>
      </c>
      <c r="AT108" s="300" t="str">
        <f>IF(COUNTIF(K108:R108,"F")&gt;0,"",IF(AS108="PASS",'Statement of Marks'!HF109,""))</f>
        <v/>
      </c>
      <c r="AU108" s="300" t="str">
        <f>IF(AS108="PASS",'Statement of Marks'!HG109,"")</f>
        <v/>
      </c>
    </row>
    <row r="109" spans="1:47">
      <c r="A109" s="283">
        <f>IF('Statement of Marks'!A110="","",'Statement of Marks'!A110)</f>
        <v>103</v>
      </c>
      <c r="B109" s="283" t="str">
        <f>IF('Statement of Marks'!B110="","",'Statement of Marks'!B110)</f>
        <v/>
      </c>
      <c r="C109" s="283" t="str">
        <f>IF('Statement of Marks'!C110="","",'Statement of Marks'!C110)</f>
        <v/>
      </c>
      <c r="D109" s="284" t="str">
        <f>IF('Statement of Marks'!D110="","",'Statement of Marks'!D110)</f>
        <v/>
      </c>
      <c r="E109" s="285" t="str">
        <f>IF('Statement of Marks'!E110="","",'Statement of Marks'!E110)</f>
        <v/>
      </c>
      <c r="F109" s="285" t="str">
        <f>IF('Statement of Marks'!F110="","",'Statement of Marks'!F110)</f>
        <v/>
      </c>
      <c r="G109" s="285" t="str">
        <f>IF('Statement of Marks'!G110="","",'Statement of Marks'!G110)</f>
        <v/>
      </c>
      <c r="H109" s="286" t="str">
        <f>IF('Statement of Marks'!GY110="","",'Statement of Marks'!GY110)</f>
        <v/>
      </c>
      <c r="I109" s="286" t="str">
        <f>IF('Statement of Marks'!HB110="","",'Statement of Marks'!HB110)</f>
        <v/>
      </c>
      <c r="J109" s="287" t="str">
        <f>IF('Statement of Marks'!HC110="","",'Statement of Marks'!HC110)</f>
        <v/>
      </c>
      <c r="K109" s="295" t="str">
        <f>IF(B109="","",'Statement of Marks'!FJ110)</f>
        <v/>
      </c>
      <c r="L109" s="295" t="str">
        <f>IF(B109="","",'Statement of Marks'!FM110)</f>
        <v/>
      </c>
      <c r="M109" s="295" t="str">
        <f>IF(B109="","",'Statement of Marks'!FP110)</f>
        <v/>
      </c>
      <c r="N109" s="295" t="str">
        <f>IF(B109="","",'Statement of Marks'!FW110)</f>
        <v/>
      </c>
      <c r="O109" s="295" t="str">
        <f>IF(B109="","",'Statement of Marks'!GD110)</f>
        <v/>
      </c>
      <c r="P109" s="295" t="str">
        <f>IF(B109="","",'Statement of Marks'!GK110)</f>
        <v/>
      </c>
      <c r="Q109" s="295" t="str">
        <f>IF(B109="","",'Statement of Marks'!GR110)</f>
        <v/>
      </c>
      <c r="R109" s="295" t="str">
        <f>IF(B109="","",'Statement of Marks'!GS110)</f>
        <v/>
      </c>
      <c r="S109" s="287" t="str">
        <f>IF(COUNTIF(K109:R109,"F")&gt;0,"",CONCATENATE('Statement of Marks'!GU110,'Statement of Marks'!GW110))</f>
        <v xml:space="preserve">           </v>
      </c>
      <c r="T109" s="288">
        <f t="shared" si="18"/>
        <v>0</v>
      </c>
      <c r="U109" s="16"/>
      <c r="V109" s="296" t="str">
        <f t="shared" si="19"/>
        <v/>
      </c>
      <c r="W109" s="296" t="str">
        <f t="shared" si="20"/>
        <v/>
      </c>
      <c r="X109" s="16"/>
      <c r="Y109" s="296" t="str">
        <f t="shared" si="21"/>
        <v/>
      </c>
      <c r="Z109" s="296" t="str">
        <f t="shared" si="22"/>
        <v/>
      </c>
      <c r="AA109" s="16"/>
      <c r="AB109" s="296" t="str">
        <f t="shared" si="23"/>
        <v/>
      </c>
      <c r="AC109" s="297" t="str">
        <f t="shared" si="24"/>
        <v/>
      </c>
      <c r="AD109" s="16"/>
      <c r="AE109" s="296" t="str">
        <f t="shared" si="25"/>
        <v/>
      </c>
      <c r="AF109" s="297" t="str">
        <f t="shared" si="26"/>
        <v/>
      </c>
      <c r="AG109" s="16"/>
      <c r="AH109" s="296" t="str">
        <f t="shared" si="27"/>
        <v/>
      </c>
      <c r="AI109" s="297" t="str">
        <f t="shared" si="28"/>
        <v/>
      </c>
      <c r="AJ109" s="16"/>
      <c r="AK109" s="297" t="str">
        <f t="shared" si="29"/>
        <v/>
      </c>
      <c r="AL109" s="297" t="str">
        <f t="shared" si="30"/>
        <v/>
      </c>
      <c r="AM109" s="16"/>
      <c r="AN109" s="296" t="str">
        <f t="shared" si="31"/>
        <v/>
      </c>
      <c r="AO109" s="16"/>
      <c r="AP109" s="296" t="str">
        <f t="shared" si="32"/>
        <v/>
      </c>
      <c r="AQ109" s="298">
        <f t="shared" si="33"/>
        <v>0</v>
      </c>
      <c r="AR109" s="298">
        <f t="shared" si="34"/>
        <v>0</v>
      </c>
      <c r="AS109" s="299" t="str">
        <f t="shared" si="35"/>
        <v/>
      </c>
      <c r="AT109" s="300" t="str">
        <f>IF(COUNTIF(K109:R109,"F")&gt;0,"",IF(AS109="PASS",'Statement of Marks'!HF110,""))</f>
        <v/>
      </c>
      <c r="AU109" s="300" t="str">
        <f>IF(AS109="PASS",'Statement of Marks'!HG110,"")</f>
        <v/>
      </c>
    </row>
    <row r="110" spans="1:47">
      <c r="A110" s="283">
        <f>IF('Statement of Marks'!A111="","",'Statement of Marks'!A111)</f>
        <v>104</v>
      </c>
      <c r="B110" s="283" t="str">
        <f>IF('Statement of Marks'!B111="","",'Statement of Marks'!B111)</f>
        <v/>
      </c>
      <c r="C110" s="283" t="str">
        <f>IF('Statement of Marks'!C111="","",'Statement of Marks'!C111)</f>
        <v/>
      </c>
      <c r="D110" s="284" t="str">
        <f>IF('Statement of Marks'!D111="","",'Statement of Marks'!D111)</f>
        <v/>
      </c>
      <c r="E110" s="285" t="str">
        <f>IF('Statement of Marks'!E111="","",'Statement of Marks'!E111)</f>
        <v/>
      </c>
      <c r="F110" s="285" t="str">
        <f>IF('Statement of Marks'!F111="","",'Statement of Marks'!F111)</f>
        <v/>
      </c>
      <c r="G110" s="285" t="str">
        <f>IF('Statement of Marks'!G111="","",'Statement of Marks'!G111)</f>
        <v/>
      </c>
      <c r="H110" s="286" t="str">
        <f>IF('Statement of Marks'!GY111="","",'Statement of Marks'!GY111)</f>
        <v/>
      </c>
      <c r="I110" s="286" t="str">
        <f>IF('Statement of Marks'!HB111="","",'Statement of Marks'!HB111)</f>
        <v/>
      </c>
      <c r="J110" s="287" t="str">
        <f>IF('Statement of Marks'!HC111="","",'Statement of Marks'!HC111)</f>
        <v/>
      </c>
      <c r="K110" s="295" t="str">
        <f>IF(B110="","",'Statement of Marks'!FJ111)</f>
        <v/>
      </c>
      <c r="L110" s="295" t="str">
        <f>IF(B110="","",'Statement of Marks'!FM111)</f>
        <v/>
      </c>
      <c r="M110" s="295" t="str">
        <f>IF(B110="","",'Statement of Marks'!FP111)</f>
        <v/>
      </c>
      <c r="N110" s="295" t="str">
        <f>IF(B110="","",'Statement of Marks'!FW111)</f>
        <v/>
      </c>
      <c r="O110" s="295" t="str">
        <f>IF(B110="","",'Statement of Marks'!GD111)</f>
        <v/>
      </c>
      <c r="P110" s="295" t="str">
        <f>IF(B110="","",'Statement of Marks'!GK111)</f>
        <v/>
      </c>
      <c r="Q110" s="295" t="str">
        <f>IF(B110="","",'Statement of Marks'!GR111)</f>
        <v/>
      </c>
      <c r="R110" s="295" t="str">
        <f>IF(B110="","",'Statement of Marks'!GS111)</f>
        <v/>
      </c>
      <c r="S110" s="287" t="str">
        <f>IF(COUNTIF(K110:R110,"F")&gt;0,"",CONCATENATE('Statement of Marks'!GU111,'Statement of Marks'!GW111))</f>
        <v xml:space="preserve">           </v>
      </c>
      <c r="T110" s="288">
        <f t="shared" si="18"/>
        <v>0</v>
      </c>
      <c r="U110" s="16"/>
      <c r="V110" s="296" t="str">
        <f t="shared" si="19"/>
        <v/>
      </c>
      <c r="W110" s="296" t="str">
        <f t="shared" si="20"/>
        <v/>
      </c>
      <c r="X110" s="16"/>
      <c r="Y110" s="296" t="str">
        <f t="shared" si="21"/>
        <v/>
      </c>
      <c r="Z110" s="296" t="str">
        <f t="shared" si="22"/>
        <v/>
      </c>
      <c r="AA110" s="16"/>
      <c r="AB110" s="296" t="str">
        <f t="shared" si="23"/>
        <v/>
      </c>
      <c r="AC110" s="297" t="str">
        <f t="shared" si="24"/>
        <v/>
      </c>
      <c r="AD110" s="16"/>
      <c r="AE110" s="296" t="str">
        <f t="shared" si="25"/>
        <v/>
      </c>
      <c r="AF110" s="297" t="str">
        <f t="shared" si="26"/>
        <v/>
      </c>
      <c r="AG110" s="16"/>
      <c r="AH110" s="296" t="str">
        <f t="shared" si="27"/>
        <v/>
      </c>
      <c r="AI110" s="297" t="str">
        <f t="shared" si="28"/>
        <v/>
      </c>
      <c r="AJ110" s="16"/>
      <c r="AK110" s="297" t="str">
        <f t="shared" si="29"/>
        <v/>
      </c>
      <c r="AL110" s="297" t="str">
        <f t="shared" si="30"/>
        <v/>
      </c>
      <c r="AM110" s="16"/>
      <c r="AN110" s="296" t="str">
        <f t="shared" si="31"/>
        <v/>
      </c>
      <c r="AO110" s="16"/>
      <c r="AP110" s="296" t="str">
        <f t="shared" si="32"/>
        <v/>
      </c>
      <c r="AQ110" s="298">
        <f t="shared" si="33"/>
        <v>0</v>
      </c>
      <c r="AR110" s="298">
        <f t="shared" si="34"/>
        <v>0</v>
      </c>
      <c r="AS110" s="299" t="str">
        <f t="shared" si="35"/>
        <v/>
      </c>
      <c r="AT110" s="300" t="str">
        <f>IF(COUNTIF(K110:R110,"F")&gt;0,"",IF(AS110="PASS",'Statement of Marks'!HF111,""))</f>
        <v/>
      </c>
      <c r="AU110" s="300" t="str">
        <f>IF(AS110="PASS",'Statement of Marks'!HG111,"")</f>
        <v/>
      </c>
    </row>
    <row r="111" spans="1:47">
      <c r="A111" s="283">
        <f>IF('Statement of Marks'!A112="","",'Statement of Marks'!A112)</f>
        <v>105</v>
      </c>
      <c r="B111" s="283" t="str">
        <f>IF('Statement of Marks'!B112="","",'Statement of Marks'!B112)</f>
        <v/>
      </c>
      <c r="C111" s="283" t="str">
        <f>IF('Statement of Marks'!C112="","",'Statement of Marks'!C112)</f>
        <v/>
      </c>
      <c r="D111" s="284" t="str">
        <f>IF('Statement of Marks'!D112="","",'Statement of Marks'!D112)</f>
        <v/>
      </c>
      <c r="E111" s="285" t="str">
        <f>IF('Statement of Marks'!E112="","",'Statement of Marks'!E112)</f>
        <v/>
      </c>
      <c r="F111" s="285" t="str">
        <f>IF('Statement of Marks'!F112="","",'Statement of Marks'!F112)</f>
        <v/>
      </c>
      <c r="G111" s="285" t="str">
        <f>IF('Statement of Marks'!G112="","",'Statement of Marks'!G112)</f>
        <v/>
      </c>
      <c r="H111" s="286" t="str">
        <f>IF('Statement of Marks'!GY112="","",'Statement of Marks'!GY112)</f>
        <v/>
      </c>
      <c r="I111" s="286" t="str">
        <f>IF('Statement of Marks'!HB112="","",'Statement of Marks'!HB112)</f>
        <v/>
      </c>
      <c r="J111" s="287" t="str">
        <f>IF('Statement of Marks'!HC112="","",'Statement of Marks'!HC112)</f>
        <v/>
      </c>
      <c r="K111" s="295" t="str">
        <f>IF(B111="","",'Statement of Marks'!FJ112)</f>
        <v/>
      </c>
      <c r="L111" s="295" t="str">
        <f>IF(B111="","",'Statement of Marks'!FM112)</f>
        <v/>
      </c>
      <c r="M111" s="295" t="str">
        <f>IF(B111="","",'Statement of Marks'!FP112)</f>
        <v/>
      </c>
      <c r="N111" s="295" t="str">
        <f>IF(B111="","",'Statement of Marks'!FW112)</f>
        <v/>
      </c>
      <c r="O111" s="295" t="str">
        <f>IF(B111="","",'Statement of Marks'!GD112)</f>
        <v/>
      </c>
      <c r="P111" s="295" t="str">
        <f>IF(B111="","",'Statement of Marks'!GK112)</f>
        <v/>
      </c>
      <c r="Q111" s="295" t="str">
        <f>IF(B111="","",'Statement of Marks'!GR112)</f>
        <v/>
      </c>
      <c r="R111" s="295" t="str">
        <f>IF(B111="","",'Statement of Marks'!GS112)</f>
        <v/>
      </c>
      <c r="S111" s="287" t="str">
        <f>IF(COUNTIF(K111:R111,"F")&gt;0,"",CONCATENATE('Statement of Marks'!GU112,'Statement of Marks'!GW112))</f>
        <v xml:space="preserve">           </v>
      </c>
      <c r="T111" s="288">
        <f t="shared" si="18"/>
        <v>0</v>
      </c>
      <c r="U111" s="16"/>
      <c r="V111" s="296" t="str">
        <f t="shared" si="19"/>
        <v/>
      </c>
      <c r="W111" s="296" t="str">
        <f t="shared" si="20"/>
        <v/>
      </c>
      <c r="X111" s="16"/>
      <c r="Y111" s="296" t="str">
        <f t="shared" si="21"/>
        <v/>
      </c>
      <c r="Z111" s="296" t="str">
        <f t="shared" si="22"/>
        <v/>
      </c>
      <c r="AA111" s="16"/>
      <c r="AB111" s="296" t="str">
        <f t="shared" si="23"/>
        <v/>
      </c>
      <c r="AC111" s="297" t="str">
        <f t="shared" si="24"/>
        <v/>
      </c>
      <c r="AD111" s="16"/>
      <c r="AE111" s="296" t="str">
        <f t="shared" si="25"/>
        <v/>
      </c>
      <c r="AF111" s="297" t="str">
        <f t="shared" si="26"/>
        <v/>
      </c>
      <c r="AG111" s="16"/>
      <c r="AH111" s="296" t="str">
        <f t="shared" si="27"/>
        <v/>
      </c>
      <c r="AI111" s="297" t="str">
        <f t="shared" si="28"/>
        <v/>
      </c>
      <c r="AJ111" s="16"/>
      <c r="AK111" s="297" t="str">
        <f t="shared" si="29"/>
        <v/>
      </c>
      <c r="AL111" s="297" t="str">
        <f t="shared" si="30"/>
        <v/>
      </c>
      <c r="AM111" s="16"/>
      <c r="AN111" s="296" t="str">
        <f t="shared" si="31"/>
        <v/>
      </c>
      <c r="AO111" s="16"/>
      <c r="AP111" s="296" t="str">
        <f t="shared" si="32"/>
        <v/>
      </c>
      <c r="AQ111" s="298">
        <f t="shared" si="33"/>
        <v>0</v>
      </c>
      <c r="AR111" s="298">
        <f t="shared" si="34"/>
        <v>0</v>
      </c>
      <c r="AS111" s="299" t="str">
        <f t="shared" si="35"/>
        <v/>
      </c>
      <c r="AT111" s="300" t="str">
        <f>IF(COUNTIF(K111:R111,"F")&gt;0,"",IF(AS111="PASS",'Statement of Marks'!HF112,""))</f>
        <v/>
      </c>
      <c r="AU111" s="300" t="str">
        <f>IF(AS111="PASS",'Statement of Marks'!HG112,"")</f>
        <v/>
      </c>
    </row>
    <row r="112" spans="1:47">
      <c r="A112" s="283">
        <f>IF('Statement of Marks'!A113="","",'Statement of Marks'!A113)</f>
        <v>106</v>
      </c>
      <c r="B112" s="283" t="str">
        <f>IF('Statement of Marks'!B113="","",'Statement of Marks'!B113)</f>
        <v/>
      </c>
      <c r="C112" s="283" t="str">
        <f>IF('Statement of Marks'!C113="","",'Statement of Marks'!C113)</f>
        <v/>
      </c>
      <c r="D112" s="284" t="str">
        <f>IF('Statement of Marks'!D113="","",'Statement of Marks'!D113)</f>
        <v/>
      </c>
      <c r="E112" s="285" t="str">
        <f>IF('Statement of Marks'!E113="","",'Statement of Marks'!E113)</f>
        <v/>
      </c>
      <c r="F112" s="285" t="str">
        <f>IF('Statement of Marks'!F113="","",'Statement of Marks'!F113)</f>
        <v/>
      </c>
      <c r="G112" s="285" t="str">
        <f>IF('Statement of Marks'!G113="","",'Statement of Marks'!G113)</f>
        <v/>
      </c>
      <c r="H112" s="286" t="str">
        <f>IF('Statement of Marks'!GY113="","",'Statement of Marks'!GY113)</f>
        <v/>
      </c>
      <c r="I112" s="286" t="str">
        <f>IF('Statement of Marks'!HB113="","",'Statement of Marks'!HB113)</f>
        <v/>
      </c>
      <c r="J112" s="287" t="str">
        <f>IF('Statement of Marks'!HC113="","",'Statement of Marks'!HC113)</f>
        <v/>
      </c>
      <c r="K112" s="295" t="str">
        <f>IF(B112="","",'Statement of Marks'!FJ113)</f>
        <v/>
      </c>
      <c r="L112" s="295" t="str">
        <f>IF(B112="","",'Statement of Marks'!FM113)</f>
        <v/>
      </c>
      <c r="M112" s="295" t="str">
        <f>IF(B112="","",'Statement of Marks'!FP113)</f>
        <v/>
      </c>
      <c r="N112" s="295" t="str">
        <f>IF(B112="","",'Statement of Marks'!FW113)</f>
        <v/>
      </c>
      <c r="O112" s="295" t="str">
        <f>IF(B112="","",'Statement of Marks'!GD113)</f>
        <v/>
      </c>
      <c r="P112" s="295" t="str">
        <f>IF(B112="","",'Statement of Marks'!GK113)</f>
        <v/>
      </c>
      <c r="Q112" s="295" t="str">
        <f>IF(B112="","",'Statement of Marks'!GR113)</f>
        <v/>
      </c>
      <c r="R112" s="295" t="str">
        <f>IF(B112="","",'Statement of Marks'!GS113)</f>
        <v/>
      </c>
      <c r="S112" s="287" t="str">
        <f>IF(COUNTIF(K112:R112,"F")&gt;0,"",CONCATENATE('Statement of Marks'!GU113,'Statement of Marks'!GW113))</f>
        <v xml:space="preserve">           </v>
      </c>
      <c r="T112" s="288">
        <f t="shared" si="18"/>
        <v>0</v>
      </c>
      <c r="U112" s="16"/>
      <c r="V112" s="296" t="str">
        <f t="shared" si="19"/>
        <v/>
      </c>
      <c r="W112" s="296" t="str">
        <f t="shared" si="20"/>
        <v/>
      </c>
      <c r="X112" s="16"/>
      <c r="Y112" s="296" t="str">
        <f t="shared" si="21"/>
        <v/>
      </c>
      <c r="Z112" s="296" t="str">
        <f t="shared" si="22"/>
        <v/>
      </c>
      <c r="AA112" s="16"/>
      <c r="AB112" s="296" t="str">
        <f t="shared" si="23"/>
        <v/>
      </c>
      <c r="AC112" s="297" t="str">
        <f t="shared" si="24"/>
        <v/>
      </c>
      <c r="AD112" s="16"/>
      <c r="AE112" s="296" t="str">
        <f t="shared" si="25"/>
        <v/>
      </c>
      <c r="AF112" s="297" t="str">
        <f t="shared" si="26"/>
        <v/>
      </c>
      <c r="AG112" s="16"/>
      <c r="AH112" s="296" t="str">
        <f t="shared" si="27"/>
        <v/>
      </c>
      <c r="AI112" s="297" t="str">
        <f t="shared" si="28"/>
        <v/>
      </c>
      <c r="AJ112" s="16"/>
      <c r="AK112" s="297" t="str">
        <f t="shared" si="29"/>
        <v/>
      </c>
      <c r="AL112" s="297" t="str">
        <f t="shared" si="30"/>
        <v/>
      </c>
      <c r="AM112" s="16"/>
      <c r="AN112" s="296" t="str">
        <f t="shared" si="31"/>
        <v/>
      </c>
      <c r="AO112" s="16"/>
      <c r="AP112" s="296" t="str">
        <f t="shared" si="32"/>
        <v/>
      </c>
      <c r="AQ112" s="298">
        <f t="shared" si="33"/>
        <v>0</v>
      </c>
      <c r="AR112" s="298">
        <f t="shared" si="34"/>
        <v>0</v>
      </c>
      <c r="AS112" s="299" t="str">
        <f t="shared" si="35"/>
        <v/>
      </c>
      <c r="AT112" s="300" t="str">
        <f>IF(COUNTIF(K112:R112,"F")&gt;0,"",IF(AS112="PASS",'Statement of Marks'!HF113,""))</f>
        <v/>
      </c>
      <c r="AU112" s="300" t="str">
        <f>IF(AS112="PASS",'Statement of Marks'!HG113,"")</f>
        <v/>
      </c>
    </row>
    <row r="113" spans="1:47">
      <c r="A113" s="283">
        <f>IF('Statement of Marks'!A114="","",'Statement of Marks'!A114)</f>
        <v>107</v>
      </c>
      <c r="B113" s="283" t="str">
        <f>IF('Statement of Marks'!B114="","",'Statement of Marks'!B114)</f>
        <v/>
      </c>
      <c r="C113" s="283" t="str">
        <f>IF('Statement of Marks'!C114="","",'Statement of Marks'!C114)</f>
        <v/>
      </c>
      <c r="D113" s="284" t="str">
        <f>IF('Statement of Marks'!D114="","",'Statement of Marks'!D114)</f>
        <v/>
      </c>
      <c r="E113" s="285" t="str">
        <f>IF('Statement of Marks'!E114="","",'Statement of Marks'!E114)</f>
        <v/>
      </c>
      <c r="F113" s="285" t="str">
        <f>IF('Statement of Marks'!F114="","",'Statement of Marks'!F114)</f>
        <v/>
      </c>
      <c r="G113" s="285" t="str">
        <f>IF('Statement of Marks'!G114="","",'Statement of Marks'!G114)</f>
        <v/>
      </c>
      <c r="H113" s="286" t="str">
        <f>IF('Statement of Marks'!GY114="","",'Statement of Marks'!GY114)</f>
        <v/>
      </c>
      <c r="I113" s="286" t="str">
        <f>IF('Statement of Marks'!HB114="","",'Statement of Marks'!HB114)</f>
        <v/>
      </c>
      <c r="J113" s="287" t="str">
        <f>IF('Statement of Marks'!HC114="","",'Statement of Marks'!HC114)</f>
        <v/>
      </c>
      <c r="K113" s="295" t="str">
        <f>IF(B113="","",'Statement of Marks'!FJ114)</f>
        <v/>
      </c>
      <c r="L113" s="295" t="str">
        <f>IF(B113="","",'Statement of Marks'!FM114)</f>
        <v/>
      </c>
      <c r="M113" s="295" t="str">
        <f>IF(B113="","",'Statement of Marks'!FP114)</f>
        <v/>
      </c>
      <c r="N113" s="295" t="str">
        <f>IF(B113="","",'Statement of Marks'!FW114)</f>
        <v/>
      </c>
      <c r="O113" s="295" t="str">
        <f>IF(B113="","",'Statement of Marks'!GD114)</f>
        <v/>
      </c>
      <c r="P113" s="295" t="str">
        <f>IF(B113="","",'Statement of Marks'!GK114)</f>
        <v/>
      </c>
      <c r="Q113" s="295" t="str">
        <f>IF(B113="","",'Statement of Marks'!GR114)</f>
        <v/>
      </c>
      <c r="R113" s="295" t="str">
        <f>IF(B113="","",'Statement of Marks'!GS114)</f>
        <v/>
      </c>
      <c r="S113" s="287" t="str">
        <f>IF(COUNTIF(K113:R113,"F")&gt;0,"",CONCATENATE('Statement of Marks'!GU114,'Statement of Marks'!GW114))</f>
        <v xml:space="preserve">           </v>
      </c>
      <c r="T113" s="288">
        <f t="shared" si="18"/>
        <v>0</v>
      </c>
      <c r="U113" s="16"/>
      <c r="V113" s="296" t="str">
        <f t="shared" si="19"/>
        <v/>
      </c>
      <c r="W113" s="296" t="str">
        <f t="shared" si="20"/>
        <v/>
      </c>
      <c r="X113" s="16"/>
      <c r="Y113" s="296" t="str">
        <f t="shared" si="21"/>
        <v/>
      </c>
      <c r="Z113" s="296" t="str">
        <f t="shared" si="22"/>
        <v/>
      </c>
      <c r="AA113" s="16"/>
      <c r="AB113" s="296" t="str">
        <f t="shared" si="23"/>
        <v/>
      </c>
      <c r="AC113" s="297" t="str">
        <f t="shared" si="24"/>
        <v/>
      </c>
      <c r="AD113" s="16"/>
      <c r="AE113" s="296" t="str">
        <f t="shared" si="25"/>
        <v/>
      </c>
      <c r="AF113" s="297" t="str">
        <f t="shared" si="26"/>
        <v/>
      </c>
      <c r="AG113" s="16"/>
      <c r="AH113" s="296" t="str">
        <f t="shared" si="27"/>
        <v/>
      </c>
      <c r="AI113" s="297" t="str">
        <f t="shared" si="28"/>
        <v/>
      </c>
      <c r="AJ113" s="16"/>
      <c r="AK113" s="297" t="str">
        <f t="shared" si="29"/>
        <v/>
      </c>
      <c r="AL113" s="297" t="str">
        <f t="shared" si="30"/>
        <v/>
      </c>
      <c r="AM113" s="16"/>
      <c r="AN113" s="296" t="str">
        <f t="shared" si="31"/>
        <v/>
      </c>
      <c r="AO113" s="16"/>
      <c r="AP113" s="296" t="str">
        <f t="shared" si="32"/>
        <v/>
      </c>
      <c r="AQ113" s="298">
        <f t="shared" si="33"/>
        <v>0</v>
      </c>
      <c r="AR113" s="298">
        <f t="shared" si="34"/>
        <v>0</v>
      </c>
      <c r="AS113" s="299" t="str">
        <f t="shared" si="35"/>
        <v/>
      </c>
      <c r="AT113" s="300" t="str">
        <f>IF(COUNTIF(K113:R113,"F")&gt;0,"",IF(AS113="PASS",'Statement of Marks'!HF114,""))</f>
        <v/>
      </c>
      <c r="AU113" s="300" t="str">
        <f>IF(AS113="PASS",'Statement of Marks'!HG114,"")</f>
        <v/>
      </c>
    </row>
    <row r="114" spans="1:47">
      <c r="A114" s="283">
        <f>IF('Statement of Marks'!A115="","",'Statement of Marks'!A115)</f>
        <v>108</v>
      </c>
      <c r="B114" s="283" t="str">
        <f>IF('Statement of Marks'!B115="","",'Statement of Marks'!B115)</f>
        <v/>
      </c>
      <c r="C114" s="283" t="str">
        <f>IF('Statement of Marks'!C115="","",'Statement of Marks'!C115)</f>
        <v/>
      </c>
      <c r="D114" s="284" t="str">
        <f>IF('Statement of Marks'!D115="","",'Statement of Marks'!D115)</f>
        <v/>
      </c>
      <c r="E114" s="285" t="str">
        <f>IF('Statement of Marks'!E115="","",'Statement of Marks'!E115)</f>
        <v/>
      </c>
      <c r="F114" s="285" t="str">
        <f>IF('Statement of Marks'!F115="","",'Statement of Marks'!F115)</f>
        <v/>
      </c>
      <c r="G114" s="285" t="str">
        <f>IF('Statement of Marks'!G115="","",'Statement of Marks'!G115)</f>
        <v/>
      </c>
      <c r="H114" s="286" t="str">
        <f>IF('Statement of Marks'!GY115="","",'Statement of Marks'!GY115)</f>
        <v/>
      </c>
      <c r="I114" s="286" t="str">
        <f>IF('Statement of Marks'!HB115="","",'Statement of Marks'!HB115)</f>
        <v/>
      </c>
      <c r="J114" s="287" t="str">
        <f>IF('Statement of Marks'!HC115="","",'Statement of Marks'!HC115)</f>
        <v/>
      </c>
      <c r="K114" s="295" t="str">
        <f>IF(B114="","",'Statement of Marks'!FJ115)</f>
        <v/>
      </c>
      <c r="L114" s="295" t="str">
        <f>IF(B114="","",'Statement of Marks'!FM115)</f>
        <v/>
      </c>
      <c r="M114" s="295" t="str">
        <f>IF(B114="","",'Statement of Marks'!FP115)</f>
        <v/>
      </c>
      <c r="N114" s="295" t="str">
        <f>IF(B114="","",'Statement of Marks'!FW115)</f>
        <v/>
      </c>
      <c r="O114" s="295" t="str">
        <f>IF(B114="","",'Statement of Marks'!GD115)</f>
        <v/>
      </c>
      <c r="P114" s="295" t="str">
        <f>IF(B114="","",'Statement of Marks'!GK115)</f>
        <v/>
      </c>
      <c r="Q114" s="295" t="str">
        <f>IF(B114="","",'Statement of Marks'!GR115)</f>
        <v/>
      </c>
      <c r="R114" s="295" t="str">
        <f>IF(B114="","",'Statement of Marks'!GS115)</f>
        <v/>
      </c>
      <c r="S114" s="287" t="str">
        <f>IF(COUNTIF(K114:R114,"F")&gt;0,"",CONCATENATE('Statement of Marks'!GU115,'Statement of Marks'!GW115))</f>
        <v xml:space="preserve">           </v>
      </c>
      <c r="T114" s="288">
        <f t="shared" si="18"/>
        <v>0</v>
      </c>
      <c r="U114" s="16"/>
      <c r="V114" s="296" t="str">
        <f t="shared" si="19"/>
        <v/>
      </c>
      <c r="W114" s="296" t="str">
        <f t="shared" si="20"/>
        <v/>
      </c>
      <c r="X114" s="16"/>
      <c r="Y114" s="296" t="str">
        <f t="shared" si="21"/>
        <v/>
      </c>
      <c r="Z114" s="296" t="str">
        <f t="shared" si="22"/>
        <v/>
      </c>
      <c r="AA114" s="16"/>
      <c r="AB114" s="296" t="str">
        <f t="shared" si="23"/>
        <v/>
      </c>
      <c r="AC114" s="297" t="str">
        <f t="shared" si="24"/>
        <v/>
      </c>
      <c r="AD114" s="16"/>
      <c r="AE114" s="296" t="str">
        <f t="shared" si="25"/>
        <v/>
      </c>
      <c r="AF114" s="297" t="str">
        <f t="shared" si="26"/>
        <v/>
      </c>
      <c r="AG114" s="16"/>
      <c r="AH114" s="296" t="str">
        <f t="shared" si="27"/>
        <v/>
      </c>
      <c r="AI114" s="297" t="str">
        <f t="shared" si="28"/>
        <v/>
      </c>
      <c r="AJ114" s="16"/>
      <c r="AK114" s="297" t="str">
        <f t="shared" si="29"/>
        <v/>
      </c>
      <c r="AL114" s="297" t="str">
        <f t="shared" si="30"/>
        <v/>
      </c>
      <c r="AM114" s="16"/>
      <c r="AN114" s="296" t="str">
        <f t="shared" si="31"/>
        <v/>
      </c>
      <c r="AO114" s="16"/>
      <c r="AP114" s="296" t="str">
        <f t="shared" si="32"/>
        <v/>
      </c>
      <c r="AQ114" s="298">
        <f t="shared" si="33"/>
        <v>0</v>
      </c>
      <c r="AR114" s="298">
        <f t="shared" si="34"/>
        <v>0</v>
      </c>
      <c r="AS114" s="299" t="str">
        <f t="shared" si="35"/>
        <v/>
      </c>
      <c r="AT114" s="300" t="str">
        <f>IF(COUNTIF(K114:R114,"F")&gt;0,"",IF(AS114="PASS",'Statement of Marks'!HF115,""))</f>
        <v/>
      </c>
      <c r="AU114" s="300" t="str">
        <f>IF(AS114="PASS",'Statement of Marks'!HG115,"")</f>
        <v/>
      </c>
    </row>
    <row r="115" spans="1:47">
      <c r="A115" s="283">
        <f>IF('Statement of Marks'!A116="","",'Statement of Marks'!A116)</f>
        <v>109</v>
      </c>
      <c r="B115" s="283" t="str">
        <f>IF('Statement of Marks'!B116="","",'Statement of Marks'!B116)</f>
        <v/>
      </c>
      <c r="C115" s="283" t="str">
        <f>IF('Statement of Marks'!C116="","",'Statement of Marks'!C116)</f>
        <v/>
      </c>
      <c r="D115" s="284" t="str">
        <f>IF('Statement of Marks'!D116="","",'Statement of Marks'!D116)</f>
        <v/>
      </c>
      <c r="E115" s="285" t="str">
        <f>IF('Statement of Marks'!E116="","",'Statement of Marks'!E116)</f>
        <v/>
      </c>
      <c r="F115" s="285" t="str">
        <f>IF('Statement of Marks'!F116="","",'Statement of Marks'!F116)</f>
        <v/>
      </c>
      <c r="G115" s="285" t="str">
        <f>IF('Statement of Marks'!G116="","",'Statement of Marks'!G116)</f>
        <v/>
      </c>
      <c r="H115" s="286" t="str">
        <f>IF('Statement of Marks'!GY116="","",'Statement of Marks'!GY116)</f>
        <v/>
      </c>
      <c r="I115" s="286" t="str">
        <f>IF('Statement of Marks'!HB116="","",'Statement of Marks'!HB116)</f>
        <v/>
      </c>
      <c r="J115" s="287" t="str">
        <f>IF('Statement of Marks'!HC116="","",'Statement of Marks'!HC116)</f>
        <v/>
      </c>
      <c r="K115" s="295" t="str">
        <f>IF(B115="","",'Statement of Marks'!FJ116)</f>
        <v/>
      </c>
      <c r="L115" s="295" t="str">
        <f>IF(B115="","",'Statement of Marks'!FM116)</f>
        <v/>
      </c>
      <c r="M115" s="295" t="str">
        <f>IF(B115="","",'Statement of Marks'!FP116)</f>
        <v/>
      </c>
      <c r="N115" s="295" t="str">
        <f>IF(B115="","",'Statement of Marks'!FW116)</f>
        <v/>
      </c>
      <c r="O115" s="295" t="str">
        <f>IF(B115="","",'Statement of Marks'!GD116)</f>
        <v/>
      </c>
      <c r="P115" s="295" t="str">
        <f>IF(B115="","",'Statement of Marks'!GK116)</f>
        <v/>
      </c>
      <c r="Q115" s="295" t="str">
        <f>IF(B115="","",'Statement of Marks'!GR116)</f>
        <v/>
      </c>
      <c r="R115" s="295" t="str">
        <f>IF(B115="","",'Statement of Marks'!GS116)</f>
        <v/>
      </c>
      <c r="S115" s="287" t="str">
        <f>IF(COUNTIF(K115:R115,"F")&gt;0,"",CONCATENATE('Statement of Marks'!GU116,'Statement of Marks'!GW116))</f>
        <v xml:space="preserve">           </v>
      </c>
      <c r="T115" s="288">
        <f t="shared" si="18"/>
        <v>0</v>
      </c>
      <c r="U115" s="16"/>
      <c r="V115" s="296" t="str">
        <f t="shared" si="19"/>
        <v/>
      </c>
      <c r="W115" s="296" t="str">
        <f t="shared" si="20"/>
        <v/>
      </c>
      <c r="X115" s="16"/>
      <c r="Y115" s="296" t="str">
        <f t="shared" si="21"/>
        <v/>
      </c>
      <c r="Z115" s="296" t="str">
        <f t="shared" si="22"/>
        <v/>
      </c>
      <c r="AA115" s="16"/>
      <c r="AB115" s="296" t="str">
        <f t="shared" si="23"/>
        <v/>
      </c>
      <c r="AC115" s="297" t="str">
        <f t="shared" si="24"/>
        <v/>
      </c>
      <c r="AD115" s="16"/>
      <c r="AE115" s="296" t="str">
        <f t="shared" si="25"/>
        <v/>
      </c>
      <c r="AF115" s="297" t="str">
        <f t="shared" si="26"/>
        <v/>
      </c>
      <c r="AG115" s="16"/>
      <c r="AH115" s="296" t="str">
        <f t="shared" si="27"/>
        <v/>
      </c>
      <c r="AI115" s="297" t="str">
        <f t="shared" si="28"/>
        <v/>
      </c>
      <c r="AJ115" s="16"/>
      <c r="AK115" s="297" t="str">
        <f t="shared" si="29"/>
        <v/>
      </c>
      <c r="AL115" s="297" t="str">
        <f t="shared" si="30"/>
        <v/>
      </c>
      <c r="AM115" s="16"/>
      <c r="AN115" s="296" t="str">
        <f t="shared" si="31"/>
        <v/>
      </c>
      <c r="AO115" s="16"/>
      <c r="AP115" s="296" t="str">
        <f t="shared" si="32"/>
        <v/>
      </c>
      <c r="AQ115" s="298">
        <f t="shared" si="33"/>
        <v>0</v>
      </c>
      <c r="AR115" s="298">
        <f t="shared" si="34"/>
        <v>0</v>
      </c>
      <c r="AS115" s="299" t="str">
        <f t="shared" si="35"/>
        <v/>
      </c>
      <c r="AT115" s="300" t="str">
        <f>IF(COUNTIF(K115:R115,"F")&gt;0,"",IF(AS115="PASS",'Statement of Marks'!HF116,""))</f>
        <v/>
      </c>
      <c r="AU115" s="300" t="str">
        <f>IF(AS115="PASS",'Statement of Marks'!HG116,"")</f>
        <v/>
      </c>
    </row>
    <row r="116" spans="1:47">
      <c r="A116" s="283">
        <f>IF('Statement of Marks'!A117="","",'Statement of Marks'!A117)</f>
        <v>110</v>
      </c>
      <c r="B116" s="283" t="str">
        <f>IF('Statement of Marks'!B117="","",'Statement of Marks'!B117)</f>
        <v/>
      </c>
      <c r="C116" s="283" t="str">
        <f>IF('Statement of Marks'!C117="","",'Statement of Marks'!C117)</f>
        <v/>
      </c>
      <c r="D116" s="284" t="str">
        <f>IF('Statement of Marks'!D117="","",'Statement of Marks'!D117)</f>
        <v/>
      </c>
      <c r="E116" s="285" t="str">
        <f>IF('Statement of Marks'!E117="","",'Statement of Marks'!E117)</f>
        <v/>
      </c>
      <c r="F116" s="285" t="str">
        <f>IF('Statement of Marks'!F117="","",'Statement of Marks'!F117)</f>
        <v/>
      </c>
      <c r="G116" s="285" t="str">
        <f>IF('Statement of Marks'!G117="","",'Statement of Marks'!G117)</f>
        <v/>
      </c>
      <c r="H116" s="286" t="str">
        <f>IF('Statement of Marks'!GY117="","",'Statement of Marks'!GY117)</f>
        <v/>
      </c>
      <c r="I116" s="286" t="str">
        <f>IF('Statement of Marks'!HB117="","",'Statement of Marks'!HB117)</f>
        <v/>
      </c>
      <c r="J116" s="287" t="str">
        <f>IF('Statement of Marks'!HC117="","",'Statement of Marks'!HC117)</f>
        <v/>
      </c>
      <c r="K116" s="295" t="str">
        <f>IF(B116="","",'Statement of Marks'!FJ117)</f>
        <v/>
      </c>
      <c r="L116" s="295" t="str">
        <f>IF(B116="","",'Statement of Marks'!FM117)</f>
        <v/>
      </c>
      <c r="M116" s="295" t="str">
        <f>IF(B116="","",'Statement of Marks'!FP117)</f>
        <v/>
      </c>
      <c r="N116" s="295" t="str">
        <f>IF(B116="","",'Statement of Marks'!FW117)</f>
        <v/>
      </c>
      <c r="O116" s="295" t="str">
        <f>IF(B116="","",'Statement of Marks'!GD117)</f>
        <v/>
      </c>
      <c r="P116" s="295" t="str">
        <f>IF(B116="","",'Statement of Marks'!GK117)</f>
        <v/>
      </c>
      <c r="Q116" s="295" t="str">
        <f>IF(B116="","",'Statement of Marks'!GR117)</f>
        <v/>
      </c>
      <c r="R116" s="295" t="str">
        <f>IF(B116="","",'Statement of Marks'!GS117)</f>
        <v/>
      </c>
      <c r="S116" s="287" t="str">
        <f>IF(COUNTIF(K116:R116,"F")&gt;0,"",CONCATENATE('Statement of Marks'!GU117,'Statement of Marks'!GW117))</f>
        <v xml:space="preserve">           </v>
      </c>
      <c r="T116" s="288">
        <f t="shared" si="18"/>
        <v>0</v>
      </c>
      <c r="U116" s="16"/>
      <c r="V116" s="296" t="str">
        <f t="shared" si="19"/>
        <v/>
      </c>
      <c r="W116" s="296" t="str">
        <f t="shared" si="20"/>
        <v/>
      </c>
      <c r="X116" s="16"/>
      <c r="Y116" s="296" t="str">
        <f t="shared" si="21"/>
        <v/>
      </c>
      <c r="Z116" s="296" t="str">
        <f t="shared" si="22"/>
        <v/>
      </c>
      <c r="AA116" s="16"/>
      <c r="AB116" s="296" t="str">
        <f t="shared" si="23"/>
        <v/>
      </c>
      <c r="AC116" s="297" t="str">
        <f t="shared" si="24"/>
        <v/>
      </c>
      <c r="AD116" s="16"/>
      <c r="AE116" s="296" t="str">
        <f t="shared" si="25"/>
        <v/>
      </c>
      <c r="AF116" s="297" t="str">
        <f t="shared" si="26"/>
        <v/>
      </c>
      <c r="AG116" s="16"/>
      <c r="AH116" s="296" t="str">
        <f t="shared" si="27"/>
        <v/>
      </c>
      <c r="AI116" s="297" t="str">
        <f t="shared" si="28"/>
        <v/>
      </c>
      <c r="AJ116" s="16"/>
      <c r="AK116" s="297" t="str">
        <f t="shared" si="29"/>
        <v/>
      </c>
      <c r="AL116" s="297" t="str">
        <f t="shared" si="30"/>
        <v/>
      </c>
      <c r="AM116" s="16"/>
      <c r="AN116" s="296" t="str">
        <f t="shared" si="31"/>
        <v/>
      </c>
      <c r="AO116" s="16"/>
      <c r="AP116" s="296" t="str">
        <f t="shared" si="32"/>
        <v/>
      </c>
      <c r="AQ116" s="298">
        <f t="shared" si="33"/>
        <v>0</v>
      </c>
      <c r="AR116" s="298">
        <f t="shared" si="34"/>
        <v>0</v>
      </c>
      <c r="AS116" s="299" t="str">
        <f t="shared" si="35"/>
        <v/>
      </c>
      <c r="AT116" s="300" t="str">
        <f>IF(COUNTIF(K116:R116,"F")&gt;0,"",IF(AS116="PASS",'Statement of Marks'!HF117,""))</f>
        <v/>
      </c>
      <c r="AU116" s="300" t="str">
        <f>IF(AS116="PASS",'Statement of Marks'!HG117,"")</f>
        <v/>
      </c>
    </row>
    <row r="117" spans="1:47">
      <c r="A117" s="283">
        <f>IF('Statement of Marks'!A118="","",'Statement of Marks'!A118)</f>
        <v>111</v>
      </c>
      <c r="B117" s="283" t="str">
        <f>IF('Statement of Marks'!B118="","",'Statement of Marks'!B118)</f>
        <v/>
      </c>
      <c r="C117" s="283" t="str">
        <f>IF('Statement of Marks'!C118="","",'Statement of Marks'!C118)</f>
        <v/>
      </c>
      <c r="D117" s="284" t="str">
        <f>IF('Statement of Marks'!D118="","",'Statement of Marks'!D118)</f>
        <v/>
      </c>
      <c r="E117" s="285" t="str">
        <f>IF('Statement of Marks'!E118="","",'Statement of Marks'!E118)</f>
        <v/>
      </c>
      <c r="F117" s="285" t="str">
        <f>IF('Statement of Marks'!F118="","",'Statement of Marks'!F118)</f>
        <v/>
      </c>
      <c r="G117" s="285" t="str">
        <f>IF('Statement of Marks'!G118="","",'Statement of Marks'!G118)</f>
        <v/>
      </c>
      <c r="H117" s="286" t="str">
        <f>IF('Statement of Marks'!GY118="","",'Statement of Marks'!GY118)</f>
        <v/>
      </c>
      <c r="I117" s="286" t="str">
        <f>IF('Statement of Marks'!HB118="","",'Statement of Marks'!HB118)</f>
        <v/>
      </c>
      <c r="J117" s="287" t="str">
        <f>IF('Statement of Marks'!HC118="","",'Statement of Marks'!HC118)</f>
        <v/>
      </c>
      <c r="K117" s="295" t="str">
        <f>IF(B117="","",'Statement of Marks'!FJ118)</f>
        <v/>
      </c>
      <c r="L117" s="295" t="str">
        <f>IF(B117="","",'Statement of Marks'!FM118)</f>
        <v/>
      </c>
      <c r="M117" s="295" t="str">
        <f>IF(B117="","",'Statement of Marks'!FP118)</f>
        <v/>
      </c>
      <c r="N117" s="295" t="str">
        <f>IF(B117="","",'Statement of Marks'!FW118)</f>
        <v/>
      </c>
      <c r="O117" s="295" t="str">
        <f>IF(B117="","",'Statement of Marks'!GD118)</f>
        <v/>
      </c>
      <c r="P117" s="295" t="str">
        <f>IF(B117="","",'Statement of Marks'!GK118)</f>
        <v/>
      </c>
      <c r="Q117" s="295" t="str">
        <f>IF(B117="","",'Statement of Marks'!GR118)</f>
        <v/>
      </c>
      <c r="R117" s="295" t="str">
        <f>IF(B117="","",'Statement of Marks'!GS118)</f>
        <v/>
      </c>
      <c r="S117" s="287" t="str">
        <f>IF(COUNTIF(K117:R117,"F")&gt;0,"",CONCATENATE('Statement of Marks'!GU118,'Statement of Marks'!GW118))</f>
        <v xml:space="preserve">           </v>
      </c>
      <c r="T117" s="288">
        <f t="shared" si="18"/>
        <v>0</v>
      </c>
      <c r="U117" s="16"/>
      <c r="V117" s="296" t="str">
        <f t="shared" si="19"/>
        <v/>
      </c>
      <c r="W117" s="296" t="str">
        <f t="shared" si="20"/>
        <v/>
      </c>
      <c r="X117" s="16"/>
      <c r="Y117" s="296" t="str">
        <f t="shared" si="21"/>
        <v/>
      </c>
      <c r="Z117" s="296" t="str">
        <f t="shared" si="22"/>
        <v/>
      </c>
      <c r="AA117" s="16"/>
      <c r="AB117" s="296" t="str">
        <f t="shared" si="23"/>
        <v/>
      </c>
      <c r="AC117" s="297" t="str">
        <f t="shared" si="24"/>
        <v/>
      </c>
      <c r="AD117" s="16"/>
      <c r="AE117" s="296" t="str">
        <f t="shared" si="25"/>
        <v/>
      </c>
      <c r="AF117" s="297" t="str">
        <f t="shared" si="26"/>
        <v/>
      </c>
      <c r="AG117" s="16"/>
      <c r="AH117" s="296" t="str">
        <f t="shared" si="27"/>
        <v/>
      </c>
      <c r="AI117" s="297" t="str">
        <f t="shared" si="28"/>
        <v/>
      </c>
      <c r="AJ117" s="16"/>
      <c r="AK117" s="297" t="str">
        <f t="shared" si="29"/>
        <v/>
      </c>
      <c r="AL117" s="297" t="str">
        <f t="shared" si="30"/>
        <v/>
      </c>
      <c r="AM117" s="16"/>
      <c r="AN117" s="296" t="str">
        <f t="shared" si="31"/>
        <v/>
      </c>
      <c r="AO117" s="16"/>
      <c r="AP117" s="296" t="str">
        <f t="shared" si="32"/>
        <v/>
      </c>
      <c r="AQ117" s="298">
        <f t="shared" si="33"/>
        <v>0</v>
      </c>
      <c r="AR117" s="298">
        <f t="shared" si="34"/>
        <v>0</v>
      </c>
      <c r="AS117" s="299" t="str">
        <f t="shared" si="35"/>
        <v/>
      </c>
      <c r="AT117" s="300" t="str">
        <f>IF(COUNTIF(K117:R117,"F")&gt;0,"",IF(AS117="PASS",'Statement of Marks'!HF118,""))</f>
        <v/>
      </c>
      <c r="AU117" s="300" t="str">
        <f>IF(AS117="PASS",'Statement of Marks'!HG118,"")</f>
        <v/>
      </c>
    </row>
    <row r="118" spans="1:47">
      <c r="A118" s="283">
        <f>IF('Statement of Marks'!A119="","",'Statement of Marks'!A119)</f>
        <v>112</v>
      </c>
      <c r="B118" s="283" t="str">
        <f>IF('Statement of Marks'!B119="","",'Statement of Marks'!B119)</f>
        <v/>
      </c>
      <c r="C118" s="283" t="str">
        <f>IF('Statement of Marks'!C119="","",'Statement of Marks'!C119)</f>
        <v/>
      </c>
      <c r="D118" s="284" t="str">
        <f>IF('Statement of Marks'!D119="","",'Statement of Marks'!D119)</f>
        <v/>
      </c>
      <c r="E118" s="285" t="str">
        <f>IF('Statement of Marks'!E119="","",'Statement of Marks'!E119)</f>
        <v/>
      </c>
      <c r="F118" s="285" t="str">
        <f>IF('Statement of Marks'!F119="","",'Statement of Marks'!F119)</f>
        <v/>
      </c>
      <c r="G118" s="285" t="str">
        <f>IF('Statement of Marks'!G119="","",'Statement of Marks'!G119)</f>
        <v/>
      </c>
      <c r="H118" s="286" t="str">
        <f>IF('Statement of Marks'!GY119="","",'Statement of Marks'!GY119)</f>
        <v/>
      </c>
      <c r="I118" s="286" t="str">
        <f>IF('Statement of Marks'!HB119="","",'Statement of Marks'!HB119)</f>
        <v/>
      </c>
      <c r="J118" s="287" t="str">
        <f>IF('Statement of Marks'!HC119="","",'Statement of Marks'!HC119)</f>
        <v/>
      </c>
      <c r="K118" s="295" t="str">
        <f>IF(B118="","",'Statement of Marks'!FJ119)</f>
        <v/>
      </c>
      <c r="L118" s="295" t="str">
        <f>IF(B118="","",'Statement of Marks'!FM119)</f>
        <v/>
      </c>
      <c r="M118" s="295" t="str">
        <f>IF(B118="","",'Statement of Marks'!FP119)</f>
        <v/>
      </c>
      <c r="N118" s="295" t="str">
        <f>IF(B118="","",'Statement of Marks'!FW119)</f>
        <v/>
      </c>
      <c r="O118" s="295" t="str">
        <f>IF(B118="","",'Statement of Marks'!GD119)</f>
        <v/>
      </c>
      <c r="P118" s="295" t="str">
        <f>IF(B118="","",'Statement of Marks'!GK119)</f>
        <v/>
      </c>
      <c r="Q118" s="295" t="str">
        <f>IF(B118="","",'Statement of Marks'!GR119)</f>
        <v/>
      </c>
      <c r="R118" s="295" t="str">
        <f>IF(B118="","",'Statement of Marks'!GS119)</f>
        <v/>
      </c>
      <c r="S118" s="287" t="str">
        <f>IF(COUNTIF(K118:R118,"F")&gt;0,"",CONCATENATE('Statement of Marks'!GU119,'Statement of Marks'!GW119))</f>
        <v xml:space="preserve">           </v>
      </c>
      <c r="T118" s="288">
        <f t="shared" si="18"/>
        <v>0</v>
      </c>
      <c r="U118" s="16"/>
      <c r="V118" s="296" t="str">
        <f t="shared" si="19"/>
        <v/>
      </c>
      <c r="W118" s="296" t="str">
        <f t="shared" si="20"/>
        <v/>
      </c>
      <c r="X118" s="16"/>
      <c r="Y118" s="296" t="str">
        <f t="shared" si="21"/>
        <v/>
      </c>
      <c r="Z118" s="296" t="str">
        <f t="shared" si="22"/>
        <v/>
      </c>
      <c r="AA118" s="16"/>
      <c r="AB118" s="296" t="str">
        <f t="shared" si="23"/>
        <v/>
      </c>
      <c r="AC118" s="297" t="str">
        <f t="shared" si="24"/>
        <v/>
      </c>
      <c r="AD118" s="16"/>
      <c r="AE118" s="296" t="str">
        <f t="shared" si="25"/>
        <v/>
      </c>
      <c r="AF118" s="297" t="str">
        <f t="shared" si="26"/>
        <v/>
      </c>
      <c r="AG118" s="16"/>
      <c r="AH118" s="296" t="str">
        <f t="shared" si="27"/>
        <v/>
      </c>
      <c r="AI118" s="297" t="str">
        <f t="shared" si="28"/>
        <v/>
      </c>
      <c r="AJ118" s="16"/>
      <c r="AK118" s="297" t="str">
        <f t="shared" si="29"/>
        <v/>
      </c>
      <c r="AL118" s="297" t="str">
        <f t="shared" si="30"/>
        <v/>
      </c>
      <c r="AM118" s="16"/>
      <c r="AN118" s="296" t="str">
        <f t="shared" si="31"/>
        <v/>
      </c>
      <c r="AO118" s="16"/>
      <c r="AP118" s="296" t="str">
        <f t="shared" si="32"/>
        <v/>
      </c>
      <c r="AQ118" s="298">
        <f t="shared" si="33"/>
        <v>0</v>
      </c>
      <c r="AR118" s="298">
        <f t="shared" si="34"/>
        <v>0</v>
      </c>
      <c r="AS118" s="299" t="str">
        <f t="shared" si="35"/>
        <v/>
      </c>
      <c r="AT118" s="300" t="str">
        <f>IF(COUNTIF(K118:R118,"F")&gt;0,"",IF(AS118="PASS",'Statement of Marks'!HF119,""))</f>
        <v/>
      </c>
      <c r="AU118" s="300" t="str">
        <f>IF(AS118="PASS",'Statement of Marks'!HG119,"")</f>
        <v/>
      </c>
    </row>
    <row r="119" spans="1:47">
      <c r="A119" s="283">
        <f>IF('Statement of Marks'!A120="","",'Statement of Marks'!A120)</f>
        <v>113</v>
      </c>
      <c r="B119" s="283" t="str">
        <f>IF('Statement of Marks'!B120="","",'Statement of Marks'!B120)</f>
        <v/>
      </c>
      <c r="C119" s="283" t="str">
        <f>IF('Statement of Marks'!C120="","",'Statement of Marks'!C120)</f>
        <v/>
      </c>
      <c r="D119" s="284" t="str">
        <f>IF('Statement of Marks'!D120="","",'Statement of Marks'!D120)</f>
        <v/>
      </c>
      <c r="E119" s="285" t="str">
        <f>IF('Statement of Marks'!E120="","",'Statement of Marks'!E120)</f>
        <v/>
      </c>
      <c r="F119" s="285" t="str">
        <f>IF('Statement of Marks'!F120="","",'Statement of Marks'!F120)</f>
        <v/>
      </c>
      <c r="G119" s="285" t="str">
        <f>IF('Statement of Marks'!G120="","",'Statement of Marks'!G120)</f>
        <v/>
      </c>
      <c r="H119" s="286" t="str">
        <f>IF('Statement of Marks'!GY120="","",'Statement of Marks'!GY120)</f>
        <v/>
      </c>
      <c r="I119" s="286" t="str">
        <f>IF('Statement of Marks'!HB120="","",'Statement of Marks'!HB120)</f>
        <v/>
      </c>
      <c r="J119" s="287" t="str">
        <f>IF('Statement of Marks'!HC120="","",'Statement of Marks'!HC120)</f>
        <v/>
      </c>
      <c r="K119" s="295" t="str">
        <f>IF(B119="","",'Statement of Marks'!FJ120)</f>
        <v/>
      </c>
      <c r="L119" s="295" t="str">
        <f>IF(B119="","",'Statement of Marks'!FM120)</f>
        <v/>
      </c>
      <c r="M119" s="295" t="str">
        <f>IF(B119="","",'Statement of Marks'!FP120)</f>
        <v/>
      </c>
      <c r="N119" s="295" t="str">
        <f>IF(B119="","",'Statement of Marks'!FW120)</f>
        <v/>
      </c>
      <c r="O119" s="295" t="str">
        <f>IF(B119="","",'Statement of Marks'!GD120)</f>
        <v/>
      </c>
      <c r="P119" s="295" t="str">
        <f>IF(B119="","",'Statement of Marks'!GK120)</f>
        <v/>
      </c>
      <c r="Q119" s="295" t="str">
        <f>IF(B119="","",'Statement of Marks'!GR120)</f>
        <v/>
      </c>
      <c r="R119" s="295" t="str">
        <f>IF(B119="","",'Statement of Marks'!GS120)</f>
        <v/>
      </c>
      <c r="S119" s="287" t="str">
        <f>IF(COUNTIF(K119:R119,"F")&gt;0,"",CONCATENATE('Statement of Marks'!GU120,'Statement of Marks'!GW120))</f>
        <v xml:space="preserve">           </v>
      </c>
      <c r="T119" s="288">
        <f t="shared" si="18"/>
        <v>0</v>
      </c>
      <c r="U119" s="16"/>
      <c r="V119" s="296" t="str">
        <f t="shared" si="19"/>
        <v/>
      </c>
      <c r="W119" s="296" t="str">
        <f t="shared" si="20"/>
        <v/>
      </c>
      <c r="X119" s="16"/>
      <c r="Y119" s="296" t="str">
        <f t="shared" si="21"/>
        <v/>
      </c>
      <c r="Z119" s="296" t="str">
        <f t="shared" si="22"/>
        <v/>
      </c>
      <c r="AA119" s="16"/>
      <c r="AB119" s="296" t="str">
        <f t="shared" si="23"/>
        <v/>
      </c>
      <c r="AC119" s="297" t="str">
        <f t="shared" si="24"/>
        <v/>
      </c>
      <c r="AD119" s="16"/>
      <c r="AE119" s="296" t="str">
        <f t="shared" si="25"/>
        <v/>
      </c>
      <c r="AF119" s="297" t="str">
        <f t="shared" si="26"/>
        <v/>
      </c>
      <c r="AG119" s="16"/>
      <c r="AH119" s="296" t="str">
        <f t="shared" si="27"/>
        <v/>
      </c>
      <c r="AI119" s="297" t="str">
        <f t="shared" si="28"/>
        <v/>
      </c>
      <c r="AJ119" s="16"/>
      <c r="AK119" s="297" t="str">
        <f t="shared" si="29"/>
        <v/>
      </c>
      <c r="AL119" s="297" t="str">
        <f t="shared" si="30"/>
        <v/>
      </c>
      <c r="AM119" s="16"/>
      <c r="AN119" s="296" t="str">
        <f t="shared" si="31"/>
        <v/>
      </c>
      <c r="AO119" s="16"/>
      <c r="AP119" s="296" t="str">
        <f t="shared" si="32"/>
        <v/>
      </c>
      <c r="AQ119" s="298">
        <f t="shared" si="33"/>
        <v>0</v>
      </c>
      <c r="AR119" s="298">
        <f t="shared" si="34"/>
        <v>0</v>
      </c>
      <c r="AS119" s="299" t="str">
        <f t="shared" si="35"/>
        <v/>
      </c>
      <c r="AT119" s="300" t="str">
        <f>IF(COUNTIF(K119:R119,"F")&gt;0,"",IF(AS119="PASS",'Statement of Marks'!HF120,""))</f>
        <v/>
      </c>
      <c r="AU119" s="300" t="str">
        <f>IF(AS119="PASS",'Statement of Marks'!HG120,"")</f>
        <v/>
      </c>
    </row>
    <row r="120" spans="1:47">
      <c r="A120" s="283">
        <f>IF('Statement of Marks'!A121="","",'Statement of Marks'!A121)</f>
        <v>114</v>
      </c>
      <c r="B120" s="283" t="str">
        <f>IF('Statement of Marks'!B121="","",'Statement of Marks'!B121)</f>
        <v/>
      </c>
      <c r="C120" s="283" t="str">
        <f>IF('Statement of Marks'!C121="","",'Statement of Marks'!C121)</f>
        <v/>
      </c>
      <c r="D120" s="284" t="str">
        <f>IF('Statement of Marks'!D121="","",'Statement of Marks'!D121)</f>
        <v/>
      </c>
      <c r="E120" s="285" t="str">
        <f>IF('Statement of Marks'!E121="","",'Statement of Marks'!E121)</f>
        <v/>
      </c>
      <c r="F120" s="285" t="str">
        <f>IF('Statement of Marks'!F121="","",'Statement of Marks'!F121)</f>
        <v/>
      </c>
      <c r="G120" s="285" t="str">
        <f>IF('Statement of Marks'!G121="","",'Statement of Marks'!G121)</f>
        <v/>
      </c>
      <c r="H120" s="286" t="str">
        <f>IF('Statement of Marks'!GY121="","",'Statement of Marks'!GY121)</f>
        <v/>
      </c>
      <c r="I120" s="286" t="str">
        <f>IF('Statement of Marks'!HB121="","",'Statement of Marks'!HB121)</f>
        <v/>
      </c>
      <c r="J120" s="287" t="str">
        <f>IF('Statement of Marks'!HC121="","",'Statement of Marks'!HC121)</f>
        <v/>
      </c>
      <c r="K120" s="295" t="str">
        <f>IF(B120="","",'Statement of Marks'!FJ121)</f>
        <v/>
      </c>
      <c r="L120" s="295" t="str">
        <f>IF(B120="","",'Statement of Marks'!FM121)</f>
        <v/>
      </c>
      <c r="M120" s="295" t="str">
        <f>IF(B120="","",'Statement of Marks'!FP121)</f>
        <v/>
      </c>
      <c r="N120" s="295" t="str">
        <f>IF(B120="","",'Statement of Marks'!FW121)</f>
        <v/>
      </c>
      <c r="O120" s="295" t="str">
        <f>IF(B120="","",'Statement of Marks'!GD121)</f>
        <v/>
      </c>
      <c r="P120" s="295" t="str">
        <f>IF(B120="","",'Statement of Marks'!GK121)</f>
        <v/>
      </c>
      <c r="Q120" s="295" t="str">
        <f>IF(B120="","",'Statement of Marks'!GR121)</f>
        <v/>
      </c>
      <c r="R120" s="295" t="str">
        <f>IF(B120="","",'Statement of Marks'!GS121)</f>
        <v/>
      </c>
      <c r="S120" s="287" t="str">
        <f>IF(COUNTIF(K120:R120,"F")&gt;0,"",CONCATENATE('Statement of Marks'!GU121,'Statement of Marks'!GW121))</f>
        <v xml:space="preserve">           </v>
      </c>
      <c r="T120" s="288">
        <f t="shared" si="18"/>
        <v>0</v>
      </c>
      <c r="U120" s="16"/>
      <c r="V120" s="296" t="str">
        <f t="shared" si="19"/>
        <v/>
      </c>
      <c r="W120" s="296" t="str">
        <f t="shared" si="20"/>
        <v/>
      </c>
      <c r="X120" s="16"/>
      <c r="Y120" s="296" t="str">
        <f t="shared" si="21"/>
        <v/>
      </c>
      <c r="Z120" s="296" t="str">
        <f t="shared" si="22"/>
        <v/>
      </c>
      <c r="AA120" s="16"/>
      <c r="AB120" s="296" t="str">
        <f t="shared" si="23"/>
        <v/>
      </c>
      <c r="AC120" s="297" t="str">
        <f t="shared" si="24"/>
        <v/>
      </c>
      <c r="AD120" s="16"/>
      <c r="AE120" s="296" t="str">
        <f t="shared" si="25"/>
        <v/>
      </c>
      <c r="AF120" s="297" t="str">
        <f t="shared" si="26"/>
        <v/>
      </c>
      <c r="AG120" s="16"/>
      <c r="AH120" s="296" t="str">
        <f t="shared" si="27"/>
        <v/>
      </c>
      <c r="AI120" s="297" t="str">
        <f t="shared" si="28"/>
        <v/>
      </c>
      <c r="AJ120" s="16"/>
      <c r="AK120" s="297" t="str">
        <f t="shared" si="29"/>
        <v/>
      </c>
      <c r="AL120" s="297" t="str">
        <f t="shared" si="30"/>
        <v/>
      </c>
      <c r="AM120" s="16"/>
      <c r="AN120" s="296" t="str">
        <f t="shared" si="31"/>
        <v/>
      </c>
      <c r="AO120" s="16"/>
      <c r="AP120" s="296" t="str">
        <f t="shared" si="32"/>
        <v/>
      </c>
      <c r="AQ120" s="298">
        <f t="shared" si="33"/>
        <v>0</v>
      </c>
      <c r="AR120" s="298">
        <f t="shared" si="34"/>
        <v>0</v>
      </c>
      <c r="AS120" s="299" t="str">
        <f t="shared" si="35"/>
        <v/>
      </c>
      <c r="AT120" s="300" t="str">
        <f>IF(COUNTIF(K120:R120,"F")&gt;0,"",IF(AS120="PASS",'Statement of Marks'!HF121,""))</f>
        <v/>
      </c>
      <c r="AU120" s="300" t="str">
        <f>IF(AS120="PASS",'Statement of Marks'!HG121,"")</f>
        <v/>
      </c>
    </row>
    <row r="121" spans="1:47">
      <c r="A121" s="283">
        <f>IF('Statement of Marks'!A122="","",'Statement of Marks'!A122)</f>
        <v>115</v>
      </c>
      <c r="B121" s="283" t="str">
        <f>IF('Statement of Marks'!B122="","",'Statement of Marks'!B122)</f>
        <v/>
      </c>
      <c r="C121" s="283" t="str">
        <f>IF('Statement of Marks'!C122="","",'Statement of Marks'!C122)</f>
        <v/>
      </c>
      <c r="D121" s="284" t="str">
        <f>IF('Statement of Marks'!D122="","",'Statement of Marks'!D122)</f>
        <v/>
      </c>
      <c r="E121" s="285" t="str">
        <f>IF('Statement of Marks'!E122="","",'Statement of Marks'!E122)</f>
        <v/>
      </c>
      <c r="F121" s="285" t="str">
        <f>IF('Statement of Marks'!F122="","",'Statement of Marks'!F122)</f>
        <v/>
      </c>
      <c r="G121" s="285" t="str">
        <f>IF('Statement of Marks'!G122="","",'Statement of Marks'!G122)</f>
        <v/>
      </c>
      <c r="H121" s="286" t="str">
        <f>IF('Statement of Marks'!GY122="","",'Statement of Marks'!GY122)</f>
        <v/>
      </c>
      <c r="I121" s="286" t="str">
        <f>IF('Statement of Marks'!HB122="","",'Statement of Marks'!HB122)</f>
        <v/>
      </c>
      <c r="J121" s="287" t="str">
        <f>IF('Statement of Marks'!HC122="","",'Statement of Marks'!HC122)</f>
        <v/>
      </c>
      <c r="K121" s="295" t="str">
        <f>IF(B121="","",'Statement of Marks'!FJ122)</f>
        <v/>
      </c>
      <c r="L121" s="295" t="str">
        <f>IF(B121="","",'Statement of Marks'!FM122)</f>
        <v/>
      </c>
      <c r="M121" s="295" t="str">
        <f>IF(B121="","",'Statement of Marks'!FP122)</f>
        <v/>
      </c>
      <c r="N121" s="295" t="str">
        <f>IF(B121="","",'Statement of Marks'!FW122)</f>
        <v/>
      </c>
      <c r="O121" s="295" t="str">
        <f>IF(B121="","",'Statement of Marks'!GD122)</f>
        <v/>
      </c>
      <c r="P121" s="295" t="str">
        <f>IF(B121="","",'Statement of Marks'!GK122)</f>
        <v/>
      </c>
      <c r="Q121" s="295" t="str">
        <f>IF(B121="","",'Statement of Marks'!GR122)</f>
        <v/>
      </c>
      <c r="R121" s="295" t="str">
        <f>IF(B121="","",'Statement of Marks'!GS122)</f>
        <v/>
      </c>
      <c r="S121" s="287" t="str">
        <f>IF(COUNTIF(K121:R121,"F")&gt;0,"",CONCATENATE('Statement of Marks'!GU122,'Statement of Marks'!GW122))</f>
        <v xml:space="preserve">           </v>
      </c>
      <c r="T121" s="288">
        <f t="shared" si="18"/>
        <v>0</v>
      </c>
      <c r="U121" s="16"/>
      <c r="V121" s="296" t="str">
        <f t="shared" si="19"/>
        <v/>
      </c>
      <c r="W121" s="296" t="str">
        <f t="shared" si="20"/>
        <v/>
      </c>
      <c r="X121" s="16"/>
      <c r="Y121" s="296" t="str">
        <f t="shared" si="21"/>
        <v/>
      </c>
      <c r="Z121" s="296" t="str">
        <f t="shared" si="22"/>
        <v/>
      </c>
      <c r="AA121" s="16"/>
      <c r="AB121" s="296" t="str">
        <f t="shared" si="23"/>
        <v/>
      </c>
      <c r="AC121" s="297" t="str">
        <f t="shared" si="24"/>
        <v/>
      </c>
      <c r="AD121" s="16"/>
      <c r="AE121" s="296" t="str">
        <f t="shared" si="25"/>
        <v/>
      </c>
      <c r="AF121" s="297" t="str">
        <f t="shared" si="26"/>
        <v/>
      </c>
      <c r="AG121" s="16"/>
      <c r="AH121" s="296" t="str">
        <f t="shared" si="27"/>
        <v/>
      </c>
      <c r="AI121" s="297" t="str">
        <f t="shared" si="28"/>
        <v/>
      </c>
      <c r="AJ121" s="16"/>
      <c r="AK121" s="297" t="str">
        <f t="shared" si="29"/>
        <v/>
      </c>
      <c r="AL121" s="297" t="str">
        <f t="shared" si="30"/>
        <v/>
      </c>
      <c r="AM121" s="16"/>
      <c r="AN121" s="296" t="str">
        <f t="shared" si="31"/>
        <v/>
      </c>
      <c r="AO121" s="16"/>
      <c r="AP121" s="296" t="str">
        <f t="shared" si="32"/>
        <v/>
      </c>
      <c r="AQ121" s="298">
        <f t="shared" si="33"/>
        <v>0</v>
      </c>
      <c r="AR121" s="298">
        <f t="shared" si="34"/>
        <v>0</v>
      </c>
      <c r="AS121" s="299" t="str">
        <f t="shared" si="35"/>
        <v/>
      </c>
      <c r="AT121" s="300" t="str">
        <f>IF(COUNTIF(K121:R121,"F")&gt;0,"",IF(AS121="PASS",'Statement of Marks'!HF122,""))</f>
        <v/>
      </c>
      <c r="AU121" s="300" t="str">
        <f>IF(AS121="PASS",'Statement of Marks'!HG122,"")</f>
        <v/>
      </c>
    </row>
    <row r="122" spans="1:47">
      <c r="A122" s="283">
        <f>IF('Statement of Marks'!A123="","",'Statement of Marks'!A123)</f>
        <v>116</v>
      </c>
      <c r="B122" s="283" t="str">
        <f>IF('Statement of Marks'!B123="","",'Statement of Marks'!B123)</f>
        <v/>
      </c>
      <c r="C122" s="283" t="str">
        <f>IF('Statement of Marks'!C123="","",'Statement of Marks'!C123)</f>
        <v/>
      </c>
      <c r="D122" s="284" t="str">
        <f>IF('Statement of Marks'!D123="","",'Statement of Marks'!D123)</f>
        <v/>
      </c>
      <c r="E122" s="285" t="str">
        <f>IF('Statement of Marks'!E123="","",'Statement of Marks'!E123)</f>
        <v/>
      </c>
      <c r="F122" s="285" t="str">
        <f>IF('Statement of Marks'!F123="","",'Statement of Marks'!F123)</f>
        <v/>
      </c>
      <c r="G122" s="285" t="str">
        <f>IF('Statement of Marks'!G123="","",'Statement of Marks'!G123)</f>
        <v/>
      </c>
      <c r="H122" s="286" t="str">
        <f>IF('Statement of Marks'!GY123="","",'Statement of Marks'!GY123)</f>
        <v/>
      </c>
      <c r="I122" s="286" t="str">
        <f>IF('Statement of Marks'!HB123="","",'Statement of Marks'!HB123)</f>
        <v/>
      </c>
      <c r="J122" s="287" t="str">
        <f>IF('Statement of Marks'!HC123="","",'Statement of Marks'!HC123)</f>
        <v/>
      </c>
      <c r="K122" s="295" t="str">
        <f>IF(B122="","",'Statement of Marks'!FJ123)</f>
        <v/>
      </c>
      <c r="L122" s="295" t="str">
        <f>IF(B122="","",'Statement of Marks'!FM123)</f>
        <v/>
      </c>
      <c r="M122" s="295" t="str">
        <f>IF(B122="","",'Statement of Marks'!FP123)</f>
        <v/>
      </c>
      <c r="N122" s="295" t="str">
        <f>IF(B122="","",'Statement of Marks'!FW123)</f>
        <v/>
      </c>
      <c r="O122" s="295" t="str">
        <f>IF(B122="","",'Statement of Marks'!GD123)</f>
        <v/>
      </c>
      <c r="P122" s="295" t="str">
        <f>IF(B122="","",'Statement of Marks'!GK123)</f>
        <v/>
      </c>
      <c r="Q122" s="295" t="str">
        <f>IF(B122="","",'Statement of Marks'!GR123)</f>
        <v/>
      </c>
      <c r="R122" s="295" t="str">
        <f>IF(B122="","",'Statement of Marks'!GS123)</f>
        <v/>
      </c>
      <c r="S122" s="287" t="str">
        <f>IF(COUNTIF(K122:R122,"F")&gt;0,"",CONCATENATE('Statement of Marks'!GU123,'Statement of Marks'!GW123))</f>
        <v xml:space="preserve">           </v>
      </c>
      <c r="T122" s="288">
        <f t="shared" si="18"/>
        <v>0</v>
      </c>
      <c r="U122" s="16"/>
      <c r="V122" s="296" t="str">
        <f t="shared" si="19"/>
        <v/>
      </c>
      <c r="W122" s="296" t="str">
        <f t="shared" si="20"/>
        <v/>
      </c>
      <c r="X122" s="16"/>
      <c r="Y122" s="296" t="str">
        <f t="shared" si="21"/>
        <v/>
      </c>
      <c r="Z122" s="296" t="str">
        <f t="shared" si="22"/>
        <v/>
      </c>
      <c r="AA122" s="16"/>
      <c r="AB122" s="296" t="str">
        <f t="shared" si="23"/>
        <v/>
      </c>
      <c r="AC122" s="297" t="str">
        <f t="shared" si="24"/>
        <v/>
      </c>
      <c r="AD122" s="16"/>
      <c r="AE122" s="296" t="str">
        <f t="shared" si="25"/>
        <v/>
      </c>
      <c r="AF122" s="297" t="str">
        <f t="shared" si="26"/>
        <v/>
      </c>
      <c r="AG122" s="16"/>
      <c r="AH122" s="296" t="str">
        <f t="shared" si="27"/>
        <v/>
      </c>
      <c r="AI122" s="297" t="str">
        <f t="shared" si="28"/>
        <v/>
      </c>
      <c r="AJ122" s="16"/>
      <c r="AK122" s="297" t="str">
        <f t="shared" si="29"/>
        <v/>
      </c>
      <c r="AL122" s="297" t="str">
        <f t="shared" si="30"/>
        <v/>
      </c>
      <c r="AM122" s="16"/>
      <c r="AN122" s="296" t="str">
        <f t="shared" si="31"/>
        <v/>
      </c>
      <c r="AO122" s="16"/>
      <c r="AP122" s="296" t="str">
        <f t="shared" si="32"/>
        <v/>
      </c>
      <c r="AQ122" s="298">
        <f t="shared" si="33"/>
        <v>0</v>
      </c>
      <c r="AR122" s="298">
        <f t="shared" si="34"/>
        <v>0</v>
      </c>
      <c r="AS122" s="299" t="str">
        <f t="shared" si="35"/>
        <v/>
      </c>
      <c r="AT122" s="300" t="str">
        <f>IF(COUNTIF(K122:R122,"F")&gt;0,"",IF(AS122="PASS",'Statement of Marks'!HF123,""))</f>
        <v/>
      </c>
      <c r="AU122" s="300" t="str">
        <f>IF(AS122="PASS",'Statement of Marks'!HG123,"")</f>
        <v/>
      </c>
    </row>
    <row r="123" spans="1:47">
      <c r="A123" s="283">
        <f>IF('Statement of Marks'!A124="","",'Statement of Marks'!A124)</f>
        <v>117</v>
      </c>
      <c r="B123" s="283" t="str">
        <f>IF('Statement of Marks'!B124="","",'Statement of Marks'!B124)</f>
        <v/>
      </c>
      <c r="C123" s="283" t="str">
        <f>IF('Statement of Marks'!C124="","",'Statement of Marks'!C124)</f>
        <v/>
      </c>
      <c r="D123" s="284" t="str">
        <f>IF('Statement of Marks'!D124="","",'Statement of Marks'!D124)</f>
        <v/>
      </c>
      <c r="E123" s="285" t="str">
        <f>IF('Statement of Marks'!E124="","",'Statement of Marks'!E124)</f>
        <v/>
      </c>
      <c r="F123" s="285" t="str">
        <f>IF('Statement of Marks'!F124="","",'Statement of Marks'!F124)</f>
        <v/>
      </c>
      <c r="G123" s="285" t="str">
        <f>IF('Statement of Marks'!G124="","",'Statement of Marks'!G124)</f>
        <v/>
      </c>
      <c r="H123" s="286" t="str">
        <f>IF('Statement of Marks'!GY124="","",'Statement of Marks'!GY124)</f>
        <v/>
      </c>
      <c r="I123" s="286" t="str">
        <f>IF('Statement of Marks'!HB124="","",'Statement of Marks'!HB124)</f>
        <v/>
      </c>
      <c r="J123" s="287" t="str">
        <f>IF('Statement of Marks'!HC124="","",'Statement of Marks'!HC124)</f>
        <v/>
      </c>
      <c r="K123" s="295" t="str">
        <f>IF(B123="","",'Statement of Marks'!FJ124)</f>
        <v/>
      </c>
      <c r="L123" s="295" t="str">
        <f>IF(B123="","",'Statement of Marks'!FM124)</f>
        <v/>
      </c>
      <c r="M123" s="295" t="str">
        <f>IF(B123="","",'Statement of Marks'!FP124)</f>
        <v/>
      </c>
      <c r="N123" s="295" t="str">
        <f>IF(B123="","",'Statement of Marks'!FW124)</f>
        <v/>
      </c>
      <c r="O123" s="295" t="str">
        <f>IF(B123="","",'Statement of Marks'!GD124)</f>
        <v/>
      </c>
      <c r="P123" s="295" t="str">
        <f>IF(B123="","",'Statement of Marks'!GK124)</f>
        <v/>
      </c>
      <c r="Q123" s="295" t="str">
        <f>IF(B123="","",'Statement of Marks'!GR124)</f>
        <v/>
      </c>
      <c r="R123" s="295" t="str">
        <f>IF(B123="","",'Statement of Marks'!GS124)</f>
        <v/>
      </c>
      <c r="S123" s="287" t="str">
        <f>IF(COUNTIF(K123:R123,"F")&gt;0,"",CONCATENATE('Statement of Marks'!GU124,'Statement of Marks'!GW124))</f>
        <v xml:space="preserve">           </v>
      </c>
      <c r="T123" s="288">
        <f t="shared" si="18"/>
        <v>0</v>
      </c>
      <c r="U123" s="16"/>
      <c r="V123" s="296" t="str">
        <f t="shared" si="19"/>
        <v/>
      </c>
      <c r="W123" s="296" t="str">
        <f t="shared" si="20"/>
        <v/>
      </c>
      <c r="X123" s="16"/>
      <c r="Y123" s="296" t="str">
        <f t="shared" si="21"/>
        <v/>
      </c>
      <c r="Z123" s="296" t="str">
        <f t="shared" si="22"/>
        <v/>
      </c>
      <c r="AA123" s="16"/>
      <c r="AB123" s="296" t="str">
        <f t="shared" si="23"/>
        <v/>
      </c>
      <c r="AC123" s="297" t="str">
        <f t="shared" si="24"/>
        <v/>
      </c>
      <c r="AD123" s="16"/>
      <c r="AE123" s="296" t="str">
        <f t="shared" si="25"/>
        <v/>
      </c>
      <c r="AF123" s="297" t="str">
        <f t="shared" si="26"/>
        <v/>
      </c>
      <c r="AG123" s="16"/>
      <c r="AH123" s="296" t="str">
        <f t="shared" si="27"/>
        <v/>
      </c>
      <c r="AI123" s="297" t="str">
        <f t="shared" si="28"/>
        <v/>
      </c>
      <c r="AJ123" s="16"/>
      <c r="AK123" s="297" t="str">
        <f t="shared" si="29"/>
        <v/>
      </c>
      <c r="AL123" s="297" t="str">
        <f t="shared" si="30"/>
        <v/>
      </c>
      <c r="AM123" s="16"/>
      <c r="AN123" s="296" t="str">
        <f t="shared" si="31"/>
        <v/>
      </c>
      <c r="AO123" s="16"/>
      <c r="AP123" s="296" t="str">
        <f t="shared" si="32"/>
        <v/>
      </c>
      <c r="AQ123" s="298">
        <f t="shared" si="33"/>
        <v>0</v>
      </c>
      <c r="AR123" s="298">
        <f t="shared" si="34"/>
        <v>0</v>
      </c>
      <c r="AS123" s="299" t="str">
        <f t="shared" si="35"/>
        <v/>
      </c>
      <c r="AT123" s="300" t="str">
        <f>IF(COUNTIF(K123:R123,"F")&gt;0,"",IF(AS123="PASS",'Statement of Marks'!HF124,""))</f>
        <v/>
      </c>
      <c r="AU123" s="300" t="str">
        <f>IF(AS123="PASS",'Statement of Marks'!HG124,"")</f>
        <v/>
      </c>
    </row>
    <row r="124" spans="1:47">
      <c r="A124" s="283">
        <f>IF('Statement of Marks'!A125="","",'Statement of Marks'!A125)</f>
        <v>118</v>
      </c>
      <c r="B124" s="283" t="str">
        <f>IF('Statement of Marks'!B125="","",'Statement of Marks'!B125)</f>
        <v/>
      </c>
      <c r="C124" s="283" t="str">
        <f>IF('Statement of Marks'!C125="","",'Statement of Marks'!C125)</f>
        <v/>
      </c>
      <c r="D124" s="284" t="str">
        <f>IF('Statement of Marks'!D125="","",'Statement of Marks'!D125)</f>
        <v/>
      </c>
      <c r="E124" s="285" t="str">
        <f>IF('Statement of Marks'!E125="","",'Statement of Marks'!E125)</f>
        <v/>
      </c>
      <c r="F124" s="285" t="str">
        <f>IF('Statement of Marks'!F125="","",'Statement of Marks'!F125)</f>
        <v/>
      </c>
      <c r="G124" s="285" t="str">
        <f>IF('Statement of Marks'!G125="","",'Statement of Marks'!G125)</f>
        <v/>
      </c>
      <c r="H124" s="286" t="str">
        <f>IF('Statement of Marks'!GY125="","",'Statement of Marks'!GY125)</f>
        <v/>
      </c>
      <c r="I124" s="286" t="str">
        <f>IF('Statement of Marks'!HB125="","",'Statement of Marks'!HB125)</f>
        <v/>
      </c>
      <c r="J124" s="287" t="str">
        <f>IF('Statement of Marks'!HC125="","",'Statement of Marks'!HC125)</f>
        <v/>
      </c>
      <c r="K124" s="295" t="str">
        <f>IF(B124="","",'Statement of Marks'!FJ125)</f>
        <v/>
      </c>
      <c r="L124" s="295" t="str">
        <f>IF(B124="","",'Statement of Marks'!FM125)</f>
        <v/>
      </c>
      <c r="M124" s="295" t="str">
        <f>IF(B124="","",'Statement of Marks'!FP125)</f>
        <v/>
      </c>
      <c r="N124" s="295" t="str">
        <f>IF(B124="","",'Statement of Marks'!FW125)</f>
        <v/>
      </c>
      <c r="O124" s="295" t="str">
        <f>IF(B124="","",'Statement of Marks'!GD125)</f>
        <v/>
      </c>
      <c r="P124" s="295" t="str">
        <f>IF(B124="","",'Statement of Marks'!GK125)</f>
        <v/>
      </c>
      <c r="Q124" s="295" t="str">
        <f>IF(B124="","",'Statement of Marks'!GR125)</f>
        <v/>
      </c>
      <c r="R124" s="295" t="str">
        <f>IF(B124="","",'Statement of Marks'!GS125)</f>
        <v/>
      </c>
      <c r="S124" s="287" t="str">
        <f>IF(COUNTIF(K124:R124,"F")&gt;0,"",CONCATENATE('Statement of Marks'!GU125,'Statement of Marks'!GW125))</f>
        <v xml:space="preserve">           </v>
      </c>
      <c r="T124" s="288">
        <f t="shared" si="18"/>
        <v>0</v>
      </c>
      <c r="U124" s="16"/>
      <c r="V124" s="296" t="str">
        <f t="shared" si="19"/>
        <v/>
      </c>
      <c r="W124" s="296" t="str">
        <f t="shared" si="20"/>
        <v/>
      </c>
      <c r="X124" s="16"/>
      <c r="Y124" s="296" t="str">
        <f t="shared" si="21"/>
        <v/>
      </c>
      <c r="Z124" s="296" t="str">
        <f t="shared" si="22"/>
        <v/>
      </c>
      <c r="AA124" s="16"/>
      <c r="AB124" s="296" t="str">
        <f t="shared" si="23"/>
        <v/>
      </c>
      <c r="AC124" s="297" t="str">
        <f t="shared" si="24"/>
        <v/>
      </c>
      <c r="AD124" s="16"/>
      <c r="AE124" s="296" t="str">
        <f t="shared" si="25"/>
        <v/>
      </c>
      <c r="AF124" s="297" t="str">
        <f t="shared" si="26"/>
        <v/>
      </c>
      <c r="AG124" s="16"/>
      <c r="AH124" s="296" t="str">
        <f t="shared" si="27"/>
        <v/>
      </c>
      <c r="AI124" s="297" t="str">
        <f t="shared" si="28"/>
        <v/>
      </c>
      <c r="AJ124" s="16"/>
      <c r="AK124" s="297" t="str">
        <f t="shared" si="29"/>
        <v/>
      </c>
      <c r="AL124" s="297" t="str">
        <f t="shared" si="30"/>
        <v/>
      </c>
      <c r="AM124" s="16"/>
      <c r="AN124" s="296" t="str">
        <f t="shared" si="31"/>
        <v/>
      </c>
      <c r="AO124" s="16"/>
      <c r="AP124" s="296" t="str">
        <f t="shared" si="32"/>
        <v/>
      </c>
      <c r="AQ124" s="298">
        <f t="shared" si="33"/>
        <v>0</v>
      </c>
      <c r="AR124" s="298">
        <f t="shared" si="34"/>
        <v>0</v>
      </c>
      <c r="AS124" s="299" t="str">
        <f t="shared" si="35"/>
        <v/>
      </c>
      <c r="AT124" s="300" t="str">
        <f>IF(COUNTIF(K124:R124,"F")&gt;0,"",IF(AS124="PASS",'Statement of Marks'!HF125,""))</f>
        <v/>
      </c>
      <c r="AU124" s="300" t="str">
        <f>IF(AS124="PASS",'Statement of Marks'!HG125,"")</f>
        <v/>
      </c>
    </row>
    <row r="125" spans="1:47">
      <c r="A125" s="283">
        <f>IF('Statement of Marks'!A126="","",'Statement of Marks'!A126)</f>
        <v>119</v>
      </c>
      <c r="B125" s="283" t="str">
        <f>IF('Statement of Marks'!B126="","",'Statement of Marks'!B126)</f>
        <v/>
      </c>
      <c r="C125" s="283" t="str">
        <f>IF('Statement of Marks'!C126="","",'Statement of Marks'!C126)</f>
        <v/>
      </c>
      <c r="D125" s="284" t="str">
        <f>IF('Statement of Marks'!D126="","",'Statement of Marks'!D126)</f>
        <v/>
      </c>
      <c r="E125" s="285" t="str">
        <f>IF('Statement of Marks'!E126="","",'Statement of Marks'!E126)</f>
        <v/>
      </c>
      <c r="F125" s="285" t="str">
        <f>IF('Statement of Marks'!F126="","",'Statement of Marks'!F126)</f>
        <v/>
      </c>
      <c r="G125" s="285" t="str">
        <f>IF('Statement of Marks'!G126="","",'Statement of Marks'!G126)</f>
        <v/>
      </c>
      <c r="H125" s="286" t="str">
        <f>IF('Statement of Marks'!GY126="","",'Statement of Marks'!GY126)</f>
        <v/>
      </c>
      <c r="I125" s="286" t="str">
        <f>IF('Statement of Marks'!HB126="","",'Statement of Marks'!HB126)</f>
        <v/>
      </c>
      <c r="J125" s="287" t="str">
        <f>IF('Statement of Marks'!HC126="","",'Statement of Marks'!HC126)</f>
        <v/>
      </c>
      <c r="K125" s="295" t="str">
        <f>IF(B125="","",'Statement of Marks'!FJ126)</f>
        <v/>
      </c>
      <c r="L125" s="295" t="str">
        <f>IF(B125="","",'Statement of Marks'!FM126)</f>
        <v/>
      </c>
      <c r="M125" s="295" t="str">
        <f>IF(B125="","",'Statement of Marks'!FP126)</f>
        <v/>
      </c>
      <c r="N125" s="295" t="str">
        <f>IF(B125="","",'Statement of Marks'!FW126)</f>
        <v/>
      </c>
      <c r="O125" s="295" t="str">
        <f>IF(B125="","",'Statement of Marks'!GD126)</f>
        <v/>
      </c>
      <c r="P125" s="295" t="str">
        <f>IF(B125="","",'Statement of Marks'!GK126)</f>
        <v/>
      </c>
      <c r="Q125" s="295" t="str">
        <f>IF(B125="","",'Statement of Marks'!GR126)</f>
        <v/>
      </c>
      <c r="R125" s="295" t="str">
        <f>IF(B125="","",'Statement of Marks'!GS126)</f>
        <v/>
      </c>
      <c r="S125" s="287" t="str">
        <f>IF(COUNTIF(K125:R125,"F")&gt;0,"",CONCATENATE('Statement of Marks'!GU126,'Statement of Marks'!GW126))</f>
        <v xml:space="preserve">           </v>
      </c>
      <c r="T125" s="288">
        <f t="shared" si="18"/>
        <v>0</v>
      </c>
      <c r="U125" s="16"/>
      <c r="V125" s="296" t="str">
        <f t="shared" si="19"/>
        <v/>
      </c>
      <c r="W125" s="296" t="str">
        <f t="shared" si="20"/>
        <v/>
      </c>
      <c r="X125" s="16"/>
      <c r="Y125" s="296" t="str">
        <f t="shared" si="21"/>
        <v/>
      </c>
      <c r="Z125" s="296" t="str">
        <f t="shared" si="22"/>
        <v/>
      </c>
      <c r="AA125" s="16"/>
      <c r="AB125" s="296" t="str">
        <f t="shared" si="23"/>
        <v/>
      </c>
      <c r="AC125" s="297" t="str">
        <f t="shared" si="24"/>
        <v/>
      </c>
      <c r="AD125" s="16"/>
      <c r="AE125" s="296" t="str">
        <f t="shared" si="25"/>
        <v/>
      </c>
      <c r="AF125" s="297" t="str">
        <f t="shared" si="26"/>
        <v/>
      </c>
      <c r="AG125" s="16"/>
      <c r="AH125" s="296" t="str">
        <f t="shared" si="27"/>
        <v/>
      </c>
      <c r="AI125" s="297" t="str">
        <f t="shared" si="28"/>
        <v/>
      </c>
      <c r="AJ125" s="16"/>
      <c r="AK125" s="297" t="str">
        <f t="shared" si="29"/>
        <v/>
      </c>
      <c r="AL125" s="297" t="str">
        <f t="shared" si="30"/>
        <v/>
      </c>
      <c r="AM125" s="16"/>
      <c r="AN125" s="296" t="str">
        <f t="shared" si="31"/>
        <v/>
      </c>
      <c r="AO125" s="16"/>
      <c r="AP125" s="296" t="str">
        <f t="shared" si="32"/>
        <v/>
      </c>
      <c r="AQ125" s="298">
        <f t="shared" si="33"/>
        <v>0</v>
      </c>
      <c r="AR125" s="298">
        <f t="shared" si="34"/>
        <v>0</v>
      </c>
      <c r="AS125" s="299" t="str">
        <f t="shared" si="35"/>
        <v/>
      </c>
      <c r="AT125" s="300" t="str">
        <f>IF(COUNTIF(K125:R125,"F")&gt;0,"",IF(AS125="PASS",'Statement of Marks'!HF126,""))</f>
        <v/>
      </c>
      <c r="AU125" s="300" t="str">
        <f>IF(AS125="PASS",'Statement of Marks'!HG126,"")</f>
        <v/>
      </c>
    </row>
    <row r="126" spans="1:47">
      <c r="A126" s="283">
        <f>IF('Statement of Marks'!A127="","",'Statement of Marks'!A127)</f>
        <v>120</v>
      </c>
      <c r="B126" s="283" t="str">
        <f>IF('Statement of Marks'!B127="","",'Statement of Marks'!B127)</f>
        <v/>
      </c>
      <c r="C126" s="283" t="str">
        <f>IF('Statement of Marks'!C127="","",'Statement of Marks'!C127)</f>
        <v/>
      </c>
      <c r="D126" s="284" t="str">
        <f>IF('Statement of Marks'!D127="","",'Statement of Marks'!D127)</f>
        <v/>
      </c>
      <c r="E126" s="285" t="str">
        <f>IF('Statement of Marks'!E127="","",'Statement of Marks'!E127)</f>
        <v/>
      </c>
      <c r="F126" s="285" t="str">
        <f>IF('Statement of Marks'!F127="","",'Statement of Marks'!F127)</f>
        <v/>
      </c>
      <c r="G126" s="285" t="str">
        <f>IF('Statement of Marks'!G127="","",'Statement of Marks'!G127)</f>
        <v/>
      </c>
      <c r="H126" s="286" t="str">
        <f>IF('Statement of Marks'!GY127="","",'Statement of Marks'!GY127)</f>
        <v/>
      </c>
      <c r="I126" s="286" t="str">
        <f>IF('Statement of Marks'!HB127="","",'Statement of Marks'!HB127)</f>
        <v/>
      </c>
      <c r="J126" s="287" t="str">
        <f>IF('Statement of Marks'!HC127="","",'Statement of Marks'!HC127)</f>
        <v/>
      </c>
      <c r="K126" s="295" t="str">
        <f>IF(B126="","",'Statement of Marks'!FJ127)</f>
        <v/>
      </c>
      <c r="L126" s="295" t="str">
        <f>IF(B126="","",'Statement of Marks'!FM127)</f>
        <v/>
      </c>
      <c r="M126" s="295" t="str">
        <f>IF(B126="","",'Statement of Marks'!FP127)</f>
        <v/>
      </c>
      <c r="N126" s="295" t="str">
        <f>IF(B126="","",'Statement of Marks'!FW127)</f>
        <v/>
      </c>
      <c r="O126" s="295" t="str">
        <f>IF(B126="","",'Statement of Marks'!GD127)</f>
        <v/>
      </c>
      <c r="P126" s="295" t="str">
        <f>IF(B126="","",'Statement of Marks'!GK127)</f>
        <v/>
      </c>
      <c r="Q126" s="295" t="str">
        <f>IF(B126="","",'Statement of Marks'!GR127)</f>
        <v/>
      </c>
      <c r="R126" s="295" t="str">
        <f>IF(B126="","",'Statement of Marks'!GS127)</f>
        <v/>
      </c>
      <c r="S126" s="287" t="str">
        <f>IF(COUNTIF(K126:R126,"F")&gt;0,"",CONCATENATE('Statement of Marks'!GU127,'Statement of Marks'!GW127))</f>
        <v xml:space="preserve">           </v>
      </c>
      <c r="T126" s="288">
        <f t="shared" si="18"/>
        <v>0</v>
      </c>
      <c r="U126" s="16"/>
      <c r="V126" s="296" t="str">
        <f t="shared" si="19"/>
        <v/>
      </c>
      <c r="W126" s="296" t="str">
        <f t="shared" si="20"/>
        <v/>
      </c>
      <c r="X126" s="16"/>
      <c r="Y126" s="296" t="str">
        <f t="shared" si="21"/>
        <v/>
      </c>
      <c r="Z126" s="296" t="str">
        <f t="shared" si="22"/>
        <v/>
      </c>
      <c r="AA126" s="16"/>
      <c r="AB126" s="296" t="str">
        <f t="shared" si="23"/>
        <v/>
      </c>
      <c r="AC126" s="297" t="str">
        <f t="shared" si="24"/>
        <v/>
      </c>
      <c r="AD126" s="16"/>
      <c r="AE126" s="296" t="str">
        <f t="shared" si="25"/>
        <v/>
      </c>
      <c r="AF126" s="297" t="str">
        <f t="shared" si="26"/>
        <v/>
      </c>
      <c r="AG126" s="16"/>
      <c r="AH126" s="296" t="str">
        <f t="shared" si="27"/>
        <v/>
      </c>
      <c r="AI126" s="297" t="str">
        <f t="shared" si="28"/>
        <v/>
      </c>
      <c r="AJ126" s="16"/>
      <c r="AK126" s="297" t="str">
        <f t="shared" si="29"/>
        <v/>
      </c>
      <c r="AL126" s="297" t="str">
        <f t="shared" si="30"/>
        <v/>
      </c>
      <c r="AM126" s="16"/>
      <c r="AN126" s="296" t="str">
        <f t="shared" si="31"/>
        <v/>
      </c>
      <c r="AO126" s="16"/>
      <c r="AP126" s="296" t="str">
        <f t="shared" si="32"/>
        <v/>
      </c>
      <c r="AQ126" s="298">
        <f t="shared" si="33"/>
        <v>0</v>
      </c>
      <c r="AR126" s="298">
        <f t="shared" si="34"/>
        <v>0</v>
      </c>
      <c r="AS126" s="299" t="str">
        <f t="shared" si="35"/>
        <v/>
      </c>
      <c r="AT126" s="300" t="str">
        <f>IF(COUNTIF(K126:R126,"F")&gt;0,"",IF(AS126="PASS",'Statement of Marks'!HF127,""))</f>
        <v/>
      </c>
      <c r="AU126" s="300" t="str">
        <f>IF(AS126="PASS",'Statement of Marks'!HG127,"")</f>
        <v/>
      </c>
    </row>
    <row r="127" spans="1:47">
      <c r="A127" s="283">
        <f>IF('Statement of Marks'!A128="","",'Statement of Marks'!A128)</f>
        <v>121</v>
      </c>
      <c r="B127" s="283" t="str">
        <f>IF('Statement of Marks'!B128="","",'Statement of Marks'!B128)</f>
        <v/>
      </c>
      <c r="C127" s="283" t="str">
        <f>IF('Statement of Marks'!C128="","",'Statement of Marks'!C128)</f>
        <v/>
      </c>
      <c r="D127" s="284" t="str">
        <f>IF('Statement of Marks'!D128="","",'Statement of Marks'!D128)</f>
        <v/>
      </c>
      <c r="E127" s="285" t="str">
        <f>IF('Statement of Marks'!E128="","",'Statement of Marks'!E128)</f>
        <v/>
      </c>
      <c r="F127" s="285" t="str">
        <f>IF('Statement of Marks'!F128="","",'Statement of Marks'!F128)</f>
        <v/>
      </c>
      <c r="G127" s="285" t="str">
        <f>IF('Statement of Marks'!G128="","",'Statement of Marks'!G128)</f>
        <v/>
      </c>
      <c r="H127" s="286" t="str">
        <f>IF('Statement of Marks'!GY128="","",'Statement of Marks'!GY128)</f>
        <v/>
      </c>
      <c r="I127" s="286" t="str">
        <f>IF('Statement of Marks'!HB128="","",'Statement of Marks'!HB128)</f>
        <v/>
      </c>
      <c r="J127" s="287" t="str">
        <f>IF('Statement of Marks'!HC128="","",'Statement of Marks'!HC128)</f>
        <v/>
      </c>
      <c r="K127" s="295" t="str">
        <f>IF(B127="","",'Statement of Marks'!FJ128)</f>
        <v/>
      </c>
      <c r="L127" s="295" t="str">
        <f>IF(B127="","",'Statement of Marks'!FM128)</f>
        <v/>
      </c>
      <c r="M127" s="295" t="str">
        <f>IF(B127="","",'Statement of Marks'!FP128)</f>
        <v/>
      </c>
      <c r="N127" s="295" t="str">
        <f>IF(B127="","",'Statement of Marks'!FW128)</f>
        <v/>
      </c>
      <c r="O127" s="295" t="str">
        <f>IF(B127="","",'Statement of Marks'!GD128)</f>
        <v/>
      </c>
      <c r="P127" s="295" t="str">
        <f>IF(B127="","",'Statement of Marks'!GK128)</f>
        <v/>
      </c>
      <c r="Q127" s="295" t="str">
        <f>IF(B127="","",'Statement of Marks'!GR128)</f>
        <v/>
      </c>
      <c r="R127" s="295" t="str">
        <f>IF(B127="","",'Statement of Marks'!GS128)</f>
        <v/>
      </c>
      <c r="S127" s="287" t="str">
        <f>IF(COUNTIF(K127:R127,"F")&gt;0,"",CONCATENATE('Statement of Marks'!GU128,'Statement of Marks'!GW128))</f>
        <v xml:space="preserve">           </v>
      </c>
      <c r="T127" s="288">
        <f t="shared" si="18"/>
        <v>0</v>
      </c>
      <c r="U127" s="16"/>
      <c r="V127" s="296" t="str">
        <f t="shared" si="19"/>
        <v/>
      </c>
      <c r="W127" s="296" t="str">
        <f t="shared" si="20"/>
        <v/>
      </c>
      <c r="X127" s="16"/>
      <c r="Y127" s="296" t="str">
        <f t="shared" si="21"/>
        <v/>
      </c>
      <c r="Z127" s="296" t="str">
        <f t="shared" si="22"/>
        <v/>
      </c>
      <c r="AA127" s="16"/>
      <c r="AB127" s="296" t="str">
        <f t="shared" si="23"/>
        <v/>
      </c>
      <c r="AC127" s="297" t="str">
        <f t="shared" si="24"/>
        <v/>
      </c>
      <c r="AD127" s="16"/>
      <c r="AE127" s="296" t="str">
        <f t="shared" si="25"/>
        <v/>
      </c>
      <c r="AF127" s="297" t="str">
        <f t="shared" si="26"/>
        <v/>
      </c>
      <c r="AG127" s="16"/>
      <c r="AH127" s="296" t="str">
        <f t="shared" si="27"/>
        <v/>
      </c>
      <c r="AI127" s="297" t="str">
        <f t="shared" si="28"/>
        <v/>
      </c>
      <c r="AJ127" s="16"/>
      <c r="AK127" s="297" t="str">
        <f t="shared" si="29"/>
        <v/>
      </c>
      <c r="AL127" s="297" t="str">
        <f t="shared" si="30"/>
        <v/>
      </c>
      <c r="AM127" s="16"/>
      <c r="AN127" s="296" t="str">
        <f t="shared" si="31"/>
        <v/>
      </c>
      <c r="AO127" s="16"/>
      <c r="AP127" s="296" t="str">
        <f t="shared" si="32"/>
        <v/>
      </c>
      <c r="AQ127" s="298">
        <f t="shared" si="33"/>
        <v>0</v>
      </c>
      <c r="AR127" s="298">
        <f t="shared" si="34"/>
        <v>0</v>
      </c>
      <c r="AS127" s="299" t="str">
        <f t="shared" si="35"/>
        <v/>
      </c>
      <c r="AT127" s="300" t="str">
        <f>IF(COUNTIF(K127:R127,"F")&gt;0,"",IF(AS127="PASS",'Statement of Marks'!HF128,""))</f>
        <v/>
      </c>
      <c r="AU127" s="300" t="str">
        <f>IF(AS127="PASS",'Statement of Marks'!HG128,"")</f>
        <v/>
      </c>
    </row>
    <row r="128" spans="1:47">
      <c r="A128" s="283">
        <f>IF('Statement of Marks'!A129="","",'Statement of Marks'!A129)</f>
        <v>122</v>
      </c>
      <c r="B128" s="283" t="str">
        <f>IF('Statement of Marks'!B129="","",'Statement of Marks'!B129)</f>
        <v/>
      </c>
      <c r="C128" s="283" t="str">
        <f>IF('Statement of Marks'!C129="","",'Statement of Marks'!C129)</f>
        <v/>
      </c>
      <c r="D128" s="284" t="str">
        <f>IF('Statement of Marks'!D129="","",'Statement of Marks'!D129)</f>
        <v/>
      </c>
      <c r="E128" s="285" t="str">
        <f>IF('Statement of Marks'!E129="","",'Statement of Marks'!E129)</f>
        <v/>
      </c>
      <c r="F128" s="285" t="str">
        <f>IF('Statement of Marks'!F129="","",'Statement of Marks'!F129)</f>
        <v/>
      </c>
      <c r="G128" s="285" t="str">
        <f>IF('Statement of Marks'!G129="","",'Statement of Marks'!G129)</f>
        <v/>
      </c>
      <c r="H128" s="286" t="str">
        <f>IF('Statement of Marks'!GY129="","",'Statement of Marks'!GY129)</f>
        <v/>
      </c>
      <c r="I128" s="286" t="str">
        <f>IF('Statement of Marks'!HB129="","",'Statement of Marks'!HB129)</f>
        <v/>
      </c>
      <c r="J128" s="287" t="str">
        <f>IF('Statement of Marks'!HC129="","",'Statement of Marks'!HC129)</f>
        <v/>
      </c>
      <c r="K128" s="295" t="str">
        <f>IF(B128="","",'Statement of Marks'!FJ129)</f>
        <v/>
      </c>
      <c r="L128" s="295" t="str">
        <f>IF(B128="","",'Statement of Marks'!FM129)</f>
        <v/>
      </c>
      <c r="M128" s="295" t="str">
        <f>IF(B128="","",'Statement of Marks'!FP129)</f>
        <v/>
      </c>
      <c r="N128" s="295" t="str">
        <f>IF(B128="","",'Statement of Marks'!FW129)</f>
        <v/>
      </c>
      <c r="O128" s="295" t="str">
        <f>IF(B128="","",'Statement of Marks'!GD129)</f>
        <v/>
      </c>
      <c r="P128" s="295" t="str">
        <f>IF(B128="","",'Statement of Marks'!GK129)</f>
        <v/>
      </c>
      <c r="Q128" s="295" t="str">
        <f>IF(B128="","",'Statement of Marks'!GR129)</f>
        <v/>
      </c>
      <c r="R128" s="295" t="str">
        <f>IF(B128="","",'Statement of Marks'!GS129)</f>
        <v/>
      </c>
      <c r="S128" s="287" t="str">
        <f>IF(COUNTIF(K128:R128,"F")&gt;0,"",CONCATENATE('Statement of Marks'!GU129,'Statement of Marks'!GW129))</f>
        <v xml:space="preserve">           </v>
      </c>
      <c r="T128" s="288">
        <f t="shared" si="18"/>
        <v>0</v>
      </c>
      <c r="U128" s="16"/>
      <c r="V128" s="296" t="str">
        <f t="shared" si="19"/>
        <v/>
      </c>
      <c r="W128" s="296" t="str">
        <f t="shared" si="20"/>
        <v/>
      </c>
      <c r="X128" s="16"/>
      <c r="Y128" s="296" t="str">
        <f t="shared" si="21"/>
        <v/>
      </c>
      <c r="Z128" s="296" t="str">
        <f t="shared" si="22"/>
        <v/>
      </c>
      <c r="AA128" s="16"/>
      <c r="AB128" s="296" t="str">
        <f t="shared" si="23"/>
        <v/>
      </c>
      <c r="AC128" s="297" t="str">
        <f t="shared" si="24"/>
        <v/>
      </c>
      <c r="AD128" s="16"/>
      <c r="AE128" s="296" t="str">
        <f t="shared" si="25"/>
        <v/>
      </c>
      <c r="AF128" s="297" t="str">
        <f t="shared" si="26"/>
        <v/>
      </c>
      <c r="AG128" s="16"/>
      <c r="AH128" s="296" t="str">
        <f t="shared" si="27"/>
        <v/>
      </c>
      <c r="AI128" s="297" t="str">
        <f t="shared" si="28"/>
        <v/>
      </c>
      <c r="AJ128" s="16"/>
      <c r="AK128" s="297" t="str">
        <f t="shared" si="29"/>
        <v/>
      </c>
      <c r="AL128" s="297" t="str">
        <f t="shared" si="30"/>
        <v/>
      </c>
      <c r="AM128" s="16"/>
      <c r="AN128" s="296" t="str">
        <f t="shared" si="31"/>
        <v/>
      </c>
      <c r="AO128" s="16"/>
      <c r="AP128" s="296" t="str">
        <f t="shared" si="32"/>
        <v/>
      </c>
      <c r="AQ128" s="298">
        <f t="shared" si="33"/>
        <v>0</v>
      </c>
      <c r="AR128" s="298">
        <f t="shared" si="34"/>
        <v>0</v>
      </c>
      <c r="AS128" s="299" t="str">
        <f t="shared" si="35"/>
        <v/>
      </c>
      <c r="AT128" s="300" t="str">
        <f>IF(COUNTIF(K128:R128,"F")&gt;0,"",IF(AS128="PASS",'Statement of Marks'!HF129,""))</f>
        <v/>
      </c>
      <c r="AU128" s="300" t="str">
        <f>IF(AS128="PASS",'Statement of Marks'!HG129,"")</f>
        <v/>
      </c>
    </row>
    <row r="129" spans="1:47">
      <c r="A129" s="283">
        <f>IF('Statement of Marks'!A130="","",'Statement of Marks'!A130)</f>
        <v>123</v>
      </c>
      <c r="B129" s="283" t="str">
        <f>IF('Statement of Marks'!B130="","",'Statement of Marks'!B130)</f>
        <v/>
      </c>
      <c r="C129" s="283" t="str">
        <f>IF('Statement of Marks'!C130="","",'Statement of Marks'!C130)</f>
        <v/>
      </c>
      <c r="D129" s="284" t="str">
        <f>IF('Statement of Marks'!D130="","",'Statement of Marks'!D130)</f>
        <v/>
      </c>
      <c r="E129" s="285" t="str">
        <f>IF('Statement of Marks'!E130="","",'Statement of Marks'!E130)</f>
        <v/>
      </c>
      <c r="F129" s="285" t="str">
        <f>IF('Statement of Marks'!F130="","",'Statement of Marks'!F130)</f>
        <v/>
      </c>
      <c r="G129" s="285" t="str">
        <f>IF('Statement of Marks'!G130="","",'Statement of Marks'!G130)</f>
        <v/>
      </c>
      <c r="H129" s="286" t="str">
        <f>IF('Statement of Marks'!GY130="","",'Statement of Marks'!GY130)</f>
        <v/>
      </c>
      <c r="I129" s="286" t="str">
        <f>IF('Statement of Marks'!HB130="","",'Statement of Marks'!HB130)</f>
        <v/>
      </c>
      <c r="J129" s="287" t="str">
        <f>IF('Statement of Marks'!HC130="","",'Statement of Marks'!HC130)</f>
        <v/>
      </c>
      <c r="K129" s="295" t="str">
        <f>IF(B129="","",'Statement of Marks'!FJ130)</f>
        <v/>
      </c>
      <c r="L129" s="295" t="str">
        <f>IF(B129="","",'Statement of Marks'!FM130)</f>
        <v/>
      </c>
      <c r="M129" s="295" t="str">
        <f>IF(B129="","",'Statement of Marks'!FP130)</f>
        <v/>
      </c>
      <c r="N129" s="295" t="str">
        <f>IF(B129="","",'Statement of Marks'!FW130)</f>
        <v/>
      </c>
      <c r="O129" s="295" t="str">
        <f>IF(B129="","",'Statement of Marks'!GD130)</f>
        <v/>
      </c>
      <c r="P129" s="295" t="str">
        <f>IF(B129="","",'Statement of Marks'!GK130)</f>
        <v/>
      </c>
      <c r="Q129" s="295" t="str">
        <f>IF(B129="","",'Statement of Marks'!GR130)</f>
        <v/>
      </c>
      <c r="R129" s="295" t="str">
        <f>IF(B129="","",'Statement of Marks'!GS130)</f>
        <v/>
      </c>
      <c r="S129" s="287" t="str">
        <f>IF(COUNTIF(K129:R129,"F")&gt;0,"",CONCATENATE('Statement of Marks'!GU130,'Statement of Marks'!GW130))</f>
        <v xml:space="preserve">           </v>
      </c>
      <c r="T129" s="288">
        <f t="shared" si="18"/>
        <v>0</v>
      </c>
      <c r="U129" s="16"/>
      <c r="V129" s="296" t="str">
        <f t="shared" si="19"/>
        <v/>
      </c>
      <c r="W129" s="296" t="str">
        <f t="shared" si="20"/>
        <v/>
      </c>
      <c r="X129" s="16"/>
      <c r="Y129" s="296" t="str">
        <f t="shared" si="21"/>
        <v/>
      </c>
      <c r="Z129" s="296" t="str">
        <f t="shared" si="22"/>
        <v/>
      </c>
      <c r="AA129" s="16"/>
      <c r="AB129" s="296" t="str">
        <f t="shared" si="23"/>
        <v/>
      </c>
      <c r="AC129" s="297" t="str">
        <f t="shared" si="24"/>
        <v/>
      </c>
      <c r="AD129" s="16"/>
      <c r="AE129" s="296" t="str">
        <f t="shared" si="25"/>
        <v/>
      </c>
      <c r="AF129" s="297" t="str">
        <f t="shared" si="26"/>
        <v/>
      </c>
      <c r="AG129" s="16"/>
      <c r="AH129" s="296" t="str">
        <f t="shared" si="27"/>
        <v/>
      </c>
      <c r="AI129" s="297" t="str">
        <f t="shared" si="28"/>
        <v/>
      </c>
      <c r="AJ129" s="16"/>
      <c r="AK129" s="297" t="str">
        <f t="shared" si="29"/>
        <v/>
      </c>
      <c r="AL129" s="297" t="str">
        <f t="shared" si="30"/>
        <v/>
      </c>
      <c r="AM129" s="16"/>
      <c r="AN129" s="296" t="str">
        <f t="shared" si="31"/>
        <v/>
      </c>
      <c r="AO129" s="16"/>
      <c r="AP129" s="296" t="str">
        <f t="shared" si="32"/>
        <v/>
      </c>
      <c r="AQ129" s="298">
        <f t="shared" si="33"/>
        <v>0</v>
      </c>
      <c r="AR129" s="298">
        <f t="shared" si="34"/>
        <v>0</v>
      </c>
      <c r="AS129" s="299" t="str">
        <f t="shared" si="35"/>
        <v/>
      </c>
      <c r="AT129" s="300" t="str">
        <f>IF(COUNTIF(K129:R129,"F")&gt;0,"",IF(AS129="PASS",'Statement of Marks'!HF130,""))</f>
        <v/>
      </c>
      <c r="AU129" s="300" t="str">
        <f>IF(AS129="PASS",'Statement of Marks'!HG130,"")</f>
        <v/>
      </c>
    </row>
    <row r="130" spans="1:47">
      <c r="A130" s="283">
        <f>IF('Statement of Marks'!A131="","",'Statement of Marks'!A131)</f>
        <v>124</v>
      </c>
      <c r="B130" s="283" t="str">
        <f>IF('Statement of Marks'!B131="","",'Statement of Marks'!B131)</f>
        <v/>
      </c>
      <c r="C130" s="283" t="str">
        <f>IF('Statement of Marks'!C131="","",'Statement of Marks'!C131)</f>
        <v/>
      </c>
      <c r="D130" s="284" t="str">
        <f>IF('Statement of Marks'!D131="","",'Statement of Marks'!D131)</f>
        <v/>
      </c>
      <c r="E130" s="285" t="str">
        <f>IF('Statement of Marks'!E131="","",'Statement of Marks'!E131)</f>
        <v/>
      </c>
      <c r="F130" s="285" t="str">
        <f>IF('Statement of Marks'!F131="","",'Statement of Marks'!F131)</f>
        <v/>
      </c>
      <c r="G130" s="285" t="str">
        <f>IF('Statement of Marks'!G131="","",'Statement of Marks'!G131)</f>
        <v/>
      </c>
      <c r="H130" s="286" t="str">
        <f>IF('Statement of Marks'!GY131="","",'Statement of Marks'!GY131)</f>
        <v/>
      </c>
      <c r="I130" s="286" t="str">
        <f>IF('Statement of Marks'!HB131="","",'Statement of Marks'!HB131)</f>
        <v/>
      </c>
      <c r="J130" s="287" t="str">
        <f>IF('Statement of Marks'!HC131="","",'Statement of Marks'!HC131)</f>
        <v/>
      </c>
      <c r="K130" s="295" t="str">
        <f>IF(B130="","",'Statement of Marks'!FJ131)</f>
        <v/>
      </c>
      <c r="L130" s="295" t="str">
        <f>IF(B130="","",'Statement of Marks'!FM131)</f>
        <v/>
      </c>
      <c r="M130" s="295" t="str">
        <f>IF(B130="","",'Statement of Marks'!FP131)</f>
        <v/>
      </c>
      <c r="N130" s="295" t="str">
        <f>IF(B130="","",'Statement of Marks'!FW131)</f>
        <v/>
      </c>
      <c r="O130" s="295" t="str">
        <f>IF(B130="","",'Statement of Marks'!GD131)</f>
        <v/>
      </c>
      <c r="P130" s="295" t="str">
        <f>IF(B130="","",'Statement of Marks'!GK131)</f>
        <v/>
      </c>
      <c r="Q130" s="295" t="str">
        <f>IF(B130="","",'Statement of Marks'!GR131)</f>
        <v/>
      </c>
      <c r="R130" s="295" t="str">
        <f>IF(B130="","",'Statement of Marks'!GS131)</f>
        <v/>
      </c>
      <c r="S130" s="287" t="str">
        <f>IF(COUNTIF(K130:R130,"F")&gt;0,"",CONCATENATE('Statement of Marks'!GU131,'Statement of Marks'!GW131))</f>
        <v xml:space="preserve">           </v>
      </c>
      <c r="T130" s="288">
        <f t="shared" si="18"/>
        <v>0</v>
      </c>
      <c r="U130" s="16"/>
      <c r="V130" s="296" t="str">
        <f t="shared" si="19"/>
        <v/>
      </c>
      <c r="W130" s="296" t="str">
        <f t="shared" si="20"/>
        <v/>
      </c>
      <c r="X130" s="16"/>
      <c r="Y130" s="296" t="str">
        <f t="shared" si="21"/>
        <v/>
      </c>
      <c r="Z130" s="296" t="str">
        <f t="shared" si="22"/>
        <v/>
      </c>
      <c r="AA130" s="16"/>
      <c r="AB130" s="296" t="str">
        <f t="shared" si="23"/>
        <v/>
      </c>
      <c r="AC130" s="297" t="str">
        <f t="shared" si="24"/>
        <v/>
      </c>
      <c r="AD130" s="16"/>
      <c r="AE130" s="296" t="str">
        <f t="shared" si="25"/>
        <v/>
      </c>
      <c r="AF130" s="297" t="str">
        <f t="shared" si="26"/>
        <v/>
      </c>
      <c r="AG130" s="16"/>
      <c r="AH130" s="296" t="str">
        <f t="shared" si="27"/>
        <v/>
      </c>
      <c r="AI130" s="297" t="str">
        <f t="shared" si="28"/>
        <v/>
      </c>
      <c r="AJ130" s="16"/>
      <c r="AK130" s="297" t="str">
        <f t="shared" si="29"/>
        <v/>
      </c>
      <c r="AL130" s="297" t="str">
        <f t="shared" si="30"/>
        <v/>
      </c>
      <c r="AM130" s="16"/>
      <c r="AN130" s="296" t="str">
        <f t="shared" si="31"/>
        <v/>
      </c>
      <c r="AO130" s="16"/>
      <c r="AP130" s="296" t="str">
        <f t="shared" si="32"/>
        <v/>
      </c>
      <c r="AQ130" s="298">
        <f t="shared" si="33"/>
        <v>0</v>
      </c>
      <c r="AR130" s="298">
        <f t="shared" si="34"/>
        <v>0</v>
      </c>
      <c r="AS130" s="299" t="str">
        <f t="shared" si="35"/>
        <v/>
      </c>
      <c r="AT130" s="300" t="str">
        <f>IF(COUNTIF(K130:R130,"F")&gt;0,"",IF(AS130="PASS",'Statement of Marks'!HF131,""))</f>
        <v/>
      </c>
      <c r="AU130" s="300" t="str">
        <f>IF(AS130="PASS",'Statement of Marks'!HG131,"")</f>
        <v/>
      </c>
    </row>
    <row r="131" spans="1:47">
      <c r="A131" s="283">
        <f>IF('Statement of Marks'!A132="","",'Statement of Marks'!A132)</f>
        <v>125</v>
      </c>
      <c r="B131" s="283" t="str">
        <f>IF('Statement of Marks'!B132="","",'Statement of Marks'!B132)</f>
        <v/>
      </c>
      <c r="C131" s="283" t="str">
        <f>IF('Statement of Marks'!C132="","",'Statement of Marks'!C132)</f>
        <v/>
      </c>
      <c r="D131" s="284" t="str">
        <f>IF('Statement of Marks'!D132="","",'Statement of Marks'!D132)</f>
        <v/>
      </c>
      <c r="E131" s="285" t="str">
        <f>IF('Statement of Marks'!E132="","",'Statement of Marks'!E132)</f>
        <v/>
      </c>
      <c r="F131" s="285" t="str">
        <f>IF('Statement of Marks'!F132="","",'Statement of Marks'!F132)</f>
        <v/>
      </c>
      <c r="G131" s="285" t="str">
        <f>IF('Statement of Marks'!G132="","",'Statement of Marks'!G132)</f>
        <v/>
      </c>
      <c r="H131" s="286" t="str">
        <f>IF('Statement of Marks'!GY132="","",'Statement of Marks'!GY132)</f>
        <v/>
      </c>
      <c r="I131" s="286" t="str">
        <f>IF('Statement of Marks'!HB132="","",'Statement of Marks'!HB132)</f>
        <v/>
      </c>
      <c r="J131" s="287" t="str">
        <f>IF('Statement of Marks'!HC132="","",'Statement of Marks'!HC132)</f>
        <v/>
      </c>
      <c r="K131" s="295" t="str">
        <f>IF(B131="","",'Statement of Marks'!FJ132)</f>
        <v/>
      </c>
      <c r="L131" s="295" t="str">
        <f>IF(B131="","",'Statement of Marks'!FM132)</f>
        <v/>
      </c>
      <c r="M131" s="295" t="str">
        <f>IF(B131="","",'Statement of Marks'!FP132)</f>
        <v/>
      </c>
      <c r="N131" s="295" t="str">
        <f>IF(B131="","",'Statement of Marks'!FW132)</f>
        <v/>
      </c>
      <c r="O131" s="295" t="str">
        <f>IF(B131="","",'Statement of Marks'!GD132)</f>
        <v/>
      </c>
      <c r="P131" s="295" t="str">
        <f>IF(B131="","",'Statement of Marks'!GK132)</f>
        <v/>
      </c>
      <c r="Q131" s="295" t="str">
        <f>IF(B131="","",'Statement of Marks'!GR132)</f>
        <v/>
      </c>
      <c r="R131" s="295" t="str">
        <f>IF(B131="","",'Statement of Marks'!GS132)</f>
        <v/>
      </c>
      <c r="S131" s="287" t="str">
        <f>IF(COUNTIF(K131:R131,"F")&gt;0,"",CONCATENATE('Statement of Marks'!GU132,'Statement of Marks'!GW132))</f>
        <v xml:space="preserve">           </v>
      </c>
      <c r="T131" s="288">
        <f t="shared" si="18"/>
        <v>0</v>
      </c>
      <c r="U131" s="16"/>
      <c r="V131" s="296" t="str">
        <f t="shared" si="19"/>
        <v/>
      </c>
      <c r="W131" s="296" t="str">
        <f t="shared" si="20"/>
        <v/>
      </c>
      <c r="X131" s="16"/>
      <c r="Y131" s="296" t="str">
        <f t="shared" si="21"/>
        <v/>
      </c>
      <c r="Z131" s="296" t="str">
        <f t="shared" si="22"/>
        <v/>
      </c>
      <c r="AA131" s="16"/>
      <c r="AB131" s="296" t="str">
        <f t="shared" si="23"/>
        <v/>
      </c>
      <c r="AC131" s="297" t="str">
        <f t="shared" si="24"/>
        <v/>
      </c>
      <c r="AD131" s="16"/>
      <c r="AE131" s="296" t="str">
        <f t="shared" si="25"/>
        <v/>
      </c>
      <c r="AF131" s="297" t="str">
        <f t="shared" si="26"/>
        <v/>
      </c>
      <c r="AG131" s="16"/>
      <c r="AH131" s="296" t="str">
        <f t="shared" si="27"/>
        <v/>
      </c>
      <c r="AI131" s="297" t="str">
        <f t="shared" si="28"/>
        <v/>
      </c>
      <c r="AJ131" s="16"/>
      <c r="AK131" s="297" t="str">
        <f t="shared" si="29"/>
        <v/>
      </c>
      <c r="AL131" s="297" t="str">
        <f t="shared" si="30"/>
        <v/>
      </c>
      <c r="AM131" s="16"/>
      <c r="AN131" s="296" t="str">
        <f t="shared" si="31"/>
        <v/>
      </c>
      <c r="AO131" s="16"/>
      <c r="AP131" s="296" t="str">
        <f t="shared" si="32"/>
        <v/>
      </c>
      <c r="AQ131" s="298">
        <f t="shared" si="33"/>
        <v>0</v>
      </c>
      <c r="AR131" s="298">
        <f t="shared" si="34"/>
        <v>0</v>
      </c>
      <c r="AS131" s="299" t="str">
        <f t="shared" si="35"/>
        <v/>
      </c>
      <c r="AT131" s="300" t="str">
        <f>IF(COUNTIF(K131:R131,"F")&gt;0,"",IF(AS131="PASS",'Statement of Marks'!HF132,""))</f>
        <v/>
      </c>
      <c r="AU131" s="300" t="str">
        <f>IF(AS131="PASS",'Statement of Marks'!HG132,"")</f>
        <v/>
      </c>
    </row>
    <row r="132" spans="1:47">
      <c r="A132" s="283">
        <f>IF('Statement of Marks'!A133="","",'Statement of Marks'!A133)</f>
        <v>126</v>
      </c>
      <c r="B132" s="283" t="str">
        <f>IF('Statement of Marks'!B133="","",'Statement of Marks'!B133)</f>
        <v/>
      </c>
      <c r="C132" s="283" t="str">
        <f>IF('Statement of Marks'!C133="","",'Statement of Marks'!C133)</f>
        <v/>
      </c>
      <c r="D132" s="284" t="str">
        <f>IF('Statement of Marks'!D133="","",'Statement of Marks'!D133)</f>
        <v/>
      </c>
      <c r="E132" s="285" t="str">
        <f>IF('Statement of Marks'!E133="","",'Statement of Marks'!E133)</f>
        <v/>
      </c>
      <c r="F132" s="285" t="str">
        <f>IF('Statement of Marks'!F133="","",'Statement of Marks'!F133)</f>
        <v/>
      </c>
      <c r="G132" s="285" t="str">
        <f>IF('Statement of Marks'!G133="","",'Statement of Marks'!G133)</f>
        <v/>
      </c>
      <c r="H132" s="286" t="str">
        <f>IF('Statement of Marks'!GY133="","",'Statement of Marks'!GY133)</f>
        <v/>
      </c>
      <c r="I132" s="286" t="str">
        <f>IF('Statement of Marks'!HB133="","",'Statement of Marks'!HB133)</f>
        <v/>
      </c>
      <c r="J132" s="287" t="str">
        <f>IF('Statement of Marks'!HC133="","",'Statement of Marks'!HC133)</f>
        <v/>
      </c>
      <c r="K132" s="295" t="str">
        <f>IF(B132="","",'Statement of Marks'!FJ133)</f>
        <v/>
      </c>
      <c r="L132" s="295" t="str">
        <f>IF(B132="","",'Statement of Marks'!FM133)</f>
        <v/>
      </c>
      <c r="M132" s="295" t="str">
        <f>IF(B132="","",'Statement of Marks'!FP133)</f>
        <v/>
      </c>
      <c r="N132" s="295" t="str">
        <f>IF(B132="","",'Statement of Marks'!FW133)</f>
        <v/>
      </c>
      <c r="O132" s="295" t="str">
        <f>IF(B132="","",'Statement of Marks'!GD133)</f>
        <v/>
      </c>
      <c r="P132" s="295" t="str">
        <f>IF(B132="","",'Statement of Marks'!GK133)</f>
        <v/>
      </c>
      <c r="Q132" s="295" t="str">
        <f>IF(B132="","",'Statement of Marks'!GR133)</f>
        <v/>
      </c>
      <c r="R132" s="295" t="str">
        <f>IF(B132="","",'Statement of Marks'!GS133)</f>
        <v/>
      </c>
      <c r="S132" s="287" t="str">
        <f>IF(COUNTIF(K132:R132,"F")&gt;0,"",CONCATENATE('Statement of Marks'!GU133,'Statement of Marks'!GW133))</f>
        <v xml:space="preserve">           </v>
      </c>
      <c r="T132" s="288">
        <f t="shared" si="18"/>
        <v>0</v>
      </c>
      <c r="U132" s="16"/>
      <c r="V132" s="296" t="str">
        <f t="shared" si="19"/>
        <v/>
      </c>
      <c r="W132" s="296" t="str">
        <f t="shared" si="20"/>
        <v/>
      </c>
      <c r="X132" s="16"/>
      <c r="Y132" s="296" t="str">
        <f t="shared" si="21"/>
        <v/>
      </c>
      <c r="Z132" s="296" t="str">
        <f t="shared" si="22"/>
        <v/>
      </c>
      <c r="AA132" s="16"/>
      <c r="AB132" s="296" t="str">
        <f t="shared" si="23"/>
        <v/>
      </c>
      <c r="AC132" s="297" t="str">
        <f t="shared" si="24"/>
        <v/>
      </c>
      <c r="AD132" s="16"/>
      <c r="AE132" s="296" t="str">
        <f t="shared" si="25"/>
        <v/>
      </c>
      <c r="AF132" s="297" t="str">
        <f t="shared" si="26"/>
        <v/>
      </c>
      <c r="AG132" s="16"/>
      <c r="AH132" s="296" t="str">
        <f t="shared" si="27"/>
        <v/>
      </c>
      <c r="AI132" s="297" t="str">
        <f t="shared" si="28"/>
        <v/>
      </c>
      <c r="AJ132" s="16"/>
      <c r="AK132" s="297" t="str">
        <f t="shared" si="29"/>
        <v/>
      </c>
      <c r="AL132" s="297" t="str">
        <f t="shared" si="30"/>
        <v/>
      </c>
      <c r="AM132" s="16"/>
      <c r="AN132" s="296" t="str">
        <f t="shared" si="31"/>
        <v/>
      </c>
      <c r="AO132" s="16"/>
      <c r="AP132" s="296" t="str">
        <f t="shared" si="32"/>
        <v/>
      </c>
      <c r="AQ132" s="298">
        <f t="shared" si="33"/>
        <v>0</v>
      </c>
      <c r="AR132" s="298">
        <f t="shared" si="34"/>
        <v>0</v>
      </c>
      <c r="AS132" s="299" t="str">
        <f t="shared" si="35"/>
        <v/>
      </c>
      <c r="AT132" s="300" t="str">
        <f>IF(COUNTIF(K132:R132,"F")&gt;0,"",IF(AS132="PASS",'Statement of Marks'!HF133,""))</f>
        <v/>
      </c>
      <c r="AU132" s="300" t="str">
        <f>IF(AS132="PASS",'Statement of Marks'!HG133,"")</f>
        <v/>
      </c>
    </row>
    <row r="133" spans="1:47">
      <c r="A133" s="283">
        <f>IF('Statement of Marks'!A134="","",'Statement of Marks'!A134)</f>
        <v>127</v>
      </c>
      <c r="B133" s="283" t="str">
        <f>IF('Statement of Marks'!B134="","",'Statement of Marks'!B134)</f>
        <v/>
      </c>
      <c r="C133" s="283" t="str">
        <f>IF('Statement of Marks'!C134="","",'Statement of Marks'!C134)</f>
        <v/>
      </c>
      <c r="D133" s="284" t="str">
        <f>IF('Statement of Marks'!D134="","",'Statement of Marks'!D134)</f>
        <v/>
      </c>
      <c r="E133" s="285" t="str">
        <f>IF('Statement of Marks'!E134="","",'Statement of Marks'!E134)</f>
        <v/>
      </c>
      <c r="F133" s="285" t="str">
        <f>IF('Statement of Marks'!F134="","",'Statement of Marks'!F134)</f>
        <v/>
      </c>
      <c r="G133" s="285" t="str">
        <f>IF('Statement of Marks'!G134="","",'Statement of Marks'!G134)</f>
        <v/>
      </c>
      <c r="H133" s="286" t="str">
        <f>IF('Statement of Marks'!GY134="","",'Statement of Marks'!GY134)</f>
        <v/>
      </c>
      <c r="I133" s="286" t="str">
        <f>IF('Statement of Marks'!HB134="","",'Statement of Marks'!HB134)</f>
        <v/>
      </c>
      <c r="J133" s="287" t="str">
        <f>IF('Statement of Marks'!HC134="","",'Statement of Marks'!HC134)</f>
        <v/>
      </c>
      <c r="K133" s="295" t="str">
        <f>IF(B133="","",'Statement of Marks'!FJ134)</f>
        <v/>
      </c>
      <c r="L133" s="295" t="str">
        <f>IF(B133="","",'Statement of Marks'!FM134)</f>
        <v/>
      </c>
      <c r="M133" s="295" t="str">
        <f>IF(B133="","",'Statement of Marks'!FP134)</f>
        <v/>
      </c>
      <c r="N133" s="295" t="str">
        <f>IF(B133="","",'Statement of Marks'!FW134)</f>
        <v/>
      </c>
      <c r="O133" s="295" t="str">
        <f>IF(B133="","",'Statement of Marks'!GD134)</f>
        <v/>
      </c>
      <c r="P133" s="295" t="str">
        <f>IF(B133="","",'Statement of Marks'!GK134)</f>
        <v/>
      </c>
      <c r="Q133" s="295" t="str">
        <f>IF(B133="","",'Statement of Marks'!GR134)</f>
        <v/>
      </c>
      <c r="R133" s="295" t="str">
        <f>IF(B133="","",'Statement of Marks'!GS134)</f>
        <v/>
      </c>
      <c r="S133" s="287" t="str">
        <f>IF(COUNTIF(K133:R133,"F")&gt;0,"",CONCATENATE('Statement of Marks'!GU134,'Statement of Marks'!GW134))</f>
        <v xml:space="preserve">           </v>
      </c>
      <c r="T133" s="288">
        <f t="shared" si="18"/>
        <v>0</v>
      </c>
      <c r="U133" s="16"/>
      <c r="V133" s="296" t="str">
        <f t="shared" si="19"/>
        <v/>
      </c>
      <c r="W133" s="296" t="str">
        <f t="shared" si="20"/>
        <v/>
      </c>
      <c r="X133" s="16"/>
      <c r="Y133" s="296" t="str">
        <f t="shared" si="21"/>
        <v/>
      </c>
      <c r="Z133" s="296" t="str">
        <f t="shared" si="22"/>
        <v/>
      </c>
      <c r="AA133" s="16"/>
      <c r="AB133" s="296" t="str">
        <f t="shared" si="23"/>
        <v/>
      </c>
      <c r="AC133" s="297" t="str">
        <f t="shared" si="24"/>
        <v/>
      </c>
      <c r="AD133" s="16"/>
      <c r="AE133" s="296" t="str">
        <f t="shared" si="25"/>
        <v/>
      </c>
      <c r="AF133" s="297" t="str">
        <f t="shared" si="26"/>
        <v/>
      </c>
      <c r="AG133" s="16"/>
      <c r="AH133" s="296" t="str">
        <f t="shared" si="27"/>
        <v/>
      </c>
      <c r="AI133" s="297" t="str">
        <f t="shared" si="28"/>
        <v/>
      </c>
      <c r="AJ133" s="16"/>
      <c r="AK133" s="297" t="str">
        <f t="shared" si="29"/>
        <v/>
      </c>
      <c r="AL133" s="297" t="str">
        <f t="shared" si="30"/>
        <v/>
      </c>
      <c r="AM133" s="16"/>
      <c r="AN133" s="296" t="str">
        <f t="shared" si="31"/>
        <v/>
      </c>
      <c r="AO133" s="16"/>
      <c r="AP133" s="296" t="str">
        <f t="shared" si="32"/>
        <v/>
      </c>
      <c r="AQ133" s="298">
        <f t="shared" si="33"/>
        <v>0</v>
      </c>
      <c r="AR133" s="298">
        <f t="shared" si="34"/>
        <v>0</v>
      </c>
      <c r="AS133" s="299" t="str">
        <f t="shared" si="35"/>
        <v/>
      </c>
      <c r="AT133" s="300" t="str">
        <f>IF(COUNTIF(K133:R133,"F")&gt;0,"",IF(AS133="PASS",'Statement of Marks'!HF134,""))</f>
        <v/>
      </c>
      <c r="AU133" s="300" t="str">
        <f>IF(AS133="PASS",'Statement of Marks'!HG134,"")</f>
        <v/>
      </c>
    </row>
    <row r="134" spans="1:47">
      <c r="A134" s="283">
        <f>IF('Statement of Marks'!A135="","",'Statement of Marks'!A135)</f>
        <v>128</v>
      </c>
      <c r="B134" s="283" t="str">
        <f>IF('Statement of Marks'!B135="","",'Statement of Marks'!B135)</f>
        <v/>
      </c>
      <c r="C134" s="283" t="str">
        <f>IF('Statement of Marks'!C135="","",'Statement of Marks'!C135)</f>
        <v/>
      </c>
      <c r="D134" s="284" t="str">
        <f>IF('Statement of Marks'!D135="","",'Statement of Marks'!D135)</f>
        <v/>
      </c>
      <c r="E134" s="285" t="str">
        <f>IF('Statement of Marks'!E135="","",'Statement of Marks'!E135)</f>
        <v/>
      </c>
      <c r="F134" s="285" t="str">
        <f>IF('Statement of Marks'!F135="","",'Statement of Marks'!F135)</f>
        <v/>
      </c>
      <c r="G134" s="285" t="str">
        <f>IF('Statement of Marks'!G135="","",'Statement of Marks'!G135)</f>
        <v/>
      </c>
      <c r="H134" s="286" t="str">
        <f>IF('Statement of Marks'!GY135="","",'Statement of Marks'!GY135)</f>
        <v/>
      </c>
      <c r="I134" s="286" t="str">
        <f>IF('Statement of Marks'!HB135="","",'Statement of Marks'!HB135)</f>
        <v/>
      </c>
      <c r="J134" s="287" t="str">
        <f>IF('Statement of Marks'!HC135="","",'Statement of Marks'!HC135)</f>
        <v/>
      </c>
      <c r="K134" s="295" t="str">
        <f>IF(B134="","",'Statement of Marks'!FJ135)</f>
        <v/>
      </c>
      <c r="L134" s="295" t="str">
        <f>IF(B134="","",'Statement of Marks'!FM135)</f>
        <v/>
      </c>
      <c r="M134" s="295" t="str">
        <f>IF(B134="","",'Statement of Marks'!FP135)</f>
        <v/>
      </c>
      <c r="N134" s="295" t="str">
        <f>IF(B134="","",'Statement of Marks'!FW135)</f>
        <v/>
      </c>
      <c r="O134" s="295" t="str">
        <f>IF(B134="","",'Statement of Marks'!GD135)</f>
        <v/>
      </c>
      <c r="P134" s="295" t="str">
        <f>IF(B134="","",'Statement of Marks'!GK135)</f>
        <v/>
      </c>
      <c r="Q134" s="295" t="str">
        <f>IF(B134="","",'Statement of Marks'!GR135)</f>
        <v/>
      </c>
      <c r="R134" s="295" t="str">
        <f>IF(B134="","",'Statement of Marks'!GS135)</f>
        <v/>
      </c>
      <c r="S134" s="287" t="str">
        <f>IF(COUNTIF(K134:R134,"F")&gt;0,"",CONCATENATE('Statement of Marks'!GU135,'Statement of Marks'!GW135))</f>
        <v xml:space="preserve">           </v>
      </c>
      <c r="T134" s="288">
        <f t="shared" si="18"/>
        <v>0</v>
      </c>
      <c r="U134" s="16"/>
      <c r="V134" s="296" t="str">
        <f t="shared" si="19"/>
        <v/>
      </c>
      <c r="W134" s="296" t="str">
        <f t="shared" si="20"/>
        <v/>
      </c>
      <c r="X134" s="16"/>
      <c r="Y134" s="296" t="str">
        <f t="shared" si="21"/>
        <v/>
      </c>
      <c r="Z134" s="296" t="str">
        <f t="shared" si="22"/>
        <v/>
      </c>
      <c r="AA134" s="16"/>
      <c r="AB134" s="296" t="str">
        <f t="shared" si="23"/>
        <v/>
      </c>
      <c r="AC134" s="297" t="str">
        <f t="shared" si="24"/>
        <v/>
      </c>
      <c r="AD134" s="16"/>
      <c r="AE134" s="296" t="str">
        <f t="shared" si="25"/>
        <v/>
      </c>
      <c r="AF134" s="297" t="str">
        <f t="shared" si="26"/>
        <v/>
      </c>
      <c r="AG134" s="16"/>
      <c r="AH134" s="296" t="str">
        <f t="shared" si="27"/>
        <v/>
      </c>
      <c r="AI134" s="297" t="str">
        <f t="shared" si="28"/>
        <v/>
      </c>
      <c r="AJ134" s="16"/>
      <c r="AK134" s="297" t="str">
        <f t="shared" si="29"/>
        <v/>
      </c>
      <c r="AL134" s="297" t="str">
        <f t="shared" si="30"/>
        <v/>
      </c>
      <c r="AM134" s="16"/>
      <c r="AN134" s="296" t="str">
        <f t="shared" si="31"/>
        <v/>
      </c>
      <c r="AO134" s="16"/>
      <c r="AP134" s="296" t="str">
        <f t="shared" si="32"/>
        <v/>
      </c>
      <c r="AQ134" s="298">
        <f t="shared" si="33"/>
        <v>0</v>
      </c>
      <c r="AR134" s="298">
        <f t="shared" si="34"/>
        <v>0</v>
      </c>
      <c r="AS134" s="299" t="str">
        <f t="shared" si="35"/>
        <v/>
      </c>
      <c r="AT134" s="300" t="str">
        <f>IF(COUNTIF(K134:R134,"F")&gt;0,"",IF(AS134="PASS",'Statement of Marks'!HF135,""))</f>
        <v/>
      </c>
      <c r="AU134" s="300" t="str">
        <f>IF(AS134="PASS",'Statement of Marks'!HG135,"")</f>
        <v/>
      </c>
    </row>
    <row r="135" spans="1:47">
      <c r="A135" s="283">
        <f>IF('Statement of Marks'!A136="","",'Statement of Marks'!A136)</f>
        <v>129</v>
      </c>
      <c r="B135" s="283" t="str">
        <f>IF('Statement of Marks'!B136="","",'Statement of Marks'!B136)</f>
        <v/>
      </c>
      <c r="C135" s="283" t="str">
        <f>IF('Statement of Marks'!C136="","",'Statement of Marks'!C136)</f>
        <v/>
      </c>
      <c r="D135" s="284" t="str">
        <f>IF('Statement of Marks'!D136="","",'Statement of Marks'!D136)</f>
        <v/>
      </c>
      <c r="E135" s="285" t="str">
        <f>IF('Statement of Marks'!E136="","",'Statement of Marks'!E136)</f>
        <v/>
      </c>
      <c r="F135" s="285" t="str">
        <f>IF('Statement of Marks'!F136="","",'Statement of Marks'!F136)</f>
        <v/>
      </c>
      <c r="G135" s="285" t="str">
        <f>IF('Statement of Marks'!G136="","",'Statement of Marks'!G136)</f>
        <v/>
      </c>
      <c r="H135" s="286" t="str">
        <f>IF('Statement of Marks'!GY136="","",'Statement of Marks'!GY136)</f>
        <v/>
      </c>
      <c r="I135" s="286" t="str">
        <f>IF('Statement of Marks'!HB136="","",'Statement of Marks'!HB136)</f>
        <v/>
      </c>
      <c r="J135" s="287" t="str">
        <f>IF('Statement of Marks'!HC136="","",'Statement of Marks'!HC136)</f>
        <v/>
      </c>
      <c r="K135" s="295" t="str">
        <f>IF(B135="","",'Statement of Marks'!FJ136)</f>
        <v/>
      </c>
      <c r="L135" s="295" t="str">
        <f>IF(B135="","",'Statement of Marks'!FM136)</f>
        <v/>
      </c>
      <c r="M135" s="295" t="str">
        <f>IF(B135="","",'Statement of Marks'!FP136)</f>
        <v/>
      </c>
      <c r="N135" s="295" t="str">
        <f>IF(B135="","",'Statement of Marks'!FW136)</f>
        <v/>
      </c>
      <c r="O135" s="295" t="str">
        <f>IF(B135="","",'Statement of Marks'!GD136)</f>
        <v/>
      </c>
      <c r="P135" s="295" t="str">
        <f>IF(B135="","",'Statement of Marks'!GK136)</f>
        <v/>
      </c>
      <c r="Q135" s="295" t="str">
        <f>IF(B135="","",'Statement of Marks'!GR136)</f>
        <v/>
      </c>
      <c r="R135" s="295" t="str">
        <f>IF(B135="","",'Statement of Marks'!GS136)</f>
        <v/>
      </c>
      <c r="S135" s="287" t="str">
        <f>IF(COUNTIF(K135:R135,"F")&gt;0,"",CONCATENATE('Statement of Marks'!GU136,'Statement of Marks'!GW136))</f>
        <v xml:space="preserve">           </v>
      </c>
      <c r="T135" s="288">
        <f t="shared" si="18"/>
        <v>0</v>
      </c>
      <c r="U135" s="16"/>
      <c r="V135" s="296" t="str">
        <f t="shared" si="19"/>
        <v/>
      </c>
      <c r="W135" s="296" t="str">
        <f t="shared" si="20"/>
        <v/>
      </c>
      <c r="X135" s="16"/>
      <c r="Y135" s="296" t="str">
        <f t="shared" si="21"/>
        <v/>
      </c>
      <c r="Z135" s="296" t="str">
        <f t="shared" si="22"/>
        <v/>
      </c>
      <c r="AA135" s="16"/>
      <c r="AB135" s="296" t="str">
        <f t="shared" si="23"/>
        <v/>
      </c>
      <c r="AC135" s="297" t="str">
        <f t="shared" si="24"/>
        <v/>
      </c>
      <c r="AD135" s="16"/>
      <c r="AE135" s="296" t="str">
        <f t="shared" si="25"/>
        <v/>
      </c>
      <c r="AF135" s="297" t="str">
        <f t="shared" si="26"/>
        <v/>
      </c>
      <c r="AG135" s="16"/>
      <c r="AH135" s="296" t="str">
        <f t="shared" si="27"/>
        <v/>
      </c>
      <c r="AI135" s="297" t="str">
        <f t="shared" si="28"/>
        <v/>
      </c>
      <c r="AJ135" s="16"/>
      <c r="AK135" s="297" t="str">
        <f t="shared" si="29"/>
        <v/>
      </c>
      <c r="AL135" s="297" t="str">
        <f t="shared" si="30"/>
        <v/>
      </c>
      <c r="AM135" s="16"/>
      <c r="AN135" s="296" t="str">
        <f t="shared" si="31"/>
        <v/>
      </c>
      <c r="AO135" s="16"/>
      <c r="AP135" s="296" t="str">
        <f t="shared" si="32"/>
        <v/>
      </c>
      <c r="AQ135" s="298">
        <f t="shared" si="33"/>
        <v>0</v>
      </c>
      <c r="AR135" s="298">
        <f t="shared" si="34"/>
        <v>0</v>
      </c>
      <c r="AS135" s="299" t="str">
        <f t="shared" si="35"/>
        <v/>
      </c>
      <c r="AT135" s="300" t="str">
        <f>IF(COUNTIF(K135:R135,"F")&gt;0,"",IF(AS135="PASS",'Statement of Marks'!HF136,""))</f>
        <v/>
      </c>
      <c r="AU135" s="300" t="str">
        <f>IF(AS135="PASS",'Statement of Marks'!HG136,"")</f>
        <v/>
      </c>
    </row>
    <row r="136" spans="1:47">
      <c r="A136" s="283">
        <f>IF('Statement of Marks'!A137="","",'Statement of Marks'!A137)</f>
        <v>130</v>
      </c>
      <c r="B136" s="283" t="str">
        <f>IF('Statement of Marks'!B137="","",'Statement of Marks'!B137)</f>
        <v/>
      </c>
      <c r="C136" s="283" t="str">
        <f>IF('Statement of Marks'!C137="","",'Statement of Marks'!C137)</f>
        <v/>
      </c>
      <c r="D136" s="284" t="str">
        <f>IF('Statement of Marks'!D137="","",'Statement of Marks'!D137)</f>
        <v/>
      </c>
      <c r="E136" s="285" t="str">
        <f>IF('Statement of Marks'!E137="","",'Statement of Marks'!E137)</f>
        <v/>
      </c>
      <c r="F136" s="285" t="str">
        <f>IF('Statement of Marks'!F137="","",'Statement of Marks'!F137)</f>
        <v/>
      </c>
      <c r="G136" s="285" t="str">
        <f>IF('Statement of Marks'!G137="","",'Statement of Marks'!G137)</f>
        <v/>
      </c>
      <c r="H136" s="286" t="str">
        <f>IF('Statement of Marks'!GY137="","",'Statement of Marks'!GY137)</f>
        <v/>
      </c>
      <c r="I136" s="286" t="str">
        <f>IF('Statement of Marks'!HB137="","",'Statement of Marks'!HB137)</f>
        <v/>
      </c>
      <c r="J136" s="287" t="str">
        <f>IF('Statement of Marks'!HC137="","",'Statement of Marks'!HC137)</f>
        <v/>
      </c>
      <c r="K136" s="295" t="str">
        <f>IF(B136="","",'Statement of Marks'!FJ137)</f>
        <v/>
      </c>
      <c r="L136" s="295" t="str">
        <f>IF(B136="","",'Statement of Marks'!FM137)</f>
        <v/>
      </c>
      <c r="M136" s="295" t="str">
        <f>IF(B136="","",'Statement of Marks'!FP137)</f>
        <v/>
      </c>
      <c r="N136" s="295" t="str">
        <f>IF(B136="","",'Statement of Marks'!FW137)</f>
        <v/>
      </c>
      <c r="O136" s="295" t="str">
        <f>IF(B136="","",'Statement of Marks'!GD137)</f>
        <v/>
      </c>
      <c r="P136" s="295" t="str">
        <f>IF(B136="","",'Statement of Marks'!GK137)</f>
        <v/>
      </c>
      <c r="Q136" s="295" t="str">
        <f>IF(B136="","",'Statement of Marks'!GR137)</f>
        <v/>
      </c>
      <c r="R136" s="295" t="str">
        <f>IF(B136="","",'Statement of Marks'!GS137)</f>
        <v/>
      </c>
      <c r="S136" s="287" t="str">
        <f>IF(COUNTIF(K136:R136,"F")&gt;0,"",CONCATENATE('Statement of Marks'!GU137,'Statement of Marks'!GW137))</f>
        <v xml:space="preserve">           </v>
      </c>
      <c r="T136" s="288">
        <f t="shared" ref="T136:T199" si="36">IF(COUNTIF(K136:R136,"F")&gt;0,"",COUNTIF(K136:R136,"S")+COUNTIF(K136:R136,"RE")+COUNTIF(K136:R136,"REP"))</f>
        <v>0</v>
      </c>
      <c r="U136" s="16"/>
      <c r="V136" s="296" t="str">
        <f t="shared" ref="V136:V199" si="37">IF(U136="","",IF(OR(U136="AB",K136="RE"),U136,IF(AND(K136="S"),ROUNDUP(U136,0),)))</f>
        <v/>
      </c>
      <c r="W136" s="296" t="str">
        <f t="shared" ref="W136:W199" si="38">IF(U136="","",IF(OR(U136="AB",U136&lt;36%*$U$6),"F","P"))</f>
        <v/>
      </c>
      <c r="X136" s="16"/>
      <c r="Y136" s="296" t="str">
        <f t="shared" ref="Y136:Y199" si="39">IF(X136="","",IF(OR(X136="AB",L136="RE"),X136,IF(AND(L136="S"),ROUNDUP(X136,0),)))</f>
        <v/>
      </c>
      <c r="Z136" s="296" t="str">
        <f t="shared" ref="Z136:Z199" si="40">IF(X136="","",IF(OR(X136="AB",X136&lt;36%*$X$6),"F","P"))</f>
        <v/>
      </c>
      <c r="AA136" s="16"/>
      <c r="AB136" s="296" t="str">
        <f t="shared" ref="AB136:AB199" si="41">IF(AA136="","",IF(OR(AA136="AB",M136="RE"),AA136,IF(AND(M136="S"),ROUNDUP(AA136,0),)))</f>
        <v/>
      </c>
      <c r="AC136" s="297" t="str">
        <f t="shared" ref="AC136:AC199" si="42">IF(AA136="","",IF(OR(AA136="AB",AA136&lt;36%*$AA$6),"F","P"))</f>
        <v/>
      </c>
      <c r="AD136" s="16"/>
      <c r="AE136" s="296" t="str">
        <f t="shared" ref="AE136:AE199" si="43">IF(AD136="","",IF(OR(AD136="AB",N136="RE"),AD136,IF(AND(N136="S"),ROUNDUP(AD136,0),)))</f>
        <v/>
      </c>
      <c r="AF136" s="297" t="str">
        <f t="shared" ref="AF136:AF199" si="44">IF(AD136="","",IF(OR(AD136="AB",AD136&lt;36%*$AD$6),"F","P"))</f>
        <v/>
      </c>
      <c r="AG136" s="16"/>
      <c r="AH136" s="296" t="str">
        <f t="shared" ref="AH136:AH199" si="45">IF(AG136="","",IF(OR(AG136="AB",O136="RE"),AG136,IF(AND(O136="S"),ROUNDUP(AG136,0),)))</f>
        <v/>
      </c>
      <c r="AI136" s="297" t="str">
        <f t="shared" ref="AI136:AI199" si="46">IF(AG136="","",IF(OR(AG136="AB",AG136&lt;36%*$AG$6),"F","P"))</f>
        <v/>
      </c>
      <c r="AJ136" s="16"/>
      <c r="AK136" s="297" t="str">
        <f t="shared" ref="AK136:AK199" si="47">IF(AJ136="","",IF(OR(AJ136="AB",P136="RE"),AJ136,IF(AND(P136="S"),ROUNDUP(AJ136,0),)))</f>
        <v/>
      </c>
      <c r="AL136" s="297" t="str">
        <f t="shared" ref="AL136:AL199" si="48">IF(AJ136="","",IF(OR(AJ136="AB",AJ136&lt;36%*$AJ$6),"F","P"))</f>
        <v/>
      </c>
      <c r="AM136" s="16"/>
      <c r="AN136" s="296" t="str">
        <f t="shared" ref="AN136:AN199" si="49">IF(AM136="","",IF(OR(AM136="AB",AM136&lt;15),"F","P"))</f>
        <v/>
      </c>
      <c r="AO136" s="16"/>
      <c r="AP136" s="296" t="str">
        <f t="shared" ref="AP136:AP199" si="50">IF(AO136="","",IF(OR(AO136="AB",AO136&lt;36),"F","P"))</f>
        <v/>
      </c>
      <c r="AQ136" s="298">
        <f t="shared" ref="AQ136:AQ199" si="51">IF(COUNTIF(K136:Q136,"F")&gt;0,"",COUNTA(U136,X136,AA136,AD136,AG136,AJ136,AM136))</f>
        <v>0</v>
      </c>
      <c r="AR136" s="298">
        <f t="shared" ref="AR136:AR199" si="52">IF(COUNTIF(K136:Q136,"F")&gt;0,"",COUNTIF(U136:AN136,"P"))</f>
        <v>0</v>
      </c>
      <c r="AS136" s="299" t="str">
        <f t="shared" ref="AS136:AS199" si="53">IF(AND(U136="",X136="",AA136="",AD136="",AG136="",AJ136="",AM136="",AO136=""),"",IF(COUNTIF(K136:R136,"F")&gt;0,"",IF(T136=0,"",IF(T136&gt;AQ136,H136,IF(T136&gt;AR136,"FAIL","PASS")))))</f>
        <v/>
      </c>
      <c r="AT136" s="300" t="str">
        <f>IF(COUNTIF(K136:R136,"F")&gt;0,"",IF(AS136="PASS",'Statement of Marks'!HF137,""))</f>
        <v/>
      </c>
      <c r="AU136" s="300" t="str">
        <f>IF(AS136="PASS",'Statement of Marks'!HG137,"")</f>
        <v/>
      </c>
    </row>
    <row r="137" spans="1:47">
      <c r="A137" s="283">
        <f>IF('Statement of Marks'!A138="","",'Statement of Marks'!A138)</f>
        <v>131</v>
      </c>
      <c r="B137" s="283" t="str">
        <f>IF('Statement of Marks'!B138="","",'Statement of Marks'!B138)</f>
        <v/>
      </c>
      <c r="C137" s="283" t="str">
        <f>IF('Statement of Marks'!C138="","",'Statement of Marks'!C138)</f>
        <v/>
      </c>
      <c r="D137" s="284" t="str">
        <f>IF('Statement of Marks'!D138="","",'Statement of Marks'!D138)</f>
        <v/>
      </c>
      <c r="E137" s="285" t="str">
        <f>IF('Statement of Marks'!E138="","",'Statement of Marks'!E138)</f>
        <v/>
      </c>
      <c r="F137" s="285" t="str">
        <f>IF('Statement of Marks'!F138="","",'Statement of Marks'!F138)</f>
        <v/>
      </c>
      <c r="G137" s="285" t="str">
        <f>IF('Statement of Marks'!G138="","",'Statement of Marks'!G138)</f>
        <v/>
      </c>
      <c r="H137" s="286" t="str">
        <f>IF('Statement of Marks'!GY138="","",'Statement of Marks'!GY138)</f>
        <v/>
      </c>
      <c r="I137" s="286" t="str">
        <f>IF('Statement of Marks'!HB138="","",'Statement of Marks'!HB138)</f>
        <v/>
      </c>
      <c r="J137" s="287" t="str">
        <f>IF('Statement of Marks'!HC138="","",'Statement of Marks'!HC138)</f>
        <v/>
      </c>
      <c r="K137" s="295" t="str">
        <f>IF(B137="","",'Statement of Marks'!FJ138)</f>
        <v/>
      </c>
      <c r="L137" s="295" t="str">
        <f>IF(B137="","",'Statement of Marks'!FM138)</f>
        <v/>
      </c>
      <c r="M137" s="295" t="str">
        <f>IF(B137="","",'Statement of Marks'!FP138)</f>
        <v/>
      </c>
      <c r="N137" s="295" t="str">
        <f>IF(B137="","",'Statement of Marks'!FW138)</f>
        <v/>
      </c>
      <c r="O137" s="295" t="str">
        <f>IF(B137="","",'Statement of Marks'!GD138)</f>
        <v/>
      </c>
      <c r="P137" s="295" t="str">
        <f>IF(B137="","",'Statement of Marks'!GK138)</f>
        <v/>
      </c>
      <c r="Q137" s="295" t="str">
        <f>IF(B137="","",'Statement of Marks'!GR138)</f>
        <v/>
      </c>
      <c r="R137" s="295" t="str">
        <f>IF(B137="","",'Statement of Marks'!GS138)</f>
        <v/>
      </c>
      <c r="S137" s="287" t="str">
        <f>IF(COUNTIF(K137:R137,"F")&gt;0,"",CONCATENATE('Statement of Marks'!GU138,'Statement of Marks'!GW138))</f>
        <v xml:space="preserve">           </v>
      </c>
      <c r="T137" s="288">
        <f t="shared" si="36"/>
        <v>0</v>
      </c>
      <c r="U137" s="16"/>
      <c r="V137" s="296" t="str">
        <f t="shared" si="37"/>
        <v/>
      </c>
      <c r="W137" s="296" t="str">
        <f t="shared" si="38"/>
        <v/>
      </c>
      <c r="X137" s="16"/>
      <c r="Y137" s="296" t="str">
        <f t="shared" si="39"/>
        <v/>
      </c>
      <c r="Z137" s="296" t="str">
        <f t="shared" si="40"/>
        <v/>
      </c>
      <c r="AA137" s="16"/>
      <c r="AB137" s="296" t="str">
        <f t="shared" si="41"/>
        <v/>
      </c>
      <c r="AC137" s="297" t="str">
        <f t="shared" si="42"/>
        <v/>
      </c>
      <c r="AD137" s="16"/>
      <c r="AE137" s="296" t="str">
        <f t="shared" si="43"/>
        <v/>
      </c>
      <c r="AF137" s="297" t="str">
        <f t="shared" si="44"/>
        <v/>
      </c>
      <c r="AG137" s="16"/>
      <c r="AH137" s="296" t="str">
        <f t="shared" si="45"/>
        <v/>
      </c>
      <c r="AI137" s="297" t="str">
        <f t="shared" si="46"/>
        <v/>
      </c>
      <c r="AJ137" s="16"/>
      <c r="AK137" s="297" t="str">
        <f t="shared" si="47"/>
        <v/>
      </c>
      <c r="AL137" s="297" t="str">
        <f t="shared" si="48"/>
        <v/>
      </c>
      <c r="AM137" s="16"/>
      <c r="AN137" s="296" t="str">
        <f t="shared" si="49"/>
        <v/>
      </c>
      <c r="AO137" s="16"/>
      <c r="AP137" s="296" t="str">
        <f t="shared" si="50"/>
        <v/>
      </c>
      <c r="AQ137" s="298">
        <f t="shared" si="51"/>
        <v>0</v>
      </c>
      <c r="AR137" s="298">
        <f t="shared" si="52"/>
        <v>0</v>
      </c>
      <c r="AS137" s="299" t="str">
        <f t="shared" si="53"/>
        <v/>
      </c>
      <c r="AT137" s="300" t="str">
        <f>IF(COUNTIF(K137:R137,"F")&gt;0,"",IF(AS137="PASS",'Statement of Marks'!HF138,""))</f>
        <v/>
      </c>
      <c r="AU137" s="300" t="str">
        <f>IF(AS137="PASS",'Statement of Marks'!HG138,"")</f>
        <v/>
      </c>
    </row>
    <row r="138" spans="1:47">
      <c r="A138" s="283">
        <f>IF('Statement of Marks'!A139="","",'Statement of Marks'!A139)</f>
        <v>132</v>
      </c>
      <c r="B138" s="283" t="str">
        <f>IF('Statement of Marks'!B139="","",'Statement of Marks'!B139)</f>
        <v/>
      </c>
      <c r="C138" s="283" t="str">
        <f>IF('Statement of Marks'!C139="","",'Statement of Marks'!C139)</f>
        <v/>
      </c>
      <c r="D138" s="284" t="str">
        <f>IF('Statement of Marks'!D139="","",'Statement of Marks'!D139)</f>
        <v/>
      </c>
      <c r="E138" s="285" t="str">
        <f>IF('Statement of Marks'!E139="","",'Statement of Marks'!E139)</f>
        <v/>
      </c>
      <c r="F138" s="285" t="str">
        <f>IF('Statement of Marks'!F139="","",'Statement of Marks'!F139)</f>
        <v/>
      </c>
      <c r="G138" s="285" t="str">
        <f>IF('Statement of Marks'!G139="","",'Statement of Marks'!G139)</f>
        <v/>
      </c>
      <c r="H138" s="286" t="str">
        <f>IF('Statement of Marks'!GY139="","",'Statement of Marks'!GY139)</f>
        <v/>
      </c>
      <c r="I138" s="286" t="str">
        <f>IF('Statement of Marks'!HB139="","",'Statement of Marks'!HB139)</f>
        <v/>
      </c>
      <c r="J138" s="287" t="str">
        <f>IF('Statement of Marks'!HC139="","",'Statement of Marks'!HC139)</f>
        <v/>
      </c>
      <c r="K138" s="295" t="str">
        <f>IF(B138="","",'Statement of Marks'!FJ139)</f>
        <v/>
      </c>
      <c r="L138" s="295" t="str">
        <f>IF(B138="","",'Statement of Marks'!FM139)</f>
        <v/>
      </c>
      <c r="M138" s="295" t="str">
        <f>IF(B138="","",'Statement of Marks'!FP139)</f>
        <v/>
      </c>
      <c r="N138" s="295" t="str">
        <f>IF(B138="","",'Statement of Marks'!FW139)</f>
        <v/>
      </c>
      <c r="O138" s="295" t="str">
        <f>IF(B138="","",'Statement of Marks'!GD139)</f>
        <v/>
      </c>
      <c r="P138" s="295" t="str">
        <f>IF(B138="","",'Statement of Marks'!GK139)</f>
        <v/>
      </c>
      <c r="Q138" s="295" t="str">
        <f>IF(B138="","",'Statement of Marks'!GR139)</f>
        <v/>
      </c>
      <c r="R138" s="295" t="str">
        <f>IF(B138="","",'Statement of Marks'!GS139)</f>
        <v/>
      </c>
      <c r="S138" s="287" t="str">
        <f>IF(COUNTIF(K138:R138,"F")&gt;0,"",CONCATENATE('Statement of Marks'!GU139,'Statement of Marks'!GW139))</f>
        <v xml:space="preserve">           </v>
      </c>
      <c r="T138" s="288">
        <f t="shared" si="36"/>
        <v>0</v>
      </c>
      <c r="U138" s="16"/>
      <c r="V138" s="296" t="str">
        <f t="shared" si="37"/>
        <v/>
      </c>
      <c r="W138" s="296" t="str">
        <f t="shared" si="38"/>
        <v/>
      </c>
      <c r="X138" s="16"/>
      <c r="Y138" s="296" t="str">
        <f t="shared" si="39"/>
        <v/>
      </c>
      <c r="Z138" s="296" t="str">
        <f t="shared" si="40"/>
        <v/>
      </c>
      <c r="AA138" s="16"/>
      <c r="AB138" s="296" t="str">
        <f t="shared" si="41"/>
        <v/>
      </c>
      <c r="AC138" s="297" t="str">
        <f t="shared" si="42"/>
        <v/>
      </c>
      <c r="AD138" s="16"/>
      <c r="AE138" s="296" t="str">
        <f t="shared" si="43"/>
        <v/>
      </c>
      <c r="AF138" s="297" t="str">
        <f t="shared" si="44"/>
        <v/>
      </c>
      <c r="AG138" s="16"/>
      <c r="AH138" s="296" t="str">
        <f t="shared" si="45"/>
        <v/>
      </c>
      <c r="AI138" s="297" t="str">
        <f t="shared" si="46"/>
        <v/>
      </c>
      <c r="AJ138" s="16"/>
      <c r="AK138" s="297" t="str">
        <f t="shared" si="47"/>
        <v/>
      </c>
      <c r="AL138" s="297" t="str">
        <f t="shared" si="48"/>
        <v/>
      </c>
      <c r="AM138" s="16"/>
      <c r="AN138" s="296" t="str">
        <f t="shared" si="49"/>
        <v/>
      </c>
      <c r="AO138" s="16"/>
      <c r="AP138" s="296" t="str">
        <f t="shared" si="50"/>
        <v/>
      </c>
      <c r="AQ138" s="298">
        <f t="shared" si="51"/>
        <v>0</v>
      </c>
      <c r="AR138" s="298">
        <f t="shared" si="52"/>
        <v>0</v>
      </c>
      <c r="AS138" s="299" t="str">
        <f t="shared" si="53"/>
        <v/>
      </c>
      <c r="AT138" s="300" t="str">
        <f>IF(COUNTIF(K138:R138,"F")&gt;0,"",IF(AS138="PASS",'Statement of Marks'!HF139,""))</f>
        <v/>
      </c>
      <c r="AU138" s="300" t="str">
        <f>IF(AS138="PASS",'Statement of Marks'!HG139,"")</f>
        <v/>
      </c>
    </row>
    <row r="139" spans="1:47">
      <c r="A139" s="283">
        <f>IF('Statement of Marks'!A140="","",'Statement of Marks'!A140)</f>
        <v>133</v>
      </c>
      <c r="B139" s="283" t="str">
        <f>IF('Statement of Marks'!B140="","",'Statement of Marks'!B140)</f>
        <v/>
      </c>
      <c r="C139" s="283" t="str">
        <f>IF('Statement of Marks'!C140="","",'Statement of Marks'!C140)</f>
        <v/>
      </c>
      <c r="D139" s="284" t="str">
        <f>IF('Statement of Marks'!D140="","",'Statement of Marks'!D140)</f>
        <v/>
      </c>
      <c r="E139" s="285" t="str">
        <f>IF('Statement of Marks'!E140="","",'Statement of Marks'!E140)</f>
        <v/>
      </c>
      <c r="F139" s="285" t="str">
        <f>IF('Statement of Marks'!F140="","",'Statement of Marks'!F140)</f>
        <v/>
      </c>
      <c r="G139" s="285" t="str">
        <f>IF('Statement of Marks'!G140="","",'Statement of Marks'!G140)</f>
        <v/>
      </c>
      <c r="H139" s="286" t="str">
        <f>IF('Statement of Marks'!GY140="","",'Statement of Marks'!GY140)</f>
        <v/>
      </c>
      <c r="I139" s="286" t="str">
        <f>IF('Statement of Marks'!HB140="","",'Statement of Marks'!HB140)</f>
        <v/>
      </c>
      <c r="J139" s="287" t="str">
        <f>IF('Statement of Marks'!HC140="","",'Statement of Marks'!HC140)</f>
        <v/>
      </c>
      <c r="K139" s="295" t="str">
        <f>IF(B139="","",'Statement of Marks'!FJ140)</f>
        <v/>
      </c>
      <c r="L139" s="295" t="str">
        <f>IF(B139="","",'Statement of Marks'!FM140)</f>
        <v/>
      </c>
      <c r="M139" s="295" t="str">
        <f>IF(B139="","",'Statement of Marks'!FP140)</f>
        <v/>
      </c>
      <c r="N139" s="295" t="str">
        <f>IF(B139="","",'Statement of Marks'!FW140)</f>
        <v/>
      </c>
      <c r="O139" s="295" t="str">
        <f>IF(B139="","",'Statement of Marks'!GD140)</f>
        <v/>
      </c>
      <c r="P139" s="295" t="str">
        <f>IF(B139="","",'Statement of Marks'!GK140)</f>
        <v/>
      </c>
      <c r="Q139" s="295" t="str">
        <f>IF(B139="","",'Statement of Marks'!GR140)</f>
        <v/>
      </c>
      <c r="R139" s="295" t="str">
        <f>IF(B139="","",'Statement of Marks'!GS140)</f>
        <v/>
      </c>
      <c r="S139" s="287" t="str">
        <f>IF(COUNTIF(K139:R139,"F")&gt;0,"",CONCATENATE('Statement of Marks'!GU140,'Statement of Marks'!GW140))</f>
        <v xml:space="preserve">           </v>
      </c>
      <c r="T139" s="288">
        <f t="shared" si="36"/>
        <v>0</v>
      </c>
      <c r="U139" s="16"/>
      <c r="V139" s="296" t="str">
        <f t="shared" si="37"/>
        <v/>
      </c>
      <c r="W139" s="296" t="str">
        <f t="shared" si="38"/>
        <v/>
      </c>
      <c r="X139" s="16"/>
      <c r="Y139" s="296" t="str">
        <f t="shared" si="39"/>
        <v/>
      </c>
      <c r="Z139" s="296" t="str">
        <f t="shared" si="40"/>
        <v/>
      </c>
      <c r="AA139" s="16"/>
      <c r="AB139" s="296" t="str">
        <f t="shared" si="41"/>
        <v/>
      </c>
      <c r="AC139" s="297" t="str">
        <f t="shared" si="42"/>
        <v/>
      </c>
      <c r="AD139" s="16"/>
      <c r="AE139" s="296" t="str">
        <f t="shared" si="43"/>
        <v/>
      </c>
      <c r="AF139" s="297" t="str">
        <f t="shared" si="44"/>
        <v/>
      </c>
      <c r="AG139" s="16"/>
      <c r="AH139" s="296" t="str">
        <f t="shared" si="45"/>
        <v/>
      </c>
      <c r="AI139" s="297" t="str">
        <f t="shared" si="46"/>
        <v/>
      </c>
      <c r="AJ139" s="16"/>
      <c r="AK139" s="297" t="str">
        <f t="shared" si="47"/>
        <v/>
      </c>
      <c r="AL139" s="297" t="str">
        <f t="shared" si="48"/>
        <v/>
      </c>
      <c r="AM139" s="16"/>
      <c r="AN139" s="296" t="str">
        <f t="shared" si="49"/>
        <v/>
      </c>
      <c r="AO139" s="16"/>
      <c r="AP139" s="296" t="str">
        <f t="shared" si="50"/>
        <v/>
      </c>
      <c r="AQ139" s="298">
        <f t="shared" si="51"/>
        <v>0</v>
      </c>
      <c r="AR139" s="298">
        <f t="shared" si="52"/>
        <v>0</v>
      </c>
      <c r="AS139" s="299" t="str">
        <f t="shared" si="53"/>
        <v/>
      </c>
      <c r="AT139" s="300" t="str">
        <f>IF(COUNTIF(K139:R139,"F")&gt;0,"",IF(AS139="PASS",'Statement of Marks'!HF140,""))</f>
        <v/>
      </c>
      <c r="AU139" s="300" t="str">
        <f>IF(AS139="PASS",'Statement of Marks'!HG140,"")</f>
        <v/>
      </c>
    </row>
    <row r="140" spans="1:47">
      <c r="A140" s="283">
        <f>IF('Statement of Marks'!A141="","",'Statement of Marks'!A141)</f>
        <v>134</v>
      </c>
      <c r="B140" s="283" t="str">
        <f>IF('Statement of Marks'!B141="","",'Statement of Marks'!B141)</f>
        <v/>
      </c>
      <c r="C140" s="283" t="str">
        <f>IF('Statement of Marks'!C141="","",'Statement of Marks'!C141)</f>
        <v/>
      </c>
      <c r="D140" s="284" t="str">
        <f>IF('Statement of Marks'!D141="","",'Statement of Marks'!D141)</f>
        <v/>
      </c>
      <c r="E140" s="285" t="str">
        <f>IF('Statement of Marks'!E141="","",'Statement of Marks'!E141)</f>
        <v/>
      </c>
      <c r="F140" s="285" t="str">
        <f>IF('Statement of Marks'!F141="","",'Statement of Marks'!F141)</f>
        <v/>
      </c>
      <c r="G140" s="285" t="str">
        <f>IF('Statement of Marks'!G141="","",'Statement of Marks'!G141)</f>
        <v/>
      </c>
      <c r="H140" s="286" t="str">
        <f>IF('Statement of Marks'!GY141="","",'Statement of Marks'!GY141)</f>
        <v/>
      </c>
      <c r="I140" s="286" t="str">
        <f>IF('Statement of Marks'!HB141="","",'Statement of Marks'!HB141)</f>
        <v/>
      </c>
      <c r="J140" s="287" t="str">
        <f>IF('Statement of Marks'!HC141="","",'Statement of Marks'!HC141)</f>
        <v/>
      </c>
      <c r="K140" s="295" t="str">
        <f>IF(B140="","",'Statement of Marks'!FJ141)</f>
        <v/>
      </c>
      <c r="L140" s="295" t="str">
        <f>IF(B140="","",'Statement of Marks'!FM141)</f>
        <v/>
      </c>
      <c r="M140" s="295" t="str">
        <f>IF(B140="","",'Statement of Marks'!FP141)</f>
        <v/>
      </c>
      <c r="N140" s="295" t="str">
        <f>IF(B140="","",'Statement of Marks'!FW141)</f>
        <v/>
      </c>
      <c r="O140" s="295" t="str">
        <f>IF(B140="","",'Statement of Marks'!GD141)</f>
        <v/>
      </c>
      <c r="P140" s="295" t="str">
        <f>IF(B140="","",'Statement of Marks'!GK141)</f>
        <v/>
      </c>
      <c r="Q140" s="295" t="str">
        <f>IF(B140="","",'Statement of Marks'!GR141)</f>
        <v/>
      </c>
      <c r="R140" s="295" t="str">
        <f>IF(B140="","",'Statement of Marks'!GS141)</f>
        <v/>
      </c>
      <c r="S140" s="287" t="str">
        <f>IF(COUNTIF(K140:R140,"F")&gt;0,"",CONCATENATE('Statement of Marks'!GU141,'Statement of Marks'!GW141))</f>
        <v xml:space="preserve">           </v>
      </c>
      <c r="T140" s="288">
        <f t="shared" si="36"/>
        <v>0</v>
      </c>
      <c r="U140" s="16"/>
      <c r="V140" s="296" t="str">
        <f t="shared" si="37"/>
        <v/>
      </c>
      <c r="W140" s="296" t="str">
        <f t="shared" si="38"/>
        <v/>
      </c>
      <c r="X140" s="16"/>
      <c r="Y140" s="296" t="str">
        <f t="shared" si="39"/>
        <v/>
      </c>
      <c r="Z140" s="296" t="str">
        <f t="shared" si="40"/>
        <v/>
      </c>
      <c r="AA140" s="16"/>
      <c r="AB140" s="296" t="str">
        <f t="shared" si="41"/>
        <v/>
      </c>
      <c r="AC140" s="297" t="str">
        <f t="shared" si="42"/>
        <v/>
      </c>
      <c r="AD140" s="16"/>
      <c r="AE140" s="296" t="str">
        <f t="shared" si="43"/>
        <v/>
      </c>
      <c r="AF140" s="297" t="str">
        <f t="shared" si="44"/>
        <v/>
      </c>
      <c r="AG140" s="16"/>
      <c r="AH140" s="296" t="str">
        <f t="shared" si="45"/>
        <v/>
      </c>
      <c r="AI140" s="297" t="str">
        <f t="shared" si="46"/>
        <v/>
      </c>
      <c r="AJ140" s="16"/>
      <c r="AK140" s="297" t="str">
        <f t="shared" si="47"/>
        <v/>
      </c>
      <c r="AL140" s="297" t="str">
        <f t="shared" si="48"/>
        <v/>
      </c>
      <c r="AM140" s="16"/>
      <c r="AN140" s="296" t="str">
        <f t="shared" si="49"/>
        <v/>
      </c>
      <c r="AO140" s="16"/>
      <c r="AP140" s="296" t="str">
        <f t="shared" si="50"/>
        <v/>
      </c>
      <c r="AQ140" s="298">
        <f t="shared" si="51"/>
        <v>0</v>
      </c>
      <c r="AR140" s="298">
        <f t="shared" si="52"/>
        <v>0</v>
      </c>
      <c r="AS140" s="299" t="str">
        <f t="shared" si="53"/>
        <v/>
      </c>
      <c r="AT140" s="300" t="str">
        <f>IF(COUNTIF(K140:R140,"F")&gt;0,"",IF(AS140="PASS",'Statement of Marks'!HF141,""))</f>
        <v/>
      </c>
      <c r="AU140" s="300" t="str">
        <f>IF(AS140="PASS",'Statement of Marks'!HG141,"")</f>
        <v/>
      </c>
    </row>
    <row r="141" spans="1:47">
      <c r="A141" s="283">
        <f>IF('Statement of Marks'!A142="","",'Statement of Marks'!A142)</f>
        <v>135</v>
      </c>
      <c r="B141" s="283" t="str">
        <f>IF('Statement of Marks'!B142="","",'Statement of Marks'!B142)</f>
        <v/>
      </c>
      <c r="C141" s="283" t="str">
        <f>IF('Statement of Marks'!C142="","",'Statement of Marks'!C142)</f>
        <v/>
      </c>
      <c r="D141" s="284" t="str">
        <f>IF('Statement of Marks'!D142="","",'Statement of Marks'!D142)</f>
        <v/>
      </c>
      <c r="E141" s="285" t="str">
        <f>IF('Statement of Marks'!E142="","",'Statement of Marks'!E142)</f>
        <v/>
      </c>
      <c r="F141" s="285" t="str">
        <f>IF('Statement of Marks'!F142="","",'Statement of Marks'!F142)</f>
        <v/>
      </c>
      <c r="G141" s="285" t="str">
        <f>IF('Statement of Marks'!G142="","",'Statement of Marks'!G142)</f>
        <v/>
      </c>
      <c r="H141" s="286" t="str">
        <f>IF('Statement of Marks'!GY142="","",'Statement of Marks'!GY142)</f>
        <v/>
      </c>
      <c r="I141" s="286" t="str">
        <f>IF('Statement of Marks'!HB142="","",'Statement of Marks'!HB142)</f>
        <v/>
      </c>
      <c r="J141" s="287" t="str">
        <f>IF('Statement of Marks'!HC142="","",'Statement of Marks'!HC142)</f>
        <v/>
      </c>
      <c r="K141" s="295" t="str">
        <f>IF(B141="","",'Statement of Marks'!FJ142)</f>
        <v/>
      </c>
      <c r="L141" s="295" t="str">
        <f>IF(B141="","",'Statement of Marks'!FM142)</f>
        <v/>
      </c>
      <c r="M141" s="295" t="str">
        <f>IF(B141="","",'Statement of Marks'!FP142)</f>
        <v/>
      </c>
      <c r="N141" s="295" t="str">
        <f>IF(B141="","",'Statement of Marks'!FW142)</f>
        <v/>
      </c>
      <c r="O141" s="295" t="str">
        <f>IF(B141="","",'Statement of Marks'!GD142)</f>
        <v/>
      </c>
      <c r="P141" s="295" t="str">
        <f>IF(B141="","",'Statement of Marks'!GK142)</f>
        <v/>
      </c>
      <c r="Q141" s="295" t="str">
        <f>IF(B141="","",'Statement of Marks'!GR142)</f>
        <v/>
      </c>
      <c r="R141" s="295" t="str">
        <f>IF(B141="","",'Statement of Marks'!GS142)</f>
        <v/>
      </c>
      <c r="S141" s="287" t="str">
        <f>IF(COUNTIF(K141:R141,"F")&gt;0,"",CONCATENATE('Statement of Marks'!GU142,'Statement of Marks'!GW142))</f>
        <v xml:space="preserve">           </v>
      </c>
      <c r="T141" s="288">
        <f t="shared" si="36"/>
        <v>0</v>
      </c>
      <c r="U141" s="16"/>
      <c r="V141" s="296" t="str">
        <f t="shared" si="37"/>
        <v/>
      </c>
      <c r="W141" s="296" t="str">
        <f t="shared" si="38"/>
        <v/>
      </c>
      <c r="X141" s="16"/>
      <c r="Y141" s="296" t="str">
        <f t="shared" si="39"/>
        <v/>
      </c>
      <c r="Z141" s="296" t="str">
        <f t="shared" si="40"/>
        <v/>
      </c>
      <c r="AA141" s="16"/>
      <c r="AB141" s="296" t="str">
        <f t="shared" si="41"/>
        <v/>
      </c>
      <c r="AC141" s="297" t="str">
        <f t="shared" si="42"/>
        <v/>
      </c>
      <c r="AD141" s="16"/>
      <c r="AE141" s="296" t="str">
        <f t="shared" si="43"/>
        <v/>
      </c>
      <c r="AF141" s="297" t="str">
        <f t="shared" si="44"/>
        <v/>
      </c>
      <c r="AG141" s="16"/>
      <c r="AH141" s="296" t="str">
        <f t="shared" si="45"/>
        <v/>
      </c>
      <c r="AI141" s="297" t="str">
        <f t="shared" si="46"/>
        <v/>
      </c>
      <c r="AJ141" s="16"/>
      <c r="AK141" s="297" t="str">
        <f t="shared" si="47"/>
        <v/>
      </c>
      <c r="AL141" s="297" t="str">
        <f t="shared" si="48"/>
        <v/>
      </c>
      <c r="AM141" s="16"/>
      <c r="AN141" s="296" t="str">
        <f t="shared" si="49"/>
        <v/>
      </c>
      <c r="AO141" s="16"/>
      <c r="AP141" s="296" t="str">
        <f t="shared" si="50"/>
        <v/>
      </c>
      <c r="AQ141" s="298">
        <f t="shared" si="51"/>
        <v>0</v>
      </c>
      <c r="AR141" s="298">
        <f t="shared" si="52"/>
        <v>0</v>
      </c>
      <c r="AS141" s="299" t="str">
        <f t="shared" si="53"/>
        <v/>
      </c>
      <c r="AT141" s="300" t="str">
        <f>IF(COUNTIF(K141:R141,"F")&gt;0,"",IF(AS141="PASS",'Statement of Marks'!HF142,""))</f>
        <v/>
      </c>
      <c r="AU141" s="300" t="str">
        <f>IF(AS141="PASS",'Statement of Marks'!HG142,"")</f>
        <v/>
      </c>
    </row>
    <row r="142" spans="1:47">
      <c r="A142" s="283">
        <f>IF('Statement of Marks'!A143="","",'Statement of Marks'!A143)</f>
        <v>136</v>
      </c>
      <c r="B142" s="283" t="str">
        <f>IF('Statement of Marks'!B143="","",'Statement of Marks'!B143)</f>
        <v/>
      </c>
      <c r="C142" s="283" t="str">
        <f>IF('Statement of Marks'!C143="","",'Statement of Marks'!C143)</f>
        <v/>
      </c>
      <c r="D142" s="284" t="str">
        <f>IF('Statement of Marks'!D143="","",'Statement of Marks'!D143)</f>
        <v/>
      </c>
      <c r="E142" s="285" t="str">
        <f>IF('Statement of Marks'!E143="","",'Statement of Marks'!E143)</f>
        <v/>
      </c>
      <c r="F142" s="285" t="str">
        <f>IF('Statement of Marks'!F143="","",'Statement of Marks'!F143)</f>
        <v/>
      </c>
      <c r="G142" s="285" t="str">
        <f>IF('Statement of Marks'!G143="","",'Statement of Marks'!G143)</f>
        <v/>
      </c>
      <c r="H142" s="286" t="str">
        <f>IF('Statement of Marks'!GY143="","",'Statement of Marks'!GY143)</f>
        <v/>
      </c>
      <c r="I142" s="286" t="str">
        <f>IF('Statement of Marks'!HB143="","",'Statement of Marks'!HB143)</f>
        <v/>
      </c>
      <c r="J142" s="287" t="str">
        <f>IF('Statement of Marks'!HC143="","",'Statement of Marks'!HC143)</f>
        <v/>
      </c>
      <c r="K142" s="295" t="str">
        <f>IF(B142="","",'Statement of Marks'!FJ143)</f>
        <v/>
      </c>
      <c r="L142" s="295" t="str">
        <f>IF(B142="","",'Statement of Marks'!FM143)</f>
        <v/>
      </c>
      <c r="M142" s="295" t="str">
        <f>IF(B142="","",'Statement of Marks'!FP143)</f>
        <v/>
      </c>
      <c r="N142" s="295" t="str">
        <f>IF(B142="","",'Statement of Marks'!FW143)</f>
        <v/>
      </c>
      <c r="O142" s="295" t="str">
        <f>IF(B142="","",'Statement of Marks'!GD143)</f>
        <v/>
      </c>
      <c r="P142" s="295" t="str">
        <f>IF(B142="","",'Statement of Marks'!GK143)</f>
        <v/>
      </c>
      <c r="Q142" s="295" t="str">
        <f>IF(B142="","",'Statement of Marks'!GR143)</f>
        <v/>
      </c>
      <c r="R142" s="295" t="str">
        <f>IF(B142="","",'Statement of Marks'!GS143)</f>
        <v/>
      </c>
      <c r="S142" s="287" t="str">
        <f>IF(COUNTIF(K142:R142,"F")&gt;0,"",CONCATENATE('Statement of Marks'!GU143,'Statement of Marks'!GW143))</f>
        <v xml:space="preserve">           </v>
      </c>
      <c r="T142" s="288">
        <f t="shared" si="36"/>
        <v>0</v>
      </c>
      <c r="U142" s="16"/>
      <c r="V142" s="296" t="str">
        <f t="shared" si="37"/>
        <v/>
      </c>
      <c r="W142" s="296" t="str">
        <f t="shared" si="38"/>
        <v/>
      </c>
      <c r="X142" s="16"/>
      <c r="Y142" s="296" t="str">
        <f t="shared" si="39"/>
        <v/>
      </c>
      <c r="Z142" s="296" t="str">
        <f t="shared" si="40"/>
        <v/>
      </c>
      <c r="AA142" s="16"/>
      <c r="AB142" s="296" t="str">
        <f t="shared" si="41"/>
        <v/>
      </c>
      <c r="AC142" s="297" t="str">
        <f t="shared" si="42"/>
        <v/>
      </c>
      <c r="AD142" s="16"/>
      <c r="AE142" s="296" t="str">
        <f t="shared" si="43"/>
        <v/>
      </c>
      <c r="AF142" s="297" t="str">
        <f t="shared" si="44"/>
        <v/>
      </c>
      <c r="AG142" s="16"/>
      <c r="AH142" s="296" t="str">
        <f t="shared" si="45"/>
        <v/>
      </c>
      <c r="AI142" s="297" t="str">
        <f t="shared" si="46"/>
        <v/>
      </c>
      <c r="AJ142" s="16"/>
      <c r="AK142" s="297" t="str">
        <f t="shared" si="47"/>
        <v/>
      </c>
      <c r="AL142" s="297" t="str">
        <f t="shared" si="48"/>
        <v/>
      </c>
      <c r="AM142" s="16"/>
      <c r="AN142" s="296" t="str">
        <f t="shared" si="49"/>
        <v/>
      </c>
      <c r="AO142" s="16"/>
      <c r="AP142" s="296" t="str">
        <f t="shared" si="50"/>
        <v/>
      </c>
      <c r="AQ142" s="298">
        <f t="shared" si="51"/>
        <v>0</v>
      </c>
      <c r="AR142" s="298">
        <f t="shared" si="52"/>
        <v>0</v>
      </c>
      <c r="AS142" s="299" t="str">
        <f t="shared" si="53"/>
        <v/>
      </c>
      <c r="AT142" s="300" t="str">
        <f>IF(COUNTIF(K142:R142,"F")&gt;0,"",IF(AS142="PASS",'Statement of Marks'!HF143,""))</f>
        <v/>
      </c>
      <c r="AU142" s="300" t="str">
        <f>IF(AS142="PASS",'Statement of Marks'!HG143,"")</f>
        <v/>
      </c>
    </row>
    <row r="143" spans="1:47">
      <c r="A143" s="283">
        <f>IF('Statement of Marks'!A144="","",'Statement of Marks'!A144)</f>
        <v>137</v>
      </c>
      <c r="B143" s="283" t="str">
        <f>IF('Statement of Marks'!B144="","",'Statement of Marks'!B144)</f>
        <v/>
      </c>
      <c r="C143" s="283" t="str">
        <f>IF('Statement of Marks'!C144="","",'Statement of Marks'!C144)</f>
        <v/>
      </c>
      <c r="D143" s="284" t="str">
        <f>IF('Statement of Marks'!D144="","",'Statement of Marks'!D144)</f>
        <v/>
      </c>
      <c r="E143" s="285" t="str">
        <f>IF('Statement of Marks'!E144="","",'Statement of Marks'!E144)</f>
        <v/>
      </c>
      <c r="F143" s="285" t="str">
        <f>IF('Statement of Marks'!F144="","",'Statement of Marks'!F144)</f>
        <v/>
      </c>
      <c r="G143" s="285" t="str">
        <f>IF('Statement of Marks'!G144="","",'Statement of Marks'!G144)</f>
        <v/>
      </c>
      <c r="H143" s="286" t="str">
        <f>IF('Statement of Marks'!GY144="","",'Statement of Marks'!GY144)</f>
        <v/>
      </c>
      <c r="I143" s="286" t="str">
        <f>IF('Statement of Marks'!HB144="","",'Statement of Marks'!HB144)</f>
        <v/>
      </c>
      <c r="J143" s="287" t="str">
        <f>IF('Statement of Marks'!HC144="","",'Statement of Marks'!HC144)</f>
        <v/>
      </c>
      <c r="K143" s="295" t="str">
        <f>IF(B143="","",'Statement of Marks'!FJ144)</f>
        <v/>
      </c>
      <c r="L143" s="295" t="str">
        <f>IF(B143="","",'Statement of Marks'!FM144)</f>
        <v/>
      </c>
      <c r="M143" s="295" t="str">
        <f>IF(B143="","",'Statement of Marks'!FP144)</f>
        <v/>
      </c>
      <c r="N143" s="295" t="str">
        <f>IF(B143="","",'Statement of Marks'!FW144)</f>
        <v/>
      </c>
      <c r="O143" s="295" t="str">
        <f>IF(B143="","",'Statement of Marks'!GD144)</f>
        <v/>
      </c>
      <c r="P143" s="295" t="str">
        <f>IF(B143="","",'Statement of Marks'!GK144)</f>
        <v/>
      </c>
      <c r="Q143" s="295" t="str">
        <f>IF(B143="","",'Statement of Marks'!GR144)</f>
        <v/>
      </c>
      <c r="R143" s="295" t="str">
        <f>IF(B143="","",'Statement of Marks'!GS144)</f>
        <v/>
      </c>
      <c r="S143" s="287" t="str">
        <f>IF(COUNTIF(K143:R143,"F")&gt;0,"",CONCATENATE('Statement of Marks'!GU144,'Statement of Marks'!GW144))</f>
        <v xml:space="preserve">           </v>
      </c>
      <c r="T143" s="288">
        <f t="shared" si="36"/>
        <v>0</v>
      </c>
      <c r="U143" s="16"/>
      <c r="V143" s="296" t="str">
        <f t="shared" si="37"/>
        <v/>
      </c>
      <c r="W143" s="296" t="str">
        <f t="shared" si="38"/>
        <v/>
      </c>
      <c r="X143" s="16"/>
      <c r="Y143" s="296" t="str">
        <f t="shared" si="39"/>
        <v/>
      </c>
      <c r="Z143" s="296" t="str">
        <f t="shared" si="40"/>
        <v/>
      </c>
      <c r="AA143" s="16"/>
      <c r="AB143" s="296" t="str">
        <f t="shared" si="41"/>
        <v/>
      </c>
      <c r="AC143" s="297" t="str">
        <f t="shared" si="42"/>
        <v/>
      </c>
      <c r="AD143" s="16"/>
      <c r="AE143" s="296" t="str">
        <f t="shared" si="43"/>
        <v/>
      </c>
      <c r="AF143" s="297" t="str">
        <f t="shared" si="44"/>
        <v/>
      </c>
      <c r="AG143" s="16"/>
      <c r="AH143" s="296" t="str">
        <f t="shared" si="45"/>
        <v/>
      </c>
      <c r="AI143" s="297" t="str">
        <f t="shared" si="46"/>
        <v/>
      </c>
      <c r="AJ143" s="16"/>
      <c r="AK143" s="297" t="str">
        <f t="shared" si="47"/>
        <v/>
      </c>
      <c r="AL143" s="297" t="str">
        <f t="shared" si="48"/>
        <v/>
      </c>
      <c r="AM143" s="16"/>
      <c r="AN143" s="296" t="str">
        <f t="shared" si="49"/>
        <v/>
      </c>
      <c r="AO143" s="16"/>
      <c r="AP143" s="296" t="str">
        <f t="shared" si="50"/>
        <v/>
      </c>
      <c r="AQ143" s="298">
        <f t="shared" si="51"/>
        <v>0</v>
      </c>
      <c r="AR143" s="298">
        <f t="shared" si="52"/>
        <v>0</v>
      </c>
      <c r="AS143" s="299" t="str">
        <f t="shared" si="53"/>
        <v/>
      </c>
      <c r="AT143" s="300" t="str">
        <f>IF(COUNTIF(K143:R143,"F")&gt;0,"",IF(AS143="PASS",'Statement of Marks'!HF144,""))</f>
        <v/>
      </c>
      <c r="AU143" s="300" t="str">
        <f>IF(AS143="PASS",'Statement of Marks'!HG144,"")</f>
        <v/>
      </c>
    </row>
    <row r="144" spans="1:47">
      <c r="A144" s="283">
        <f>IF('Statement of Marks'!A145="","",'Statement of Marks'!A145)</f>
        <v>138</v>
      </c>
      <c r="B144" s="283" t="str">
        <f>IF('Statement of Marks'!B145="","",'Statement of Marks'!B145)</f>
        <v/>
      </c>
      <c r="C144" s="283" t="str">
        <f>IF('Statement of Marks'!C145="","",'Statement of Marks'!C145)</f>
        <v/>
      </c>
      <c r="D144" s="284" t="str">
        <f>IF('Statement of Marks'!D145="","",'Statement of Marks'!D145)</f>
        <v/>
      </c>
      <c r="E144" s="285" t="str">
        <f>IF('Statement of Marks'!E145="","",'Statement of Marks'!E145)</f>
        <v/>
      </c>
      <c r="F144" s="285" t="str">
        <f>IF('Statement of Marks'!F145="","",'Statement of Marks'!F145)</f>
        <v/>
      </c>
      <c r="G144" s="285" t="str">
        <f>IF('Statement of Marks'!G145="","",'Statement of Marks'!G145)</f>
        <v/>
      </c>
      <c r="H144" s="286" t="str">
        <f>IF('Statement of Marks'!GY145="","",'Statement of Marks'!GY145)</f>
        <v/>
      </c>
      <c r="I144" s="286" t="str">
        <f>IF('Statement of Marks'!HB145="","",'Statement of Marks'!HB145)</f>
        <v/>
      </c>
      <c r="J144" s="287" t="str">
        <f>IF('Statement of Marks'!HC145="","",'Statement of Marks'!HC145)</f>
        <v/>
      </c>
      <c r="K144" s="295" t="str">
        <f>IF(B144="","",'Statement of Marks'!FJ145)</f>
        <v/>
      </c>
      <c r="L144" s="295" t="str">
        <f>IF(B144="","",'Statement of Marks'!FM145)</f>
        <v/>
      </c>
      <c r="M144" s="295" t="str">
        <f>IF(B144="","",'Statement of Marks'!FP145)</f>
        <v/>
      </c>
      <c r="N144" s="295" t="str">
        <f>IF(B144="","",'Statement of Marks'!FW145)</f>
        <v/>
      </c>
      <c r="O144" s="295" t="str">
        <f>IF(B144="","",'Statement of Marks'!GD145)</f>
        <v/>
      </c>
      <c r="P144" s="295" t="str">
        <f>IF(B144="","",'Statement of Marks'!GK145)</f>
        <v/>
      </c>
      <c r="Q144" s="295" t="str">
        <f>IF(B144="","",'Statement of Marks'!GR145)</f>
        <v/>
      </c>
      <c r="R144" s="295" t="str">
        <f>IF(B144="","",'Statement of Marks'!GS145)</f>
        <v/>
      </c>
      <c r="S144" s="287" t="str">
        <f>IF(COUNTIF(K144:R144,"F")&gt;0,"",CONCATENATE('Statement of Marks'!GU145,'Statement of Marks'!GW145))</f>
        <v xml:space="preserve">           </v>
      </c>
      <c r="T144" s="288">
        <f t="shared" si="36"/>
        <v>0</v>
      </c>
      <c r="U144" s="16"/>
      <c r="V144" s="296" t="str">
        <f t="shared" si="37"/>
        <v/>
      </c>
      <c r="W144" s="296" t="str">
        <f t="shared" si="38"/>
        <v/>
      </c>
      <c r="X144" s="16"/>
      <c r="Y144" s="296" t="str">
        <f t="shared" si="39"/>
        <v/>
      </c>
      <c r="Z144" s="296" t="str">
        <f t="shared" si="40"/>
        <v/>
      </c>
      <c r="AA144" s="16"/>
      <c r="AB144" s="296" t="str">
        <f t="shared" si="41"/>
        <v/>
      </c>
      <c r="AC144" s="297" t="str">
        <f t="shared" si="42"/>
        <v/>
      </c>
      <c r="AD144" s="16"/>
      <c r="AE144" s="296" t="str">
        <f t="shared" si="43"/>
        <v/>
      </c>
      <c r="AF144" s="297" t="str">
        <f t="shared" si="44"/>
        <v/>
      </c>
      <c r="AG144" s="16"/>
      <c r="AH144" s="296" t="str">
        <f t="shared" si="45"/>
        <v/>
      </c>
      <c r="AI144" s="297" t="str">
        <f t="shared" si="46"/>
        <v/>
      </c>
      <c r="AJ144" s="16"/>
      <c r="AK144" s="297" t="str">
        <f t="shared" si="47"/>
        <v/>
      </c>
      <c r="AL144" s="297" t="str">
        <f t="shared" si="48"/>
        <v/>
      </c>
      <c r="AM144" s="16"/>
      <c r="AN144" s="296" t="str">
        <f t="shared" si="49"/>
        <v/>
      </c>
      <c r="AO144" s="16"/>
      <c r="AP144" s="296" t="str">
        <f t="shared" si="50"/>
        <v/>
      </c>
      <c r="AQ144" s="298">
        <f t="shared" si="51"/>
        <v>0</v>
      </c>
      <c r="AR144" s="298">
        <f t="shared" si="52"/>
        <v>0</v>
      </c>
      <c r="AS144" s="299" t="str">
        <f t="shared" si="53"/>
        <v/>
      </c>
      <c r="AT144" s="300" t="str">
        <f>IF(COUNTIF(K144:R144,"F")&gt;0,"",IF(AS144="PASS",'Statement of Marks'!HF145,""))</f>
        <v/>
      </c>
      <c r="AU144" s="300" t="str">
        <f>IF(AS144="PASS",'Statement of Marks'!HG145,"")</f>
        <v/>
      </c>
    </row>
    <row r="145" spans="1:47">
      <c r="A145" s="283">
        <f>IF('Statement of Marks'!A146="","",'Statement of Marks'!A146)</f>
        <v>139</v>
      </c>
      <c r="B145" s="283" t="str">
        <f>IF('Statement of Marks'!B146="","",'Statement of Marks'!B146)</f>
        <v/>
      </c>
      <c r="C145" s="283" t="str">
        <f>IF('Statement of Marks'!C146="","",'Statement of Marks'!C146)</f>
        <v/>
      </c>
      <c r="D145" s="284" t="str">
        <f>IF('Statement of Marks'!D146="","",'Statement of Marks'!D146)</f>
        <v/>
      </c>
      <c r="E145" s="285" t="str">
        <f>IF('Statement of Marks'!E146="","",'Statement of Marks'!E146)</f>
        <v/>
      </c>
      <c r="F145" s="285" t="str">
        <f>IF('Statement of Marks'!F146="","",'Statement of Marks'!F146)</f>
        <v/>
      </c>
      <c r="G145" s="285" t="str">
        <f>IF('Statement of Marks'!G146="","",'Statement of Marks'!G146)</f>
        <v/>
      </c>
      <c r="H145" s="286" t="str">
        <f>IF('Statement of Marks'!GY146="","",'Statement of Marks'!GY146)</f>
        <v/>
      </c>
      <c r="I145" s="286" t="str">
        <f>IF('Statement of Marks'!HB146="","",'Statement of Marks'!HB146)</f>
        <v/>
      </c>
      <c r="J145" s="287" t="str">
        <f>IF('Statement of Marks'!HC146="","",'Statement of Marks'!HC146)</f>
        <v/>
      </c>
      <c r="K145" s="295" t="str">
        <f>IF(B145="","",'Statement of Marks'!FJ146)</f>
        <v/>
      </c>
      <c r="L145" s="295" t="str">
        <f>IF(B145="","",'Statement of Marks'!FM146)</f>
        <v/>
      </c>
      <c r="M145" s="295" t="str">
        <f>IF(B145="","",'Statement of Marks'!FP146)</f>
        <v/>
      </c>
      <c r="N145" s="295" t="str">
        <f>IF(B145="","",'Statement of Marks'!FW146)</f>
        <v/>
      </c>
      <c r="O145" s="295" t="str">
        <f>IF(B145="","",'Statement of Marks'!GD146)</f>
        <v/>
      </c>
      <c r="P145" s="295" t="str">
        <f>IF(B145="","",'Statement of Marks'!GK146)</f>
        <v/>
      </c>
      <c r="Q145" s="295" t="str">
        <f>IF(B145="","",'Statement of Marks'!GR146)</f>
        <v/>
      </c>
      <c r="R145" s="295" t="str">
        <f>IF(B145="","",'Statement of Marks'!GS146)</f>
        <v/>
      </c>
      <c r="S145" s="287" t="str">
        <f>IF(COUNTIF(K145:R145,"F")&gt;0,"",CONCATENATE('Statement of Marks'!GU146,'Statement of Marks'!GW146))</f>
        <v xml:space="preserve">           </v>
      </c>
      <c r="T145" s="288">
        <f t="shared" si="36"/>
        <v>0</v>
      </c>
      <c r="U145" s="16"/>
      <c r="V145" s="296" t="str">
        <f t="shared" si="37"/>
        <v/>
      </c>
      <c r="W145" s="296" t="str">
        <f t="shared" si="38"/>
        <v/>
      </c>
      <c r="X145" s="16"/>
      <c r="Y145" s="296" t="str">
        <f t="shared" si="39"/>
        <v/>
      </c>
      <c r="Z145" s="296" t="str">
        <f t="shared" si="40"/>
        <v/>
      </c>
      <c r="AA145" s="16"/>
      <c r="AB145" s="296" t="str">
        <f t="shared" si="41"/>
        <v/>
      </c>
      <c r="AC145" s="297" t="str">
        <f t="shared" si="42"/>
        <v/>
      </c>
      <c r="AD145" s="16"/>
      <c r="AE145" s="296" t="str">
        <f t="shared" si="43"/>
        <v/>
      </c>
      <c r="AF145" s="297" t="str">
        <f t="shared" si="44"/>
        <v/>
      </c>
      <c r="AG145" s="16"/>
      <c r="AH145" s="296" t="str">
        <f t="shared" si="45"/>
        <v/>
      </c>
      <c r="AI145" s="297" t="str">
        <f t="shared" si="46"/>
        <v/>
      </c>
      <c r="AJ145" s="16"/>
      <c r="AK145" s="297" t="str">
        <f t="shared" si="47"/>
        <v/>
      </c>
      <c r="AL145" s="297" t="str">
        <f t="shared" si="48"/>
        <v/>
      </c>
      <c r="AM145" s="16"/>
      <c r="AN145" s="296" t="str">
        <f t="shared" si="49"/>
        <v/>
      </c>
      <c r="AO145" s="16"/>
      <c r="AP145" s="296" t="str">
        <f t="shared" si="50"/>
        <v/>
      </c>
      <c r="AQ145" s="298">
        <f t="shared" si="51"/>
        <v>0</v>
      </c>
      <c r="AR145" s="298">
        <f t="shared" si="52"/>
        <v>0</v>
      </c>
      <c r="AS145" s="299" t="str">
        <f t="shared" si="53"/>
        <v/>
      </c>
      <c r="AT145" s="300" t="str">
        <f>IF(COUNTIF(K145:R145,"F")&gt;0,"",IF(AS145="PASS",'Statement of Marks'!HF146,""))</f>
        <v/>
      </c>
      <c r="AU145" s="300" t="str">
        <f>IF(AS145="PASS",'Statement of Marks'!HG146,"")</f>
        <v/>
      </c>
    </row>
    <row r="146" spans="1:47">
      <c r="A146" s="283">
        <f>IF('Statement of Marks'!A147="","",'Statement of Marks'!A147)</f>
        <v>140</v>
      </c>
      <c r="B146" s="283" t="str">
        <f>IF('Statement of Marks'!B147="","",'Statement of Marks'!B147)</f>
        <v/>
      </c>
      <c r="C146" s="283" t="str">
        <f>IF('Statement of Marks'!C147="","",'Statement of Marks'!C147)</f>
        <v/>
      </c>
      <c r="D146" s="284" t="str">
        <f>IF('Statement of Marks'!D147="","",'Statement of Marks'!D147)</f>
        <v/>
      </c>
      <c r="E146" s="285" t="str">
        <f>IF('Statement of Marks'!E147="","",'Statement of Marks'!E147)</f>
        <v/>
      </c>
      <c r="F146" s="285" t="str">
        <f>IF('Statement of Marks'!F147="","",'Statement of Marks'!F147)</f>
        <v/>
      </c>
      <c r="G146" s="285" t="str">
        <f>IF('Statement of Marks'!G147="","",'Statement of Marks'!G147)</f>
        <v/>
      </c>
      <c r="H146" s="286" t="str">
        <f>IF('Statement of Marks'!GY147="","",'Statement of Marks'!GY147)</f>
        <v/>
      </c>
      <c r="I146" s="286" t="str">
        <f>IF('Statement of Marks'!HB147="","",'Statement of Marks'!HB147)</f>
        <v/>
      </c>
      <c r="J146" s="287" t="str">
        <f>IF('Statement of Marks'!HC147="","",'Statement of Marks'!HC147)</f>
        <v/>
      </c>
      <c r="K146" s="295" t="str">
        <f>IF(B146="","",'Statement of Marks'!FJ147)</f>
        <v/>
      </c>
      <c r="L146" s="295" t="str">
        <f>IF(B146="","",'Statement of Marks'!FM147)</f>
        <v/>
      </c>
      <c r="M146" s="295" t="str">
        <f>IF(B146="","",'Statement of Marks'!FP147)</f>
        <v/>
      </c>
      <c r="N146" s="295" t="str">
        <f>IF(B146="","",'Statement of Marks'!FW147)</f>
        <v/>
      </c>
      <c r="O146" s="295" t="str">
        <f>IF(B146="","",'Statement of Marks'!GD147)</f>
        <v/>
      </c>
      <c r="P146" s="295" t="str">
        <f>IF(B146="","",'Statement of Marks'!GK147)</f>
        <v/>
      </c>
      <c r="Q146" s="295" t="str">
        <f>IF(B146="","",'Statement of Marks'!GR147)</f>
        <v/>
      </c>
      <c r="R146" s="295" t="str">
        <f>IF(B146="","",'Statement of Marks'!GS147)</f>
        <v/>
      </c>
      <c r="S146" s="287" t="str">
        <f>IF(COUNTIF(K146:R146,"F")&gt;0,"",CONCATENATE('Statement of Marks'!GU147,'Statement of Marks'!GW147))</f>
        <v xml:space="preserve">           </v>
      </c>
      <c r="T146" s="288">
        <f t="shared" si="36"/>
        <v>0</v>
      </c>
      <c r="U146" s="16"/>
      <c r="V146" s="296" t="str">
        <f t="shared" si="37"/>
        <v/>
      </c>
      <c r="W146" s="296" t="str">
        <f t="shared" si="38"/>
        <v/>
      </c>
      <c r="X146" s="16"/>
      <c r="Y146" s="296" t="str">
        <f t="shared" si="39"/>
        <v/>
      </c>
      <c r="Z146" s="296" t="str">
        <f t="shared" si="40"/>
        <v/>
      </c>
      <c r="AA146" s="16"/>
      <c r="AB146" s="296" t="str">
        <f t="shared" si="41"/>
        <v/>
      </c>
      <c r="AC146" s="297" t="str">
        <f t="shared" si="42"/>
        <v/>
      </c>
      <c r="AD146" s="16"/>
      <c r="AE146" s="296" t="str">
        <f t="shared" si="43"/>
        <v/>
      </c>
      <c r="AF146" s="297" t="str">
        <f t="shared" si="44"/>
        <v/>
      </c>
      <c r="AG146" s="16"/>
      <c r="AH146" s="296" t="str">
        <f t="shared" si="45"/>
        <v/>
      </c>
      <c r="AI146" s="297" t="str">
        <f t="shared" si="46"/>
        <v/>
      </c>
      <c r="AJ146" s="16"/>
      <c r="AK146" s="297" t="str">
        <f t="shared" si="47"/>
        <v/>
      </c>
      <c r="AL146" s="297" t="str">
        <f t="shared" si="48"/>
        <v/>
      </c>
      <c r="AM146" s="16"/>
      <c r="AN146" s="296" t="str">
        <f t="shared" si="49"/>
        <v/>
      </c>
      <c r="AO146" s="16"/>
      <c r="AP146" s="296" t="str">
        <f t="shared" si="50"/>
        <v/>
      </c>
      <c r="AQ146" s="298">
        <f t="shared" si="51"/>
        <v>0</v>
      </c>
      <c r="AR146" s="298">
        <f t="shared" si="52"/>
        <v>0</v>
      </c>
      <c r="AS146" s="299" t="str">
        <f t="shared" si="53"/>
        <v/>
      </c>
      <c r="AT146" s="300" t="str">
        <f>IF(COUNTIF(K146:R146,"F")&gt;0,"",IF(AS146="PASS",'Statement of Marks'!HF147,""))</f>
        <v/>
      </c>
      <c r="AU146" s="300" t="str">
        <f>IF(AS146="PASS",'Statement of Marks'!HG147,"")</f>
        <v/>
      </c>
    </row>
    <row r="147" spans="1:47">
      <c r="A147" s="283">
        <f>IF('Statement of Marks'!A148="","",'Statement of Marks'!A148)</f>
        <v>141</v>
      </c>
      <c r="B147" s="283" t="str">
        <f>IF('Statement of Marks'!B148="","",'Statement of Marks'!B148)</f>
        <v/>
      </c>
      <c r="C147" s="283" t="str">
        <f>IF('Statement of Marks'!C148="","",'Statement of Marks'!C148)</f>
        <v/>
      </c>
      <c r="D147" s="284" t="str">
        <f>IF('Statement of Marks'!D148="","",'Statement of Marks'!D148)</f>
        <v/>
      </c>
      <c r="E147" s="285" t="str">
        <f>IF('Statement of Marks'!E148="","",'Statement of Marks'!E148)</f>
        <v/>
      </c>
      <c r="F147" s="285" t="str">
        <f>IF('Statement of Marks'!F148="","",'Statement of Marks'!F148)</f>
        <v/>
      </c>
      <c r="G147" s="285" t="str">
        <f>IF('Statement of Marks'!G148="","",'Statement of Marks'!G148)</f>
        <v/>
      </c>
      <c r="H147" s="286" t="str">
        <f>IF('Statement of Marks'!GY148="","",'Statement of Marks'!GY148)</f>
        <v/>
      </c>
      <c r="I147" s="286" t="str">
        <f>IF('Statement of Marks'!HB148="","",'Statement of Marks'!HB148)</f>
        <v/>
      </c>
      <c r="J147" s="287" t="str">
        <f>IF('Statement of Marks'!HC148="","",'Statement of Marks'!HC148)</f>
        <v/>
      </c>
      <c r="K147" s="295" t="str">
        <f>IF(B147="","",'Statement of Marks'!FJ148)</f>
        <v/>
      </c>
      <c r="L147" s="295" t="str">
        <f>IF(B147="","",'Statement of Marks'!FM148)</f>
        <v/>
      </c>
      <c r="M147" s="295" t="str">
        <f>IF(B147="","",'Statement of Marks'!FP148)</f>
        <v/>
      </c>
      <c r="N147" s="295" t="str">
        <f>IF(B147="","",'Statement of Marks'!FW148)</f>
        <v/>
      </c>
      <c r="O147" s="295" t="str">
        <f>IF(B147="","",'Statement of Marks'!GD148)</f>
        <v/>
      </c>
      <c r="P147" s="295" t="str">
        <f>IF(B147="","",'Statement of Marks'!GK148)</f>
        <v/>
      </c>
      <c r="Q147" s="295" t="str">
        <f>IF(B147="","",'Statement of Marks'!GR148)</f>
        <v/>
      </c>
      <c r="R147" s="295" t="str">
        <f>IF(B147="","",'Statement of Marks'!GS148)</f>
        <v/>
      </c>
      <c r="S147" s="287" t="str">
        <f>IF(COUNTIF(K147:R147,"F")&gt;0,"",CONCATENATE('Statement of Marks'!GU148,'Statement of Marks'!GW148))</f>
        <v xml:space="preserve">           </v>
      </c>
      <c r="T147" s="288">
        <f t="shared" si="36"/>
        <v>0</v>
      </c>
      <c r="U147" s="16"/>
      <c r="V147" s="296" t="str">
        <f t="shared" si="37"/>
        <v/>
      </c>
      <c r="W147" s="296" t="str">
        <f t="shared" si="38"/>
        <v/>
      </c>
      <c r="X147" s="16"/>
      <c r="Y147" s="296" t="str">
        <f t="shared" si="39"/>
        <v/>
      </c>
      <c r="Z147" s="296" t="str">
        <f t="shared" si="40"/>
        <v/>
      </c>
      <c r="AA147" s="16"/>
      <c r="AB147" s="296" t="str">
        <f t="shared" si="41"/>
        <v/>
      </c>
      <c r="AC147" s="297" t="str">
        <f t="shared" si="42"/>
        <v/>
      </c>
      <c r="AD147" s="16"/>
      <c r="AE147" s="296" t="str">
        <f t="shared" si="43"/>
        <v/>
      </c>
      <c r="AF147" s="297" t="str">
        <f t="shared" si="44"/>
        <v/>
      </c>
      <c r="AG147" s="16"/>
      <c r="AH147" s="296" t="str">
        <f t="shared" si="45"/>
        <v/>
      </c>
      <c r="AI147" s="297" t="str">
        <f t="shared" si="46"/>
        <v/>
      </c>
      <c r="AJ147" s="16"/>
      <c r="AK147" s="297" t="str">
        <f t="shared" si="47"/>
        <v/>
      </c>
      <c r="AL147" s="297" t="str">
        <f t="shared" si="48"/>
        <v/>
      </c>
      <c r="AM147" s="16"/>
      <c r="AN147" s="296" t="str">
        <f t="shared" si="49"/>
        <v/>
      </c>
      <c r="AO147" s="16"/>
      <c r="AP147" s="296" t="str">
        <f t="shared" si="50"/>
        <v/>
      </c>
      <c r="AQ147" s="298">
        <f t="shared" si="51"/>
        <v>0</v>
      </c>
      <c r="AR147" s="298">
        <f t="shared" si="52"/>
        <v>0</v>
      </c>
      <c r="AS147" s="299" t="str">
        <f t="shared" si="53"/>
        <v/>
      </c>
      <c r="AT147" s="300" t="str">
        <f>IF(COUNTIF(K147:R147,"F")&gt;0,"",IF(AS147="PASS",'Statement of Marks'!HF148,""))</f>
        <v/>
      </c>
      <c r="AU147" s="300" t="str">
        <f>IF(AS147="PASS",'Statement of Marks'!HG148,"")</f>
        <v/>
      </c>
    </row>
    <row r="148" spans="1:47">
      <c r="A148" s="283">
        <f>IF('Statement of Marks'!A149="","",'Statement of Marks'!A149)</f>
        <v>142</v>
      </c>
      <c r="B148" s="283" t="str">
        <f>IF('Statement of Marks'!B149="","",'Statement of Marks'!B149)</f>
        <v/>
      </c>
      <c r="C148" s="283" t="str">
        <f>IF('Statement of Marks'!C149="","",'Statement of Marks'!C149)</f>
        <v/>
      </c>
      <c r="D148" s="284" t="str">
        <f>IF('Statement of Marks'!D149="","",'Statement of Marks'!D149)</f>
        <v/>
      </c>
      <c r="E148" s="285" t="str">
        <f>IF('Statement of Marks'!E149="","",'Statement of Marks'!E149)</f>
        <v/>
      </c>
      <c r="F148" s="285" t="str">
        <f>IF('Statement of Marks'!F149="","",'Statement of Marks'!F149)</f>
        <v/>
      </c>
      <c r="G148" s="285" t="str">
        <f>IF('Statement of Marks'!G149="","",'Statement of Marks'!G149)</f>
        <v/>
      </c>
      <c r="H148" s="286" t="str">
        <f>IF('Statement of Marks'!GY149="","",'Statement of Marks'!GY149)</f>
        <v/>
      </c>
      <c r="I148" s="286" t="str">
        <f>IF('Statement of Marks'!HB149="","",'Statement of Marks'!HB149)</f>
        <v/>
      </c>
      <c r="J148" s="287" t="str">
        <f>IF('Statement of Marks'!HC149="","",'Statement of Marks'!HC149)</f>
        <v/>
      </c>
      <c r="K148" s="295" t="str">
        <f>IF(B148="","",'Statement of Marks'!FJ149)</f>
        <v/>
      </c>
      <c r="L148" s="295" t="str">
        <f>IF(B148="","",'Statement of Marks'!FM149)</f>
        <v/>
      </c>
      <c r="M148" s="295" t="str">
        <f>IF(B148="","",'Statement of Marks'!FP149)</f>
        <v/>
      </c>
      <c r="N148" s="295" t="str">
        <f>IF(B148="","",'Statement of Marks'!FW149)</f>
        <v/>
      </c>
      <c r="O148" s="295" t="str">
        <f>IF(B148="","",'Statement of Marks'!GD149)</f>
        <v/>
      </c>
      <c r="P148" s="295" t="str">
        <f>IF(B148="","",'Statement of Marks'!GK149)</f>
        <v/>
      </c>
      <c r="Q148" s="295" t="str">
        <f>IF(B148="","",'Statement of Marks'!GR149)</f>
        <v/>
      </c>
      <c r="R148" s="295" t="str">
        <f>IF(B148="","",'Statement of Marks'!GS149)</f>
        <v/>
      </c>
      <c r="S148" s="287" t="str">
        <f>IF(COUNTIF(K148:R148,"F")&gt;0,"",CONCATENATE('Statement of Marks'!GU149,'Statement of Marks'!GW149))</f>
        <v xml:space="preserve">           </v>
      </c>
      <c r="T148" s="288">
        <f t="shared" si="36"/>
        <v>0</v>
      </c>
      <c r="U148" s="16"/>
      <c r="V148" s="296" t="str">
        <f t="shared" si="37"/>
        <v/>
      </c>
      <c r="W148" s="296" t="str">
        <f t="shared" si="38"/>
        <v/>
      </c>
      <c r="X148" s="16"/>
      <c r="Y148" s="296" t="str">
        <f t="shared" si="39"/>
        <v/>
      </c>
      <c r="Z148" s="296" t="str">
        <f t="shared" si="40"/>
        <v/>
      </c>
      <c r="AA148" s="16"/>
      <c r="AB148" s="296" t="str">
        <f t="shared" si="41"/>
        <v/>
      </c>
      <c r="AC148" s="297" t="str">
        <f t="shared" si="42"/>
        <v/>
      </c>
      <c r="AD148" s="16"/>
      <c r="AE148" s="296" t="str">
        <f t="shared" si="43"/>
        <v/>
      </c>
      <c r="AF148" s="297" t="str">
        <f t="shared" si="44"/>
        <v/>
      </c>
      <c r="AG148" s="16"/>
      <c r="AH148" s="296" t="str">
        <f t="shared" si="45"/>
        <v/>
      </c>
      <c r="AI148" s="297" t="str">
        <f t="shared" si="46"/>
        <v/>
      </c>
      <c r="AJ148" s="16"/>
      <c r="AK148" s="297" t="str">
        <f t="shared" si="47"/>
        <v/>
      </c>
      <c r="AL148" s="297" t="str">
        <f t="shared" si="48"/>
        <v/>
      </c>
      <c r="AM148" s="16"/>
      <c r="AN148" s="296" t="str">
        <f t="shared" si="49"/>
        <v/>
      </c>
      <c r="AO148" s="16"/>
      <c r="AP148" s="296" t="str">
        <f t="shared" si="50"/>
        <v/>
      </c>
      <c r="AQ148" s="298">
        <f t="shared" si="51"/>
        <v>0</v>
      </c>
      <c r="AR148" s="298">
        <f t="shared" si="52"/>
        <v>0</v>
      </c>
      <c r="AS148" s="299" t="str">
        <f t="shared" si="53"/>
        <v/>
      </c>
      <c r="AT148" s="300" t="str">
        <f>IF(COUNTIF(K148:R148,"F")&gt;0,"",IF(AS148="PASS",'Statement of Marks'!HF149,""))</f>
        <v/>
      </c>
      <c r="AU148" s="300" t="str">
        <f>IF(AS148="PASS",'Statement of Marks'!HG149,"")</f>
        <v/>
      </c>
    </row>
    <row r="149" spans="1:47">
      <c r="A149" s="283">
        <f>IF('Statement of Marks'!A150="","",'Statement of Marks'!A150)</f>
        <v>143</v>
      </c>
      <c r="B149" s="283" t="str">
        <f>IF('Statement of Marks'!B150="","",'Statement of Marks'!B150)</f>
        <v/>
      </c>
      <c r="C149" s="283" t="str">
        <f>IF('Statement of Marks'!C150="","",'Statement of Marks'!C150)</f>
        <v/>
      </c>
      <c r="D149" s="284" t="str">
        <f>IF('Statement of Marks'!D150="","",'Statement of Marks'!D150)</f>
        <v/>
      </c>
      <c r="E149" s="285" t="str">
        <f>IF('Statement of Marks'!E150="","",'Statement of Marks'!E150)</f>
        <v/>
      </c>
      <c r="F149" s="285" t="str">
        <f>IF('Statement of Marks'!F150="","",'Statement of Marks'!F150)</f>
        <v/>
      </c>
      <c r="G149" s="285" t="str">
        <f>IF('Statement of Marks'!G150="","",'Statement of Marks'!G150)</f>
        <v/>
      </c>
      <c r="H149" s="286" t="str">
        <f>IF('Statement of Marks'!GY150="","",'Statement of Marks'!GY150)</f>
        <v/>
      </c>
      <c r="I149" s="286" t="str">
        <f>IF('Statement of Marks'!HB150="","",'Statement of Marks'!HB150)</f>
        <v/>
      </c>
      <c r="J149" s="287" t="str">
        <f>IF('Statement of Marks'!HC150="","",'Statement of Marks'!HC150)</f>
        <v/>
      </c>
      <c r="K149" s="295" t="str">
        <f>IF(B149="","",'Statement of Marks'!FJ150)</f>
        <v/>
      </c>
      <c r="L149" s="295" t="str">
        <f>IF(B149="","",'Statement of Marks'!FM150)</f>
        <v/>
      </c>
      <c r="M149" s="295" t="str">
        <f>IF(B149="","",'Statement of Marks'!FP150)</f>
        <v/>
      </c>
      <c r="N149" s="295" t="str">
        <f>IF(B149="","",'Statement of Marks'!FW150)</f>
        <v/>
      </c>
      <c r="O149" s="295" t="str">
        <f>IF(B149="","",'Statement of Marks'!GD150)</f>
        <v/>
      </c>
      <c r="P149" s="295" t="str">
        <f>IF(B149="","",'Statement of Marks'!GK150)</f>
        <v/>
      </c>
      <c r="Q149" s="295" t="str">
        <f>IF(B149="","",'Statement of Marks'!GR150)</f>
        <v/>
      </c>
      <c r="R149" s="295" t="str">
        <f>IF(B149="","",'Statement of Marks'!GS150)</f>
        <v/>
      </c>
      <c r="S149" s="287" t="str">
        <f>IF(COUNTIF(K149:R149,"F")&gt;0,"",CONCATENATE('Statement of Marks'!GU150,'Statement of Marks'!GW150))</f>
        <v xml:space="preserve">           </v>
      </c>
      <c r="T149" s="288">
        <f t="shared" si="36"/>
        <v>0</v>
      </c>
      <c r="U149" s="16"/>
      <c r="V149" s="296" t="str">
        <f t="shared" si="37"/>
        <v/>
      </c>
      <c r="W149" s="296" t="str">
        <f t="shared" si="38"/>
        <v/>
      </c>
      <c r="X149" s="16"/>
      <c r="Y149" s="296" t="str">
        <f t="shared" si="39"/>
        <v/>
      </c>
      <c r="Z149" s="296" t="str">
        <f t="shared" si="40"/>
        <v/>
      </c>
      <c r="AA149" s="16"/>
      <c r="AB149" s="296" t="str">
        <f t="shared" si="41"/>
        <v/>
      </c>
      <c r="AC149" s="297" t="str">
        <f t="shared" si="42"/>
        <v/>
      </c>
      <c r="AD149" s="16"/>
      <c r="AE149" s="296" t="str">
        <f t="shared" si="43"/>
        <v/>
      </c>
      <c r="AF149" s="297" t="str">
        <f t="shared" si="44"/>
        <v/>
      </c>
      <c r="AG149" s="16"/>
      <c r="AH149" s="296" t="str">
        <f t="shared" si="45"/>
        <v/>
      </c>
      <c r="AI149" s="297" t="str">
        <f t="shared" si="46"/>
        <v/>
      </c>
      <c r="AJ149" s="16"/>
      <c r="AK149" s="297" t="str">
        <f t="shared" si="47"/>
        <v/>
      </c>
      <c r="AL149" s="297" t="str">
        <f t="shared" si="48"/>
        <v/>
      </c>
      <c r="AM149" s="16"/>
      <c r="AN149" s="296" t="str">
        <f t="shared" si="49"/>
        <v/>
      </c>
      <c r="AO149" s="16"/>
      <c r="AP149" s="296" t="str">
        <f t="shared" si="50"/>
        <v/>
      </c>
      <c r="AQ149" s="298">
        <f t="shared" si="51"/>
        <v>0</v>
      </c>
      <c r="AR149" s="298">
        <f t="shared" si="52"/>
        <v>0</v>
      </c>
      <c r="AS149" s="299" t="str">
        <f t="shared" si="53"/>
        <v/>
      </c>
      <c r="AT149" s="300" t="str">
        <f>IF(COUNTIF(K149:R149,"F")&gt;0,"",IF(AS149="PASS",'Statement of Marks'!HF150,""))</f>
        <v/>
      </c>
      <c r="AU149" s="300" t="str">
        <f>IF(AS149="PASS",'Statement of Marks'!HG150,"")</f>
        <v/>
      </c>
    </row>
    <row r="150" spans="1:47">
      <c r="A150" s="283">
        <f>IF('Statement of Marks'!A151="","",'Statement of Marks'!A151)</f>
        <v>144</v>
      </c>
      <c r="B150" s="283" t="str">
        <f>IF('Statement of Marks'!B151="","",'Statement of Marks'!B151)</f>
        <v/>
      </c>
      <c r="C150" s="283" t="str">
        <f>IF('Statement of Marks'!C151="","",'Statement of Marks'!C151)</f>
        <v/>
      </c>
      <c r="D150" s="284" t="str">
        <f>IF('Statement of Marks'!D151="","",'Statement of Marks'!D151)</f>
        <v/>
      </c>
      <c r="E150" s="285" t="str">
        <f>IF('Statement of Marks'!E151="","",'Statement of Marks'!E151)</f>
        <v/>
      </c>
      <c r="F150" s="285" t="str">
        <f>IF('Statement of Marks'!F151="","",'Statement of Marks'!F151)</f>
        <v/>
      </c>
      <c r="G150" s="285" t="str">
        <f>IF('Statement of Marks'!G151="","",'Statement of Marks'!G151)</f>
        <v/>
      </c>
      <c r="H150" s="286" t="str">
        <f>IF('Statement of Marks'!GY151="","",'Statement of Marks'!GY151)</f>
        <v/>
      </c>
      <c r="I150" s="286" t="str">
        <f>IF('Statement of Marks'!HB151="","",'Statement of Marks'!HB151)</f>
        <v/>
      </c>
      <c r="J150" s="287" t="str">
        <f>IF('Statement of Marks'!HC151="","",'Statement of Marks'!HC151)</f>
        <v/>
      </c>
      <c r="K150" s="295" t="str">
        <f>IF(B150="","",'Statement of Marks'!FJ151)</f>
        <v/>
      </c>
      <c r="L150" s="295" t="str">
        <f>IF(B150="","",'Statement of Marks'!FM151)</f>
        <v/>
      </c>
      <c r="M150" s="295" t="str">
        <f>IF(B150="","",'Statement of Marks'!FP151)</f>
        <v/>
      </c>
      <c r="N150" s="295" t="str">
        <f>IF(B150="","",'Statement of Marks'!FW151)</f>
        <v/>
      </c>
      <c r="O150" s="295" t="str">
        <f>IF(B150="","",'Statement of Marks'!GD151)</f>
        <v/>
      </c>
      <c r="P150" s="295" t="str">
        <f>IF(B150="","",'Statement of Marks'!GK151)</f>
        <v/>
      </c>
      <c r="Q150" s="295" t="str">
        <f>IF(B150="","",'Statement of Marks'!GR151)</f>
        <v/>
      </c>
      <c r="R150" s="295" t="str">
        <f>IF(B150="","",'Statement of Marks'!GS151)</f>
        <v/>
      </c>
      <c r="S150" s="287" t="str">
        <f>IF(COUNTIF(K150:R150,"F")&gt;0,"",CONCATENATE('Statement of Marks'!GU151,'Statement of Marks'!GW151))</f>
        <v xml:space="preserve">           </v>
      </c>
      <c r="T150" s="288">
        <f t="shared" si="36"/>
        <v>0</v>
      </c>
      <c r="U150" s="16"/>
      <c r="V150" s="296" t="str">
        <f t="shared" si="37"/>
        <v/>
      </c>
      <c r="W150" s="296" t="str">
        <f t="shared" si="38"/>
        <v/>
      </c>
      <c r="X150" s="16"/>
      <c r="Y150" s="296" t="str">
        <f t="shared" si="39"/>
        <v/>
      </c>
      <c r="Z150" s="296" t="str">
        <f t="shared" si="40"/>
        <v/>
      </c>
      <c r="AA150" s="16"/>
      <c r="AB150" s="296" t="str">
        <f t="shared" si="41"/>
        <v/>
      </c>
      <c r="AC150" s="297" t="str">
        <f t="shared" si="42"/>
        <v/>
      </c>
      <c r="AD150" s="16"/>
      <c r="AE150" s="296" t="str">
        <f t="shared" si="43"/>
        <v/>
      </c>
      <c r="AF150" s="297" t="str">
        <f t="shared" si="44"/>
        <v/>
      </c>
      <c r="AG150" s="16"/>
      <c r="AH150" s="296" t="str">
        <f t="shared" si="45"/>
        <v/>
      </c>
      <c r="AI150" s="297" t="str">
        <f t="shared" si="46"/>
        <v/>
      </c>
      <c r="AJ150" s="16"/>
      <c r="AK150" s="297" t="str">
        <f t="shared" si="47"/>
        <v/>
      </c>
      <c r="AL150" s="297" t="str">
        <f t="shared" si="48"/>
        <v/>
      </c>
      <c r="AM150" s="16"/>
      <c r="AN150" s="296" t="str">
        <f t="shared" si="49"/>
        <v/>
      </c>
      <c r="AO150" s="16"/>
      <c r="AP150" s="296" t="str">
        <f t="shared" si="50"/>
        <v/>
      </c>
      <c r="AQ150" s="298">
        <f t="shared" si="51"/>
        <v>0</v>
      </c>
      <c r="AR150" s="298">
        <f t="shared" si="52"/>
        <v>0</v>
      </c>
      <c r="AS150" s="299" t="str">
        <f t="shared" si="53"/>
        <v/>
      </c>
      <c r="AT150" s="300" t="str">
        <f>IF(COUNTIF(K150:R150,"F")&gt;0,"",IF(AS150="PASS",'Statement of Marks'!HF151,""))</f>
        <v/>
      </c>
      <c r="AU150" s="300" t="str">
        <f>IF(AS150="PASS",'Statement of Marks'!HG151,"")</f>
        <v/>
      </c>
    </row>
    <row r="151" spans="1:47">
      <c r="A151" s="283">
        <f>IF('Statement of Marks'!A152="","",'Statement of Marks'!A152)</f>
        <v>145</v>
      </c>
      <c r="B151" s="283" t="str">
        <f>IF('Statement of Marks'!B152="","",'Statement of Marks'!B152)</f>
        <v/>
      </c>
      <c r="C151" s="283" t="str">
        <f>IF('Statement of Marks'!C152="","",'Statement of Marks'!C152)</f>
        <v/>
      </c>
      <c r="D151" s="284" t="str">
        <f>IF('Statement of Marks'!D152="","",'Statement of Marks'!D152)</f>
        <v/>
      </c>
      <c r="E151" s="285" t="str">
        <f>IF('Statement of Marks'!E152="","",'Statement of Marks'!E152)</f>
        <v/>
      </c>
      <c r="F151" s="285" t="str">
        <f>IF('Statement of Marks'!F152="","",'Statement of Marks'!F152)</f>
        <v/>
      </c>
      <c r="G151" s="285" t="str">
        <f>IF('Statement of Marks'!G152="","",'Statement of Marks'!G152)</f>
        <v/>
      </c>
      <c r="H151" s="286" t="str">
        <f>IF('Statement of Marks'!GY152="","",'Statement of Marks'!GY152)</f>
        <v/>
      </c>
      <c r="I151" s="286" t="str">
        <f>IF('Statement of Marks'!HB152="","",'Statement of Marks'!HB152)</f>
        <v/>
      </c>
      <c r="J151" s="287" t="str">
        <f>IF('Statement of Marks'!HC152="","",'Statement of Marks'!HC152)</f>
        <v/>
      </c>
      <c r="K151" s="295" t="str">
        <f>IF(B151="","",'Statement of Marks'!FJ152)</f>
        <v/>
      </c>
      <c r="L151" s="295" t="str">
        <f>IF(B151="","",'Statement of Marks'!FM152)</f>
        <v/>
      </c>
      <c r="M151" s="295" t="str">
        <f>IF(B151="","",'Statement of Marks'!FP152)</f>
        <v/>
      </c>
      <c r="N151" s="295" t="str">
        <f>IF(B151="","",'Statement of Marks'!FW152)</f>
        <v/>
      </c>
      <c r="O151" s="295" t="str">
        <f>IF(B151="","",'Statement of Marks'!GD152)</f>
        <v/>
      </c>
      <c r="P151" s="295" t="str">
        <f>IF(B151="","",'Statement of Marks'!GK152)</f>
        <v/>
      </c>
      <c r="Q151" s="295" t="str">
        <f>IF(B151="","",'Statement of Marks'!GR152)</f>
        <v/>
      </c>
      <c r="R151" s="295" t="str">
        <f>IF(B151="","",'Statement of Marks'!GS152)</f>
        <v/>
      </c>
      <c r="S151" s="287" t="str">
        <f>IF(COUNTIF(K151:R151,"F")&gt;0,"",CONCATENATE('Statement of Marks'!GU152,'Statement of Marks'!GW152))</f>
        <v xml:space="preserve">           </v>
      </c>
      <c r="T151" s="288">
        <f t="shared" si="36"/>
        <v>0</v>
      </c>
      <c r="U151" s="16"/>
      <c r="V151" s="296" t="str">
        <f t="shared" si="37"/>
        <v/>
      </c>
      <c r="W151" s="296" t="str">
        <f t="shared" si="38"/>
        <v/>
      </c>
      <c r="X151" s="16"/>
      <c r="Y151" s="296" t="str">
        <f t="shared" si="39"/>
        <v/>
      </c>
      <c r="Z151" s="296" t="str">
        <f t="shared" si="40"/>
        <v/>
      </c>
      <c r="AA151" s="16"/>
      <c r="AB151" s="296" t="str">
        <f t="shared" si="41"/>
        <v/>
      </c>
      <c r="AC151" s="297" t="str">
        <f t="shared" si="42"/>
        <v/>
      </c>
      <c r="AD151" s="16"/>
      <c r="AE151" s="296" t="str">
        <f t="shared" si="43"/>
        <v/>
      </c>
      <c r="AF151" s="297" t="str">
        <f t="shared" si="44"/>
        <v/>
      </c>
      <c r="AG151" s="16"/>
      <c r="AH151" s="296" t="str">
        <f t="shared" si="45"/>
        <v/>
      </c>
      <c r="AI151" s="297" t="str">
        <f t="shared" si="46"/>
        <v/>
      </c>
      <c r="AJ151" s="16"/>
      <c r="AK151" s="297" t="str">
        <f t="shared" si="47"/>
        <v/>
      </c>
      <c r="AL151" s="297" t="str">
        <f t="shared" si="48"/>
        <v/>
      </c>
      <c r="AM151" s="16"/>
      <c r="AN151" s="296" t="str">
        <f t="shared" si="49"/>
        <v/>
      </c>
      <c r="AO151" s="16"/>
      <c r="AP151" s="296" t="str">
        <f t="shared" si="50"/>
        <v/>
      </c>
      <c r="AQ151" s="298">
        <f t="shared" si="51"/>
        <v>0</v>
      </c>
      <c r="AR151" s="298">
        <f t="shared" si="52"/>
        <v>0</v>
      </c>
      <c r="AS151" s="299" t="str">
        <f t="shared" si="53"/>
        <v/>
      </c>
      <c r="AT151" s="300" t="str">
        <f>IF(COUNTIF(K151:R151,"F")&gt;0,"",IF(AS151="PASS",'Statement of Marks'!HF152,""))</f>
        <v/>
      </c>
      <c r="AU151" s="300" t="str">
        <f>IF(AS151="PASS",'Statement of Marks'!HG152,"")</f>
        <v/>
      </c>
    </row>
    <row r="152" spans="1:47">
      <c r="A152" s="283">
        <f>IF('Statement of Marks'!A153="","",'Statement of Marks'!A153)</f>
        <v>146</v>
      </c>
      <c r="B152" s="283" t="str">
        <f>IF('Statement of Marks'!B153="","",'Statement of Marks'!B153)</f>
        <v/>
      </c>
      <c r="C152" s="283" t="str">
        <f>IF('Statement of Marks'!C153="","",'Statement of Marks'!C153)</f>
        <v/>
      </c>
      <c r="D152" s="284" t="str">
        <f>IF('Statement of Marks'!D153="","",'Statement of Marks'!D153)</f>
        <v/>
      </c>
      <c r="E152" s="285" t="str">
        <f>IF('Statement of Marks'!E153="","",'Statement of Marks'!E153)</f>
        <v/>
      </c>
      <c r="F152" s="285" t="str">
        <f>IF('Statement of Marks'!F153="","",'Statement of Marks'!F153)</f>
        <v/>
      </c>
      <c r="G152" s="285" t="str">
        <f>IF('Statement of Marks'!G153="","",'Statement of Marks'!G153)</f>
        <v/>
      </c>
      <c r="H152" s="286" t="str">
        <f>IF('Statement of Marks'!GY153="","",'Statement of Marks'!GY153)</f>
        <v/>
      </c>
      <c r="I152" s="286" t="str">
        <f>IF('Statement of Marks'!HB153="","",'Statement of Marks'!HB153)</f>
        <v/>
      </c>
      <c r="J152" s="287" t="str">
        <f>IF('Statement of Marks'!HC153="","",'Statement of Marks'!HC153)</f>
        <v/>
      </c>
      <c r="K152" s="295" t="str">
        <f>IF(B152="","",'Statement of Marks'!FJ153)</f>
        <v/>
      </c>
      <c r="L152" s="295" t="str">
        <f>IF(B152="","",'Statement of Marks'!FM153)</f>
        <v/>
      </c>
      <c r="M152" s="295" t="str">
        <f>IF(B152="","",'Statement of Marks'!FP153)</f>
        <v/>
      </c>
      <c r="N152" s="295" t="str">
        <f>IF(B152="","",'Statement of Marks'!FW153)</f>
        <v/>
      </c>
      <c r="O152" s="295" t="str">
        <f>IF(B152="","",'Statement of Marks'!GD153)</f>
        <v/>
      </c>
      <c r="P152" s="295" t="str">
        <f>IF(B152="","",'Statement of Marks'!GK153)</f>
        <v/>
      </c>
      <c r="Q152" s="295" t="str">
        <f>IF(B152="","",'Statement of Marks'!GR153)</f>
        <v/>
      </c>
      <c r="R152" s="295" t="str">
        <f>IF(B152="","",'Statement of Marks'!GS153)</f>
        <v/>
      </c>
      <c r="S152" s="287" t="str">
        <f>IF(COUNTIF(K152:R152,"F")&gt;0,"",CONCATENATE('Statement of Marks'!GU153,'Statement of Marks'!GW153))</f>
        <v xml:space="preserve">           </v>
      </c>
      <c r="T152" s="288">
        <f t="shared" si="36"/>
        <v>0</v>
      </c>
      <c r="U152" s="16"/>
      <c r="V152" s="296" t="str">
        <f t="shared" si="37"/>
        <v/>
      </c>
      <c r="W152" s="296" t="str">
        <f t="shared" si="38"/>
        <v/>
      </c>
      <c r="X152" s="16"/>
      <c r="Y152" s="296" t="str">
        <f t="shared" si="39"/>
        <v/>
      </c>
      <c r="Z152" s="296" t="str">
        <f t="shared" si="40"/>
        <v/>
      </c>
      <c r="AA152" s="16"/>
      <c r="AB152" s="296" t="str">
        <f t="shared" si="41"/>
        <v/>
      </c>
      <c r="AC152" s="297" t="str">
        <f t="shared" si="42"/>
        <v/>
      </c>
      <c r="AD152" s="16"/>
      <c r="AE152" s="296" t="str">
        <f t="shared" si="43"/>
        <v/>
      </c>
      <c r="AF152" s="297" t="str">
        <f t="shared" si="44"/>
        <v/>
      </c>
      <c r="AG152" s="16"/>
      <c r="AH152" s="296" t="str">
        <f t="shared" si="45"/>
        <v/>
      </c>
      <c r="AI152" s="297" t="str">
        <f t="shared" si="46"/>
        <v/>
      </c>
      <c r="AJ152" s="16"/>
      <c r="AK152" s="297" t="str">
        <f t="shared" si="47"/>
        <v/>
      </c>
      <c r="AL152" s="297" t="str">
        <f t="shared" si="48"/>
        <v/>
      </c>
      <c r="AM152" s="16"/>
      <c r="AN152" s="296" t="str">
        <f t="shared" si="49"/>
        <v/>
      </c>
      <c r="AO152" s="16"/>
      <c r="AP152" s="296" t="str">
        <f t="shared" si="50"/>
        <v/>
      </c>
      <c r="AQ152" s="298">
        <f t="shared" si="51"/>
        <v>0</v>
      </c>
      <c r="AR152" s="298">
        <f t="shared" si="52"/>
        <v>0</v>
      </c>
      <c r="AS152" s="299" t="str">
        <f t="shared" si="53"/>
        <v/>
      </c>
      <c r="AT152" s="300" t="str">
        <f>IF(COUNTIF(K152:R152,"F")&gt;0,"",IF(AS152="PASS",'Statement of Marks'!HF153,""))</f>
        <v/>
      </c>
      <c r="AU152" s="300" t="str">
        <f>IF(AS152="PASS",'Statement of Marks'!HG153,"")</f>
        <v/>
      </c>
    </row>
    <row r="153" spans="1:47">
      <c r="A153" s="283">
        <f>IF('Statement of Marks'!A154="","",'Statement of Marks'!A154)</f>
        <v>147</v>
      </c>
      <c r="B153" s="283" t="str">
        <f>IF('Statement of Marks'!B154="","",'Statement of Marks'!B154)</f>
        <v/>
      </c>
      <c r="C153" s="283" t="str">
        <f>IF('Statement of Marks'!C154="","",'Statement of Marks'!C154)</f>
        <v/>
      </c>
      <c r="D153" s="284" t="str">
        <f>IF('Statement of Marks'!D154="","",'Statement of Marks'!D154)</f>
        <v/>
      </c>
      <c r="E153" s="285" t="str">
        <f>IF('Statement of Marks'!E154="","",'Statement of Marks'!E154)</f>
        <v/>
      </c>
      <c r="F153" s="285" t="str">
        <f>IF('Statement of Marks'!F154="","",'Statement of Marks'!F154)</f>
        <v/>
      </c>
      <c r="G153" s="285" t="str">
        <f>IF('Statement of Marks'!G154="","",'Statement of Marks'!G154)</f>
        <v/>
      </c>
      <c r="H153" s="286" t="str">
        <f>IF('Statement of Marks'!GY154="","",'Statement of Marks'!GY154)</f>
        <v/>
      </c>
      <c r="I153" s="286" t="str">
        <f>IF('Statement of Marks'!HB154="","",'Statement of Marks'!HB154)</f>
        <v/>
      </c>
      <c r="J153" s="287" t="str">
        <f>IF('Statement of Marks'!HC154="","",'Statement of Marks'!HC154)</f>
        <v/>
      </c>
      <c r="K153" s="295" t="str">
        <f>IF(B153="","",'Statement of Marks'!FJ154)</f>
        <v/>
      </c>
      <c r="L153" s="295" t="str">
        <f>IF(B153="","",'Statement of Marks'!FM154)</f>
        <v/>
      </c>
      <c r="M153" s="295" t="str">
        <f>IF(B153="","",'Statement of Marks'!FP154)</f>
        <v/>
      </c>
      <c r="N153" s="295" t="str">
        <f>IF(B153="","",'Statement of Marks'!FW154)</f>
        <v/>
      </c>
      <c r="O153" s="295" t="str">
        <f>IF(B153="","",'Statement of Marks'!GD154)</f>
        <v/>
      </c>
      <c r="P153" s="295" t="str">
        <f>IF(B153="","",'Statement of Marks'!GK154)</f>
        <v/>
      </c>
      <c r="Q153" s="295" t="str">
        <f>IF(B153="","",'Statement of Marks'!GR154)</f>
        <v/>
      </c>
      <c r="R153" s="295" t="str">
        <f>IF(B153="","",'Statement of Marks'!GS154)</f>
        <v/>
      </c>
      <c r="S153" s="287" t="str">
        <f>IF(COUNTIF(K153:R153,"F")&gt;0,"",CONCATENATE('Statement of Marks'!GU154,'Statement of Marks'!GW154))</f>
        <v xml:space="preserve">           </v>
      </c>
      <c r="T153" s="288">
        <f t="shared" si="36"/>
        <v>0</v>
      </c>
      <c r="U153" s="16"/>
      <c r="V153" s="296" t="str">
        <f t="shared" si="37"/>
        <v/>
      </c>
      <c r="W153" s="296" t="str">
        <f t="shared" si="38"/>
        <v/>
      </c>
      <c r="X153" s="16"/>
      <c r="Y153" s="296" t="str">
        <f t="shared" si="39"/>
        <v/>
      </c>
      <c r="Z153" s="296" t="str">
        <f t="shared" si="40"/>
        <v/>
      </c>
      <c r="AA153" s="16"/>
      <c r="AB153" s="296" t="str">
        <f t="shared" si="41"/>
        <v/>
      </c>
      <c r="AC153" s="297" t="str">
        <f t="shared" si="42"/>
        <v/>
      </c>
      <c r="AD153" s="16"/>
      <c r="AE153" s="296" t="str">
        <f t="shared" si="43"/>
        <v/>
      </c>
      <c r="AF153" s="297" t="str">
        <f t="shared" si="44"/>
        <v/>
      </c>
      <c r="AG153" s="16"/>
      <c r="AH153" s="296" t="str">
        <f t="shared" si="45"/>
        <v/>
      </c>
      <c r="AI153" s="297" t="str">
        <f t="shared" si="46"/>
        <v/>
      </c>
      <c r="AJ153" s="16"/>
      <c r="AK153" s="297" t="str">
        <f t="shared" si="47"/>
        <v/>
      </c>
      <c r="AL153" s="297" t="str">
        <f t="shared" si="48"/>
        <v/>
      </c>
      <c r="AM153" s="16"/>
      <c r="AN153" s="296" t="str">
        <f t="shared" si="49"/>
        <v/>
      </c>
      <c r="AO153" s="16"/>
      <c r="AP153" s="296" t="str">
        <f t="shared" si="50"/>
        <v/>
      </c>
      <c r="AQ153" s="298">
        <f t="shared" si="51"/>
        <v>0</v>
      </c>
      <c r="AR153" s="298">
        <f t="shared" si="52"/>
        <v>0</v>
      </c>
      <c r="AS153" s="299" t="str">
        <f t="shared" si="53"/>
        <v/>
      </c>
      <c r="AT153" s="300" t="str">
        <f>IF(COUNTIF(K153:R153,"F")&gt;0,"",IF(AS153="PASS",'Statement of Marks'!HF154,""))</f>
        <v/>
      </c>
      <c r="AU153" s="300" t="str">
        <f>IF(AS153="PASS",'Statement of Marks'!HG154,"")</f>
        <v/>
      </c>
    </row>
    <row r="154" spans="1:47">
      <c r="A154" s="283">
        <f>IF('Statement of Marks'!A155="","",'Statement of Marks'!A155)</f>
        <v>148</v>
      </c>
      <c r="B154" s="283" t="str">
        <f>IF('Statement of Marks'!B155="","",'Statement of Marks'!B155)</f>
        <v/>
      </c>
      <c r="C154" s="283" t="str">
        <f>IF('Statement of Marks'!C155="","",'Statement of Marks'!C155)</f>
        <v/>
      </c>
      <c r="D154" s="284" t="str">
        <f>IF('Statement of Marks'!D155="","",'Statement of Marks'!D155)</f>
        <v/>
      </c>
      <c r="E154" s="285" t="str">
        <f>IF('Statement of Marks'!E155="","",'Statement of Marks'!E155)</f>
        <v/>
      </c>
      <c r="F154" s="285" t="str">
        <f>IF('Statement of Marks'!F155="","",'Statement of Marks'!F155)</f>
        <v/>
      </c>
      <c r="G154" s="285" t="str">
        <f>IF('Statement of Marks'!G155="","",'Statement of Marks'!G155)</f>
        <v/>
      </c>
      <c r="H154" s="286" t="str">
        <f>IF('Statement of Marks'!GY155="","",'Statement of Marks'!GY155)</f>
        <v/>
      </c>
      <c r="I154" s="286" t="str">
        <f>IF('Statement of Marks'!HB155="","",'Statement of Marks'!HB155)</f>
        <v/>
      </c>
      <c r="J154" s="287" t="str">
        <f>IF('Statement of Marks'!HC155="","",'Statement of Marks'!HC155)</f>
        <v/>
      </c>
      <c r="K154" s="295" t="str">
        <f>IF(B154="","",'Statement of Marks'!FJ155)</f>
        <v/>
      </c>
      <c r="L154" s="295" t="str">
        <f>IF(B154="","",'Statement of Marks'!FM155)</f>
        <v/>
      </c>
      <c r="M154" s="295" t="str">
        <f>IF(B154="","",'Statement of Marks'!FP155)</f>
        <v/>
      </c>
      <c r="N154" s="295" t="str">
        <f>IF(B154="","",'Statement of Marks'!FW155)</f>
        <v/>
      </c>
      <c r="O154" s="295" t="str">
        <f>IF(B154="","",'Statement of Marks'!GD155)</f>
        <v/>
      </c>
      <c r="P154" s="295" t="str">
        <f>IF(B154="","",'Statement of Marks'!GK155)</f>
        <v/>
      </c>
      <c r="Q154" s="295" t="str">
        <f>IF(B154="","",'Statement of Marks'!GR155)</f>
        <v/>
      </c>
      <c r="R154" s="295" t="str">
        <f>IF(B154="","",'Statement of Marks'!GS155)</f>
        <v/>
      </c>
      <c r="S154" s="287" t="str">
        <f>IF(COUNTIF(K154:R154,"F")&gt;0,"",CONCATENATE('Statement of Marks'!GU155,'Statement of Marks'!GW155))</f>
        <v xml:space="preserve">           </v>
      </c>
      <c r="T154" s="288">
        <f t="shared" si="36"/>
        <v>0</v>
      </c>
      <c r="U154" s="16"/>
      <c r="V154" s="296" t="str">
        <f t="shared" si="37"/>
        <v/>
      </c>
      <c r="W154" s="296" t="str">
        <f t="shared" si="38"/>
        <v/>
      </c>
      <c r="X154" s="16"/>
      <c r="Y154" s="296" t="str">
        <f t="shared" si="39"/>
        <v/>
      </c>
      <c r="Z154" s="296" t="str">
        <f t="shared" si="40"/>
        <v/>
      </c>
      <c r="AA154" s="16"/>
      <c r="AB154" s="296" t="str">
        <f t="shared" si="41"/>
        <v/>
      </c>
      <c r="AC154" s="297" t="str">
        <f t="shared" si="42"/>
        <v/>
      </c>
      <c r="AD154" s="16"/>
      <c r="AE154" s="296" t="str">
        <f t="shared" si="43"/>
        <v/>
      </c>
      <c r="AF154" s="297" t="str">
        <f t="shared" si="44"/>
        <v/>
      </c>
      <c r="AG154" s="16"/>
      <c r="AH154" s="296" t="str">
        <f t="shared" si="45"/>
        <v/>
      </c>
      <c r="AI154" s="297" t="str">
        <f t="shared" si="46"/>
        <v/>
      </c>
      <c r="AJ154" s="16"/>
      <c r="AK154" s="297" t="str">
        <f t="shared" si="47"/>
        <v/>
      </c>
      <c r="AL154" s="297" t="str">
        <f t="shared" si="48"/>
        <v/>
      </c>
      <c r="AM154" s="16"/>
      <c r="AN154" s="296" t="str">
        <f t="shared" si="49"/>
        <v/>
      </c>
      <c r="AO154" s="16"/>
      <c r="AP154" s="296" t="str">
        <f t="shared" si="50"/>
        <v/>
      </c>
      <c r="AQ154" s="298">
        <f t="shared" si="51"/>
        <v>0</v>
      </c>
      <c r="AR154" s="298">
        <f t="shared" si="52"/>
        <v>0</v>
      </c>
      <c r="AS154" s="299" t="str">
        <f t="shared" si="53"/>
        <v/>
      </c>
      <c r="AT154" s="300" t="str">
        <f>IF(COUNTIF(K154:R154,"F")&gt;0,"",IF(AS154="PASS",'Statement of Marks'!HF155,""))</f>
        <v/>
      </c>
      <c r="AU154" s="300" t="str">
        <f>IF(AS154="PASS",'Statement of Marks'!HG155,"")</f>
        <v/>
      </c>
    </row>
    <row r="155" spans="1:47">
      <c r="A155" s="283">
        <f>IF('Statement of Marks'!A156="","",'Statement of Marks'!A156)</f>
        <v>149</v>
      </c>
      <c r="B155" s="283" t="str">
        <f>IF('Statement of Marks'!B156="","",'Statement of Marks'!B156)</f>
        <v/>
      </c>
      <c r="C155" s="283" t="str">
        <f>IF('Statement of Marks'!C156="","",'Statement of Marks'!C156)</f>
        <v/>
      </c>
      <c r="D155" s="284" t="str">
        <f>IF('Statement of Marks'!D156="","",'Statement of Marks'!D156)</f>
        <v/>
      </c>
      <c r="E155" s="285" t="str">
        <f>IF('Statement of Marks'!E156="","",'Statement of Marks'!E156)</f>
        <v/>
      </c>
      <c r="F155" s="285" t="str">
        <f>IF('Statement of Marks'!F156="","",'Statement of Marks'!F156)</f>
        <v/>
      </c>
      <c r="G155" s="285" t="str">
        <f>IF('Statement of Marks'!G156="","",'Statement of Marks'!G156)</f>
        <v/>
      </c>
      <c r="H155" s="286" t="str">
        <f>IF('Statement of Marks'!GY156="","",'Statement of Marks'!GY156)</f>
        <v/>
      </c>
      <c r="I155" s="286" t="str">
        <f>IF('Statement of Marks'!HB156="","",'Statement of Marks'!HB156)</f>
        <v/>
      </c>
      <c r="J155" s="287" t="str">
        <f>IF('Statement of Marks'!HC156="","",'Statement of Marks'!HC156)</f>
        <v/>
      </c>
      <c r="K155" s="295" t="str">
        <f>IF(B155="","",'Statement of Marks'!FJ156)</f>
        <v/>
      </c>
      <c r="L155" s="295" t="str">
        <f>IF(B155="","",'Statement of Marks'!FM156)</f>
        <v/>
      </c>
      <c r="M155" s="295" t="str">
        <f>IF(B155="","",'Statement of Marks'!FP156)</f>
        <v/>
      </c>
      <c r="N155" s="295" t="str">
        <f>IF(B155="","",'Statement of Marks'!FW156)</f>
        <v/>
      </c>
      <c r="O155" s="295" t="str">
        <f>IF(B155="","",'Statement of Marks'!GD156)</f>
        <v/>
      </c>
      <c r="P155" s="295" t="str">
        <f>IF(B155="","",'Statement of Marks'!GK156)</f>
        <v/>
      </c>
      <c r="Q155" s="295" t="str">
        <f>IF(B155="","",'Statement of Marks'!GR156)</f>
        <v/>
      </c>
      <c r="R155" s="295" t="str">
        <f>IF(B155="","",'Statement of Marks'!GS156)</f>
        <v/>
      </c>
      <c r="S155" s="287" t="str">
        <f>IF(COUNTIF(K155:R155,"F")&gt;0,"",CONCATENATE('Statement of Marks'!GU156,'Statement of Marks'!GW156))</f>
        <v xml:space="preserve">           </v>
      </c>
      <c r="T155" s="288">
        <f t="shared" si="36"/>
        <v>0</v>
      </c>
      <c r="U155" s="16"/>
      <c r="V155" s="296" t="str">
        <f t="shared" si="37"/>
        <v/>
      </c>
      <c r="W155" s="296" t="str">
        <f t="shared" si="38"/>
        <v/>
      </c>
      <c r="X155" s="16"/>
      <c r="Y155" s="296" t="str">
        <f t="shared" si="39"/>
        <v/>
      </c>
      <c r="Z155" s="296" t="str">
        <f t="shared" si="40"/>
        <v/>
      </c>
      <c r="AA155" s="16"/>
      <c r="AB155" s="296" t="str">
        <f t="shared" si="41"/>
        <v/>
      </c>
      <c r="AC155" s="297" t="str">
        <f t="shared" si="42"/>
        <v/>
      </c>
      <c r="AD155" s="16"/>
      <c r="AE155" s="296" t="str">
        <f t="shared" si="43"/>
        <v/>
      </c>
      <c r="AF155" s="297" t="str">
        <f t="shared" si="44"/>
        <v/>
      </c>
      <c r="AG155" s="16"/>
      <c r="AH155" s="296" t="str">
        <f t="shared" si="45"/>
        <v/>
      </c>
      <c r="AI155" s="297" t="str">
        <f t="shared" si="46"/>
        <v/>
      </c>
      <c r="AJ155" s="16"/>
      <c r="AK155" s="297" t="str">
        <f t="shared" si="47"/>
        <v/>
      </c>
      <c r="AL155" s="297" t="str">
        <f t="shared" si="48"/>
        <v/>
      </c>
      <c r="AM155" s="16"/>
      <c r="AN155" s="296" t="str">
        <f t="shared" si="49"/>
        <v/>
      </c>
      <c r="AO155" s="16"/>
      <c r="AP155" s="296" t="str">
        <f t="shared" si="50"/>
        <v/>
      </c>
      <c r="AQ155" s="298">
        <f t="shared" si="51"/>
        <v>0</v>
      </c>
      <c r="AR155" s="298">
        <f t="shared" si="52"/>
        <v>0</v>
      </c>
      <c r="AS155" s="299" t="str">
        <f t="shared" si="53"/>
        <v/>
      </c>
      <c r="AT155" s="300" t="str">
        <f>IF(COUNTIF(K155:R155,"F")&gt;0,"",IF(AS155="PASS",'Statement of Marks'!HF156,""))</f>
        <v/>
      </c>
      <c r="AU155" s="300" t="str">
        <f>IF(AS155="PASS",'Statement of Marks'!HG156,"")</f>
        <v/>
      </c>
    </row>
    <row r="156" spans="1:47">
      <c r="A156" s="283">
        <f>IF('Statement of Marks'!A157="","",'Statement of Marks'!A157)</f>
        <v>150</v>
      </c>
      <c r="B156" s="283" t="str">
        <f>IF('Statement of Marks'!B157="","",'Statement of Marks'!B157)</f>
        <v/>
      </c>
      <c r="C156" s="283" t="str">
        <f>IF('Statement of Marks'!C157="","",'Statement of Marks'!C157)</f>
        <v/>
      </c>
      <c r="D156" s="284" t="str">
        <f>IF('Statement of Marks'!D157="","",'Statement of Marks'!D157)</f>
        <v/>
      </c>
      <c r="E156" s="285" t="str">
        <f>IF('Statement of Marks'!E157="","",'Statement of Marks'!E157)</f>
        <v/>
      </c>
      <c r="F156" s="285" t="str">
        <f>IF('Statement of Marks'!F157="","",'Statement of Marks'!F157)</f>
        <v/>
      </c>
      <c r="G156" s="285" t="str">
        <f>IF('Statement of Marks'!G157="","",'Statement of Marks'!G157)</f>
        <v/>
      </c>
      <c r="H156" s="286" t="str">
        <f>IF('Statement of Marks'!GY157="","",'Statement of Marks'!GY157)</f>
        <v/>
      </c>
      <c r="I156" s="286" t="str">
        <f>IF('Statement of Marks'!HB157="","",'Statement of Marks'!HB157)</f>
        <v/>
      </c>
      <c r="J156" s="287" t="str">
        <f>IF('Statement of Marks'!HC157="","",'Statement of Marks'!HC157)</f>
        <v/>
      </c>
      <c r="K156" s="295" t="str">
        <f>IF(B156="","",'Statement of Marks'!FJ157)</f>
        <v/>
      </c>
      <c r="L156" s="295" t="str">
        <f>IF(B156="","",'Statement of Marks'!FM157)</f>
        <v/>
      </c>
      <c r="M156" s="295" t="str">
        <f>IF(B156="","",'Statement of Marks'!FP157)</f>
        <v/>
      </c>
      <c r="N156" s="295" t="str">
        <f>IF(B156="","",'Statement of Marks'!FW157)</f>
        <v/>
      </c>
      <c r="O156" s="295" t="str">
        <f>IF(B156="","",'Statement of Marks'!GD157)</f>
        <v/>
      </c>
      <c r="P156" s="295" t="str">
        <f>IF(B156="","",'Statement of Marks'!GK157)</f>
        <v/>
      </c>
      <c r="Q156" s="295" t="str">
        <f>IF(B156="","",'Statement of Marks'!GR157)</f>
        <v/>
      </c>
      <c r="R156" s="295" t="str">
        <f>IF(B156="","",'Statement of Marks'!GS157)</f>
        <v/>
      </c>
      <c r="S156" s="287" t="str">
        <f>IF(COUNTIF(K156:R156,"F")&gt;0,"",CONCATENATE('Statement of Marks'!GU157,'Statement of Marks'!GW157))</f>
        <v xml:space="preserve">           </v>
      </c>
      <c r="T156" s="288">
        <f t="shared" si="36"/>
        <v>0</v>
      </c>
      <c r="U156" s="16"/>
      <c r="V156" s="296" t="str">
        <f t="shared" si="37"/>
        <v/>
      </c>
      <c r="W156" s="296" t="str">
        <f t="shared" si="38"/>
        <v/>
      </c>
      <c r="X156" s="16"/>
      <c r="Y156" s="296" t="str">
        <f t="shared" si="39"/>
        <v/>
      </c>
      <c r="Z156" s="296" t="str">
        <f t="shared" si="40"/>
        <v/>
      </c>
      <c r="AA156" s="16"/>
      <c r="AB156" s="296" t="str">
        <f t="shared" si="41"/>
        <v/>
      </c>
      <c r="AC156" s="297" t="str">
        <f t="shared" si="42"/>
        <v/>
      </c>
      <c r="AD156" s="16"/>
      <c r="AE156" s="296" t="str">
        <f t="shared" si="43"/>
        <v/>
      </c>
      <c r="AF156" s="297" t="str">
        <f t="shared" si="44"/>
        <v/>
      </c>
      <c r="AG156" s="16"/>
      <c r="AH156" s="296" t="str">
        <f t="shared" si="45"/>
        <v/>
      </c>
      <c r="AI156" s="297" t="str">
        <f t="shared" si="46"/>
        <v/>
      </c>
      <c r="AJ156" s="16"/>
      <c r="AK156" s="297" t="str">
        <f t="shared" si="47"/>
        <v/>
      </c>
      <c r="AL156" s="297" t="str">
        <f t="shared" si="48"/>
        <v/>
      </c>
      <c r="AM156" s="16"/>
      <c r="AN156" s="296" t="str">
        <f t="shared" si="49"/>
        <v/>
      </c>
      <c r="AO156" s="16"/>
      <c r="AP156" s="296" t="str">
        <f t="shared" si="50"/>
        <v/>
      </c>
      <c r="AQ156" s="298">
        <f t="shared" si="51"/>
        <v>0</v>
      </c>
      <c r="AR156" s="298">
        <f t="shared" si="52"/>
        <v>0</v>
      </c>
      <c r="AS156" s="299" t="str">
        <f t="shared" si="53"/>
        <v/>
      </c>
      <c r="AT156" s="300" t="str">
        <f>IF(COUNTIF(K156:R156,"F")&gt;0,"",IF(AS156="PASS",'Statement of Marks'!HF157,""))</f>
        <v/>
      </c>
      <c r="AU156" s="300" t="str">
        <f>IF(AS156="PASS",'Statement of Marks'!HG157,"")</f>
        <v/>
      </c>
    </row>
    <row r="157" spans="1:47">
      <c r="A157" s="283">
        <f>IF('Statement of Marks'!A158="","",'Statement of Marks'!A158)</f>
        <v>151</v>
      </c>
      <c r="B157" s="283" t="str">
        <f>IF('Statement of Marks'!B158="","",'Statement of Marks'!B158)</f>
        <v/>
      </c>
      <c r="C157" s="283" t="str">
        <f>IF('Statement of Marks'!C158="","",'Statement of Marks'!C158)</f>
        <v/>
      </c>
      <c r="D157" s="284" t="str">
        <f>IF('Statement of Marks'!D158="","",'Statement of Marks'!D158)</f>
        <v/>
      </c>
      <c r="E157" s="285" t="str">
        <f>IF('Statement of Marks'!E158="","",'Statement of Marks'!E158)</f>
        <v/>
      </c>
      <c r="F157" s="285" t="str">
        <f>IF('Statement of Marks'!F158="","",'Statement of Marks'!F158)</f>
        <v/>
      </c>
      <c r="G157" s="285" t="str">
        <f>IF('Statement of Marks'!G158="","",'Statement of Marks'!G158)</f>
        <v/>
      </c>
      <c r="H157" s="286" t="str">
        <f>IF('Statement of Marks'!GY158="","",'Statement of Marks'!GY158)</f>
        <v/>
      </c>
      <c r="I157" s="286" t="str">
        <f>IF('Statement of Marks'!HB158="","",'Statement of Marks'!HB158)</f>
        <v/>
      </c>
      <c r="J157" s="287" t="str">
        <f>IF('Statement of Marks'!HC158="","",'Statement of Marks'!HC158)</f>
        <v/>
      </c>
      <c r="K157" s="295" t="str">
        <f>IF(B157="","",'Statement of Marks'!FJ158)</f>
        <v/>
      </c>
      <c r="L157" s="295" t="str">
        <f>IF(B157="","",'Statement of Marks'!FM158)</f>
        <v/>
      </c>
      <c r="M157" s="295" t="str">
        <f>IF(B157="","",'Statement of Marks'!FP158)</f>
        <v/>
      </c>
      <c r="N157" s="295" t="str">
        <f>IF(B157="","",'Statement of Marks'!FW158)</f>
        <v/>
      </c>
      <c r="O157" s="295" t="str">
        <f>IF(B157="","",'Statement of Marks'!GD158)</f>
        <v/>
      </c>
      <c r="P157" s="295" t="str">
        <f>IF(B157="","",'Statement of Marks'!GK158)</f>
        <v/>
      </c>
      <c r="Q157" s="295" t="str">
        <f>IF(B157="","",'Statement of Marks'!GR158)</f>
        <v/>
      </c>
      <c r="R157" s="295" t="str">
        <f>IF(B157="","",'Statement of Marks'!GS158)</f>
        <v/>
      </c>
      <c r="S157" s="287" t="str">
        <f>IF(COUNTIF(K157:R157,"F")&gt;0,"",CONCATENATE('Statement of Marks'!GU158,'Statement of Marks'!GW158))</f>
        <v xml:space="preserve">           </v>
      </c>
      <c r="T157" s="288">
        <f t="shared" si="36"/>
        <v>0</v>
      </c>
      <c r="U157" s="16"/>
      <c r="V157" s="296" t="str">
        <f t="shared" si="37"/>
        <v/>
      </c>
      <c r="W157" s="296" t="str">
        <f t="shared" si="38"/>
        <v/>
      </c>
      <c r="X157" s="16"/>
      <c r="Y157" s="296" t="str">
        <f t="shared" si="39"/>
        <v/>
      </c>
      <c r="Z157" s="296" t="str">
        <f t="shared" si="40"/>
        <v/>
      </c>
      <c r="AA157" s="16"/>
      <c r="AB157" s="296" t="str">
        <f t="shared" si="41"/>
        <v/>
      </c>
      <c r="AC157" s="297" t="str">
        <f t="shared" si="42"/>
        <v/>
      </c>
      <c r="AD157" s="16"/>
      <c r="AE157" s="296" t="str">
        <f t="shared" si="43"/>
        <v/>
      </c>
      <c r="AF157" s="297" t="str">
        <f t="shared" si="44"/>
        <v/>
      </c>
      <c r="AG157" s="16"/>
      <c r="AH157" s="296" t="str">
        <f t="shared" si="45"/>
        <v/>
      </c>
      <c r="AI157" s="297" t="str">
        <f t="shared" si="46"/>
        <v/>
      </c>
      <c r="AJ157" s="16"/>
      <c r="AK157" s="297" t="str">
        <f t="shared" si="47"/>
        <v/>
      </c>
      <c r="AL157" s="297" t="str">
        <f t="shared" si="48"/>
        <v/>
      </c>
      <c r="AM157" s="16"/>
      <c r="AN157" s="296" t="str">
        <f t="shared" si="49"/>
        <v/>
      </c>
      <c r="AO157" s="16"/>
      <c r="AP157" s="296" t="str">
        <f t="shared" si="50"/>
        <v/>
      </c>
      <c r="AQ157" s="298">
        <f t="shared" si="51"/>
        <v>0</v>
      </c>
      <c r="AR157" s="298">
        <f t="shared" si="52"/>
        <v>0</v>
      </c>
      <c r="AS157" s="299" t="str">
        <f t="shared" si="53"/>
        <v/>
      </c>
      <c r="AT157" s="300" t="str">
        <f>IF(COUNTIF(K157:R157,"F")&gt;0,"",IF(AS157="PASS",'Statement of Marks'!HF158,""))</f>
        <v/>
      </c>
      <c r="AU157" s="300" t="str">
        <f>IF(AS157="PASS",'Statement of Marks'!HG158,"")</f>
        <v/>
      </c>
    </row>
    <row r="158" spans="1:47">
      <c r="A158" s="283">
        <f>IF('Statement of Marks'!A159="","",'Statement of Marks'!A159)</f>
        <v>152</v>
      </c>
      <c r="B158" s="283" t="str">
        <f>IF('Statement of Marks'!B159="","",'Statement of Marks'!B159)</f>
        <v/>
      </c>
      <c r="C158" s="283" t="str">
        <f>IF('Statement of Marks'!C159="","",'Statement of Marks'!C159)</f>
        <v/>
      </c>
      <c r="D158" s="284" t="str">
        <f>IF('Statement of Marks'!D159="","",'Statement of Marks'!D159)</f>
        <v/>
      </c>
      <c r="E158" s="285" t="str">
        <f>IF('Statement of Marks'!E159="","",'Statement of Marks'!E159)</f>
        <v/>
      </c>
      <c r="F158" s="285" t="str">
        <f>IF('Statement of Marks'!F159="","",'Statement of Marks'!F159)</f>
        <v/>
      </c>
      <c r="G158" s="285" t="str">
        <f>IF('Statement of Marks'!G159="","",'Statement of Marks'!G159)</f>
        <v/>
      </c>
      <c r="H158" s="286" t="str">
        <f>IF('Statement of Marks'!GY159="","",'Statement of Marks'!GY159)</f>
        <v/>
      </c>
      <c r="I158" s="286" t="str">
        <f>IF('Statement of Marks'!HB159="","",'Statement of Marks'!HB159)</f>
        <v/>
      </c>
      <c r="J158" s="287" t="str">
        <f>IF('Statement of Marks'!HC159="","",'Statement of Marks'!HC159)</f>
        <v/>
      </c>
      <c r="K158" s="295" t="str">
        <f>IF(B158="","",'Statement of Marks'!FJ159)</f>
        <v/>
      </c>
      <c r="L158" s="295" t="str">
        <f>IF(B158="","",'Statement of Marks'!FM159)</f>
        <v/>
      </c>
      <c r="M158" s="295" t="str">
        <f>IF(B158="","",'Statement of Marks'!FP159)</f>
        <v/>
      </c>
      <c r="N158" s="295" t="str">
        <f>IF(B158="","",'Statement of Marks'!FW159)</f>
        <v/>
      </c>
      <c r="O158" s="295" t="str">
        <f>IF(B158="","",'Statement of Marks'!GD159)</f>
        <v/>
      </c>
      <c r="P158" s="295" t="str">
        <f>IF(B158="","",'Statement of Marks'!GK159)</f>
        <v/>
      </c>
      <c r="Q158" s="295" t="str">
        <f>IF(B158="","",'Statement of Marks'!GR159)</f>
        <v/>
      </c>
      <c r="R158" s="295" t="str">
        <f>IF(B158="","",'Statement of Marks'!GS159)</f>
        <v/>
      </c>
      <c r="S158" s="287" t="str">
        <f>IF(COUNTIF(K158:R158,"F")&gt;0,"",CONCATENATE('Statement of Marks'!GU159,'Statement of Marks'!GW159))</f>
        <v xml:space="preserve">           </v>
      </c>
      <c r="T158" s="288">
        <f t="shared" si="36"/>
        <v>0</v>
      </c>
      <c r="U158" s="16"/>
      <c r="V158" s="296" t="str">
        <f t="shared" si="37"/>
        <v/>
      </c>
      <c r="W158" s="296" t="str">
        <f t="shared" si="38"/>
        <v/>
      </c>
      <c r="X158" s="16"/>
      <c r="Y158" s="296" t="str">
        <f t="shared" si="39"/>
        <v/>
      </c>
      <c r="Z158" s="296" t="str">
        <f t="shared" si="40"/>
        <v/>
      </c>
      <c r="AA158" s="16"/>
      <c r="AB158" s="296" t="str">
        <f t="shared" si="41"/>
        <v/>
      </c>
      <c r="AC158" s="297" t="str">
        <f t="shared" si="42"/>
        <v/>
      </c>
      <c r="AD158" s="16"/>
      <c r="AE158" s="296" t="str">
        <f t="shared" si="43"/>
        <v/>
      </c>
      <c r="AF158" s="297" t="str">
        <f t="shared" si="44"/>
        <v/>
      </c>
      <c r="AG158" s="16"/>
      <c r="AH158" s="296" t="str">
        <f t="shared" si="45"/>
        <v/>
      </c>
      <c r="AI158" s="297" t="str">
        <f t="shared" si="46"/>
        <v/>
      </c>
      <c r="AJ158" s="16"/>
      <c r="AK158" s="297" t="str">
        <f t="shared" si="47"/>
        <v/>
      </c>
      <c r="AL158" s="297" t="str">
        <f t="shared" si="48"/>
        <v/>
      </c>
      <c r="AM158" s="16"/>
      <c r="AN158" s="296" t="str">
        <f t="shared" si="49"/>
        <v/>
      </c>
      <c r="AO158" s="16"/>
      <c r="AP158" s="296" t="str">
        <f t="shared" si="50"/>
        <v/>
      </c>
      <c r="AQ158" s="298">
        <f t="shared" si="51"/>
        <v>0</v>
      </c>
      <c r="AR158" s="298">
        <f t="shared" si="52"/>
        <v>0</v>
      </c>
      <c r="AS158" s="299" t="str">
        <f t="shared" si="53"/>
        <v/>
      </c>
      <c r="AT158" s="300" t="str">
        <f>IF(COUNTIF(K158:R158,"F")&gt;0,"",IF(AS158="PASS",'Statement of Marks'!HF159,""))</f>
        <v/>
      </c>
      <c r="AU158" s="300" t="str">
        <f>IF(AS158="PASS",'Statement of Marks'!HG159,"")</f>
        <v/>
      </c>
    </row>
    <row r="159" spans="1:47">
      <c r="A159" s="283">
        <f>IF('Statement of Marks'!A160="","",'Statement of Marks'!A160)</f>
        <v>153</v>
      </c>
      <c r="B159" s="283" t="str">
        <f>IF('Statement of Marks'!B160="","",'Statement of Marks'!B160)</f>
        <v/>
      </c>
      <c r="C159" s="283" t="str">
        <f>IF('Statement of Marks'!C160="","",'Statement of Marks'!C160)</f>
        <v/>
      </c>
      <c r="D159" s="284" t="str">
        <f>IF('Statement of Marks'!D160="","",'Statement of Marks'!D160)</f>
        <v/>
      </c>
      <c r="E159" s="285" t="str">
        <f>IF('Statement of Marks'!E160="","",'Statement of Marks'!E160)</f>
        <v/>
      </c>
      <c r="F159" s="285" t="str">
        <f>IF('Statement of Marks'!F160="","",'Statement of Marks'!F160)</f>
        <v/>
      </c>
      <c r="G159" s="285" t="str">
        <f>IF('Statement of Marks'!G160="","",'Statement of Marks'!G160)</f>
        <v/>
      </c>
      <c r="H159" s="286" t="str">
        <f>IF('Statement of Marks'!GY160="","",'Statement of Marks'!GY160)</f>
        <v/>
      </c>
      <c r="I159" s="286" t="str">
        <f>IF('Statement of Marks'!HB160="","",'Statement of Marks'!HB160)</f>
        <v/>
      </c>
      <c r="J159" s="287" t="str">
        <f>IF('Statement of Marks'!HC160="","",'Statement of Marks'!HC160)</f>
        <v/>
      </c>
      <c r="K159" s="295" t="str">
        <f>IF(B159="","",'Statement of Marks'!FJ160)</f>
        <v/>
      </c>
      <c r="L159" s="295" t="str">
        <f>IF(B159="","",'Statement of Marks'!FM160)</f>
        <v/>
      </c>
      <c r="M159" s="295" t="str">
        <f>IF(B159="","",'Statement of Marks'!FP160)</f>
        <v/>
      </c>
      <c r="N159" s="295" t="str">
        <f>IF(B159="","",'Statement of Marks'!FW160)</f>
        <v/>
      </c>
      <c r="O159" s="295" t="str">
        <f>IF(B159="","",'Statement of Marks'!GD160)</f>
        <v/>
      </c>
      <c r="P159" s="295" t="str">
        <f>IF(B159="","",'Statement of Marks'!GK160)</f>
        <v/>
      </c>
      <c r="Q159" s="295" t="str">
        <f>IF(B159="","",'Statement of Marks'!GR160)</f>
        <v/>
      </c>
      <c r="R159" s="295" t="str">
        <f>IF(B159="","",'Statement of Marks'!GS160)</f>
        <v/>
      </c>
      <c r="S159" s="287" t="str">
        <f>IF(COUNTIF(K159:R159,"F")&gt;0,"",CONCATENATE('Statement of Marks'!GU160,'Statement of Marks'!GW160))</f>
        <v xml:space="preserve">           </v>
      </c>
      <c r="T159" s="288">
        <f t="shared" si="36"/>
        <v>0</v>
      </c>
      <c r="U159" s="16"/>
      <c r="V159" s="296" t="str">
        <f t="shared" si="37"/>
        <v/>
      </c>
      <c r="W159" s="296" t="str">
        <f t="shared" si="38"/>
        <v/>
      </c>
      <c r="X159" s="16"/>
      <c r="Y159" s="296" t="str">
        <f t="shared" si="39"/>
        <v/>
      </c>
      <c r="Z159" s="296" t="str">
        <f t="shared" si="40"/>
        <v/>
      </c>
      <c r="AA159" s="16"/>
      <c r="AB159" s="296" t="str">
        <f t="shared" si="41"/>
        <v/>
      </c>
      <c r="AC159" s="297" t="str">
        <f t="shared" si="42"/>
        <v/>
      </c>
      <c r="AD159" s="16"/>
      <c r="AE159" s="296" t="str">
        <f t="shared" si="43"/>
        <v/>
      </c>
      <c r="AF159" s="297" t="str">
        <f t="shared" si="44"/>
        <v/>
      </c>
      <c r="AG159" s="16"/>
      <c r="AH159" s="296" t="str">
        <f t="shared" si="45"/>
        <v/>
      </c>
      <c r="AI159" s="297" t="str">
        <f t="shared" si="46"/>
        <v/>
      </c>
      <c r="AJ159" s="16"/>
      <c r="AK159" s="297" t="str">
        <f t="shared" si="47"/>
        <v/>
      </c>
      <c r="AL159" s="297" t="str">
        <f t="shared" si="48"/>
        <v/>
      </c>
      <c r="AM159" s="16"/>
      <c r="AN159" s="296" t="str">
        <f t="shared" si="49"/>
        <v/>
      </c>
      <c r="AO159" s="16"/>
      <c r="AP159" s="296" t="str">
        <f t="shared" si="50"/>
        <v/>
      </c>
      <c r="AQ159" s="298">
        <f t="shared" si="51"/>
        <v>0</v>
      </c>
      <c r="AR159" s="298">
        <f t="shared" si="52"/>
        <v>0</v>
      </c>
      <c r="AS159" s="299" t="str">
        <f t="shared" si="53"/>
        <v/>
      </c>
      <c r="AT159" s="300" t="str">
        <f>IF(COUNTIF(K159:R159,"F")&gt;0,"",IF(AS159="PASS",'Statement of Marks'!HF160,""))</f>
        <v/>
      </c>
      <c r="AU159" s="300" t="str">
        <f>IF(AS159="PASS",'Statement of Marks'!HG160,"")</f>
        <v/>
      </c>
    </row>
    <row r="160" spans="1:47">
      <c r="A160" s="283">
        <f>IF('Statement of Marks'!A161="","",'Statement of Marks'!A161)</f>
        <v>154</v>
      </c>
      <c r="B160" s="283" t="str">
        <f>IF('Statement of Marks'!B161="","",'Statement of Marks'!B161)</f>
        <v/>
      </c>
      <c r="C160" s="283" t="str">
        <f>IF('Statement of Marks'!C161="","",'Statement of Marks'!C161)</f>
        <v/>
      </c>
      <c r="D160" s="284" t="str">
        <f>IF('Statement of Marks'!D161="","",'Statement of Marks'!D161)</f>
        <v/>
      </c>
      <c r="E160" s="285" t="str">
        <f>IF('Statement of Marks'!E161="","",'Statement of Marks'!E161)</f>
        <v/>
      </c>
      <c r="F160" s="285" t="str">
        <f>IF('Statement of Marks'!F161="","",'Statement of Marks'!F161)</f>
        <v/>
      </c>
      <c r="G160" s="285" t="str">
        <f>IF('Statement of Marks'!G161="","",'Statement of Marks'!G161)</f>
        <v/>
      </c>
      <c r="H160" s="286" t="str">
        <f>IF('Statement of Marks'!GY161="","",'Statement of Marks'!GY161)</f>
        <v/>
      </c>
      <c r="I160" s="286" t="str">
        <f>IF('Statement of Marks'!HB161="","",'Statement of Marks'!HB161)</f>
        <v/>
      </c>
      <c r="J160" s="287" t="str">
        <f>IF('Statement of Marks'!HC161="","",'Statement of Marks'!HC161)</f>
        <v/>
      </c>
      <c r="K160" s="295" t="str">
        <f>IF(B160="","",'Statement of Marks'!FJ161)</f>
        <v/>
      </c>
      <c r="L160" s="295" t="str">
        <f>IF(B160="","",'Statement of Marks'!FM161)</f>
        <v/>
      </c>
      <c r="M160" s="295" t="str">
        <f>IF(B160="","",'Statement of Marks'!FP161)</f>
        <v/>
      </c>
      <c r="N160" s="295" t="str">
        <f>IF(B160="","",'Statement of Marks'!FW161)</f>
        <v/>
      </c>
      <c r="O160" s="295" t="str">
        <f>IF(B160="","",'Statement of Marks'!GD161)</f>
        <v/>
      </c>
      <c r="P160" s="295" t="str">
        <f>IF(B160="","",'Statement of Marks'!GK161)</f>
        <v/>
      </c>
      <c r="Q160" s="295" t="str">
        <f>IF(B160="","",'Statement of Marks'!GR161)</f>
        <v/>
      </c>
      <c r="R160" s="295" t="str">
        <f>IF(B160="","",'Statement of Marks'!GS161)</f>
        <v/>
      </c>
      <c r="S160" s="287" t="str">
        <f>IF(COUNTIF(K160:R160,"F")&gt;0,"",CONCATENATE('Statement of Marks'!GU161,'Statement of Marks'!GW161))</f>
        <v xml:space="preserve">           </v>
      </c>
      <c r="T160" s="288">
        <f t="shared" si="36"/>
        <v>0</v>
      </c>
      <c r="U160" s="16"/>
      <c r="V160" s="296" t="str">
        <f t="shared" si="37"/>
        <v/>
      </c>
      <c r="W160" s="296" t="str">
        <f t="shared" si="38"/>
        <v/>
      </c>
      <c r="X160" s="16"/>
      <c r="Y160" s="296" t="str">
        <f t="shared" si="39"/>
        <v/>
      </c>
      <c r="Z160" s="296" t="str">
        <f t="shared" si="40"/>
        <v/>
      </c>
      <c r="AA160" s="16"/>
      <c r="AB160" s="296" t="str">
        <f t="shared" si="41"/>
        <v/>
      </c>
      <c r="AC160" s="297" t="str">
        <f t="shared" si="42"/>
        <v/>
      </c>
      <c r="AD160" s="16"/>
      <c r="AE160" s="296" t="str">
        <f t="shared" si="43"/>
        <v/>
      </c>
      <c r="AF160" s="297" t="str">
        <f t="shared" si="44"/>
        <v/>
      </c>
      <c r="AG160" s="16"/>
      <c r="AH160" s="296" t="str">
        <f t="shared" si="45"/>
        <v/>
      </c>
      <c r="AI160" s="297" t="str">
        <f t="shared" si="46"/>
        <v/>
      </c>
      <c r="AJ160" s="16"/>
      <c r="AK160" s="297" t="str">
        <f t="shared" si="47"/>
        <v/>
      </c>
      <c r="AL160" s="297" t="str">
        <f t="shared" si="48"/>
        <v/>
      </c>
      <c r="AM160" s="16"/>
      <c r="AN160" s="296" t="str">
        <f t="shared" si="49"/>
        <v/>
      </c>
      <c r="AO160" s="16"/>
      <c r="AP160" s="296" t="str">
        <f t="shared" si="50"/>
        <v/>
      </c>
      <c r="AQ160" s="298">
        <f t="shared" si="51"/>
        <v>0</v>
      </c>
      <c r="AR160" s="298">
        <f t="shared" si="52"/>
        <v>0</v>
      </c>
      <c r="AS160" s="299" t="str">
        <f t="shared" si="53"/>
        <v/>
      </c>
      <c r="AT160" s="300" t="str">
        <f>IF(COUNTIF(K160:R160,"F")&gt;0,"",IF(AS160="PASS",'Statement of Marks'!HF161,""))</f>
        <v/>
      </c>
      <c r="AU160" s="300" t="str">
        <f>IF(AS160="PASS",'Statement of Marks'!HG161,"")</f>
        <v/>
      </c>
    </row>
    <row r="161" spans="1:47">
      <c r="A161" s="283">
        <f>IF('Statement of Marks'!A162="","",'Statement of Marks'!A162)</f>
        <v>155</v>
      </c>
      <c r="B161" s="283" t="str">
        <f>IF('Statement of Marks'!B162="","",'Statement of Marks'!B162)</f>
        <v/>
      </c>
      <c r="C161" s="283" t="str">
        <f>IF('Statement of Marks'!C162="","",'Statement of Marks'!C162)</f>
        <v/>
      </c>
      <c r="D161" s="284" t="str">
        <f>IF('Statement of Marks'!D162="","",'Statement of Marks'!D162)</f>
        <v/>
      </c>
      <c r="E161" s="285" t="str">
        <f>IF('Statement of Marks'!E162="","",'Statement of Marks'!E162)</f>
        <v/>
      </c>
      <c r="F161" s="285" t="str">
        <f>IF('Statement of Marks'!F162="","",'Statement of Marks'!F162)</f>
        <v/>
      </c>
      <c r="G161" s="285" t="str">
        <f>IF('Statement of Marks'!G162="","",'Statement of Marks'!G162)</f>
        <v/>
      </c>
      <c r="H161" s="286" t="str">
        <f>IF('Statement of Marks'!GY162="","",'Statement of Marks'!GY162)</f>
        <v/>
      </c>
      <c r="I161" s="286" t="str">
        <f>IF('Statement of Marks'!HB162="","",'Statement of Marks'!HB162)</f>
        <v/>
      </c>
      <c r="J161" s="287" t="str">
        <f>IF('Statement of Marks'!HC162="","",'Statement of Marks'!HC162)</f>
        <v/>
      </c>
      <c r="K161" s="295" t="str">
        <f>IF(B161="","",'Statement of Marks'!FJ162)</f>
        <v/>
      </c>
      <c r="L161" s="295" t="str">
        <f>IF(B161="","",'Statement of Marks'!FM162)</f>
        <v/>
      </c>
      <c r="M161" s="295" t="str">
        <f>IF(B161="","",'Statement of Marks'!FP162)</f>
        <v/>
      </c>
      <c r="N161" s="295" t="str">
        <f>IF(B161="","",'Statement of Marks'!FW162)</f>
        <v/>
      </c>
      <c r="O161" s="295" t="str">
        <f>IF(B161="","",'Statement of Marks'!GD162)</f>
        <v/>
      </c>
      <c r="P161" s="295" t="str">
        <f>IF(B161="","",'Statement of Marks'!GK162)</f>
        <v/>
      </c>
      <c r="Q161" s="295" t="str">
        <f>IF(B161="","",'Statement of Marks'!GR162)</f>
        <v/>
      </c>
      <c r="R161" s="295" t="str">
        <f>IF(B161="","",'Statement of Marks'!GS162)</f>
        <v/>
      </c>
      <c r="S161" s="287" t="str">
        <f>IF(COUNTIF(K161:R161,"F")&gt;0,"",CONCATENATE('Statement of Marks'!GU162,'Statement of Marks'!GW162))</f>
        <v xml:space="preserve">           </v>
      </c>
      <c r="T161" s="288">
        <f t="shared" si="36"/>
        <v>0</v>
      </c>
      <c r="U161" s="16"/>
      <c r="V161" s="296" t="str">
        <f t="shared" si="37"/>
        <v/>
      </c>
      <c r="W161" s="296" t="str">
        <f t="shared" si="38"/>
        <v/>
      </c>
      <c r="X161" s="16"/>
      <c r="Y161" s="296" t="str">
        <f t="shared" si="39"/>
        <v/>
      </c>
      <c r="Z161" s="296" t="str">
        <f t="shared" si="40"/>
        <v/>
      </c>
      <c r="AA161" s="16"/>
      <c r="AB161" s="296" t="str">
        <f t="shared" si="41"/>
        <v/>
      </c>
      <c r="AC161" s="297" t="str">
        <f t="shared" si="42"/>
        <v/>
      </c>
      <c r="AD161" s="16"/>
      <c r="AE161" s="296" t="str">
        <f t="shared" si="43"/>
        <v/>
      </c>
      <c r="AF161" s="297" t="str">
        <f t="shared" si="44"/>
        <v/>
      </c>
      <c r="AG161" s="16"/>
      <c r="AH161" s="296" t="str">
        <f t="shared" si="45"/>
        <v/>
      </c>
      <c r="AI161" s="297" t="str">
        <f t="shared" si="46"/>
        <v/>
      </c>
      <c r="AJ161" s="16"/>
      <c r="AK161" s="297" t="str">
        <f t="shared" si="47"/>
        <v/>
      </c>
      <c r="AL161" s="297" t="str">
        <f t="shared" si="48"/>
        <v/>
      </c>
      <c r="AM161" s="16"/>
      <c r="AN161" s="296" t="str">
        <f t="shared" si="49"/>
        <v/>
      </c>
      <c r="AO161" s="16"/>
      <c r="AP161" s="296" t="str">
        <f t="shared" si="50"/>
        <v/>
      </c>
      <c r="AQ161" s="298">
        <f t="shared" si="51"/>
        <v>0</v>
      </c>
      <c r="AR161" s="298">
        <f t="shared" si="52"/>
        <v>0</v>
      </c>
      <c r="AS161" s="299" t="str">
        <f t="shared" si="53"/>
        <v/>
      </c>
      <c r="AT161" s="300" t="str">
        <f>IF(COUNTIF(K161:R161,"F")&gt;0,"",IF(AS161="PASS",'Statement of Marks'!HF162,""))</f>
        <v/>
      </c>
      <c r="AU161" s="300" t="str">
        <f>IF(AS161="PASS",'Statement of Marks'!HG162,"")</f>
        <v/>
      </c>
    </row>
    <row r="162" spans="1:47">
      <c r="A162" s="283">
        <f>IF('Statement of Marks'!A163="","",'Statement of Marks'!A163)</f>
        <v>156</v>
      </c>
      <c r="B162" s="283" t="str">
        <f>IF('Statement of Marks'!B163="","",'Statement of Marks'!B163)</f>
        <v/>
      </c>
      <c r="C162" s="283" t="str">
        <f>IF('Statement of Marks'!C163="","",'Statement of Marks'!C163)</f>
        <v/>
      </c>
      <c r="D162" s="284" t="str">
        <f>IF('Statement of Marks'!D163="","",'Statement of Marks'!D163)</f>
        <v/>
      </c>
      <c r="E162" s="285" t="str">
        <f>IF('Statement of Marks'!E163="","",'Statement of Marks'!E163)</f>
        <v/>
      </c>
      <c r="F162" s="285" t="str">
        <f>IF('Statement of Marks'!F163="","",'Statement of Marks'!F163)</f>
        <v/>
      </c>
      <c r="G162" s="285" t="str">
        <f>IF('Statement of Marks'!G163="","",'Statement of Marks'!G163)</f>
        <v/>
      </c>
      <c r="H162" s="286" t="str">
        <f>IF('Statement of Marks'!GY163="","",'Statement of Marks'!GY163)</f>
        <v/>
      </c>
      <c r="I162" s="286" t="str">
        <f>IF('Statement of Marks'!HB163="","",'Statement of Marks'!HB163)</f>
        <v/>
      </c>
      <c r="J162" s="287" t="str">
        <f>IF('Statement of Marks'!HC163="","",'Statement of Marks'!HC163)</f>
        <v/>
      </c>
      <c r="K162" s="295" t="str">
        <f>IF(B162="","",'Statement of Marks'!FJ163)</f>
        <v/>
      </c>
      <c r="L162" s="295" t="str">
        <f>IF(B162="","",'Statement of Marks'!FM163)</f>
        <v/>
      </c>
      <c r="M162" s="295" t="str">
        <f>IF(B162="","",'Statement of Marks'!FP163)</f>
        <v/>
      </c>
      <c r="N162" s="295" t="str">
        <f>IF(B162="","",'Statement of Marks'!FW163)</f>
        <v/>
      </c>
      <c r="O162" s="295" t="str">
        <f>IF(B162="","",'Statement of Marks'!GD163)</f>
        <v/>
      </c>
      <c r="P162" s="295" t="str">
        <f>IF(B162="","",'Statement of Marks'!GK163)</f>
        <v/>
      </c>
      <c r="Q162" s="295" t="str">
        <f>IF(B162="","",'Statement of Marks'!GR163)</f>
        <v/>
      </c>
      <c r="R162" s="295" t="str">
        <f>IF(B162="","",'Statement of Marks'!GS163)</f>
        <v/>
      </c>
      <c r="S162" s="287" t="str">
        <f>IF(COUNTIF(K162:R162,"F")&gt;0,"",CONCATENATE('Statement of Marks'!GU163,'Statement of Marks'!GW163))</f>
        <v xml:space="preserve">           </v>
      </c>
      <c r="T162" s="288">
        <f t="shared" si="36"/>
        <v>0</v>
      </c>
      <c r="U162" s="16"/>
      <c r="V162" s="296" t="str">
        <f t="shared" si="37"/>
        <v/>
      </c>
      <c r="W162" s="296" t="str">
        <f t="shared" si="38"/>
        <v/>
      </c>
      <c r="X162" s="16"/>
      <c r="Y162" s="296" t="str">
        <f t="shared" si="39"/>
        <v/>
      </c>
      <c r="Z162" s="296" t="str">
        <f t="shared" si="40"/>
        <v/>
      </c>
      <c r="AA162" s="16"/>
      <c r="AB162" s="296" t="str">
        <f t="shared" si="41"/>
        <v/>
      </c>
      <c r="AC162" s="297" t="str">
        <f t="shared" si="42"/>
        <v/>
      </c>
      <c r="AD162" s="16"/>
      <c r="AE162" s="296" t="str">
        <f t="shared" si="43"/>
        <v/>
      </c>
      <c r="AF162" s="297" t="str">
        <f t="shared" si="44"/>
        <v/>
      </c>
      <c r="AG162" s="16"/>
      <c r="AH162" s="296" t="str">
        <f t="shared" si="45"/>
        <v/>
      </c>
      <c r="AI162" s="297" t="str">
        <f t="shared" si="46"/>
        <v/>
      </c>
      <c r="AJ162" s="16"/>
      <c r="AK162" s="297" t="str">
        <f t="shared" si="47"/>
        <v/>
      </c>
      <c r="AL162" s="297" t="str">
        <f t="shared" si="48"/>
        <v/>
      </c>
      <c r="AM162" s="16"/>
      <c r="AN162" s="296" t="str">
        <f t="shared" si="49"/>
        <v/>
      </c>
      <c r="AO162" s="16"/>
      <c r="AP162" s="296" t="str">
        <f t="shared" si="50"/>
        <v/>
      </c>
      <c r="AQ162" s="298">
        <f t="shared" si="51"/>
        <v>0</v>
      </c>
      <c r="AR162" s="298">
        <f t="shared" si="52"/>
        <v>0</v>
      </c>
      <c r="AS162" s="299" t="str">
        <f t="shared" si="53"/>
        <v/>
      </c>
      <c r="AT162" s="300" t="str">
        <f>IF(COUNTIF(K162:R162,"F")&gt;0,"",IF(AS162="PASS",'Statement of Marks'!HF163,""))</f>
        <v/>
      </c>
      <c r="AU162" s="300" t="str">
        <f>IF(AS162="PASS",'Statement of Marks'!HG163,"")</f>
        <v/>
      </c>
    </row>
    <row r="163" spans="1:47">
      <c r="A163" s="283">
        <f>IF('Statement of Marks'!A164="","",'Statement of Marks'!A164)</f>
        <v>157</v>
      </c>
      <c r="B163" s="283" t="str">
        <f>IF('Statement of Marks'!B164="","",'Statement of Marks'!B164)</f>
        <v/>
      </c>
      <c r="C163" s="283" t="str">
        <f>IF('Statement of Marks'!C164="","",'Statement of Marks'!C164)</f>
        <v/>
      </c>
      <c r="D163" s="284" t="str">
        <f>IF('Statement of Marks'!D164="","",'Statement of Marks'!D164)</f>
        <v/>
      </c>
      <c r="E163" s="285" t="str">
        <f>IF('Statement of Marks'!E164="","",'Statement of Marks'!E164)</f>
        <v/>
      </c>
      <c r="F163" s="285" t="str">
        <f>IF('Statement of Marks'!F164="","",'Statement of Marks'!F164)</f>
        <v/>
      </c>
      <c r="G163" s="285" t="str">
        <f>IF('Statement of Marks'!G164="","",'Statement of Marks'!G164)</f>
        <v/>
      </c>
      <c r="H163" s="286" t="str">
        <f>IF('Statement of Marks'!GY164="","",'Statement of Marks'!GY164)</f>
        <v/>
      </c>
      <c r="I163" s="286" t="str">
        <f>IF('Statement of Marks'!HB164="","",'Statement of Marks'!HB164)</f>
        <v/>
      </c>
      <c r="J163" s="287" t="str">
        <f>IF('Statement of Marks'!HC164="","",'Statement of Marks'!HC164)</f>
        <v/>
      </c>
      <c r="K163" s="295" t="str">
        <f>IF(B163="","",'Statement of Marks'!FJ164)</f>
        <v/>
      </c>
      <c r="L163" s="295" t="str">
        <f>IF(B163="","",'Statement of Marks'!FM164)</f>
        <v/>
      </c>
      <c r="M163" s="295" t="str">
        <f>IF(B163="","",'Statement of Marks'!FP164)</f>
        <v/>
      </c>
      <c r="N163" s="295" t="str">
        <f>IF(B163="","",'Statement of Marks'!FW164)</f>
        <v/>
      </c>
      <c r="O163" s="295" t="str">
        <f>IF(B163="","",'Statement of Marks'!GD164)</f>
        <v/>
      </c>
      <c r="P163" s="295" t="str">
        <f>IF(B163="","",'Statement of Marks'!GK164)</f>
        <v/>
      </c>
      <c r="Q163" s="295" t="str">
        <f>IF(B163="","",'Statement of Marks'!GR164)</f>
        <v/>
      </c>
      <c r="R163" s="295" t="str">
        <f>IF(B163="","",'Statement of Marks'!GS164)</f>
        <v/>
      </c>
      <c r="S163" s="287" t="str">
        <f>IF(COUNTIF(K163:R163,"F")&gt;0,"",CONCATENATE('Statement of Marks'!GU164,'Statement of Marks'!GW164))</f>
        <v xml:space="preserve">           </v>
      </c>
      <c r="T163" s="288">
        <f t="shared" si="36"/>
        <v>0</v>
      </c>
      <c r="U163" s="16"/>
      <c r="V163" s="296" t="str">
        <f t="shared" si="37"/>
        <v/>
      </c>
      <c r="W163" s="296" t="str">
        <f t="shared" si="38"/>
        <v/>
      </c>
      <c r="X163" s="16"/>
      <c r="Y163" s="296" t="str">
        <f t="shared" si="39"/>
        <v/>
      </c>
      <c r="Z163" s="296" t="str">
        <f t="shared" si="40"/>
        <v/>
      </c>
      <c r="AA163" s="16"/>
      <c r="AB163" s="296" t="str">
        <f t="shared" si="41"/>
        <v/>
      </c>
      <c r="AC163" s="297" t="str">
        <f t="shared" si="42"/>
        <v/>
      </c>
      <c r="AD163" s="16"/>
      <c r="AE163" s="296" t="str">
        <f t="shared" si="43"/>
        <v/>
      </c>
      <c r="AF163" s="297" t="str">
        <f t="shared" si="44"/>
        <v/>
      </c>
      <c r="AG163" s="16"/>
      <c r="AH163" s="296" t="str">
        <f t="shared" si="45"/>
        <v/>
      </c>
      <c r="AI163" s="297" t="str">
        <f t="shared" si="46"/>
        <v/>
      </c>
      <c r="AJ163" s="16"/>
      <c r="AK163" s="297" t="str">
        <f t="shared" si="47"/>
        <v/>
      </c>
      <c r="AL163" s="297" t="str">
        <f t="shared" si="48"/>
        <v/>
      </c>
      <c r="AM163" s="16"/>
      <c r="AN163" s="296" t="str">
        <f t="shared" si="49"/>
        <v/>
      </c>
      <c r="AO163" s="16"/>
      <c r="AP163" s="296" t="str">
        <f t="shared" si="50"/>
        <v/>
      </c>
      <c r="AQ163" s="298">
        <f t="shared" si="51"/>
        <v>0</v>
      </c>
      <c r="AR163" s="298">
        <f t="shared" si="52"/>
        <v>0</v>
      </c>
      <c r="AS163" s="299" t="str">
        <f t="shared" si="53"/>
        <v/>
      </c>
      <c r="AT163" s="300" t="str">
        <f>IF(COUNTIF(K163:R163,"F")&gt;0,"",IF(AS163="PASS",'Statement of Marks'!HF164,""))</f>
        <v/>
      </c>
      <c r="AU163" s="300" t="str">
        <f>IF(AS163="PASS",'Statement of Marks'!HG164,"")</f>
        <v/>
      </c>
    </row>
    <row r="164" spans="1:47">
      <c r="A164" s="283">
        <f>IF('Statement of Marks'!A165="","",'Statement of Marks'!A165)</f>
        <v>158</v>
      </c>
      <c r="B164" s="283" t="str">
        <f>IF('Statement of Marks'!B165="","",'Statement of Marks'!B165)</f>
        <v/>
      </c>
      <c r="C164" s="283" t="str">
        <f>IF('Statement of Marks'!C165="","",'Statement of Marks'!C165)</f>
        <v/>
      </c>
      <c r="D164" s="284" t="str">
        <f>IF('Statement of Marks'!D165="","",'Statement of Marks'!D165)</f>
        <v/>
      </c>
      <c r="E164" s="285" t="str">
        <f>IF('Statement of Marks'!E165="","",'Statement of Marks'!E165)</f>
        <v/>
      </c>
      <c r="F164" s="285" t="str">
        <f>IF('Statement of Marks'!F165="","",'Statement of Marks'!F165)</f>
        <v/>
      </c>
      <c r="G164" s="285" t="str">
        <f>IF('Statement of Marks'!G165="","",'Statement of Marks'!G165)</f>
        <v/>
      </c>
      <c r="H164" s="286" t="str">
        <f>IF('Statement of Marks'!GY165="","",'Statement of Marks'!GY165)</f>
        <v/>
      </c>
      <c r="I164" s="286" t="str">
        <f>IF('Statement of Marks'!HB165="","",'Statement of Marks'!HB165)</f>
        <v/>
      </c>
      <c r="J164" s="287" t="str">
        <f>IF('Statement of Marks'!HC165="","",'Statement of Marks'!HC165)</f>
        <v/>
      </c>
      <c r="K164" s="295" t="str">
        <f>IF(B164="","",'Statement of Marks'!FJ165)</f>
        <v/>
      </c>
      <c r="L164" s="295" t="str">
        <f>IF(B164="","",'Statement of Marks'!FM165)</f>
        <v/>
      </c>
      <c r="M164" s="295" t="str">
        <f>IF(B164="","",'Statement of Marks'!FP165)</f>
        <v/>
      </c>
      <c r="N164" s="295" t="str">
        <f>IF(B164="","",'Statement of Marks'!FW165)</f>
        <v/>
      </c>
      <c r="O164" s="295" t="str">
        <f>IF(B164="","",'Statement of Marks'!GD165)</f>
        <v/>
      </c>
      <c r="P164" s="295" t="str">
        <f>IF(B164="","",'Statement of Marks'!GK165)</f>
        <v/>
      </c>
      <c r="Q164" s="295" t="str">
        <f>IF(B164="","",'Statement of Marks'!GR165)</f>
        <v/>
      </c>
      <c r="R164" s="295" t="str">
        <f>IF(B164="","",'Statement of Marks'!GS165)</f>
        <v/>
      </c>
      <c r="S164" s="287" t="str">
        <f>IF(COUNTIF(K164:R164,"F")&gt;0,"",CONCATENATE('Statement of Marks'!GU165,'Statement of Marks'!GW165))</f>
        <v xml:space="preserve">           </v>
      </c>
      <c r="T164" s="288">
        <f t="shared" si="36"/>
        <v>0</v>
      </c>
      <c r="U164" s="16"/>
      <c r="V164" s="296" t="str">
        <f t="shared" si="37"/>
        <v/>
      </c>
      <c r="W164" s="296" t="str">
        <f t="shared" si="38"/>
        <v/>
      </c>
      <c r="X164" s="16"/>
      <c r="Y164" s="296" t="str">
        <f t="shared" si="39"/>
        <v/>
      </c>
      <c r="Z164" s="296" t="str">
        <f t="shared" si="40"/>
        <v/>
      </c>
      <c r="AA164" s="16"/>
      <c r="AB164" s="296" t="str">
        <f t="shared" si="41"/>
        <v/>
      </c>
      <c r="AC164" s="297" t="str">
        <f t="shared" si="42"/>
        <v/>
      </c>
      <c r="AD164" s="16"/>
      <c r="AE164" s="296" t="str">
        <f t="shared" si="43"/>
        <v/>
      </c>
      <c r="AF164" s="297" t="str">
        <f t="shared" si="44"/>
        <v/>
      </c>
      <c r="AG164" s="16"/>
      <c r="AH164" s="296" t="str">
        <f t="shared" si="45"/>
        <v/>
      </c>
      <c r="AI164" s="297" t="str">
        <f t="shared" si="46"/>
        <v/>
      </c>
      <c r="AJ164" s="16"/>
      <c r="AK164" s="297" t="str">
        <f t="shared" si="47"/>
        <v/>
      </c>
      <c r="AL164" s="297" t="str">
        <f t="shared" si="48"/>
        <v/>
      </c>
      <c r="AM164" s="16"/>
      <c r="AN164" s="296" t="str">
        <f t="shared" si="49"/>
        <v/>
      </c>
      <c r="AO164" s="16"/>
      <c r="AP164" s="296" t="str">
        <f t="shared" si="50"/>
        <v/>
      </c>
      <c r="AQ164" s="298">
        <f t="shared" si="51"/>
        <v>0</v>
      </c>
      <c r="AR164" s="298">
        <f t="shared" si="52"/>
        <v>0</v>
      </c>
      <c r="AS164" s="299" t="str">
        <f t="shared" si="53"/>
        <v/>
      </c>
      <c r="AT164" s="300" t="str">
        <f>IF(COUNTIF(K164:R164,"F")&gt;0,"",IF(AS164="PASS",'Statement of Marks'!HF165,""))</f>
        <v/>
      </c>
      <c r="AU164" s="300" t="str">
        <f>IF(AS164="PASS",'Statement of Marks'!HG165,"")</f>
        <v/>
      </c>
    </row>
    <row r="165" spans="1:47">
      <c r="A165" s="283">
        <f>IF('Statement of Marks'!A166="","",'Statement of Marks'!A166)</f>
        <v>159</v>
      </c>
      <c r="B165" s="283" t="str">
        <f>IF('Statement of Marks'!B166="","",'Statement of Marks'!B166)</f>
        <v/>
      </c>
      <c r="C165" s="283" t="str">
        <f>IF('Statement of Marks'!C166="","",'Statement of Marks'!C166)</f>
        <v/>
      </c>
      <c r="D165" s="284" t="str">
        <f>IF('Statement of Marks'!D166="","",'Statement of Marks'!D166)</f>
        <v/>
      </c>
      <c r="E165" s="285" t="str">
        <f>IF('Statement of Marks'!E166="","",'Statement of Marks'!E166)</f>
        <v/>
      </c>
      <c r="F165" s="285" t="str">
        <f>IF('Statement of Marks'!F166="","",'Statement of Marks'!F166)</f>
        <v/>
      </c>
      <c r="G165" s="285" t="str">
        <f>IF('Statement of Marks'!G166="","",'Statement of Marks'!G166)</f>
        <v/>
      </c>
      <c r="H165" s="286" t="str">
        <f>IF('Statement of Marks'!GY166="","",'Statement of Marks'!GY166)</f>
        <v/>
      </c>
      <c r="I165" s="286" t="str">
        <f>IF('Statement of Marks'!HB166="","",'Statement of Marks'!HB166)</f>
        <v/>
      </c>
      <c r="J165" s="287" t="str">
        <f>IF('Statement of Marks'!HC166="","",'Statement of Marks'!HC166)</f>
        <v/>
      </c>
      <c r="K165" s="295" t="str">
        <f>IF(B165="","",'Statement of Marks'!FJ166)</f>
        <v/>
      </c>
      <c r="L165" s="295" t="str">
        <f>IF(B165="","",'Statement of Marks'!FM166)</f>
        <v/>
      </c>
      <c r="M165" s="295" t="str">
        <f>IF(B165="","",'Statement of Marks'!FP166)</f>
        <v/>
      </c>
      <c r="N165" s="295" t="str">
        <f>IF(B165="","",'Statement of Marks'!FW166)</f>
        <v/>
      </c>
      <c r="O165" s="295" t="str">
        <f>IF(B165="","",'Statement of Marks'!GD166)</f>
        <v/>
      </c>
      <c r="P165" s="295" t="str">
        <f>IF(B165="","",'Statement of Marks'!GK166)</f>
        <v/>
      </c>
      <c r="Q165" s="295" t="str">
        <f>IF(B165="","",'Statement of Marks'!GR166)</f>
        <v/>
      </c>
      <c r="R165" s="295" t="str">
        <f>IF(B165="","",'Statement of Marks'!GS166)</f>
        <v/>
      </c>
      <c r="S165" s="287" t="str">
        <f>IF(COUNTIF(K165:R165,"F")&gt;0,"",CONCATENATE('Statement of Marks'!GU166,'Statement of Marks'!GW166))</f>
        <v xml:space="preserve">           </v>
      </c>
      <c r="T165" s="288">
        <f t="shared" si="36"/>
        <v>0</v>
      </c>
      <c r="U165" s="16"/>
      <c r="V165" s="296" t="str">
        <f t="shared" si="37"/>
        <v/>
      </c>
      <c r="W165" s="296" t="str">
        <f t="shared" si="38"/>
        <v/>
      </c>
      <c r="X165" s="16"/>
      <c r="Y165" s="296" t="str">
        <f t="shared" si="39"/>
        <v/>
      </c>
      <c r="Z165" s="296" t="str">
        <f t="shared" si="40"/>
        <v/>
      </c>
      <c r="AA165" s="16"/>
      <c r="AB165" s="296" t="str">
        <f t="shared" si="41"/>
        <v/>
      </c>
      <c r="AC165" s="297" t="str">
        <f t="shared" si="42"/>
        <v/>
      </c>
      <c r="AD165" s="16"/>
      <c r="AE165" s="296" t="str">
        <f t="shared" si="43"/>
        <v/>
      </c>
      <c r="AF165" s="297" t="str">
        <f t="shared" si="44"/>
        <v/>
      </c>
      <c r="AG165" s="16"/>
      <c r="AH165" s="296" t="str">
        <f t="shared" si="45"/>
        <v/>
      </c>
      <c r="AI165" s="297" t="str">
        <f t="shared" si="46"/>
        <v/>
      </c>
      <c r="AJ165" s="16"/>
      <c r="AK165" s="297" t="str">
        <f t="shared" si="47"/>
        <v/>
      </c>
      <c r="AL165" s="297" t="str">
        <f t="shared" si="48"/>
        <v/>
      </c>
      <c r="AM165" s="16"/>
      <c r="AN165" s="296" t="str">
        <f t="shared" si="49"/>
        <v/>
      </c>
      <c r="AO165" s="16"/>
      <c r="AP165" s="296" t="str">
        <f t="shared" si="50"/>
        <v/>
      </c>
      <c r="AQ165" s="298">
        <f t="shared" si="51"/>
        <v>0</v>
      </c>
      <c r="AR165" s="298">
        <f t="shared" si="52"/>
        <v>0</v>
      </c>
      <c r="AS165" s="299" t="str">
        <f t="shared" si="53"/>
        <v/>
      </c>
      <c r="AT165" s="300" t="str">
        <f>IF(COUNTIF(K165:R165,"F")&gt;0,"",IF(AS165="PASS",'Statement of Marks'!HF166,""))</f>
        <v/>
      </c>
      <c r="AU165" s="300" t="str">
        <f>IF(AS165="PASS",'Statement of Marks'!HG166,"")</f>
        <v/>
      </c>
    </row>
    <row r="166" spans="1:47">
      <c r="A166" s="283">
        <f>IF('Statement of Marks'!A167="","",'Statement of Marks'!A167)</f>
        <v>160</v>
      </c>
      <c r="B166" s="283" t="str">
        <f>IF('Statement of Marks'!B167="","",'Statement of Marks'!B167)</f>
        <v/>
      </c>
      <c r="C166" s="283" t="str">
        <f>IF('Statement of Marks'!C167="","",'Statement of Marks'!C167)</f>
        <v/>
      </c>
      <c r="D166" s="284" t="str">
        <f>IF('Statement of Marks'!D167="","",'Statement of Marks'!D167)</f>
        <v/>
      </c>
      <c r="E166" s="285" t="str">
        <f>IF('Statement of Marks'!E167="","",'Statement of Marks'!E167)</f>
        <v/>
      </c>
      <c r="F166" s="285" t="str">
        <f>IF('Statement of Marks'!F167="","",'Statement of Marks'!F167)</f>
        <v/>
      </c>
      <c r="G166" s="285" t="str">
        <f>IF('Statement of Marks'!G167="","",'Statement of Marks'!G167)</f>
        <v/>
      </c>
      <c r="H166" s="286" t="str">
        <f>IF('Statement of Marks'!GY167="","",'Statement of Marks'!GY167)</f>
        <v/>
      </c>
      <c r="I166" s="286" t="str">
        <f>IF('Statement of Marks'!HB167="","",'Statement of Marks'!HB167)</f>
        <v/>
      </c>
      <c r="J166" s="287" t="str">
        <f>IF('Statement of Marks'!HC167="","",'Statement of Marks'!HC167)</f>
        <v/>
      </c>
      <c r="K166" s="295" t="str">
        <f>IF(B166="","",'Statement of Marks'!FJ167)</f>
        <v/>
      </c>
      <c r="L166" s="295" t="str">
        <f>IF(B166="","",'Statement of Marks'!FM167)</f>
        <v/>
      </c>
      <c r="M166" s="295" t="str">
        <f>IF(B166="","",'Statement of Marks'!FP167)</f>
        <v/>
      </c>
      <c r="N166" s="295" t="str">
        <f>IF(B166="","",'Statement of Marks'!FW167)</f>
        <v/>
      </c>
      <c r="O166" s="295" t="str">
        <f>IF(B166="","",'Statement of Marks'!GD167)</f>
        <v/>
      </c>
      <c r="P166" s="295" t="str">
        <f>IF(B166="","",'Statement of Marks'!GK167)</f>
        <v/>
      </c>
      <c r="Q166" s="295" t="str">
        <f>IF(B166="","",'Statement of Marks'!GR167)</f>
        <v/>
      </c>
      <c r="R166" s="295" t="str">
        <f>IF(B166="","",'Statement of Marks'!GS167)</f>
        <v/>
      </c>
      <c r="S166" s="287" t="str">
        <f>IF(COUNTIF(K166:R166,"F")&gt;0,"",CONCATENATE('Statement of Marks'!GU167,'Statement of Marks'!GW167))</f>
        <v xml:space="preserve">           </v>
      </c>
      <c r="T166" s="288">
        <f t="shared" si="36"/>
        <v>0</v>
      </c>
      <c r="U166" s="16"/>
      <c r="V166" s="296" t="str">
        <f t="shared" si="37"/>
        <v/>
      </c>
      <c r="W166" s="296" t="str">
        <f t="shared" si="38"/>
        <v/>
      </c>
      <c r="X166" s="16"/>
      <c r="Y166" s="296" t="str">
        <f t="shared" si="39"/>
        <v/>
      </c>
      <c r="Z166" s="296" t="str">
        <f t="shared" si="40"/>
        <v/>
      </c>
      <c r="AA166" s="16"/>
      <c r="AB166" s="296" t="str">
        <f t="shared" si="41"/>
        <v/>
      </c>
      <c r="AC166" s="297" t="str">
        <f t="shared" si="42"/>
        <v/>
      </c>
      <c r="AD166" s="16"/>
      <c r="AE166" s="296" t="str">
        <f t="shared" si="43"/>
        <v/>
      </c>
      <c r="AF166" s="297" t="str">
        <f t="shared" si="44"/>
        <v/>
      </c>
      <c r="AG166" s="16"/>
      <c r="AH166" s="296" t="str">
        <f t="shared" si="45"/>
        <v/>
      </c>
      <c r="AI166" s="297" t="str">
        <f t="shared" si="46"/>
        <v/>
      </c>
      <c r="AJ166" s="16"/>
      <c r="AK166" s="297" t="str">
        <f t="shared" si="47"/>
        <v/>
      </c>
      <c r="AL166" s="297" t="str">
        <f t="shared" si="48"/>
        <v/>
      </c>
      <c r="AM166" s="16"/>
      <c r="AN166" s="296" t="str">
        <f t="shared" si="49"/>
        <v/>
      </c>
      <c r="AO166" s="16"/>
      <c r="AP166" s="296" t="str">
        <f t="shared" si="50"/>
        <v/>
      </c>
      <c r="AQ166" s="298">
        <f t="shared" si="51"/>
        <v>0</v>
      </c>
      <c r="AR166" s="298">
        <f t="shared" si="52"/>
        <v>0</v>
      </c>
      <c r="AS166" s="299" t="str">
        <f t="shared" si="53"/>
        <v/>
      </c>
      <c r="AT166" s="300" t="str">
        <f>IF(COUNTIF(K166:R166,"F")&gt;0,"",IF(AS166="PASS",'Statement of Marks'!HF167,""))</f>
        <v/>
      </c>
      <c r="AU166" s="300" t="str">
        <f>IF(AS166="PASS",'Statement of Marks'!HG167,"")</f>
        <v/>
      </c>
    </row>
    <row r="167" spans="1:47">
      <c r="A167" s="283">
        <f>IF('Statement of Marks'!A168="","",'Statement of Marks'!A168)</f>
        <v>161</v>
      </c>
      <c r="B167" s="283" t="str">
        <f>IF('Statement of Marks'!B168="","",'Statement of Marks'!B168)</f>
        <v/>
      </c>
      <c r="C167" s="283" t="str">
        <f>IF('Statement of Marks'!C168="","",'Statement of Marks'!C168)</f>
        <v/>
      </c>
      <c r="D167" s="284" t="str">
        <f>IF('Statement of Marks'!D168="","",'Statement of Marks'!D168)</f>
        <v/>
      </c>
      <c r="E167" s="285" t="str">
        <f>IF('Statement of Marks'!E168="","",'Statement of Marks'!E168)</f>
        <v/>
      </c>
      <c r="F167" s="285" t="str">
        <f>IF('Statement of Marks'!F168="","",'Statement of Marks'!F168)</f>
        <v/>
      </c>
      <c r="G167" s="285" t="str">
        <f>IF('Statement of Marks'!G168="","",'Statement of Marks'!G168)</f>
        <v/>
      </c>
      <c r="H167" s="286" t="str">
        <f>IF('Statement of Marks'!GY168="","",'Statement of Marks'!GY168)</f>
        <v/>
      </c>
      <c r="I167" s="286" t="str">
        <f>IF('Statement of Marks'!HB168="","",'Statement of Marks'!HB168)</f>
        <v/>
      </c>
      <c r="J167" s="287" t="str">
        <f>IF('Statement of Marks'!HC168="","",'Statement of Marks'!HC168)</f>
        <v/>
      </c>
      <c r="K167" s="295" t="str">
        <f>IF(B167="","",'Statement of Marks'!FJ168)</f>
        <v/>
      </c>
      <c r="L167" s="295" t="str">
        <f>IF(B167="","",'Statement of Marks'!FM168)</f>
        <v/>
      </c>
      <c r="M167" s="295" t="str">
        <f>IF(B167="","",'Statement of Marks'!FP168)</f>
        <v/>
      </c>
      <c r="N167" s="295" t="str">
        <f>IF(B167="","",'Statement of Marks'!FW168)</f>
        <v/>
      </c>
      <c r="O167" s="295" t="str">
        <f>IF(B167="","",'Statement of Marks'!GD168)</f>
        <v/>
      </c>
      <c r="P167" s="295" t="str">
        <f>IF(B167="","",'Statement of Marks'!GK168)</f>
        <v/>
      </c>
      <c r="Q167" s="295" t="str">
        <f>IF(B167="","",'Statement of Marks'!GR168)</f>
        <v/>
      </c>
      <c r="R167" s="295" t="str">
        <f>IF(B167="","",'Statement of Marks'!GS168)</f>
        <v/>
      </c>
      <c r="S167" s="287" t="str">
        <f>IF(COUNTIF(K167:R167,"F")&gt;0,"",CONCATENATE('Statement of Marks'!GU168,'Statement of Marks'!GW168))</f>
        <v xml:space="preserve">           </v>
      </c>
      <c r="T167" s="288">
        <f t="shared" si="36"/>
        <v>0</v>
      </c>
      <c r="U167" s="16"/>
      <c r="V167" s="296" t="str">
        <f t="shared" si="37"/>
        <v/>
      </c>
      <c r="W167" s="296" t="str">
        <f t="shared" si="38"/>
        <v/>
      </c>
      <c r="X167" s="16"/>
      <c r="Y167" s="296" t="str">
        <f t="shared" si="39"/>
        <v/>
      </c>
      <c r="Z167" s="296" t="str">
        <f t="shared" si="40"/>
        <v/>
      </c>
      <c r="AA167" s="16"/>
      <c r="AB167" s="296" t="str">
        <f t="shared" si="41"/>
        <v/>
      </c>
      <c r="AC167" s="297" t="str">
        <f t="shared" si="42"/>
        <v/>
      </c>
      <c r="AD167" s="16"/>
      <c r="AE167" s="296" t="str">
        <f t="shared" si="43"/>
        <v/>
      </c>
      <c r="AF167" s="297" t="str">
        <f t="shared" si="44"/>
        <v/>
      </c>
      <c r="AG167" s="16"/>
      <c r="AH167" s="296" t="str">
        <f t="shared" si="45"/>
        <v/>
      </c>
      <c r="AI167" s="297" t="str">
        <f t="shared" si="46"/>
        <v/>
      </c>
      <c r="AJ167" s="16"/>
      <c r="AK167" s="297" t="str">
        <f t="shared" si="47"/>
        <v/>
      </c>
      <c r="AL167" s="297" t="str">
        <f t="shared" si="48"/>
        <v/>
      </c>
      <c r="AM167" s="16"/>
      <c r="AN167" s="296" t="str">
        <f t="shared" si="49"/>
        <v/>
      </c>
      <c r="AO167" s="16"/>
      <c r="AP167" s="296" t="str">
        <f t="shared" si="50"/>
        <v/>
      </c>
      <c r="AQ167" s="298">
        <f t="shared" si="51"/>
        <v>0</v>
      </c>
      <c r="AR167" s="298">
        <f t="shared" si="52"/>
        <v>0</v>
      </c>
      <c r="AS167" s="299" t="str">
        <f t="shared" si="53"/>
        <v/>
      </c>
      <c r="AT167" s="300" t="str">
        <f>IF(COUNTIF(K167:R167,"F")&gt;0,"",IF(AS167="PASS",'Statement of Marks'!HF168,""))</f>
        <v/>
      </c>
      <c r="AU167" s="300" t="str">
        <f>IF(AS167="PASS",'Statement of Marks'!HG168,"")</f>
        <v/>
      </c>
    </row>
    <row r="168" spans="1:47">
      <c r="A168" s="283">
        <f>IF('Statement of Marks'!A169="","",'Statement of Marks'!A169)</f>
        <v>162</v>
      </c>
      <c r="B168" s="283" t="str">
        <f>IF('Statement of Marks'!B169="","",'Statement of Marks'!B169)</f>
        <v/>
      </c>
      <c r="C168" s="283" t="str">
        <f>IF('Statement of Marks'!C169="","",'Statement of Marks'!C169)</f>
        <v/>
      </c>
      <c r="D168" s="284" t="str">
        <f>IF('Statement of Marks'!D169="","",'Statement of Marks'!D169)</f>
        <v/>
      </c>
      <c r="E168" s="285" t="str">
        <f>IF('Statement of Marks'!E169="","",'Statement of Marks'!E169)</f>
        <v/>
      </c>
      <c r="F168" s="285" t="str">
        <f>IF('Statement of Marks'!F169="","",'Statement of Marks'!F169)</f>
        <v/>
      </c>
      <c r="G168" s="285" t="str">
        <f>IF('Statement of Marks'!G169="","",'Statement of Marks'!G169)</f>
        <v/>
      </c>
      <c r="H168" s="286" t="str">
        <f>IF('Statement of Marks'!GY169="","",'Statement of Marks'!GY169)</f>
        <v/>
      </c>
      <c r="I168" s="286" t="str">
        <f>IF('Statement of Marks'!HB169="","",'Statement of Marks'!HB169)</f>
        <v/>
      </c>
      <c r="J168" s="287" t="str">
        <f>IF('Statement of Marks'!HC169="","",'Statement of Marks'!HC169)</f>
        <v/>
      </c>
      <c r="K168" s="295" t="str">
        <f>IF(B168="","",'Statement of Marks'!FJ169)</f>
        <v/>
      </c>
      <c r="L168" s="295" t="str">
        <f>IF(B168="","",'Statement of Marks'!FM169)</f>
        <v/>
      </c>
      <c r="M168" s="295" t="str">
        <f>IF(B168="","",'Statement of Marks'!FP169)</f>
        <v/>
      </c>
      <c r="N168" s="295" t="str">
        <f>IF(B168="","",'Statement of Marks'!FW169)</f>
        <v/>
      </c>
      <c r="O168" s="295" t="str">
        <f>IF(B168="","",'Statement of Marks'!GD169)</f>
        <v/>
      </c>
      <c r="P168" s="295" t="str">
        <f>IF(B168="","",'Statement of Marks'!GK169)</f>
        <v/>
      </c>
      <c r="Q168" s="295" t="str">
        <f>IF(B168="","",'Statement of Marks'!GR169)</f>
        <v/>
      </c>
      <c r="R168" s="295" t="str">
        <f>IF(B168="","",'Statement of Marks'!GS169)</f>
        <v/>
      </c>
      <c r="S168" s="287" t="str">
        <f>IF(COUNTIF(K168:R168,"F")&gt;0,"",CONCATENATE('Statement of Marks'!GU169,'Statement of Marks'!GW169))</f>
        <v xml:space="preserve">           </v>
      </c>
      <c r="T168" s="288">
        <f t="shared" si="36"/>
        <v>0</v>
      </c>
      <c r="U168" s="16"/>
      <c r="V168" s="296" t="str">
        <f t="shared" si="37"/>
        <v/>
      </c>
      <c r="W168" s="296" t="str">
        <f t="shared" si="38"/>
        <v/>
      </c>
      <c r="X168" s="16"/>
      <c r="Y168" s="296" t="str">
        <f t="shared" si="39"/>
        <v/>
      </c>
      <c r="Z168" s="296" t="str">
        <f t="shared" si="40"/>
        <v/>
      </c>
      <c r="AA168" s="16"/>
      <c r="AB168" s="296" t="str">
        <f t="shared" si="41"/>
        <v/>
      </c>
      <c r="AC168" s="297" t="str">
        <f t="shared" si="42"/>
        <v/>
      </c>
      <c r="AD168" s="16"/>
      <c r="AE168" s="296" t="str">
        <f t="shared" si="43"/>
        <v/>
      </c>
      <c r="AF168" s="297" t="str">
        <f t="shared" si="44"/>
        <v/>
      </c>
      <c r="AG168" s="16"/>
      <c r="AH168" s="296" t="str">
        <f t="shared" si="45"/>
        <v/>
      </c>
      <c r="AI168" s="297" t="str">
        <f t="shared" si="46"/>
        <v/>
      </c>
      <c r="AJ168" s="16"/>
      <c r="AK168" s="297" t="str">
        <f t="shared" si="47"/>
        <v/>
      </c>
      <c r="AL168" s="297" t="str">
        <f t="shared" si="48"/>
        <v/>
      </c>
      <c r="AM168" s="16"/>
      <c r="AN168" s="296" t="str">
        <f t="shared" si="49"/>
        <v/>
      </c>
      <c r="AO168" s="16"/>
      <c r="AP168" s="296" t="str">
        <f t="shared" si="50"/>
        <v/>
      </c>
      <c r="AQ168" s="298">
        <f t="shared" si="51"/>
        <v>0</v>
      </c>
      <c r="AR168" s="298">
        <f t="shared" si="52"/>
        <v>0</v>
      </c>
      <c r="AS168" s="299" t="str">
        <f t="shared" si="53"/>
        <v/>
      </c>
      <c r="AT168" s="300" t="str">
        <f>IF(COUNTIF(K168:R168,"F")&gt;0,"",IF(AS168="PASS",'Statement of Marks'!HF169,""))</f>
        <v/>
      </c>
      <c r="AU168" s="300" t="str">
        <f>IF(AS168="PASS",'Statement of Marks'!HG169,"")</f>
        <v/>
      </c>
    </row>
    <row r="169" spans="1:47">
      <c r="A169" s="283">
        <f>IF('Statement of Marks'!A170="","",'Statement of Marks'!A170)</f>
        <v>163</v>
      </c>
      <c r="B169" s="283" t="str">
        <f>IF('Statement of Marks'!B170="","",'Statement of Marks'!B170)</f>
        <v/>
      </c>
      <c r="C169" s="283" t="str">
        <f>IF('Statement of Marks'!C170="","",'Statement of Marks'!C170)</f>
        <v/>
      </c>
      <c r="D169" s="284" t="str">
        <f>IF('Statement of Marks'!D170="","",'Statement of Marks'!D170)</f>
        <v/>
      </c>
      <c r="E169" s="285" t="str">
        <f>IF('Statement of Marks'!E170="","",'Statement of Marks'!E170)</f>
        <v/>
      </c>
      <c r="F169" s="285" t="str">
        <f>IF('Statement of Marks'!F170="","",'Statement of Marks'!F170)</f>
        <v/>
      </c>
      <c r="G169" s="285" t="str">
        <f>IF('Statement of Marks'!G170="","",'Statement of Marks'!G170)</f>
        <v/>
      </c>
      <c r="H169" s="286" t="str">
        <f>IF('Statement of Marks'!GY170="","",'Statement of Marks'!GY170)</f>
        <v/>
      </c>
      <c r="I169" s="286" t="str">
        <f>IF('Statement of Marks'!HB170="","",'Statement of Marks'!HB170)</f>
        <v/>
      </c>
      <c r="J169" s="287" t="str">
        <f>IF('Statement of Marks'!HC170="","",'Statement of Marks'!HC170)</f>
        <v/>
      </c>
      <c r="K169" s="295" t="str">
        <f>IF(B169="","",'Statement of Marks'!FJ170)</f>
        <v/>
      </c>
      <c r="L169" s="295" t="str">
        <f>IF(B169="","",'Statement of Marks'!FM170)</f>
        <v/>
      </c>
      <c r="M169" s="295" t="str">
        <f>IF(B169="","",'Statement of Marks'!FP170)</f>
        <v/>
      </c>
      <c r="N169" s="295" t="str">
        <f>IF(B169="","",'Statement of Marks'!FW170)</f>
        <v/>
      </c>
      <c r="O169" s="295" t="str">
        <f>IF(B169="","",'Statement of Marks'!GD170)</f>
        <v/>
      </c>
      <c r="P169" s="295" t="str">
        <f>IF(B169="","",'Statement of Marks'!GK170)</f>
        <v/>
      </c>
      <c r="Q169" s="295" t="str">
        <f>IF(B169="","",'Statement of Marks'!GR170)</f>
        <v/>
      </c>
      <c r="R169" s="295" t="str">
        <f>IF(B169="","",'Statement of Marks'!GS170)</f>
        <v/>
      </c>
      <c r="S169" s="287" t="str">
        <f>IF(COUNTIF(K169:R169,"F")&gt;0,"",CONCATENATE('Statement of Marks'!GU170,'Statement of Marks'!GW170))</f>
        <v xml:space="preserve">           </v>
      </c>
      <c r="T169" s="288">
        <f t="shared" si="36"/>
        <v>0</v>
      </c>
      <c r="U169" s="16"/>
      <c r="V169" s="296" t="str">
        <f t="shared" si="37"/>
        <v/>
      </c>
      <c r="W169" s="296" t="str">
        <f t="shared" si="38"/>
        <v/>
      </c>
      <c r="X169" s="16"/>
      <c r="Y169" s="296" t="str">
        <f t="shared" si="39"/>
        <v/>
      </c>
      <c r="Z169" s="296" t="str">
        <f t="shared" si="40"/>
        <v/>
      </c>
      <c r="AA169" s="16"/>
      <c r="AB169" s="296" t="str">
        <f t="shared" si="41"/>
        <v/>
      </c>
      <c r="AC169" s="297" t="str">
        <f t="shared" si="42"/>
        <v/>
      </c>
      <c r="AD169" s="16"/>
      <c r="AE169" s="296" t="str">
        <f t="shared" si="43"/>
        <v/>
      </c>
      <c r="AF169" s="297" t="str">
        <f t="shared" si="44"/>
        <v/>
      </c>
      <c r="AG169" s="16"/>
      <c r="AH169" s="296" t="str">
        <f t="shared" si="45"/>
        <v/>
      </c>
      <c r="AI169" s="297" t="str">
        <f t="shared" si="46"/>
        <v/>
      </c>
      <c r="AJ169" s="16"/>
      <c r="AK169" s="297" t="str">
        <f t="shared" si="47"/>
        <v/>
      </c>
      <c r="AL169" s="297" t="str">
        <f t="shared" si="48"/>
        <v/>
      </c>
      <c r="AM169" s="16"/>
      <c r="AN169" s="296" t="str">
        <f t="shared" si="49"/>
        <v/>
      </c>
      <c r="AO169" s="16"/>
      <c r="AP169" s="296" t="str">
        <f t="shared" si="50"/>
        <v/>
      </c>
      <c r="AQ169" s="298">
        <f t="shared" si="51"/>
        <v>0</v>
      </c>
      <c r="AR169" s="298">
        <f t="shared" si="52"/>
        <v>0</v>
      </c>
      <c r="AS169" s="299" t="str">
        <f t="shared" si="53"/>
        <v/>
      </c>
      <c r="AT169" s="300" t="str">
        <f>IF(COUNTIF(K169:R169,"F")&gt;0,"",IF(AS169="PASS",'Statement of Marks'!HF170,""))</f>
        <v/>
      </c>
      <c r="AU169" s="300" t="str">
        <f>IF(AS169="PASS",'Statement of Marks'!HG170,"")</f>
        <v/>
      </c>
    </row>
    <row r="170" spans="1:47">
      <c r="A170" s="283">
        <f>IF('Statement of Marks'!A171="","",'Statement of Marks'!A171)</f>
        <v>164</v>
      </c>
      <c r="B170" s="283" t="str">
        <f>IF('Statement of Marks'!B171="","",'Statement of Marks'!B171)</f>
        <v/>
      </c>
      <c r="C170" s="283" t="str">
        <f>IF('Statement of Marks'!C171="","",'Statement of Marks'!C171)</f>
        <v/>
      </c>
      <c r="D170" s="284" t="str">
        <f>IF('Statement of Marks'!D171="","",'Statement of Marks'!D171)</f>
        <v/>
      </c>
      <c r="E170" s="285" t="str">
        <f>IF('Statement of Marks'!E171="","",'Statement of Marks'!E171)</f>
        <v/>
      </c>
      <c r="F170" s="285" t="str">
        <f>IF('Statement of Marks'!F171="","",'Statement of Marks'!F171)</f>
        <v/>
      </c>
      <c r="G170" s="285" t="str">
        <f>IF('Statement of Marks'!G171="","",'Statement of Marks'!G171)</f>
        <v/>
      </c>
      <c r="H170" s="286" t="str">
        <f>IF('Statement of Marks'!GY171="","",'Statement of Marks'!GY171)</f>
        <v/>
      </c>
      <c r="I170" s="286" t="str">
        <f>IF('Statement of Marks'!HB171="","",'Statement of Marks'!HB171)</f>
        <v/>
      </c>
      <c r="J170" s="287" t="str">
        <f>IF('Statement of Marks'!HC171="","",'Statement of Marks'!HC171)</f>
        <v/>
      </c>
      <c r="K170" s="295" t="str">
        <f>IF(B170="","",'Statement of Marks'!FJ171)</f>
        <v/>
      </c>
      <c r="L170" s="295" t="str">
        <f>IF(B170="","",'Statement of Marks'!FM171)</f>
        <v/>
      </c>
      <c r="M170" s="295" t="str">
        <f>IF(B170="","",'Statement of Marks'!FP171)</f>
        <v/>
      </c>
      <c r="N170" s="295" t="str">
        <f>IF(B170="","",'Statement of Marks'!FW171)</f>
        <v/>
      </c>
      <c r="O170" s="295" t="str">
        <f>IF(B170="","",'Statement of Marks'!GD171)</f>
        <v/>
      </c>
      <c r="P170" s="295" t="str">
        <f>IF(B170="","",'Statement of Marks'!GK171)</f>
        <v/>
      </c>
      <c r="Q170" s="295" t="str">
        <f>IF(B170="","",'Statement of Marks'!GR171)</f>
        <v/>
      </c>
      <c r="R170" s="295" t="str">
        <f>IF(B170="","",'Statement of Marks'!GS171)</f>
        <v/>
      </c>
      <c r="S170" s="287" t="str">
        <f>IF(COUNTIF(K170:R170,"F")&gt;0,"",CONCATENATE('Statement of Marks'!GU171,'Statement of Marks'!GW171))</f>
        <v xml:space="preserve">           </v>
      </c>
      <c r="T170" s="288">
        <f t="shared" si="36"/>
        <v>0</v>
      </c>
      <c r="U170" s="16"/>
      <c r="V170" s="296" t="str">
        <f t="shared" si="37"/>
        <v/>
      </c>
      <c r="W170" s="296" t="str">
        <f t="shared" si="38"/>
        <v/>
      </c>
      <c r="X170" s="16"/>
      <c r="Y170" s="296" t="str">
        <f t="shared" si="39"/>
        <v/>
      </c>
      <c r="Z170" s="296" t="str">
        <f t="shared" si="40"/>
        <v/>
      </c>
      <c r="AA170" s="16"/>
      <c r="AB170" s="296" t="str">
        <f t="shared" si="41"/>
        <v/>
      </c>
      <c r="AC170" s="297" t="str">
        <f t="shared" si="42"/>
        <v/>
      </c>
      <c r="AD170" s="16"/>
      <c r="AE170" s="296" t="str">
        <f t="shared" si="43"/>
        <v/>
      </c>
      <c r="AF170" s="297" t="str">
        <f t="shared" si="44"/>
        <v/>
      </c>
      <c r="AG170" s="16"/>
      <c r="AH170" s="296" t="str">
        <f t="shared" si="45"/>
        <v/>
      </c>
      <c r="AI170" s="297" t="str">
        <f t="shared" si="46"/>
        <v/>
      </c>
      <c r="AJ170" s="16"/>
      <c r="AK170" s="297" t="str">
        <f t="shared" si="47"/>
        <v/>
      </c>
      <c r="AL170" s="297" t="str">
        <f t="shared" si="48"/>
        <v/>
      </c>
      <c r="AM170" s="16"/>
      <c r="AN170" s="296" t="str">
        <f t="shared" si="49"/>
        <v/>
      </c>
      <c r="AO170" s="16"/>
      <c r="AP170" s="296" t="str">
        <f t="shared" si="50"/>
        <v/>
      </c>
      <c r="AQ170" s="298">
        <f t="shared" si="51"/>
        <v>0</v>
      </c>
      <c r="AR170" s="298">
        <f t="shared" si="52"/>
        <v>0</v>
      </c>
      <c r="AS170" s="299" t="str">
        <f t="shared" si="53"/>
        <v/>
      </c>
      <c r="AT170" s="300" t="str">
        <f>IF(COUNTIF(K170:R170,"F")&gt;0,"",IF(AS170="PASS",'Statement of Marks'!HF171,""))</f>
        <v/>
      </c>
      <c r="AU170" s="300" t="str">
        <f>IF(AS170="PASS",'Statement of Marks'!HG171,"")</f>
        <v/>
      </c>
    </row>
    <row r="171" spans="1:47">
      <c r="A171" s="283">
        <f>IF('Statement of Marks'!A172="","",'Statement of Marks'!A172)</f>
        <v>165</v>
      </c>
      <c r="B171" s="283" t="str">
        <f>IF('Statement of Marks'!B172="","",'Statement of Marks'!B172)</f>
        <v/>
      </c>
      <c r="C171" s="283" t="str">
        <f>IF('Statement of Marks'!C172="","",'Statement of Marks'!C172)</f>
        <v/>
      </c>
      <c r="D171" s="284" t="str">
        <f>IF('Statement of Marks'!D172="","",'Statement of Marks'!D172)</f>
        <v/>
      </c>
      <c r="E171" s="285" t="str">
        <f>IF('Statement of Marks'!E172="","",'Statement of Marks'!E172)</f>
        <v/>
      </c>
      <c r="F171" s="285" t="str">
        <f>IF('Statement of Marks'!F172="","",'Statement of Marks'!F172)</f>
        <v/>
      </c>
      <c r="G171" s="285" t="str">
        <f>IF('Statement of Marks'!G172="","",'Statement of Marks'!G172)</f>
        <v/>
      </c>
      <c r="H171" s="286" t="str">
        <f>IF('Statement of Marks'!GY172="","",'Statement of Marks'!GY172)</f>
        <v/>
      </c>
      <c r="I171" s="286" t="str">
        <f>IF('Statement of Marks'!HB172="","",'Statement of Marks'!HB172)</f>
        <v/>
      </c>
      <c r="J171" s="287" t="str">
        <f>IF('Statement of Marks'!HC172="","",'Statement of Marks'!HC172)</f>
        <v/>
      </c>
      <c r="K171" s="295" t="str">
        <f>IF(B171="","",'Statement of Marks'!FJ172)</f>
        <v/>
      </c>
      <c r="L171" s="295" t="str">
        <f>IF(B171="","",'Statement of Marks'!FM172)</f>
        <v/>
      </c>
      <c r="M171" s="295" t="str">
        <f>IF(B171="","",'Statement of Marks'!FP172)</f>
        <v/>
      </c>
      <c r="N171" s="295" t="str">
        <f>IF(B171="","",'Statement of Marks'!FW172)</f>
        <v/>
      </c>
      <c r="O171" s="295" t="str">
        <f>IF(B171="","",'Statement of Marks'!GD172)</f>
        <v/>
      </c>
      <c r="P171" s="295" t="str">
        <f>IF(B171="","",'Statement of Marks'!GK172)</f>
        <v/>
      </c>
      <c r="Q171" s="295" t="str">
        <f>IF(B171="","",'Statement of Marks'!GR172)</f>
        <v/>
      </c>
      <c r="R171" s="295" t="str">
        <f>IF(B171="","",'Statement of Marks'!GS172)</f>
        <v/>
      </c>
      <c r="S171" s="287" t="str">
        <f>IF(COUNTIF(K171:R171,"F")&gt;0,"",CONCATENATE('Statement of Marks'!GU172,'Statement of Marks'!GW172))</f>
        <v xml:space="preserve">           </v>
      </c>
      <c r="T171" s="288">
        <f t="shared" si="36"/>
        <v>0</v>
      </c>
      <c r="U171" s="16"/>
      <c r="V171" s="296" t="str">
        <f t="shared" si="37"/>
        <v/>
      </c>
      <c r="W171" s="296" t="str">
        <f t="shared" si="38"/>
        <v/>
      </c>
      <c r="X171" s="16"/>
      <c r="Y171" s="296" t="str">
        <f t="shared" si="39"/>
        <v/>
      </c>
      <c r="Z171" s="296" t="str">
        <f t="shared" si="40"/>
        <v/>
      </c>
      <c r="AA171" s="16"/>
      <c r="AB171" s="296" t="str">
        <f t="shared" si="41"/>
        <v/>
      </c>
      <c r="AC171" s="297" t="str">
        <f t="shared" si="42"/>
        <v/>
      </c>
      <c r="AD171" s="16"/>
      <c r="AE171" s="296" t="str">
        <f t="shared" si="43"/>
        <v/>
      </c>
      <c r="AF171" s="297" t="str">
        <f t="shared" si="44"/>
        <v/>
      </c>
      <c r="AG171" s="16"/>
      <c r="AH171" s="296" t="str">
        <f t="shared" si="45"/>
        <v/>
      </c>
      <c r="AI171" s="297" t="str">
        <f t="shared" si="46"/>
        <v/>
      </c>
      <c r="AJ171" s="16"/>
      <c r="AK171" s="297" t="str">
        <f t="shared" si="47"/>
        <v/>
      </c>
      <c r="AL171" s="297" t="str">
        <f t="shared" si="48"/>
        <v/>
      </c>
      <c r="AM171" s="16"/>
      <c r="AN171" s="296" t="str">
        <f t="shared" si="49"/>
        <v/>
      </c>
      <c r="AO171" s="16"/>
      <c r="AP171" s="296" t="str">
        <f t="shared" si="50"/>
        <v/>
      </c>
      <c r="AQ171" s="298">
        <f t="shared" si="51"/>
        <v>0</v>
      </c>
      <c r="AR171" s="298">
        <f t="shared" si="52"/>
        <v>0</v>
      </c>
      <c r="AS171" s="299" t="str">
        <f t="shared" si="53"/>
        <v/>
      </c>
      <c r="AT171" s="300" t="str">
        <f>IF(COUNTIF(K171:R171,"F")&gt;0,"",IF(AS171="PASS",'Statement of Marks'!HF172,""))</f>
        <v/>
      </c>
      <c r="AU171" s="300" t="str">
        <f>IF(AS171="PASS",'Statement of Marks'!HG172,"")</f>
        <v/>
      </c>
    </row>
    <row r="172" spans="1:47">
      <c r="A172" s="283">
        <f>IF('Statement of Marks'!A173="","",'Statement of Marks'!A173)</f>
        <v>166</v>
      </c>
      <c r="B172" s="283" t="str">
        <f>IF('Statement of Marks'!B173="","",'Statement of Marks'!B173)</f>
        <v/>
      </c>
      <c r="C172" s="283" t="str">
        <f>IF('Statement of Marks'!C173="","",'Statement of Marks'!C173)</f>
        <v/>
      </c>
      <c r="D172" s="284" t="str">
        <f>IF('Statement of Marks'!D173="","",'Statement of Marks'!D173)</f>
        <v/>
      </c>
      <c r="E172" s="285" t="str">
        <f>IF('Statement of Marks'!E173="","",'Statement of Marks'!E173)</f>
        <v/>
      </c>
      <c r="F172" s="285" t="str">
        <f>IF('Statement of Marks'!F173="","",'Statement of Marks'!F173)</f>
        <v/>
      </c>
      <c r="G172" s="285" t="str">
        <f>IF('Statement of Marks'!G173="","",'Statement of Marks'!G173)</f>
        <v/>
      </c>
      <c r="H172" s="286" t="str">
        <f>IF('Statement of Marks'!GY173="","",'Statement of Marks'!GY173)</f>
        <v/>
      </c>
      <c r="I172" s="286" t="str">
        <f>IF('Statement of Marks'!HB173="","",'Statement of Marks'!HB173)</f>
        <v/>
      </c>
      <c r="J172" s="287" t="str">
        <f>IF('Statement of Marks'!HC173="","",'Statement of Marks'!HC173)</f>
        <v/>
      </c>
      <c r="K172" s="295" t="str">
        <f>IF(B172="","",'Statement of Marks'!FJ173)</f>
        <v/>
      </c>
      <c r="L172" s="295" t="str">
        <f>IF(B172="","",'Statement of Marks'!FM173)</f>
        <v/>
      </c>
      <c r="M172" s="295" t="str">
        <f>IF(B172="","",'Statement of Marks'!FP173)</f>
        <v/>
      </c>
      <c r="N172" s="295" t="str">
        <f>IF(B172="","",'Statement of Marks'!FW173)</f>
        <v/>
      </c>
      <c r="O172" s="295" t="str">
        <f>IF(B172="","",'Statement of Marks'!GD173)</f>
        <v/>
      </c>
      <c r="P172" s="295" t="str">
        <f>IF(B172="","",'Statement of Marks'!GK173)</f>
        <v/>
      </c>
      <c r="Q172" s="295" t="str">
        <f>IF(B172="","",'Statement of Marks'!GR173)</f>
        <v/>
      </c>
      <c r="R172" s="295" t="str">
        <f>IF(B172="","",'Statement of Marks'!GS173)</f>
        <v/>
      </c>
      <c r="S172" s="287" t="str">
        <f>IF(COUNTIF(K172:R172,"F")&gt;0,"",CONCATENATE('Statement of Marks'!GU173,'Statement of Marks'!GW173))</f>
        <v xml:space="preserve">           </v>
      </c>
      <c r="T172" s="288">
        <f t="shared" si="36"/>
        <v>0</v>
      </c>
      <c r="U172" s="16"/>
      <c r="V172" s="296" t="str">
        <f t="shared" si="37"/>
        <v/>
      </c>
      <c r="W172" s="296" t="str">
        <f t="shared" si="38"/>
        <v/>
      </c>
      <c r="X172" s="16"/>
      <c r="Y172" s="296" t="str">
        <f t="shared" si="39"/>
        <v/>
      </c>
      <c r="Z172" s="296" t="str">
        <f t="shared" si="40"/>
        <v/>
      </c>
      <c r="AA172" s="16"/>
      <c r="AB172" s="296" t="str">
        <f t="shared" si="41"/>
        <v/>
      </c>
      <c r="AC172" s="297" t="str">
        <f t="shared" si="42"/>
        <v/>
      </c>
      <c r="AD172" s="16"/>
      <c r="AE172" s="296" t="str">
        <f t="shared" si="43"/>
        <v/>
      </c>
      <c r="AF172" s="297" t="str">
        <f t="shared" si="44"/>
        <v/>
      </c>
      <c r="AG172" s="16"/>
      <c r="AH172" s="296" t="str">
        <f t="shared" si="45"/>
        <v/>
      </c>
      <c r="AI172" s="297" t="str">
        <f t="shared" si="46"/>
        <v/>
      </c>
      <c r="AJ172" s="16"/>
      <c r="AK172" s="297" t="str">
        <f t="shared" si="47"/>
        <v/>
      </c>
      <c r="AL172" s="297" t="str">
        <f t="shared" si="48"/>
        <v/>
      </c>
      <c r="AM172" s="16"/>
      <c r="AN172" s="296" t="str">
        <f t="shared" si="49"/>
        <v/>
      </c>
      <c r="AO172" s="16"/>
      <c r="AP172" s="296" t="str">
        <f t="shared" si="50"/>
        <v/>
      </c>
      <c r="AQ172" s="298">
        <f t="shared" si="51"/>
        <v>0</v>
      </c>
      <c r="AR172" s="298">
        <f t="shared" si="52"/>
        <v>0</v>
      </c>
      <c r="AS172" s="299" t="str">
        <f t="shared" si="53"/>
        <v/>
      </c>
      <c r="AT172" s="300" t="str">
        <f>IF(COUNTIF(K172:R172,"F")&gt;0,"",IF(AS172="PASS",'Statement of Marks'!HF173,""))</f>
        <v/>
      </c>
      <c r="AU172" s="300" t="str">
        <f>IF(AS172="PASS",'Statement of Marks'!HG173,"")</f>
        <v/>
      </c>
    </row>
    <row r="173" spans="1:47">
      <c r="A173" s="283">
        <f>IF('Statement of Marks'!A174="","",'Statement of Marks'!A174)</f>
        <v>167</v>
      </c>
      <c r="B173" s="283" t="str">
        <f>IF('Statement of Marks'!B174="","",'Statement of Marks'!B174)</f>
        <v/>
      </c>
      <c r="C173" s="283" t="str">
        <f>IF('Statement of Marks'!C174="","",'Statement of Marks'!C174)</f>
        <v/>
      </c>
      <c r="D173" s="284" t="str">
        <f>IF('Statement of Marks'!D174="","",'Statement of Marks'!D174)</f>
        <v/>
      </c>
      <c r="E173" s="285" t="str">
        <f>IF('Statement of Marks'!E174="","",'Statement of Marks'!E174)</f>
        <v/>
      </c>
      <c r="F173" s="285" t="str">
        <f>IF('Statement of Marks'!F174="","",'Statement of Marks'!F174)</f>
        <v/>
      </c>
      <c r="G173" s="285" t="str">
        <f>IF('Statement of Marks'!G174="","",'Statement of Marks'!G174)</f>
        <v/>
      </c>
      <c r="H173" s="286" t="str">
        <f>IF('Statement of Marks'!GY174="","",'Statement of Marks'!GY174)</f>
        <v/>
      </c>
      <c r="I173" s="286" t="str">
        <f>IF('Statement of Marks'!HB174="","",'Statement of Marks'!HB174)</f>
        <v/>
      </c>
      <c r="J173" s="287" t="str">
        <f>IF('Statement of Marks'!HC174="","",'Statement of Marks'!HC174)</f>
        <v/>
      </c>
      <c r="K173" s="295" t="str">
        <f>IF(B173="","",'Statement of Marks'!FJ174)</f>
        <v/>
      </c>
      <c r="L173" s="295" t="str">
        <f>IF(B173="","",'Statement of Marks'!FM174)</f>
        <v/>
      </c>
      <c r="M173" s="295" t="str">
        <f>IF(B173="","",'Statement of Marks'!FP174)</f>
        <v/>
      </c>
      <c r="N173" s="295" t="str">
        <f>IF(B173="","",'Statement of Marks'!FW174)</f>
        <v/>
      </c>
      <c r="O173" s="295" t="str">
        <f>IF(B173="","",'Statement of Marks'!GD174)</f>
        <v/>
      </c>
      <c r="P173" s="295" t="str">
        <f>IF(B173="","",'Statement of Marks'!GK174)</f>
        <v/>
      </c>
      <c r="Q173" s="295" t="str">
        <f>IF(B173="","",'Statement of Marks'!GR174)</f>
        <v/>
      </c>
      <c r="R173" s="295" t="str">
        <f>IF(B173="","",'Statement of Marks'!GS174)</f>
        <v/>
      </c>
      <c r="S173" s="287" t="str">
        <f>IF(COUNTIF(K173:R173,"F")&gt;0,"",CONCATENATE('Statement of Marks'!GU174,'Statement of Marks'!GW174))</f>
        <v xml:space="preserve">           </v>
      </c>
      <c r="T173" s="288">
        <f t="shared" si="36"/>
        <v>0</v>
      </c>
      <c r="U173" s="16"/>
      <c r="V173" s="296" t="str">
        <f t="shared" si="37"/>
        <v/>
      </c>
      <c r="W173" s="296" t="str">
        <f t="shared" si="38"/>
        <v/>
      </c>
      <c r="X173" s="16"/>
      <c r="Y173" s="296" t="str">
        <f t="shared" si="39"/>
        <v/>
      </c>
      <c r="Z173" s="296" t="str">
        <f t="shared" si="40"/>
        <v/>
      </c>
      <c r="AA173" s="16"/>
      <c r="AB173" s="296" t="str">
        <f t="shared" si="41"/>
        <v/>
      </c>
      <c r="AC173" s="297" t="str">
        <f t="shared" si="42"/>
        <v/>
      </c>
      <c r="AD173" s="16"/>
      <c r="AE173" s="296" t="str">
        <f t="shared" si="43"/>
        <v/>
      </c>
      <c r="AF173" s="297" t="str">
        <f t="shared" si="44"/>
        <v/>
      </c>
      <c r="AG173" s="16"/>
      <c r="AH173" s="296" t="str">
        <f t="shared" si="45"/>
        <v/>
      </c>
      <c r="AI173" s="297" t="str">
        <f t="shared" si="46"/>
        <v/>
      </c>
      <c r="AJ173" s="16"/>
      <c r="AK173" s="297" t="str">
        <f t="shared" si="47"/>
        <v/>
      </c>
      <c r="AL173" s="297" t="str">
        <f t="shared" si="48"/>
        <v/>
      </c>
      <c r="AM173" s="16"/>
      <c r="AN173" s="296" t="str">
        <f t="shared" si="49"/>
        <v/>
      </c>
      <c r="AO173" s="16"/>
      <c r="AP173" s="296" t="str">
        <f t="shared" si="50"/>
        <v/>
      </c>
      <c r="AQ173" s="298">
        <f t="shared" si="51"/>
        <v>0</v>
      </c>
      <c r="AR173" s="298">
        <f t="shared" si="52"/>
        <v>0</v>
      </c>
      <c r="AS173" s="299" t="str">
        <f t="shared" si="53"/>
        <v/>
      </c>
      <c r="AT173" s="300" t="str">
        <f>IF(COUNTIF(K173:R173,"F")&gt;0,"",IF(AS173="PASS",'Statement of Marks'!HF174,""))</f>
        <v/>
      </c>
      <c r="AU173" s="300" t="str">
        <f>IF(AS173="PASS",'Statement of Marks'!HG174,"")</f>
        <v/>
      </c>
    </row>
    <row r="174" spans="1:47">
      <c r="A174" s="283">
        <f>IF('Statement of Marks'!A175="","",'Statement of Marks'!A175)</f>
        <v>168</v>
      </c>
      <c r="B174" s="283" t="str">
        <f>IF('Statement of Marks'!B175="","",'Statement of Marks'!B175)</f>
        <v/>
      </c>
      <c r="C174" s="283" t="str">
        <f>IF('Statement of Marks'!C175="","",'Statement of Marks'!C175)</f>
        <v/>
      </c>
      <c r="D174" s="284" t="str">
        <f>IF('Statement of Marks'!D175="","",'Statement of Marks'!D175)</f>
        <v/>
      </c>
      <c r="E174" s="285" t="str">
        <f>IF('Statement of Marks'!E175="","",'Statement of Marks'!E175)</f>
        <v/>
      </c>
      <c r="F174" s="285" t="str">
        <f>IF('Statement of Marks'!F175="","",'Statement of Marks'!F175)</f>
        <v/>
      </c>
      <c r="G174" s="285" t="str">
        <f>IF('Statement of Marks'!G175="","",'Statement of Marks'!G175)</f>
        <v/>
      </c>
      <c r="H174" s="286" t="str">
        <f>IF('Statement of Marks'!GY175="","",'Statement of Marks'!GY175)</f>
        <v/>
      </c>
      <c r="I174" s="286" t="str">
        <f>IF('Statement of Marks'!HB175="","",'Statement of Marks'!HB175)</f>
        <v/>
      </c>
      <c r="J174" s="287" t="str">
        <f>IF('Statement of Marks'!HC175="","",'Statement of Marks'!HC175)</f>
        <v/>
      </c>
      <c r="K174" s="295" t="str">
        <f>IF(B174="","",'Statement of Marks'!FJ175)</f>
        <v/>
      </c>
      <c r="L174" s="295" t="str">
        <f>IF(B174="","",'Statement of Marks'!FM175)</f>
        <v/>
      </c>
      <c r="M174" s="295" t="str">
        <f>IF(B174="","",'Statement of Marks'!FP175)</f>
        <v/>
      </c>
      <c r="N174" s="295" t="str">
        <f>IF(B174="","",'Statement of Marks'!FW175)</f>
        <v/>
      </c>
      <c r="O174" s="295" t="str">
        <f>IF(B174="","",'Statement of Marks'!GD175)</f>
        <v/>
      </c>
      <c r="P174" s="295" t="str">
        <f>IF(B174="","",'Statement of Marks'!GK175)</f>
        <v/>
      </c>
      <c r="Q174" s="295" t="str">
        <f>IF(B174="","",'Statement of Marks'!GR175)</f>
        <v/>
      </c>
      <c r="R174" s="295" t="str">
        <f>IF(B174="","",'Statement of Marks'!GS175)</f>
        <v/>
      </c>
      <c r="S174" s="287" t="str">
        <f>IF(COUNTIF(K174:R174,"F")&gt;0,"",CONCATENATE('Statement of Marks'!GU175,'Statement of Marks'!GW175))</f>
        <v xml:space="preserve">           </v>
      </c>
      <c r="T174" s="288">
        <f t="shared" si="36"/>
        <v>0</v>
      </c>
      <c r="U174" s="16"/>
      <c r="V174" s="296" t="str">
        <f t="shared" si="37"/>
        <v/>
      </c>
      <c r="W174" s="296" t="str">
        <f t="shared" si="38"/>
        <v/>
      </c>
      <c r="X174" s="16"/>
      <c r="Y174" s="296" t="str">
        <f t="shared" si="39"/>
        <v/>
      </c>
      <c r="Z174" s="296" t="str">
        <f t="shared" si="40"/>
        <v/>
      </c>
      <c r="AA174" s="16"/>
      <c r="AB174" s="296" t="str">
        <f t="shared" si="41"/>
        <v/>
      </c>
      <c r="AC174" s="297" t="str">
        <f t="shared" si="42"/>
        <v/>
      </c>
      <c r="AD174" s="16"/>
      <c r="AE174" s="296" t="str">
        <f t="shared" si="43"/>
        <v/>
      </c>
      <c r="AF174" s="297" t="str">
        <f t="shared" si="44"/>
        <v/>
      </c>
      <c r="AG174" s="16"/>
      <c r="AH174" s="296" t="str">
        <f t="shared" si="45"/>
        <v/>
      </c>
      <c r="AI174" s="297" t="str">
        <f t="shared" si="46"/>
        <v/>
      </c>
      <c r="AJ174" s="16"/>
      <c r="AK174" s="297" t="str">
        <f t="shared" si="47"/>
        <v/>
      </c>
      <c r="AL174" s="297" t="str">
        <f t="shared" si="48"/>
        <v/>
      </c>
      <c r="AM174" s="16"/>
      <c r="AN174" s="296" t="str">
        <f t="shared" si="49"/>
        <v/>
      </c>
      <c r="AO174" s="16"/>
      <c r="AP174" s="296" t="str">
        <f t="shared" si="50"/>
        <v/>
      </c>
      <c r="AQ174" s="298">
        <f t="shared" si="51"/>
        <v>0</v>
      </c>
      <c r="AR174" s="298">
        <f t="shared" si="52"/>
        <v>0</v>
      </c>
      <c r="AS174" s="299" t="str">
        <f t="shared" si="53"/>
        <v/>
      </c>
      <c r="AT174" s="300" t="str">
        <f>IF(COUNTIF(K174:R174,"F")&gt;0,"",IF(AS174="PASS",'Statement of Marks'!HF175,""))</f>
        <v/>
      </c>
      <c r="AU174" s="300" t="str">
        <f>IF(AS174="PASS",'Statement of Marks'!HG175,"")</f>
        <v/>
      </c>
    </row>
    <row r="175" spans="1:47">
      <c r="A175" s="283">
        <f>IF('Statement of Marks'!A176="","",'Statement of Marks'!A176)</f>
        <v>169</v>
      </c>
      <c r="B175" s="283" t="str">
        <f>IF('Statement of Marks'!B176="","",'Statement of Marks'!B176)</f>
        <v/>
      </c>
      <c r="C175" s="283" t="str">
        <f>IF('Statement of Marks'!C176="","",'Statement of Marks'!C176)</f>
        <v/>
      </c>
      <c r="D175" s="284" t="str">
        <f>IF('Statement of Marks'!D176="","",'Statement of Marks'!D176)</f>
        <v/>
      </c>
      <c r="E175" s="285" t="str">
        <f>IF('Statement of Marks'!E176="","",'Statement of Marks'!E176)</f>
        <v/>
      </c>
      <c r="F175" s="285" t="str">
        <f>IF('Statement of Marks'!F176="","",'Statement of Marks'!F176)</f>
        <v/>
      </c>
      <c r="G175" s="285" t="str">
        <f>IF('Statement of Marks'!G176="","",'Statement of Marks'!G176)</f>
        <v/>
      </c>
      <c r="H175" s="286" t="str">
        <f>IF('Statement of Marks'!GY176="","",'Statement of Marks'!GY176)</f>
        <v/>
      </c>
      <c r="I175" s="286" t="str">
        <f>IF('Statement of Marks'!HB176="","",'Statement of Marks'!HB176)</f>
        <v/>
      </c>
      <c r="J175" s="287" t="str">
        <f>IF('Statement of Marks'!HC176="","",'Statement of Marks'!HC176)</f>
        <v/>
      </c>
      <c r="K175" s="295" t="str">
        <f>IF(B175="","",'Statement of Marks'!FJ176)</f>
        <v/>
      </c>
      <c r="L175" s="295" t="str">
        <f>IF(B175="","",'Statement of Marks'!FM176)</f>
        <v/>
      </c>
      <c r="M175" s="295" t="str">
        <f>IF(B175="","",'Statement of Marks'!FP176)</f>
        <v/>
      </c>
      <c r="N175" s="295" t="str">
        <f>IF(B175="","",'Statement of Marks'!FW176)</f>
        <v/>
      </c>
      <c r="O175" s="295" t="str">
        <f>IF(B175="","",'Statement of Marks'!GD176)</f>
        <v/>
      </c>
      <c r="P175" s="295" t="str">
        <f>IF(B175="","",'Statement of Marks'!GK176)</f>
        <v/>
      </c>
      <c r="Q175" s="295" t="str">
        <f>IF(B175="","",'Statement of Marks'!GR176)</f>
        <v/>
      </c>
      <c r="R175" s="295" t="str">
        <f>IF(B175="","",'Statement of Marks'!GS176)</f>
        <v/>
      </c>
      <c r="S175" s="287" t="str">
        <f>IF(COUNTIF(K175:R175,"F")&gt;0,"",CONCATENATE('Statement of Marks'!GU176,'Statement of Marks'!GW176))</f>
        <v xml:space="preserve">           </v>
      </c>
      <c r="T175" s="288">
        <f t="shared" si="36"/>
        <v>0</v>
      </c>
      <c r="U175" s="16"/>
      <c r="V175" s="296" t="str">
        <f t="shared" si="37"/>
        <v/>
      </c>
      <c r="W175" s="296" t="str">
        <f t="shared" si="38"/>
        <v/>
      </c>
      <c r="X175" s="16"/>
      <c r="Y175" s="296" t="str">
        <f t="shared" si="39"/>
        <v/>
      </c>
      <c r="Z175" s="296" t="str">
        <f t="shared" si="40"/>
        <v/>
      </c>
      <c r="AA175" s="16"/>
      <c r="AB175" s="296" t="str">
        <f t="shared" si="41"/>
        <v/>
      </c>
      <c r="AC175" s="297" t="str">
        <f t="shared" si="42"/>
        <v/>
      </c>
      <c r="AD175" s="16"/>
      <c r="AE175" s="296" t="str">
        <f t="shared" si="43"/>
        <v/>
      </c>
      <c r="AF175" s="297" t="str">
        <f t="shared" si="44"/>
        <v/>
      </c>
      <c r="AG175" s="16"/>
      <c r="AH175" s="296" t="str">
        <f t="shared" si="45"/>
        <v/>
      </c>
      <c r="AI175" s="297" t="str">
        <f t="shared" si="46"/>
        <v/>
      </c>
      <c r="AJ175" s="16"/>
      <c r="AK175" s="297" t="str">
        <f t="shared" si="47"/>
        <v/>
      </c>
      <c r="AL175" s="297" t="str">
        <f t="shared" si="48"/>
        <v/>
      </c>
      <c r="AM175" s="16"/>
      <c r="AN175" s="296" t="str">
        <f t="shared" si="49"/>
        <v/>
      </c>
      <c r="AO175" s="16"/>
      <c r="AP175" s="296" t="str">
        <f t="shared" si="50"/>
        <v/>
      </c>
      <c r="AQ175" s="298">
        <f t="shared" si="51"/>
        <v>0</v>
      </c>
      <c r="AR175" s="298">
        <f t="shared" si="52"/>
        <v>0</v>
      </c>
      <c r="AS175" s="299" t="str">
        <f t="shared" si="53"/>
        <v/>
      </c>
      <c r="AT175" s="300" t="str">
        <f>IF(COUNTIF(K175:R175,"F")&gt;0,"",IF(AS175="PASS",'Statement of Marks'!HF176,""))</f>
        <v/>
      </c>
      <c r="AU175" s="300" t="str">
        <f>IF(AS175="PASS",'Statement of Marks'!HG176,"")</f>
        <v/>
      </c>
    </row>
    <row r="176" spans="1:47">
      <c r="A176" s="283">
        <f>IF('Statement of Marks'!A177="","",'Statement of Marks'!A177)</f>
        <v>170</v>
      </c>
      <c r="B176" s="283" t="str">
        <f>IF('Statement of Marks'!B177="","",'Statement of Marks'!B177)</f>
        <v/>
      </c>
      <c r="C176" s="283" t="str">
        <f>IF('Statement of Marks'!C177="","",'Statement of Marks'!C177)</f>
        <v/>
      </c>
      <c r="D176" s="284" t="str">
        <f>IF('Statement of Marks'!D177="","",'Statement of Marks'!D177)</f>
        <v/>
      </c>
      <c r="E176" s="285" t="str">
        <f>IF('Statement of Marks'!E177="","",'Statement of Marks'!E177)</f>
        <v/>
      </c>
      <c r="F176" s="285" t="str">
        <f>IF('Statement of Marks'!F177="","",'Statement of Marks'!F177)</f>
        <v/>
      </c>
      <c r="G176" s="285" t="str">
        <f>IF('Statement of Marks'!G177="","",'Statement of Marks'!G177)</f>
        <v/>
      </c>
      <c r="H176" s="286" t="str">
        <f>IF('Statement of Marks'!GY177="","",'Statement of Marks'!GY177)</f>
        <v/>
      </c>
      <c r="I176" s="286" t="str">
        <f>IF('Statement of Marks'!HB177="","",'Statement of Marks'!HB177)</f>
        <v/>
      </c>
      <c r="J176" s="287" t="str">
        <f>IF('Statement of Marks'!HC177="","",'Statement of Marks'!HC177)</f>
        <v/>
      </c>
      <c r="K176" s="295" t="str">
        <f>IF(B176="","",'Statement of Marks'!FJ177)</f>
        <v/>
      </c>
      <c r="L176" s="295" t="str">
        <f>IF(B176="","",'Statement of Marks'!FM177)</f>
        <v/>
      </c>
      <c r="M176" s="295" t="str">
        <f>IF(B176="","",'Statement of Marks'!FP177)</f>
        <v/>
      </c>
      <c r="N176" s="295" t="str">
        <f>IF(B176="","",'Statement of Marks'!FW177)</f>
        <v/>
      </c>
      <c r="O176" s="295" t="str">
        <f>IF(B176="","",'Statement of Marks'!GD177)</f>
        <v/>
      </c>
      <c r="P176" s="295" t="str">
        <f>IF(B176="","",'Statement of Marks'!GK177)</f>
        <v/>
      </c>
      <c r="Q176" s="295" t="str">
        <f>IF(B176="","",'Statement of Marks'!GR177)</f>
        <v/>
      </c>
      <c r="R176" s="295" t="str">
        <f>IF(B176="","",'Statement of Marks'!GS177)</f>
        <v/>
      </c>
      <c r="S176" s="287" t="str">
        <f>IF(COUNTIF(K176:R176,"F")&gt;0,"",CONCATENATE('Statement of Marks'!GU177,'Statement of Marks'!GW177))</f>
        <v xml:space="preserve">           </v>
      </c>
      <c r="T176" s="288">
        <f t="shared" si="36"/>
        <v>0</v>
      </c>
      <c r="U176" s="16"/>
      <c r="V176" s="296" t="str">
        <f t="shared" si="37"/>
        <v/>
      </c>
      <c r="W176" s="296" t="str">
        <f t="shared" si="38"/>
        <v/>
      </c>
      <c r="X176" s="16"/>
      <c r="Y176" s="296" t="str">
        <f t="shared" si="39"/>
        <v/>
      </c>
      <c r="Z176" s="296" t="str">
        <f t="shared" si="40"/>
        <v/>
      </c>
      <c r="AA176" s="16"/>
      <c r="AB176" s="296" t="str">
        <f t="shared" si="41"/>
        <v/>
      </c>
      <c r="AC176" s="297" t="str">
        <f t="shared" si="42"/>
        <v/>
      </c>
      <c r="AD176" s="16"/>
      <c r="AE176" s="296" t="str">
        <f t="shared" si="43"/>
        <v/>
      </c>
      <c r="AF176" s="297" t="str">
        <f t="shared" si="44"/>
        <v/>
      </c>
      <c r="AG176" s="16"/>
      <c r="AH176" s="296" t="str">
        <f t="shared" si="45"/>
        <v/>
      </c>
      <c r="AI176" s="297" t="str">
        <f t="shared" si="46"/>
        <v/>
      </c>
      <c r="AJ176" s="16"/>
      <c r="AK176" s="297" t="str">
        <f t="shared" si="47"/>
        <v/>
      </c>
      <c r="AL176" s="297" t="str">
        <f t="shared" si="48"/>
        <v/>
      </c>
      <c r="AM176" s="16"/>
      <c r="AN176" s="296" t="str">
        <f t="shared" si="49"/>
        <v/>
      </c>
      <c r="AO176" s="16"/>
      <c r="AP176" s="296" t="str">
        <f t="shared" si="50"/>
        <v/>
      </c>
      <c r="AQ176" s="298">
        <f t="shared" si="51"/>
        <v>0</v>
      </c>
      <c r="AR176" s="298">
        <f t="shared" si="52"/>
        <v>0</v>
      </c>
      <c r="AS176" s="299" t="str">
        <f t="shared" si="53"/>
        <v/>
      </c>
      <c r="AT176" s="300" t="str">
        <f>IF(COUNTIF(K176:R176,"F")&gt;0,"",IF(AS176="PASS",'Statement of Marks'!HF177,""))</f>
        <v/>
      </c>
      <c r="AU176" s="300" t="str">
        <f>IF(AS176="PASS",'Statement of Marks'!HG177,"")</f>
        <v/>
      </c>
    </row>
    <row r="177" spans="1:47">
      <c r="A177" s="283">
        <f>IF('Statement of Marks'!A178="","",'Statement of Marks'!A178)</f>
        <v>171</v>
      </c>
      <c r="B177" s="283" t="str">
        <f>IF('Statement of Marks'!B178="","",'Statement of Marks'!B178)</f>
        <v/>
      </c>
      <c r="C177" s="283" t="str">
        <f>IF('Statement of Marks'!C178="","",'Statement of Marks'!C178)</f>
        <v/>
      </c>
      <c r="D177" s="284" t="str">
        <f>IF('Statement of Marks'!D178="","",'Statement of Marks'!D178)</f>
        <v/>
      </c>
      <c r="E177" s="285" t="str">
        <f>IF('Statement of Marks'!E178="","",'Statement of Marks'!E178)</f>
        <v/>
      </c>
      <c r="F177" s="285" t="str">
        <f>IF('Statement of Marks'!F178="","",'Statement of Marks'!F178)</f>
        <v/>
      </c>
      <c r="G177" s="285" t="str">
        <f>IF('Statement of Marks'!G178="","",'Statement of Marks'!G178)</f>
        <v/>
      </c>
      <c r="H177" s="286" t="str">
        <f>IF('Statement of Marks'!GY178="","",'Statement of Marks'!GY178)</f>
        <v/>
      </c>
      <c r="I177" s="286" t="str">
        <f>IF('Statement of Marks'!HB178="","",'Statement of Marks'!HB178)</f>
        <v/>
      </c>
      <c r="J177" s="287" t="str">
        <f>IF('Statement of Marks'!HC178="","",'Statement of Marks'!HC178)</f>
        <v/>
      </c>
      <c r="K177" s="295" t="str">
        <f>IF(B177="","",'Statement of Marks'!FJ178)</f>
        <v/>
      </c>
      <c r="L177" s="295" t="str">
        <f>IF(B177="","",'Statement of Marks'!FM178)</f>
        <v/>
      </c>
      <c r="M177" s="295" t="str">
        <f>IF(B177="","",'Statement of Marks'!FP178)</f>
        <v/>
      </c>
      <c r="N177" s="295" t="str">
        <f>IF(B177="","",'Statement of Marks'!FW178)</f>
        <v/>
      </c>
      <c r="O177" s="295" t="str">
        <f>IF(B177="","",'Statement of Marks'!GD178)</f>
        <v/>
      </c>
      <c r="P177" s="295" t="str">
        <f>IF(B177="","",'Statement of Marks'!GK178)</f>
        <v/>
      </c>
      <c r="Q177" s="295" t="str">
        <f>IF(B177="","",'Statement of Marks'!GR178)</f>
        <v/>
      </c>
      <c r="R177" s="295" t="str">
        <f>IF(B177="","",'Statement of Marks'!GS178)</f>
        <v/>
      </c>
      <c r="S177" s="287" t="str">
        <f>IF(COUNTIF(K177:R177,"F")&gt;0,"",CONCATENATE('Statement of Marks'!GU178,'Statement of Marks'!GW178))</f>
        <v xml:space="preserve">           </v>
      </c>
      <c r="T177" s="288">
        <f t="shared" si="36"/>
        <v>0</v>
      </c>
      <c r="U177" s="16"/>
      <c r="V177" s="296" t="str">
        <f t="shared" si="37"/>
        <v/>
      </c>
      <c r="W177" s="296" t="str">
        <f t="shared" si="38"/>
        <v/>
      </c>
      <c r="X177" s="16"/>
      <c r="Y177" s="296" t="str">
        <f t="shared" si="39"/>
        <v/>
      </c>
      <c r="Z177" s="296" t="str">
        <f t="shared" si="40"/>
        <v/>
      </c>
      <c r="AA177" s="16"/>
      <c r="AB177" s="296" t="str">
        <f t="shared" si="41"/>
        <v/>
      </c>
      <c r="AC177" s="297" t="str">
        <f t="shared" si="42"/>
        <v/>
      </c>
      <c r="AD177" s="16"/>
      <c r="AE177" s="296" t="str">
        <f t="shared" si="43"/>
        <v/>
      </c>
      <c r="AF177" s="297" t="str">
        <f t="shared" si="44"/>
        <v/>
      </c>
      <c r="AG177" s="16"/>
      <c r="AH177" s="296" t="str">
        <f t="shared" si="45"/>
        <v/>
      </c>
      <c r="AI177" s="297" t="str">
        <f t="shared" si="46"/>
        <v/>
      </c>
      <c r="AJ177" s="16"/>
      <c r="AK177" s="297" t="str">
        <f t="shared" si="47"/>
        <v/>
      </c>
      <c r="AL177" s="297" t="str">
        <f t="shared" si="48"/>
        <v/>
      </c>
      <c r="AM177" s="16"/>
      <c r="AN177" s="296" t="str">
        <f t="shared" si="49"/>
        <v/>
      </c>
      <c r="AO177" s="16"/>
      <c r="AP177" s="296" t="str">
        <f t="shared" si="50"/>
        <v/>
      </c>
      <c r="AQ177" s="298">
        <f t="shared" si="51"/>
        <v>0</v>
      </c>
      <c r="AR177" s="298">
        <f t="shared" si="52"/>
        <v>0</v>
      </c>
      <c r="AS177" s="299" t="str">
        <f t="shared" si="53"/>
        <v/>
      </c>
      <c r="AT177" s="300" t="str">
        <f>IF(COUNTIF(K177:R177,"F")&gt;0,"",IF(AS177="PASS",'Statement of Marks'!HF178,""))</f>
        <v/>
      </c>
      <c r="AU177" s="300" t="str">
        <f>IF(AS177="PASS",'Statement of Marks'!HG178,"")</f>
        <v/>
      </c>
    </row>
    <row r="178" spans="1:47">
      <c r="A178" s="283">
        <f>IF('Statement of Marks'!A179="","",'Statement of Marks'!A179)</f>
        <v>172</v>
      </c>
      <c r="B178" s="283" t="str">
        <f>IF('Statement of Marks'!B179="","",'Statement of Marks'!B179)</f>
        <v/>
      </c>
      <c r="C178" s="283" t="str">
        <f>IF('Statement of Marks'!C179="","",'Statement of Marks'!C179)</f>
        <v/>
      </c>
      <c r="D178" s="284" t="str">
        <f>IF('Statement of Marks'!D179="","",'Statement of Marks'!D179)</f>
        <v/>
      </c>
      <c r="E178" s="285" t="str">
        <f>IF('Statement of Marks'!E179="","",'Statement of Marks'!E179)</f>
        <v/>
      </c>
      <c r="F178" s="285" t="str">
        <f>IF('Statement of Marks'!F179="","",'Statement of Marks'!F179)</f>
        <v/>
      </c>
      <c r="G178" s="285" t="str">
        <f>IF('Statement of Marks'!G179="","",'Statement of Marks'!G179)</f>
        <v/>
      </c>
      <c r="H178" s="286" t="str">
        <f>IF('Statement of Marks'!GY179="","",'Statement of Marks'!GY179)</f>
        <v/>
      </c>
      <c r="I178" s="286" t="str">
        <f>IF('Statement of Marks'!HB179="","",'Statement of Marks'!HB179)</f>
        <v/>
      </c>
      <c r="J178" s="287" t="str">
        <f>IF('Statement of Marks'!HC179="","",'Statement of Marks'!HC179)</f>
        <v/>
      </c>
      <c r="K178" s="295" t="str">
        <f>IF(B178="","",'Statement of Marks'!FJ179)</f>
        <v/>
      </c>
      <c r="L178" s="295" t="str">
        <f>IF(B178="","",'Statement of Marks'!FM179)</f>
        <v/>
      </c>
      <c r="M178" s="295" t="str">
        <f>IF(B178="","",'Statement of Marks'!FP179)</f>
        <v/>
      </c>
      <c r="N178" s="295" t="str">
        <f>IF(B178="","",'Statement of Marks'!FW179)</f>
        <v/>
      </c>
      <c r="O178" s="295" t="str">
        <f>IF(B178="","",'Statement of Marks'!GD179)</f>
        <v/>
      </c>
      <c r="P178" s="295" t="str">
        <f>IF(B178="","",'Statement of Marks'!GK179)</f>
        <v/>
      </c>
      <c r="Q178" s="295" t="str">
        <f>IF(B178="","",'Statement of Marks'!GR179)</f>
        <v/>
      </c>
      <c r="R178" s="295" t="str">
        <f>IF(B178="","",'Statement of Marks'!GS179)</f>
        <v/>
      </c>
      <c r="S178" s="287" t="str">
        <f>IF(COUNTIF(K178:R178,"F")&gt;0,"",CONCATENATE('Statement of Marks'!GU179,'Statement of Marks'!GW179))</f>
        <v xml:space="preserve">           </v>
      </c>
      <c r="T178" s="288">
        <f t="shared" si="36"/>
        <v>0</v>
      </c>
      <c r="U178" s="16"/>
      <c r="V178" s="296" t="str">
        <f t="shared" si="37"/>
        <v/>
      </c>
      <c r="W178" s="296" t="str">
        <f t="shared" si="38"/>
        <v/>
      </c>
      <c r="X178" s="16"/>
      <c r="Y178" s="296" t="str">
        <f t="shared" si="39"/>
        <v/>
      </c>
      <c r="Z178" s="296" t="str">
        <f t="shared" si="40"/>
        <v/>
      </c>
      <c r="AA178" s="16"/>
      <c r="AB178" s="296" t="str">
        <f t="shared" si="41"/>
        <v/>
      </c>
      <c r="AC178" s="297" t="str">
        <f t="shared" si="42"/>
        <v/>
      </c>
      <c r="AD178" s="16"/>
      <c r="AE178" s="296" t="str">
        <f t="shared" si="43"/>
        <v/>
      </c>
      <c r="AF178" s="297" t="str">
        <f t="shared" si="44"/>
        <v/>
      </c>
      <c r="AG178" s="16"/>
      <c r="AH178" s="296" t="str">
        <f t="shared" si="45"/>
        <v/>
      </c>
      <c r="AI178" s="297" t="str">
        <f t="shared" si="46"/>
        <v/>
      </c>
      <c r="AJ178" s="16"/>
      <c r="AK178" s="297" t="str">
        <f t="shared" si="47"/>
        <v/>
      </c>
      <c r="AL178" s="297" t="str">
        <f t="shared" si="48"/>
        <v/>
      </c>
      <c r="AM178" s="16"/>
      <c r="AN178" s="296" t="str">
        <f t="shared" si="49"/>
        <v/>
      </c>
      <c r="AO178" s="16"/>
      <c r="AP178" s="296" t="str">
        <f t="shared" si="50"/>
        <v/>
      </c>
      <c r="AQ178" s="298">
        <f t="shared" si="51"/>
        <v>0</v>
      </c>
      <c r="AR178" s="298">
        <f t="shared" si="52"/>
        <v>0</v>
      </c>
      <c r="AS178" s="299" t="str">
        <f t="shared" si="53"/>
        <v/>
      </c>
      <c r="AT178" s="300" t="str">
        <f>IF(COUNTIF(K178:R178,"F")&gt;0,"",IF(AS178="PASS",'Statement of Marks'!HF179,""))</f>
        <v/>
      </c>
      <c r="AU178" s="300" t="str">
        <f>IF(AS178="PASS",'Statement of Marks'!HG179,"")</f>
        <v/>
      </c>
    </row>
    <row r="179" spans="1:47">
      <c r="A179" s="283">
        <f>IF('Statement of Marks'!A180="","",'Statement of Marks'!A180)</f>
        <v>173</v>
      </c>
      <c r="B179" s="283" t="str">
        <f>IF('Statement of Marks'!B180="","",'Statement of Marks'!B180)</f>
        <v/>
      </c>
      <c r="C179" s="283" t="str">
        <f>IF('Statement of Marks'!C180="","",'Statement of Marks'!C180)</f>
        <v/>
      </c>
      <c r="D179" s="284" t="str">
        <f>IF('Statement of Marks'!D180="","",'Statement of Marks'!D180)</f>
        <v/>
      </c>
      <c r="E179" s="285" t="str">
        <f>IF('Statement of Marks'!E180="","",'Statement of Marks'!E180)</f>
        <v/>
      </c>
      <c r="F179" s="285" t="str">
        <f>IF('Statement of Marks'!F180="","",'Statement of Marks'!F180)</f>
        <v/>
      </c>
      <c r="G179" s="285" t="str">
        <f>IF('Statement of Marks'!G180="","",'Statement of Marks'!G180)</f>
        <v/>
      </c>
      <c r="H179" s="286" t="str">
        <f>IF('Statement of Marks'!GY180="","",'Statement of Marks'!GY180)</f>
        <v/>
      </c>
      <c r="I179" s="286" t="str">
        <f>IF('Statement of Marks'!HB180="","",'Statement of Marks'!HB180)</f>
        <v/>
      </c>
      <c r="J179" s="287" t="str">
        <f>IF('Statement of Marks'!HC180="","",'Statement of Marks'!HC180)</f>
        <v/>
      </c>
      <c r="K179" s="295" t="str">
        <f>IF(B179="","",'Statement of Marks'!FJ180)</f>
        <v/>
      </c>
      <c r="L179" s="295" t="str">
        <f>IF(B179="","",'Statement of Marks'!FM180)</f>
        <v/>
      </c>
      <c r="M179" s="295" t="str">
        <f>IF(B179="","",'Statement of Marks'!FP180)</f>
        <v/>
      </c>
      <c r="N179" s="295" t="str">
        <f>IF(B179="","",'Statement of Marks'!FW180)</f>
        <v/>
      </c>
      <c r="O179" s="295" t="str">
        <f>IF(B179="","",'Statement of Marks'!GD180)</f>
        <v/>
      </c>
      <c r="P179" s="295" t="str">
        <f>IF(B179="","",'Statement of Marks'!GK180)</f>
        <v/>
      </c>
      <c r="Q179" s="295" t="str">
        <f>IF(B179="","",'Statement of Marks'!GR180)</f>
        <v/>
      </c>
      <c r="R179" s="295" t="str">
        <f>IF(B179="","",'Statement of Marks'!GS180)</f>
        <v/>
      </c>
      <c r="S179" s="287" t="str">
        <f>IF(COUNTIF(K179:R179,"F")&gt;0,"",CONCATENATE('Statement of Marks'!GU180,'Statement of Marks'!GW180))</f>
        <v xml:space="preserve">           </v>
      </c>
      <c r="T179" s="288">
        <f t="shared" si="36"/>
        <v>0</v>
      </c>
      <c r="U179" s="16"/>
      <c r="V179" s="296" t="str">
        <f t="shared" si="37"/>
        <v/>
      </c>
      <c r="W179" s="296" t="str">
        <f t="shared" si="38"/>
        <v/>
      </c>
      <c r="X179" s="16"/>
      <c r="Y179" s="296" t="str">
        <f t="shared" si="39"/>
        <v/>
      </c>
      <c r="Z179" s="296" t="str">
        <f t="shared" si="40"/>
        <v/>
      </c>
      <c r="AA179" s="16"/>
      <c r="AB179" s="296" t="str">
        <f t="shared" si="41"/>
        <v/>
      </c>
      <c r="AC179" s="297" t="str">
        <f t="shared" si="42"/>
        <v/>
      </c>
      <c r="AD179" s="16"/>
      <c r="AE179" s="296" t="str">
        <f t="shared" si="43"/>
        <v/>
      </c>
      <c r="AF179" s="297" t="str">
        <f t="shared" si="44"/>
        <v/>
      </c>
      <c r="AG179" s="16"/>
      <c r="AH179" s="296" t="str">
        <f t="shared" si="45"/>
        <v/>
      </c>
      <c r="AI179" s="297" t="str">
        <f t="shared" si="46"/>
        <v/>
      </c>
      <c r="AJ179" s="16"/>
      <c r="AK179" s="297" t="str">
        <f t="shared" si="47"/>
        <v/>
      </c>
      <c r="AL179" s="297" t="str">
        <f t="shared" si="48"/>
        <v/>
      </c>
      <c r="AM179" s="16"/>
      <c r="AN179" s="296" t="str">
        <f t="shared" si="49"/>
        <v/>
      </c>
      <c r="AO179" s="16"/>
      <c r="AP179" s="296" t="str">
        <f t="shared" si="50"/>
        <v/>
      </c>
      <c r="AQ179" s="298">
        <f t="shared" si="51"/>
        <v>0</v>
      </c>
      <c r="AR179" s="298">
        <f t="shared" si="52"/>
        <v>0</v>
      </c>
      <c r="AS179" s="299" t="str">
        <f t="shared" si="53"/>
        <v/>
      </c>
      <c r="AT179" s="300" t="str">
        <f>IF(COUNTIF(K179:R179,"F")&gt;0,"",IF(AS179="PASS",'Statement of Marks'!HF180,""))</f>
        <v/>
      </c>
      <c r="AU179" s="300" t="str">
        <f>IF(AS179="PASS",'Statement of Marks'!HG180,"")</f>
        <v/>
      </c>
    </row>
    <row r="180" spans="1:47">
      <c r="A180" s="283">
        <f>IF('Statement of Marks'!A181="","",'Statement of Marks'!A181)</f>
        <v>174</v>
      </c>
      <c r="B180" s="283" t="str">
        <f>IF('Statement of Marks'!B181="","",'Statement of Marks'!B181)</f>
        <v/>
      </c>
      <c r="C180" s="283" t="str">
        <f>IF('Statement of Marks'!C181="","",'Statement of Marks'!C181)</f>
        <v/>
      </c>
      <c r="D180" s="284" t="str">
        <f>IF('Statement of Marks'!D181="","",'Statement of Marks'!D181)</f>
        <v/>
      </c>
      <c r="E180" s="285" t="str">
        <f>IF('Statement of Marks'!E181="","",'Statement of Marks'!E181)</f>
        <v/>
      </c>
      <c r="F180" s="285" t="str">
        <f>IF('Statement of Marks'!F181="","",'Statement of Marks'!F181)</f>
        <v/>
      </c>
      <c r="G180" s="285" t="str">
        <f>IF('Statement of Marks'!G181="","",'Statement of Marks'!G181)</f>
        <v/>
      </c>
      <c r="H180" s="286" t="str">
        <f>IF('Statement of Marks'!GY181="","",'Statement of Marks'!GY181)</f>
        <v/>
      </c>
      <c r="I180" s="286" t="str">
        <f>IF('Statement of Marks'!HB181="","",'Statement of Marks'!HB181)</f>
        <v/>
      </c>
      <c r="J180" s="287" t="str">
        <f>IF('Statement of Marks'!HC181="","",'Statement of Marks'!HC181)</f>
        <v/>
      </c>
      <c r="K180" s="295" t="str">
        <f>IF(B180="","",'Statement of Marks'!FJ181)</f>
        <v/>
      </c>
      <c r="L180" s="295" t="str">
        <f>IF(B180="","",'Statement of Marks'!FM181)</f>
        <v/>
      </c>
      <c r="M180" s="295" t="str">
        <f>IF(B180="","",'Statement of Marks'!FP181)</f>
        <v/>
      </c>
      <c r="N180" s="295" t="str">
        <f>IF(B180="","",'Statement of Marks'!FW181)</f>
        <v/>
      </c>
      <c r="O180" s="295" t="str">
        <f>IF(B180="","",'Statement of Marks'!GD181)</f>
        <v/>
      </c>
      <c r="P180" s="295" t="str">
        <f>IF(B180="","",'Statement of Marks'!GK181)</f>
        <v/>
      </c>
      <c r="Q180" s="295" t="str">
        <f>IF(B180="","",'Statement of Marks'!GR181)</f>
        <v/>
      </c>
      <c r="R180" s="295" t="str">
        <f>IF(B180="","",'Statement of Marks'!GS181)</f>
        <v/>
      </c>
      <c r="S180" s="287" t="str">
        <f>IF(COUNTIF(K180:R180,"F")&gt;0,"",CONCATENATE('Statement of Marks'!GU181,'Statement of Marks'!GW181))</f>
        <v xml:space="preserve">           </v>
      </c>
      <c r="T180" s="288">
        <f t="shared" si="36"/>
        <v>0</v>
      </c>
      <c r="U180" s="16"/>
      <c r="V180" s="296" t="str">
        <f t="shared" si="37"/>
        <v/>
      </c>
      <c r="W180" s="296" t="str">
        <f t="shared" si="38"/>
        <v/>
      </c>
      <c r="X180" s="16"/>
      <c r="Y180" s="296" t="str">
        <f t="shared" si="39"/>
        <v/>
      </c>
      <c r="Z180" s="296" t="str">
        <f t="shared" si="40"/>
        <v/>
      </c>
      <c r="AA180" s="16"/>
      <c r="AB180" s="296" t="str">
        <f t="shared" si="41"/>
        <v/>
      </c>
      <c r="AC180" s="297" t="str">
        <f t="shared" si="42"/>
        <v/>
      </c>
      <c r="AD180" s="16"/>
      <c r="AE180" s="296" t="str">
        <f t="shared" si="43"/>
        <v/>
      </c>
      <c r="AF180" s="297" t="str">
        <f t="shared" si="44"/>
        <v/>
      </c>
      <c r="AG180" s="16"/>
      <c r="AH180" s="296" t="str">
        <f t="shared" si="45"/>
        <v/>
      </c>
      <c r="AI180" s="297" t="str">
        <f t="shared" si="46"/>
        <v/>
      </c>
      <c r="AJ180" s="16"/>
      <c r="AK180" s="297" t="str">
        <f t="shared" si="47"/>
        <v/>
      </c>
      <c r="AL180" s="297" t="str">
        <f t="shared" si="48"/>
        <v/>
      </c>
      <c r="AM180" s="16"/>
      <c r="AN180" s="296" t="str">
        <f t="shared" si="49"/>
        <v/>
      </c>
      <c r="AO180" s="16"/>
      <c r="AP180" s="296" t="str">
        <f t="shared" si="50"/>
        <v/>
      </c>
      <c r="AQ180" s="298">
        <f t="shared" si="51"/>
        <v>0</v>
      </c>
      <c r="AR180" s="298">
        <f t="shared" si="52"/>
        <v>0</v>
      </c>
      <c r="AS180" s="299" t="str">
        <f t="shared" si="53"/>
        <v/>
      </c>
      <c r="AT180" s="300" t="str">
        <f>IF(COUNTIF(K180:R180,"F")&gt;0,"",IF(AS180="PASS",'Statement of Marks'!HF181,""))</f>
        <v/>
      </c>
      <c r="AU180" s="300" t="str">
        <f>IF(AS180="PASS",'Statement of Marks'!HG181,"")</f>
        <v/>
      </c>
    </row>
    <row r="181" spans="1:47">
      <c r="A181" s="283">
        <f>IF('Statement of Marks'!A182="","",'Statement of Marks'!A182)</f>
        <v>175</v>
      </c>
      <c r="B181" s="283" t="str">
        <f>IF('Statement of Marks'!B182="","",'Statement of Marks'!B182)</f>
        <v/>
      </c>
      <c r="C181" s="283" t="str">
        <f>IF('Statement of Marks'!C182="","",'Statement of Marks'!C182)</f>
        <v/>
      </c>
      <c r="D181" s="284" t="str">
        <f>IF('Statement of Marks'!D182="","",'Statement of Marks'!D182)</f>
        <v/>
      </c>
      <c r="E181" s="285" t="str">
        <f>IF('Statement of Marks'!E182="","",'Statement of Marks'!E182)</f>
        <v/>
      </c>
      <c r="F181" s="285" t="str">
        <f>IF('Statement of Marks'!F182="","",'Statement of Marks'!F182)</f>
        <v/>
      </c>
      <c r="G181" s="285" t="str">
        <f>IF('Statement of Marks'!G182="","",'Statement of Marks'!G182)</f>
        <v/>
      </c>
      <c r="H181" s="286" t="str">
        <f>IF('Statement of Marks'!GY182="","",'Statement of Marks'!GY182)</f>
        <v/>
      </c>
      <c r="I181" s="286" t="str">
        <f>IF('Statement of Marks'!HB182="","",'Statement of Marks'!HB182)</f>
        <v/>
      </c>
      <c r="J181" s="287" t="str">
        <f>IF('Statement of Marks'!HC182="","",'Statement of Marks'!HC182)</f>
        <v/>
      </c>
      <c r="K181" s="295" t="str">
        <f>IF(B181="","",'Statement of Marks'!FJ182)</f>
        <v/>
      </c>
      <c r="L181" s="295" t="str">
        <f>IF(B181="","",'Statement of Marks'!FM182)</f>
        <v/>
      </c>
      <c r="M181" s="295" t="str">
        <f>IF(B181="","",'Statement of Marks'!FP182)</f>
        <v/>
      </c>
      <c r="N181" s="295" t="str">
        <f>IF(B181="","",'Statement of Marks'!FW182)</f>
        <v/>
      </c>
      <c r="O181" s="295" t="str">
        <f>IF(B181="","",'Statement of Marks'!GD182)</f>
        <v/>
      </c>
      <c r="P181" s="295" t="str">
        <f>IF(B181="","",'Statement of Marks'!GK182)</f>
        <v/>
      </c>
      <c r="Q181" s="295" t="str">
        <f>IF(B181="","",'Statement of Marks'!GR182)</f>
        <v/>
      </c>
      <c r="R181" s="295" t="str">
        <f>IF(B181="","",'Statement of Marks'!GS182)</f>
        <v/>
      </c>
      <c r="S181" s="287" t="str">
        <f>IF(COUNTIF(K181:R181,"F")&gt;0,"",CONCATENATE('Statement of Marks'!GU182,'Statement of Marks'!GW182))</f>
        <v xml:space="preserve">           </v>
      </c>
      <c r="T181" s="288">
        <f t="shared" si="36"/>
        <v>0</v>
      </c>
      <c r="U181" s="16"/>
      <c r="V181" s="296" t="str">
        <f t="shared" si="37"/>
        <v/>
      </c>
      <c r="W181" s="296" t="str">
        <f t="shared" si="38"/>
        <v/>
      </c>
      <c r="X181" s="16"/>
      <c r="Y181" s="296" t="str">
        <f t="shared" si="39"/>
        <v/>
      </c>
      <c r="Z181" s="296" t="str">
        <f t="shared" si="40"/>
        <v/>
      </c>
      <c r="AA181" s="16"/>
      <c r="AB181" s="296" t="str">
        <f t="shared" si="41"/>
        <v/>
      </c>
      <c r="AC181" s="297" t="str">
        <f t="shared" si="42"/>
        <v/>
      </c>
      <c r="AD181" s="16"/>
      <c r="AE181" s="296" t="str">
        <f t="shared" si="43"/>
        <v/>
      </c>
      <c r="AF181" s="297" t="str">
        <f t="shared" si="44"/>
        <v/>
      </c>
      <c r="AG181" s="16"/>
      <c r="AH181" s="296" t="str">
        <f t="shared" si="45"/>
        <v/>
      </c>
      <c r="AI181" s="297" t="str">
        <f t="shared" si="46"/>
        <v/>
      </c>
      <c r="AJ181" s="16"/>
      <c r="AK181" s="297" t="str">
        <f t="shared" si="47"/>
        <v/>
      </c>
      <c r="AL181" s="297" t="str">
        <f t="shared" si="48"/>
        <v/>
      </c>
      <c r="AM181" s="16"/>
      <c r="AN181" s="296" t="str">
        <f t="shared" si="49"/>
        <v/>
      </c>
      <c r="AO181" s="16"/>
      <c r="AP181" s="296" t="str">
        <f t="shared" si="50"/>
        <v/>
      </c>
      <c r="AQ181" s="298">
        <f t="shared" si="51"/>
        <v>0</v>
      </c>
      <c r="AR181" s="298">
        <f t="shared" si="52"/>
        <v>0</v>
      </c>
      <c r="AS181" s="299" t="str">
        <f t="shared" si="53"/>
        <v/>
      </c>
      <c r="AT181" s="300" t="str">
        <f>IF(COUNTIF(K181:R181,"F")&gt;0,"",IF(AS181="PASS",'Statement of Marks'!HF182,""))</f>
        <v/>
      </c>
      <c r="AU181" s="300" t="str">
        <f>IF(AS181="PASS",'Statement of Marks'!HG182,"")</f>
        <v/>
      </c>
    </row>
    <row r="182" spans="1:47">
      <c r="A182" s="283">
        <f>IF('Statement of Marks'!A183="","",'Statement of Marks'!A183)</f>
        <v>176</v>
      </c>
      <c r="B182" s="283" t="str">
        <f>IF('Statement of Marks'!B183="","",'Statement of Marks'!B183)</f>
        <v/>
      </c>
      <c r="C182" s="283" t="str">
        <f>IF('Statement of Marks'!C183="","",'Statement of Marks'!C183)</f>
        <v/>
      </c>
      <c r="D182" s="284" t="str">
        <f>IF('Statement of Marks'!D183="","",'Statement of Marks'!D183)</f>
        <v/>
      </c>
      <c r="E182" s="285" t="str">
        <f>IF('Statement of Marks'!E183="","",'Statement of Marks'!E183)</f>
        <v/>
      </c>
      <c r="F182" s="285" t="str">
        <f>IF('Statement of Marks'!F183="","",'Statement of Marks'!F183)</f>
        <v/>
      </c>
      <c r="G182" s="285" t="str">
        <f>IF('Statement of Marks'!G183="","",'Statement of Marks'!G183)</f>
        <v/>
      </c>
      <c r="H182" s="286" t="str">
        <f>IF('Statement of Marks'!GY183="","",'Statement of Marks'!GY183)</f>
        <v/>
      </c>
      <c r="I182" s="286" t="str">
        <f>IF('Statement of Marks'!HB183="","",'Statement of Marks'!HB183)</f>
        <v/>
      </c>
      <c r="J182" s="287" t="str">
        <f>IF('Statement of Marks'!HC183="","",'Statement of Marks'!HC183)</f>
        <v/>
      </c>
      <c r="K182" s="295" t="str">
        <f>IF(B182="","",'Statement of Marks'!FJ183)</f>
        <v/>
      </c>
      <c r="L182" s="295" t="str">
        <f>IF(B182="","",'Statement of Marks'!FM183)</f>
        <v/>
      </c>
      <c r="M182" s="295" t="str">
        <f>IF(B182="","",'Statement of Marks'!FP183)</f>
        <v/>
      </c>
      <c r="N182" s="295" t="str">
        <f>IF(B182="","",'Statement of Marks'!FW183)</f>
        <v/>
      </c>
      <c r="O182" s="295" t="str">
        <f>IF(B182="","",'Statement of Marks'!GD183)</f>
        <v/>
      </c>
      <c r="P182" s="295" t="str">
        <f>IF(B182="","",'Statement of Marks'!GK183)</f>
        <v/>
      </c>
      <c r="Q182" s="295" t="str">
        <f>IF(B182="","",'Statement of Marks'!GR183)</f>
        <v/>
      </c>
      <c r="R182" s="295" t="str">
        <f>IF(B182="","",'Statement of Marks'!GS183)</f>
        <v/>
      </c>
      <c r="S182" s="287" t="str">
        <f>IF(COUNTIF(K182:R182,"F")&gt;0,"",CONCATENATE('Statement of Marks'!GU183,'Statement of Marks'!GW183))</f>
        <v xml:space="preserve">           </v>
      </c>
      <c r="T182" s="288">
        <f t="shared" si="36"/>
        <v>0</v>
      </c>
      <c r="U182" s="16"/>
      <c r="V182" s="296" t="str">
        <f t="shared" si="37"/>
        <v/>
      </c>
      <c r="W182" s="296" t="str">
        <f t="shared" si="38"/>
        <v/>
      </c>
      <c r="X182" s="16"/>
      <c r="Y182" s="296" t="str">
        <f t="shared" si="39"/>
        <v/>
      </c>
      <c r="Z182" s="296" t="str">
        <f t="shared" si="40"/>
        <v/>
      </c>
      <c r="AA182" s="16"/>
      <c r="AB182" s="296" t="str">
        <f t="shared" si="41"/>
        <v/>
      </c>
      <c r="AC182" s="297" t="str">
        <f t="shared" si="42"/>
        <v/>
      </c>
      <c r="AD182" s="16"/>
      <c r="AE182" s="296" t="str">
        <f t="shared" si="43"/>
        <v/>
      </c>
      <c r="AF182" s="297" t="str">
        <f t="shared" si="44"/>
        <v/>
      </c>
      <c r="AG182" s="16"/>
      <c r="AH182" s="296" t="str">
        <f t="shared" si="45"/>
        <v/>
      </c>
      <c r="AI182" s="297" t="str">
        <f t="shared" si="46"/>
        <v/>
      </c>
      <c r="AJ182" s="16"/>
      <c r="AK182" s="297" t="str">
        <f t="shared" si="47"/>
        <v/>
      </c>
      <c r="AL182" s="297" t="str">
        <f t="shared" si="48"/>
        <v/>
      </c>
      <c r="AM182" s="16"/>
      <c r="AN182" s="296" t="str">
        <f t="shared" si="49"/>
        <v/>
      </c>
      <c r="AO182" s="16"/>
      <c r="AP182" s="296" t="str">
        <f t="shared" si="50"/>
        <v/>
      </c>
      <c r="AQ182" s="298">
        <f t="shared" si="51"/>
        <v>0</v>
      </c>
      <c r="AR182" s="298">
        <f t="shared" si="52"/>
        <v>0</v>
      </c>
      <c r="AS182" s="299" t="str">
        <f t="shared" si="53"/>
        <v/>
      </c>
      <c r="AT182" s="300" t="str">
        <f>IF(COUNTIF(K182:R182,"F")&gt;0,"",IF(AS182="PASS",'Statement of Marks'!HF183,""))</f>
        <v/>
      </c>
      <c r="AU182" s="300" t="str">
        <f>IF(AS182="PASS",'Statement of Marks'!HG183,"")</f>
        <v/>
      </c>
    </row>
    <row r="183" spans="1:47">
      <c r="A183" s="283">
        <f>IF('Statement of Marks'!A184="","",'Statement of Marks'!A184)</f>
        <v>177</v>
      </c>
      <c r="B183" s="283" t="str">
        <f>IF('Statement of Marks'!B184="","",'Statement of Marks'!B184)</f>
        <v/>
      </c>
      <c r="C183" s="283" t="str">
        <f>IF('Statement of Marks'!C184="","",'Statement of Marks'!C184)</f>
        <v/>
      </c>
      <c r="D183" s="284" t="str">
        <f>IF('Statement of Marks'!D184="","",'Statement of Marks'!D184)</f>
        <v/>
      </c>
      <c r="E183" s="285" t="str">
        <f>IF('Statement of Marks'!E184="","",'Statement of Marks'!E184)</f>
        <v/>
      </c>
      <c r="F183" s="285" t="str">
        <f>IF('Statement of Marks'!F184="","",'Statement of Marks'!F184)</f>
        <v/>
      </c>
      <c r="G183" s="285" t="str">
        <f>IF('Statement of Marks'!G184="","",'Statement of Marks'!G184)</f>
        <v/>
      </c>
      <c r="H183" s="286" t="str">
        <f>IF('Statement of Marks'!GY184="","",'Statement of Marks'!GY184)</f>
        <v/>
      </c>
      <c r="I183" s="286" t="str">
        <f>IF('Statement of Marks'!HB184="","",'Statement of Marks'!HB184)</f>
        <v/>
      </c>
      <c r="J183" s="287" t="str">
        <f>IF('Statement of Marks'!HC184="","",'Statement of Marks'!HC184)</f>
        <v/>
      </c>
      <c r="K183" s="295" t="str">
        <f>IF(B183="","",'Statement of Marks'!FJ184)</f>
        <v/>
      </c>
      <c r="L183" s="295" t="str">
        <f>IF(B183="","",'Statement of Marks'!FM184)</f>
        <v/>
      </c>
      <c r="M183" s="295" t="str">
        <f>IF(B183="","",'Statement of Marks'!FP184)</f>
        <v/>
      </c>
      <c r="N183" s="295" t="str">
        <f>IF(B183="","",'Statement of Marks'!FW184)</f>
        <v/>
      </c>
      <c r="O183" s="295" t="str">
        <f>IF(B183="","",'Statement of Marks'!GD184)</f>
        <v/>
      </c>
      <c r="P183" s="295" t="str">
        <f>IF(B183="","",'Statement of Marks'!GK184)</f>
        <v/>
      </c>
      <c r="Q183" s="295" t="str">
        <f>IF(B183="","",'Statement of Marks'!GR184)</f>
        <v/>
      </c>
      <c r="R183" s="295" t="str">
        <f>IF(B183="","",'Statement of Marks'!GS184)</f>
        <v/>
      </c>
      <c r="S183" s="287" t="str">
        <f>IF(COUNTIF(K183:R183,"F")&gt;0,"",CONCATENATE('Statement of Marks'!GU184,'Statement of Marks'!GW184))</f>
        <v xml:space="preserve">           </v>
      </c>
      <c r="T183" s="288">
        <f t="shared" si="36"/>
        <v>0</v>
      </c>
      <c r="U183" s="16"/>
      <c r="V183" s="296" t="str">
        <f t="shared" si="37"/>
        <v/>
      </c>
      <c r="W183" s="296" t="str">
        <f t="shared" si="38"/>
        <v/>
      </c>
      <c r="X183" s="16"/>
      <c r="Y183" s="296" t="str">
        <f t="shared" si="39"/>
        <v/>
      </c>
      <c r="Z183" s="296" t="str">
        <f t="shared" si="40"/>
        <v/>
      </c>
      <c r="AA183" s="16"/>
      <c r="AB183" s="296" t="str">
        <f t="shared" si="41"/>
        <v/>
      </c>
      <c r="AC183" s="297" t="str">
        <f t="shared" si="42"/>
        <v/>
      </c>
      <c r="AD183" s="16"/>
      <c r="AE183" s="296" t="str">
        <f t="shared" si="43"/>
        <v/>
      </c>
      <c r="AF183" s="297" t="str">
        <f t="shared" si="44"/>
        <v/>
      </c>
      <c r="AG183" s="16"/>
      <c r="AH183" s="296" t="str">
        <f t="shared" si="45"/>
        <v/>
      </c>
      <c r="AI183" s="297" t="str">
        <f t="shared" si="46"/>
        <v/>
      </c>
      <c r="AJ183" s="16"/>
      <c r="AK183" s="297" t="str">
        <f t="shared" si="47"/>
        <v/>
      </c>
      <c r="AL183" s="297" t="str">
        <f t="shared" si="48"/>
        <v/>
      </c>
      <c r="AM183" s="16"/>
      <c r="AN183" s="296" t="str">
        <f t="shared" si="49"/>
        <v/>
      </c>
      <c r="AO183" s="16"/>
      <c r="AP183" s="296" t="str">
        <f t="shared" si="50"/>
        <v/>
      </c>
      <c r="AQ183" s="298">
        <f t="shared" si="51"/>
        <v>0</v>
      </c>
      <c r="AR183" s="298">
        <f t="shared" si="52"/>
        <v>0</v>
      </c>
      <c r="AS183" s="299" t="str">
        <f t="shared" si="53"/>
        <v/>
      </c>
      <c r="AT183" s="300" t="str">
        <f>IF(COUNTIF(K183:R183,"F")&gt;0,"",IF(AS183="PASS",'Statement of Marks'!HF184,""))</f>
        <v/>
      </c>
      <c r="AU183" s="300" t="str">
        <f>IF(AS183="PASS",'Statement of Marks'!HG184,"")</f>
        <v/>
      </c>
    </row>
    <row r="184" spans="1:47">
      <c r="A184" s="283">
        <f>IF('Statement of Marks'!A185="","",'Statement of Marks'!A185)</f>
        <v>178</v>
      </c>
      <c r="B184" s="283" t="str">
        <f>IF('Statement of Marks'!B185="","",'Statement of Marks'!B185)</f>
        <v/>
      </c>
      <c r="C184" s="283" t="str">
        <f>IF('Statement of Marks'!C185="","",'Statement of Marks'!C185)</f>
        <v/>
      </c>
      <c r="D184" s="284" t="str">
        <f>IF('Statement of Marks'!D185="","",'Statement of Marks'!D185)</f>
        <v/>
      </c>
      <c r="E184" s="285" t="str">
        <f>IF('Statement of Marks'!E185="","",'Statement of Marks'!E185)</f>
        <v/>
      </c>
      <c r="F184" s="285" t="str">
        <f>IF('Statement of Marks'!F185="","",'Statement of Marks'!F185)</f>
        <v/>
      </c>
      <c r="G184" s="285" t="str">
        <f>IF('Statement of Marks'!G185="","",'Statement of Marks'!G185)</f>
        <v/>
      </c>
      <c r="H184" s="286" t="str">
        <f>IF('Statement of Marks'!GY185="","",'Statement of Marks'!GY185)</f>
        <v/>
      </c>
      <c r="I184" s="286" t="str">
        <f>IF('Statement of Marks'!HB185="","",'Statement of Marks'!HB185)</f>
        <v/>
      </c>
      <c r="J184" s="287" t="str">
        <f>IF('Statement of Marks'!HC185="","",'Statement of Marks'!HC185)</f>
        <v/>
      </c>
      <c r="K184" s="295" t="str">
        <f>IF(B184="","",'Statement of Marks'!FJ185)</f>
        <v/>
      </c>
      <c r="L184" s="295" t="str">
        <f>IF(B184="","",'Statement of Marks'!FM185)</f>
        <v/>
      </c>
      <c r="M184" s="295" t="str">
        <f>IF(B184="","",'Statement of Marks'!FP185)</f>
        <v/>
      </c>
      <c r="N184" s="295" t="str">
        <f>IF(B184="","",'Statement of Marks'!FW185)</f>
        <v/>
      </c>
      <c r="O184" s="295" t="str">
        <f>IF(B184="","",'Statement of Marks'!GD185)</f>
        <v/>
      </c>
      <c r="P184" s="295" t="str">
        <f>IF(B184="","",'Statement of Marks'!GK185)</f>
        <v/>
      </c>
      <c r="Q184" s="295" t="str">
        <f>IF(B184="","",'Statement of Marks'!GR185)</f>
        <v/>
      </c>
      <c r="R184" s="295" t="str">
        <f>IF(B184="","",'Statement of Marks'!GS185)</f>
        <v/>
      </c>
      <c r="S184" s="287" t="str">
        <f>IF(COUNTIF(K184:R184,"F")&gt;0,"",CONCATENATE('Statement of Marks'!GU185,'Statement of Marks'!GW185))</f>
        <v xml:space="preserve">           </v>
      </c>
      <c r="T184" s="288">
        <f t="shared" si="36"/>
        <v>0</v>
      </c>
      <c r="U184" s="16"/>
      <c r="V184" s="296" t="str">
        <f t="shared" si="37"/>
        <v/>
      </c>
      <c r="W184" s="296" t="str">
        <f t="shared" si="38"/>
        <v/>
      </c>
      <c r="X184" s="16"/>
      <c r="Y184" s="296" t="str">
        <f t="shared" si="39"/>
        <v/>
      </c>
      <c r="Z184" s="296" t="str">
        <f t="shared" si="40"/>
        <v/>
      </c>
      <c r="AA184" s="16"/>
      <c r="AB184" s="296" t="str">
        <f t="shared" si="41"/>
        <v/>
      </c>
      <c r="AC184" s="297" t="str">
        <f t="shared" si="42"/>
        <v/>
      </c>
      <c r="AD184" s="16"/>
      <c r="AE184" s="296" t="str">
        <f t="shared" si="43"/>
        <v/>
      </c>
      <c r="AF184" s="297" t="str">
        <f t="shared" si="44"/>
        <v/>
      </c>
      <c r="AG184" s="16"/>
      <c r="AH184" s="296" t="str">
        <f t="shared" si="45"/>
        <v/>
      </c>
      <c r="AI184" s="297" t="str">
        <f t="shared" si="46"/>
        <v/>
      </c>
      <c r="AJ184" s="16"/>
      <c r="AK184" s="297" t="str">
        <f t="shared" si="47"/>
        <v/>
      </c>
      <c r="AL184" s="297" t="str">
        <f t="shared" si="48"/>
        <v/>
      </c>
      <c r="AM184" s="16"/>
      <c r="AN184" s="296" t="str">
        <f t="shared" si="49"/>
        <v/>
      </c>
      <c r="AO184" s="16"/>
      <c r="AP184" s="296" t="str">
        <f t="shared" si="50"/>
        <v/>
      </c>
      <c r="AQ184" s="298">
        <f t="shared" si="51"/>
        <v>0</v>
      </c>
      <c r="AR184" s="298">
        <f t="shared" si="52"/>
        <v>0</v>
      </c>
      <c r="AS184" s="299" t="str">
        <f t="shared" si="53"/>
        <v/>
      </c>
      <c r="AT184" s="300" t="str">
        <f>IF(COUNTIF(K184:R184,"F")&gt;0,"",IF(AS184="PASS",'Statement of Marks'!HF185,""))</f>
        <v/>
      </c>
      <c r="AU184" s="300" t="str">
        <f>IF(AS184="PASS",'Statement of Marks'!HG185,"")</f>
        <v/>
      </c>
    </row>
    <row r="185" spans="1:47">
      <c r="A185" s="283">
        <f>IF('Statement of Marks'!A186="","",'Statement of Marks'!A186)</f>
        <v>179</v>
      </c>
      <c r="B185" s="283" t="str">
        <f>IF('Statement of Marks'!B186="","",'Statement of Marks'!B186)</f>
        <v/>
      </c>
      <c r="C185" s="283" t="str">
        <f>IF('Statement of Marks'!C186="","",'Statement of Marks'!C186)</f>
        <v/>
      </c>
      <c r="D185" s="284" t="str">
        <f>IF('Statement of Marks'!D186="","",'Statement of Marks'!D186)</f>
        <v/>
      </c>
      <c r="E185" s="285" t="str">
        <f>IF('Statement of Marks'!E186="","",'Statement of Marks'!E186)</f>
        <v/>
      </c>
      <c r="F185" s="285" t="str">
        <f>IF('Statement of Marks'!F186="","",'Statement of Marks'!F186)</f>
        <v/>
      </c>
      <c r="G185" s="285" t="str">
        <f>IF('Statement of Marks'!G186="","",'Statement of Marks'!G186)</f>
        <v/>
      </c>
      <c r="H185" s="286" t="str">
        <f>IF('Statement of Marks'!GY186="","",'Statement of Marks'!GY186)</f>
        <v/>
      </c>
      <c r="I185" s="286" t="str">
        <f>IF('Statement of Marks'!HB186="","",'Statement of Marks'!HB186)</f>
        <v/>
      </c>
      <c r="J185" s="287" t="str">
        <f>IF('Statement of Marks'!HC186="","",'Statement of Marks'!HC186)</f>
        <v/>
      </c>
      <c r="K185" s="295" t="str">
        <f>IF(B185="","",'Statement of Marks'!FJ186)</f>
        <v/>
      </c>
      <c r="L185" s="295" t="str">
        <f>IF(B185="","",'Statement of Marks'!FM186)</f>
        <v/>
      </c>
      <c r="M185" s="295" t="str">
        <f>IF(B185="","",'Statement of Marks'!FP186)</f>
        <v/>
      </c>
      <c r="N185" s="295" t="str">
        <f>IF(B185="","",'Statement of Marks'!FW186)</f>
        <v/>
      </c>
      <c r="O185" s="295" t="str">
        <f>IF(B185="","",'Statement of Marks'!GD186)</f>
        <v/>
      </c>
      <c r="P185" s="295" t="str">
        <f>IF(B185="","",'Statement of Marks'!GK186)</f>
        <v/>
      </c>
      <c r="Q185" s="295" t="str">
        <f>IF(B185="","",'Statement of Marks'!GR186)</f>
        <v/>
      </c>
      <c r="R185" s="295" t="str">
        <f>IF(B185="","",'Statement of Marks'!GS186)</f>
        <v/>
      </c>
      <c r="S185" s="287" t="str">
        <f>IF(COUNTIF(K185:R185,"F")&gt;0,"",CONCATENATE('Statement of Marks'!GU186,'Statement of Marks'!GW186))</f>
        <v xml:space="preserve">           </v>
      </c>
      <c r="T185" s="288">
        <f t="shared" si="36"/>
        <v>0</v>
      </c>
      <c r="U185" s="16"/>
      <c r="V185" s="296" t="str">
        <f t="shared" si="37"/>
        <v/>
      </c>
      <c r="W185" s="296" t="str">
        <f t="shared" si="38"/>
        <v/>
      </c>
      <c r="X185" s="16"/>
      <c r="Y185" s="296" t="str">
        <f t="shared" si="39"/>
        <v/>
      </c>
      <c r="Z185" s="296" t="str">
        <f t="shared" si="40"/>
        <v/>
      </c>
      <c r="AA185" s="16"/>
      <c r="AB185" s="296" t="str">
        <f t="shared" si="41"/>
        <v/>
      </c>
      <c r="AC185" s="297" t="str">
        <f t="shared" si="42"/>
        <v/>
      </c>
      <c r="AD185" s="16"/>
      <c r="AE185" s="296" t="str">
        <f t="shared" si="43"/>
        <v/>
      </c>
      <c r="AF185" s="297" t="str">
        <f t="shared" si="44"/>
        <v/>
      </c>
      <c r="AG185" s="16"/>
      <c r="AH185" s="296" t="str">
        <f t="shared" si="45"/>
        <v/>
      </c>
      <c r="AI185" s="297" t="str">
        <f t="shared" si="46"/>
        <v/>
      </c>
      <c r="AJ185" s="16"/>
      <c r="AK185" s="297" t="str">
        <f t="shared" si="47"/>
        <v/>
      </c>
      <c r="AL185" s="297" t="str">
        <f t="shared" si="48"/>
        <v/>
      </c>
      <c r="AM185" s="16"/>
      <c r="AN185" s="296" t="str">
        <f t="shared" si="49"/>
        <v/>
      </c>
      <c r="AO185" s="16"/>
      <c r="AP185" s="296" t="str">
        <f t="shared" si="50"/>
        <v/>
      </c>
      <c r="AQ185" s="298">
        <f t="shared" si="51"/>
        <v>0</v>
      </c>
      <c r="AR185" s="298">
        <f t="shared" si="52"/>
        <v>0</v>
      </c>
      <c r="AS185" s="299" t="str">
        <f t="shared" si="53"/>
        <v/>
      </c>
      <c r="AT185" s="300" t="str">
        <f>IF(COUNTIF(K185:R185,"F")&gt;0,"",IF(AS185="PASS",'Statement of Marks'!HF186,""))</f>
        <v/>
      </c>
      <c r="AU185" s="300" t="str">
        <f>IF(AS185="PASS",'Statement of Marks'!HG186,"")</f>
        <v/>
      </c>
    </row>
    <row r="186" spans="1:47">
      <c r="A186" s="283">
        <f>IF('Statement of Marks'!A187="","",'Statement of Marks'!A187)</f>
        <v>180</v>
      </c>
      <c r="B186" s="283" t="str">
        <f>IF('Statement of Marks'!B187="","",'Statement of Marks'!B187)</f>
        <v/>
      </c>
      <c r="C186" s="283" t="str">
        <f>IF('Statement of Marks'!C187="","",'Statement of Marks'!C187)</f>
        <v/>
      </c>
      <c r="D186" s="284" t="str">
        <f>IF('Statement of Marks'!D187="","",'Statement of Marks'!D187)</f>
        <v/>
      </c>
      <c r="E186" s="285" t="str">
        <f>IF('Statement of Marks'!E187="","",'Statement of Marks'!E187)</f>
        <v/>
      </c>
      <c r="F186" s="285" t="str">
        <f>IF('Statement of Marks'!F187="","",'Statement of Marks'!F187)</f>
        <v/>
      </c>
      <c r="G186" s="285" t="str">
        <f>IF('Statement of Marks'!G187="","",'Statement of Marks'!G187)</f>
        <v/>
      </c>
      <c r="H186" s="286" t="str">
        <f>IF('Statement of Marks'!GY187="","",'Statement of Marks'!GY187)</f>
        <v/>
      </c>
      <c r="I186" s="286" t="str">
        <f>IF('Statement of Marks'!HB187="","",'Statement of Marks'!HB187)</f>
        <v/>
      </c>
      <c r="J186" s="287" t="str">
        <f>IF('Statement of Marks'!HC187="","",'Statement of Marks'!HC187)</f>
        <v/>
      </c>
      <c r="K186" s="295" t="str">
        <f>IF(B186="","",'Statement of Marks'!FJ187)</f>
        <v/>
      </c>
      <c r="L186" s="295" t="str">
        <f>IF(B186="","",'Statement of Marks'!FM187)</f>
        <v/>
      </c>
      <c r="M186" s="295" t="str">
        <f>IF(B186="","",'Statement of Marks'!FP187)</f>
        <v/>
      </c>
      <c r="N186" s="295" t="str">
        <f>IF(B186="","",'Statement of Marks'!FW187)</f>
        <v/>
      </c>
      <c r="O186" s="295" t="str">
        <f>IF(B186="","",'Statement of Marks'!GD187)</f>
        <v/>
      </c>
      <c r="P186" s="295" t="str">
        <f>IF(B186="","",'Statement of Marks'!GK187)</f>
        <v/>
      </c>
      <c r="Q186" s="295" t="str">
        <f>IF(B186="","",'Statement of Marks'!GR187)</f>
        <v/>
      </c>
      <c r="R186" s="295" t="str">
        <f>IF(B186="","",'Statement of Marks'!GS187)</f>
        <v/>
      </c>
      <c r="S186" s="287" t="str">
        <f>IF(COUNTIF(K186:R186,"F")&gt;0,"",CONCATENATE('Statement of Marks'!GU187,'Statement of Marks'!GW187))</f>
        <v xml:space="preserve">           </v>
      </c>
      <c r="T186" s="288">
        <f t="shared" si="36"/>
        <v>0</v>
      </c>
      <c r="U186" s="16"/>
      <c r="V186" s="296" t="str">
        <f t="shared" si="37"/>
        <v/>
      </c>
      <c r="W186" s="296" t="str">
        <f t="shared" si="38"/>
        <v/>
      </c>
      <c r="X186" s="16"/>
      <c r="Y186" s="296" t="str">
        <f t="shared" si="39"/>
        <v/>
      </c>
      <c r="Z186" s="296" t="str">
        <f t="shared" si="40"/>
        <v/>
      </c>
      <c r="AA186" s="16"/>
      <c r="AB186" s="296" t="str">
        <f t="shared" si="41"/>
        <v/>
      </c>
      <c r="AC186" s="297" t="str">
        <f t="shared" si="42"/>
        <v/>
      </c>
      <c r="AD186" s="16"/>
      <c r="AE186" s="296" t="str">
        <f t="shared" si="43"/>
        <v/>
      </c>
      <c r="AF186" s="297" t="str">
        <f t="shared" si="44"/>
        <v/>
      </c>
      <c r="AG186" s="16"/>
      <c r="AH186" s="296" t="str">
        <f t="shared" si="45"/>
        <v/>
      </c>
      <c r="AI186" s="297" t="str">
        <f t="shared" si="46"/>
        <v/>
      </c>
      <c r="AJ186" s="16"/>
      <c r="AK186" s="297" t="str">
        <f t="shared" si="47"/>
        <v/>
      </c>
      <c r="AL186" s="297" t="str">
        <f t="shared" si="48"/>
        <v/>
      </c>
      <c r="AM186" s="16"/>
      <c r="AN186" s="296" t="str">
        <f t="shared" si="49"/>
        <v/>
      </c>
      <c r="AO186" s="16"/>
      <c r="AP186" s="296" t="str">
        <f t="shared" si="50"/>
        <v/>
      </c>
      <c r="AQ186" s="298">
        <f t="shared" si="51"/>
        <v>0</v>
      </c>
      <c r="AR186" s="298">
        <f t="shared" si="52"/>
        <v>0</v>
      </c>
      <c r="AS186" s="299" t="str">
        <f t="shared" si="53"/>
        <v/>
      </c>
      <c r="AT186" s="300" t="str">
        <f>IF(COUNTIF(K186:R186,"F")&gt;0,"",IF(AS186="PASS",'Statement of Marks'!HF187,""))</f>
        <v/>
      </c>
      <c r="AU186" s="300" t="str">
        <f>IF(AS186="PASS",'Statement of Marks'!HG187,"")</f>
        <v/>
      </c>
    </row>
    <row r="187" spans="1:47">
      <c r="A187" s="283">
        <f>IF('Statement of Marks'!A188="","",'Statement of Marks'!A188)</f>
        <v>181</v>
      </c>
      <c r="B187" s="283" t="str">
        <f>IF('Statement of Marks'!B188="","",'Statement of Marks'!B188)</f>
        <v/>
      </c>
      <c r="C187" s="283" t="str">
        <f>IF('Statement of Marks'!C188="","",'Statement of Marks'!C188)</f>
        <v/>
      </c>
      <c r="D187" s="284" t="str">
        <f>IF('Statement of Marks'!D188="","",'Statement of Marks'!D188)</f>
        <v/>
      </c>
      <c r="E187" s="285" t="str">
        <f>IF('Statement of Marks'!E188="","",'Statement of Marks'!E188)</f>
        <v/>
      </c>
      <c r="F187" s="285" t="str">
        <f>IF('Statement of Marks'!F188="","",'Statement of Marks'!F188)</f>
        <v/>
      </c>
      <c r="G187" s="285" t="str">
        <f>IF('Statement of Marks'!G188="","",'Statement of Marks'!G188)</f>
        <v/>
      </c>
      <c r="H187" s="286" t="str">
        <f>IF('Statement of Marks'!GY188="","",'Statement of Marks'!GY188)</f>
        <v/>
      </c>
      <c r="I187" s="286" t="str">
        <f>IF('Statement of Marks'!HB188="","",'Statement of Marks'!HB188)</f>
        <v/>
      </c>
      <c r="J187" s="287" t="str">
        <f>IF('Statement of Marks'!HC188="","",'Statement of Marks'!HC188)</f>
        <v/>
      </c>
      <c r="K187" s="295" t="str">
        <f>IF(B187="","",'Statement of Marks'!FJ188)</f>
        <v/>
      </c>
      <c r="L187" s="295" t="str">
        <f>IF(B187="","",'Statement of Marks'!FM188)</f>
        <v/>
      </c>
      <c r="M187" s="295" t="str">
        <f>IF(B187="","",'Statement of Marks'!FP188)</f>
        <v/>
      </c>
      <c r="N187" s="295" t="str">
        <f>IF(B187="","",'Statement of Marks'!FW188)</f>
        <v/>
      </c>
      <c r="O187" s="295" t="str">
        <f>IF(B187="","",'Statement of Marks'!GD188)</f>
        <v/>
      </c>
      <c r="P187" s="295" t="str">
        <f>IF(B187="","",'Statement of Marks'!GK188)</f>
        <v/>
      </c>
      <c r="Q187" s="295" t="str">
        <f>IF(B187="","",'Statement of Marks'!GR188)</f>
        <v/>
      </c>
      <c r="R187" s="295" t="str">
        <f>IF(B187="","",'Statement of Marks'!GS188)</f>
        <v/>
      </c>
      <c r="S187" s="287" t="str">
        <f>IF(COUNTIF(K187:R187,"F")&gt;0,"",CONCATENATE('Statement of Marks'!GU188,'Statement of Marks'!GW188))</f>
        <v xml:space="preserve">           </v>
      </c>
      <c r="T187" s="288">
        <f t="shared" si="36"/>
        <v>0</v>
      </c>
      <c r="U187" s="16"/>
      <c r="V187" s="296" t="str">
        <f t="shared" si="37"/>
        <v/>
      </c>
      <c r="W187" s="296" t="str">
        <f t="shared" si="38"/>
        <v/>
      </c>
      <c r="X187" s="16"/>
      <c r="Y187" s="296" t="str">
        <f t="shared" si="39"/>
        <v/>
      </c>
      <c r="Z187" s="296" t="str">
        <f t="shared" si="40"/>
        <v/>
      </c>
      <c r="AA187" s="16"/>
      <c r="AB187" s="296" t="str">
        <f t="shared" si="41"/>
        <v/>
      </c>
      <c r="AC187" s="297" t="str">
        <f t="shared" si="42"/>
        <v/>
      </c>
      <c r="AD187" s="16"/>
      <c r="AE187" s="296" t="str">
        <f t="shared" si="43"/>
        <v/>
      </c>
      <c r="AF187" s="297" t="str">
        <f t="shared" si="44"/>
        <v/>
      </c>
      <c r="AG187" s="16"/>
      <c r="AH187" s="296" t="str">
        <f t="shared" si="45"/>
        <v/>
      </c>
      <c r="AI187" s="297" t="str">
        <f t="shared" si="46"/>
        <v/>
      </c>
      <c r="AJ187" s="16"/>
      <c r="AK187" s="297" t="str">
        <f t="shared" si="47"/>
        <v/>
      </c>
      <c r="AL187" s="297" t="str">
        <f t="shared" si="48"/>
        <v/>
      </c>
      <c r="AM187" s="16"/>
      <c r="AN187" s="296" t="str">
        <f t="shared" si="49"/>
        <v/>
      </c>
      <c r="AO187" s="16"/>
      <c r="AP187" s="296" t="str">
        <f t="shared" si="50"/>
        <v/>
      </c>
      <c r="AQ187" s="298">
        <f t="shared" si="51"/>
        <v>0</v>
      </c>
      <c r="AR187" s="298">
        <f t="shared" si="52"/>
        <v>0</v>
      </c>
      <c r="AS187" s="299" t="str">
        <f t="shared" si="53"/>
        <v/>
      </c>
      <c r="AT187" s="300" t="str">
        <f>IF(COUNTIF(K187:R187,"F")&gt;0,"",IF(AS187="PASS",'Statement of Marks'!HF188,""))</f>
        <v/>
      </c>
      <c r="AU187" s="300" t="str">
        <f>IF(AS187="PASS",'Statement of Marks'!HG188,"")</f>
        <v/>
      </c>
    </row>
    <row r="188" spans="1:47">
      <c r="A188" s="283">
        <f>IF('Statement of Marks'!A189="","",'Statement of Marks'!A189)</f>
        <v>182</v>
      </c>
      <c r="B188" s="283" t="str">
        <f>IF('Statement of Marks'!B189="","",'Statement of Marks'!B189)</f>
        <v/>
      </c>
      <c r="C188" s="283" t="str">
        <f>IF('Statement of Marks'!C189="","",'Statement of Marks'!C189)</f>
        <v/>
      </c>
      <c r="D188" s="284" t="str">
        <f>IF('Statement of Marks'!D189="","",'Statement of Marks'!D189)</f>
        <v/>
      </c>
      <c r="E188" s="285" t="str">
        <f>IF('Statement of Marks'!E189="","",'Statement of Marks'!E189)</f>
        <v/>
      </c>
      <c r="F188" s="285" t="str">
        <f>IF('Statement of Marks'!F189="","",'Statement of Marks'!F189)</f>
        <v/>
      </c>
      <c r="G188" s="285" t="str">
        <f>IF('Statement of Marks'!G189="","",'Statement of Marks'!G189)</f>
        <v/>
      </c>
      <c r="H188" s="286" t="str">
        <f>IF('Statement of Marks'!GY189="","",'Statement of Marks'!GY189)</f>
        <v/>
      </c>
      <c r="I188" s="286" t="str">
        <f>IF('Statement of Marks'!HB189="","",'Statement of Marks'!HB189)</f>
        <v/>
      </c>
      <c r="J188" s="287" t="str">
        <f>IF('Statement of Marks'!HC189="","",'Statement of Marks'!HC189)</f>
        <v/>
      </c>
      <c r="K188" s="295" t="str">
        <f>IF(B188="","",'Statement of Marks'!FJ189)</f>
        <v/>
      </c>
      <c r="L188" s="295" t="str">
        <f>IF(B188="","",'Statement of Marks'!FM189)</f>
        <v/>
      </c>
      <c r="M188" s="295" t="str">
        <f>IF(B188="","",'Statement of Marks'!FP189)</f>
        <v/>
      </c>
      <c r="N188" s="295" t="str">
        <f>IF(B188="","",'Statement of Marks'!FW189)</f>
        <v/>
      </c>
      <c r="O188" s="295" t="str">
        <f>IF(B188="","",'Statement of Marks'!GD189)</f>
        <v/>
      </c>
      <c r="P188" s="295" t="str">
        <f>IF(B188="","",'Statement of Marks'!GK189)</f>
        <v/>
      </c>
      <c r="Q188" s="295" t="str">
        <f>IF(B188="","",'Statement of Marks'!GR189)</f>
        <v/>
      </c>
      <c r="R188" s="295" t="str">
        <f>IF(B188="","",'Statement of Marks'!GS189)</f>
        <v/>
      </c>
      <c r="S188" s="287" t="str">
        <f>IF(COUNTIF(K188:R188,"F")&gt;0,"",CONCATENATE('Statement of Marks'!GU189,'Statement of Marks'!GW189))</f>
        <v xml:space="preserve">           </v>
      </c>
      <c r="T188" s="288">
        <f t="shared" si="36"/>
        <v>0</v>
      </c>
      <c r="U188" s="16"/>
      <c r="V188" s="296" t="str">
        <f t="shared" si="37"/>
        <v/>
      </c>
      <c r="W188" s="296" t="str">
        <f t="shared" si="38"/>
        <v/>
      </c>
      <c r="X188" s="16"/>
      <c r="Y188" s="296" t="str">
        <f t="shared" si="39"/>
        <v/>
      </c>
      <c r="Z188" s="296" t="str">
        <f t="shared" si="40"/>
        <v/>
      </c>
      <c r="AA188" s="16"/>
      <c r="AB188" s="296" t="str">
        <f t="shared" si="41"/>
        <v/>
      </c>
      <c r="AC188" s="297" t="str">
        <f t="shared" si="42"/>
        <v/>
      </c>
      <c r="AD188" s="16"/>
      <c r="AE188" s="296" t="str">
        <f t="shared" si="43"/>
        <v/>
      </c>
      <c r="AF188" s="297" t="str">
        <f t="shared" si="44"/>
        <v/>
      </c>
      <c r="AG188" s="16"/>
      <c r="AH188" s="296" t="str">
        <f t="shared" si="45"/>
        <v/>
      </c>
      <c r="AI188" s="297" t="str">
        <f t="shared" si="46"/>
        <v/>
      </c>
      <c r="AJ188" s="16"/>
      <c r="AK188" s="297" t="str">
        <f t="shared" si="47"/>
        <v/>
      </c>
      <c r="AL188" s="297" t="str">
        <f t="shared" si="48"/>
        <v/>
      </c>
      <c r="AM188" s="16"/>
      <c r="AN188" s="296" t="str">
        <f t="shared" si="49"/>
        <v/>
      </c>
      <c r="AO188" s="16"/>
      <c r="AP188" s="296" t="str">
        <f t="shared" si="50"/>
        <v/>
      </c>
      <c r="AQ188" s="298">
        <f t="shared" si="51"/>
        <v>0</v>
      </c>
      <c r="AR188" s="298">
        <f t="shared" si="52"/>
        <v>0</v>
      </c>
      <c r="AS188" s="299" t="str">
        <f t="shared" si="53"/>
        <v/>
      </c>
      <c r="AT188" s="300" t="str">
        <f>IF(COUNTIF(K188:R188,"F")&gt;0,"",IF(AS188="PASS",'Statement of Marks'!HF189,""))</f>
        <v/>
      </c>
      <c r="AU188" s="300" t="str">
        <f>IF(AS188="PASS",'Statement of Marks'!HG189,"")</f>
        <v/>
      </c>
    </row>
    <row r="189" spans="1:47">
      <c r="A189" s="283">
        <f>IF('Statement of Marks'!A190="","",'Statement of Marks'!A190)</f>
        <v>183</v>
      </c>
      <c r="B189" s="283" t="str">
        <f>IF('Statement of Marks'!B190="","",'Statement of Marks'!B190)</f>
        <v/>
      </c>
      <c r="C189" s="283" t="str">
        <f>IF('Statement of Marks'!C190="","",'Statement of Marks'!C190)</f>
        <v/>
      </c>
      <c r="D189" s="284" t="str">
        <f>IF('Statement of Marks'!D190="","",'Statement of Marks'!D190)</f>
        <v/>
      </c>
      <c r="E189" s="285" t="str">
        <f>IF('Statement of Marks'!E190="","",'Statement of Marks'!E190)</f>
        <v/>
      </c>
      <c r="F189" s="285" t="str">
        <f>IF('Statement of Marks'!F190="","",'Statement of Marks'!F190)</f>
        <v/>
      </c>
      <c r="G189" s="285" t="str">
        <f>IF('Statement of Marks'!G190="","",'Statement of Marks'!G190)</f>
        <v/>
      </c>
      <c r="H189" s="286" t="str">
        <f>IF('Statement of Marks'!GY190="","",'Statement of Marks'!GY190)</f>
        <v/>
      </c>
      <c r="I189" s="286" t="str">
        <f>IF('Statement of Marks'!HB190="","",'Statement of Marks'!HB190)</f>
        <v/>
      </c>
      <c r="J189" s="287" t="str">
        <f>IF('Statement of Marks'!HC190="","",'Statement of Marks'!HC190)</f>
        <v/>
      </c>
      <c r="K189" s="295" t="str">
        <f>IF(B189="","",'Statement of Marks'!FJ190)</f>
        <v/>
      </c>
      <c r="L189" s="295" t="str">
        <f>IF(B189="","",'Statement of Marks'!FM190)</f>
        <v/>
      </c>
      <c r="M189" s="295" t="str">
        <f>IF(B189="","",'Statement of Marks'!FP190)</f>
        <v/>
      </c>
      <c r="N189" s="295" t="str">
        <f>IF(B189="","",'Statement of Marks'!FW190)</f>
        <v/>
      </c>
      <c r="O189" s="295" t="str">
        <f>IF(B189="","",'Statement of Marks'!GD190)</f>
        <v/>
      </c>
      <c r="P189" s="295" t="str">
        <f>IF(B189="","",'Statement of Marks'!GK190)</f>
        <v/>
      </c>
      <c r="Q189" s="295" t="str">
        <f>IF(B189="","",'Statement of Marks'!GR190)</f>
        <v/>
      </c>
      <c r="R189" s="295" t="str">
        <f>IF(B189="","",'Statement of Marks'!GS190)</f>
        <v/>
      </c>
      <c r="S189" s="287" t="str">
        <f>IF(COUNTIF(K189:R189,"F")&gt;0,"",CONCATENATE('Statement of Marks'!GU190,'Statement of Marks'!GW190))</f>
        <v xml:space="preserve">           </v>
      </c>
      <c r="T189" s="288">
        <f t="shared" si="36"/>
        <v>0</v>
      </c>
      <c r="U189" s="16"/>
      <c r="V189" s="296" t="str">
        <f t="shared" si="37"/>
        <v/>
      </c>
      <c r="W189" s="296" t="str">
        <f t="shared" si="38"/>
        <v/>
      </c>
      <c r="X189" s="16"/>
      <c r="Y189" s="296" t="str">
        <f t="shared" si="39"/>
        <v/>
      </c>
      <c r="Z189" s="296" t="str">
        <f t="shared" si="40"/>
        <v/>
      </c>
      <c r="AA189" s="16"/>
      <c r="AB189" s="296" t="str">
        <f t="shared" si="41"/>
        <v/>
      </c>
      <c r="AC189" s="297" t="str">
        <f t="shared" si="42"/>
        <v/>
      </c>
      <c r="AD189" s="16"/>
      <c r="AE189" s="296" t="str">
        <f t="shared" si="43"/>
        <v/>
      </c>
      <c r="AF189" s="297" t="str">
        <f t="shared" si="44"/>
        <v/>
      </c>
      <c r="AG189" s="16"/>
      <c r="AH189" s="296" t="str">
        <f t="shared" si="45"/>
        <v/>
      </c>
      <c r="AI189" s="297" t="str">
        <f t="shared" si="46"/>
        <v/>
      </c>
      <c r="AJ189" s="16"/>
      <c r="AK189" s="297" t="str">
        <f t="shared" si="47"/>
        <v/>
      </c>
      <c r="AL189" s="297" t="str">
        <f t="shared" si="48"/>
        <v/>
      </c>
      <c r="AM189" s="16"/>
      <c r="AN189" s="296" t="str">
        <f t="shared" si="49"/>
        <v/>
      </c>
      <c r="AO189" s="16"/>
      <c r="AP189" s="296" t="str">
        <f t="shared" si="50"/>
        <v/>
      </c>
      <c r="AQ189" s="298">
        <f t="shared" si="51"/>
        <v>0</v>
      </c>
      <c r="AR189" s="298">
        <f t="shared" si="52"/>
        <v>0</v>
      </c>
      <c r="AS189" s="299" t="str">
        <f t="shared" si="53"/>
        <v/>
      </c>
      <c r="AT189" s="300" t="str">
        <f>IF(COUNTIF(K189:R189,"F")&gt;0,"",IF(AS189="PASS",'Statement of Marks'!HF190,""))</f>
        <v/>
      </c>
      <c r="AU189" s="300" t="str">
        <f>IF(AS189="PASS",'Statement of Marks'!HG190,"")</f>
        <v/>
      </c>
    </row>
    <row r="190" spans="1:47">
      <c r="A190" s="283">
        <f>IF('Statement of Marks'!A191="","",'Statement of Marks'!A191)</f>
        <v>184</v>
      </c>
      <c r="B190" s="283" t="str">
        <f>IF('Statement of Marks'!B191="","",'Statement of Marks'!B191)</f>
        <v/>
      </c>
      <c r="C190" s="283" t="str">
        <f>IF('Statement of Marks'!C191="","",'Statement of Marks'!C191)</f>
        <v/>
      </c>
      <c r="D190" s="284" t="str">
        <f>IF('Statement of Marks'!D191="","",'Statement of Marks'!D191)</f>
        <v/>
      </c>
      <c r="E190" s="285" t="str">
        <f>IF('Statement of Marks'!E191="","",'Statement of Marks'!E191)</f>
        <v/>
      </c>
      <c r="F190" s="285" t="str">
        <f>IF('Statement of Marks'!F191="","",'Statement of Marks'!F191)</f>
        <v/>
      </c>
      <c r="G190" s="285" t="str">
        <f>IF('Statement of Marks'!G191="","",'Statement of Marks'!G191)</f>
        <v/>
      </c>
      <c r="H190" s="286" t="str">
        <f>IF('Statement of Marks'!GY191="","",'Statement of Marks'!GY191)</f>
        <v/>
      </c>
      <c r="I190" s="286" t="str">
        <f>IF('Statement of Marks'!HB191="","",'Statement of Marks'!HB191)</f>
        <v/>
      </c>
      <c r="J190" s="287" t="str">
        <f>IF('Statement of Marks'!HC191="","",'Statement of Marks'!HC191)</f>
        <v/>
      </c>
      <c r="K190" s="295" t="str">
        <f>IF(B190="","",'Statement of Marks'!FJ191)</f>
        <v/>
      </c>
      <c r="L190" s="295" t="str">
        <f>IF(B190="","",'Statement of Marks'!FM191)</f>
        <v/>
      </c>
      <c r="M190" s="295" t="str">
        <f>IF(B190="","",'Statement of Marks'!FP191)</f>
        <v/>
      </c>
      <c r="N190" s="295" t="str">
        <f>IF(B190="","",'Statement of Marks'!FW191)</f>
        <v/>
      </c>
      <c r="O190" s="295" t="str">
        <f>IF(B190="","",'Statement of Marks'!GD191)</f>
        <v/>
      </c>
      <c r="P190" s="295" t="str">
        <f>IF(B190="","",'Statement of Marks'!GK191)</f>
        <v/>
      </c>
      <c r="Q190" s="295" t="str">
        <f>IF(B190="","",'Statement of Marks'!GR191)</f>
        <v/>
      </c>
      <c r="R190" s="295" t="str">
        <f>IF(B190="","",'Statement of Marks'!GS191)</f>
        <v/>
      </c>
      <c r="S190" s="287" t="str">
        <f>IF(COUNTIF(K190:R190,"F")&gt;0,"",CONCATENATE('Statement of Marks'!GU191,'Statement of Marks'!GW191))</f>
        <v xml:space="preserve">           </v>
      </c>
      <c r="T190" s="288">
        <f t="shared" si="36"/>
        <v>0</v>
      </c>
      <c r="U190" s="16"/>
      <c r="V190" s="296" t="str">
        <f t="shared" si="37"/>
        <v/>
      </c>
      <c r="W190" s="296" t="str">
        <f t="shared" si="38"/>
        <v/>
      </c>
      <c r="X190" s="16"/>
      <c r="Y190" s="296" t="str">
        <f t="shared" si="39"/>
        <v/>
      </c>
      <c r="Z190" s="296" t="str">
        <f t="shared" si="40"/>
        <v/>
      </c>
      <c r="AA190" s="16"/>
      <c r="AB190" s="296" t="str">
        <f t="shared" si="41"/>
        <v/>
      </c>
      <c r="AC190" s="297" t="str">
        <f t="shared" si="42"/>
        <v/>
      </c>
      <c r="AD190" s="16"/>
      <c r="AE190" s="296" t="str">
        <f t="shared" si="43"/>
        <v/>
      </c>
      <c r="AF190" s="297" t="str">
        <f t="shared" si="44"/>
        <v/>
      </c>
      <c r="AG190" s="16"/>
      <c r="AH190" s="296" t="str">
        <f t="shared" si="45"/>
        <v/>
      </c>
      <c r="AI190" s="297" t="str">
        <f t="shared" si="46"/>
        <v/>
      </c>
      <c r="AJ190" s="16"/>
      <c r="AK190" s="297" t="str">
        <f t="shared" si="47"/>
        <v/>
      </c>
      <c r="AL190" s="297" t="str">
        <f t="shared" si="48"/>
        <v/>
      </c>
      <c r="AM190" s="16"/>
      <c r="AN190" s="296" t="str">
        <f t="shared" si="49"/>
        <v/>
      </c>
      <c r="AO190" s="16"/>
      <c r="AP190" s="296" t="str">
        <f t="shared" si="50"/>
        <v/>
      </c>
      <c r="AQ190" s="298">
        <f t="shared" si="51"/>
        <v>0</v>
      </c>
      <c r="AR190" s="298">
        <f t="shared" si="52"/>
        <v>0</v>
      </c>
      <c r="AS190" s="299" t="str">
        <f t="shared" si="53"/>
        <v/>
      </c>
      <c r="AT190" s="300" t="str">
        <f>IF(COUNTIF(K190:R190,"F")&gt;0,"",IF(AS190="PASS",'Statement of Marks'!HF191,""))</f>
        <v/>
      </c>
      <c r="AU190" s="300" t="str">
        <f>IF(AS190="PASS",'Statement of Marks'!HG191,"")</f>
        <v/>
      </c>
    </row>
    <row r="191" spans="1:47">
      <c r="A191" s="283">
        <f>IF('Statement of Marks'!A192="","",'Statement of Marks'!A192)</f>
        <v>185</v>
      </c>
      <c r="B191" s="283" t="str">
        <f>IF('Statement of Marks'!B192="","",'Statement of Marks'!B192)</f>
        <v/>
      </c>
      <c r="C191" s="283" t="str">
        <f>IF('Statement of Marks'!C192="","",'Statement of Marks'!C192)</f>
        <v/>
      </c>
      <c r="D191" s="284" t="str">
        <f>IF('Statement of Marks'!D192="","",'Statement of Marks'!D192)</f>
        <v/>
      </c>
      <c r="E191" s="285" t="str">
        <f>IF('Statement of Marks'!E192="","",'Statement of Marks'!E192)</f>
        <v/>
      </c>
      <c r="F191" s="285" t="str">
        <f>IF('Statement of Marks'!F192="","",'Statement of Marks'!F192)</f>
        <v/>
      </c>
      <c r="G191" s="285" t="str">
        <f>IF('Statement of Marks'!G192="","",'Statement of Marks'!G192)</f>
        <v/>
      </c>
      <c r="H191" s="286" t="str">
        <f>IF('Statement of Marks'!GY192="","",'Statement of Marks'!GY192)</f>
        <v/>
      </c>
      <c r="I191" s="286" t="str">
        <f>IF('Statement of Marks'!HB192="","",'Statement of Marks'!HB192)</f>
        <v/>
      </c>
      <c r="J191" s="287" t="str">
        <f>IF('Statement of Marks'!HC192="","",'Statement of Marks'!HC192)</f>
        <v/>
      </c>
      <c r="K191" s="295" t="str">
        <f>IF(B191="","",'Statement of Marks'!FJ192)</f>
        <v/>
      </c>
      <c r="L191" s="295" t="str">
        <f>IF(B191="","",'Statement of Marks'!FM192)</f>
        <v/>
      </c>
      <c r="M191" s="295" t="str">
        <f>IF(B191="","",'Statement of Marks'!FP192)</f>
        <v/>
      </c>
      <c r="N191" s="295" t="str">
        <f>IF(B191="","",'Statement of Marks'!FW192)</f>
        <v/>
      </c>
      <c r="O191" s="295" t="str">
        <f>IF(B191="","",'Statement of Marks'!GD192)</f>
        <v/>
      </c>
      <c r="P191" s="295" t="str">
        <f>IF(B191="","",'Statement of Marks'!GK192)</f>
        <v/>
      </c>
      <c r="Q191" s="295" t="str">
        <f>IF(B191="","",'Statement of Marks'!GR192)</f>
        <v/>
      </c>
      <c r="R191" s="295" t="str">
        <f>IF(B191="","",'Statement of Marks'!GS192)</f>
        <v/>
      </c>
      <c r="S191" s="287" t="str">
        <f>IF(COUNTIF(K191:R191,"F")&gt;0,"",CONCATENATE('Statement of Marks'!GU192,'Statement of Marks'!GW192))</f>
        <v xml:space="preserve">           </v>
      </c>
      <c r="T191" s="288">
        <f t="shared" si="36"/>
        <v>0</v>
      </c>
      <c r="U191" s="16"/>
      <c r="V191" s="296" t="str">
        <f t="shared" si="37"/>
        <v/>
      </c>
      <c r="W191" s="296" t="str">
        <f t="shared" si="38"/>
        <v/>
      </c>
      <c r="X191" s="16"/>
      <c r="Y191" s="296" t="str">
        <f t="shared" si="39"/>
        <v/>
      </c>
      <c r="Z191" s="296" t="str">
        <f t="shared" si="40"/>
        <v/>
      </c>
      <c r="AA191" s="16"/>
      <c r="AB191" s="296" t="str">
        <f t="shared" si="41"/>
        <v/>
      </c>
      <c r="AC191" s="297" t="str">
        <f t="shared" si="42"/>
        <v/>
      </c>
      <c r="AD191" s="16"/>
      <c r="AE191" s="296" t="str">
        <f t="shared" si="43"/>
        <v/>
      </c>
      <c r="AF191" s="297" t="str">
        <f t="shared" si="44"/>
        <v/>
      </c>
      <c r="AG191" s="16"/>
      <c r="AH191" s="296" t="str">
        <f t="shared" si="45"/>
        <v/>
      </c>
      <c r="AI191" s="297" t="str">
        <f t="shared" si="46"/>
        <v/>
      </c>
      <c r="AJ191" s="16"/>
      <c r="AK191" s="297" t="str">
        <f t="shared" si="47"/>
        <v/>
      </c>
      <c r="AL191" s="297" t="str">
        <f t="shared" si="48"/>
        <v/>
      </c>
      <c r="AM191" s="16"/>
      <c r="AN191" s="296" t="str">
        <f t="shared" si="49"/>
        <v/>
      </c>
      <c r="AO191" s="16"/>
      <c r="AP191" s="296" t="str">
        <f t="shared" si="50"/>
        <v/>
      </c>
      <c r="AQ191" s="298">
        <f t="shared" si="51"/>
        <v>0</v>
      </c>
      <c r="AR191" s="298">
        <f t="shared" si="52"/>
        <v>0</v>
      </c>
      <c r="AS191" s="299" t="str">
        <f t="shared" si="53"/>
        <v/>
      </c>
      <c r="AT191" s="300" t="str">
        <f>IF(COUNTIF(K191:R191,"F")&gt;0,"",IF(AS191="PASS",'Statement of Marks'!HF192,""))</f>
        <v/>
      </c>
      <c r="AU191" s="300" t="str">
        <f>IF(AS191="PASS",'Statement of Marks'!HG192,"")</f>
        <v/>
      </c>
    </row>
    <row r="192" spans="1:47">
      <c r="A192" s="283">
        <f>IF('Statement of Marks'!A193="","",'Statement of Marks'!A193)</f>
        <v>186</v>
      </c>
      <c r="B192" s="283" t="str">
        <f>IF('Statement of Marks'!B193="","",'Statement of Marks'!B193)</f>
        <v/>
      </c>
      <c r="C192" s="283" t="str">
        <f>IF('Statement of Marks'!C193="","",'Statement of Marks'!C193)</f>
        <v/>
      </c>
      <c r="D192" s="284" t="str">
        <f>IF('Statement of Marks'!D193="","",'Statement of Marks'!D193)</f>
        <v/>
      </c>
      <c r="E192" s="285" t="str">
        <f>IF('Statement of Marks'!E193="","",'Statement of Marks'!E193)</f>
        <v/>
      </c>
      <c r="F192" s="285" t="str">
        <f>IF('Statement of Marks'!F193="","",'Statement of Marks'!F193)</f>
        <v/>
      </c>
      <c r="G192" s="285" t="str">
        <f>IF('Statement of Marks'!G193="","",'Statement of Marks'!G193)</f>
        <v/>
      </c>
      <c r="H192" s="286" t="str">
        <f>IF('Statement of Marks'!GY193="","",'Statement of Marks'!GY193)</f>
        <v/>
      </c>
      <c r="I192" s="286" t="str">
        <f>IF('Statement of Marks'!HB193="","",'Statement of Marks'!HB193)</f>
        <v/>
      </c>
      <c r="J192" s="287" t="str">
        <f>IF('Statement of Marks'!HC193="","",'Statement of Marks'!HC193)</f>
        <v/>
      </c>
      <c r="K192" s="295" t="str">
        <f>IF(B192="","",'Statement of Marks'!FJ193)</f>
        <v/>
      </c>
      <c r="L192" s="295" t="str">
        <f>IF(B192="","",'Statement of Marks'!FM193)</f>
        <v/>
      </c>
      <c r="M192" s="295" t="str">
        <f>IF(B192="","",'Statement of Marks'!FP193)</f>
        <v/>
      </c>
      <c r="N192" s="295" t="str">
        <f>IF(B192="","",'Statement of Marks'!FW193)</f>
        <v/>
      </c>
      <c r="O192" s="295" t="str">
        <f>IF(B192="","",'Statement of Marks'!GD193)</f>
        <v/>
      </c>
      <c r="P192" s="295" t="str">
        <f>IF(B192="","",'Statement of Marks'!GK193)</f>
        <v/>
      </c>
      <c r="Q192" s="295" t="str">
        <f>IF(B192="","",'Statement of Marks'!GR193)</f>
        <v/>
      </c>
      <c r="R192" s="295" t="str">
        <f>IF(B192="","",'Statement of Marks'!GS193)</f>
        <v/>
      </c>
      <c r="S192" s="287" t="str">
        <f>IF(COUNTIF(K192:R192,"F")&gt;0,"",CONCATENATE('Statement of Marks'!GU193,'Statement of Marks'!GW193))</f>
        <v xml:space="preserve">           </v>
      </c>
      <c r="T192" s="288">
        <f t="shared" si="36"/>
        <v>0</v>
      </c>
      <c r="U192" s="16"/>
      <c r="V192" s="296" t="str">
        <f t="shared" si="37"/>
        <v/>
      </c>
      <c r="W192" s="296" t="str">
        <f t="shared" si="38"/>
        <v/>
      </c>
      <c r="X192" s="16"/>
      <c r="Y192" s="296" t="str">
        <f t="shared" si="39"/>
        <v/>
      </c>
      <c r="Z192" s="296" t="str">
        <f t="shared" si="40"/>
        <v/>
      </c>
      <c r="AA192" s="16"/>
      <c r="AB192" s="296" t="str">
        <f t="shared" si="41"/>
        <v/>
      </c>
      <c r="AC192" s="297" t="str">
        <f t="shared" si="42"/>
        <v/>
      </c>
      <c r="AD192" s="16"/>
      <c r="AE192" s="296" t="str">
        <f t="shared" si="43"/>
        <v/>
      </c>
      <c r="AF192" s="297" t="str">
        <f t="shared" si="44"/>
        <v/>
      </c>
      <c r="AG192" s="16"/>
      <c r="AH192" s="296" t="str">
        <f t="shared" si="45"/>
        <v/>
      </c>
      <c r="AI192" s="297" t="str">
        <f t="shared" si="46"/>
        <v/>
      </c>
      <c r="AJ192" s="16"/>
      <c r="AK192" s="297" t="str">
        <f t="shared" si="47"/>
        <v/>
      </c>
      <c r="AL192" s="297" t="str">
        <f t="shared" si="48"/>
        <v/>
      </c>
      <c r="AM192" s="16"/>
      <c r="AN192" s="296" t="str">
        <f t="shared" si="49"/>
        <v/>
      </c>
      <c r="AO192" s="16"/>
      <c r="AP192" s="296" t="str">
        <f t="shared" si="50"/>
        <v/>
      </c>
      <c r="AQ192" s="298">
        <f t="shared" si="51"/>
        <v>0</v>
      </c>
      <c r="AR192" s="298">
        <f t="shared" si="52"/>
        <v>0</v>
      </c>
      <c r="AS192" s="299" t="str">
        <f t="shared" si="53"/>
        <v/>
      </c>
      <c r="AT192" s="300" t="str">
        <f>IF(COUNTIF(K192:R192,"F")&gt;0,"",IF(AS192="PASS",'Statement of Marks'!HF193,""))</f>
        <v/>
      </c>
      <c r="AU192" s="300" t="str">
        <f>IF(AS192="PASS",'Statement of Marks'!HG193,"")</f>
        <v/>
      </c>
    </row>
    <row r="193" spans="1:47">
      <c r="A193" s="283">
        <f>IF('Statement of Marks'!A194="","",'Statement of Marks'!A194)</f>
        <v>187</v>
      </c>
      <c r="B193" s="283" t="str">
        <f>IF('Statement of Marks'!B194="","",'Statement of Marks'!B194)</f>
        <v/>
      </c>
      <c r="C193" s="283" t="str">
        <f>IF('Statement of Marks'!C194="","",'Statement of Marks'!C194)</f>
        <v/>
      </c>
      <c r="D193" s="284" t="str">
        <f>IF('Statement of Marks'!D194="","",'Statement of Marks'!D194)</f>
        <v/>
      </c>
      <c r="E193" s="285" t="str">
        <f>IF('Statement of Marks'!E194="","",'Statement of Marks'!E194)</f>
        <v/>
      </c>
      <c r="F193" s="285" t="str">
        <f>IF('Statement of Marks'!F194="","",'Statement of Marks'!F194)</f>
        <v/>
      </c>
      <c r="G193" s="285" t="str">
        <f>IF('Statement of Marks'!G194="","",'Statement of Marks'!G194)</f>
        <v/>
      </c>
      <c r="H193" s="286" t="str">
        <f>IF('Statement of Marks'!GY194="","",'Statement of Marks'!GY194)</f>
        <v/>
      </c>
      <c r="I193" s="286" t="str">
        <f>IF('Statement of Marks'!HB194="","",'Statement of Marks'!HB194)</f>
        <v/>
      </c>
      <c r="J193" s="287" t="str">
        <f>IF('Statement of Marks'!HC194="","",'Statement of Marks'!HC194)</f>
        <v/>
      </c>
      <c r="K193" s="295" t="str">
        <f>IF(B193="","",'Statement of Marks'!FJ194)</f>
        <v/>
      </c>
      <c r="L193" s="295" t="str">
        <f>IF(B193="","",'Statement of Marks'!FM194)</f>
        <v/>
      </c>
      <c r="M193" s="295" t="str">
        <f>IF(B193="","",'Statement of Marks'!FP194)</f>
        <v/>
      </c>
      <c r="N193" s="295" t="str">
        <f>IF(B193="","",'Statement of Marks'!FW194)</f>
        <v/>
      </c>
      <c r="O193" s="295" t="str">
        <f>IF(B193="","",'Statement of Marks'!GD194)</f>
        <v/>
      </c>
      <c r="P193" s="295" t="str">
        <f>IF(B193="","",'Statement of Marks'!GK194)</f>
        <v/>
      </c>
      <c r="Q193" s="295" t="str">
        <f>IF(B193="","",'Statement of Marks'!GR194)</f>
        <v/>
      </c>
      <c r="R193" s="295" t="str">
        <f>IF(B193="","",'Statement of Marks'!GS194)</f>
        <v/>
      </c>
      <c r="S193" s="287" t="str">
        <f>IF(COUNTIF(K193:R193,"F")&gt;0,"",CONCATENATE('Statement of Marks'!GU194,'Statement of Marks'!GW194))</f>
        <v xml:space="preserve">           </v>
      </c>
      <c r="T193" s="288">
        <f t="shared" si="36"/>
        <v>0</v>
      </c>
      <c r="U193" s="16"/>
      <c r="V193" s="296" t="str">
        <f t="shared" si="37"/>
        <v/>
      </c>
      <c r="W193" s="296" t="str">
        <f t="shared" si="38"/>
        <v/>
      </c>
      <c r="X193" s="16"/>
      <c r="Y193" s="296" t="str">
        <f t="shared" si="39"/>
        <v/>
      </c>
      <c r="Z193" s="296" t="str">
        <f t="shared" si="40"/>
        <v/>
      </c>
      <c r="AA193" s="16"/>
      <c r="AB193" s="296" t="str">
        <f t="shared" si="41"/>
        <v/>
      </c>
      <c r="AC193" s="297" t="str">
        <f t="shared" si="42"/>
        <v/>
      </c>
      <c r="AD193" s="16"/>
      <c r="AE193" s="296" t="str">
        <f t="shared" si="43"/>
        <v/>
      </c>
      <c r="AF193" s="297" t="str">
        <f t="shared" si="44"/>
        <v/>
      </c>
      <c r="AG193" s="16"/>
      <c r="AH193" s="296" t="str">
        <f t="shared" si="45"/>
        <v/>
      </c>
      <c r="AI193" s="297" t="str">
        <f t="shared" si="46"/>
        <v/>
      </c>
      <c r="AJ193" s="16"/>
      <c r="AK193" s="297" t="str">
        <f t="shared" si="47"/>
        <v/>
      </c>
      <c r="AL193" s="297" t="str">
        <f t="shared" si="48"/>
        <v/>
      </c>
      <c r="AM193" s="16"/>
      <c r="AN193" s="296" t="str">
        <f t="shared" si="49"/>
        <v/>
      </c>
      <c r="AO193" s="16"/>
      <c r="AP193" s="296" t="str">
        <f t="shared" si="50"/>
        <v/>
      </c>
      <c r="AQ193" s="298">
        <f t="shared" si="51"/>
        <v>0</v>
      </c>
      <c r="AR193" s="298">
        <f t="shared" si="52"/>
        <v>0</v>
      </c>
      <c r="AS193" s="299" t="str">
        <f t="shared" si="53"/>
        <v/>
      </c>
      <c r="AT193" s="300" t="str">
        <f>IF(COUNTIF(K193:R193,"F")&gt;0,"",IF(AS193="PASS",'Statement of Marks'!HF194,""))</f>
        <v/>
      </c>
      <c r="AU193" s="300" t="str">
        <f>IF(AS193="PASS",'Statement of Marks'!HG194,"")</f>
        <v/>
      </c>
    </row>
    <row r="194" spans="1:47">
      <c r="A194" s="283">
        <f>IF('Statement of Marks'!A195="","",'Statement of Marks'!A195)</f>
        <v>188</v>
      </c>
      <c r="B194" s="283" t="str">
        <f>IF('Statement of Marks'!B195="","",'Statement of Marks'!B195)</f>
        <v/>
      </c>
      <c r="C194" s="283" t="str">
        <f>IF('Statement of Marks'!C195="","",'Statement of Marks'!C195)</f>
        <v/>
      </c>
      <c r="D194" s="284" t="str">
        <f>IF('Statement of Marks'!D195="","",'Statement of Marks'!D195)</f>
        <v/>
      </c>
      <c r="E194" s="285" t="str">
        <f>IF('Statement of Marks'!E195="","",'Statement of Marks'!E195)</f>
        <v/>
      </c>
      <c r="F194" s="285" t="str">
        <f>IF('Statement of Marks'!F195="","",'Statement of Marks'!F195)</f>
        <v/>
      </c>
      <c r="G194" s="285" t="str">
        <f>IF('Statement of Marks'!G195="","",'Statement of Marks'!G195)</f>
        <v/>
      </c>
      <c r="H194" s="286" t="str">
        <f>IF('Statement of Marks'!GY195="","",'Statement of Marks'!GY195)</f>
        <v/>
      </c>
      <c r="I194" s="286" t="str">
        <f>IF('Statement of Marks'!HB195="","",'Statement of Marks'!HB195)</f>
        <v/>
      </c>
      <c r="J194" s="287" t="str">
        <f>IF('Statement of Marks'!HC195="","",'Statement of Marks'!HC195)</f>
        <v/>
      </c>
      <c r="K194" s="295" t="str">
        <f>IF(B194="","",'Statement of Marks'!FJ195)</f>
        <v/>
      </c>
      <c r="L194" s="295" t="str">
        <f>IF(B194="","",'Statement of Marks'!FM195)</f>
        <v/>
      </c>
      <c r="M194" s="295" t="str">
        <f>IF(B194="","",'Statement of Marks'!FP195)</f>
        <v/>
      </c>
      <c r="N194" s="295" t="str">
        <f>IF(B194="","",'Statement of Marks'!FW195)</f>
        <v/>
      </c>
      <c r="O194" s="295" t="str">
        <f>IF(B194="","",'Statement of Marks'!GD195)</f>
        <v/>
      </c>
      <c r="P194" s="295" t="str">
        <f>IF(B194="","",'Statement of Marks'!GK195)</f>
        <v/>
      </c>
      <c r="Q194" s="295" t="str">
        <f>IF(B194="","",'Statement of Marks'!GR195)</f>
        <v/>
      </c>
      <c r="R194" s="295" t="str">
        <f>IF(B194="","",'Statement of Marks'!GS195)</f>
        <v/>
      </c>
      <c r="S194" s="287" t="str">
        <f>IF(COUNTIF(K194:R194,"F")&gt;0,"",CONCATENATE('Statement of Marks'!GU195,'Statement of Marks'!GW195))</f>
        <v xml:space="preserve">           </v>
      </c>
      <c r="T194" s="288">
        <f t="shared" si="36"/>
        <v>0</v>
      </c>
      <c r="U194" s="16"/>
      <c r="V194" s="296" t="str">
        <f t="shared" si="37"/>
        <v/>
      </c>
      <c r="W194" s="296" t="str">
        <f t="shared" si="38"/>
        <v/>
      </c>
      <c r="X194" s="16"/>
      <c r="Y194" s="296" t="str">
        <f t="shared" si="39"/>
        <v/>
      </c>
      <c r="Z194" s="296" t="str">
        <f t="shared" si="40"/>
        <v/>
      </c>
      <c r="AA194" s="16"/>
      <c r="AB194" s="296" t="str">
        <f t="shared" si="41"/>
        <v/>
      </c>
      <c r="AC194" s="297" t="str">
        <f t="shared" si="42"/>
        <v/>
      </c>
      <c r="AD194" s="16"/>
      <c r="AE194" s="296" t="str">
        <f t="shared" si="43"/>
        <v/>
      </c>
      <c r="AF194" s="297" t="str">
        <f t="shared" si="44"/>
        <v/>
      </c>
      <c r="AG194" s="16"/>
      <c r="AH194" s="296" t="str">
        <f t="shared" si="45"/>
        <v/>
      </c>
      <c r="AI194" s="297" t="str">
        <f t="shared" si="46"/>
        <v/>
      </c>
      <c r="AJ194" s="16"/>
      <c r="AK194" s="297" t="str">
        <f t="shared" si="47"/>
        <v/>
      </c>
      <c r="AL194" s="297" t="str">
        <f t="shared" si="48"/>
        <v/>
      </c>
      <c r="AM194" s="16"/>
      <c r="AN194" s="296" t="str">
        <f t="shared" si="49"/>
        <v/>
      </c>
      <c r="AO194" s="16"/>
      <c r="AP194" s="296" t="str">
        <f t="shared" si="50"/>
        <v/>
      </c>
      <c r="AQ194" s="298">
        <f t="shared" si="51"/>
        <v>0</v>
      </c>
      <c r="AR194" s="298">
        <f t="shared" si="52"/>
        <v>0</v>
      </c>
      <c r="AS194" s="299" t="str">
        <f t="shared" si="53"/>
        <v/>
      </c>
      <c r="AT194" s="300" t="str">
        <f>IF(COUNTIF(K194:R194,"F")&gt;0,"",IF(AS194="PASS",'Statement of Marks'!HF195,""))</f>
        <v/>
      </c>
      <c r="AU194" s="300" t="str">
        <f>IF(AS194="PASS",'Statement of Marks'!HG195,"")</f>
        <v/>
      </c>
    </row>
    <row r="195" spans="1:47">
      <c r="A195" s="283">
        <f>IF('Statement of Marks'!A196="","",'Statement of Marks'!A196)</f>
        <v>189</v>
      </c>
      <c r="B195" s="283" t="str">
        <f>IF('Statement of Marks'!B196="","",'Statement of Marks'!B196)</f>
        <v/>
      </c>
      <c r="C195" s="283" t="str">
        <f>IF('Statement of Marks'!C196="","",'Statement of Marks'!C196)</f>
        <v/>
      </c>
      <c r="D195" s="284" t="str">
        <f>IF('Statement of Marks'!D196="","",'Statement of Marks'!D196)</f>
        <v/>
      </c>
      <c r="E195" s="285" t="str">
        <f>IF('Statement of Marks'!E196="","",'Statement of Marks'!E196)</f>
        <v/>
      </c>
      <c r="F195" s="285" t="str">
        <f>IF('Statement of Marks'!F196="","",'Statement of Marks'!F196)</f>
        <v/>
      </c>
      <c r="G195" s="285" t="str">
        <f>IF('Statement of Marks'!G196="","",'Statement of Marks'!G196)</f>
        <v/>
      </c>
      <c r="H195" s="286" t="str">
        <f>IF('Statement of Marks'!GY196="","",'Statement of Marks'!GY196)</f>
        <v/>
      </c>
      <c r="I195" s="286" t="str">
        <f>IF('Statement of Marks'!HB196="","",'Statement of Marks'!HB196)</f>
        <v/>
      </c>
      <c r="J195" s="287" t="str">
        <f>IF('Statement of Marks'!HC196="","",'Statement of Marks'!HC196)</f>
        <v/>
      </c>
      <c r="K195" s="295" t="str">
        <f>IF(B195="","",'Statement of Marks'!FJ196)</f>
        <v/>
      </c>
      <c r="L195" s="295" t="str">
        <f>IF(B195="","",'Statement of Marks'!FM196)</f>
        <v/>
      </c>
      <c r="M195" s="295" t="str">
        <f>IF(B195="","",'Statement of Marks'!FP196)</f>
        <v/>
      </c>
      <c r="N195" s="295" t="str">
        <f>IF(B195="","",'Statement of Marks'!FW196)</f>
        <v/>
      </c>
      <c r="O195" s="295" t="str">
        <f>IF(B195="","",'Statement of Marks'!GD196)</f>
        <v/>
      </c>
      <c r="P195" s="295" t="str">
        <f>IF(B195="","",'Statement of Marks'!GK196)</f>
        <v/>
      </c>
      <c r="Q195" s="295" t="str">
        <f>IF(B195="","",'Statement of Marks'!GR196)</f>
        <v/>
      </c>
      <c r="R195" s="295" t="str">
        <f>IF(B195="","",'Statement of Marks'!GS196)</f>
        <v/>
      </c>
      <c r="S195" s="287" t="str">
        <f>IF(COUNTIF(K195:R195,"F")&gt;0,"",CONCATENATE('Statement of Marks'!GU196,'Statement of Marks'!GW196))</f>
        <v xml:space="preserve">           </v>
      </c>
      <c r="T195" s="288">
        <f t="shared" si="36"/>
        <v>0</v>
      </c>
      <c r="U195" s="16"/>
      <c r="V195" s="296" t="str">
        <f t="shared" si="37"/>
        <v/>
      </c>
      <c r="W195" s="296" t="str">
        <f t="shared" si="38"/>
        <v/>
      </c>
      <c r="X195" s="16"/>
      <c r="Y195" s="296" t="str">
        <f t="shared" si="39"/>
        <v/>
      </c>
      <c r="Z195" s="296" t="str">
        <f t="shared" si="40"/>
        <v/>
      </c>
      <c r="AA195" s="16"/>
      <c r="AB195" s="296" t="str">
        <f t="shared" si="41"/>
        <v/>
      </c>
      <c r="AC195" s="297" t="str">
        <f t="shared" si="42"/>
        <v/>
      </c>
      <c r="AD195" s="16"/>
      <c r="AE195" s="296" t="str">
        <f t="shared" si="43"/>
        <v/>
      </c>
      <c r="AF195" s="297" t="str">
        <f t="shared" si="44"/>
        <v/>
      </c>
      <c r="AG195" s="16"/>
      <c r="AH195" s="296" t="str">
        <f t="shared" si="45"/>
        <v/>
      </c>
      <c r="AI195" s="297" t="str">
        <f t="shared" si="46"/>
        <v/>
      </c>
      <c r="AJ195" s="16"/>
      <c r="AK195" s="297" t="str">
        <f t="shared" si="47"/>
        <v/>
      </c>
      <c r="AL195" s="297" t="str">
        <f t="shared" si="48"/>
        <v/>
      </c>
      <c r="AM195" s="16"/>
      <c r="AN195" s="296" t="str">
        <f t="shared" si="49"/>
        <v/>
      </c>
      <c r="AO195" s="16"/>
      <c r="AP195" s="296" t="str">
        <f t="shared" si="50"/>
        <v/>
      </c>
      <c r="AQ195" s="298">
        <f t="shared" si="51"/>
        <v>0</v>
      </c>
      <c r="AR195" s="298">
        <f t="shared" si="52"/>
        <v>0</v>
      </c>
      <c r="AS195" s="299" t="str">
        <f t="shared" si="53"/>
        <v/>
      </c>
      <c r="AT195" s="300" t="str">
        <f>IF(COUNTIF(K195:R195,"F")&gt;0,"",IF(AS195="PASS",'Statement of Marks'!HF196,""))</f>
        <v/>
      </c>
      <c r="AU195" s="300" t="str">
        <f>IF(AS195="PASS",'Statement of Marks'!HG196,"")</f>
        <v/>
      </c>
    </row>
    <row r="196" spans="1:47">
      <c r="A196" s="283">
        <f>IF('Statement of Marks'!A197="","",'Statement of Marks'!A197)</f>
        <v>190</v>
      </c>
      <c r="B196" s="283" t="str">
        <f>IF('Statement of Marks'!B197="","",'Statement of Marks'!B197)</f>
        <v/>
      </c>
      <c r="C196" s="283" t="str">
        <f>IF('Statement of Marks'!C197="","",'Statement of Marks'!C197)</f>
        <v/>
      </c>
      <c r="D196" s="284" t="str">
        <f>IF('Statement of Marks'!D197="","",'Statement of Marks'!D197)</f>
        <v/>
      </c>
      <c r="E196" s="285" t="str">
        <f>IF('Statement of Marks'!E197="","",'Statement of Marks'!E197)</f>
        <v/>
      </c>
      <c r="F196" s="285" t="str">
        <f>IF('Statement of Marks'!F197="","",'Statement of Marks'!F197)</f>
        <v/>
      </c>
      <c r="G196" s="285" t="str">
        <f>IF('Statement of Marks'!G197="","",'Statement of Marks'!G197)</f>
        <v/>
      </c>
      <c r="H196" s="286" t="str">
        <f>IF('Statement of Marks'!GY197="","",'Statement of Marks'!GY197)</f>
        <v/>
      </c>
      <c r="I196" s="286" t="str">
        <f>IF('Statement of Marks'!HB197="","",'Statement of Marks'!HB197)</f>
        <v/>
      </c>
      <c r="J196" s="287" t="str">
        <f>IF('Statement of Marks'!HC197="","",'Statement of Marks'!HC197)</f>
        <v/>
      </c>
      <c r="K196" s="295" t="str">
        <f>IF(B196="","",'Statement of Marks'!FJ197)</f>
        <v/>
      </c>
      <c r="L196" s="295" t="str">
        <f>IF(B196="","",'Statement of Marks'!FM197)</f>
        <v/>
      </c>
      <c r="M196" s="295" t="str">
        <f>IF(B196="","",'Statement of Marks'!FP197)</f>
        <v/>
      </c>
      <c r="N196" s="295" t="str">
        <f>IF(B196="","",'Statement of Marks'!FW197)</f>
        <v/>
      </c>
      <c r="O196" s="295" t="str">
        <f>IF(B196="","",'Statement of Marks'!GD197)</f>
        <v/>
      </c>
      <c r="P196" s="295" t="str">
        <f>IF(B196="","",'Statement of Marks'!GK197)</f>
        <v/>
      </c>
      <c r="Q196" s="295" t="str">
        <f>IF(B196="","",'Statement of Marks'!GR197)</f>
        <v/>
      </c>
      <c r="R196" s="295" t="str">
        <f>IF(B196="","",'Statement of Marks'!GS197)</f>
        <v/>
      </c>
      <c r="S196" s="287" t="str">
        <f>IF(COUNTIF(K196:R196,"F")&gt;0,"",CONCATENATE('Statement of Marks'!GU197,'Statement of Marks'!GW197))</f>
        <v xml:space="preserve">           </v>
      </c>
      <c r="T196" s="288">
        <f t="shared" si="36"/>
        <v>0</v>
      </c>
      <c r="U196" s="16"/>
      <c r="V196" s="296" t="str">
        <f t="shared" si="37"/>
        <v/>
      </c>
      <c r="W196" s="296" t="str">
        <f t="shared" si="38"/>
        <v/>
      </c>
      <c r="X196" s="16"/>
      <c r="Y196" s="296" t="str">
        <f t="shared" si="39"/>
        <v/>
      </c>
      <c r="Z196" s="296" t="str">
        <f t="shared" si="40"/>
        <v/>
      </c>
      <c r="AA196" s="16"/>
      <c r="AB196" s="296" t="str">
        <f t="shared" si="41"/>
        <v/>
      </c>
      <c r="AC196" s="297" t="str">
        <f t="shared" si="42"/>
        <v/>
      </c>
      <c r="AD196" s="16"/>
      <c r="AE196" s="296" t="str">
        <f t="shared" si="43"/>
        <v/>
      </c>
      <c r="AF196" s="297" t="str">
        <f t="shared" si="44"/>
        <v/>
      </c>
      <c r="AG196" s="16"/>
      <c r="AH196" s="296" t="str">
        <f t="shared" si="45"/>
        <v/>
      </c>
      <c r="AI196" s="297" t="str">
        <f t="shared" si="46"/>
        <v/>
      </c>
      <c r="AJ196" s="16"/>
      <c r="AK196" s="297" t="str">
        <f t="shared" si="47"/>
        <v/>
      </c>
      <c r="AL196" s="297" t="str">
        <f t="shared" si="48"/>
        <v/>
      </c>
      <c r="AM196" s="16"/>
      <c r="AN196" s="296" t="str">
        <f t="shared" si="49"/>
        <v/>
      </c>
      <c r="AO196" s="16"/>
      <c r="AP196" s="296" t="str">
        <f t="shared" si="50"/>
        <v/>
      </c>
      <c r="AQ196" s="298">
        <f t="shared" si="51"/>
        <v>0</v>
      </c>
      <c r="AR196" s="298">
        <f t="shared" si="52"/>
        <v>0</v>
      </c>
      <c r="AS196" s="299" t="str">
        <f t="shared" si="53"/>
        <v/>
      </c>
      <c r="AT196" s="300" t="str">
        <f>IF(COUNTIF(K196:R196,"F")&gt;0,"",IF(AS196="PASS",'Statement of Marks'!HF197,""))</f>
        <v/>
      </c>
      <c r="AU196" s="300" t="str">
        <f>IF(AS196="PASS",'Statement of Marks'!HG197,"")</f>
        <v/>
      </c>
    </row>
    <row r="197" spans="1:47">
      <c r="A197" s="283">
        <f>IF('Statement of Marks'!A198="","",'Statement of Marks'!A198)</f>
        <v>191</v>
      </c>
      <c r="B197" s="283" t="str">
        <f>IF('Statement of Marks'!B198="","",'Statement of Marks'!B198)</f>
        <v/>
      </c>
      <c r="C197" s="283" t="str">
        <f>IF('Statement of Marks'!C198="","",'Statement of Marks'!C198)</f>
        <v/>
      </c>
      <c r="D197" s="284" t="str">
        <f>IF('Statement of Marks'!D198="","",'Statement of Marks'!D198)</f>
        <v/>
      </c>
      <c r="E197" s="285" t="str">
        <f>IF('Statement of Marks'!E198="","",'Statement of Marks'!E198)</f>
        <v/>
      </c>
      <c r="F197" s="285" t="str">
        <f>IF('Statement of Marks'!F198="","",'Statement of Marks'!F198)</f>
        <v/>
      </c>
      <c r="G197" s="285" t="str">
        <f>IF('Statement of Marks'!G198="","",'Statement of Marks'!G198)</f>
        <v/>
      </c>
      <c r="H197" s="286" t="str">
        <f>IF('Statement of Marks'!GY198="","",'Statement of Marks'!GY198)</f>
        <v/>
      </c>
      <c r="I197" s="286" t="str">
        <f>IF('Statement of Marks'!HB198="","",'Statement of Marks'!HB198)</f>
        <v/>
      </c>
      <c r="J197" s="287" t="str">
        <f>IF('Statement of Marks'!HC198="","",'Statement of Marks'!HC198)</f>
        <v/>
      </c>
      <c r="K197" s="295" t="str">
        <f>IF(B197="","",'Statement of Marks'!FJ198)</f>
        <v/>
      </c>
      <c r="L197" s="295" t="str">
        <f>IF(B197="","",'Statement of Marks'!FM198)</f>
        <v/>
      </c>
      <c r="M197" s="295" t="str">
        <f>IF(B197="","",'Statement of Marks'!FP198)</f>
        <v/>
      </c>
      <c r="N197" s="295" t="str">
        <f>IF(B197="","",'Statement of Marks'!FW198)</f>
        <v/>
      </c>
      <c r="O197" s="295" t="str">
        <f>IF(B197="","",'Statement of Marks'!GD198)</f>
        <v/>
      </c>
      <c r="P197" s="295" t="str">
        <f>IF(B197="","",'Statement of Marks'!GK198)</f>
        <v/>
      </c>
      <c r="Q197" s="295" t="str">
        <f>IF(B197="","",'Statement of Marks'!GR198)</f>
        <v/>
      </c>
      <c r="R197" s="295" t="str">
        <f>IF(B197="","",'Statement of Marks'!GS198)</f>
        <v/>
      </c>
      <c r="S197" s="287" t="str">
        <f>IF(COUNTIF(K197:R197,"F")&gt;0,"",CONCATENATE('Statement of Marks'!GU198,'Statement of Marks'!GW198))</f>
        <v xml:space="preserve">           </v>
      </c>
      <c r="T197" s="288">
        <f t="shared" si="36"/>
        <v>0</v>
      </c>
      <c r="U197" s="16"/>
      <c r="V197" s="296" t="str">
        <f t="shared" si="37"/>
        <v/>
      </c>
      <c r="W197" s="296" t="str">
        <f t="shared" si="38"/>
        <v/>
      </c>
      <c r="X197" s="16"/>
      <c r="Y197" s="296" t="str">
        <f t="shared" si="39"/>
        <v/>
      </c>
      <c r="Z197" s="296" t="str">
        <f t="shared" si="40"/>
        <v/>
      </c>
      <c r="AA197" s="16"/>
      <c r="AB197" s="296" t="str">
        <f t="shared" si="41"/>
        <v/>
      </c>
      <c r="AC197" s="297" t="str">
        <f t="shared" si="42"/>
        <v/>
      </c>
      <c r="AD197" s="16"/>
      <c r="AE197" s="296" t="str">
        <f t="shared" si="43"/>
        <v/>
      </c>
      <c r="AF197" s="297" t="str">
        <f t="shared" si="44"/>
        <v/>
      </c>
      <c r="AG197" s="16"/>
      <c r="AH197" s="296" t="str">
        <f t="shared" si="45"/>
        <v/>
      </c>
      <c r="AI197" s="297" t="str">
        <f t="shared" si="46"/>
        <v/>
      </c>
      <c r="AJ197" s="16"/>
      <c r="AK197" s="297" t="str">
        <f t="shared" si="47"/>
        <v/>
      </c>
      <c r="AL197" s="297" t="str">
        <f t="shared" si="48"/>
        <v/>
      </c>
      <c r="AM197" s="16"/>
      <c r="AN197" s="296" t="str">
        <f t="shared" si="49"/>
        <v/>
      </c>
      <c r="AO197" s="16"/>
      <c r="AP197" s="296" t="str">
        <f t="shared" si="50"/>
        <v/>
      </c>
      <c r="AQ197" s="298">
        <f t="shared" si="51"/>
        <v>0</v>
      </c>
      <c r="AR197" s="298">
        <f t="shared" si="52"/>
        <v>0</v>
      </c>
      <c r="AS197" s="299" t="str">
        <f t="shared" si="53"/>
        <v/>
      </c>
      <c r="AT197" s="300" t="str">
        <f>IF(COUNTIF(K197:R197,"F")&gt;0,"",IF(AS197="PASS",'Statement of Marks'!HF198,""))</f>
        <v/>
      </c>
      <c r="AU197" s="300" t="str">
        <f>IF(AS197="PASS",'Statement of Marks'!HG198,"")</f>
        <v/>
      </c>
    </row>
    <row r="198" spans="1:47">
      <c r="A198" s="283">
        <f>IF('Statement of Marks'!A199="","",'Statement of Marks'!A199)</f>
        <v>192</v>
      </c>
      <c r="B198" s="283" t="str">
        <f>IF('Statement of Marks'!B199="","",'Statement of Marks'!B199)</f>
        <v/>
      </c>
      <c r="C198" s="283" t="str">
        <f>IF('Statement of Marks'!C199="","",'Statement of Marks'!C199)</f>
        <v/>
      </c>
      <c r="D198" s="284" t="str">
        <f>IF('Statement of Marks'!D199="","",'Statement of Marks'!D199)</f>
        <v/>
      </c>
      <c r="E198" s="285" t="str">
        <f>IF('Statement of Marks'!E199="","",'Statement of Marks'!E199)</f>
        <v/>
      </c>
      <c r="F198" s="285" t="str">
        <f>IF('Statement of Marks'!F199="","",'Statement of Marks'!F199)</f>
        <v/>
      </c>
      <c r="G198" s="285" t="str">
        <f>IF('Statement of Marks'!G199="","",'Statement of Marks'!G199)</f>
        <v/>
      </c>
      <c r="H198" s="286" t="str">
        <f>IF('Statement of Marks'!GY199="","",'Statement of Marks'!GY199)</f>
        <v/>
      </c>
      <c r="I198" s="286" t="str">
        <f>IF('Statement of Marks'!HB199="","",'Statement of Marks'!HB199)</f>
        <v/>
      </c>
      <c r="J198" s="287" t="str">
        <f>IF('Statement of Marks'!HC199="","",'Statement of Marks'!HC199)</f>
        <v/>
      </c>
      <c r="K198" s="295" t="str">
        <f>IF(B198="","",'Statement of Marks'!FJ199)</f>
        <v/>
      </c>
      <c r="L198" s="295" t="str">
        <f>IF(B198="","",'Statement of Marks'!FM199)</f>
        <v/>
      </c>
      <c r="M198" s="295" t="str">
        <f>IF(B198="","",'Statement of Marks'!FP199)</f>
        <v/>
      </c>
      <c r="N198" s="295" t="str">
        <f>IF(B198="","",'Statement of Marks'!FW199)</f>
        <v/>
      </c>
      <c r="O198" s="295" t="str">
        <f>IF(B198="","",'Statement of Marks'!GD199)</f>
        <v/>
      </c>
      <c r="P198" s="295" t="str">
        <f>IF(B198="","",'Statement of Marks'!GK199)</f>
        <v/>
      </c>
      <c r="Q198" s="295" t="str">
        <f>IF(B198="","",'Statement of Marks'!GR199)</f>
        <v/>
      </c>
      <c r="R198" s="295" t="str">
        <f>IF(B198="","",'Statement of Marks'!GS199)</f>
        <v/>
      </c>
      <c r="S198" s="287" t="str">
        <f>IF(COUNTIF(K198:R198,"F")&gt;0,"",CONCATENATE('Statement of Marks'!GU199,'Statement of Marks'!GW199))</f>
        <v xml:space="preserve">           </v>
      </c>
      <c r="T198" s="288">
        <f t="shared" si="36"/>
        <v>0</v>
      </c>
      <c r="U198" s="16"/>
      <c r="V198" s="296" t="str">
        <f t="shared" si="37"/>
        <v/>
      </c>
      <c r="W198" s="296" t="str">
        <f t="shared" si="38"/>
        <v/>
      </c>
      <c r="X198" s="16"/>
      <c r="Y198" s="296" t="str">
        <f t="shared" si="39"/>
        <v/>
      </c>
      <c r="Z198" s="296" t="str">
        <f t="shared" si="40"/>
        <v/>
      </c>
      <c r="AA198" s="16"/>
      <c r="AB198" s="296" t="str">
        <f t="shared" si="41"/>
        <v/>
      </c>
      <c r="AC198" s="297" t="str">
        <f t="shared" si="42"/>
        <v/>
      </c>
      <c r="AD198" s="16"/>
      <c r="AE198" s="296" t="str">
        <f t="shared" si="43"/>
        <v/>
      </c>
      <c r="AF198" s="297" t="str">
        <f t="shared" si="44"/>
        <v/>
      </c>
      <c r="AG198" s="16"/>
      <c r="AH198" s="296" t="str">
        <f t="shared" si="45"/>
        <v/>
      </c>
      <c r="AI198" s="297" t="str">
        <f t="shared" si="46"/>
        <v/>
      </c>
      <c r="AJ198" s="16"/>
      <c r="AK198" s="297" t="str">
        <f t="shared" si="47"/>
        <v/>
      </c>
      <c r="AL198" s="297" t="str">
        <f t="shared" si="48"/>
        <v/>
      </c>
      <c r="AM198" s="16"/>
      <c r="AN198" s="296" t="str">
        <f t="shared" si="49"/>
        <v/>
      </c>
      <c r="AO198" s="16"/>
      <c r="AP198" s="296" t="str">
        <f t="shared" si="50"/>
        <v/>
      </c>
      <c r="AQ198" s="298">
        <f t="shared" si="51"/>
        <v>0</v>
      </c>
      <c r="AR198" s="298">
        <f t="shared" si="52"/>
        <v>0</v>
      </c>
      <c r="AS198" s="299" t="str">
        <f t="shared" si="53"/>
        <v/>
      </c>
      <c r="AT198" s="300" t="str">
        <f>IF(COUNTIF(K198:R198,"F")&gt;0,"",IF(AS198="PASS",'Statement of Marks'!HF199,""))</f>
        <v/>
      </c>
      <c r="AU198" s="300" t="str">
        <f>IF(AS198="PASS",'Statement of Marks'!HG199,"")</f>
        <v/>
      </c>
    </row>
    <row r="199" spans="1:47">
      <c r="A199" s="283">
        <f>IF('Statement of Marks'!A200="","",'Statement of Marks'!A200)</f>
        <v>193</v>
      </c>
      <c r="B199" s="283" t="str">
        <f>IF('Statement of Marks'!B200="","",'Statement of Marks'!B200)</f>
        <v/>
      </c>
      <c r="C199" s="283" t="str">
        <f>IF('Statement of Marks'!C200="","",'Statement of Marks'!C200)</f>
        <v/>
      </c>
      <c r="D199" s="284" t="str">
        <f>IF('Statement of Marks'!D200="","",'Statement of Marks'!D200)</f>
        <v/>
      </c>
      <c r="E199" s="285" t="str">
        <f>IF('Statement of Marks'!E200="","",'Statement of Marks'!E200)</f>
        <v/>
      </c>
      <c r="F199" s="285" t="str">
        <f>IF('Statement of Marks'!F200="","",'Statement of Marks'!F200)</f>
        <v/>
      </c>
      <c r="G199" s="285" t="str">
        <f>IF('Statement of Marks'!G200="","",'Statement of Marks'!G200)</f>
        <v/>
      </c>
      <c r="H199" s="286" t="str">
        <f>IF('Statement of Marks'!GY200="","",'Statement of Marks'!GY200)</f>
        <v/>
      </c>
      <c r="I199" s="286" t="str">
        <f>IF('Statement of Marks'!HB200="","",'Statement of Marks'!HB200)</f>
        <v/>
      </c>
      <c r="J199" s="287" t="str">
        <f>IF('Statement of Marks'!HC200="","",'Statement of Marks'!HC200)</f>
        <v/>
      </c>
      <c r="K199" s="295" t="str">
        <f>IF(B199="","",'Statement of Marks'!FJ200)</f>
        <v/>
      </c>
      <c r="L199" s="295" t="str">
        <f>IF(B199="","",'Statement of Marks'!FM200)</f>
        <v/>
      </c>
      <c r="M199" s="295" t="str">
        <f>IF(B199="","",'Statement of Marks'!FP200)</f>
        <v/>
      </c>
      <c r="N199" s="295" t="str">
        <f>IF(B199="","",'Statement of Marks'!FW200)</f>
        <v/>
      </c>
      <c r="O199" s="295" t="str">
        <f>IF(B199="","",'Statement of Marks'!GD200)</f>
        <v/>
      </c>
      <c r="P199" s="295" t="str">
        <f>IF(B199="","",'Statement of Marks'!GK200)</f>
        <v/>
      </c>
      <c r="Q199" s="295" t="str">
        <f>IF(B199="","",'Statement of Marks'!GR200)</f>
        <v/>
      </c>
      <c r="R199" s="295" t="str">
        <f>IF(B199="","",'Statement of Marks'!GS200)</f>
        <v/>
      </c>
      <c r="S199" s="287" t="str">
        <f>IF(COUNTIF(K199:R199,"F")&gt;0,"",CONCATENATE('Statement of Marks'!GU200,'Statement of Marks'!GW200))</f>
        <v xml:space="preserve">           </v>
      </c>
      <c r="T199" s="288">
        <f t="shared" si="36"/>
        <v>0</v>
      </c>
      <c r="U199" s="16"/>
      <c r="V199" s="296" t="str">
        <f t="shared" si="37"/>
        <v/>
      </c>
      <c r="W199" s="296" t="str">
        <f t="shared" si="38"/>
        <v/>
      </c>
      <c r="X199" s="16"/>
      <c r="Y199" s="296" t="str">
        <f t="shared" si="39"/>
        <v/>
      </c>
      <c r="Z199" s="296" t="str">
        <f t="shared" si="40"/>
        <v/>
      </c>
      <c r="AA199" s="16"/>
      <c r="AB199" s="296" t="str">
        <f t="shared" si="41"/>
        <v/>
      </c>
      <c r="AC199" s="297" t="str">
        <f t="shared" si="42"/>
        <v/>
      </c>
      <c r="AD199" s="16"/>
      <c r="AE199" s="296" t="str">
        <f t="shared" si="43"/>
        <v/>
      </c>
      <c r="AF199" s="297" t="str">
        <f t="shared" si="44"/>
        <v/>
      </c>
      <c r="AG199" s="16"/>
      <c r="AH199" s="296" t="str">
        <f t="shared" si="45"/>
        <v/>
      </c>
      <c r="AI199" s="297" t="str">
        <f t="shared" si="46"/>
        <v/>
      </c>
      <c r="AJ199" s="16"/>
      <c r="AK199" s="297" t="str">
        <f t="shared" si="47"/>
        <v/>
      </c>
      <c r="AL199" s="297" t="str">
        <f t="shared" si="48"/>
        <v/>
      </c>
      <c r="AM199" s="16"/>
      <c r="AN199" s="296" t="str">
        <f t="shared" si="49"/>
        <v/>
      </c>
      <c r="AO199" s="16"/>
      <c r="AP199" s="296" t="str">
        <f t="shared" si="50"/>
        <v/>
      </c>
      <c r="AQ199" s="298">
        <f t="shared" si="51"/>
        <v>0</v>
      </c>
      <c r="AR199" s="298">
        <f t="shared" si="52"/>
        <v>0</v>
      </c>
      <c r="AS199" s="299" t="str">
        <f t="shared" si="53"/>
        <v/>
      </c>
      <c r="AT199" s="300" t="str">
        <f>IF(COUNTIF(K199:R199,"F")&gt;0,"",IF(AS199="PASS",'Statement of Marks'!HF200,""))</f>
        <v/>
      </c>
      <c r="AU199" s="300" t="str">
        <f>IF(AS199="PASS",'Statement of Marks'!HG200,"")</f>
        <v/>
      </c>
    </row>
    <row r="200" spans="1:47">
      <c r="A200" s="283">
        <f>IF('Statement of Marks'!A201="","",'Statement of Marks'!A201)</f>
        <v>194</v>
      </c>
      <c r="B200" s="283" t="str">
        <f>IF('Statement of Marks'!B201="","",'Statement of Marks'!B201)</f>
        <v/>
      </c>
      <c r="C200" s="283" t="str">
        <f>IF('Statement of Marks'!C201="","",'Statement of Marks'!C201)</f>
        <v/>
      </c>
      <c r="D200" s="284" t="str">
        <f>IF('Statement of Marks'!D201="","",'Statement of Marks'!D201)</f>
        <v/>
      </c>
      <c r="E200" s="285" t="str">
        <f>IF('Statement of Marks'!E201="","",'Statement of Marks'!E201)</f>
        <v/>
      </c>
      <c r="F200" s="285" t="str">
        <f>IF('Statement of Marks'!F201="","",'Statement of Marks'!F201)</f>
        <v/>
      </c>
      <c r="G200" s="285" t="str">
        <f>IF('Statement of Marks'!G201="","",'Statement of Marks'!G201)</f>
        <v/>
      </c>
      <c r="H200" s="286" t="str">
        <f>IF('Statement of Marks'!GY201="","",'Statement of Marks'!GY201)</f>
        <v/>
      </c>
      <c r="I200" s="286" t="str">
        <f>IF('Statement of Marks'!HB201="","",'Statement of Marks'!HB201)</f>
        <v/>
      </c>
      <c r="J200" s="287" t="str">
        <f>IF('Statement of Marks'!HC201="","",'Statement of Marks'!HC201)</f>
        <v/>
      </c>
      <c r="K200" s="295" t="str">
        <f>IF(B200="","",'Statement of Marks'!FJ201)</f>
        <v/>
      </c>
      <c r="L200" s="295" t="str">
        <f>IF(B200="","",'Statement of Marks'!FM201)</f>
        <v/>
      </c>
      <c r="M200" s="295" t="str">
        <f>IF(B200="","",'Statement of Marks'!FP201)</f>
        <v/>
      </c>
      <c r="N200" s="295" t="str">
        <f>IF(B200="","",'Statement of Marks'!FW201)</f>
        <v/>
      </c>
      <c r="O200" s="295" t="str">
        <f>IF(B200="","",'Statement of Marks'!GD201)</f>
        <v/>
      </c>
      <c r="P200" s="295" t="str">
        <f>IF(B200="","",'Statement of Marks'!GK201)</f>
        <v/>
      </c>
      <c r="Q200" s="295" t="str">
        <f>IF(B200="","",'Statement of Marks'!GR201)</f>
        <v/>
      </c>
      <c r="R200" s="295" t="str">
        <f>IF(B200="","",'Statement of Marks'!GS201)</f>
        <v/>
      </c>
      <c r="S200" s="287" t="str">
        <f>IF(COUNTIF(K200:R200,"F")&gt;0,"",CONCATENATE('Statement of Marks'!GU201,'Statement of Marks'!GW201))</f>
        <v xml:space="preserve">           </v>
      </c>
      <c r="T200" s="288">
        <f t="shared" ref="T200:T206" si="54">IF(COUNTIF(K200:R200,"F")&gt;0,"",COUNTIF(K200:R200,"S")+COUNTIF(K200:R200,"RE")+COUNTIF(K200:R200,"REP"))</f>
        <v>0</v>
      </c>
      <c r="U200" s="16"/>
      <c r="V200" s="296" t="str">
        <f t="shared" ref="V200:V206" si="55">IF(U200="","",IF(OR(U200="AB",K200="RE"),U200,IF(AND(K200="S"),ROUNDUP(U200,0),)))</f>
        <v/>
      </c>
      <c r="W200" s="296" t="str">
        <f t="shared" ref="W200:W206" si="56">IF(U200="","",IF(OR(U200="AB",U200&lt;36%*$U$6),"F","P"))</f>
        <v/>
      </c>
      <c r="X200" s="16"/>
      <c r="Y200" s="296" t="str">
        <f t="shared" ref="Y200:Y206" si="57">IF(X200="","",IF(OR(X200="AB",L200="RE"),X200,IF(AND(L200="S"),ROUNDUP(X200,0),)))</f>
        <v/>
      </c>
      <c r="Z200" s="296" t="str">
        <f t="shared" ref="Z200:Z206" si="58">IF(X200="","",IF(OR(X200="AB",X200&lt;36%*$X$6),"F","P"))</f>
        <v/>
      </c>
      <c r="AA200" s="16"/>
      <c r="AB200" s="296" t="str">
        <f t="shared" ref="AB200:AB205" si="59">IF(AA200="","",IF(OR(AA200="AB",M200="RE"),AA200,IF(AND(M200="S"),ROUNDUP(AA200,0),)))</f>
        <v/>
      </c>
      <c r="AC200" s="297" t="str">
        <f t="shared" ref="AC200:AC205" si="60">IF(AA200="","",IF(OR(AA200="AB",AA200&lt;36%*$AA$6),"F","P"))</f>
        <v/>
      </c>
      <c r="AD200" s="16"/>
      <c r="AE200" s="296" t="str">
        <f t="shared" ref="AE200:AE206" si="61">IF(AD200="","",IF(OR(AD200="AB",N200="RE"),AD200,IF(AND(N200="S"),ROUNDUP(AD200,0),)))</f>
        <v/>
      </c>
      <c r="AF200" s="297" t="str">
        <f t="shared" ref="AF200:AF206" si="62">IF(AD200="","",IF(OR(AD200="AB",AD200&lt;36%*$AD$6),"F","P"))</f>
        <v/>
      </c>
      <c r="AG200" s="16"/>
      <c r="AH200" s="296" t="str">
        <f t="shared" ref="AH200:AH206" si="63">IF(AG200="","",IF(OR(AG200="AB",O200="RE"),AG200,IF(AND(O200="S"),ROUNDUP(AG200,0),)))</f>
        <v/>
      </c>
      <c r="AI200" s="297" t="str">
        <f t="shared" ref="AI200:AI206" si="64">IF(AG200="","",IF(OR(AG200="AB",AG200&lt;36%*$AG$6),"F","P"))</f>
        <v/>
      </c>
      <c r="AJ200" s="16"/>
      <c r="AK200" s="297" t="str">
        <f t="shared" ref="AK200:AK206" si="65">IF(AJ200="","",IF(OR(AJ200="AB",P200="RE"),AJ200,IF(AND(P200="S"),ROUNDUP(AJ200,0),)))</f>
        <v/>
      </c>
      <c r="AL200" s="297" t="str">
        <f t="shared" ref="AL200:AL206" si="66">IF(AJ200="","",IF(OR(AJ200="AB",AJ200&lt;36%*$AJ$6),"F","P"))</f>
        <v/>
      </c>
      <c r="AM200" s="16"/>
      <c r="AN200" s="296" t="str">
        <f t="shared" ref="AN200:AN206" si="67">IF(AM200="","",IF(OR(AM200="AB",AM200&lt;15),"F","P"))</f>
        <v/>
      </c>
      <c r="AO200" s="16"/>
      <c r="AP200" s="296" t="str">
        <f t="shared" ref="AP200:AP206" si="68">IF(AO200="","",IF(OR(AO200="AB",AO200&lt;36),"F","P"))</f>
        <v/>
      </c>
      <c r="AQ200" s="298">
        <f t="shared" ref="AQ200:AQ206" si="69">IF(COUNTIF(K200:Q200,"F")&gt;0,"",COUNTA(U200,X200,AA200,AD200,AG200,AJ200,AM200))</f>
        <v>0</v>
      </c>
      <c r="AR200" s="298">
        <f t="shared" ref="AR200:AR206" si="70">IF(COUNTIF(K200:Q200,"F")&gt;0,"",COUNTIF(U200:AN200,"P"))</f>
        <v>0</v>
      </c>
      <c r="AS200" s="299" t="str">
        <f t="shared" ref="AS200:AS206" si="71">IF(AND(U200="",X200="",AA200="",AD200="",AG200="",AJ200="",AM200="",AO200=""),"",IF(COUNTIF(K200:R200,"F")&gt;0,"",IF(T200=0,"",IF(T200&gt;AQ200,H200,IF(T200&gt;AR200,"FAIL","PASS")))))</f>
        <v/>
      </c>
      <c r="AT200" s="300" t="str">
        <f>IF(COUNTIF(K200:R200,"F")&gt;0,"",IF(AS200="PASS",'Statement of Marks'!HF201,""))</f>
        <v/>
      </c>
      <c r="AU200" s="300" t="str">
        <f>IF(AS200="PASS",'Statement of Marks'!HG201,"")</f>
        <v/>
      </c>
    </row>
    <row r="201" spans="1:47">
      <c r="A201" s="283">
        <f>IF('Statement of Marks'!A202="","",'Statement of Marks'!A202)</f>
        <v>195</v>
      </c>
      <c r="B201" s="283" t="str">
        <f>IF('Statement of Marks'!B202="","",'Statement of Marks'!B202)</f>
        <v/>
      </c>
      <c r="C201" s="283" t="str">
        <f>IF('Statement of Marks'!C202="","",'Statement of Marks'!C202)</f>
        <v/>
      </c>
      <c r="D201" s="284" t="str">
        <f>IF('Statement of Marks'!D202="","",'Statement of Marks'!D202)</f>
        <v/>
      </c>
      <c r="E201" s="285" t="str">
        <f>IF('Statement of Marks'!E202="","",'Statement of Marks'!E202)</f>
        <v/>
      </c>
      <c r="F201" s="285" t="str">
        <f>IF('Statement of Marks'!F202="","",'Statement of Marks'!F202)</f>
        <v/>
      </c>
      <c r="G201" s="285" t="str">
        <f>IF('Statement of Marks'!G202="","",'Statement of Marks'!G202)</f>
        <v/>
      </c>
      <c r="H201" s="286" t="str">
        <f>IF('Statement of Marks'!GY202="","",'Statement of Marks'!GY202)</f>
        <v/>
      </c>
      <c r="I201" s="286" t="str">
        <f>IF('Statement of Marks'!HB202="","",'Statement of Marks'!HB202)</f>
        <v/>
      </c>
      <c r="J201" s="287" t="str">
        <f>IF('Statement of Marks'!HC202="","",'Statement of Marks'!HC202)</f>
        <v/>
      </c>
      <c r="K201" s="295" t="str">
        <f>IF(B201="","",'Statement of Marks'!FJ202)</f>
        <v/>
      </c>
      <c r="L201" s="295" t="str">
        <f>IF(B201="","",'Statement of Marks'!FM202)</f>
        <v/>
      </c>
      <c r="M201" s="295" t="str">
        <f>IF(B201="","",'Statement of Marks'!FP202)</f>
        <v/>
      </c>
      <c r="N201" s="295" t="str">
        <f>IF(B201="","",'Statement of Marks'!FW202)</f>
        <v/>
      </c>
      <c r="O201" s="295" t="str">
        <f>IF(B201="","",'Statement of Marks'!GD202)</f>
        <v/>
      </c>
      <c r="P201" s="295" t="str">
        <f>IF(B201="","",'Statement of Marks'!GK202)</f>
        <v/>
      </c>
      <c r="Q201" s="295" t="str">
        <f>IF(B201="","",'Statement of Marks'!GR202)</f>
        <v/>
      </c>
      <c r="R201" s="295" t="str">
        <f>IF(B201="","",'Statement of Marks'!GS202)</f>
        <v/>
      </c>
      <c r="S201" s="287" t="str">
        <f>IF(COUNTIF(K201:R201,"F")&gt;0,"",CONCATENATE('Statement of Marks'!GU202,'Statement of Marks'!GW202))</f>
        <v xml:space="preserve">           </v>
      </c>
      <c r="T201" s="288">
        <f t="shared" si="54"/>
        <v>0</v>
      </c>
      <c r="U201" s="16"/>
      <c r="V201" s="296" t="str">
        <f t="shared" si="55"/>
        <v/>
      </c>
      <c r="W201" s="296" t="str">
        <f t="shared" si="56"/>
        <v/>
      </c>
      <c r="X201" s="16"/>
      <c r="Y201" s="296" t="str">
        <f t="shared" si="57"/>
        <v/>
      </c>
      <c r="Z201" s="296" t="str">
        <f t="shared" si="58"/>
        <v/>
      </c>
      <c r="AA201" s="16"/>
      <c r="AB201" s="296" t="str">
        <f t="shared" si="59"/>
        <v/>
      </c>
      <c r="AC201" s="297" t="str">
        <f t="shared" si="60"/>
        <v/>
      </c>
      <c r="AD201" s="16"/>
      <c r="AE201" s="296" t="str">
        <f t="shared" si="61"/>
        <v/>
      </c>
      <c r="AF201" s="297" t="str">
        <f t="shared" si="62"/>
        <v/>
      </c>
      <c r="AG201" s="16"/>
      <c r="AH201" s="296" t="str">
        <f t="shared" si="63"/>
        <v/>
      </c>
      <c r="AI201" s="297" t="str">
        <f t="shared" si="64"/>
        <v/>
      </c>
      <c r="AJ201" s="16"/>
      <c r="AK201" s="297" t="str">
        <f t="shared" si="65"/>
        <v/>
      </c>
      <c r="AL201" s="297" t="str">
        <f t="shared" si="66"/>
        <v/>
      </c>
      <c r="AM201" s="16"/>
      <c r="AN201" s="296" t="str">
        <f t="shared" si="67"/>
        <v/>
      </c>
      <c r="AO201" s="16"/>
      <c r="AP201" s="296" t="str">
        <f t="shared" si="68"/>
        <v/>
      </c>
      <c r="AQ201" s="298">
        <f t="shared" si="69"/>
        <v>0</v>
      </c>
      <c r="AR201" s="298">
        <f t="shared" si="70"/>
        <v>0</v>
      </c>
      <c r="AS201" s="299" t="str">
        <f t="shared" si="71"/>
        <v/>
      </c>
      <c r="AT201" s="300" t="str">
        <f>IF(COUNTIF(K201:R201,"F")&gt;0,"",IF(AS201="PASS",'Statement of Marks'!HF202,""))</f>
        <v/>
      </c>
      <c r="AU201" s="300" t="str">
        <f>IF(AS201="PASS",'Statement of Marks'!HG202,"")</f>
        <v/>
      </c>
    </row>
    <row r="202" spans="1:47">
      <c r="A202" s="283">
        <f>IF('Statement of Marks'!A203="","",'Statement of Marks'!A203)</f>
        <v>196</v>
      </c>
      <c r="B202" s="283" t="str">
        <f>IF('Statement of Marks'!B203="","",'Statement of Marks'!B203)</f>
        <v/>
      </c>
      <c r="C202" s="283" t="str">
        <f>IF('Statement of Marks'!C203="","",'Statement of Marks'!C203)</f>
        <v/>
      </c>
      <c r="D202" s="284" t="str">
        <f>IF('Statement of Marks'!D203="","",'Statement of Marks'!D203)</f>
        <v/>
      </c>
      <c r="E202" s="285" t="str">
        <f>IF('Statement of Marks'!E203="","",'Statement of Marks'!E203)</f>
        <v/>
      </c>
      <c r="F202" s="285" t="str">
        <f>IF('Statement of Marks'!F203="","",'Statement of Marks'!F203)</f>
        <v/>
      </c>
      <c r="G202" s="285" t="str">
        <f>IF('Statement of Marks'!G203="","",'Statement of Marks'!G203)</f>
        <v/>
      </c>
      <c r="H202" s="286" t="str">
        <f>IF('Statement of Marks'!GY203="","",'Statement of Marks'!GY203)</f>
        <v/>
      </c>
      <c r="I202" s="286" t="str">
        <f>IF('Statement of Marks'!HB203="","",'Statement of Marks'!HB203)</f>
        <v/>
      </c>
      <c r="J202" s="287" t="str">
        <f>IF('Statement of Marks'!HC203="","",'Statement of Marks'!HC203)</f>
        <v/>
      </c>
      <c r="K202" s="295" t="str">
        <f>IF(B202="","",'Statement of Marks'!FJ203)</f>
        <v/>
      </c>
      <c r="L202" s="295" t="str">
        <f>IF(B202="","",'Statement of Marks'!FM203)</f>
        <v/>
      </c>
      <c r="M202" s="295" t="str">
        <f>IF(B202="","",'Statement of Marks'!FP203)</f>
        <v/>
      </c>
      <c r="N202" s="295" t="str">
        <f>IF(B202="","",'Statement of Marks'!FW203)</f>
        <v/>
      </c>
      <c r="O202" s="295" t="str">
        <f>IF(B202="","",'Statement of Marks'!GD203)</f>
        <v/>
      </c>
      <c r="P202" s="295" t="str">
        <f>IF(B202="","",'Statement of Marks'!GK203)</f>
        <v/>
      </c>
      <c r="Q202" s="295" t="str">
        <f>IF(B202="","",'Statement of Marks'!GR203)</f>
        <v/>
      </c>
      <c r="R202" s="295" t="str">
        <f>IF(B202="","",'Statement of Marks'!GS203)</f>
        <v/>
      </c>
      <c r="S202" s="287" t="str">
        <f>IF(COUNTIF(K202:R202,"F")&gt;0,"",CONCATENATE('Statement of Marks'!GU203,'Statement of Marks'!GW203))</f>
        <v xml:space="preserve">           </v>
      </c>
      <c r="T202" s="288">
        <f t="shared" si="54"/>
        <v>0</v>
      </c>
      <c r="U202" s="16"/>
      <c r="V202" s="296" t="str">
        <f t="shared" si="55"/>
        <v/>
      </c>
      <c r="W202" s="296" t="str">
        <f t="shared" si="56"/>
        <v/>
      </c>
      <c r="X202" s="16"/>
      <c r="Y202" s="296" t="str">
        <f t="shared" si="57"/>
        <v/>
      </c>
      <c r="Z202" s="296" t="str">
        <f t="shared" si="58"/>
        <v/>
      </c>
      <c r="AA202" s="16"/>
      <c r="AB202" s="296" t="str">
        <f t="shared" si="59"/>
        <v/>
      </c>
      <c r="AC202" s="297" t="str">
        <f t="shared" si="60"/>
        <v/>
      </c>
      <c r="AD202" s="16"/>
      <c r="AE202" s="296" t="str">
        <f t="shared" si="61"/>
        <v/>
      </c>
      <c r="AF202" s="297" t="str">
        <f t="shared" si="62"/>
        <v/>
      </c>
      <c r="AG202" s="16"/>
      <c r="AH202" s="296" t="str">
        <f t="shared" si="63"/>
        <v/>
      </c>
      <c r="AI202" s="297" t="str">
        <f t="shared" si="64"/>
        <v/>
      </c>
      <c r="AJ202" s="16"/>
      <c r="AK202" s="297" t="str">
        <f t="shared" si="65"/>
        <v/>
      </c>
      <c r="AL202" s="297" t="str">
        <f t="shared" si="66"/>
        <v/>
      </c>
      <c r="AM202" s="16"/>
      <c r="AN202" s="296" t="str">
        <f t="shared" si="67"/>
        <v/>
      </c>
      <c r="AO202" s="16"/>
      <c r="AP202" s="296" t="str">
        <f t="shared" si="68"/>
        <v/>
      </c>
      <c r="AQ202" s="298">
        <f t="shared" si="69"/>
        <v>0</v>
      </c>
      <c r="AR202" s="298">
        <f t="shared" si="70"/>
        <v>0</v>
      </c>
      <c r="AS202" s="299" t="str">
        <f t="shared" si="71"/>
        <v/>
      </c>
      <c r="AT202" s="300" t="str">
        <f>IF(COUNTIF(K202:R202,"F")&gt;0,"",IF(AS202="PASS",'Statement of Marks'!HF203,""))</f>
        <v/>
      </c>
      <c r="AU202" s="300" t="str">
        <f>IF(AS202="PASS",'Statement of Marks'!HG203,"")</f>
        <v/>
      </c>
    </row>
    <row r="203" spans="1:47">
      <c r="A203" s="283">
        <f>IF('Statement of Marks'!A204="","",'Statement of Marks'!A204)</f>
        <v>197</v>
      </c>
      <c r="B203" s="283" t="str">
        <f>IF('Statement of Marks'!B204="","",'Statement of Marks'!B204)</f>
        <v/>
      </c>
      <c r="C203" s="283" t="str">
        <f>IF('Statement of Marks'!C204="","",'Statement of Marks'!C204)</f>
        <v/>
      </c>
      <c r="D203" s="284" t="str">
        <f>IF('Statement of Marks'!D204="","",'Statement of Marks'!D204)</f>
        <v/>
      </c>
      <c r="E203" s="285" t="str">
        <f>IF('Statement of Marks'!E204="","",'Statement of Marks'!E204)</f>
        <v/>
      </c>
      <c r="F203" s="285" t="str">
        <f>IF('Statement of Marks'!F204="","",'Statement of Marks'!F204)</f>
        <v/>
      </c>
      <c r="G203" s="285" t="str">
        <f>IF('Statement of Marks'!G204="","",'Statement of Marks'!G204)</f>
        <v/>
      </c>
      <c r="H203" s="286" t="str">
        <f>IF('Statement of Marks'!GY204="","",'Statement of Marks'!GY204)</f>
        <v/>
      </c>
      <c r="I203" s="286" t="str">
        <f>IF('Statement of Marks'!HB204="","",'Statement of Marks'!HB204)</f>
        <v/>
      </c>
      <c r="J203" s="287" t="str">
        <f>IF('Statement of Marks'!HC204="","",'Statement of Marks'!HC204)</f>
        <v/>
      </c>
      <c r="K203" s="295" t="str">
        <f>IF(B203="","",'Statement of Marks'!FJ204)</f>
        <v/>
      </c>
      <c r="L203" s="295" t="str">
        <f>IF(B203="","",'Statement of Marks'!FM204)</f>
        <v/>
      </c>
      <c r="M203" s="295" t="str">
        <f>IF(B203="","",'Statement of Marks'!FP204)</f>
        <v/>
      </c>
      <c r="N203" s="295" t="str">
        <f>IF(B203="","",'Statement of Marks'!FW204)</f>
        <v/>
      </c>
      <c r="O203" s="295" t="str">
        <f>IF(B203="","",'Statement of Marks'!GD204)</f>
        <v/>
      </c>
      <c r="P203" s="295" t="str">
        <f>IF(B203="","",'Statement of Marks'!GK204)</f>
        <v/>
      </c>
      <c r="Q203" s="295" t="str">
        <f>IF(B203="","",'Statement of Marks'!GR204)</f>
        <v/>
      </c>
      <c r="R203" s="295" t="str">
        <f>IF(B203="","",'Statement of Marks'!GS204)</f>
        <v/>
      </c>
      <c r="S203" s="287" t="str">
        <f>IF(COUNTIF(K203:R203,"F")&gt;0,"",CONCATENATE('Statement of Marks'!GU204,'Statement of Marks'!GW204))</f>
        <v xml:space="preserve">           </v>
      </c>
      <c r="T203" s="288">
        <f t="shared" si="54"/>
        <v>0</v>
      </c>
      <c r="U203" s="16"/>
      <c r="V203" s="296" t="str">
        <f t="shared" si="55"/>
        <v/>
      </c>
      <c r="W203" s="296" t="str">
        <f t="shared" si="56"/>
        <v/>
      </c>
      <c r="X203" s="16"/>
      <c r="Y203" s="296" t="str">
        <f t="shared" si="57"/>
        <v/>
      </c>
      <c r="Z203" s="296" t="str">
        <f t="shared" si="58"/>
        <v/>
      </c>
      <c r="AA203" s="16"/>
      <c r="AB203" s="296" t="str">
        <f t="shared" si="59"/>
        <v/>
      </c>
      <c r="AC203" s="297" t="str">
        <f t="shared" si="60"/>
        <v/>
      </c>
      <c r="AD203" s="16"/>
      <c r="AE203" s="296" t="str">
        <f t="shared" si="61"/>
        <v/>
      </c>
      <c r="AF203" s="297" t="str">
        <f t="shared" si="62"/>
        <v/>
      </c>
      <c r="AG203" s="16"/>
      <c r="AH203" s="296" t="str">
        <f t="shared" si="63"/>
        <v/>
      </c>
      <c r="AI203" s="297" t="str">
        <f t="shared" si="64"/>
        <v/>
      </c>
      <c r="AJ203" s="16"/>
      <c r="AK203" s="297" t="str">
        <f t="shared" si="65"/>
        <v/>
      </c>
      <c r="AL203" s="297" t="str">
        <f t="shared" si="66"/>
        <v/>
      </c>
      <c r="AM203" s="16"/>
      <c r="AN203" s="296" t="str">
        <f t="shared" si="67"/>
        <v/>
      </c>
      <c r="AO203" s="16"/>
      <c r="AP203" s="296" t="str">
        <f t="shared" si="68"/>
        <v/>
      </c>
      <c r="AQ203" s="298">
        <f t="shared" si="69"/>
        <v>0</v>
      </c>
      <c r="AR203" s="298">
        <f t="shared" si="70"/>
        <v>0</v>
      </c>
      <c r="AS203" s="299" t="str">
        <f t="shared" si="71"/>
        <v/>
      </c>
      <c r="AT203" s="300" t="str">
        <f>IF(COUNTIF(K203:R203,"F")&gt;0,"",IF(AS203="PASS",'Statement of Marks'!HF204,""))</f>
        <v/>
      </c>
      <c r="AU203" s="300" t="str">
        <f>IF(AS203="PASS",'Statement of Marks'!HG204,"")</f>
        <v/>
      </c>
    </row>
    <row r="204" spans="1:47">
      <c r="A204" s="283">
        <f>IF('Statement of Marks'!A205="","",'Statement of Marks'!A205)</f>
        <v>198</v>
      </c>
      <c r="B204" s="283" t="str">
        <f>IF('Statement of Marks'!B205="","",'Statement of Marks'!B205)</f>
        <v/>
      </c>
      <c r="C204" s="283" t="str">
        <f>IF('Statement of Marks'!C205="","",'Statement of Marks'!C205)</f>
        <v/>
      </c>
      <c r="D204" s="284" t="str">
        <f>IF('Statement of Marks'!D205="","",'Statement of Marks'!D205)</f>
        <v/>
      </c>
      <c r="E204" s="285" t="str">
        <f>IF('Statement of Marks'!E205="","",'Statement of Marks'!E205)</f>
        <v/>
      </c>
      <c r="F204" s="285" t="str">
        <f>IF('Statement of Marks'!F205="","",'Statement of Marks'!F205)</f>
        <v/>
      </c>
      <c r="G204" s="285" t="str">
        <f>IF('Statement of Marks'!G205="","",'Statement of Marks'!G205)</f>
        <v/>
      </c>
      <c r="H204" s="286" t="str">
        <f>IF('Statement of Marks'!GY205="","",'Statement of Marks'!GY205)</f>
        <v/>
      </c>
      <c r="I204" s="286" t="str">
        <f>IF('Statement of Marks'!HB205="","",'Statement of Marks'!HB205)</f>
        <v/>
      </c>
      <c r="J204" s="287" t="str">
        <f>IF('Statement of Marks'!HC205="","",'Statement of Marks'!HC205)</f>
        <v/>
      </c>
      <c r="K204" s="295" t="str">
        <f>IF(B204="","",'Statement of Marks'!FJ205)</f>
        <v/>
      </c>
      <c r="L204" s="295" t="str">
        <f>IF(B204="","",'Statement of Marks'!FM205)</f>
        <v/>
      </c>
      <c r="M204" s="295" t="str">
        <f>IF(B204="","",'Statement of Marks'!FP205)</f>
        <v/>
      </c>
      <c r="N204" s="295" t="str">
        <f>IF(B204="","",'Statement of Marks'!FW205)</f>
        <v/>
      </c>
      <c r="O204" s="295" t="str">
        <f>IF(B204="","",'Statement of Marks'!GD205)</f>
        <v/>
      </c>
      <c r="P204" s="295" t="str">
        <f>IF(B204="","",'Statement of Marks'!GK205)</f>
        <v/>
      </c>
      <c r="Q204" s="295" t="str">
        <f>IF(B204="","",'Statement of Marks'!GR205)</f>
        <v/>
      </c>
      <c r="R204" s="295" t="str">
        <f>IF(B204="","",'Statement of Marks'!GS205)</f>
        <v/>
      </c>
      <c r="S204" s="287" t="str">
        <f>IF(COUNTIF(K204:R204,"F")&gt;0,"",CONCATENATE('Statement of Marks'!GU205,'Statement of Marks'!GW205))</f>
        <v xml:space="preserve">           </v>
      </c>
      <c r="T204" s="288">
        <f t="shared" si="54"/>
        <v>0</v>
      </c>
      <c r="U204" s="16"/>
      <c r="V204" s="296" t="str">
        <f t="shared" si="55"/>
        <v/>
      </c>
      <c r="W204" s="296" t="str">
        <f t="shared" si="56"/>
        <v/>
      </c>
      <c r="X204" s="16"/>
      <c r="Y204" s="296" t="str">
        <f t="shared" si="57"/>
        <v/>
      </c>
      <c r="Z204" s="296" t="str">
        <f t="shared" si="58"/>
        <v/>
      </c>
      <c r="AA204" s="16"/>
      <c r="AB204" s="296" t="str">
        <f t="shared" si="59"/>
        <v/>
      </c>
      <c r="AC204" s="297" t="str">
        <f t="shared" si="60"/>
        <v/>
      </c>
      <c r="AD204" s="16"/>
      <c r="AE204" s="296" t="str">
        <f t="shared" si="61"/>
        <v/>
      </c>
      <c r="AF204" s="297" t="str">
        <f t="shared" si="62"/>
        <v/>
      </c>
      <c r="AG204" s="16"/>
      <c r="AH204" s="296" t="str">
        <f t="shared" si="63"/>
        <v/>
      </c>
      <c r="AI204" s="297" t="str">
        <f t="shared" si="64"/>
        <v/>
      </c>
      <c r="AJ204" s="16"/>
      <c r="AK204" s="297" t="str">
        <f t="shared" si="65"/>
        <v/>
      </c>
      <c r="AL204" s="297" t="str">
        <f t="shared" si="66"/>
        <v/>
      </c>
      <c r="AM204" s="16"/>
      <c r="AN204" s="296" t="str">
        <f t="shared" si="67"/>
        <v/>
      </c>
      <c r="AO204" s="16"/>
      <c r="AP204" s="296" t="str">
        <f t="shared" si="68"/>
        <v/>
      </c>
      <c r="AQ204" s="298">
        <f t="shared" si="69"/>
        <v>0</v>
      </c>
      <c r="AR204" s="298">
        <f t="shared" si="70"/>
        <v>0</v>
      </c>
      <c r="AS204" s="299" t="str">
        <f t="shared" si="71"/>
        <v/>
      </c>
      <c r="AT204" s="300" t="str">
        <f>IF(COUNTIF(K204:R204,"F")&gt;0,"",IF(AS204="PASS",'Statement of Marks'!HF205,""))</f>
        <v/>
      </c>
      <c r="AU204" s="300" t="str">
        <f>IF(AS204="PASS",'Statement of Marks'!HG205,"")</f>
        <v/>
      </c>
    </row>
    <row r="205" spans="1:47">
      <c r="A205" s="283">
        <f>IF('Statement of Marks'!A206="","",'Statement of Marks'!A206)</f>
        <v>199</v>
      </c>
      <c r="B205" s="283" t="str">
        <f>IF('Statement of Marks'!B206="","",'Statement of Marks'!B206)</f>
        <v/>
      </c>
      <c r="C205" s="283" t="str">
        <f>IF('Statement of Marks'!C206="","",'Statement of Marks'!C206)</f>
        <v/>
      </c>
      <c r="D205" s="284" t="str">
        <f>IF('Statement of Marks'!D206="","",'Statement of Marks'!D206)</f>
        <v/>
      </c>
      <c r="E205" s="285" t="str">
        <f>IF('Statement of Marks'!E206="","",'Statement of Marks'!E206)</f>
        <v/>
      </c>
      <c r="F205" s="285" t="str">
        <f>IF('Statement of Marks'!F206="","",'Statement of Marks'!F206)</f>
        <v/>
      </c>
      <c r="G205" s="285" t="str">
        <f>IF('Statement of Marks'!G206="","",'Statement of Marks'!G206)</f>
        <v/>
      </c>
      <c r="H205" s="286" t="str">
        <f>IF('Statement of Marks'!GY206="","",'Statement of Marks'!GY206)</f>
        <v/>
      </c>
      <c r="I205" s="286" t="str">
        <f>IF('Statement of Marks'!HB206="","",'Statement of Marks'!HB206)</f>
        <v/>
      </c>
      <c r="J205" s="287" t="str">
        <f>IF('Statement of Marks'!HC206="","",'Statement of Marks'!HC206)</f>
        <v/>
      </c>
      <c r="K205" s="295" t="str">
        <f>IF(B205="","",'Statement of Marks'!FJ206)</f>
        <v/>
      </c>
      <c r="L205" s="295" t="str">
        <f>IF(B205="","",'Statement of Marks'!FM206)</f>
        <v/>
      </c>
      <c r="M205" s="295" t="str">
        <f>IF(B205="","",'Statement of Marks'!FP206)</f>
        <v/>
      </c>
      <c r="N205" s="295" t="str">
        <f>IF(B205="","",'Statement of Marks'!FW206)</f>
        <v/>
      </c>
      <c r="O205" s="295" t="str">
        <f>IF(B205="","",'Statement of Marks'!GD206)</f>
        <v/>
      </c>
      <c r="P205" s="295" t="str">
        <f>IF(B205="","",'Statement of Marks'!GK206)</f>
        <v/>
      </c>
      <c r="Q205" s="295" t="str">
        <f>IF(B205="","",'Statement of Marks'!GR206)</f>
        <v/>
      </c>
      <c r="R205" s="295" t="str">
        <f>IF(B205="","",'Statement of Marks'!GS206)</f>
        <v/>
      </c>
      <c r="S205" s="287" t="str">
        <f>IF(COUNTIF(K205:R205,"F")&gt;0,"",CONCATENATE('Statement of Marks'!GU206,'Statement of Marks'!GW206))</f>
        <v xml:space="preserve">           </v>
      </c>
      <c r="T205" s="288">
        <f t="shared" si="54"/>
        <v>0</v>
      </c>
      <c r="U205" s="16"/>
      <c r="V205" s="296" t="str">
        <f t="shared" si="55"/>
        <v/>
      </c>
      <c r="W205" s="296" t="str">
        <f t="shared" si="56"/>
        <v/>
      </c>
      <c r="X205" s="16"/>
      <c r="Y205" s="296" t="str">
        <f t="shared" si="57"/>
        <v/>
      </c>
      <c r="Z205" s="296" t="str">
        <f t="shared" si="58"/>
        <v/>
      </c>
      <c r="AA205" s="16"/>
      <c r="AB205" s="296" t="str">
        <f t="shared" si="59"/>
        <v/>
      </c>
      <c r="AC205" s="297" t="str">
        <f t="shared" si="60"/>
        <v/>
      </c>
      <c r="AD205" s="16"/>
      <c r="AE205" s="296" t="str">
        <f t="shared" si="61"/>
        <v/>
      </c>
      <c r="AF205" s="297" t="str">
        <f t="shared" si="62"/>
        <v/>
      </c>
      <c r="AG205" s="16"/>
      <c r="AH205" s="296" t="str">
        <f t="shared" si="63"/>
        <v/>
      </c>
      <c r="AI205" s="297" t="str">
        <f t="shared" si="64"/>
        <v/>
      </c>
      <c r="AJ205" s="16"/>
      <c r="AK205" s="297" t="str">
        <f t="shared" si="65"/>
        <v/>
      </c>
      <c r="AL205" s="297" t="str">
        <f t="shared" si="66"/>
        <v/>
      </c>
      <c r="AM205" s="16"/>
      <c r="AN205" s="296" t="str">
        <f t="shared" si="67"/>
        <v/>
      </c>
      <c r="AO205" s="16"/>
      <c r="AP205" s="296" t="str">
        <f t="shared" si="68"/>
        <v/>
      </c>
      <c r="AQ205" s="298">
        <f t="shared" si="69"/>
        <v>0</v>
      </c>
      <c r="AR205" s="298">
        <f t="shared" si="70"/>
        <v>0</v>
      </c>
      <c r="AS205" s="299" t="str">
        <f t="shared" si="71"/>
        <v/>
      </c>
      <c r="AT205" s="300" t="str">
        <f>IF(COUNTIF(K205:R205,"F")&gt;0,"",IF(AS205="PASS",'Statement of Marks'!HF206,""))</f>
        <v/>
      </c>
      <c r="AU205" s="300" t="str">
        <f>IF(AS205="PASS",'Statement of Marks'!HG206,"")</f>
        <v/>
      </c>
    </row>
    <row r="206" spans="1:47">
      <c r="A206" s="283">
        <f>IF('Statement of Marks'!A207="","",'Statement of Marks'!A207)</f>
        <v>200</v>
      </c>
      <c r="B206" s="283" t="str">
        <f>IF('Statement of Marks'!B207="","",'Statement of Marks'!B207)</f>
        <v/>
      </c>
      <c r="C206" s="283" t="str">
        <f>IF('Statement of Marks'!C207="","",'Statement of Marks'!C207)</f>
        <v/>
      </c>
      <c r="D206" s="284" t="str">
        <f>IF('Statement of Marks'!D207="","",'Statement of Marks'!D207)</f>
        <v/>
      </c>
      <c r="E206" s="285" t="str">
        <f>IF('Statement of Marks'!E207="","",'Statement of Marks'!E207)</f>
        <v/>
      </c>
      <c r="F206" s="285" t="str">
        <f>IF('Statement of Marks'!F207="","",'Statement of Marks'!F207)</f>
        <v/>
      </c>
      <c r="G206" s="285" t="str">
        <f>IF('Statement of Marks'!G207="","",'Statement of Marks'!G207)</f>
        <v/>
      </c>
      <c r="H206" s="286" t="str">
        <f>IF('Statement of Marks'!GY207="","",'Statement of Marks'!GY207)</f>
        <v/>
      </c>
      <c r="I206" s="286" t="str">
        <f>IF('Statement of Marks'!HB207="","",'Statement of Marks'!HB207)</f>
        <v/>
      </c>
      <c r="J206" s="287" t="str">
        <f>IF('Statement of Marks'!HC207="","",'Statement of Marks'!HC207)</f>
        <v/>
      </c>
      <c r="K206" s="295" t="str">
        <f>IF(B206="","",'Statement of Marks'!FJ207)</f>
        <v/>
      </c>
      <c r="L206" s="295" t="str">
        <f>IF(B206="","",'Statement of Marks'!FM207)</f>
        <v/>
      </c>
      <c r="M206" s="295" t="str">
        <f>IF(B206="","",'Statement of Marks'!FP207)</f>
        <v/>
      </c>
      <c r="N206" s="295" t="str">
        <f>IF(B206="","",'Statement of Marks'!FW207)</f>
        <v/>
      </c>
      <c r="O206" s="295" t="str">
        <f>IF(B206="","",'Statement of Marks'!GD207)</f>
        <v/>
      </c>
      <c r="P206" s="295" t="str">
        <f>IF(B206="","",'Statement of Marks'!GK207)</f>
        <v/>
      </c>
      <c r="Q206" s="295" t="str">
        <f>IF(B206="","",'Statement of Marks'!GR207)</f>
        <v/>
      </c>
      <c r="R206" s="295" t="str">
        <f>IF(B206="","",'Statement of Marks'!GS207)</f>
        <v/>
      </c>
      <c r="S206" s="287" t="str">
        <f>IF(COUNTIF(K206:R206,"F")&gt;0,"",CONCATENATE('Statement of Marks'!GU207,'Statement of Marks'!GW207))</f>
        <v xml:space="preserve">           </v>
      </c>
      <c r="T206" s="288">
        <f t="shared" si="54"/>
        <v>0</v>
      </c>
      <c r="U206" s="16"/>
      <c r="V206" s="296" t="str">
        <f t="shared" si="55"/>
        <v/>
      </c>
      <c r="W206" s="296" t="str">
        <f t="shared" si="56"/>
        <v/>
      </c>
      <c r="X206" s="16"/>
      <c r="Y206" s="296" t="str">
        <f t="shared" si="57"/>
        <v/>
      </c>
      <c r="Z206" s="296" t="str">
        <f t="shared" si="58"/>
        <v/>
      </c>
      <c r="AA206" s="16"/>
      <c r="AB206" s="296" t="str">
        <f>IF(AA206="","",IF(OR(AA206="AB",M206="RE"),AA206,IF(AND(M206="S"),ROUNDUP(AA206,0),)))</f>
        <v/>
      </c>
      <c r="AC206" s="297" t="str">
        <f>IF(AA206="","",IF(OR(AA206="AB",AA206&lt;36%*$AA$6),"F","P"))</f>
        <v/>
      </c>
      <c r="AD206" s="16"/>
      <c r="AE206" s="296" t="str">
        <f t="shared" si="61"/>
        <v/>
      </c>
      <c r="AF206" s="297" t="str">
        <f t="shared" si="62"/>
        <v/>
      </c>
      <c r="AG206" s="16"/>
      <c r="AH206" s="296" t="str">
        <f t="shared" si="63"/>
        <v/>
      </c>
      <c r="AI206" s="297" t="str">
        <f t="shared" si="64"/>
        <v/>
      </c>
      <c r="AJ206" s="16"/>
      <c r="AK206" s="297" t="str">
        <f t="shared" si="65"/>
        <v/>
      </c>
      <c r="AL206" s="297" t="str">
        <f t="shared" si="66"/>
        <v/>
      </c>
      <c r="AM206" s="16"/>
      <c r="AN206" s="296" t="str">
        <f t="shared" si="67"/>
        <v/>
      </c>
      <c r="AO206" s="16"/>
      <c r="AP206" s="296" t="str">
        <f t="shared" si="68"/>
        <v/>
      </c>
      <c r="AQ206" s="298">
        <f t="shared" si="69"/>
        <v>0</v>
      </c>
      <c r="AR206" s="298">
        <f t="shared" si="70"/>
        <v>0</v>
      </c>
      <c r="AS206" s="299" t="str">
        <f t="shared" si="71"/>
        <v/>
      </c>
      <c r="AT206" s="300" t="str">
        <f>IF(COUNTIF(K206:R206,"F")&gt;0,"",IF(AS206="PASS",'Statement of Marks'!HF207,""))</f>
        <v/>
      </c>
      <c r="AU206" s="300" t="str">
        <f>IF(AS206="PASS",'Statement of Marks'!HG207,"")</f>
        <v/>
      </c>
    </row>
    <row r="207" spans="1:47" ht="15.75">
      <c r="A207" s="1433"/>
      <c r="B207" s="1434"/>
      <c r="C207" s="1434"/>
      <c r="D207" s="1434"/>
      <c r="E207" s="1434"/>
      <c r="F207" s="1434"/>
      <c r="G207" s="1434"/>
      <c r="H207" s="1434"/>
      <c r="I207" s="1434"/>
      <c r="J207" s="1434"/>
      <c r="K207" s="1434"/>
      <c r="L207" s="1434"/>
      <c r="M207" s="1434"/>
      <c r="N207" s="1434"/>
      <c r="O207" s="1434"/>
      <c r="P207" s="1434"/>
      <c r="Q207" s="1434"/>
      <c r="R207" s="1434"/>
      <c r="S207" s="1434"/>
      <c r="T207" s="1434"/>
      <c r="U207" s="1434"/>
      <c r="V207" s="1434"/>
      <c r="W207" s="1434"/>
      <c r="X207" s="1434"/>
      <c r="Y207" s="1434"/>
      <c r="Z207" s="1434"/>
      <c r="AA207" s="1434"/>
      <c r="AB207" s="1434"/>
      <c r="AC207" s="1434"/>
      <c r="AD207" s="1434"/>
      <c r="AE207" s="1434"/>
      <c r="AF207" s="1434"/>
      <c r="AG207" s="1434"/>
      <c r="AH207" s="1434"/>
      <c r="AI207" s="1434"/>
      <c r="AJ207" s="1434"/>
      <c r="AK207" s="1434"/>
      <c r="AL207" s="1434"/>
      <c r="AM207" s="1434"/>
      <c r="AN207" s="1434"/>
      <c r="AO207" s="1434"/>
      <c r="AP207" s="1434"/>
      <c r="AQ207" s="1434"/>
      <c r="AR207" s="1434"/>
      <c r="AS207" s="1434"/>
      <c r="AT207" s="1434"/>
      <c r="AU207" s="1434"/>
    </row>
    <row r="208" spans="1:47" ht="18.75">
      <c r="A208" s="302"/>
      <c r="B208" s="1389" t="str">
        <f>IF('Master Sheet'!D11="Hindi","विवरण","Details")</f>
        <v>विवरण</v>
      </c>
      <c r="C208" s="1389"/>
      <c r="D208" s="1389"/>
      <c r="E208" s="653" t="str">
        <f>IF('Master Sheet'!D11="Hindi","मुख्य परीक्षा","Main Exam")</f>
        <v>मुख्य परीक्षा</v>
      </c>
      <c r="F208" s="653" t="str">
        <f>IF('Master Sheet'!D11="Hindi","पूरक परीक्षा","Supp. Exam")</f>
        <v>पूरक परीक्षा</v>
      </c>
      <c r="G208" s="653" t="str">
        <f>IF('Master Sheet'!D11="Hindi","अंतिम परिणाम","Final Result")</f>
        <v>अंतिम परिणाम</v>
      </c>
      <c r="H208" s="1385"/>
      <c r="I208" s="1388" t="str">
        <f>IF('Master Sheet'!D11="Hindi","कुल प्रविष्ट","Total appeared")</f>
        <v>कुल प्रविष्ट</v>
      </c>
      <c r="J208" s="1388"/>
      <c r="K208" s="655">
        <f>SUM(K213,K215,K216,K217)</f>
        <v>11</v>
      </c>
      <c r="L208" s="655">
        <f t="shared" ref="L208:N208" si="72">SUM(L213,L215,L216,L217)</f>
        <v>11</v>
      </c>
      <c r="M208" s="655">
        <f t="shared" si="72"/>
        <v>11</v>
      </c>
      <c r="N208" s="655">
        <f t="shared" si="72"/>
        <v>11</v>
      </c>
      <c r="O208" s="655">
        <f>SUM(O213,O215,O216,O217)</f>
        <v>7</v>
      </c>
      <c r="P208" s="655">
        <f>SUM(P213,P215,P216,P217)</f>
        <v>4</v>
      </c>
      <c r="Q208" s="655">
        <f t="shared" ref="Q208:R208" si="73">SUM(Q213,Q215,Q216,Q217)</f>
        <v>11</v>
      </c>
      <c r="R208" s="655">
        <f t="shared" si="73"/>
        <v>11</v>
      </c>
      <c r="S208" s="1420" t="str">
        <f>IF('Master Sheet'!D11="Hindi","हस्ताक्षर कक्षाध्यापक","Signature of the class teacher")</f>
        <v>हस्ताक्षर कक्षाध्यापक</v>
      </c>
      <c r="T208" s="1432" t="str">
        <f>CONCATENATE("( ",UPPER('Master Sheet'!D17)," )")</f>
        <v>( YOGESH )</v>
      </c>
      <c r="U208" s="1432"/>
      <c r="V208" s="1432"/>
      <c r="W208" s="1432"/>
      <c r="X208" s="1432"/>
      <c r="Y208" s="1432"/>
      <c r="Z208" s="1432"/>
      <c r="AA208" s="303"/>
      <c r="AB208" s="303"/>
      <c r="AC208" s="303"/>
      <c r="AD208" s="303"/>
      <c r="AE208" s="303"/>
      <c r="AF208" s="303"/>
      <c r="AG208" s="303"/>
      <c r="AH208" s="303"/>
      <c r="AI208" s="303"/>
      <c r="AJ208" s="303"/>
      <c r="AK208" s="303"/>
      <c r="AL208" s="303"/>
      <c r="AM208" s="303"/>
      <c r="AN208" s="303"/>
      <c r="AO208" s="303"/>
      <c r="AP208" s="303"/>
      <c r="AQ208" s="303"/>
      <c r="AR208" s="303"/>
      <c r="AS208" s="303"/>
      <c r="AT208" s="303"/>
      <c r="AU208" s="304"/>
    </row>
    <row r="209" spans="1:47" ht="18.75" customHeight="1">
      <c r="A209" s="305"/>
      <c r="B209" s="1375" t="str">
        <f>IF('Master Sheet'!D11="Hindi","कुल प्रविष्ट","Total appeared")</f>
        <v>कुल प्रविष्ट</v>
      </c>
      <c r="C209" s="1375"/>
      <c r="D209" s="1375"/>
      <c r="E209" s="306">
        <f>COUNTA(B7:B206)-COUNTIF(B7:B206,"0")-COUNTIF(B7:B206,"blank")-COUNTIF(B7:B206,"")-COUNTIF(B7:B206,"NSO")</f>
        <v>11</v>
      </c>
      <c r="F209" s="307">
        <f>COUNTIF(H7:H206,"SUPPLEMENTARY")</f>
        <v>1</v>
      </c>
      <c r="G209" s="306">
        <f>E209</f>
        <v>11</v>
      </c>
      <c r="H209" s="1386"/>
      <c r="I209" s="1375" t="str">
        <f>IF('Master Sheet'!D11="Hindi","विशेष योग्यता","Distinction Marks")</f>
        <v>विशेष योग्यता</v>
      </c>
      <c r="J209" s="1375"/>
      <c r="K209" s="308">
        <f t="shared" ref="K209:P209" si="74">COUNTIF(K7:K206,"D")</f>
        <v>0</v>
      </c>
      <c r="L209" s="308">
        <f t="shared" si="74"/>
        <v>0</v>
      </c>
      <c r="M209" s="308">
        <f t="shared" si="74"/>
        <v>0</v>
      </c>
      <c r="N209" s="308">
        <f t="shared" si="74"/>
        <v>2</v>
      </c>
      <c r="O209" s="308">
        <f t="shared" si="74"/>
        <v>2</v>
      </c>
      <c r="P209" s="308">
        <f t="shared" si="74"/>
        <v>0</v>
      </c>
      <c r="Q209" s="308">
        <f>COUNTIF(Q7:Q206,"A")</f>
        <v>11</v>
      </c>
      <c r="R209" s="308">
        <f>COUNTIF(R7:R206,"A")</f>
        <v>1</v>
      </c>
      <c r="S209" s="1373"/>
      <c r="T209" s="1376"/>
      <c r="U209" s="1376"/>
      <c r="V209" s="1376"/>
      <c r="W209" s="1376"/>
      <c r="X209" s="1376"/>
      <c r="Y209" s="1376"/>
      <c r="Z209" s="1376"/>
      <c r="AA209" s="309"/>
      <c r="AB209" s="309"/>
      <c r="AC209" s="309"/>
      <c r="AD209" s="309"/>
      <c r="AE209" s="309"/>
      <c r="AF209" s="309"/>
      <c r="AG209" s="309"/>
      <c r="AH209" s="309"/>
      <c r="AI209" s="309"/>
      <c r="AJ209" s="309"/>
      <c r="AK209" s="309"/>
      <c r="AL209" s="309"/>
      <c r="AM209" s="309"/>
      <c r="AN209" s="309"/>
      <c r="AO209" s="309"/>
      <c r="AP209" s="309"/>
      <c r="AQ209" s="309"/>
      <c r="AR209" s="309"/>
      <c r="AS209" s="309"/>
      <c r="AT209" s="309"/>
      <c r="AU209" s="310"/>
    </row>
    <row r="210" spans="1:47" ht="18.75" customHeight="1">
      <c r="A210" s="305"/>
      <c r="B210" s="1375" t="str">
        <f>IF('Master Sheet'!D11="Hindi","प्रथम श्रेणी","1st Div.")</f>
        <v>प्रथम श्रेणी</v>
      </c>
      <c r="C210" s="1375"/>
      <c r="D210" s="1375"/>
      <c r="E210" s="311">
        <f>COUNTIF(I7:I206,"I")</f>
        <v>5</v>
      </c>
      <c r="F210" s="311">
        <f>COUNTIF(AU7:AU206,"I")</f>
        <v>0</v>
      </c>
      <c r="G210" s="312">
        <f>SUM(E210,F210)</f>
        <v>5</v>
      </c>
      <c r="H210" s="1386"/>
      <c r="I210" s="1375" t="str">
        <f>IF('Master Sheet'!D11="Hindi","प्रथम श्रेणी","1st Div.")</f>
        <v>प्रथम श्रेणी</v>
      </c>
      <c r="J210" s="1375"/>
      <c r="K210" s="313">
        <f t="shared" ref="K210:P210" si="75">COUNTIF(K7:K206,"I")</f>
        <v>3</v>
      </c>
      <c r="L210" s="313">
        <f t="shared" si="75"/>
        <v>8</v>
      </c>
      <c r="M210" s="313">
        <f t="shared" si="75"/>
        <v>4</v>
      </c>
      <c r="N210" s="313">
        <f t="shared" si="75"/>
        <v>5</v>
      </c>
      <c r="O210" s="313">
        <f t="shared" si="75"/>
        <v>1</v>
      </c>
      <c r="P210" s="313">
        <f t="shared" si="75"/>
        <v>1</v>
      </c>
      <c r="Q210" s="313">
        <f>COUNTIF(Q7:Q206,"B")</f>
        <v>0</v>
      </c>
      <c r="R210" s="313">
        <f>COUNTIF(R7:R206,"B")</f>
        <v>10</v>
      </c>
      <c r="S210" s="1373"/>
      <c r="T210" s="1376"/>
      <c r="U210" s="1376"/>
      <c r="V210" s="1376"/>
      <c r="W210" s="1376"/>
      <c r="X210" s="1376"/>
      <c r="Y210" s="1376"/>
      <c r="Z210" s="1376"/>
      <c r="AA210" s="309"/>
      <c r="AB210" s="309"/>
      <c r="AC210" s="309"/>
      <c r="AD210" s="309"/>
      <c r="AE210" s="309"/>
      <c r="AF210" s="309"/>
      <c r="AG210" s="309"/>
      <c r="AH210" s="309"/>
      <c r="AI210" s="309"/>
      <c r="AJ210" s="309"/>
      <c r="AK210" s="309"/>
      <c r="AL210" s="309"/>
      <c r="AM210" s="309"/>
      <c r="AN210" s="309"/>
      <c r="AO210" s="309"/>
      <c r="AP210" s="309"/>
      <c r="AQ210" s="309"/>
      <c r="AR210" s="309"/>
      <c r="AS210" s="309"/>
      <c r="AT210" s="309"/>
      <c r="AU210" s="310"/>
    </row>
    <row r="211" spans="1:47" ht="18.75" customHeight="1">
      <c r="A211" s="314"/>
      <c r="B211" s="1375" t="str">
        <f>IF('Master Sheet'!D11="Hindi","द्वितीय श्रेणी","2nd Div.")</f>
        <v>द्वितीय श्रेणी</v>
      </c>
      <c r="C211" s="1375"/>
      <c r="D211" s="1375"/>
      <c r="E211" s="308">
        <f>COUNTIF(I7:I206,"II")</f>
        <v>1</v>
      </c>
      <c r="F211" s="308">
        <f>COUNTIF(AU7:AU206,"II")</f>
        <v>0</v>
      </c>
      <c r="G211" s="312">
        <f>SUM(E211,F211)</f>
        <v>1</v>
      </c>
      <c r="H211" s="1386"/>
      <c r="I211" s="1375" t="str">
        <f>IF('Master Sheet'!D11="Hindi","द्वितीय श्रेणी","2nd Div.")</f>
        <v>द्वितीय श्रेणी</v>
      </c>
      <c r="J211" s="1375"/>
      <c r="K211" s="313">
        <f t="shared" ref="K211:P211" si="76">COUNTIF(K7:K206,"II")</f>
        <v>7</v>
      </c>
      <c r="L211" s="313">
        <f t="shared" si="76"/>
        <v>3</v>
      </c>
      <c r="M211" s="313">
        <f t="shared" si="76"/>
        <v>1</v>
      </c>
      <c r="N211" s="313">
        <f t="shared" si="76"/>
        <v>2</v>
      </c>
      <c r="O211" s="313">
        <f t="shared" si="76"/>
        <v>4</v>
      </c>
      <c r="P211" s="313">
        <f t="shared" si="76"/>
        <v>0</v>
      </c>
      <c r="Q211" s="313">
        <f>COUNTIF(Q7:Q206,"C")</f>
        <v>0</v>
      </c>
      <c r="R211" s="313">
        <f>COUNTIF(R7:R206,"C")</f>
        <v>0</v>
      </c>
      <c r="S211" s="1373" t="str">
        <f>IF('Master Sheet'!D11="Hindi","हस्ताक्षर जांचकर्ता","Signature of the checker")</f>
        <v>हस्ताक्षर जांचकर्ता</v>
      </c>
      <c r="T211" s="1376" t="str">
        <f>CONCATENATE("( ",UPPER('Master Sheet'!D15)," )")</f>
        <v>( RAKESH KUMAR )</v>
      </c>
      <c r="U211" s="1376"/>
      <c r="V211" s="1376"/>
      <c r="W211" s="1376"/>
      <c r="X211" s="1376"/>
      <c r="Y211" s="1376"/>
      <c r="Z211" s="1376"/>
      <c r="AA211" s="309"/>
      <c r="AB211" s="309"/>
      <c r="AC211" s="309"/>
      <c r="AD211" s="309"/>
      <c r="AE211" s="309"/>
      <c r="AF211" s="309"/>
      <c r="AG211" s="309"/>
      <c r="AH211" s="309"/>
      <c r="AI211" s="309"/>
      <c r="AJ211" s="309"/>
      <c r="AK211" s="309"/>
      <c r="AL211" s="309"/>
      <c r="AM211" s="309"/>
      <c r="AN211" s="309"/>
      <c r="AO211" s="309"/>
      <c r="AP211" s="309"/>
      <c r="AQ211" s="309"/>
      <c r="AR211" s="309"/>
      <c r="AS211" s="309"/>
      <c r="AT211" s="309"/>
      <c r="AU211" s="310"/>
    </row>
    <row r="212" spans="1:47" ht="18.75" customHeight="1">
      <c r="A212" s="315"/>
      <c r="B212" s="1375" t="str">
        <f>IF('Master Sheet'!D11="Hindi","तृतीय श्रेणी","3rd Div.")</f>
        <v>तृतीय श्रेणी</v>
      </c>
      <c r="C212" s="1375"/>
      <c r="D212" s="1375"/>
      <c r="E212" s="307">
        <f>COUNTIF(I7:I206,"III")</f>
        <v>3</v>
      </c>
      <c r="F212" s="311">
        <f>COUNTIF(AU7:AU206,"III")</f>
        <v>1</v>
      </c>
      <c r="G212" s="316">
        <f>SUM(E212,F212)</f>
        <v>4</v>
      </c>
      <c r="H212" s="1386"/>
      <c r="I212" s="1375" t="str">
        <f>IF('Master Sheet'!D11="Hindi","तृतीय श्रेणी","3rd Div.")</f>
        <v>तृतीय श्रेणी</v>
      </c>
      <c r="J212" s="1375"/>
      <c r="K212" s="317">
        <f t="shared" ref="K212:P212" si="77">COUNTIF(K7:K206,"III")+COUNTIF(K7:K206,"G")</f>
        <v>1</v>
      </c>
      <c r="L212" s="317">
        <f t="shared" si="77"/>
        <v>0</v>
      </c>
      <c r="M212" s="317">
        <f t="shared" si="77"/>
        <v>4</v>
      </c>
      <c r="N212" s="317">
        <f t="shared" si="77"/>
        <v>2</v>
      </c>
      <c r="O212" s="317">
        <f t="shared" si="77"/>
        <v>0</v>
      </c>
      <c r="P212" s="317">
        <f t="shared" si="77"/>
        <v>3</v>
      </c>
      <c r="Q212" s="317">
        <f>COUNTIF(Q7:Q206,"D")</f>
        <v>0</v>
      </c>
      <c r="R212" s="317">
        <f>COUNTIF(R7:R206,"D")</f>
        <v>0</v>
      </c>
      <c r="S212" s="1373"/>
      <c r="T212" s="1376"/>
      <c r="U212" s="1376"/>
      <c r="V212" s="1376"/>
      <c r="W212" s="1376"/>
      <c r="X212" s="1376"/>
      <c r="Y212" s="1376"/>
      <c r="Z212" s="1376"/>
      <c r="AA212" s="309"/>
      <c r="AB212" s="309"/>
      <c r="AC212" s="309"/>
      <c r="AD212" s="309"/>
      <c r="AE212" s="309"/>
      <c r="AF212" s="309"/>
      <c r="AG212" s="309"/>
      <c r="AH212" s="309"/>
      <c r="AI212" s="309"/>
      <c r="AJ212" s="309"/>
      <c r="AK212" s="309"/>
      <c r="AL212" s="309"/>
      <c r="AM212" s="309"/>
      <c r="AN212" s="309"/>
      <c r="AO212" s="309"/>
      <c r="AP212" s="309"/>
      <c r="AQ212" s="309"/>
      <c r="AR212" s="309"/>
      <c r="AS212" s="309"/>
      <c r="AT212" s="309"/>
      <c r="AU212" s="310"/>
    </row>
    <row r="213" spans="1:47" ht="18.75" customHeight="1">
      <c r="A213" s="318"/>
      <c r="B213" s="1375" t="str">
        <f>IF('Master Sheet'!D11="Hindi","उतीर्ण","Pass")</f>
        <v>उतीर्ण</v>
      </c>
      <c r="C213" s="1375"/>
      <c r="D213" s="1375"/>
      <c r="E213" s="306">
        <f>COUNTIF(H7:H206,"PASS")+COUNTIF(H7:H206,"BY GRACE PASS")</f>
        <v>9</v>
      </c>
      <c r="F213" s="319">
        <f>COUNTIF(AS7:AS206,"PASS")</f>
        <v>1</v>
      </c>
      <c r="G213" s="312">
        <f>SUM(E213,F213)</f>
        <v>10</v>
      </c>
      <c r="H213" s="1386"/>
      <c r="I213" s="1375" t="str">
        <f>IF('Master Sheet'!D11="Hindi","उतीर्ण","Pass")</f>
        <v>उतीर्ण</v>
      </c>
      <c r="J213" s="1375"/>
      <c r="K213" s="317">
        <f>SUM(K209,K210,K211,K212)</f>
        <v>11</v>
      </c>
      <c r="L213" s="317">
        <f t="shared" ref="L213:N213" si="78">SUM(L209,L210,L211,L212)</f>
        <v>11</v>
      </c>
      <c r="M213" s="317">
        <f t="shared" si="78"/>
        <v>9</v>
      </c>
      <c r="N213" s="317">
        <f t="shared" si="78"/>
        <v>11</v>
      </c>
      <c r="O213" s="317">
        <f>SUM(O209,O210,O211,O212)</f>
        <v>7</v>
      </c>
      <c r="P213" s="317">
        <f>SUM(P209,P210,P211,P212)</f>
        <v>4</v>
      </c>
      <c r="Q213" s="317">
        <f t="shared" ref="Q213:R213" si="79">SUM(Q209,Q210,Q211,Q212)</f>
        <v>11</v>
      </c>
      <c r="R213" s="317">
        <f t="shared" si="79"/>
        <v>11</v>
      </c>
      <c r="S213" s="1373"/>
      <c r="T213" s="1376"/>
      <c r="U213" s="1376"/>
      <c r="V213" s="1376"/>
      <c r="W213" s="1376"/>
      <c r="X213" s="1376"/>
      <c r="Y213" s="1376"/>
      <c r="Z213" s="1376"/>
      <c r="AA213" s="309"/>
      <c r="AB213" s="309"/>
      <c r="AC213" s="309"/>
      <c r="AD213" s="309"/>
      <c r="AE213" s="309"/>
      <c r="AF213" s="309"/>
      <c r="AG213" s="309"/>
      <c r="AH213" s="309"/>
      <c r="AI213" s="309"/>
      <c r="AJ213" s="309"/>
      <c r="AK213" s="309"/>
      <c r="AL213" s="309"/>
      <c r="AM213" s="309"/>
      <c r="AN213" s="309"/>
      <c r="AO213" s="309"/>
      <c r="AP213" s="309"/>
      <c r="AQ213" s="309"/>
      <c r="AR213" s="309"/>
      <c r="AS213" s="309"/>
      <c r="AT213" s="309"/>
      <c r="AU213" s="310"/>
    </row>
    <row r="214" spans="1:47" ht="33.75" customHeight="1">
      <c r="A214" s="318"/>
      <c r="B214" s="1375" t="str">
        <f>IF('Master Sheet'!D11="Hindi","उतीर्ण प्रतिशत","Pass %")</f>
        <v>उतीर्ण प्रतिशत</v>
      </c>
      <c r="C214" s="1375"/>
      <c r="D214" s="1375"/>
      <c r="E214" s="320">
        <f>IF(E209=0,"",E213/E209*100)</f>
        <v>81.818181818181827</v>
      </c>
      <c r="F214" s="320">
        <f>IF(F209=0,"",F213/F209*100)</f>
        <v>100</v>
      </c>
      <c r="G214" s="320">
        <f>IF(G209=0,"",G213/G209*100)</f>
        <v>90.909090909090907</v>
      </c>
      <c r="H214" s="1386"/>
      <c r="I214" s="1375" t="str">
        <f>IF('Master Sheet'!D11="Hindi","उतीर्ण प्रतिशत","Pass %")</f>
        <v>उतीर्ण प्रतिशत</v>
      </c>
      <c r="J214" s="1375"/>
      <c r="K214" s="321">
        <f>IF(K208=0,"",K213/K208*100)</f>
        <v>100</v>
      </c>
      <c r="L214" s="321">
        <f t="shared" ref="L214:N214" si="80">IF(L208=0,"",L213/L208*100)</f>
        <v>100</v>
      </c>
      <c r="M214" s="321">
        <f t="shared" si="80"/>
        <v>81.818181818181827</v>
      </c>
      <c r="N214" s="321">
        <f t="shared" si="80"/>
        <v>100</v>
      </c>
      <c r="O214" s="321">
        <f>IF(O208=0,"",O213/O208*100)</f>
        <v>100</v>
      </c>
      <c r="P214" s="321">
        <f>IF(P208=0,"",P213/P208*100)</f>
        <v>100</v>
      </c>
      <c r="Q214" s="321">
        <f t="shared" ref="Q214:R214" si="81">IF(Q208=0,"",Q213/Q208*100)</f>
        <v>100</v>
      </c>
      <c r="R214" s="321">
        <f t="shared" si="81"/>
        <v>100</v>
      </c>
      <c r="S214" s="1373" t="str">
        <f>IF('Master Sheet'!D11="Hindi","हस्ताक्षर परीक्षा प्रभारी","Signature of the exam. Incharge")</f>
        <v>हस्ताक्षर परीक्षा प्रभारी</v>
      </c>
      <c r="T214" s="1376" t="str">
        <f>CONCATENATE("( ",UPPER('Master Sheet'!D14)," )")</f>
        <v>( HEERALAL JAT )</v>
      </c>
      <c r="U214" s="1376"/>
      <c r="V214" s="1376"/>
      <c r="W214" s="1376"/>
      <c r="X214" s="1376"/>
      <c r="Y214" s="1376"/>
      <c r="Z214" s="1376"/>
      <c r="AA214" s="309"/>
      <c r="AB214" s="309"/>
      <c r="AC214" s="309"/>
      <c r="AD214" s="309"/>
      <c r="AE214" s="309"/>
      <c r="AF214" s="309"/>
      <c r="AG214" s="309"/>
      <c r="AH214" s="309"/>
      <c r="AI214" s="309"/>
      <c r="AJ214" s="309"/>
      <c r="AK214" s="309"/>
      <c r="AL214" s="309"/>
      <c r="AM214" s="309"/>
      <c r="AN214" s="309"/>
      <c r="AO214" s="309"/>
      <c r="AP214" s="309"/>
      <c r="AQ214" s="309"/>
      <c r="AR214" s="309"/>
      <c r="AS214" s="309"/>
      <c r="AT214" s="309"/>
      <c r="AU214" s="310"/>
    </row>
    <row r="215" spans="1:47" ht="18.75" customHeight="1">
      <c r="A215" s="318"/>
      <c r="B215" s="1375" t="str">
        <f>IF('Master Sheet'!D11="Hindi","अनुतीर्ण","Failed")</f>
        <v>अनुतीर्ण</v>
      </c>
      <c r="C215" s="1375"/>
      <c r="D215" s="1375"/>
      <c r="E215" s="322">
        <f>COUNTIF(H7:H206,"FAIL")</f>
        <v>1</v>
      </c>
      <c r="F215" s="323">
        <f>COUNTIF(AS7:AS206,"FAIL")</f>
        <v>0</v>
      </c>
      <c r="G215" s="324">
        <f>E215</f>
        <v>1</v>
      </c>
      <c r="H215" s="1386"/>
      <c r="I215" s="1375" t="str">
        <f>IF('Master Sheet'!D11="Hindi","पूरक","Supp.")</f>
        <v>पूरक</v>
      </c>
      <c r="J215" s="1375"/>
      <c r="K215" s="325">
        <f t="shared" ref="K215:Q215" si="82">COUNTIF(K7:K206,"S")</f>
        <v>0</v>
      </c>
      <c r="L215" s="325">
        <f t="shared" si="82"/>
        <v>0</v>
      </c>
      <c r="M215" s="325">
        <f t="shared" si="82"/>
        <v>1</v>
      </c>
      <c r="N215" s="325">
        <f t="shared" si="82"/>
        <v>0</v>
      </c>
      <c r="O215" s="325">
        <f t="shared" si="82"/>
        <v>0</v>
      </c>
      <c r="P215" s="325">
        <f t="shared" ref="P215" si="83">COUNTIF(P7:P206,"S")</f>
        <v>0</v>
      </c>
      <c r="Q215" s="325">
        <f t="shared" si="82"/>
        <v>0</v>
      </c>
      <c r="R215" s="325">
        <f t="shared" ref="R215" si="84">COUNTIF(R7:R206,"S")</f>
        <v>0</v>
      </c>
      <c r="S215" s="1373"/>
      <c r="T215" s="1376"/>
      <c r="U215" s="1376"/>
      <c r="V215" s="1376"/>
      <c r="W215" s="1376"/>
      <c r="X215" s="1376"/>
      <c r="Y215" s="1376"/>
      <c r="Z215" s="1376"/>
      <c r="AA215" s="309"/>
      <c r="AB215" s="309"/>
      <c r="AC215" s="309"/>
      <c r="AD215" s="309"/>
      <c r="AE215" s="309"/>
      <c r="AF215" s="309"/>
      <c r="AG215" s="309"/>
      <c r="AH215" s="309"/>
      <c r="AI215" s="309"/>
      <c r="AJ215" s="309"/>
      <c r="AK215" s="309"/>
      <c r="AL215" s="309"/>
      <c r="AM215" s="309"/>
      <c r="AN215" s="309"/>
      <c r="AO215" s="309"/>
      <c r="AP215" s="309"/>
      <c r="AQ215" s="309"/>
      <c r="AR215" s="309"/>
      <c r="AS215" s="309"/>
      <c r="AT215" s="309"/>
      <c r="AU215" s="310"/>
    </row>
    <row r="216" spans="1:47" ht="18.75" customHeight="1">
      <c r="A216" s="318"/>
      <c r="B216" s="1375" t="str">
        <f>IF('Master Sheet'!D11="Hindi","पूरक","Supp.")</f>
        <v>पूरक</v>
      </c>
      <c r="C216" s="1375"/>
      <c r="D216" s="1381"/>
      <c r="E216" s="326">
        <f>COUNTIF(H7:H206,"SUPPLEMENTARY")</f>
        <v>1</v>
      </c>
      <c r="F216" s="327">
        <f>COUNTIF(AS7:AS206,"SUPPLEMENTARY")</f>
        <v>0</v>
      </c>
      <c r="G216" s="327">
        <f>F216</f>
        <v>0</v>
      </c>
      <c r="H216" s="1386"/>
      <c r="I216" s="1375" t="str">
        <f>IF('Master Sheet'!D11="Hindi","अनुतीर्ण","Failed")</f>
        <v>अनुतीर्ण</v>
      </c>
      <c r="J216" s="1375"/>
      <c r="K216" s="325">
        <f t="shared" ref="K216:Q216" si="85">COUNTIF(K7:K206,"F")</f>
        <v>0</v>
      </c>
      <c r="L216" s="325">
        <f t="shared" si="85"/>
        <v>0</v>
      </c>
      <c r="M216" s="325">
        <f t="shared" si="85"/>
        <v>1</v>
      </c>
      <c r="N216" s="325">
        <f t="shared" si="85"/>
        <v>0</v>
      </c>
      <c r="O216" s="325">
        <f t="shared" si="85"/>
        <v>0</v>
      </c>
      <c r="P216" s="325">
        <f t="shared" ref="P216" si="86">COUNTIF(P7:P206,"F")</f>
        <v>0</v>
      </c>
      <c r="Q216" s="325">
        <f t="shared" si="85"/>
        <v>0</v>
      </c>
      <c r="R216" s="325">
        <f t="shared" ref="R216" si="87">COUNTIF(R7:R206,"F")</f>
        <v>0</v>
      </c>
      <c r="S216" s="1373" t="str">
        <f>IF('Master Sheet'!D11="Hindi","हस्ताक्षर संस्था प्रधान","Head of Institute's Signature")</f>
        <v>हस्ताक्षर संस्था प्रधान</v>
      </c>
      <c r="T216" s="1376" t="str">
        <f>CONCATENATE("( ",UPPER('Master Sheet'!D12)," )")</f>
        <v>( USHA PALIYA )</v>
      </c>
      <c r="U216" s="1376"/>
      <c r="V216" s="1376"/>
      <c r="W216" s="1376"/>
      <c r="X216" s="1376"/>
      <c r="Y216" s="1376"/>
      <c r="Z216" s="1376"/>
      <c r="AA216" s="309"/>
      <c r="AB216" s="309"/>
      <c r="AC216" s="309"/>
      <c r="AD216" s="309"/>
      <c r="AE216" s="309"/>
      <c r="AF216" s="309"/>
      <c r="AG216" s="309"/>
      <c r="AH216" s="309"/>
      <c r="AI216" s="309"/>
      <c r="AJ216" s="309"/>
      <c r="AK216" s="309"/>
      <c r="AL216" s="309"/>
      <c r="AM216" s="309"/>
      <c r="AN216" s="309"/>
      <c r="AO216" s="309"/>
      <c r="AP216" s="309"/>
      <c r="AQ216" s="309"/>
      <c r="AR216" s="309"/>
      <c r="AS216" s="309"/>
      <c r="AT216" s="309"/>
      <c r="AU216" s="310"/>
    </row>
    <row r="217" spans="1:47" ht="18.75" customHeight="1">
      <c r="A217" s="305"/>
      <c r="B217" s="1377" t="str">
        <f>IF('Master Sheet'!D11="Hindi","पूरक परीक्षा परिणाम घोषित दिनांक :-","Date of Supplementary result declaration :-")</f>
        <v>पूरक परीक्षा परिणाम घोषित दिनांक :-</v>
      </c>
      <c r="C217" s="1378"/>
      <c r="D217" s="1378"/>
      <c r="E217" s="1379"/>
      <c r="F217" s="1380"/>
      <c r="G217" s="654">
        <f>'Master Sheet'!D18</f>
        <v>45427</v>
      </c>
      <c r="H217" s="1387"/>
      <c r="I217" s="1375" t="str">
        <f>IF('Master Sheet'!D11="Hindi","पुनः परीक्षा","Re-Exam")</f>
        <v>पुनः परीक्षा</v>
      </c>
      <c r="J217" s="1375"/>
      <c r="K217" s="325">
        <f t="shared" ref="K217:Q217" si="88">COUNTIF(K7:K206,"RE")</f>
        <v>0</v>
      </c>
      <c r="L217" s="325">
        <f t="shared" si="88"/>
        <v>0</v>
      </c>
      <c r="M217" s="325">
        <f t="shared" si="88"/>
        <v>0</v>
      </c>
      <c r="N217" s="325">
        <f t="shared" si="88"/>
        <v>0</v>
      </c>
      <c r="O217" s="325">
        <f t="shared" si="88"/>
        <v>0</v>
      </c>
      <c r="P217" s="325">
        <f t="shared" ref="P217" si="89">COUNTIF(P7:P206,"RE")</f>
        <v>0</v>
      </c>
      <c r="Q217" s="325">
        <f t="shared" si="88"/>
        <v>0</v>
      </c>
      <c r="R217" s="325">
        <f t="shared" ref="R217" si="90">COUNTIF(R7:R206,"RE")</f>
        <v>0</v>
      </c>
      <c r="S217" s="1373"/>
      <c r="T217" s="1376"/>
      <c r="U217" s="1376"/>
      <c r="V217" s="1376"/>
      <c r="W217" s="1376"/>
      <c r="X217" s="1376"/>
      <c r="Y217" s="1376"/>
      <c r="Z217" s="1376"/>
      <c r="AA217" s="74"/>
      <c r="AB217" s="74"/>
      <c r="AC217" s="74"/>
      <c r="AD217" s="74"/>
      <c r="AE217" s="1374"/>
      <c r="AF217" s="1374"/>
      <c r="AG217" s="1374"/>
      <c r="AH217" s="1374"/>
      <c r="AI217" s="74"/>
      <c r="AJ217" s="74"/>
      <c r="AK217" s="74"/>
      <c r="AL217" s="74"/>
      <c r="AM217" s="74"/>
      <c r="AN217" s="74"/>
      <c r="AO217" s="74"/>
      <c r="AP217" s="74"/>
      <c r="AQ217" s="74"/>
      <c r="AR217" s="74"/>
      <c r="AS217" s="74"/>
      <c r="AT217" s="74"/>
      <c r="AU217" s="328"/>
    </row>
    <row r="218" spans="1:47" ht="18.75" customHeight="1">
      <c r="A218" s="305"/>
      <c r="B218" s="1382"/>
      <c r="C218" s="1383"/>
      <c r="D218" s="1383"/>
      <c r="E218" s="1383"/>
      <c r="F218" s="1383"/>
      <c r="G218" s="1383"/>
      <c r="H218" s="1384"/>
      <c r="I218" s="1375" t="str">
        <f>IF('Master Sheet'!D11="Hindi","अनुपस्थित","Absent")</f>
        <v>अनुपस्थित</v>
      </c>
      <c r="J218" s="1375"/>
      <c r="K218" s="325">
        <f t="shared" ref="K218:Q218" si="91">COUNTIF(K7:K206,"AB")</f>
        <v>0</v>
      </c>
      <c r="L218" s="325">
        <f t="shared" si="91"/>
        <v>0</v>
      </c>
      <c r="M218" s="325">
        <f t="shared" si="91"/>
        <v>0</v>
      </c>
      <c r="N218" s="325">
        <f t="shared" si="91"/>
        <v>0</v>
      </c>
      <c r="O218" s="325">
        <f t="shared" si="91"/>
        <v>0</v>
      </c>
      <c r="P218" s="325">
        <f t="shared" ref="P218" si="92">COUNTIF(P7:P206,"AB")</f>
        <v>0</v>
      </c>
      <c r="Q218" s="325">
        <f t="shared" si="91"/>
        <v>0</v>
      </c>
      <c r="R218" s="325">
        <f t="shared" ref="R218" si="93">COUNTIF(R7:R206,"AB")</f>
        <v>0</v>
      </c>
      <c r="S218" s="1373"/>
      <c r="T218" s="1376"/>
      <c r="U218" s="1376"/>
      <c r="V218" s="1376"/>
      <c r="W218" s="1376"/>
      <c r="X218" s="1376"/>
      <c r="Y218" s="1376"/>
      <c r="Z218" s="1376"/>
      <c r="AA218" s="74"/>
      <c r="AB218" s="74"/>
      <c r="AC218" s="74"/>
      <c r="AD218" s="74"/>
      <c r="AE218" s="1374"/>
      <c r="AF218" s="1374"/>
      <c r="AG218" s="1374"/>
      <c r="AH218" s="1374"/>
      <c r="AI218" s="74"/>
      <c r="AJ218" s="74"/>
      <c r="AK218" s="74"/>
      <c r="AL218" s="74"/>
      <c r="AM218" s="74"/>
      <c r="AN218" s="74"/>
      <c r="AO218" s="74"/>
      <c r="AP218" s="74"/>
      <c r="AQ218" s="74"/>
      <c r="AR218" s="74"/>
      <c r="AS218" s="74"/>
      <c r="AT218" s="74"/>
      <c r="AU218" s="328"/>
    </row>
    <row r="219" spans="1:47">
      <c r="A219" s="329"/>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c r="AI219" s="330"/>
      <c r="AJ219" s="330"/>
      <c r="AK219" s="330"/>
      <c r="AL219" s="330"/>
      <c r="AM219" s="330"/>
      <c r="AN219" s="330"/>
      <c r="AO219" s="330"/>
      <c r="AP219" s="330"/>
      <c r="AQ219" s="330"/>
      <c r="AR219" s="330"/>
      <c r="AS219" s="330"/>
      <c r="AT219" s="330"/>
      <c r="AU219" s="331"/>
    </row>
    <row r="220" spans="1:47" ht="18.75">
      <c r="D220" s="332"/>
      <c r="E220" s="333"/>
    </row>
  </sheetData>
  <sheetProtection password="D1E2" sheet="1" objects="1" scenarios="1" formatColumns="0" formatRows="0"/>
  <protectedRanges>
    <protectedRange password="EA02" sqref="X7:X207 AA7:AA207 AD7:AD207 AG7:AG207 AM7:AM207 U7:U207 AJ7:AJ206 AO7:AO206" name="suppl marks"/>
  </protectedRanges>
  <mergeCells count="82">
    <mergeCell ref="N5:N6"/>
    <mergeCell ref="AG2:AI2"/>
    <mergeCell ref="AR2:AR5"/>
    <mergeCell ref="F2:F4"/>
    <mergeCell ref="S208:S210"/>
    <mergeCell ref="F5:F6"/>
    <mergeCell ref="AG3:AI3"/>
    <mergeCell ref="AJ3:AL3"/>
    <mergeCell ref="AO2:AP4"/>
    <mergeCell ref="K2:R4"/>
    <mergeCell ref="O5:O6"/>
    <mergeCell ref="M5:M6"/>
    <mergeCell ref="Q5:Q6"/>
    <mergeCell ref="R5:R6"/>
    <mergeCell ref="T208:Z210"/>
    <mergeCell ref="A207:AU207"/>
    <mergeCell ref="AS2:AU4"/>
    <mergeCell ref="AJ4:AL4"/>
    <mergeCell ref="AJ2:AL2"/>
    <mergeCell ref="P5:P6"/>
    <mergeCell ref="AM2:AN4"/>
    <mergeCell ref="AA4:AC4"/>
    <mergeCell ref="AD4:AF4"/>
    <mergeCell ref="AG4:AI4"/>
    <mergeCell ref="AQ2:AQ5"/>
    <mergeCell ref="L5:L6"/>
    <mergeCell ref="A5:A6"/>
    <mergeCell ref="B5:B6"/>
    <mergeCell ref="C5:C6"/>
    <mergeCell ref="D5:D6"/>
    <mergeCell ref="E5:E6"/>
    <mergeCell ref="G5:G6"/>
    <mergeCell ref="H5:H6"/>
    <mergeCell ref="I5:I6"/>
    <mergeCell ref="J5:J6"/>
    <mergeCell ref="K5:K6"/>
    <mergeCell ref="B209:D209"/>
    <mergeCell ref="I209:J209"/>
    <mergeCell ref="B210:D210"/>
    <mergeCell ref="I210:J210"/>
    <mergeCell ref="H208:H217"/>
    <mergeCell ref="B211:D211"/>
    <mergeCell ref="I211:J211"/>
    <mergeCell ref="I208:J208"/>
    <mergeCell ref="I213:J213"/>
    <mergeCell ref="B208:D208"/>
    <mergeCell ref="S211:S213"/>
    <mergeCell ref="T211:Z213"/>
    <mergeCell ref="B212:D212"/>
    <mergeCell ref="I212:J212"/>
    <mergeCell ref="B213:D213"/>
    <mergeCell ref="AE217:AH218"/>
    <mergeCell ref="I218:J218"/>
    <mergeCell ref="B214:D214"/>
    <mergeCell ref="I214:J214"/>
    <mergeCell ref="S214:S215"/>
    <mergeCell ref="T214:Z215"/>
    <mergeCell ref="B215:D215"/>
    <mergeCell ref="I215:J215"/>
    <mergeCell ref="B217:F217"/>
    <mergeCell ref="B216:D216"/>
    <mergeCell ref="I216:J216"/>
    <mergeCell ref="S216:S218"/>
    <mergeCell ref="T216:Z218"/>
    <mergeCell ref="I217:J217"/>
    <mergeCell ref="B218:H218"/>
    <mergeCell ref="G2:G4"/>
    <mergeCell ref="C2:C4"/>
    <mergeCell ref="D2:D4"/>
    <mergeCell ref="E2:E4"/>
    <mergeCell ref="T1:AT1"/>
    <mergeCell ref="A1:J1"/>
    <mergeCell ref="K1:S1"/>
    <mergeCell ref="A2:B4"/>
    <mergeCell ref="S2:S5"/>
    <mergeCell ref="T2:T5"/>
    <mergeCell ref="U2:W4"/>
    <mergeCell ref="X2:Z4"/>
    <mergeCell ref="AA2:AC2"/>
    <mergeCell ref="AA3:AC3"/>
    <mergeCell ref="AD2:AF2"/>
    <mergeCell ref="AD3:AF3"/>
  </mergeCells>
  <conditionalFormatting sqref="G208:G211 O210:P211 B7:AB206 H208 G215 G213 E208 AJ7:AJ206 T214 T208 A7:A207 A1:A3 K208:R209 AM7:AR206 AD7:AE206 AG7:AH206 K2 K5:R5 T216 C2 P208:P211">
    <cfRule type="cellIs" dxfId="125" priority="22" stopIfTrue="1" operator="equal">
      <formula>0</formula>
    </cfRule>
  </conditionalFormatting>
  <conditionalFormatting sqref="G208 E208 H219:H65571 O210:P210 K208:R208">
    <cfRule type="containsText" dxfId="124" priority="21" stopIfTrue="1" operator="containsText" text="iwjd">
      <formula>NOT(ISERROR(SEARCH("iwjd",E208)))</formula>
    </cfRule>
  </conditionalFormatting>
  <conditionalFormatting sqref="H7:H206">
    <cfRule type="expression" dxfId="123" priority="9" stopIfTrue="1">
      <formula>H7="SUPPLEMENTARY"</formula>
    </cfRule>
  </conditionalFormatting>
  <conditionalFormatting sqref="K208:R218">
    <cfRule type="cellIs" dxfId="122" priority="19" stopIfTrue="1" operator="equal">
      <formula>0</formula>
    </cfRule>
  </conditionalFormatting>
  <conditionalFormatting sqref="K7:R206">
    <cfRule type="containsText" dxfId="121" priority="18" stopIfTrue="1" operator="containsText" text="s">
      <formula>NOT(ISERROR(SEARCH("s",K7)))</formula>
    </cfRule>
  </conditionalFormatting>
  <conditionalFormatting sqref="AQ7:AQ206">
    <cfRule type="containsText" dxfId="120" priority="17" stopIfTrue="1" operator="containsText" text="NA">
      <formula>NOT(ISERROR(SEARCH("NA",AQ7)))</formula>
    </cfRule>
  </conditionalFormatting>
  <conditionalFormatting sqref="AQ7:AQ206">
    <cfRule type="containsText" dxfId="119" priority="16" stopIfTrue="1" operator="containsText" text="ml">
      <formula>NOT(ISERROR(SEARCH("ml",AQ7)))</formula>
    </cfRule>
  </conditionalFormatting>
  <conditionalFormatting sqref="AS7:AU206">
    <cfRule type="containsText" dxfId="118" priority="15" operator="containsText" text="vuqRrh.kZ">
      <formula>NOT(ISERROR(SEARCH("vuqRrh.kZ",AS7)))</formula>
    </cfRule>
  </conditionalFormatting>
  <conditionalFormatting sqref="J7:J206">
    <cfRule type="top10" dxfId="117" priority="11" stopIfTrue="1" rank="3"/>
    <cfRule type="top10" dxfId="116" priority="12" stopIfTrue="1" percent="1" rank="3"/>
    <cfRule type="top10" dxfId="115" priority="13" stopIfTrue="1" percent="1" rank="3"/>
  </conditionalFormatting>
  <conditionalFormatting sqref="J7:J206">
    <cfRule type="top10" dxfId="114" priority="10" stopIfTrue="1" rank="3"/>
  </conditionalFormatting>
  <conditionalFormatting sqref="B7:B206">
    <cfRule type="expression" dxfId="113" priority="8">
      <formula>H7="SUPPLEMENTARY"</formula>
    </cfRule>
  </conditionalFormatting>
  <conditionalFormatting sqref="E7:E206">
    <cfRule type="expression" dxfId="112" priority="7">
      <formula>H7="SUPPLEMENTARY"</formula>
    </cfRule>
  </conditionalFormatting>
  <conditionalFormatting sqref="F7:F206">
    <cfRule type="expression" dxfId="111" priority="6">
      <formula>H7="SUPPLEMENTARY"</formula>
    </cfRule>
  </conditionalFormatting>
  <conditionalFormatting sqref="G7:G206">
    <cfRule type="expression" dxfId="110" priority="5">
      <formula>H7="SUPPLEMENTARY"</formula>
    </cfRule>
  </conditionalFormatting>
  <conditionalFormatting sqref="G208 E208">
    <cfRule type="containsText" dxfId="109" priority="3" stopIfTrue="1" operator="containsText" text="iwjd">
      <formula>NOT(ISERROR(SEARCH("iwjd",E208)))</formula>
    </cfRule>
  </conditionalFormatting>
  <conditionalFormatting sqref="F208">
    <cfRule type="containsText" dxfId="108" priority="2" stopIfTrue="1" operator="containsText" text="iwjd">
      <formula>NOT(ISERROR(SEARCH("iwjd",F208)))</formula>
    </cfRule>
  </conditionalFormatting>
  <conditionalFormatting sqref="G208">
    <cfRule type="containsText" dxfId="107" priority="1" stopIfTrue="1" operator="containsText" text="iwjd">
      <formula>NOT(ISERROR(SEARCH("iwjd",G208)))</formula>
    </cfRule>
  </conditionalFormatting>
  <dataValidations count="8">
    <dataValidation type="custom" allowBlank="1" showInputMessage="1" showErrorMessage="1" error="Check the student's result यदि उक्त विषय में पूरक आई है तो ही मार्क फिल कर सकते है " sqref="X7:X206">
      <formula1>IF(OR(L7="S",L7="RE"),(OR(X7="AB",X7&lt;=$X$6)),"")</formula1>
    </dataValidation>
    <dataValidation type="custom" allowBlank="1" showInputMessage="1" showErrorMessage="1" error="Check the student's result यदि उक्त विषय में पूरक आई है तो ही मार्क फिल कर सकते है " sqref="AA7:AA206">
      <formula1>IF(OR(M7="S",M7="RE",M7="REP"),(OR(AA7="AB",AA7&lt;=$AA$6)),"")</formula1>
    </dataValidation>
    <dataValidation type="custom" allowBlank="1" showInputMessage="1" showErrorMessage="1" error="Check the student's result यदि उक्त विषय में पूरक आई है तो ही मार्क फिल कर सकते है " sqref="AD7:AD206">
      <formula1>IF(OR(N7="S",N7="RE",N7="REP"),(OR(AD7="AB",AD7&lt;=$AD$6)),"")</formula1>
    </dataValidation>
    <dataValidation type="custom" allowBlank="1" showInputMessage="1" showErrorMessage="1" error="Check the student's result यदि उक्त विषय में पूरक आई है तो ही मार्क फिल कर सकते है " sqref="AG7:AG206">
      <formula1>IF(OR(O7="S",O7="RE",O7="REP"),(OR(AG7="AB",AG7&lt;=$AG$6)),"")</formula1>
    </dataValidation>
    <dataValidation type="custom" allowBlank="1" showInputMessage="1" showErrorMessage="1" error="Check the student's result यदि उक्त विषय में पूरक आई है तो ही मार्क फिल कर सकते है " sqref="U7:U206">
      <formula1>IF(OR(K7="S",K7="RE"),(OR(U7="AB",U7&lt;=U$6)),"")</formula1>
    </dataValidation>
    <dataValidation type="custom" allowBlank="1" showInputMessage="1" showErrorMessage="1" error="Check the student's result यदि उक्त विषय में पूरक आई है तो ही मार्क फिल कर सकते है " sqref="AM7:AM206">
      <formula1>IF(OR(Q7="S",Q7="RE",Q7="REP"),(OR(AM7="AB",AM7&lt;=$AM$6)),"")</formula1>
    </dataValidation>
    <dataValidation type="custom" allowBlank="1" showInputMessage="1" showErrorMessage="1" error="Check the student's result यदि उक्त विषय में पूरक आई है तो ही मार्क फिल कर सकते है " sqref="AJ7:AJ206">
      <formula1>IF(OR(P7="S",P7="RE",P7="REP"),(OR(AJ7="AB",AJ7&lt;=$AJ$6)),"")</formula1>
    </dataValidation>
    <dataValidation type="custom" allowBlank="1" showInputMessage="1" showErrorMessage="1" error="Check the student's result यदि उक्त विषय में पूरक आई है तो ही मार्क फिल कर सकते है " sqref="AO7:AO206">
      <formula1>IF(OR(T7="S",T7="RE",T7="REP"),(OR(AO7="AB",AO7&lt;=$AO$6)),"")</formula1>
    </dataValidation>
  </dataValidations>
  <pageMargins left="0.7" right="0.2" top="0.25" bottom="0.25" header="0.3" footer="0.3"/>
  <pageSetup paperSize="9" scale="85" fitToHeight="10" orientation="landscape" r:id="rId1"/>
</worksheet>
</file>

<file path=xl/worksheets/sheet8.xml><?xml version="1.0" encoding="utf-8"?>
<worksheet xmlns="http://schemas.openxmlformats.org/spreadsheetml/2006/main" xmlns:r="http://schemas.openxmlformats.org/officeDocument/2006/relationships">
  <sheetPr codeName="Sheet7">
    <pageSetUpPr fitToPage="1"/>
  </sheetPr>
  <dimension ref="A1:P51"/>
  <sheetViews>
    <sheetView showGridLines="0" view="pageBreakPreview" zoomScale="98" zoomScaleSheetLayoutView="98" workbookViewId="0">
      <selection activeCell="R11" sqref="R11"/>
    </sheetView>
  </sheetViews>
  <sheetFormatPr defaultRowHeight="15"/>
  <cols>
    <col min="1" max="1" width="21.375" style="129" customWidth="1"/>
    <col min="2" max="2" width="18" style="131" customWidth="1"/>
    <col min="3" max="4" width="7.75" style="129" customWidth="1"/>
    <col min="5" max="5" width="8.75" style="129" customWidth="1"/>
    <col min="6" max="6" width="7" style="129" customWidth="1"/>
    <col min="7" max="13" width="6.75" style="129" customWidth="1"/>
    <col min="14" max="14" width="7" style="129" customWidth="1"/>
    <col min="15" max="15" width="8.375" style="129" customWidth="1"/>
    <col min="16" max="16" width="4.25" style="129" customWidth="1"/>
    <col min="17" max="16384" width="9" style="17"/>
  </cols>
  <sheetData>
    <row r="1" spans="1:16" ht="40.5" customHeight="1" thickBot="1">
      <c r="A1" s="1443" t="str">
        <f>IF('Master Sheet'!D11="Hindi",CONCATENATE("विद्यालय का नाम :-","  ",'Master Sheet'!D8),CONCATENATE("School Name :-","  ",'Master Sheet'!D7))</f>
        <v xml:space="preserve">विद्यालय का नाम :-  महात्मा गाँधी राजकीय विद्यालय (अंग्रेजी माध्यम) बर, पाली </v>
      </c>
      <c r="B1" s="1443"/>
      <c r="C1" s="1443"/>
      <c r="D1" s="1443"/>
      <c r="E1" s="1443"/>
      <c r="F1" s="1443"/>
      <c r="G1" s="1443"/>
      <c r="H1" s="1443"/>
      <c r="I1" s="1443"/>
      <c r="J1" s="1443"/>
      <c r="K1" s="1443"/>
      <c r="L1" s="1443"/>
      <c r="M1" s="1443"/>
      <c r="N1" s="1443"/>
      <c r="O1" s="1443"/>
      <c r="P1" s="141"/>
    </row>
    <row r="2" spans="1:16" ht="20.25" customHeight="1" thickTop="1">
      <c r="A2" s="1444" t="str">
        <f>IF('Master Sheet'!$D$11="Hindi","विषय वार और विषयाध्यापक वार परिणाम","SUBJECT-WISE &amp; TEACHER'S-WISE RESULT")</f>
        <v>विषय वार और विषयाध्यापक वार परिणाम</v>
      </c>
      <c r="B2" s="1445"/>
      <c r="C2" s="1445"/>
      <c r="D2" s="1445"/>
      <c r="E2" s="1445"/>
      <c r="F2" s="1452" t="str">
        <f>IF('Master Sheet'!$D$11="Hindi","कक्षा :-","Class :-")</f>
        <v>कक्षा :-</v>
      </c>
      <c r="G2" s="1453"/>
      <c r="H2" s="1448" t="str">
        <f>CONCATENATE('Marks Entry'!H2," '",'Marks Entry'!H3,"'")</f>
        <v>11 'Arts'</v>
      </c>
      <c r="I2" s="1449"/>
      <c r="J2" s="1452" t="str">
        <f>IF('Master Sheet'!$D$11="Hindi","सत्र :-","Session :-")</f>
        <v>सत्र :-</v>
      </c>
      <c r="K2" s="1453"/>
      <c r="L2" s="1453"/>
      <c r="M2" s="1448" t="str">
        <f>'Marks Entry'!H1</f>
        <v>2023-2024</v>
      </c>
      <c r="N2" s="1448"/>
      <c r="O2" s="1449"/>
      <c r="P2" s="146"/>
    </row>
    <row r="3" spans="1:16" ht="20.25" customHeight="1" thickBot="1">
      <c r="A3" s="1446"/>
      <c r="B3" s="1447"/>
      <c r="C3" s="1447"/>
      <c r="D3" s="1447"/>
      <c r="E3" s="1447"/>
      <c r="F3" s="1454"/>
      <c r="G3" s="1455"/>
      <c r="H3" s="1450"/>
      <c r="I3" s="1451"/>
      <c r="J3" s="1454"/>
      <c r="K3" s="1455"/>
      <c r="L3" s="1455"/>
      <c r="M3" s="1456"/>
      <c r="N3" s="1456"/>
      <c r="O3" s="1457"/>
      <c r="P3" s="146"/>
    </row>
    <row r="4" spans="1:16" ht="91.5" customHeight="1" thickTop="1" thickBot="1">
      <c r="A4" s="664" t="str">
        <f>IF('Master Sheet'!$D$11="Hindi","विषयाध्यापक का नाम","Subject Teacher")</f>
        <v>विषयाध्यापक का नाम</v>
      </c>
      <c r="B4" s="665" t="str">
        <f>IF('Master Sheet'!$D$11="Hindi","विषय","Subject")</f>
        <v>विषय</v>
      </c>
      <c r="C4" s="666" t="str">
        <f>IF('Master Sheet'!$D$11="Hindi","कुल प्रविष्ट विद्यार्थी","No. of students appeared")</f>
        <v>कुल प्रविष्ट विद्यार्थी</v>
      </c>
      <c r="D4" s="667" t="str">
        <f>IF('Master Sheet'!$D$11="Hindi","उतीर्ण","Pass")</f>
        <v>उतीर्ण</v>
      </c>
      <c r="E4" s="667" t="str">
        <f>IF('Master Sheet'!$D$11="Hindi","प्रतिशत","Percentage")</f>
        <v>प्रतिशत</v>
      </c>
      <c r="F4" s="666" t="str">
        <f>IF('Master Sheet'!$D$11="Hindi","प्रथम श्रेणी","1st Div.")</f>
        <v>प्रथम श्रेणी</v>
      </c>
      <c r="G4" s="672" t="str">
        <f>IF('Master Sheet'!$D$11="Hindi","द्वितीय श्रेणी","2nd Div.")</f>
        <v>द्वितीय श्रेणी</v>
      </c>
      <c r="H4" s="674" t="str">
        <f>IF('Master Sheet'!$D$11="Hindi","तृतीय श्रेणी","3rd Div.")</f>
        <v>तृतीय श्रेणी</v>
      </c>
      <c r="I4" s="675" t="str">
        <f>IF('Master Sheet'!$D$11="Hindi","सानुग्रह उतीर्ण ","By Grace Pass")</f>
        <v xml:space="preserve">सानुग्रह उतीर्ण </v>
      </c>
      <c r="J4" s="673" t="str">
        <f>IF('Master Sheet'!$D$11="Hindi","पूरक","Supplementary")</f>
        <v>पूरक</v>
      </c>
      <c r="K4" s="666" t="str">
        <f>IF('Master Sheet'!$D$11="Hindi","अनुतीर्ण","Failed")</f>
        <v>अनुतीर्ण</v>
      </c>
      <c r="L4" s="666" t="str">
        <f>IF('Master Sheet'!$D$11="Hindi","अनुपस्थित","Absent")</f>
        <v>अनुपस्थित</v>
      </c>
      <c r="M4" s="666" t="str">
        <f>IF('Master Sheet'!$D$11="Hindi","पुनः परीक्षा","Re-Exam")</f>
        <v>पुनः परीक्षा</v>
      </c>
      <c r="N4" s="666" t="str">
        <f>IF('Master Sheet'!$D$11="Hindi","नाम पृथक","NSO")</f>
        <v>नाम पृथक</v>
      </c>
      <c r="O4" s="667" t="str">
        <f>IF('Master Sheet'!$D$11="Hindi","कुल योग","Total")</f>
        <v>कुल योग</v>
      </c>
      <c r="P4" s="146"/>
    </row>
    <row r="5" spans="1:16" ht="24" customHeight="1" thickTop="1">
      <c r="A5" s="683" t="str">
        <f>IF('Statement of Marks'!J210="","",'Statement of Marks'!J210)</f>
        <v>RADHESHYAM</v>
      </c>
      <c r="B5" s="684" t="str">
        <f>'Statement of Marks'!J209</f>
        <v>Com. Hindi</v>
      </c>
      <c r="C5" s="685">
        <f>'Statement of Marks'!J211</f>
        <v>11</v>
      </c>
      <c r="D5" s="685">
        <f>'Statement of Marks'!P213</f>
        <v>11</v>
      </c>
      <c r="E5" s="686">
        <f>IF(AND(A5="",B5="",C5=""),"", 'Statement of Marks'!J214)</f>
        <v>100</v>
      </c>
      <c r="F5" s="687">
        <f>'Statement of Marks'!J213</f>
        <v>3</v>
      </c>
      <c r="G5" s="688">
        <f>'Statement of Marks'!L213</f>
        <v>7</v>
      </c>
      <c r="H5" s="693">
        <f>'Statement of Marks'!N213</f>
        <v>1</v>
      </c>
      <c r="I5" s="689"/>
      <c r="J5" s="690">
        <f>'Statement of Marks'!J215</f>
        <v>0</v>
      </c>
      <c r="K5" s="687">
        <f>'Statement of Marks'!J216</f>
        <v>0</v>
      </c>
      <c r="L5" s="687">
        <f>'Statement of Marks'!J218</f>
        <v>0</v>
      </c>
      <c r="M5" s="687">
        <f>'Statement of Marks'!J219</f>
        <v>0</v>
      </c>
      <c r="N5" s="691">
        <f>COUNTIF('Statement of Marks'!$B$8:$B$207,"nso")</f>
        <v>0</v>
      </c>
      <c r="O5" s="692">
        <f>IF(D5="","",SUM(D5,J5,K5,M5,N5,L5))</f>
        <v>11</v>
      </c>
      <c r="P5" s="210"/>
    </row>
    <row r="6" spans="1:16" ht="24" customHeight="1">
      <c r="A6" s="668" t="str">
        <f>IF('Statement of Marks'!X210="","",'Statement of Marks'!X210)</f>
        <v>HEERALAL JAT</v>
      </c>
      <c r="B6" s="335" t="str">
        <f>'Statement of Marks'!X209</f>
        <v>Com. English</v>
      </c>
      <c r="C6" s="336">
        <f>'Statement of Marks'!X211</f>
        <v>11</v>
      </c>
      <c r="D6" s="336">
        <f>'Statement of Marks'!AD213</f>
        <v>11</v>
      </c>
      <c r="E6" s="337">
        <f>IF(AND(A6="",B6="",C6=""),"",'Statement of Marks'!X214)</f>
        <v>100</v>
      </c>
      <c r="F6" s="338">
        <f>'Statement of Marks'!X213</f>
        <v>8</v>
      </c>
      <c r="G6" s="676">
        <f>'Statement of Marks'!Z213</f>
        <v>3</v>
      </c>
      <c r="H6" s="682">
        <f>'Statement of Marks'!AB213</f>
        <v>0</v>
      </c>
      <c r="I6" s="679"/>
      <c r="J6" s="677">
        <f>'Statement of Marks'!X215</f>
        <v>0</v>
      </c>
      <c r="K6" s="338">
        <f>'Statement of Marks'!X216</f>
        <v>0</v>
      </c>
      <c r="L6" s="338">
        <f>'Statement of Marks'!X218</f>
        <v>0</v>
      </c>
      <c r="M6" s="338">
        <f>'Statement of Marks'!X219</f>
        <v>0</v>
      </c>
      <c r="N6" s="339">
        <f>COUNTIF('Statement of Marks'!$B$8:$B$207,"nso")</f>
        <v>0</v>
      </c>
      <c r="O6" s="334">
        <f t="shared" ref="O6:O19" si="0">IF(D6="","",SUM(D6,J6,K6,M6,N6,L6))</f>
        <v>11</v>
      </c>
      <c r="P6" s="210"/>
    </row>
    <row r="7" spans="1:16" ht="24" customHeight="1">
      <c r="A7" s="669" t="str">
        <f>IF('Statement of Marks'!AL210="","",'Statement of Marks'!AL210)</f>
        <v>Heeralal Jat</v>
      </c>
      <c r="B7" s="341" t="str">
        <f>IF('Statement of Marks'!AL209="","",'Statement of Marks'!AL209)</f>
        <v>POLITICAL SCIENCE</v>
      </c>
      <c r="C7" s="336">
        <f>IF('Statement of Marks'!AL211="","",'Statement of Marks'!AL211)</f>
        <v>20</v>
      </c>
      <c r="D7" s="336">
        <f>'Statement of Marks'!AP213</f>
        <v>18</v>
      </c>
      <c r="E7" s="337">
        <f>IF(AND(A7="",B7="",C7=""),"",'Statement of Marks'!AL214)</f>
        <v>90</v>
      </c>
      <c r="F7" s="338">
        <f>'Statement of Marks'!AL213</f>
        <v>4</v>
      </c>
      <c r="G7" s="338">
        <f>'Statement of Marks'!AM213</f>
        <v>9</v>
      </c>
      <c r="H7" s="338">
        <f>'Statement of Marks'!AN213</f>
        <v>3</v>
      </c>
      <c r="I7" s="338">
        <f>'Statement of Marks'!AO213</f>
        <v>2</v>
      </c>
      <c r="J7" s="678">
        <f>'Statement of Marks'!AL215</f>
        <v>1</v>
      </c>
      <c r="K7" s="338">
        <f>'Statement of Marks'!AL216</f>
        <v>1</v>
      </c>
      <c r="L7" s="338">
        <f>'Statement of Marks'!AL218</f>
        <v>0</v>
      </c>
      <c r="M7" s="338">
        <f>'Statement of Marks'!AL219</f>
        <v>0</v>
      </c>
      <c r="N7" s="339">
        <f>COUNTIF('Statement of Marks'!$B$8:$B$207,"nso")</f>
        <v>0</v>
      </c>
      <c r="O7" s="334">
        <f t="shared" si="0"/>
        <v>20</v>
      </c>
      <c r="P7" s="210"/>
    </row>
    <row r="8" spans="1:16" ht="24" customHeight="1">
      <c r="A8" s="669" t="str">
        <f>IF('Statement of Marks'!AQ210="","",'Statement of Marks'!AQ210)</f>
        <v/>
      </c>
      <c r="B8" s="341" t="str">
        <f>IF('Statement of Marks'!AQ209="","",'Statement of Marks'!AQ209)</f>
        <v>BIOLOGY</v>
      </c>
      <c r="C8" s="336">
        <f>IF('Statement of Marks'!AQ211="","",'Statement of Marks'!AQ211)</f>
        <v>10</v>
      </c>
      <c r="D8" s="343">
        <f>'Statement of Marks'!AU213</f>
        <v>9</v>
      </c>
      <c r="E8" s="337">
        <f>IF(AND(A8="",B8="",C8=""),"",'Statement of Marks'!AQ214)</f>
        <v>90</v>
      </c>
      <c r="F8" s="338">
        <f>'Statement of Marks'!AQ213</f>
        <v>6</v>
      </c>
      <c r="G8" s="338">
        <f>'Statement of Marks'!AR213</f>
        <v>3</v>
      </c>
      <c r="H8" s="338">
        <f>'Statement of Marks'!AS213</f>
        <v>0</v>
      </c>
      <c r="I8" s="338">
        <f>'Statement of Marks'!AT213</f>
        <v>0</v>
      </c>
      <c r="J8" s="678">
        <f>'Statement of Marks'!AQ215</f>
        <v>0</v>
      </c>
      <c r="K8" s="342">
        <f>'Statement of Marks'!AQ216</f>
        <v>1</v>
      </c>
      <c r="L8" s="342">
        <f>'Statement of Marks'!AQ218</f>
        <v>0</v>
      </c>
      <c r="M8" s="342">
        <f>'Statement of Marks'!AQ219</f>
        <v>0</v>
      </c>
      <c r="N8" s="339">
        <f>COUNTIF('Statement of Marks'!$B$8:$B$207,"nso")</f>
        <v>0</v>
      </c>
      <c r="O8" s="334">
        <f t="shared" si="0"/>
        <v>10</v>
      </c>
      <c r="P8" s="210"/>
    </row>
    <row r="9" spans="1:16" ht="24" customHeight="1">
      <c r="A9" s="669" t="str">
        <f>IF('Statement of Marks'!AV210="","",'Statement of Marks'!AV210)</f>
        <v/>
      </c>
      <c r="B9" s="341" t="str">
        <f>IF('Statement of Marks'!AV209="","",'Statement of Marks'!AV209)</f>
        <v/>
      </c>
      <c r="C9" s="336" t="str">
        <f>IF('Statement of Marks'!AV211="","",'Statement of Marks'!AV211)</f>
        <v/>
      </c>
      <c r="D9" s="336" t="str">
        <f>'Statement of Marks'!AZ213</f>
        <v/>
      </c>
      <c r="E9" s="337" t="str">
        <f>IF(AND(A9="",B9="",C9=""),"",'Statement of Marks'!AV214)</f>
        <v/>
      </c>
      <c r="F9" s="338" t="str">
        <f>'Statement of Marks'!AV213</f>
        <v/>
      </c>
      <c r="G9" s="338" t="str">
        <f>'Statement of Marks'!AW213</f>
        <v/>
      </c>
      <c r="H9" s="338" t="str">
        <f>'Statement of Marks'!AX213</f>
        <v/>
      </c>
      <c r="I9" s="338" t="str">
        <f>'Statement of Marks'!AY213</f>
        <v/>
      </c>
      <c r="J9" s="678" t="str">
        <f>'Statement of Marks'!AV215</f>
        <v/>
      </c>
      <c r="K9" s="342" t="str">
        <f>'Statement of Marks'!AV216</f>
        <v/>
      </c>
      <c r="L9" s="342" t="str">
        <f>'Statement of Marks'!AV218</f>
        <v/>
      </c>
      <c r="M9" s="342" t="str">
        <f>'Statement of Marks'!AV219</f>
        <v/>
      </c>
      <c r="N9" s="339">
        <f>COUNTIF('Statement of Marks'!$B$8:$B$207,"nso")</f>
        <v>0</v>
      </c>
      <c r="O9" s="334" t="str">
        <f t="shared" si="0"/>
        <v/>
      </c>
      <c r="P9" s="210"/>
    </row>
    <row r="10" spans="1:16" ht="24" customHeight="1">
      <c r="A10" s="340" t="str">
        <f>'Statement of Marks'!BI210</f>
        <v>Rakesh Kumar</v>
      </c>
      <c r="B10" s="341" t="str">
        <f>'Statement of Marks'!BI209</f>
        <v>HISTORY</v>
      </c>
      <c r="C10" s="336">
        <f>'Statement of Marks'!BI211</f>
        <v>15</v>
      </c>
      <c r="D10" s="336">
        <f>'Statement of Marks'!BM213</f>
        <v>14</v>
      </c>
      <c r="E10" s="337">
        <f>'Statement of Marks'!BI214</f>
        <v>93.333333333333329</v>
      </c>
      <c r="F10" s="338">
        <f>'Statement of Marks'!BI213</f>
        <v>4</v>
      </c>
      <c r="G10" s="338">
        <f>'Statement of Marks'!BJ213</f>
        <v>8</v>
      </c>
      <c r="H10" s="338">
        <f>'Statement of Marks'!BK213</f>
        <v>2</v>
      </c>
      <c r="I10" s="338">
        <f>'Statement of Marks'!BL213</f>
        <v>0</v>
      </c>
      <c r="J10" s="679">
        <f>'Statement of Marks'!BI215</f>
        <v>0</v>
      </c>
      <c r="K10" s="338">
        <f>'Statement of Marks'!BI216</f>
        <v>1</v>
      </c>
      <c r="L10" s="338">
        <f>'Statement of Marks'!BI218</f>
        <v>0</v>
      </c>
      <c r="M10" s="338">
        <f>'Statement of Marks'!BI219</f>
        <v>0</v>
      </c>
      <c r="N10" s="339">
        <f>COUNTIF('Statement of Marks'!$B$8:$B$207,"nso")</f>
        <v>0</v>
      </c>
      <c r="O10" s="334">
        <f t="shared" si="0"/>
        <v>15</v>
      </c>
      <c r="P10" s="210"/>
    </row>
    <row r="11" spans="1:16" ht="24" customHeight="1">
      <c r="A11" s="340" t="str">
        <f>'Statement of Marks'!BN210</f>
        <v/>
      </c>
      <c r="B11" s="341" t="str">
        <f>'Statement of Marks'!BN209</f>
        <v>ACCOUNTANCY</v>
      </c>
      <c r="C11" s="336">
        <f>'Statement of Marks'!BN211</f>
        <v>14</v>
      </c>
      <c r="D11" s="336">
        <f>'Statement of Marks'!BR213</f>
        <v>14</v>
      </c>
      <c r="E11" s="337">
        <f>'Statement of Marks'!BN214</f>
        <v>100</v>
      </c>
      <c r="F11" s="338">
        <f>'Statement of Marks'!BN213</f>
        <v>8</v>
      </c>
      <c r="G11" s="338">
        <f>'Statement of Marks'!BO213</f>
        <v>6</v>
      </c>
      <c r="H11" s="338">
        <f>'Statement of Marks'!BP213</f>
        <v>0</v>
      </c>
      <c r="I11" s="338">
        <f>'Statement of Marks'!BQ213</f>
        <v>0</v>
      </c>
      <c r="J11" s="678">
        <f>'Statement of Marks'!BO215</f>
        <v>0</v>
      </c>
      <c r="K11" s="342">
        <f>'Statement of Marks'!BO216</f>
        <v>0</v>
      </c>
      <c r="L11" s="342">
        <f>'Statement of Marks'!BO218</f>
        <v>0</v>
      </c>
      <c r="M11" s="342">
        <f>'Statement of Marks'!BO219</f>
        <v>0</v>
      </c>
      <c r="N11" s="339">
        <f>COUNTIF('Statement of Marks'!$B$8:$B$207,"nso")</f>
        <v>0</v>
      </c>
      <c r="O11" s="334">
        <f>IF(D11="","",SUM(D11,J11,K11,M11,N11,L11))</f>
        <v>14</v>
      </c>
      <c r="P11" s="210"/>
    </row>
    <row r="12" spans="1:16" ht="24" customHeight="1">
      <c r="A12" s="340" t="str">
        <f>'Statement of Marks'!BS210</f>
        <v/>
      </c>
      <c r="B12" s="341" t="str">
        <f>'Statement of Marks'!BS209</f>
        <v>ECONOMICS</v>
      </c>
      <c r="C12" s="336">
        <f>'Statement of Marks'!BS211</f>
        <v>1</v>
      </c>
      <c r="D12" s="336">
        <f>'Statement of Marks'!BW213</f>
        <v>1</v>
      </c>
      <c r="E12" s="337">
        <f>'Statement of Marks'!BS214</f>
        <v>100</v>
      </c>
      <c r="F12" s="338">
        <f>'Statement of Marks'!BS213</f>
        <v>1</v>
      </c>
      <c r="G12" s="338">
        <f>'Statement of Marks'!BT213</f>
        <v>0</v>
      </c>
      <c r="H12" s="338">
        <f>'Statement of Marks'!BU213</f>
        <v>0</v>
      </c>
      <c r="I12" s="338">
        <f>'Statement of Marks'!BV213</f>
        <v>0</v>
      </c>
      <c r="J12" s="678">
        <f>'Statement of Marks'!BS215</f>
        <v>0</v>
      </c>
      <c r="K12" s="342">
        <f>'Statement of Marks'!BS216</f>
        <v>0</v>
      </c>
      <c r="L12" s="342">
        <f>'Statement of Marks'!BS218</f>
        <v>0</v>
      </c>
      <c r="M12" s="342">
        <f>'Statement of Marks'!BS219</f>
        <v>0</v>
      </c>
      <c r="N12" s="339">
        <f>COUNTIF('Statement of Marks'!$B$8:$B$207,"nso")</f>
        <v>0</v>
      </c>
      <c r="O12" s="334">
        <f t="shared" si="0"/>
        <v>1</v>
      </c>
      <c r="P12" s="210"/>
    </row>
    <row r="13" spans="1:16" ht="24" customHeight="1">
      <c r="A13" s="340" t="str">
        <f>'Statement of Marks'!CF210</f>
        <v>Yogendra</v>
      </c>
      <c r="B13" s="341" t="str">
        <f>'Statement of Marks'!CF209</f>
        <v>GEOGRAPHY</v>
      </c>
      <c r="C13" s="336">
        <f>'Statement of Marks'!CF211</f>
        <v>20</v>
      </c>
      <c r="D13" s="343">
        <f>'Statement of Marks'!CJ213</f>
        <v>20</v>
      </c>
      <c r="E13" s="337">
        <f>'Statement of Marks'!CF214</f>
        <v>100</v>
      </c>
      <c r="F13" s="338">
        <f>'Statement of Marks'!CF213</f>
        <v>16</v>
      </c>
      <c r="G13" s="338">
        <f>'Statement of Marks'!CG213</f>
        <v>4</v>
      </c>
      <c r="H13" s="338">
        <f>'Statement of Marks'!CH213</f>
        <v>0</v>
      </c>
      <c r="I13" s="338">
        <f>'Statement of Marks'!CI213</f>
        <v>0</v>
      </c>
      <c r="J13" s="679">
        <f>'Statement of Marks'!CF215</f>
        <v>0</v>
      </c>
      <c r="K13" s="338">
        <f>'Statement of Marks'!CF216</f>
        <v>0</v>
      </c>
      <c r="L13" s="338">
        <f>'Statement of Marks'!CF218</f>
        <v>0</v>
      </c>
      <c r="M13" s="338">
        <f>'Statement of Marks'!CF219</f>
        <v>0</v>
      </c>
      <c r="N13" s="339">
        <f>COUNTIF('Statement of Marks'!$B$8:$B$207,"nso")</f>
        <v>0</v>
      </c>
      <c r="O13" s="334">
        <f t="shared" si="0"/>
        <v>20</v>
      </c>
      <c r="P13" s="210"/>
    </row>
    <row r="14" spans="1:16" ht="24" customHeight="1">
      <c r="A14" s="340" t="str">
        <f>'Statement of Marks'!CK210</f>
        <v/>
      </c>
      <c r="B14" s="341" t="str">
        <f>'Statement of Marks'!CK209</f>
        <v>HOME SCIENCE</v>
      </c>
      <c r="C14" s="336">
        <f>'Statement of Marks'!CK211</f>
        <v>1</v>
      </c>
      <c r="D14" s="336">
        <f>'Statement of Marks'!CO213</f>
        <v>1</v>
      </c>
      <c r="E14" s="337">
        <f>'Statement of Marks'!CK214</f>
        <v>100</v>
      </c>
      <c r="F14" s="338">
        <f>'Statement of Marks'!CK213</f>
        <v>0</v>
      </c>
      <c r="G14" s="338">
        <f>'Statement of Marks'!CL213</f>
        <v>1</v>
      </c>
      <c r="H14" s="338">
        <f>'Statement of Marks'!CM213</f>
        <v>0</v>
      </c>
      <c r="I14" s="338">
        <f>'Statement of Marks'!CN213</f>
        <v>0</v>
      </c>
      <c r="J14" s="678">
        <f>'Statement of Marks'!CL215</f>
        <v>0</v>
      </c>
      <c r="K14" s="342">
        <f>'Statement of Marks'!CL216</f>
        <v>0</v>
      </c>
      <c r="L14" s="342">
        <f>'Statement of Marks'!CL218</f>
        <v>0</v>
      </c>
      <c r="M14" s="342">
        <f>'Statement of Marks'!CL219</f>
        <v>0</v>
      </c>
      <c r="N14" s="339">
        <f>COUNTIF('Statement of Marks'!$B$8:$B$207,"nso")</f>
        <v>0</v>
      </c>
      <c r="O14" s="334">
        <f t="shared" si="0"/>
        <v>1</v>
      </c>
      <c r="P14" s="210"/>
    </row>
    <row r="15" spans="1:16" ht="24" customHeight="1">
      <c r="A15" s="340" t="str">
        <f>'Statement of Marks'!CP210</f>
        <v/>
      </c>
      <c r="B15" s="341" t="str">
        <f>'Statement of Marks'!CP209</f>
        <v>TYPING</v>
      </c>
      <c r="C15" s="336">
        <f>'Statement of Marks'!CP211</f>
        <v>0</v>
      </c>
      <c r="D15" s="336">
        <f>'Statement of Marks'!CT213</f>
        <v>0</v>
      </c>
      <c r="E15" s="337">
        <f>'Statement of Marks'!CP214</f>
        <v>0</v>
      </c>
      <c r="F15" s="338">
        <f>'Statement of Marks'!CP213</f>
        <v>0</v>
      </c>
      <c r="G15" s="338">
        <f>'Statement of Marks'!CQ213</f>
        <v>0</v>
      </c>
      <c r="H15" s="338">
        <f>'Statement of Marks'!CR213</f>
        <v>0</v>
      </c>
      <c r="I15" s="338">
        <f>'Statement of Marks'!CS213</f>
        <v>0</v>
      </c>
      <c r="J15" s="678">
        <f>'Statement of Marks'!CP215</f>
        <v>0</v>
      </c>
      <c r="K15" s="342">
        <f>'Statement of Marks'!CP216</f>
        <v>0</v>
      </c>
      <c r="L15" s="342">
        <f>'Statement of Marks'!CP218</f>
        <v>0</v>
      </c>
      <c r="M15" s="342">
        <f>'Statement of Marks'!CP219</f>
        <v>0</v>
      </c>
      <c r="N15" s="339">
        <f>COUNTIF('Statement of Marks'!$B$8:$B$207,"nso")</f>
        <v>0</v>
      </c>
      <c r="O15" s="334">
        <f t="shared" si="0"/>
        <v>0</v>
      </c>
      <c r="P15" s="210"/>
    </row>
    <row r="16" spans="1:16" ht="24" customHeight="1">
      <c r="A16" s="344" t="str">
        <f>'Statement of Marks'!DD210</f>
        <v/>
      </c>
      <c r="B16" s="345" t="str">
        <f>'Statement of Marks'!DD209</f>
        <v/>
      </c>
      <c r="C16" s="346" t="str">
        <f>'Statement of Marks'!DD211</f>
        <v/>
      </c>
      <c r="D16" s="346" t="str">
        <f>'Statement of Marks'!DH213</f>
        <v/>
      </c>
      <c r="E16" s="347" t="str">
        <f>'Statement of Marks'!DD214</f>
        <v/>
      </c>
      <c r="F16" s="339" t="str">
        <f>'Statement of Marks'!DD213</f>
        <v/>
      </c>
      <c r="G16" s="339" t="str">
        <f>'Statement of Marks'!DE213</f>
        <v/>
      </c>
      <c r="H16" s="339" t="str">
        <f>'Statement of Marks'!DF213</f>
        <v/>
      </c>
      <c r="I16" s="339" t="str">
        <f>'Statement of Marks'!DG213</f>
        <v/>
      </c>
      <c r="J16" s="680" t="str">
        <f>'Statement of Marks'!DD215</f>
        <v/>
      </c>
      <c r="K16" s="348" t="str">
        <f>'Statement of Marks'!DD216</f>
        <v/>
      </c>
      <c r="L16" s="348" t="str">
        <f>'Statement of Marks'!DD218</f>
        <v/>
      </c>
      <c r="M16" s="348" t="str">
        <f>'Statement of Marks'!DD219</f>
        <v/>
      </c>
      <c r="N16" s="339">
        <f>COUNTIF('Statement of Marks'!$B$8:$B$207,"nso")</f>
        <v>0</v>
      </c>
      <c r="O16" s="334" t="str">
        <f t="shared" si="0"/>
        <v/>
      </c>
      <c r="P16" s="210"/>
    </row>
    <row r="17" spans="1:16" ht="24" customHeight="1">
      <c r="A17" s="344" t="str">
        <f>'Statement of Marks'!DI210</f>
        <v/>
      </c>
      <c r="B17" s="345" t="str">
        <f>'Statement of Marks'!DI209</f>
        <v/>
      </c>
      <c r="C17" s="346" t="str">
        <f>'Statement of Marks'!DI211</f>
        <v/>
      </c>
      <c r="D17" s="346" t="str">
        <f>'Statement of Marks'!DR213</f>
        <v/>
      </c>
      <c r="E17" s="347" t="str">
        <f>'Statement of Marks'!DI214</f>
        <v/>
      </c>
      <c r="F17" s="339" t="str">
        <f>'Statement of Marks'!DI213</f>
        <v/>
      </c>
      <c r="G17" s="339" t="str">
        <f>'Statement of Marks'!DJ213</f>
        <v/>
      </c>
      <c r="H17" s="339" t="str">
        <f>'Statement of Marks'!DK213</f>
        <v/>
      </c>
      <c r="I17" s="339" t="str">
        <f>'Statement of Marks'!DL213</f>
        <v/>
      </c>
      <c r="J17" s="680" t="str">
        <f>'Statement of Marks'!DI215</f>
        <v/>
      </c>
      <c r="K17" s="348" t="str">
        <f>'Statement of Marks'!DI216</f>
        <v/>
      </c>
      <c r="L17" s="348" t="str">
        <f>'Statement of Marks'!DI218</f>
        <v/>
      </c>
      <c r="M17" s="348" t="str">
        <f>'Statement of Marks'!DI219</f>
        <v/>
      </c>
      <c r="N17" s="339">
        <f>COUNTIF('Statement of Marks'!$B$8:$B$207,"nso")</f>
        <v>0</v>
      </c>
      <c r="O17" s="334" t="str">
        <f t="shared" si="0"/>
        <v/>
      </c>
      <c r="P17" s="210"/>
    </row>
    <row r="18" spans="1:16" ht="24" customHeight="1">
      <c r="A18" s="344" t="str">
        <f>'Statement of Marks'!DN210</f>
        <v/>
      </c>
      <c r="B18" s="345" t="str">
        <f>'Statement of Marks'!DN209</f>
        <v/>
      </c>
      <c r="C18" s="346" t="str">
        <f>'Statement of Marks'!DN211</f>
        <v/>
      </c>
      <c r="D18" s="346" t="str">
        <f>'Statement of Marks'!DR213</f>
        <v/>
      </c>
      <c r="E18" s="347" t="str">
        <f>'Statement of Marks'!DN214</f>
        <v/>
      </c>
      <c r="F18" s="339" t="str">
        <f>'Statement of Marks'!DN213</f>
        <v/>
      </c>
      <c r="G18" s="339" t="str">
        <f>'Statement of Marks'!DO213</f>
        <v/>
      </c>
      <c r="H18" s="339" t="str">
        <f>'Statement of Marks'!DP213</f>
        <v/>
      </c>
      <c r="I18" s="339" t="str">
        <f>'Statement of Marks'!DQ213</f>
        <v/>
      </c>
      <c r="J18" s="680" t="str">
        <f>'Statement of Marks'!DN215</f>
        <v/>
      </c>
      <c r="K18" s="348" t="str">
        <f>'Statement of Marks'!DN216</f>
        <v/>
      </c>
      <c r="L18" s="348" t="str">
        <f>'Statement of Marks'!DN218</f>
        <v/>
      </c>
      <c r="M18" s="348" t="str">
        <f>'Statement of Marks'!DN219</f>
        <v/>
      </c>
      <c r="N18" s="339">
        <f>COUNTIF('Statement of Marks'!$B$8:$B$207,"nso")</f>
        <v>0</v>
      </c>
      <c r="O18" s="334" t="str">
        <f t="shared" si="0"/>
        <v/>
      </c>
      <c r="P18" s="210"/>
    </row>
    <row r="19" spans="1:16" ht="24" customHeight="1">
      <c r="A19" s="344" t="str">
        <f>'Statement of Marks'!DS210</f>
        <v>Lalit Kumar</v>
      </c>
      <c r="B19" s="670" t="str">
        <f>'Statement of Marks'!DS209</f>
        <v>जीवन कौशल</v>
      </c>
      <c r="C19" s="346">
        <f>'Statement of Marks'!DS211</f>
        <v>30</v>
      </c>
      <c r="D19" s="346">
        <f>'Statement of Marks'!EF213</f>
        <v>30</v>
      </c>
      <c r="E19" s="347">
        <f>'Statement of Marks'!DS214</f>
        <v>100</v>
      </c>
      <c r="F19" s="339">
        <f>'Statement of Marks'!DS213</f>
        <v>30</v>
      </c>
      <c r="G19" s="339">
        <f>'Statement of Marks'!DT213</f>
        <v>0</v>
      </c>
      <c r="H19" s="339">
        <f>'Statement of Marks'!DU213</f>
        <v>0</v>
      </c>
      <c r="I19" s="339">
        <f>'Statement of Marks'!DV213</f>
        <v>0</v>
      </c>
      <c r="J19" s="680">
        <f>'Statement of Marks'!DS215</f>
        <v>0</v>
      </c>
      <c r="K19" s="348">
        <f>'Statement of Marks'!DS216</f>
        <v>0</v>
      </c>
      <c r="L19" s="348">
        <f>'Statement of Marks'!DS218</f>
        <v>0</v>
      </c>
      <c r="M19" s="348">
        <f>'Statement of Marks'!DS219</f>
        <v>0</v>
      </c>
      <c r="N19" s="339">
        <f>COUNTIF('Statement of Marks'!$B$8:$B$207,"nso")</f>
        <v>0</v>
      </c>
      <c r="O19" s="334">
        <f t="shared" si="0"/>
        <v>30</v>
      </c>
      <c r="P19" s="210"/>
    </row>
    <row r="20" spans="1:16" ht="24" customHeight="1" thickBot="1">
      <c r="A20" s="349" t="str">
        <f>'Statement of Marks'!EY210</f>
        <v>Pravin Kumar</v>
      </c>
      <c r="B20" s="671" t="str">
        <f>'Statement of Marks'!EY209</f>
        <v xml:space="preserve">आजादी के बाद का स्वर्णिम भारत </v>
      </c>
      <c r="C20" s="350">
        <f>'Statement of Marks'!EY211</f>
        <v>31</v>
      </c>
      <c r="D20" s="351">
        <f>'Statement of Marks'!FD213</f>
        <v>31</v>
      </c>
      <c r="E20" s="352">
        <f>'Statement of Marks'!EY214</f>
        <v>100</v>
      </c>
      <c r="F20" s="353">
        <f>'Statement of Marks'!EY213</f>
        <v>1</v>
      </c>
      <c r="G20" s="353">
        <f>'Statement of Marks'!EZ213</f>
        <v>30</v>
      </c>
      <c r="H20" s="353">
        <f>'Statement of Marks'!FA213</f>
        <v>0</v>
      </c>
      <c r="I20" s="353">
        <f>'Statement of Marks'!FB213</f>
        <v>0</v>
      </c>
      <c r="J20" s="681">
        <f>'Statement of Marks'!EY215</f>
        <v>0</v>
      </c>
      <c r="K20" s="353">
        <f>'Statement of Marks'!EY216</f>
        <v>0</v>
      </c>
      <c r="L20" s="353">
        <f>'Statement of Marks'!EY218</f>
        <v>0</v>
      </c>
      <c r="M20" s="353">
        <f>'Statement of Marks'!EY219</f>
        <v>0</v>
      </c>
      <c r="N20" s="353">
        <f>COUNTIF('Statement of Marks'!$B$8:$B$207,"nso")</f>
        <v>0</v>
      </c>
      <c r="O20" s="354">
        <f>IF(D20="","",SUM(D20,J20,K20,M20,N20,L20))</f>
        <v>31</v>
      </c>
      <c r="P20" s="210"/>
    </row>
    <row r="21" spans="1:16" ht="21" customHeight="1" thickTop="1">
      <c r="A21" s="355"/>
      <c r="B21" s="356"/>
      <c r="C21" s="357"/>
      <c r="D21" s="358"/>
      <c r="E21" s="359"/>
      <c r="F21" s="360"/>
      <c r="G21" s="357"/>
      <c r="H21" s="360"/>
      <c r="I21" s="357"/>
      <c r="J21" s="360"/>
      <c r="K21" s="360"/>
      <c r="L21" s="360"/>
      <c r="M21" s="360"/>
      <c r="N21" s="360"/>
      <c r="O21" s="360"/>
      <c r="P21" s="210"/>
    </row>
    <row r="22" spans="1:16" ht="39" customHeight="1">
      <c r="A22" s="1460" t="str">
        <f>CONCATENATE("( ",UPPER('Master Sheet'!D14)," )")</f>
        <v>( HEERALAL JAT )</v>
      </c>
      <c r="B22" s="1460"/>
      <c r="C22" s="1460"/>
      <c r="D22" s="358"/>
      <c r="E22" s="359"/>
      <c r="F22" s="360"/>
      <c r="G22" s="357"/>
      <c r="H22" s="360"/>
      <c r="I22" s="357"/>
      <c r="J22" s="1461" t="str">
        <f>CONCATENATE("( ",UPPER('Master Sheet'!D12)," )")</f>
        <v>( USHA PALIYA )</v>
      </c>
      <c r="K22" s="1461"/>
      <c r="L22" s="1461"/>
      <c r="M22" s="1461"/>
      <c r="N22" s="1461"/>
      <c r="O22" s="1461"/>
      <c r="P22" s="210"/>
    </row>
    <row r="23" spans="1:16" ht="30" customHeight="1">
      <c r="A23" s="1458" t="str">
        <f>IF('Master Sheet'!$D$11="Hindi","हस्ताक्षर परीक्षा प्रभारी","Signature of the exam. Incharge")</f>
        <v>हस्ताक्षर परीक्षा प्रभारी</v>
      </c>
      <c r="B23" s="1458"/>
      <c r="C23" s="1458"/>
      <c r="D23" s="361"/>
      <c r="E23" s="362"/>
      <c r="F23" s="363"/>
      <c r="G23" s="364"/>
      <c r="H23" s="363"/>
      <c r="I23" s="364"/>
      <c r="J23" s="1459" t="str">
        <f>IF('Master Sheet'!$D$11="Hindi","हस्ताक्षर मय सील मोहर संस्था प्रधान","Signature &amp; Seal of the Head of the Institution")</f>
        <v>हस्ताक्षर मय सील मोहर संस्था प्रधान</v>
      </c>
      <c r="K23" s="1459"/>
      <c r="L23" s="1459"/>
      <c r="M23" s="1459"/>
      <c r="N23" s="1459"/>
      <c r="O23" s="1459"/>
      <c r="P23" s="210"/>
    </row>
    <row r="24" spans="1:16" ht="15.75">
      <c r="A24" s="210"/>
      <c r="B24" s="365"/>
      <c r="C24" s="364"/>
      <c r="D24" s="361"/>
      <c r="E24" s="362"/>
      <c r="F24" s="363"/>
      <c r="G24" s="364"/>
      <c r="H24" s="363"/>
      <c r="I24" s="364"/>
      <c r="J24" s="366"/>
      <c r="K24" s="366"/>
      <c r="L24" s="366"/>
      <c r="M24" s="366"/>
      <c r="N24" s="366"/>
      <c r="O24" s="366"/>
      <c r="P24" s="210"/>
    </row>
    <row r="25" spans="1:16">
      <c r="A25" s="1467" t="s">
        <v>222</v>
      </c>
      <c r="B25" s="1467"/>
      <c r="C25" s="1467"/>
      <c r="D25" s="1467"/>
      <c r="E25" s="1467"/>
      <c r="F25" s="1467"/>
      <c r="G25" s="1467"/>
      <c r="H25" s="1467"/>
      <c r="I25" s="1467"/>
      <c r="J25" s="1467"/>
      <c r="K25" s="1467"/>
      <c r="L25" s="1467"/>
      <c r="M25" s="1467"/>
      <c r="N25" s="1467"/>
      <c r="O25" s="1467"/>
      <c r="P25" s="367"/>
    </row>
    <row r="26" spans="1:16" ht="15.75" customHeight="1">
      <c r="A26" s="1467"/>
      <c r="B26" s="1467"/>
      <c r="C26" s="1467"/>
      <c r="D26" s="1467"/>
      <c r="E26" s="1467"/>
      <c r="F26" s="1467"/>
      <c r="G26" s="1467"/>
      <c r="H26" s="1467"/>
      <c r="I26" s="1467"/>
      <c r="J26" s="1467"/>
      <c r="K26" s="1467"/>
      <c r="L26" s="1467"/>
      <c r="M26" s="1467"/>
      <c r="N26" s="1467"/>
      <c r="O26" s="1467"/>
      <c r="P26" s="368"/>
    </row>
    <row r="27" spans="1:16" ht="15.75">
      <c r="A27" s="210"/>
      <c r="B27" s="210"/>
      <c r="C27" s="210"/>
      <c r="D27" s="210"/>
      <c r="E27" s="210"/>
      <c r="F27" s="210"/>
      <c r="G27" s="210"/>
      <c r="H27" s="210"/>
      <c r="I27" s="210"/>
      <c r="J27" s="210"/>
      <c r="K27" s="210"/>
      <c r="L27" s="210"/>
      <c r="M27" s="210"/>
      <c r="N27" s="210"/>
      <c r="O27" s="210"/>
      <c r="P27" s="210"/>
    </row>
    <row r="28" spans="1:16" ht="16.5" customHeight="1">
      <c r="A28" s="1435" t="str">
        <f>IF('Master Sheet'!D11="Hindi",CONCATENATE("विद्यालय का नाम :-","  ",'Master Sheet'!D8),CONCATENATE("School Name :-","  ",'Master Sheet'!D7))</f>
        <v xml:space="preserve">विद्यालय का नाम :-  महात्मा गाँधी राजकीय विद्यालय (अंग्रेजी माध्यम) बर, पाली </v>
      </c>
      <c r="B28" s="1435"/>
      <c r="C28" s="1435"/>
      <c r="D28" s="1435"/>
      <c r="E28" s="1435"/>
      <c r="F28" s="1435"/>
      <c r="G28" s="1435"/>
      <c r="H28" s="1435"/>
      <c r="I28" s="1435"/>
      <c r="J28" s="1435"/>
      <c r="K28" s="1435"/>
      <c r="L28" s="1435"/>
      <c r="M28" s="1435"/>
      <c r="N28" s="1435"/>
      <c r="O28" s="1435"/>
      <c r="P28" s="210"/>
    </row>
    <row r="29" spans="1:16" ht="16.5" thickBot="1">
      <c r="A29" s="1435"/>
      <c r="B29" s="1435"/>
      <c r="C29" s="1435"/>
      <c r="D29" s="1435"/>
      <c r="E29" s="1435"/>
      <c r="F29" s="1435"/>
      <c r="G29" s="1435"/>
      <c r="H29" s="1435"/>
      <c r="I29" s="1435"/>
      <c r="J29" s="1435"/>
      <c r="K29" s="1435"/>
      <c r="L29" s="1435"/>
      <c r="M29" s="1435"/>
      <c r="N29" s="1435"/>
      <c r="O29" s="1435"/>
      <c r="P29" s="210"/>
    </row>
    <row r="30" spans="1:16" ht="35.25" customHeight="1" thickTop="1" thickBot="1">
      <c r="A30" s="1436" t="str">
        <f>IF('Master Sheet'!$D$11="Hindi","वर्गवार परीक्षा परिणाम","CATEGORY-WISE RESULT")</f>
        <v>वर्गवार परीक्षा परिणाम</v>
      </c>
      <c r="B30" s="1437"/>
      <c r="C30" s="1437"/>
      <c r="D30" s="1437"/>
      <c r="E30" s="1437"/>
      <c r="F30" s="1437"/>
      <c r="G30" s="1463" t="str">
        <f>IF('Master Sheet'!$D$11="Hindi","कक्षा :-","Class :-")</f>
        <v>कक्षा :-</v>
      </c>
      <c r="H30" s="1463"/>
      <c r="I30" s="1462" t="str">
        <f>CONCATENATE('Marks Entry'!H2," '",'Marks Entry'!H3,"'")</f>
        <v>11 'Arts'</v>
      </c>
      <c r="J30" s="1462"/>
      <c r="K30" s="1462"/>
      <c r="L30" s="1463" t="str">
        <f>IF('Master Sheet'!$D$11="Hindi","सत्र :-","Session :-")</f>
        <v>सत्र :-</v>
      </c>
      <c r="M30" s="1463"/>
      <c r="N30" s="1462" t="str">
        <f>'Marks Entry'!H1</f>
        <v>2023-2024</v>
      </c>
      <c r="O30" s="1464"/>
      <c r="P30" s="210"/>
    </row>
    <row r="31" spans="1:16" ht="33.75" customHeight="1" thickTop="1" thickBot="1">
      <c r="A31" s="1438" t="str">
        <f>IF('Master Sheet'!D11="Hindi","विवरण","Details")</f>
        <v>विवरण</v>
      </c>
      <c r="B31" s="1438"/>
      <c r="C31" s="369" t="s">
        <v>79</v>
      </c>
      <c r="D31" s="369" t="s">
        <v>80</v>
      </c>
      <c r="E31" s="369" t="s">
        <v>81</v>
      </c>
      <c r="F31" s="369" t="s">
        <v>82</v>
      </c>
      <c r="G31" s="369" t="s">
        <v>83</v>
      </c>
      <c r="H31" s="369" t="s">
        <v>84</v>
      </c>
      <c r="I31" s="369" t="s">
        <v>85</v>
      </c>
      <c r="J31" s="369" t="s">
        <v>86</v>
      </c>
      <c r="K31" s="369" t="s">
        <v>87</v>
      </c>
      <c r="L31" s="369" t="s">
        <v>88</v>
      </c>
      <c r="M31" s="369" t="s">
        <v>89</v>
      </c>
      <c r="N31" s="369" t="s">
        <v>90</v>
      </c>
      <c r="O31" s="370" t="s">
        <v>91</v>
      </c>
      <c r="P31" s="210"/>
    </row>
    <row r="32" spans="1:16" ht="23.1" customHeight="1" thickTop="1">
      <c r="A32" s="1439" t="str">
        <f>'Result Aggregate'!BL207</f>
        <v>प्रथम श्रेणी</v>
      </c>
      <c r="B32" s="1440"/>
      <c r="C32" s="776">
        <f>'Result Aggregate'!BM207</f>
        <v>0</v>
      </c>
      <c r="D32" s="776">
        <f>'Result Aggregate'!BN207</f>
        <v>1</v>
      </c>
      <c r="E32" s="776">
        <f>'Result Aggregate'!BO207</f>
        <v>1</v>
      </c>
      <c r="F32" s="776">
        <f>'Result Aggregate'!BP207</f>
        <v>0</v>
      </c>
      <c r="G32" s="776">
        <f>'Result Aggregate'!BQ207</f>
        <v>1</v>
      </c>
      <c r="H32" s="776">
        <f>'Result Aggregate'!BR207</f>
        <v>0</v>
      </c>
      <c r="I32" s="776">
        <f>'Result Aggregate'!BS207</f>
        <v>1</v>
      </c>
      <c r="J32" s="776">
        <f>'Result Aggregate'!BT207</f>
        <v>0</v>
      </c>
      <c r="K32" s="776">
        <f>'Result Aggregate'!BU207</f>
        <v>0</v>
      </c>
      <c r="L32" s="776">
        <f>'Result Aggregate'!BV207</f>
        <v>0</v>
      </c>
      <c r="M32" s="776">
        <f>'Result Aggregate'!BW207</f>
        <v>0</v>
      </c>
      <c r="N32" s="776">
        <f>'Result Aggregate'!BX207</f>
        <v>1</v>
      </c>
      <c r="O32" s="777">
        <f>'Result Aggregate'!BY207</f>
        <v>5</v>
      </c>
      <c r="P32" s="210"/>
    </row>
    <row r="33" spans="1:16" ht="23.1" customHeight="1">
      <c r="A33" s="1441" t="str">
        <f>'Result Aggregate'!BL208</f>
        <v>द्वितीय श्रेणी</v>
      </c>
      <c r="B33" s="1442"/>
      <c r="C33" s="371">
        <f>'Result Aggregate'!BM208</f>
        <v>0</v>
      </c>
      <c r="D33" s="371">
        <f>'Result Aggregate'!BN208</f>
        <v>0</v>
      </c>
      <c r="E33" s="371">
        <f>'Result Aggregate'!BO208</f>
        <v>0</v>
      </c>
      <c r="F33" s="371">
        <f>'Result Aggregate'!BP208</f>
        <v>0</v>
      </c>
      <c r="G33" s="371">
        <f>'Result Aggregate'!BQ208</f>
        <v>1</v>
      </c>
      <c r="H33" s="371">
        <f>'Result Aggregate'!BR208</f>
        <v>0</v>
      </c>
      <c r="I33" s="371">
        <f>'Result Aggregate'!BS208</f>
        <v>0</v>
      </c>
      <c r="J33" s="371">
        <f>'Result Aggregate'!BT208</f>
        <v>0</v>
      </c>
      <c r="K33" s="371">
        <f>'Result Aggregate'!BU208</f>
        <v>0</v>
      </c>
      <c r="L33" s="371">
        <f>'Result Aggregate'!BV208</f>
        <v>0</v>
      </c>
      <c r="M33" s="371">
        <f>'Result Aggregate'!BW208</f>
        <v>0</v>
      </c>
      <c r="N33" s="371">
        <f>'Result Aggregate'!BX208</f>
        <v>0</v>
      </c>
      <c r="O33" s="372">
        <f>'Result Aggregate'!BY208</f>
        <v>1</v>
      </c>
      <c r="P33" s="210"/>
    </row>
    <row r="34" spans="1:16" ht="23.1" customHeight="1">
      <c r="A34" s="1441" t="str">
        <f>'Result Aggregate'!BL209</f>
        <v>तृतीय श्रेणी</v>
      </c>
      <c r="B34" s="1442"/>
      <c r="C34" s="371">
        <f>'Result Aggregate'!BM209</f>
        <v>0</v>
      </c>
      <c r="D34" s="371">
        <f>'Result Aggregate'!BN209</f>
        <v>0</v>
      </c>
      <c r="E34" s="371">
        <f>'Result Aggregate'!BO209</f>
        <v>0</v>
      </c>
      <c r="F34" s="371">
        <f>'Result Aggregate'!BP209</f>
        <v>0</v>
      </c>
      <c r="G34" s="371">
        <f>'Result Aggregate'!BQ209</f>
        <v>1</v>
      </c>
      <c r="H34" s="371">
        <f>'Result Aggregate'!BR209</f>
        <v>0</v>
      </c>
      <c r="I34" s="371">
        <f>'Result Aggregate'!BS209</f>
        <v>1</v>
      </c>
      <c r="J34" s="371">
        <f>'Result Aggregate'!BT209</f>
        <v>0</v>
      </c>
      <c r="K34" s="371">
        <f>'Result Aggregate'!BU209</f>
        <v>1</v>
      </c>
      <c r="L34" s="371">
        <f>'Result Aggregate'!BV209</f>
        <v>0</v>
      </c>
      <c r="M34" s="371">
        <f>'Result Aggregate'!BW209</f>
        <v>1</v>
      </c>
      <c r="N34" s="371">
        <f>'Result Aggregate'!BX209</f>
        <v>0</v>
      </c>
      <c r="O34" s="372">
        <f>'Result Aggregate'!BY209</f>
        <v>4</v>
      </c>
      <c r="P34" s="210"/>
    </row>
    <row r="35" spans="1:16" ht="23.1" customHeight="1">
      <c r="A35" s="1441" t="str">
        <f>'Result Aggregate'!BL210</f>
        <v>उतीर्ण</v>
      </c>
      <c r="B35" s="1442"/>
      <c r="C35" s="371">
        <f>'Result Aggregate'!BM210</f>
        <v>0</v>
      </c>
      <c r="D35" s="371">
        <f>'Result Aggregate'!BN210</f>
        <v>1</v>
      </c>
      <c r="E35" s="371">
        <f>'Result Aggregate'!BO210</f>
        <v>1</v>
      </c>
      <c r="F35" s="371">
        <f>'Result Aggregate'!BP210</f>
        <v>0</v>
      </c>
      <c r="G35" s="371">
        <f>'Result Aggregate'!BQ210</f>
        <v>3</v>
      </c>
      <c r="H35" s="371">
        <f>'Result Aggregate'!BR210</f>
        <v>0</v>
      </c>
      <c r="I35" s="371">
        <f>'Result Aggregate'!BS210</f>
        <v>2</v>
      </c>
      <c r="J35" s="371">
        <f>'Result Aggregate'!BT210</f>
        <v>0</v>
      </c>
      <c r="K35" s="371">
        <f>'Result Aggregate'!BU210</f>
        <v>1</v>
      </c>
      <c r="L35" s="371">
        <f>'Result Aggregate'!BV210</f>
        <v>0</v>
      </c>
      <c r="M35" s="371">
        <f>'Result Aggregate'!BW210</f>
        <v>1</v>
      </c>
      <c r="N35" s="371">
        <f>'Result Aggregate'!BX210</f>
        <v>1</v>
      </c>
      <c r="O35" s="372">
        <f>'Result Aggregate'!BY210</f>
        <v>10</v>
      </c>
      <c r="P35" s="210"/>
    </row>
    <row r="36" spans="1:16" ht="23.1" customHeight="1">
      <c r="A36" s="1441" t="str">
        <f>'Result Aggregate'!BL211</f>
        <v>पूरक</v>
      </c>
      <c r="B36" s="1442"/>
      <c r="C36" s="371">
        <f>'Result Aggregate'!BM211</f>
        <v>0</v>
      </c>
      <c r="D36" s="371">
        <f>'Result Aggregate'!BN211</f>
        <v>0</v>
      </c>
      <c r="E36" s="371">
        <f>'Result Aggregate'!BO211</f>
        <v>0</v>
      </c>
      <c r="F36" s="371">
        <f>'Result Aggregate'!BP211</f>
        <v>0</v>
      </c>
      <c r="G36" s="371">
        <f>'Result Aggregate'!BQ211</f>
        <v>0</v>
      </c>
      <c r="H36" s="371">
        <f>'Result Aggregate'!BR211</f>
        <v>0</v>
      </c>
      <c r="I36" s="371">
        <f>'Result Aggregate'!BS211</f>
        <v>0</v>
      </c>
      <c r="J36" s="371">
        <f>'Result Aggregate'!BT211</f>
        <v>0</v>
      </c>
      <c r="K36" s="371">
        <f>'Result Aggregate'!BU211</f>
        <v>0</v>
      </c>
      <c r="L36" s="371">
        <f>'Result Aggregate'!BV211</f>
        <v>0</v>
      </c>
      <c r="M36" s="371">
        <f>'Result Aggregate'!BW211</f>
        <v>0</v>
      </c>
      <c r="N36" s="371">
        <f>'Result Aggregate'!BX211</f>
        <v>0</v>
      </c>
      <c r="O36" s="372">
        <f>'Result Aggregate'!BY211</f>
        <v>0</v>
      </c>
      <c r="P36" s="373"/>
    </row>
    <row r="37" spans="1:16" ht="23.1" customHeight="1">
      <c r="A37" s="1441" t="str">
        <f>'Result Aggregate'!BL212</f>
        <v>पुनः परीक्षा</v>
      </c>
      <c r="B37" s="1442"/>
      <c r="C37" s="371">
        <f>'Result Aggregate'!BM212</f>
        <v>0</v>
      </c>
      <c r="D37" s="371">
        <f>'Result Aggregate'!BN212</f>
        <v>0</v>
      </c>
      <c r="E37" s="371">
        <f>'Result Aggregate'!BO212</f>
        <v>0</v>
      </c>
      <c r="F37" s="371">
        <f>'Result Aggregate'!BP212</f>
        <v>0</v>
      </c>
      <c r="G37" s="371">
        <f>'Result Aggregate'!BQ212</f>
        <v>0</v>
      </c>
      <c r="H37" s="371">
        <f>'Result Aggregate'!BR212</f>
        <v>0</v>
      </c>
      <c r="I37" s="371">
        <f>'Result Aggregate'!BS212</f>
        <v>0</v>
      </c>
      <c r="J37" s="371">
        <f>'Result Aggregate'!BT212</f>
        <v>0</v>
      </c>
      <c r="K37" s="371">
        <f>'Result Aggregate'!BU212</f>
        <v>0</v>
      </c>
      <c r="L37" s="371">
        <f>'Result Aggregate'!BV212</f>
        <v>0</v>
      </c>
      <c r="M37" s="371">
        <f>'Result Aggregate'!BW212</f>
        <v>0</v>
      </c>
      <c r="N37" s="371">
        <f>'Result Aggregate'!BX212</f>
        <v>0</v>
      </c>
      <c r="O37" s="372">
        <f>'Result Aggregate'!BY212</f>
        <v>0</v>
      </c>
      <c r="P37" s="374"/>
    </row>
    <row r="38" spans="1:16" ht="23.1" customHeight="1">
      <c r="A38" s="1441" t="str">
        <f>'Result Aggregate'!BL213</f>
        <v>अनुतीर्ण</v>
      </c>
      <c r="B38" s="1442"/>
      <c r="C38" s="371">
        <f>'Result Aggregate'!BM213</f>
        <v>0</v>
      </c>
      <c r="D38" s="371">
        <f>'Result Aggregate'!BN213</f>
        <v>1</v>
      </c>
      <c r="E38" s="371">
        <f>'Result Aggregate'!BO213</f>
        <v>0</v>
      </c>
      <c r="F38" s="371">
        <f>'Result Aggregate'!BP213</f>
        <v>0</v>
      </c>
      <c r="G38" s="371">
        <f>'Result Aggregate'!BQ213</f>
        <v>0</v>
      </c>
      <c r="H38" s="371">
        <f>'Result Aggregate'!BR213</f>
        <v>0</v>
      </c>
      <c r="I38" s="371">
        <f>'Result Aggregate'!BS213</f>
        <v>0</v>
      </c>
      <c r="J38" s="371">
        <f>'Result Aggregate'!BT213</f>
        <v>0</v>
      </c>
      <c r="K38" s="371">
        <f>'Result Aggregate'!BU213</f>
        <v>0</v>
      </c>
      <c r="L38" s="371">
        <f>'Result Aggregate'!BV213</f>
        <v>0</v>
      </c>
      <c r="M38" s="371">
        <f>'Result Aggregate'!BW213</f>
        <v>0</v>
      </c>
      <c r="N38" s="371">
        <f>'Result Aggregate'!BX213</f>
        <v>0</v>
      </c>
      <c r="O38" s="372">
        <f>'Result Aggregate'!BY213</f>
        <v>1</v>
      </c>
      <c r="P38" s="375"/>
    </row>
    <row r="39" spans="1:16" ht="23.1" customHeight="1">
      <c r="A39" s="1441" t="str">
        <f>'Result Aggregate'!BL214</f>
        <v>कुल प्रविष्ट</v>
      </c>
      <c r="B39" s="1442"/>
      <c r="C39" s="371">
        <f>'Result Aggregate'!BM214</f>
        <v>0</v>
      </c>
      <c r="D39" s="371">
        <f>'Result Aggregate'!BN214</f>
        <v>2</v>
      </c>
      <c r="E39" s="371">
        <f>'Result Aggregate'!BO214</f>
        <v>1</v>
      </c>
      <c r="F39" s="371">
        <f>'Result Aggregate'!BP214</f>
        <v>0</v>
      </c>
      <c r="G39" s="371">
        <f>'Result Aggregate'!BQ214</f>
        <v>3</v>
      </c>
      <c r="H39" s="371">
        <f>'Result Aggregate'!BR214</f>
        <v>0</v>
      </c>
      <c r="I39" s="371">
        <f>'Result Aggregate'!BS214</f>
        <v>2</v>
      </c>
      <c r="J39" s="371">
        <f>'Result Aggregate'!BT214</f>
        <v>0</v>
      </c>
      <c r="K39" s="371">
        <f>'Result Aggregate'!BU214</f>
        <v>1</v>
      </c>
      <c r="L39" s="371">
        <f>'Result Aggregate'!BV214</f>
        <v>0</v>
      </c>
      <c r="M39" s="371">
        <f>'Result Aggregate'!BW214</f>
        <v>1</v>
      </c>
      <c r="N39" s="371">
        <f>'Result Aggregate'!BX214</f>
        <v>1</v>
      </c>
      <c r="O39" s="372">
        <f>'Result Aggregate'!BY214</f>
        <v>11</v>
      </c>
      <c r="P39" s="375"/>
    </row>
    <row r="40" spans="1:16" ht="23.1" customHeight="1">
      <c r="A40" s="1441" t="str">
        <f>'Result Aggregate'!BL215</f>
        <v>उतीर्ण प्रतिशत</v>
      </c>
      <c r="B40" s="1442"/>
      <c r="C40" s="775" t="str">
        <f>'Result Aggregate'!BM215</f>
        <v/>
      </c>
      <c r="D40" s="775">
        <f>'Result Aggregate'!BN215</f>
        <v>50</v>
      </c>
      <c r="E40" s="775">
        <f>'Result Aggregate'!BO215</f>
        <v>100</v>
      </c>
      <c r="F40" s="775" t="str">
        <f>'Result Aggregate'!BP215</f>
        <v/>
      </c>
      <c r="G40" s="775">
        <f>'Result Aggregate'!BQ215</f>
        <v>100</v>
      </c>
      <c r="H40" s="775" t="str">
        <f>'Result Aggregate'!BR215</f>
        <v/>
      </c>
      <c r="I40" s="775">
        <f>'Result Aggregate'!BS215</f>
        <v>100</v>
      </c>
      <c r="J40" s="775" t="str">
        <f>'Result Aggregate'!BT215</f>
        <v/>
      </c>
      <c r="K40" s="775">
        <f>'Result Aggregate'!BU215</f>
        <v>100</v>
      </c>
      <c r="L40" s="775" t="str">
        <f>'Result Aggregate'!BV215</f>
        <v/>
      </c>
      <c r="M40" s="775">
        <f>'Result Aggregate'!BW215</f>
        <v>100</v>
      </c>
      <c r="N40" s="775">
        <f>'Result Aggregate'!BX215</f>
        <v>100</v>
      </c>
      <c r="O40" s="778">
        <f>'Result Aggregate'!BY215</f>
        <v>90.909090909090907</v>
      </c>
      <c r="P40" s="375"/>
    </row>
    <row r="41" spans="1:16" ht="23.1" customHeight="1" thickBot="1">
      <c r="A41" s="1465" t="str">
        <f>'Result Aggregate'!BL216</f>
        <v>नाम पृथक</v>
      </c>
      <c r="B41" s="1466"/>
      <c r="C41" s="779">
        <f>'Result Aggregate'!BM216</f>
        <v>0</v>
      </c>
      <c r="D41" s="779">
        <f>'Result Aggregate'!BN216</f>
        <v>0</v>
      </c>
      <c r="E41" s="779">
        <f>'Result Aggregate'!BO216</f>
        <v>0</v>
      </c>
      <c r="F41" s="779">
        <f>'Result Aggregate'!BP216</f>
        <v>0</v>
      </c>
      <c r="G41" s="779">
        <f>'Result Aggregate'!BQ216</f>
        <v>0</v>
      </c>
      <c r="H41" s="779">
        <f>'Result Aggregate'!BR216</f>
        <v>0</v>
      </c>
      <c r="I41" s="779">
        <f>'Result Aggregate'!BS216</f>
        <v>0</v>
      </c>
      <c r="J41" s="779">
        <f>'Result Aggregate'!BT216</f>
        <v>0</v>
      </c>
      <c r="K41" s="779">
        <f>'Result Aggregate'!BU216</f>
        <v>0</v>
      </c>
      <c r="L41" s="779">
        <f>'Result Aggregate'!BV216</f>
        <v>0</v>
      </c>
      <c r="M41" s="779">
        <f>'Result Aggregate'!BW216</f>
        <v>0</v>
      </c>
      <c r="N41" s="779">
        <f>'Result Aggregate'!BX216</f>
        <v>0</v>
      </c>
      <c r="O41" s="780">
        <f>'Result Aggregate'!BY216</f>
        <v>0</v>
      </c>
      <c r="P41" s="376"/>
    </row>
    <row r="42" spans="1:16" ht="19.5" thickTop="1">
      <c r="A42" s="210"/>
      <c r="B42" s="210"/>
      <c r="C42" s="210"/>
      <c r="D42" s="210"/>
      <c r="E42" s="210"/>
      <c r="F42" s="210"/>
      <c r="G42" s="210"/>
      <c r="H42" s="210"/>
      <c r="I42" s="210"/>
      <c r="J42" s="210"/>
      <c r="K42" s="210"/>
      <c r="L42" s="210"/>
      <c r="M42" s="210"/>
      <c r="N42" s="210"/>
      <c r="O42" s="210"/>
      <c r="P42" s="377"/>
    </row>
    <row r="43" spans="1:16" ht="39" customHeight="1">
      <c r="A43" s="1460" t="str">
        <f>CONCATENATE("( ",UPPER('Master Sheet'!D14)," )")</f>
        <v>( HEERALAL JAT )</v>
      </c>
      <c r="B43" s="1460"/>
      <c r="C43" s="1460"/>
      <c r="D43" s="358"/>
      <c r="E43" s="359"/>
      <c r="F43" s="360"/>
      <c r="G43" s="357"/>
      <c r="H43" s="360"/>
      <c r="I43" s="357"/>
      <c r="J43" s="1461" t="str">
        <f>CONCATENATE("( ",UPPER('Master Sheet'!D12)," )")</f>
        <v>( USHA PALIYA )</v>
      </c>
      <c r="K43" s="1461"/>
      <c r="L43" s="1461"/>
      <c r="M43" s="1461"/>
      <c r="N43" s="1461"/>
      <c r="O43" s="1461"/>
      <c r="P43" s="210"/>
    </row>
    <row r="44" spans="1:16" ht="21.75" customHeight="1">
      <c r="A44" s="1458" t="str">
        <f>A23</f>
        <v>हस्ताक्षर परीक्षा प्रभारी</v>
      </c>
      <c r="B44" s="1458"/>
      <c r="C44" s="1458"/>
      <c r="D44" s="358"/>
      <c r="E44" s="359"/>
      <c r="F44" s="767"/>
      <c r="G44" s="357"/>
      <c r="H44" s="767"/>
      <c r="I44" s="357"/>
      <c r="J44" s="1459" t="str">
        <f>J23</f>
        <v>हस्ताक्षर मय सील मोहर संस्था प्रधान</v>
      </c>
      <c r="K44" s="1459"/>
      <c r="L44" s="1459"/>
      <c r="M44" s="1459"/>
      <c r="N44" s="1459"/>
      <c r="O44" s="1459"/>
      <c r="P44" s="210"/>
    </row>
    <row r="45" spans="1:16" ht="18.75">
      <c r="A45" s="210"/>
      <c r="B45" s="210"/>
      <c r="C45" s="210"/>
      <c r="D45" s="210"/>
      <c r="E45" s="210"/>
      <c r="F45" s="210"/>
      <c r="G45" s="210"/>
      <c r="H45" s="210"/>
      <c r="I45" s="210"/>
      <c r="J45" s="210"/>
      <c r="K45" s="210"/>
      <c r="L45" s="210"/>
      <c r="M45" s="210"/>
      <c r="N45" s="210"/>
      <c r="O45" s="210"/>
      <c r="P45" s="378"/>
    </row>
    <row r="46" spans="1:16" ht="15.75">
      <c r="A46" s="210"/>
      <c r="B46" s="210"/>
      <c r="C46" s="210"/>
      <c r="D46" s="210"/>
      <c r="E46" s="210"/>
      <c r="F46" s="210"/>
      <c r="G46" s="210"/>
      <c r="H46" s="210"/>
      <c r="I46" s="210"/>
      <c r="J46" s="210"/>
      <c r="K46" s="210"/>
      <c r="L46" s="210"/>
      <c r="M46" s="210"/>
      <c r="N46" s="210"/>
      <c r="O46" s="210"/>
      <c r="P46" s="379"/>
    </row>
    <row r="47" spans="1:16" ht="26.25">
      <c r="A47" s="210"/>
      <c r="B47" s="210"/>
      <c r="C47" s="210"/>
      <c r="D47" s="210"/>
      <c r="E47" s="210"/>
      <c r="F47" s="210"/>
      <c r="G47" s="210"/>
      <c r="H47" s="210"/>
      <c r="I47" s="210"/>
      <c r="J47" s="210"/>
      <c r="K47" s="210"/>
      <c r="L47" s="210"/>
      <c r="M47" s="210"/>
      <c r="N47" s="210"/>
      <c r="O47" s="210"/>
      <c r="P47" s="373"/>
    </row>
    <row r="48" spans="1:16" ht="15.75">
      <c r="A48" s="210"/>
      <c r="B48" s="210"/>
      <c r="C48" s="210"/>
      <c r="D48" s="210"/>
      <c r="E48" s="210"/>
      <c r="F48" s="210"/>
      <c r="G48" s="210"/>
      <c r="H48" s="210"/>
      <c r="I48" s="210"/>
      <c r="J48" s="210"/>
      <c r="K48" s="210"/>
      <c r="L48" s="210"/>
      <c r="M48" s="210"/>
      <c r="N48" s="210"/>
      <c r="O48" s="210"/>
      <c r="P48" s="374"/>
    </row>
    <row r="49" spans="1:16" ht="18.75">
      <c r="A49" s="210"/>
      <c r="B49" s="210"/>
      <c r="C49" s="210"/>
      <c r="D49" s="210"/>
      <c r="E49" s="210"/>
      <c r="F49" s="210"/>
      <c r="G49" s="210"/>
      <c r="H49" s="210"/>
      <c r="I49" s="210"/>
      <c r="J49" s="210"/>
      <c r="K49" s="210"/>
      <c r="L49" s="210"/>
      <c r="M49" s="210"/>
      <c r="N49" s="210"/>
      <c r="O49" s="210"/>
      <c r="P49" s="375"/>
    </row>
    <row r="50" spans="1:16" ht="18.75">
      <c r="A50" s="210"/>
      <c r="B50" s="210"/>
      <c r="C50" s="210"/>
      <c r="D50" s="210"/>
      <c r="E50" s="210"/>
      <c r="F50" s="210"/>
      <c r="G50" s="210"/>
      <c r="H50" s="210"/>
      <c r="I50" s="210"/>
      <c r="J50" s="210"/>
      <c r="K50" s="210"/>
      <c r="L50" s="210"/>
      <c r="M50" s="210"/>
      <c r="N50" s="210"/>
      <c r="O50" s="210"/>
      <c r="P50" s="375"/>
    </row>
    <row r="51" spans="1:16" ht="18.75">
      <c r="A51" s="210"/>
      <c r="B51" s="210"/>
      <c r="C51" s="210"/>
      <c r="D51" s="210"/>
      <c r="E51" s="210"/>
      <c r="F51" s="210"/>
      <c r="G51" s="210"/>
      <c r="H51" s="210"/>
      <c r="I51" s="210"/>
      <c r="J51" s="210"/>
      <c r="K51" s="210"/>
      <c r="L51" s="210"/>
      <c r="M51" s="210"/>
      <c r="N51" s="210"/>
      <c r="O51" s="210"/>
      <c r="P51" s="375"/>
    </row>
  </sheetData>
  <sheetProtection password="D1E2" sheet="1" objects="1" scenarios="1" formatColumns="0" formatRows="0"/>
  <protectedRanges>
    <protectedRange password="DC77" sqref="A23:I24 A43:O43 A44:I44 A1:O22 A25:O41" name="Range1"/>
    <protectedRange password="DC77" sqref="J23:O24 J44:O44" name="Range1_1"/>
  </protectedRanges>
  <mergeCells count="32">
    <mergeCell ref="A44:C44"/>
    <mergeCell ref="J44:O44"/>
    <mergeCell ref="A23:C23"/>
    <mergeCell ref="A22:C22"/>
    <mergeCell ref="J22:O22"/>
    <mergeCell ref="I30:K30"/>
    <mergeCell ref="A43:C43"/>
    <mergeCell ref="J43:O43"/>
    <mergeCell ref="G30:H30"/>
    <mergeCell ref="L30:M30"/>
    <mergeCell ref="N30:O30"/>
    <mergeCell ref="J23:O23"/>
    <mergeCell ref="A39:B39"/>
    <mergeCell ref="A40:B40"/>
    <mergeCell ref="A41:B41"/>
    <mergeCell ref="A25:O26"/>
    <mergeCell ref="A1:O1"/>
    <mergeCell ref="A2:E3"/>
    <mergeCell ref="H2:I3"/>
    <mergeCell ref="F2:G3"/>
    <mergeCell ref="M2:O3"/>
    <mergeCell ref="J2:L3"/>
    <mergeCell ref="A34:B34"/>
    <mergeCell ref="A35:B35"/>
    <mergeCell ref="A36:B36"/>
    <mergeCell ref="A37:B37"/>
    <mergeCell ref="A38:B38"/>
    <mergeCell ref="A28:O29"/>
    <mergeCell ref="A30:F30"/>
    <mergeCell ref="A31:B31"/>
    <mergeCell ref="A32:B32"/>
    <mergeCell ref="A33:B33"/>
  </mergeCells>
  <conditionalFormatting sqref="A52:A65206 P52:P65206 B52:O65208 P23:P24 P27:P31">
    <cfRule type="containsText" dxfId="106" priority="32" stopIfTrue="1" operator="containsText" text="G1">
      <formula>NOT(ISERROR(SEARCH("G1",A23)))</formula>
    </cfRule>
    <cfRule type="containsText" dxfId="105" priority="33" stopIfTrue="1" operator="containsText" text="G2">
      <formula>NOT(ISERROR(SEARCH("G2",A23)))</formula>
    </cfRule>
    <cfRule type="containsText" dxfId="104" priority="34" stopIfTrue="1" operator="containsText" text="G1">
      <formula>NOT(ISERROR(SEARCH("G1",A23)))</formula>
    </cfRule>
    <cfRule type="containsText" dxfId="103" priority="35" stopIfTrue="1" operator="containsText" text="S">
      <formula>NOT(ISERROR(SEARCH("S",A23)))</formula>
    </cfRule>
    <cfRule type="containsText" dxfId="102" priority="36" stopIfTrue="1" operator="containsText" text="F">
      <formula>NOT(ISERROR(SEARCH("F",A23)))</formula>
    </cfRule>
  </conditionalFormatting>
  <conditionalFormatting sqref="P36:P51 C7:C19 A4:A22 B5:B21 C31:O41">
    <cfRule type="cellIs" dxfId="101" priority="31" stopIfTrue="1" operator="equal">
      <formula>0</formula>
    </cfRule>
  </conditionalFormatting>
  <conditionalFormatting sqref="P23:P24 P27:P31">
    <cfRule type="containsText" dxfId="100" priority="28" stopIfTrue="1" operator="containsText" text="RA">
      <formula>NOT(ISERROR(SEARCH("RA",P23)))</formula>
    </cfRule>
    <cfRule type="containsText" dxfId="99" priority="29" stopIfTrue="1" operator="containsText" text="ML">
      <formula>NOT(ISERROR(SEARCH("ML",P23)))</formula>
    </cfRule>
    <cfRule type="containsText" dxfId="98" priority="30" stopIfTrue="1" operator="containsText" text="ML">
      <formula>NOT(ISERROR(SEARCH("ML",P23)))</formula>
    </cfRule>
  </conditionalFormatting>
  <conditionalFormatting sqref="P23:P24 P27:P31">
    <cfRule type="containsText" dxfId="97" priority="27" stopIfTrue="1" operator="containsText" text="S">
      <formula>NOT(ISERROR(SEARCH("S",P23)))</formula>
    </cfRule>
  </conditionalFormatting>
  <conditionalFormatting sqref="A4">
    <cfRule type="cellIs" dxfId="96" priority="20" stopIfTrue="1" operator="equal">
      <formula>0</formula>
    </cfRule>
  </conditionalFormatting>
  <conditionalFormatting sqref="A4">
    <cfRule type="cellIs" dxfId="95" priority="19" stopIfTrue="1" operator="equal">
      <formula>0</formula>
    </cfRule>
  </conditionalFormatting>
  <conditionalFormatting sqref="J23">
    <cfRule type="cellIs" dxfId="94" priority="18" stopIfTrue="1" operator="equal">
      <formula>0</formula>
    </cfRule>
  </conditionalFormatting>
  <conditionalFormatting sqref="J23">
    <cfRule type="containsText" dxfId="93" priority="17" stopIfTrue="1" operator="containsText" text="iwjd">
      <formula>NOT(ISERROR(SEARCH("iwjd",J23)))</formula>
    </cfRule>
  </conditionalFormatting>
  <conditionalFormatting sqref="P44">
    <cfRule type="containsText" dxfId="92" priority="12" stopIfTrue="1" operator="containsText" text="G1">
      <formula>NOT(ISERROR(SEARCH("G1",P44)))</formula>
    </cfRule>
    <cfRule type="containsText" dxfId="91" priority="13" stopIfTrue="1" operator="containsText" text="G2">
      <formula>NOT(ISERROR(SEARCH("G2",P44)))</formula>
    </cfRule>
    <cfRule type="containsText" dxfId="90" priority="14" stopIfTrue="1" operator="containsText" text="G1">
      <formula>NOT(ISERROR(SEARCH("G1",P44)))</formula>
    </cfRule>
    <cfRule type="containsText" dxfId="89" priority="15" stopIfTrue="1" operator="containsText" text="S">
      <formula>NOT(ISERROR(SEARCH("S",P44)))</formula>
    </cfRule>
    <cfRule type="containsText" dxfId="88" priority="16" stopIfTrue="1" operator="containsText" text="F">
      <formula>NOT(ISERROR(SEARCH("F",P44)))</formula>
    </cfRule>
  </conditionalFormatting>
  <conditionalFormatting sqref="A43">
    <cfRule type="cellIs" dxfId="87" priority="11" stopIfTrue="1" operator="equal">
      <formula>0</formula>
    </cfRule>
  </conditionalFormatting>
  <conditionalFormatting sqref="P44">
    <cfRule type="containsText" dxfId="86" priority="8" stopIfTrue="1" operator="containsText" text="RA">
      <formula>NOT(ISERROR(SEARCH("RA",P44)))</formula>
    </cfRule>
    <cfRule type="containsText" dxfId="85" priority="9" stopIfTrue="1" operator="containsText" text="ML">
      <formula>NOT(ISERROR(SEARCH("ML",P44)))</formula>
    </cfRule>
    <cfRule type="containsText" dxfId="84" priority="10" stopIfTrue="1" operator="containsText" text="ML">
      <formula>NOT(ISERROR(SEARCH("ML",P44)))</formula>
    </cfRule>
  </conditionalFormatting>
  <conditionalFormatting sqref="P44">
    <cfRule type="containsText" dxfId="83" priority="7" stopIfTrue="1" operator="containsText" text="S">
      <formula>NOT(ISERROR(SEARCH("S",P44)))</formula>
    </cfRule>
  </conditionalFormatting>
  <conditionalFormatting sqref="J44">
    <cfRule type="cellIs" dxfId="82" priority="6" stopIfTrue="1" operator="equal">
      <formula>0</formula>
    </cfRule>
  </conditionalFormatting>
  <conditionalFormatting sqref="J44">
    <cfRule type="containsText" dxfId="81" priority="5" stopIfTrue="1" operator="containsText" text="iwjd">
      <formula>NOT(ISERROR(SEARCH("iwjd",J44)))</formula>
    </cfRule>
  </conditionalFormatting>
  <conditionalFormatting sqref="A4">
    <cfRule type="cellIs" dxfId="80" priority="4" stopIfTrue="1" operator="equal">
      <formula>0</formula>
    </cfRule>
  </conditionalFormatting>
  <conditionalFormatting sqref="J23">
    <cfRule type="cellIs" dxfId="79" priority="3" stopIfTrue="1" operator="equal">
      <formula>0</formula>
    </cfRule>
  </conditionalFormatting>
  <conditionalFormatting sqref="J23">
    <cfRule type="containsText" dxfId="78" priority="2" stopIfTrue="1" operator="containsText" text="iwjd">
      <formula>NOT(ISERROR(SEARCH("iwjd",J23)))</formula>
    </cfRule>
  </conditionalFormatting>
  <conditionalFormatting sqref="C40:O40">
    <cfRule type="cellIs" dxfId="77" priority="1" operator="equal">
      <formula>0</formula>
    </cfRule>
  </conditionalFormatting>
  <pageMargins left="0.7" right="0.45" top="0.25" bottom="0.25" header="0.3" footer="0.3"/>
  <pageSetup paperSize="9" scale="89"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Sheet8">
    <pageSetUpPr fitToPage="1"/>
  </sheetPr>
  <dimension ref="A1:BY243"/>
  <sheetViews>
    <sheetView showGridLines="0" view="pageBreakPreview" zoomScale="106" zoomScaleSheetLayoutView="106" workbookViewId="0">
      <selection activeCell="U23" sqref="U23"/>
    </sheetView>
  </sheetViews>
  <sheetFormatPr defaultColWidth="9.125" defaultRowHeight="0" customHeight="1" zeroHeight="1"/>
  <cols>
    <col min="1" max="1" width="5" style="380" customWidth="1"/>
    <col min="2" max="2" width="5.625" style="380" customWidth="1"/>
    <col min="3" max="3" width="5.25" style="380" customWidth="1"/>
    <col min="4" max="4" width="10" style="380" customWidth="1"/>
    <col min="5" max="5" width="13.75" style="380" customWidth="1"/>
    <col min="6" max="6" width="13.375" style="380" customWidth="1"/>
    <col min="7" max="7" width="14.5" style="380" bestFit="1" customWidth="1"/>
    <col min="8" max="8" width="4.75" style="419" customWidth="1"/>
    <col min="9" max="9" width="4.125" style="419" customWidth="1"/>
    <col min="10" max="10" width="10.5" style="380" customWidth="1"/>
    <col min="11" max="11" width="5.625" style="380" customWidth="1"/>
    <col min="12" max="12" width="7.875" style="380" customWidth="1"/>
    <col min="13" max="13" width="4.375" style="380" customWidth="1"/>
    <col min="14" max="14" width="16.875" style="380" customWidth="1"/>
    <col min="15" max="15" width="6.75" style="380" customWidth="1"/>
    <col min="16" max="16" width="7.625" style="420" customWidth="1"/>
    <col min="17" max="17" width="5" style="421" customWidth="1"/>
    <col min="18" max="18" width="5.625" style="380" customWidth="1"/>
    <col min="19" max="62" width="5.25" style="380" customWidth="1"/>
    <col min="63" max="63" width="5.375" style="380" hidden="1" customWidth="1"/>
    <col min="64" max="64" width="19.375" style="380" hidden="1" customWidth="1"/>
    <col min="65" max="77" width="6.75" style="380" hidden="1" customWidth="1"/>
    <col min="78" max="79" width="9.125" style="380" customWidth="1"/>
    <col min="80" max="16384" width="9.125" style="380"/>
  </cols>
  <sheetData>
    <row r="1" spans="1:77" ht="28.5" customHeight="1" thickTop="1">
      <c r="A1" s="1503" t="str">
        <f>IF('Master Sheet'!D11="Hindi",CONCATENATE("विद्यालय का नाम :-","  ",'Master Sheet'!D8),CONCATENATE("School Name :-","  ",'Master Sheet'!D7))</f>
        <v xml:space="preserve">विद्यालय का नाम :-  महात्मा गाँधी राजकीय विद्यालय (अंग्रेजी माध्यम) बर, पाली </v>
      </c>
      <c r="B1" s="1503"/>
      <c r="C1" s="1503"/>
      <c r="D1" s="1503"/>
      <c r="E1" s="1503"/>
      <c r="F1" s="1503"/>
      <c r="G1" s="1503"/>
      <c r="H1" s="1503"/>
      <c r="I1" s="1503"/>
      <c r="J1" s="1503"/>
      <c r="K1" s="1503"/>
      <c r="L1" s="1503"/>
      <c r="M1" s="1503"/>
      <c r="N1" s="1502" t="str">
        <f>IF('Master Sheet'!D11="Hindi",CONCATENATE("समेकित परीक्षा परिणाम कक्षा "," - ",'Statement of Marks'!D3," तथा विषयवार परिणाम"),CONCATENATE("Aggregate result of the class"," - ",'Statement of Marks'!D3," &amp; Subject-wise Result"))</f>
        <v>समेकित परीक्षा परिणाम कक्षा  - 11 तथा विषयवार परिणाम</v>
      </c>
      <c r="O1" s="1502"/>
      <c r="P1" s="1502"/>
      <c r="Q1" s="1502"/>
      <c r="R1" s="1502"/>
      <c r="BL1" s="1505" t="s">
        <v>78</v>
      </c>
      <c r="BM1" s="1506"/>
      <c r="BN1" s="1506"/>
      <c r="BO1" s="1506"/>
      <c r="BP1" s="1506"/>
      <c r="BQ1" s="1506"/>
      <c r="BR1" s="1506"/>
      <c r="BS1" s="1506"/>
      <c r="BT1" s="1506"/>
      <c r="BU1" s="1506"/>
      <c r="BV1" s="1506"/>
      <c r="BW1" s="1506"/>
      <c r="BX1" s="1506"/>
      <c r="BY1" s="1507"/>
    </row>
    <row r="2" spans="1:77" ht="21.75" customHeight="1">
      <c r="A2" s="694" t="str">
        <f>IF('Master Sheet'!$D$11="Hindi","कक्षा :-","Class :-")</f>
        <v>कक्षा :-</v>
      </c>
      <c r="B2" s="1511" t="str">
        <f>CONCATENATE('Marks Entry'!H2," '",'Marks Entry'!H3,"'")</f>
        <v>11 'Arts'</v>
      </c>
      <c r="C2" s="1512"/>
      <c r="D2" s="1468" t="str">
        <f>IF('Statement of Marks'!D4="","",'Statement of Marks'!D4)</f>
        <v>जन्मतिथि 
Date of Birth</v>
      </c>
      <c r="E2" s="1468" t="str">
        <f>IF('Statement of Marks'!E4="","",'Statement of Marks'!E4)</f>
        <v>विद्यार्थी का नाम   Name of student</v>
      </c>
      <c r="F2" s="1468" t="str">
        <f>IF('Statement of Marks'!F4="","",'Statement of Marks'!F4)</f>
        <v>पिता का नाम   Father's Name</v>
      </c>
      <c r="G2" s="1468" t="str">
        <f>IF('Statement of Marks'!G4="","",'Statement of Marks'!G4)</f>
        <v>माता का नाम   Mother's Name</v>
      </c>
      <c r="H2" s="1514" t="str">
        <f>IF('Master Sheet'!$D$11="Hindi","सत्र :-","Session :-")</f>
        <v>सत्र :-</v>
      </c>
      <c r="I2" s="1515"/>
      <c r="J2" s="98" t="str">
        <f>'Marks Entry'!H1</f>
        <v>2023-2024</v>
      </c>
      <c r="K2" s="1513" t="str">
        <f>IF('Master Sheet'!D11="Hindi","प्राप्तांक","Marks Obtained")</f>
        <v>प्राप्तांक</v>
      </c>
      <c r="L2" s="1201" t="str">
        <f>IF('Master Sheet'!D11="Hindi","प्रतिशत","Percentage")</f>
        <v>प्रतिशत</v>
      </c>
      <c r="M2" s="1504" t="str">
        <f>IF('Master Sheet'!$D$11="Hindi","श्रेणी","Division")</f>
        <v>श्रेणी</v>
      </c>
      <c r="N2" s="1201" t="str">
        <f>IF('Master Sheet'!$D$11="Hindi","पूरक विषय","Supplementary Subject")</f>
        <v>पूरक विषय</v>
      </c>
      <c r="O2" s="1504" t="str">
        <f>IF('Master Sheet'!$D$11="Hindi","पूरक/पुनः परीक्षा का परिणाम","Supp. / Re-exam Result")</f>
        <v>पूरक/पुनः परीक्षा का परिणाम</v>
      </c>
      <c r="P2" s="1504" t="str">
        <f>IF('Master Sheet'!$D$11="Hindi","पूरक परीक्षा उतीर्ण के बाद प्रतिशत","Percentage  after Passing the Supplementary Exam")</f>
        <v>पूरक परीक्षा उतीर्ण के बाद प्रतिशत</v>
      </c>
      <c r="Q2" s="1504" t="str">
        <f>IF('Master Sheet'!$D$11="Hindi","श्रेणी","Division")</f>
        <v>श्रेणी</v>
      </c>
      <c r="R2" s="1504" t="str">
        <f>IF('Master Sheet'!$D$11="Hindi","उपस्थिति","Attendance")</f>
        <v>उपस्थिति</v>
      </c>
      <c r="BL2" s="1508"/>
      <c r="BM2" s="1509"/>
      <c r="BN2" s="1509"/>
      <c r="BO2" s="1509"/>
      <c r="BP2" s="1509"/>
      <c r="BQ2" s="1509"/>
      <c r="BR2" s="1509"/>
      <c r="BS2" s="1509"/>
      <c r="BT2" s="1509"/>
      <c r="BU2" s="1509"/>
      <c r="BV2" s="1509"/>
      <c r="BW2" s="1509"/>
      <c r="BX2" s="1509"/>
      <c r="BY2" s="1510"/>
    </row>
    <row r="3" spans="1:77" s="381" customFormat="1" ht="59.25" customHeight="1">
      <c r="A3" s="695" t="str">
        <f>IF('Statement of Marks'!A4="","",'Statement of Marks'!A4)</f>
        <v xml:space="preserve">क्रमांक </v>
      </c>
      <c r="B3" s="695" t="str">
        <f>IF('Statement of Marks'!B4="","",'Statement of Marks'!B4)</f>
        <v xml:space="preserve">नामांक
Roll No. </v>
      </c>
      <c r="C3" s="695" t="str">
        <f>IF('Statement of Marks'!C4="","",'Statement of Marks'!C4)</f>
        <v xml:space="preserve">प्रवेशांक
SR. No. </v>
      </c>
      <c r="D3" s="1469"/>
      <c r="E3" s="1469"/>
      <c r="F3" s="1469"/>
      <c r="G3" s="1469"/>
      <c r="H3" s="696" t="str">
        <f>'Marks Entry'!I3</f>
        <v>जाति वर्ग  (Category)</v>
      </c>
      <c r="I3" s="696" t="str">
        <f>'Marks Entry'!J3</f>
        <v>लिंग  (Gender)</v>
      </c>
      <c r="J3" s="697" t="str">
        <f>IF('Master Sheet'!D11="Hindi","परिणाम ","Result")</f>
        <v xml:space="preserve">परिणाम </v>
      </c>
      <c r="K3" s="1504"/>
      <c r="L3" s="1201"/>
      <c r="M3" s="1504"/>
      <c r="N3" s="1201"/>
      <c r="O3" s="1504"/>
      <c r="P3" s="1504"/>
      <c r="Q3" s="1504"/>
      <c r="R3" s="1504"/>
      <c r="BL3" s="382" t="str">
        <f>'[1]statement of marks'!G4</f>
        <v>Nk= @ Nk=k dk uke</v>
      </c>
      <c r="BM3" s="383" t="s">
        <v>79</v>
      </c>
      <c r="BN3" s="383" t="s">
        <v>80</v>
      </c>
      <c r="BO3" s="383" t="s">
        <v>81</v>
      </c>
      <c r="BP3" s="383" t="s">
        <v>82</v>
      </c>
      <c r="BQ3" s="383" t="s">
        <v>83</v>
      </c>
      <c r="BR3" s="383" t="s">
        <v>84</v>
      </c>
      <c r="BS3" s="383" t="s">
        <v>85</v>
      </c>
      <c r="BT3" s="383" t="s">
        <v>86</v>
      </c>
      <c r="BU3" s="383" t="s">
        <v>87</v>
      </c>
      <c r="BV3" s="383" t="s">
        <v>88</v>
      </c>
      <c r="BW3" s="383" t="s">
        <v>89</v>
      </c>
      <c r="BX3" s="383" t="s">
        <v>90</v>
      </c>
      <c r="BY3" s="384" t="s">
        <v>91</v>
      </c>
    </row>
    <row r="4" spans="1:77" ht="14.1" customHeight="1">
      <c r="A4" s="385">
        <f>IF('Statement of Marks'!A8="","",'Statement of Marks'!A8)</f>
        <v>1</v>
      </c>
      <c r="B4" s="386">
        <f>IF('Statement of Marks'!B8="","",'Statement of Marks'!B8)</f>
        <v>1101</v>
      </c>
      <c r="C4" s="387">
        <f>IF('Statement of Marks'!C8="","",'Statement of Marks'!C8)</f>
        <v>230</v>
      </c>
      <c r="D4" s="426">
        <f>IF('Statement of Marks'!D8="","",'Statement of Marks'!D8)</f>
        <v>37622</v>
      </c>
      <c r="E4" s="388" t="str">
        <f>IF('Statement of Marks'!E8="","",'Statement of Marks'!E8)</f>
        <v>A</v>
      </c>
      <c r="F4" s="388" t="str">
        <f>IF('Statement of Marks'!F8="","",'Statement of Marks'!F8)</f>
        <v>X</v>
      </c>
      <c r="G4" s="388" t="str">
        <f>IF('Statement of Marks'!G8="","",'Statement of Marks'!G8)</f>
        <v>M</v>
      </c>
      <c r="H4" s="389" t="str">
        <f>IF('Statement of Marks'!H8="","",'Statement of Marks'!H8)</f>
        <v>GEN</v>
      </c>
      <c r="I4" s="389" t="str">
        <f>IF('Statement of Marks'!I8="","",'Statement of Marks'!I8)</f>
        <v>M</v>
      </c>
      <c r="J4" s="113" t="str">
        <f>IF('Statement of Marks'!GY8="","",'Statement of Marks'!GY8)</f>
        <v>PASS</v>
      </c>
      <c r="K4" s="390">
        <f>IF(B4="","",IF('Statement of Marks'!GZ8="","",'Statement of Marks'!GZ8))</f>
        <v>707</v>
      </c>
      <c r="L4" s="391">
        <f>IF('Statement of Marks'!HC8="","",'Statement of Marks'!HC8)</f>
        <v>70.7</v>
      </c>
      <c r="M4" s="390" t="str">
        <f>IF('Statement of Marks'!HB8="","",'Statement of Marks'!HB8)</f>
        <v>I</v>
      </c>
      <c r="N4" s="392" t="str">
        <f>IF(J4="FAIL","",IF('Statement of Marks'!GU8="","",'Statement of Marks'!GU8))</f>
        <v xml:space="preserve">    </v>
      </c>
      <c r="O4" s="393" t="str">
        <f>IF('Supp. Result Entry'!AS7="","",'Supp. Result Entry'!AS7)</f>
        <v/>
      </c>
      <c r="P4" s="394" t="str">
        <f>IF('Supp. Result Entry'!AT7="","",'Supp. Result Entry'!AT7)</f>
        <v/>
      </c>
      <c r="Q4" s="395" t="str">
        <f>IF('Statement of Marks'!HG8="","",'Statement of Marks'!HG8)</f>
        <v/>
      </c>
      <c r="R4" s="396">
        <f>IF('Statement of Marks'!FH8="","",'Statement of Marks'!FH8)</f>
        <v>340</v>
      </c>
      <c r="BL4" s="397" t="str">
        <f>'Statement of Marks'!E8</f>
        <v>A</v>
      </c>
      <c r="BM4" s="398" t="str">
        <f>IFERROR(IF(AND(M4="",Q4="",H4="SC",I4="M"),J4,IF(AND(M4="",H4="SC",I4="M"),Q4,IF(AND(Q4="",H4="SC",I4="M"),M4,""))),"")</f>
        <v/>
      </c>
      <c r="BN4" s="398" t="str">
        <f>IFERROR(IF(AND(M4="",Q4="",H4="SC",I4="F"),J4,IF(AND(M4="",H4="SC",I4="F"),Q4,IF(AND(Q4="",H4="SC",I4="F"),M4,""))),"")</f>
        <v/>
      </c>
      <c r="BO4" s="398" t="str">
        <f>IFERROR(IF(AND(M4="",Q4="",H4="ST",I4="M"),J4,IF(AND(M4="",H4="ST",I4="M"),Q4,IF(AND(Q4="",H4="ST",I4="M"),M4,""))),"")</f>
        <v/>
      </c>
      <c r="BP4" s="398" t="str">
        <f>IFERROR(IF(AND(M4="",Q4="",H4="ST",I4="F"),J4,IF(AND(M4="",H4="ST",I4="F"),Q4,IF(AND(Q4="",H4="ST",I4="F"),M4,""))),"")</f>
        <v/>
      </c>
      <c r="BQ4" s="398" t="str">
        <f>IFERROR(IF(AND(M4="",Q4="",H4="OBC",I4="M"),J4,IF(AND(M4="",H4="OBC",I4="M"),Q4,IF(AND(Q4="",H4="OBC",I4="M"),M4,""))),"")</f>
        <v/>
      </c>
      <c r="BR4" s="398" t="str">
        <f>IFERROR(IF(AND(M4="",Q4="",H4="OBC",I4="F"),J4,IF(AND(M4="",H4="OBC",I4="F"),Q4,IF(AND(Q4="",H4="OBC",I4="F"),M4,""))),"")</f>
        <v/>
      </c>
      <c r="BS4" s="398" t="str">
        <f>IFERROR(IF(AND(M4="",Q4="",H4="GEN",I4="M"),J4,IF(AND(M4="",H4="GEN",I4="M"),Q4,IF(AND(Q4="",H4="GEN",I4="M"),M4,""))),"")</f>
        <v>I</v>
      </c>
      <c r="BT4" s="398" t="str">
        <f>IFERROR(IF(AND(M4="",Q4="",H4="GEN",I4="F"),J4,IF(AND(M4="",H4="GEN",I4="F"),Q4,IF(AND(Q4="",H4="GEN",I4="F"),M4,""))),"")</f>
        <v/>
      </c>
      <c r="BU4" s="398" t="str">
        <f>IFERROR(IF(AND(M4="",Q4="",H4="MIN",I4="M"),J4,IF(AND(M4="",H4="MIN",I4="M"),Q4,IF(AND(Q4="",H4="MIN",I4="M"),M4,""))),"")</f>
        <v/>
      </c>
      <c r="BV4" s="398" t="str">
        <f>IFERROR(IF(AND(M4="",Q4="",H4="MIN",I4="F"),J4,IF(AND(M4="",H4="MIN",I4="F"),Q4,IF(AND(Q4="",H4="MIN",I4="F"),M4,""))),"")</f>
        <v/>
      </c>
      <c r="BW4" s="398" t="str">
        <f>IFERROR(IF(AND(M4="",Q4="",H4="SBC",I4="M"),J4,IF(AND(M4="",H4="SBC",I4="M"),Q4,IF(AND(Q4="",H4="SBC",I4="M"),M4,""))),"")</f>
        <v/>
      </c>
      <c r="BX4" s="398" t="str">
        <f>IFERROR(IF(AND(M4="",Q4="",H4="SBC",I4="F"),J4,IF(AND(M4="",H4="SBC",I4="F"),Q4,IF(AND(Q4="",H4="SBC",I4="F"),M4,""))),"")</f>
        <v/>
      </c>
      <c r="BY4" s="399"/>
    </row>
    <row r="5" spans="1:77" ht="14.1" customHeight="1">
      <c r="A5" s="385">
        <f>IF('Statement of Marks'!A9="","",'Statement of Marks'!A9)</f>
        <v>2</v>
      </c>
      <c r="B5" s="386">
        <f>IF('Statement of Marks'!B9="","",'Statement of Marks'!B9)</f>
        <v>1102</v>
      </c>
      <c r="C5" s="387">
        <f>IF('Statement of Marks'!C9="","",'Statement of Marks'!C9)</f>
        <v>231</v>
      </c>
      <c r="D5" s="426">
        <f>IF('Statement of Marks'!D9="","",'Statement of Marks'!D9)</f>
        <v>38090</v>
      </c>
      <c r="E5" s="388" t="str">
        <f>IF('Statement of Marks'!E9="","",'Statement of Marks'!E9)</f>
        <v>B</v>
      </c>
      <c r="F5" s="388" t="str">
        <f>IF('Statement of Marks'!F9="","",'Statement of Marks'!F9)</f>
        <v>Y</v>
      </c>
      <c r="G5" s="388" t="str">
        <f>IF('Statement of Marks'!G9="","",'Statement of Marks'!G9)</f>
        <v>N</v>
      </c>
      <c r="H5" s="389" t="str">
        <f>IF('Statement of Marks'!H9="","",'Statement of Marks'!H9)</f>
        <v>OBC</v>
      </c>
      <c r="I5" s="389" t="str">
        <f>IF('Statement of Marks'!I9="","",'Statement of Marks'!I9)</f>
        <v>M</v>
      </c>
      <c r="J5" s="648" t="str">
        <f>IF('Statement of Marks'!GY9="","",'Statement of Marks'!GY9)</f>
        <v>PASS</v>
      </c>
      <c r="K5" s="390">
        <f>IF(B5="","",IF('Statement of Marks'!GZ9="","",'Statement of Marks'!GZ9))</f>
        <v>642</v>
      </c>
      <c r="L5" s="391">
        <f>IF('Statement of Marks'!HC9="","",'Statement of Marks'!HC9)</f>
        <v>64.2</v>
      </c>
      <c r="M5" s="390" t="str">
        <f>IF('Statement of Marks'!HB9="","",'Statement of Marks'!HB9)</f>
        <v>I</v>
      </c>
      <c r="N5" s="392" t="str">
        <f>IF(J5="FAIL","",IF('Statement of Marks'!GU9="","",'Statement of Marks'!GU9))</f>
        <v xml:space="preserve">    </v>
      </c>
      <c r="O5" s="393" t="str">
        <f>IF('Supp. Result Entry'!AS8="","",'Supp. Result Entry'!AS8)</f>
        <v/>
      </c>
      <c r="P5" s="394" t="str">
        <f>IF('Supp. Result Entry'!AT8="","",'Supp. Result Entry'!AT8)</f>
        <v/>
      </c>
      <c r="Q5" s="395" t="str">
        <f>IF('Statement of Marks'!HG9="","",'Statement of Marks'!HG9)</f>
        <v/>
      </c>
      <c r="R5" s="396">
        <f>IF('Statement of Marks'!FH9="","",'Statement of Marks'!FH9)</f>
        <v>344</v>
      </c>
      <c r="BL5" s="397" t="str">
        <f>'Statement of Marks'!E9</f>
        <v>B</v>
      </c>
      <c r="BM5" s="398" t="str">
        <f t="shared" ref="BM5:BM68" si="0">IFERROR(IF(AND(M5="",Q5="",H5="SC",I5="M"),J5,IF(AND(M5="",H5="SC",I5="M"),Q5,IF(AND(Q5="",H5="SC",I5="M"),M5,""))),"")</f>
        <v/>
      </c>
      <c r="BN5" s="398" t="str">
        <f t="shared" ref="BN5:BN68" si="1">IFERROR(IF(AND(M5="",Q5="",H5="SC",I5="F"),J5,IF(AND(M5="",H5="SC",I5="F"),Q5,IF(AND(Q5="",H5="SC",I5="F"),M5,""))),"")</f>
        <v/>
      </c>
      <c r="BO5" s="398" t="str">
        <f t="shared" ref="BO5:BO68" si="2">IFERROR(IF(AND(M5="",Q5="",H5="ST",I5="M"),J5,IF(AND(M5="",H5="ST",I5="M"),Q5,IF(AND(Q5="",H5="ST",I5="M"),M5,""))),"")</f>
        <v/>
      </c>
      <c r="BP5" s="398" t="str">
        <f t="shared" ref="BP5:BP68" si="3">IFERROR(IF(AND(M5="",Q5="",H5="ST",I5="F"),J5,IF(AND(M5="",H5="ST",I5="F"),Q5,IF(AND(Q5="",H5="ST",I5="F"),M5,""))),"")</f>
        <v/>
      </c>
      <c r="BQ5" s="398" t="str">
        <f t="shared" ref="BQ5:BQ68" si="4">IFERROR(IF(AND(M5="",Q5="",H5="OBC",I5="M"),J5,IF(AND(M5="",H5="OBC",I5="M"),Q5,IF(AND(Q5="",H5="OBC",I5="M"),M5,""))),"")</f>
        <v>I</v>
      </c>
      <c r="BR5" s="398" t="str">
        <f t="shared" ref="BR5:BR68" si="5">IFERROR(IF(AND(M5="",Q5="",H5="OBC",I5="F"),J5,IF(AND(M5="",H5="OBC",I5="F"),Q5,IF(AND(Q5="",H5="OBC",I5="F"),M5,""))),"")</f>
        <v/>
      </c>
      <c r="BS5" s="398" t="str">
        <f t="shared" ref="BS5:BS68" si="6">IFERROR(IF(AND(M5="",Q5="",H5="GEN",I5="M"),J5,IF(AND(M5="",H5="GEN",I5="M"),Q5,IF(AND(Q5="",H5="GEN",I5="M"),M5,""))),"")</f>
        <v/>
      </c>
      <c r="BT5" s="398" t="str">
        <f t="shared" ref="BT5:BT68" si="7">IFERROR(IF(AND(M5="",Q5="",H5="GEN",I5="F"),J5,IF(AND(M5="",H5="GEN",I5="F"),Q5,IF(AND(Q5="",H5="GEN",I5="F"),M5,""))),"")</f>
        <v/>
      </c>
      <c r="BU5" s="398" t="str">
        <f t="shared" ref="BU5:BU68" si="8">IFERROR(IF(AND(M5="",Q5="",H5="MIN",I5="M"),J5,IF(AND(M5="",H5="MIN",I5="M"),Q5,IF(AND(Q5="",H5="MIN",I5="M"),M5,""))),"")</f>
        <v/>
      </c>
      <c r="BV5" s="398" t="str">
        <f t="shared" ref="BV5:BV68" si="9">IFERROR(IF(AND(M5="",Q5="",H5="MIN",I5="F"),J5,IF(AND(M5="",H5="MIN",I5="F"),Q5,IF(AND(Q5="",H5="MIN",I5="F"),M5,""))),"")</f>
        <v/>
      </c>
      <c r="BW5" s="398" t="str">
        <f t="shared" ref="BW5:BW68" si="10">IFERROR(IF(AND(M5="",Q5="",H5="SBC",I5="M"),J5,IF(AND(M5="",H5="SBC",I5="M"),Q5,IF(AND(Q5="",H5="SBC",I5="M"),M5,""))),"")</f>
        <v/>
      </c>
      <c r="BX5" s="398" t="str">
        <f t="shared" ref="BX5:BX68" si="11">IFERROR(IF(AND(M5="",Q5="",H5="SBC",I5="F"),J5,IF(AND(M5="",H5="SBC",I5="F"),Q5,IF(AND(Q5="",H5="SBC",I5="F"),M5,""))),"")</f>
        <v/>
      </c>
      <c r="BY5" s="399"/>
    </row>
    <row r="6" spans="1:77" ht="14.1" customHeight="1">
      <c r="A6" s="385">
        <f>IF('Statement of Marks'!A10="","",'Statement of Marks'!A10)</f>
        <v>3</v>
      </c>
      <c r="B6" s="386">
        <f>IF('Statement of Marks'!B10="","",'Statement of Marks'!B10)</f>
        <v>1103</v>
      </c>
      <c r="C6" s="387">
        <f>IF('Statement of Marks'!C10="","",'Statement of Marks'!C10)</f>
        <v>555</v>
      </c>
      <c r="D6" s="426">
        <f>IF('Statement of Marks'!D10="","",'Statement of Marks'!D10)</f>
        <v>38414</v>
      </c>
      <c r="E6" s="388" t="str">
        <f>IF('Statement of Marks'!E10="","",'Statement of Marks'!E10)</f>
        <v>C</v>
      </c>
      <c r="F6" s="388" t="str">
        <f>IF('Statement of Marks'!F10="","",'Statement of Marks'!F10)</f>
        <v>Z</v>
      </c>
      <c r="G6" s="388" t="str">
        <f>IF('Statement of Marks'!G10="","",'Statement of Marks'!G10)</f>
        <v>O</v>
      </c>
      <c r="H6" s="389" t="str">
        <f>IF('Statement of Marks'!H10="","",'Statement of Marks'!H10)</f>
        <v>SC</v>
      </c>
      <c r="I6" s="389" t="str">
        <f>IF('Statement of Marks'!I10="","",'Statement of Marks'!I10)</f>
        <v>F</v>
      </c>
      <c r="J6" s="648" t="str">
        <f>IF('Statement of Marks'!GY10="","",'Statement of Marks'!GY10)</f>
        <v>PASS</v>
      </c>
      <c r="K6" s="390">
        <f>IF(B6="","",IF('Statement of Marks'!GZ10="","",'Statement of Marks'!GZ10))</f>
        <v>641</v>
      </c>
      <c r="L6" s="391">
        <f>IF('Statement of Marks'!HC10="","",'Statement of Marks'!HC10)</f>
        <v>64.099999999999994</v>
      </c>
      <c r="M6" s="390" t="str">
        <f>IF('Statement of Marks'!HB10="","",'Statement of Marks'!HB10)</f>
        <v>I</v>
      </c>
      <c r="N6" s="392" t="str">
        <f>IF(J6="FAIL","",IF('Statement of Marks'!GU10="","",'Statement of Marks'!GU10))</f>
        <v xml:space="preserve">    </v>
      </c>
      <c r="O6" s="393" t="str">
        <f>IF('Supp. Result Entry'!AS9="","",'Supp. Result Entry'!AS9)</f>
        <v/>
      </c>
      <c r="P6" s="394" t="str">
        <f>IF('Supp. Result Entry'!AT9="","",'Supp. Result Entry'!AT9)</f>
        <v/>
      </c>
      <c r="Q6" s="395" t="str">
        <f>IF('Statement of Marks'!HG10="","",'Statement of Marks'!HG10)</f>
        <v/>
      </c>
      <c r="R6" s="396">
        <f>IF('Statement of Marks'!FH10="","",'Statement of Marks'!FH10)</f>
        <v>346</v>
      </c>
      <c r="BL6" s="397" t="str">
        <f>'Statement of Marks'!E10</f>
        <v>C</v>
      </c>
      <c r="BM6" s="398" t="str">
        <f t="shared" si="0"/>
        <v/>
      </c>
      <c r="BN6" s="398" t="str">
        <f t="shared" si="1"/>
        <v>I</v>
      </c>
      <c r="BO6" s="398" t="str">
        <f t="shared" si="2"/>
        <v/>
      </c>
      <c r="BP6" s="398" t="str">
        <f t="shared" si="3"/>
        <v/>
      </c>
      <c r="BQ6" s="398" t="str">
        <f t="shared" si="4"/>
        <v/>
      </c>
      <c r="BR6" s="398" t="str">
        <f t="shared" si="5"/>
        <v/>
      </c>
      <c r="BS6" s="398" t="str">
        <f t="shared" si="6"/>
        <v/>
      </c>
      <c r="BT6" s="398" t="str">
        <f t="shared" si="7"/>
        <v/>
      </c>
      <c r="BU6" s="398" t="str">
        <f t="shared" si="8"/>
        <v/>
      </c>
      <c r="BV6" s="398" t="str">
        <f t="shared" si="9"/>
        <v/>
      </c>
      <c r="BW6" s="398" t="str">
        <f t="shared" si="10"/>
        <v/>
      </c>
      <c r="BX6" s="398" t="str">
        <f t="shared" si="11"/>
        <v/>
      </c>
      <c r="BY6" s="399"/>
    </row>
    <row r="7" spans="1:77" ht="14.1" customHeight="1">
      <c r="A7" s="385">
        <f>IF('Statement of Marks'!A11="","",'Statement of Marks'!A11)</f>
        <v>4</v>
      </c>
      <c r="B7" s="386">
        <f>IF('Statement of Marks'!B11="","",'Statement of Marks'!B11)</f>
        <v>1104</v>
      </c>
      <c r="C7" s="387">
        <f>IF('Statement of Marks'!C11="","",'Statement of Marks'!C11)</f>
        <v>444</v>
      </c>
      <c r="D7" s="426">
        <f>IF('Statement of Marks'!D11="","",'Statement of Marks'!D11)</f>
        <v>38874</v>
      </c>
      <c r="E7" s="388" t="str">
        <f>IF('Statement of Marks'!E11="","",'Statement of Marks'!E11)</f>
        <v>D</v>
      </c>
      <c r="F7" s="388" t="str">
        <f>IF('Statement of Marks'!F11="","",'Statement of Marks'!F11)</f>
        <v>W</v>
      </c>
      <c r="G7" s="388" t="str">
        <f>IF('Statement of Marks'!G11="","",'Statement of Marks'!G11)</f>
        <v>P</v>
      </c>
      <c r="H7" s="389" t="str">
        <f>IF('Statement of Marks'!H11="","",'Statement of Marks'!H11)</f>
        <v>ST</v>
      </c>
      <c r="I7" s="389" t="str">
        <f>IF('Statement of Marks'!I11="","",'Statement of Marks'!I11)</f>
        <v>M</v>
      </c>
      <c r="J7" s="648" t="str">
        <f>IF('Statement of Marks'!GY11="","",'Statement of Marks'!GY11)</f>
        <v>PASS</v>
      </c>
      <c r="K7" s="390">
        <f>IF(B7="","",IF('Statement of Marks'!GZ11="","",'Statement of Marks'!GZ11))</f>
        <v>647</v>
      </c>
      <c r="L7" s="391">
        <f>IF('Statement of Marks'!HC11="","",'Statement of Marks'!HC11)</f>
        <v>64.7</v>
      </c>
      <c r="M7" s="390" t="str">
        <f>IF('Statement of Marks'!HB11="","",'Statement of Marks'!HB11)</f>
        <v>I</v>
      </c>
      <c r="N7" s="392" t="str">
        <f>IF(J7="FAIL","",IF('Statement of Marks'!GU11="","",'Statement of Marks'!GU11))</f>
        <v xml:space="preserve">    </v>
      </c>
      <c r="O7" s="393" t="str">
        <f>IF('Supp. Result Entry'!AS10="","",'Supp. Result Entry'!AS10)</f>
        <v/>
      </c>
      <c r="P7" s="394" t="str">
        <f>IF('Supp. Result Entry'!AT10="","",'Supp. Result Entry'!AT10)</f>
        <v/>
      </c>
      <c r="Q7" s="395" t="str">
        <f>IF('Statement of Marks'!HG11="","",'Statement of Marks'!HG11)</f>
        <v/>
      </c>
      <c r="R7" s="396">
        <f>IF('Statement of Marks'!FH11="","",'Statement of Marks'!FH11)</f>
        <v>330</v>
      </c>
      <c r="BL7" s="397" t="str">
        <f>'Statement of Marks'!E11</f>
        <v>D</v>
      </c>
      <c r="BM7" s="398" t="str">
        <f t="shared" si="0"/>
        <v/>
      </c>
      <c r="BN7" s="398" t="str">
        <f t="shared" si="1"/>
        <v/>
      </c>
      <c r="BO7" s="398" t="str">
        <f t="shared" si="2"/>
        <v>I</v>
      </c>
      <c r="BP7" s="398" t="str">
        <f t="shared" si="3"/>
        <v/>
      </c>
      <c r="BQ7" s="398" t="str">
        <f t="shared" si="4"/>
        <v/>
      </c>
      <c r="BR7" s="398" t="str">
        <f t="shared" si="5"/>
        <v/>
      </c>
      <c r="BS7" s="398" t="str">
        <f t="shared" si="6"/>
        <v/>
      </c>
      <c r="BT7" s="398" t="str">
        <f t="shared" si="7"/>
        <v/>
      </c>
      <c r="BU7" s="398" t="str">
        <f t="shared" si="8"/>
        <v/>
      </c>
      <c r="BV7" s="398" t="str">
        <f t="shared" si="9"/>
        <v/>
      </c>
      <c r="BW7" s="398" t="str">
        <f t="shared" si="10"/>
        <v/>
      </c>
      <c r="BX7" s="398" t="str">
        <f t="shared" si="11"/>
        <v/>
      </c>
      <c r="BY7" s="399"/>
    </row>
    <row r="8" spans="1:77" ht="14.1" customHeight="1">
      <c r="A8" s="385">
        <f>IF('Statement of Marks'!A12="","",'Statement of Marks'!A12)</f>
        <v>5</v>
      </c>
      <c r="B8" s="386">
        <f>IF('Statement of Marks'!B12="","",'Statement of Marks'!B12)</f>
        <v>1105</v>
      </c>
      <c r="C8" s="387">
        <f>IF('Statement of Marks'!C12="","",'Statement of Marks'!C12)</f>
        <v>333</v>
      </c>
      <c r="D8" s="426">
        <f>IF('Statement of Marks'!D12="","",'Statement of Marks'!D12)</f>
        <v>39270</v>
      </c>
      <c r="E8" s="388" t="str">
        <f>IF('Statement of Marks'!E12="","",'Statement of Marks'!E12)</f>
        <v>E</v>
      </c>
      <c r="F8" s="388" t="str">
        <f>IF('Statement of Marks'!F12="","",'Statement of Marks'!F12)</f>
        <v>V</v>
      </c>
      <c r="G8" s="388" t="str">
        <f>IF('Statement of Marks'!G12="","",'Statement of Marks'!G12)</f>
        <v>Q</v>
      </c>
      <c r="H8" s="389" t="str">
        <f>IF('Statement of Marks'!H12="","",'Statement of Marks'!H12)</f>
        <v>SBC</v>
      </c>
      <c r="I8" s="389" t="str">
        <f>IF('Statement of Marks'!I12="","",'Statement of Marks'!I12)</f>
        <v>F</v>
      </c>
      <c r="J8" s="648" t="str">
        <f>IF('Statement of Marks'!GY12="","",'Statement of Marks'!GY12)</f>
        <v>PASS</v>
      </c>
      <c r="K8" s="390">
        <f>IF(B8="","",IF('Statement of Marks'!GZ12="","",'Statement of Marks'!GZ12))</f>
        <v>686</v>
      </c>
      <c r="L8" s="391">
        <f>IF('Statement of Marks'!HC12="","",'Statement of Marks'!HC12)</f>
        <v>68.600000000000009</v>
      </c>
      <c r="M8" s="390" t="str">
        <f>IF('Statement of Marks'!HB12="","",'Statement of Marks'!HB12)</f>
        <v>I</v>
      </c>
      <c r="N8" s="392" t="str">
        <f>IF(J8="FAIL","",IF('Statement of Marks'!GU12="","",'Statement of Marks'!GU12))</f>
        <v xml:space="preserve">    </v>
      </c>
      <c r="O8" s="393" t="str">
        <f>IF('Supp. Result Entry'!AS11="","",'Supp. Result Entry'!AS11)</f>
        <v/>
      </c>
      <c r="P8" s="394" t="str">
        <f>IF('Supp. Result Entry'!AT11="","",'Supp. Result Entry'!AT11)</f>
        <v/>
      </c>
      <c r="Q8" s="395" t="str">
        <f>IF('Statement of Marks'!HG12="","",'Statement of Marks'!HG12)</f>
        <v/>
      </c>
      <c r="R8" s="396">
        <f>IF('Statement of Marks'!FH12="","",'Statement of Marks'!FH12)</f>
        <v>318</v>
      </c>
      <c r="BL8" s="397" t="str">
        <f>'Statement of Marks'!E12</f>
        <v>E</v>
      </c>
      <c r="BM8" s="398" t="str">
        <f t="shared" si="0"/>
        <v/>
      </c>
      <c r="BN8" s="398" t="str">
        <f t="shared" si="1"/>
        <v/>
      </c>
      <c r="BO8" s="398" t="str">
        <f t="shared" si="2"/>
        <v/>
      </c>
      <c r="BP8" s="398" t="str">
        <f t="shared" si="3"/>
        <v/>
      </c>
      <c r="BQ8" s="398" t="str">
        <f t="shared" si="4"/>
        <v/>
      </c>
      <c r="BR8" s="398" t="str">
        <f t="shared" si="5"/>
        <v/>
      </c>
      <c r="BS8" s="398" t="str">
        <f t="shared" si="6"/>
        <v/>
      </c>
      <c r="BT8" s="398" t="str">
        <f t="shared" si="7"/>
        <v/>
      </c>
      <c r="BU8" s="398" t="str">
        <f t="shared" si="8"/>
        <v/>
      </c>
      <c r="BV8" s="398" t="str">
        <f t="shared" si="9"/>
        <v/>
      </c>
      <c r="BW8" s="398" t="str">
        <f t="shared" si="10"/>
        <v/>
      </c>
      <c r="BX8" s="398" t="str">
        <f t="shared" si="11"/>
        <v>I</v>
      </c>
      <c r="BY8" s="399"/>
    </row>
    <row r="9" spans="1:77" ht="14.1" customHeight="1">
      <c r="A9" s="385">
        <f>IF('Statement of Marks'!A13="","",'Statement of Marks'!A13)</f>
        <v>6</v>
      </c>
      <c r="B9" s="386">
        <f>IF('Statement of Marks'!B13="","",'Statement of Marks'!B13)</f>
        <v>1106</v>
      </c>
      <c r="C9" s="387">
        <f>IF('Statement of Marks'!C13="","",'Statement of Marks'!C13)</f>
        <v>666</v>
      </c>
      <c r="D9" s="426">
        <f>IF('Statement of Marks'!D13="","",'Statement of Marks'!D13)</f>
        <v>39668</v>
      </c>
      <c r="E9" s="388" t="str">
        <f>IF('Statement of Marks'!E13="","",'Statement of Marks'!E13)</f>
        <v>F</v>
      </c>
      <c r="F9" s="388" t="str">
        <f>IF('Statement of Marks'!F13="","",'Statement of Marks'!F13)</f>
        <v>U</v>
      </c>
      <c r="G9" s="388" t="str">
        <f>IF('Statement of Marks'!G13="","",'Statement of Marks'!G13)</f>
        <v>R</v>
      </c>
      <c r="H9" s="389" t="str">
        <f>IF('Statement of Marks'!H13="","",'Statement of Marks'!H13)</f>
        <v>OBC</v>
      </c>
      <c r="I9" s="389" t="str">
        <f>IF('Statement of Marks'!I13="","",'Statement of Marks'!I13)</f>
        <v>M</v>
      </c>
      <c r="J9" s="648" t="str">
        <f>IF('Statement of Marks'!GY13="","",'Statement of Marks'!GY13)</f>
        <v>PASS</v>
      </c>
      <c r="K9" s="390">
        <f>IF(B9="","",IF('Statement of Marks'!GZ13="","",'Statement of Marks'!GZ13))</f>
        <v>561</v>
      </c>
      <c r="L9" s="391">
        <f>IF('Statement of Marks'!HC13="","",'Statement of Marks'!HC13)</f>
        <v>56.100000000000009</v>
      </c>
      <c r="M9" s="390" t="str">
        <f>IF('Statement of Marks'!HB13="","",'Statement of Marks'!HB13)</f>
        <v>II</v>
      </c>
      <c r="N9" s="392" t="str">
        <f>IF(J9="FAIL","",IF('Statement of Marks'!GU13="","",'Statement of Marks'!GU13))</f>
        <v xml:space="preserve">    </v>
      </c>
      <c r="O9" s="393" t="str">
        <f>IF('Supp. Result Entry'!AS12="","",'Supp. Result Entry'!AS12)</f>
        <v/>
      </c>
      <c r="P9" s="394" t="str">
        <f>IF('Supp. Result Entry'!AT12="","",'Supp. Result Entry'!AT12)</f>
        <v/>
      </c>
      <c r="Q9" s="395" t="str">
        <f>IF('Statement of Marks'!HG13="","",'Statement of Marks'!HG13)</f>
        <v/>
      </c>
      <c r="R9" s="396">
        <f>IF('Statement of Marks'!FH13="","",'Statement of Marks'!FH13)</f>
        <v>310</v>
      </c>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L9" s="397" t="str">
        <f>'Statement of Marks'!E13</f>
        <v>F</v>
      </c>
      <c r="BM9" s="398" t="str">
        <f t="shared" si="0"/>
        <v/>
      </c>
      <c r="BN9" s="398" t="str">
        <f t="shared" si="1"/>
        <v/>
      </c>
      <c r="BO9" s="398" t="str">
        <f t="shared" si="2"/>
        <v/>
      </c>
      <c r="BP9" s="398" t="str">
        <f t="shared" si="3"/>
        <v/>
      </c>
      <c r="BQ9" s="398" t="str">
        <f t="shared" si="4"/>
        <v>II</v>
      </c>
      <c r="BR9" s="398" t="str">
        <f t="shared" si="5"/>
        <v/>
      </c>
      <c r="BS9" s="398" t="str">
        <f t="shared" si="6"/>
        <v/>
      </c>
      <c r="BT9" s="398" t="str">
        <f t="shared" si="7"/>
        <v/>
      </c>
      <c r="BU9" s="398" t="str">
        <f t="shared" si="8"/>
        <v/>
      </c>
      <c r="BV9" s="398" t="str">
        <f t="shared" si="9"/>
        <v/>
      </c>
      <c r="BW9" s="398" t="str">
        <f t="shared" si="10"/>
        <v/>
      </c>
      <c r="BX9" s="398" t="str">
        <f t="shared" si="11"/>
        <v/>
      </c>
      <c r="BY9" s="399"/>
    </row>
    <row r="10" spans="1:77" ht="14.1" customHeight="1">
      <c r="A10" s="385">
        <f>IF('Statement of Marks'!A14="","",'Statement of Marks'!A14)</f>
        <v>7</v>
      </c>
      <c r="B10" s="386">
        <f>IF('Statement of Marks'!B14="","",'Statement of Marks'!B14)</f>
        <v>1107</v>
      </c>
      <c r="C10" s="387">
        <f>IF('Statement of Marks'!C14="","",'Statement of Marks'!C14)</f>
        <v>222</v>
      </c>
      <c r="D10" s="426">
        <f>IF('Statement of Marks'!D14="","",'Statement of Marks'!D14)</f>
        <v>40065</v>
      </c>
      <c r="E10" s="388" t="str">
        <f>IF('Statement of Marks'!E14="","",'Statement of Marks'!E14)</f>
        <v>G</v>
      </c>
      <c r="F10" s="388" t="str">
        <f>IF('Statement of Marks'!F14="","",'Statement of Marks'!F14)</f>
        <v>T</v>
      </c>
      <c r="G10" s="388" t="str">
        <f>IF('Statement of Marks'!G14="","",'Statement of Marks'!G14)</f>
        <v>S</v>
      </c>
      <c r="H10" s="389" t="str">
        <f>IF('Statement of Marks'!H14="","",'Statement of Marks'!H14)</f>
        <v>GEN</v>
      </c>
      <c r="I10" s="389" t="str">
        <f>IF('Statement of Marks'!I14="","",'Statement of Marks'!I14)</f>
        <v>M</v>
      </c>
      <c r="J10" s="648" t="str">
        <f>IF('Statement of Marks'!GY14="","",'Statement of Marks'!GY14)</f>
        <v>SUPPLEMENTARY</v>
      </c>
      <c r="K10" s="390">
        <f>IF(B10="","",IF('Statement of Marks'!GZ14="","",'Statement of Marks'!GZ14))</f>
        <v>475</v>
      </c>
      <c r="L10" s="391" t="str">
        <f>IF('Statement of Marks'!HC14="","",'Statement of Marks'!HC14)</f>
        <v/>
      </c>
      <c r="M10" s="390" t="str">
        <f>IF('Statement of Marks'!HB14="","",'Statement of Marks'!HB14)</f>
        <v/>
      </c>
      <c r="N10" s="392" t="str">
        <f>IF(J10="FAIL","",IF('Statement of Marks'!GU14="","",'Statement of Marks'!GU14))</f>
        <v xml:space="preserve">  POLITICAL SCIENCE  </v>
      </c>
      <c r="O10" s="393" t="str">
        <f>IF('Supp. Result Entry'!AS13="","",'Supp. Result Entry'!AS13)</f>
        <v>PASS</v>
      </c>
      <c r="P10" s="394">
        <f>IF('Supp. Result Entry'!AT13="","",'Supp. Result Entry'!AT13)</f>
        <v>45</v>
      </c>
      <c r="Q10" s="395" t="str">
        <f>IF('Statement of Marks'!HG14="","",'Statement of Marks'!HG14)</f>
        <v>III</v>
      </c>
      <c r="R10" s="396">
        <f>IF('Statement of Marks'!FH14="","",'Statement of Marks'!FH14)</f>
        <v>370</v>
      </c>
      <c r="BL10" s="397" t="str">
        <f>'Statement of Marks'!E14</f>
        <v>G</v>
      </c>
      <c r="BM10" s="398" t="str">
        <f t="shared" si="0"/>
        <v/>
      </c>
      <c r="BN10" s="398" t="str">
        <f t="shared" si="1"/>
        <v/>
      </c>
      <c r="BO10" s="398" t="str">
        <f t="shared" si="2"/>
        <v/>
      </c>
      <c r="BP10" s="398" t="str">
        <f t="shared" si="3"/>
        <v/>
      </c>
      <c r="BQ10" s="398" t="str">
        <f t="shared" si="4"/>
        <v/>
      </c>
      <c r="BR10" s="398" t="str">
        <f t="shared" si="5"/>
        <v/>
      </c>
      <c r="BS10" s="398" t="str">
        <f t="shared" si="6"/>
        <v>III</v>
      </c>
      <c r="BT10" s="398" t="str">
        <f t="shared" si="7"/>
        <v/>
      </c>
      <c r="BU10" s="398" t="str">
        <f t="shared" si="8"/>
        <v/>
      </c>
      <c r="BV10" s="398" t="str">
        <f t="shared" si="9"/>
        <v/>
      </c>
      <c r="BW10" s="398" t="str">
        <f t="shared" si="10"/>
        <v/>
      </c>
      <c r="BX10" s="398" t="str">
        <f t="shared" si="11"/>
        <v/>
      </c>
      <c r="BY10" s="399"/>
    </row>
    <row r="11" spans="1:77" ht="14.1" customHeight="1">
      <c r="A11" s="385">
        <f>IF('Statement of Marks'!A15="","",'Statement of Marks'!A15)</f>
        <v>8</v>
      </c>
      <c r="B11" s="386">
        <f>IF('Statement of Marks'!B15="","",'Statement of Marks'!B15)</f>
        <v>1108</v>
      </c>
      <c r="C11" s="387">
        <f>IF('Statement of Marks'!C15="","",'Statement of Marks'!C15)</f>
        <v>123</v>
      </c>
      <c r="D11" s="426">
        <f>IF('Statement of Marks'!D15="","",'Statement of Marks'!D15)</f>
        <v>39763</v>
      </c>
      <c r="E11" s="388" t="str">
        <f>IF('Statement of Marks'!E15="","",'Statement of Marks'!E15)</f>
        <v>O</v>
      </c>
      <c r="F11" s="388" t="str">
        <f>IF('Statement of Marks'!F15="","",'Statement of Marks'!F15)</f>
        <v>R</v>
      </c>
      <c r="G11" s="388" t="str">
        <f>IF('Statement of Marks'!G15="","",'Statement of Marks'!G15)</f>
        <v>I</v>
      </c>
      <c r="H11" s="389" t="str">
        <f>IF('Statement of Marks'!H15="","",'Statement of Marks'!H15)</f>
        <v>OBC</v>
      </c>
      <c r="I11" s="389" t="str">
        <f>IF('Statement of Marks'!I15="","",'Statement of Marks'!I15)</f>
        <v>M</v>
      </c>
      <c r="J11" s="648" t="str">
        <f>IF('Statement of Marks'!GY15="","",'Statement of Marks'!GY15)</f>
        <v>BY GRACE PASS</v>
      </c>
      <c r="K11" s="390">
        <f>IF(B11="","",IF('Statement of Marks'!GZ15="","",'Statement of Marks'!GZ15))</f>
        <v>437</v>
      </c>
      <c r="L11" s="391">
        <f>IF('Statement of Marks'!HC15="","",'Statement of Marks'!HC15)</f>
        <v>43.7</v>
      </c>
      <c r="M11" s="390" t="str">
        <f>IF('Statement of Marks'!HB15="","",'Statement of Marks'!HB15)</f>
        <v>III</v>
      </c>
      <c r="N11" s="392" t="str">
        <f>IF(J11="FAIL","",IF('Statement of Marks'!GU15="","",'Statement of Marks'!GU15))</f>
        <v xml:space="preserve">    </v>
      </c>
      <c r="O11" s="393" t="str">
        <f>IF('Supp. Result Entry'!AS14="","",'Supp. Result Entry'!AS14)</f>
        <v/>
      </c>
      <c r="P11" s="394" t="str">
        <f>IF('Supp. Result Entry'!AT14="","",'Supp. Result Entry'!AT14)</f>
        <v/>
      </c>
      <c r="Q11" s="395" t="str">
        <f>IF('Statement of Marks'!HG15="","",'Statement of Marks'!HG15)</f>
        <v/>
      </c>
      <c r="R11" s="396">
        <f>IF('Statement of Marks'!FH15="","",'Statement of Marks'!FH15)</f>
        <v>330</v>
      </c>
      <c r="BL11" s="397" t="str">
        <f>'Statement of Marks'!E15</f>
        <v>O</v>
      </c>
      <c r="BM11" s="398" t="str">
        <f t="shared" si="0"/>
        <v/>
      </c>
      <c r="BN11" s="398" t="str">
        <f t="shared" si="1"/>
        <v/>
      </c>
      <c r="BO11" s="398" t="str">
        <f t="shared" si="2"/>
        <v/>
      </c>
      <c r="BP11" s="398" t="str">
        <f t="shared" si="3"/>
        <v/>
      </c>
      <c r="BQ11" s="398" t="str">
        <f t="shared" si="4"/>
        <v>III</v>
      </c>
      <c r="BR11" s="398" t="str">
        <f t="shared" si="5"/>
        <v/>
      </c>
      <c r="BS11" s="398" t="str">
        <f t="shared" si="6"/>
        <v/>
      </c>
      <c r="BT11" s="398" t="str">
        <f t="shared" si="7"/>
        <v/>
      </c>
      <c r="BU11" s="398" t="str">
        <f t="shared" si="8"/>
        <v/>
      </c>
      <c r="BV11" s="398" t="str">
        <f t="shared" si="9"/>
        <v/>
      </c>
      <c r="BW11" s="398" t="str">
        <f t="shared" si="10"/>
        <v/>
      </c>
      <c r="BX11" s="398" t="str">
        <f t="shared" si="11"/>
        <v/>
      </c>
      <c r="BY11" s="399"/>
    </row>
    <row r="12" spans="1:77" ht="14.1" customHeight="1">
      <c r="A12" s="385">
        <f>IF('Statement of Marks'!A16="","",'Statement of Marks'!A16)</f>
        <v>9</v>
      </c>
      <c r="B12" s="386">
        <f>IF('Statement of Marks'!B16="","",'Statement of Marks'!B16)</f>
        <v>1109</v>
      </c>
      <c r="C12" s="387">
        <f>IF('Statement of Marks'!C16="","",'Statement of Marks'!C16)</f>
        <v>345</v>
      </c>
      <c r="D12" s="426">
        <f>IF('Statement of Marks'!D16="","",'Statement of Marks'!D16)</f>
        <v>40795</v>
      </c>
      <c r="E12" s="388" t="str">
        <f>IF('Statement of Marks'!E16="","",'Statement of Marks'!E16)</f>
        <v>P</v>
      </c>
      <c r="F12" s="388" t="str">
        <f>IF('Statement of Marks'!F16="","",'Statement of Marks'!F16)</f>
        <v>P</v>
      </c>
      <c r="G12" s="388" t="str">
        <f>IF('Statement of Marks'!G16="","",'Statement of Marks'!G16)</f>
        <v>N</v>
      </c>
      <c r="H12" s="389" t="str">
        <f>IF('Statement of Marks'!H16="","",'Statement of Marks'!H16)</f>
        <v>SC</v>
      </c>
      <c r="I12" s="389" t="str">
        <f>IF('Statement of Marks'!I16="","",'Statement of Marks'!I16)</f>
        <v>F</v>
      </c>
      <c r="J12" s="648" t="str">
        <f>IF('Statement of Marks'!GY16="","",'Statement of Marks'!GY16)</f>
        <v>FAIL</v>
      </c>
      <c r="K12" s="390">
        <f>IF(B12="","",IF('Statement of Marks'!GZ16="","",'Statement of Marks'!GZ16))</f>
        <v>418</v>
      </c>
      <c r="L12" s="391" t="str">
        <f>IF('Statement of Marks'!HC16="","",'Statement of Marks'!HC16)</f>
        <v/>
      </c>
      <c r="M12" s="390" t="str">
        <f>IF('Statement of Marks'!HB16="","",'Statement of Marks'!HB16)</f>
        <v/>
      </c>
      <c r="N12" s="392" t="str">
        <f>IF(J12="FAIL","",IF('Statement of Marks'!GU16="","",'Statement of Marks'!GU16))</f>
        <v/>
      </c>
      <c r="O12" s="393" t="str">
        <f>IF('Supp. Result Entry'!AS15="","",'Supp. Result Entry'!AS15)</f>
        <v/>
      </c>
      <c r="P12" s="394" t="str">
        <f>IF('Supp. Result Entry'!AT15="","",'Supp. Result Entry'!AT15)</f>
        <v/>
      </c>
      <c r="Q12" s="395" t="str">
        <f>IF('Statement of Marks'!HG16="","",'Statement of Marks'!HG16)</f>
        <v/>
      </c>
      <c r="R12" s="396">
        <f>IF('Statement of Marks'!FH16="","",'Statement of Marks'!FH16)</f>
        <v>330</v>
      </c>
      <c r="BL12" s="397" t="str">
        <f>'Statement of Marks'!E16</f>
        <v>P</v>
      </c>
      <c r="BM12" s="398" t="str">
        <f t="shared" si="0"/>
        <v/>
      </c>
      <c r="BN12" s="398" t="str">
        <f t="shared" si="1"/>
        <v>FAIL</v>
      </c>
      <c r="BO12" s="398" t="str">
        <f t="shared" si="2"/>
        <v/>
      </c>
      <c r="BP12" s="398" t="str">
        <f t="shared" si="3"/>
        <v/>
      </c>
      <c r="BQ12" s="398" t="str">
        <f t="shared" si="4"/>
        <v/>
      </c>
      <c r="BR12" s="398" t="str">
        <f t="shared" si="5"/>
        <v/>
      </c>
      <c r="BS12" s="398" t="str">
        <f t="shared" si="6"/>
        <v/>
      </c>
      <c r="BT12" s="398" t="str">
        <f t="shared" si="7"/>
        <v/>
      </c>
      <c r="BU12" s="398" t="str">
        <f t="shared" si="8"/>
        <v/>
      </c>
      <c r="BV12" s="398" t="str">
        <f t="shared" si="9"/>
        <v/>
      </c>
      <c r="BW12" s="398" t="str">
        <f t="shared" si="10"/>
        <v/>
      </c>
      <c r="BX12" s="398" t="str">
        <f t="shared" si="11"/>
        <v/>
      </c>
      <c r="BY12" s="399"/>
    </row>
    <row r="13" spans="1:77" ht="14.1" customHeight="1">
      <c r="A13" s="385">
        <f>IF('Statement of Marks'!A17="","",'Statement of Marks'!A17)</f>
        <v>10</v>
      </c>
      <c r="B13" s="386">
        <f>IF('Statement of Marks'!B17="","",'Statement of Marks'!B17)</f>
        <v>1110</v>
      </c>
      <c r="C13" s="387">
        <f>IF('Statement of Marks'!C17="","",'Statement of Marks'!C17)</f>
        <v>678</v>
      </c>
      <c r="D13" s="426">
        <f>IF('Statement of Marks'!D17="","",'Statement of Marks'!D17)</f>
        <v>38841</v>
      </c>
      <c r="E13" s="388" t="str">
        <f>IF('Statement of Marks'!E17="","",'Statement of Marks'!E17)</f>
        <v>S</v>
      </c>
      <c r="F13" s="388" t="str">
        <f>IF('Statement of Marks'!F17="","",'Statement of Marks'!F17)</f>
        <v>M</v>
      </c>
      <c r="G13" s="388" t="str">
        <f>IF('Statement of Marks'!G17="","",'Statement of Marks'!G17)</f>
        <v>B</v>
      </c>
      <c r="H13" s="389" t="str">
        <f>IF('Statement of Marks'!H17="","",'Statement of Marks'!H17)</f>
        <v>MIN</v>
      </c>
      <c r="I13" s="389" t="str">
        <f>IF('Statement of Marks'!I17="","",'Statement of Marks'!I17)</f>
        <v>M</v>
      </c>
      <c r="J13" s="648" t="str">
        <f>IF('Statement of Marks'!GY17="","",'Statement of Marks'!GY17)</f>
        <v>BY GRACE PASS</v>
      </c>
      <c r="K13" s="390">
        <f>IF(B13="","",IF('Statement of Marks'!GZ17="","",'Statement of Marks'!GZ17))</f>
        <v>412</v>
      </c>
      <c r="L13" s="391">
        <f>IF('Statement of Marks'!HC17="","",'Statement of Marks'!HC17)</f>
        <v>41.616161616161619</v>
      </c>
      <c r="M13" s="390" t="str">
        <f>IF('Statement of Marks'!HB17="","",'Statement of Marks'!HB17)</f>
        <v>III</v>
      </c>
      <c r="N13" s="392" t="str">
        <f>IF(J13="FAIL","",IF('Statement of Marks'!GU17="","",'Statement of Marks'!GU17))</f>
        <v xml:space="preserve">    </v>
      </c>
      <c r="O13" s="393" t="str">
        <f>IF('Supp. Result Entry'!AS16="","",'Supp. Result Entry'!AS16)</f>
        <v/>
      </c>
      <c r="P13" s="394" t="str">
        <f>IF('Supp. Result Entry'!AT16="","",'Supp. Result Entry'!AT16)</f>
        <v/>
      </c>
      <c r="Q13" s="395" t="str">
        <f>IF('Statement of Marks'!HG17="","",'Statement of Marks'!HG17)</f>
        <v/>
      </c>
      <c r="R13" s="396">
        <f>IF('Statement of Marks'!FH17="","",'Statement of Marks'!FH17)</f>
        <v>310</v>
      </c>
      <c r="BL13" s="397" t="str">
        <f>'Statement of Marks'!E17</f>
        <v>S</v>
      </c>
      <c r="BM13" s="398" t="str">
        <f t="shared" si="0"/>
        <v/>
      </c>
      <c r="BN13" s="398" t="str">
        <f t="shared" si="1"/>
        <v/>
      </c>
      <c r="BO13" s="398" t="str">
        <f t="shared" si="2"/>
        <v/>
      </c>
      <c r="BP13" s="398" t="str">
        <f t="shared" si="3"/>
        <v/>
      </c>
      <c r="BQ13" s="398" t="str">
        <f t="shared" si="4"/>
        <v/>
      </c>
      <c r="BR13" s="398" t="str">
        <f t="shared" si="5"/>
        <v/>
      </c>
      <c r="BS13" s="398" t="str">
        <f t="shared" si="6"/>
        <v/>
      </c>
      <c r="BT13" s="398" t="str">
        <f t="shared" si="7"/>
        <v/>
      </c>
      <c r="BU13" s="398" t="str">
        <f t="shared" si="8"/>
        <v>III</v>
      </c>
      <c r="BV13" s="398" t="str">
        <f t="shared" si="9"/>
        <v/>
      </c>
      <c r="BW13" s="398" t="str">
        <f t="shared" si="10"/>
        <v/>
      </c>
      <c r="BX13" s="398" t="str">
        <f t="shared" si="11"/>
        <v/>
      </c>
      <c r="BY13" s="399"/>
    </row>
    <row r="14" spans="1:77" ht="14.1" customHeight="1">
      <c r="A14" s="385">
        <f>IF('Statement of Marks'!A18="","",'Statement of Marks'!A18)</f>
        <v>11</v>
      </c>
      <c r="B14" s="386">
        <f>IF('Statement of Marks'!B18="","",'Statement of Marks'!B18)</f>
        <v>1111</v>
      </c>
      <c r="C14" s="387">
        <f>IF('Statement of Marks'!C18="","",'Statement of Marks'!C18)</f>
        <v>654</v>
      </c>
      <c r="D14" s="426">
        <f>IF('Statement of Marks'!D18="","",'Statement of Marks'!D18)</f>
        <v>39635</v>
      </c>
      <c r="E14" s="388" t="str">
        <f>IF('Statement of Marks'!E18="","",'Statement of Marks'!E18)</f>
        <v>M</v>
      </c>
      <c r="F14" s="388" t="str">
        <f>IF('Statement of Marks'!F18="","",'Statement of Marks'!F18)</f>
        <v>N</v>
      </c>
      <c r="G14" s="388" t="str">
        <f>IF('Statement of Marks'!G18="","",'Statement of Marks'!G18)</f>
        <v>A</v>
      </c>
      <c r="H14" s="389" t="str">
        <f>IF('Statement of Marks'!H18="","",'Statement of Marks'!H18)</f>
        <v>SBC</v>
      </c>
      <c r="I14" s="389" t="str">
        <f>IF('Statement of Marks'!I18="","",'Statement of Marks'!I18)</f>
        <v>M</v>
      </c>
      <c r="J14" s="648" t="str">
        <f>IF('Statement of Marks'!GY18="","",'Statement of Marks'!GY18)</f>
        <v>PASS</v>
      </c>
      <c r="K14" s="390">
        <f>IF(B14="","",IF('Statement of Marks'!GZ18="","",'Statement of Marks'!GZ18))</f>
        <v>457</v>
      </c>
      <c r="L14" s="391">
        <f>IF('Statement of Marks'!HC18="","",'Statement of Marks'!HC18)</f>
        <v>46.632653061224488</v>
      </c>
      <c r="M14" s="390" t="str">
        <f>IF('Statement of Marks'!HB18="","",'Statement of Marks'!HB18)</f>
        <v>III</v>
      </c>
      <c r="N14" s="392" t="str">
        <f>IF(J14="FAIL","",IF('Statement of Marks'!GU18="","",'Statement of Marks'!GU18))</f>
        <v xml:space="preserve">    </v>
      </c>
      <c r="O14" s="393" t="str">
        <f>IF('Supp. Result Entry'!AS17="","",'Supp. Result Entry'!AS17)</f>
        <v/>
      </c>
      <c r="P14" s="394" t="str">
        <f>IF('Supp. Result Entry'!AT17="","",'Supp. Result Entry'!AT17)</f>
        <v/>
      </c>
      <c r="Q14" s="395" t="str">
        <f>IF('Statement of Marks'!HG18="","",'Statement of Marks'!HG18)</f>
        <v/>
      </c>
      <c r="R14" s="396">
        <f>IF('Statement of Marks'!FH18="","",'Statement of Marks'!FH18)</f>
        <v>360</v>
      </c>
      <c r="BL14" s="397" t="str">
        <f>'Statement of Marks'!E18</f>
        <v>M</v>
      </c>
      <c r="BM14" s="398" t="str">
        <f t="shared" si="0"/>
        <v/>
      </c>
      <c r="BN14" s="398" t="str">
        <f t="shared" si="1"/>
        <v/>
      </c>
      <c r="BO14" s="398" t="str">
        <f t="shared" si="2"/>
        <v/>
      </c>
      <c r="BP14" s="398" t="str">
        <f t="shared" si="3"/>
        <v/>
      </c>
      <c r="BQ14" s="398" t="str">
        <f t="shared" si="4"/>
        <v/>
      </c>
      <c r="BR14" s="398" t="str">
        <f t="shared" si="5"/>
        <v/>
      </c>
      <c r="BS14" s="398" t="str">
        <f t="shared" si="6"/>
        <v/>
      </c>
      <c r="BT14" s="398" t="str">
        <f t="shared" si="7"/>
        <v/>
      </c>
      <c r="BU14" s="398" t="str">
        <f t="shared" si="8"/>
        <v/>
      </c>
      <c r="BV14" s="398" t="str">
        <f t="shared" si="9"/>
        <v/>
      </c>
      <c r="BW14" s="398" t="str">
        <f t="shared" si="10"/>
        <v>III</v>
      </c>
      <c r="BX14" s="398" t="str">
        <f t="shared" si="11"/>
        <v/>
      </c>
      <c r="BY14" s="399"/>
    </row>
    <row r="15" spans="1:77" ht="14.1" customHeight="1">
      <c r="A15" s="385">
        <f>IF('Statement of Marks'!A19="","",'Statement of Marks'!A19)</f>
        <v>12</v>
      </c>
      <c r="B15" s="386" t="str">
        <f>IF('Statement of Marks'!B19="","",'Statement of Marks'!B19)</f>
        <v/>
      </c>
      <c r="C15" s="387" t="str">
        <f>IF('Statement of Marks'!C19="","",'Statement of Marks'!C19)</f>
        <v/>
      </c>
      <c r="D15" s="426" t="str">
        <f>IF('Statement of Marks'!D19="","",'Statement of Marks'!D19)</f>
        <v/>
      </c>
      <c r="E15" s="388" t="str">
        <f>IF('Statement of Marks'!E19="","",'Statement of Marks'!E19)</f>
        <v/>
      </c>
      <c r="F15" s="388" t="str">
        <f>IF('Statement of Marks'!F19="","",'Statement of Marks'!F19)</f>
        <v/>
      </c>
      <c r="G15" s="388" t="str">
        <f>IF('Statement of Marks'!G19="","",'Statement of Marks'!G19)</f>
        <v/>
      </c>
      <c r="H15" s="389" t="str">
        <f>IF('Statement of Marks'!H19="","",'Statement of Marks'!H19)</f>
        <v/>
      </c>
      <c r="I15" s="389" t="str">
        <f>IF('Statement of Marks'!I19="","",'Statement of Marks'!I19)</f>
        <v/>
      </c>
      <c r="J15" s="648" t="str">
        <f>IF('Statement of Marks'!GY19="","",'Statement of Marks'!GY19)</f>
        <v/>
      </c>
      <c r="K15" s="390" t="str">
        <f>IF(B15="","",IF('Statement of Marks'!GZ19="","",'Statement of Marks'!GZ19))</f>
        <v/>
      </c>
      <c r="L15" s="391" t="str">
        <f>IF('Statement of Marks'!HC19="","",'Statement of Marks'!HC19)</f>
        <v/>
      </c>
      <c r="M15" s="390" t="str">
        <f>IF('Statement of Marks'!HB19="","",'Statement of Marks'!HB19)</f>
        <v/>
      </c>
      <c r="N15" s="392" t="str">
        <f>IF(J15="FAIL","",IF('Statement of Marks'!GU19="","",'Statement of Marks'!GU19))</f>
        <v xml:space="preserve">    </v>
      </c>
      <c r="O15" s="393" t="str">
        <f>IF('Supp. Result Entry'!AS18="","",'Supp. Result Entry'!AS18)</f>
        <v/>
      </c>
      <c r="P15" s="394" t="str">
        <f>IF('Supp. Result Entry'!AT18="","",'Supp. Result Entry'!AT18)</f>
        <v/>
      </c>
      <c r="Q15" s="395" t="str">
        <f>IF('Statement of Marks'!HG19="","",'Statement of Marks'!HG19)</f>
        <v/>
      </c>
      <c r="R15" s="396" t="str">
        <f>IF('Statement of Marks'!FH19="","",'Statement of Marks'!FH19)</f>
        <v/>
      </c>
      <c r="BL15" s="397" t="str">
        <f>'Statement of Marks'!E19</f>
        <v/>
      </c>
      <c r="BM15" s="398" t="str">
        <f t="shared" si="0"/>
        <v/>
      </c>
      <c r="BN15" s="398" t="str">
        <f t="shared" si="1"/>
        <v/>
      </c>
      <c r="BO15" s="398" t="str">
        <f t="shared" si="2"/>
        <v/>
      </c>
      <c r="BP15" s="398" t="str">
        <f t="shared" si="3"/>
        <v/>
      </c>
      <c r="BQ15" s="398" t="str">
        <f t="shared" si="4"/>
        <v/>
      </c>
      <c r="BR15" s="398" t="str">
        <f t="shared" si="5"/>
        <v/>
      </c>
      <c r="BS15" s="398" t="str">
        <f t="shared" si="6"/>
        <v/>
      </c>
      <c r="BT15" s="398" t="str">
        <f t="shared" si="7"/>
        <v/>
      </c>
      <c r="BU15" s="398" t="str">
        <f t="shared" si="8"/>
        <v/>
      </c>
      <c r="BV15" s="398" t="str">
        <f t="shared" si="9"/>
        <v/>
      </c>
      <c r="BW15" s="398" t="str">
        <f t="shared" si="10"/>
        <v/>
      </c>
      <c r="BX15" s="398" t="str">
        <f t="shared" si="11"/>
        <v/>
      </c>
      <c r="BY15" s="399"/>
    </row>
    <row r="16" spans="1:77" ht="14.1" customHeight="1">
      <c r="A16" s="385">
        <f>IF('Statement of Marks'!A20="","",'Statement of Marks'!A20)</f>
        <v>13</v>
      </c>
      <c r="B16" s="386" t="str">
        <f>IF('Statement of Marks'!B20="","",'Statement of Marks'!B20)</f>
        <v/>
      </c>
      <c r="C16" s="387" t="str">
        <f>IF('Statement of Marks'!C20="","",'Statement of Marks'!C20)</f>
        <v/>
      </c>
      <c r="D16" s="426" t="str">
        <f>IF('Statement of Marks'!D20="","",'Statement of Marks'!D20)</f>
        <v/>
      </c>
      <c r="E16" s="388" t="str">
        <f>IF('Statement of Marks'!E20="","",'Statement of Marks'!E20)</f>
        <v/>
      </c>
      <c r="F16" s="388" t="str">
        <f>IF('Statement of Marks'!F20="","",'Statement of Marks'!F20)</f>
        <v/>
      </c>
      <c r="G16" s="388" t="str">
        <f>IF('Statement of Marks'!G20="","",'Statement of Marks'!G20)</f>
        <v/>
      </c>
      <c r="H16" s="389" t="str">
        <f>IF('Statement of Marks'!H20="","",'Statement of Marks'!H20)</f>
        <v/>
      </c>
      <c r="I16" s="389" t="str">
        <f>IF('Statement of Marks'!I20="","",'Statement of Marks'!I20)</f>
        <v/>
      </c>
      <c r="J16" s="648" t="str">
        <f>IF('Statement of Marks'!GY20="","",'Statement of Marks'!GY20)</f>
        <v/>
      </c>
      <c r="K16" s="390" t="str">
        <f>IF(B16="","",IF('Statement of Marks'!GZ20="","",'Statement of Marks'!GZ20))</f>
        <v/>
      </c>
      <c r="L16" s="391" t="str">
        <f>IF('Statement of Marks'!HC20="","",'Statement of Marks'!HC20)</f>
        <v/>
      </c>
      <c r="M16" s="390" t="str">
        <f>IF('Statement of Marks'!HB20="","",'Statement of Marks'!HB20)</f>
        <v/>
      </c>
      <c r="N16" s="392" t="str">
        <f>IF(J16="FAIL","",IF('Statement of Marks'!GU20="","",'Statement of Marks'!GU20))</f>
        <v xml:space="preserve">    </v>
      </c>
      <c r="O16" s="393" t="str">
        <f>IF('Supp. Result Entry'!AS19="","",'Supp. Result Entry'!AS19)</f>
        <v/>
      </c>
      <c r="P16" s="394" t="str">
        <f>IF('Supp. Result Entry'!AT19="","",'Supp. Result Entry'!AT19)</f>
        <v/>
      </c>
      <c r="Q16" s="395" t="str">
        <f>IF('Statement of Marks'!HG20="","",'Statement of Marks'!HG20)</f>
        <v/>
      </c>
      <c r="R16" s="396" t="str">
        <f>IF('Statement of Marks'!FH20="","",'Statement of Marks'!FH20)</f>
        <v/>
      </c>
      <c r="BL16" s="397" t="str">
        <f>'Statement of Marks'!E20</f>
        <v/>
      </c>
      <c r="BM16" s="398" t="str">
        <f t="shared" si="0"/>
        <v/>
      </c>
      <c r="BN16" s="398" t="str">
        <f t="shared" si="1"/>
        <v/>
      </c>
      <c r="BO16" s="398" t="str">
        <f t="shared" si="2"/>
        <v/>
      </c>
      <c r="BP16" s="398" t="str">
        <f t="shared" si="3"/>
        <v/>
      </c>
      <c r="BQ16" s="398" t="str">
        <f t="shared" si="4"/>
        <v/>
      </c>
      <c r="BR16" s="398" t="str">
        <f t="shared" si="5"/>
        <v/>
      </c>
      <c r="BS16" s="398" t="str">
        <f t="shared" si="6"/>
        <v/>
      </c>
      <c r="BT16" s="398" t="str">
        <f t="shared" si="7"/>
        <v/>
      </c>
      <c r="BU16" s="398" t="str">
        <f t="shared" si="8"/>
        <v/>
      </c>
      <c r="BV16" s="398" t="str">
        <f t="shared" si="9"/>
        <v/>
      </c>
      <c r="BW16" s="398" t="str">
        <f t="shared" si="10"/>
        <v/>
      </c>
      <c r="BX16" s="398" t="str">
        <f t="shared" si="11"/>
        <v/>
      </c>
      <c r="BY16" s="399"/>
    </row>
    <row r="17" spans="1:77" ht="14.1" customHeight="1">
      <c r="A17" s="385">
        <f>IF('Statement of Marks'!A21="","",'Statement of Marks'!A21)</f>
        <v>14</v>
      </c>
      <c r="B17" s="386" t="str">
        <f>IF('Statement of Marks'!B21="","",'Statement of Marks'!B21)</f>
        <v/>
      </c>
      <c r="C17" s="387" t="str">
        <f>IF('Statement of Marks'!C21="","",'Statement of Marks'!C21)</f>
        <v/>
      </c>
      <c r="D17" s="426" t="str">
        <f>IF('Statement of Marks'!D21="","",'Statement of Marks'!D21)</f>
        <v/>
      </c>
      <c r="E17" s="388" t="str">
        <f>IF('Statement of Marks'!E21="","",'Statement of Marks'!E21)</f>
        <v/>
      </c>
      <c r="F17" s="388" t="str">
        <f>IF('Statement of Marks'!F21="","",'Statement of Marks'!F21)</f>
        <v/>
      </c>
      <c r="G17" s="388" t="str">
        <f>IF('Statement of Marks'!G21="","",'Statement of Marks'!G21)</f>
        <v/>
      </c>
      <c r="H17" s="389" t="str">
        <f>IF('Statement of Marks'!H21="","",'Statement of Marks'!H21)</f>
        <v/>
      </c>
      <c r="I17" s="389" t="str">
        <f>IF('Statement of Marks'!I21="","",'Statement of Marks'!I21)</f>
        <v/>
      </c>
      <c r="J17" s="648" t="str">
        <f>IF('Statement of Marks'!GY21="","",'Statement of Marks'!GY21)</f>
        <v/>
      </c>
      <c r="K17" s="390" t="str">
        <f>IF(B17="","",IF('Statement of Marks'!GZ21="","",'Statement of Marks'!GZ21))</f>
        <v/>
      </c>
      <c r="L17" s="391" t="str">
        <f>IF('Statement of Marks'!HC21="","",'Statement of Marks'!HC21)</f>
        <v/>
      </c>
      <c r="M17" s="390" t="str">
        <f>IF('Statement of Marks'!HB21="","",'Statement of Marks'!HB21)</f>
        <v/>
      </c>
      <c r="N17" s="392" t="str">
        <f>IF(J17="FAIL","",IF('Statement of Marks'!GU21="","",'Statement of Marks'!GU21))</f>
        <v xml:space="preserve">    </v>
      </c>
      <c r="O17" s="393" t="str">
        <f>IF('Supp. Result Entry'!AS20="","",'Supp. Result Entry'!AS20)</f>
        <v/>
      </c>
      <c r="P17" s="394" t="str">
        <f>IF('Supp. Result Entry'!AT20="","",'Supp. Result Entry'!AT20)</f>
        <v/>
      </c>
      <c r="Q17" s="395" t="str">
        <f>IF('Statement of Marks'!HG21="","",'Statement of Marks'!HG21)</f>
        <v/>
      </c>
      <c r="R17" s="396" t="str">
        <f>IF('Statement of Marks'!FH21="","",'Statement of Marks'!FH21)</f>
        <v/>
      </c>
      <c r="BL17" s="397" t="str">
        <f>'Statement of Marks'!E21</f>
        <v/>
      </c>
      <c r="BM17" s="398" t="str">
        <f t="shared" si="0"/>
        <v/>
      </c>
      <c r="BN17" s="398" t="str">
        <f t="shared" si="1"/>
        <v/>
      </c>
      <c r="BO17" s="398" t="str">
        <f t="shared" si="2"/>
        <v/>
      </c>
      <c r="BP17" s="398" t="str">
        <f t="shared" si="3"/>
        <v/>
      </c>
      <c r="BQ17" s="398" t="str">
        <f t="shared" si="4"/>
        <v/>
      </c>
      <c r="BR17" s="398" t="str">
        <f t="shared" si="5"/>
        <v/>
      </c>
      <c r="BS17" s="398" t="str">
        <f t="shared" si="6"/>
        <v/>
      </c>
      <c r="BT17" s="398" t="str">
        <f t="shared" si="7"/>
        <v/>
      </c>
      <c r="BU17" s="398" t="str">
        <f t="shared" si="8"/>
        <v/>
      </c>
      <c r="BV17" s="398" t="str">
        <f t="shared" si="9"/>
        <v/>
      </c>
      <c r="BW17" s="398" t="str">
        <f t="shared" si="10"/>
        <v/>
      </c>
      <c r="BX17" s="398" t="str">
        <f t="shared" si="11"/>
        <v/>
      </c>
      <c r="BY17" s="399"/>
    </row>
    <row r="18" spans="1:77" ht="14.1" customHeight="1">
      <c r="A18" s="385">
        <f>IF('Statement of Marks'!A22="","",'Statement of Marks'!A22)</f>
        <v>15</v>
      </c>
      <c r="B18" s="386" t="str">
        <f>IF('Statement of Marks'!B22="","",'Statement of Marks'!B22)</f>
        <v/>
      </c>
      <c r="C18" s="387" t="str">
        <f>IF('Statement of Marks'!C22="","",'Statement of Marks'!C22)</f>
        <v/>
      </c>
      <c r="D18" s="426" t="str">
        <f>IF('Statement of Marks'!D22="","",'Statement of Marks'!D22)</f>
        <v/>
      </c>
      <c r="E18" s="388" t="str">
        <f>IF('Statement of Marks'!E22="","",'Statement of Marks'!E22)</f>
        <v/>
      </c>
      <c r="F18" s="388" t="str">
        <f>IF('Statement of Marks'!F22="","",'Statement of Marks'!F22)</f>
        <v/>
      </c>
      <c r="G18" s="388" t="str">
        <f>IF('Statement of Marks'!G22="","",'Statement of Marks'!G22)</f>
        <v/>
      </c>
      <c r="H18" s="389" t="str">
        <f>IF('Statement of Marks'!H22="","",'Statement of Marks'!H22)</f>
        <v/>
      </c>
      <c r="I18" s="389" t="str">
        <f>IF('Statement of Marks'!I22="","",'Statement of Marks'!I22)</f>
        <v/>
      </c>
      <c r="J18" s="648" t="str">
        <f>IF('Statement of Marks'!GY22="","",'Statement of Marks'!GY22)</f>
        <v/>
      </c>
      <c r="K18" s="390" t="str">
        <f>IF(B18="","",IF('Statement of Marks'!GZ22="","",'Statement of Marks'!GZ22))</f>
        <v/>
      </c>
      <c r="L18" s="391" t="str">
        <f>IF('Statement of Marks'!HC22="","",'Statement of Marks'!HC22)</f>
        <v/>
      </c>
      <c r="M18" s="390" t="str">
        <f>IF('Statement of Marks'!HB22="","",'Statement of Marks'!HB22)</f>
        <v/>
      </c>
      <c r="N18" s="392" t="str">
        <f>IF(J18="FAIL","",IF('Statement of Marks'!GU22="","",'Statement of Marks'!GU22))</f>
        <v xml:space="preserve">    </v>
      </c>
      <c r="O18" s="393" t="str">
        <f>IF('Supp. Result Entry'!AS21="","",'Supp. Result Entry'!AS21)</f>
        <v/>
      </c>
      <c r="P18" s="394" t="str">
        <f>IF('Supp. Result Entry'!AT21="","",'Supp. Result Entry'!AT21)</f>
        <v/>
      </c>
      <c r="Q18" s="395" t="str">
        <f>IF('Statement of Marks'!HG22="","",'Statement of Marks'!HG22)</f>
        <v/>
      </c>
      <c r="R18" s="396" t="str">
        <f>IF('Statement of Marks'!FH22="","",'Statement of Marks'!FH22)</f>
        <v/>
      </c>
      <c r="BL18" s="397" t="str">
        <f>'Statement of Marks'!E22</f>
        <v/>
      </c>
      <c r="BM18" s="398" t="str">
        <f t="shared" si="0"/>
        <v/>
      </c>
      <c r="BN18" s="398" t="str">
        <f t="shared" si="1"/>
        <v/>
      </c>
      <c r="BO18" s="398" t="str">
        <f t="shared" si="2"/>
        <v/>
      </c>
      <c r="BP18" s="398" t="str">
        <f t="shared" si="3"/>
        <v/>
      </c>
      <c r="BQ18" s="398" t="str">
        <f t="shared" si="4"/>
        <v/>
      </c>
      <c r="BR18" s="398" t="str">
        <f t="shared" si="5"/>
        <v/>
      </c>
      <c r="BS18" s="398" t="str">
        <f t="shared" si="6"/>
        <v/>
      </c>
      <c r="BT18" s="398" t="str">
        <f t="shared" si="7"/>
        <v/>
      </c>
      <c r="BU18" s="398" t="str">
        <f t="shared" si="8"/>
        <v/>
      </c>
      <c r="BV18" s="398" t="str">
        <f t="shared" si="9"/>
        <v/>
      </c>
      <c r="BW18" s="398" t="str">
        <f t="shared" si="10"/>
        <v/>
      </c>
      <c r="BX18" s="398" t="str">
        <f t="shared" si="11"/>
        <v/>
      </c>
      <c r="BY18" s="399"/>
    </row>
    <row r="19" spans="1:77" ht="14.1" customHeight="1">
      <c r="A19" s="385">
        <f>IF('Statement of Marks'!A23="","",'Statement of Marks'!A23)</f>
        <v>16</v>
      </c>
      <c r="B19" s="386" t="str">
        <f>IF('Statement of Marks'!B23="","",'Statement of Marks'!B23)</f>
        <v/>
      </c>
      <c r="C19" s="387" t="str">
        <f>IF('Statement of Marks'!C23="","",'Statement of Marks'!C23)</f>
        <v/>
      </c>
      <c r="D19" s="426" t="str">
        <f>IF('Statement of Marks'!D23="","",'Statement of Marks'!D23)</f>
        <v/>
      </c>
      <c r="E19" s="388" t="str">
        <f>IF('Statement of Marks'!E23="","",'Statement of Marks'!E23)</f>
        <v/>
      </c>
      <c r="F19" s="388" t="str">
        <f>IF('Statement of Marks'!F23="","",'Statement of Marks'!F23)</f>
        <v/>
      </c>
      <c r="G19" s="388" t="str">
        <f>IF('Statement of Marks'!G23="","",'Statement of Marks'!G23)</f>
        <v/>
      </c>
      <c r="H19" s="389" t="str">
        <f>IF('Statement of Marks'!H23="","",'Statement of Marks'!H23)</f>
        <v/>
      </c>
      <c r="I19" s="389" t="str">
        <f>IF('Statement of Marks'!I23="","",'Statement of Marks'!I23)</f>
        <v/>
      </c>
      <c r="J19" s="648" t="str">
        <f>IF('Statement of Marks'!GY23="","",'Statement of Marks'!GY23)</f>
        <v/>
      </c>
      <c r="K19" s="390" t="str">
        <f>IF(B19="","",IF('Statement of Marks'!GZ23="","",'Statement of Marks'!GZ23))</f>
        <v/>
      </c>
      <c r="L19" s="391" t="str">
        <f>IF('Statement of Marks'!HC23="","",'Statement of Marks'!HC23)</f>
        <v/>
      </c>
      <c r="M19" s="390" t="str">
        <f>IF('Statement of Marks'!HB23="","",'Statement of Marks'!HB23)</f>
        <v/>
      </c>
      <c r="N19" s="392" t="str">
        <f>IF(J19="FAIL","",IF('Statement of Marks'!GU23="","",'Statement of Marks'!GU23))</f>
        <v xml:space="preserve">    </v>
      </c>
      <c r="O19" s="393" t="str">
        <f>IF('Supp. Result Entry'!AS22="","",'Supp. Result Entry'!AS22)</f>
        <v/>
      </c>
      <c r="P19" s="394" t="str">
        <f>IF('Supp. Result Entry'!AT22="","",'Supp. Result Entry'!AT22)</f>
        <v/>
      </c>
      <c r="Q19" s="395" t="str">
        <f>IF('Statement of Marks'!HG23="","",'Statement of Marks'!HG23)</f>
        <v/>
      </c>
      <c r="R19" s="396" t="str">
        <f>IF('Statement of Marks'!FH23="","",'Statement of Marks'!FH23)</f>
        <v/>
      </c>
      <c r="BL19" s="397" t="str">
        <f>'Statement of Marks'!E23</f>
        <v/>
      </c>
      <c r="BM19" s="398" t="str">
        <f t="shared" si="0"/>
        <v/>
      </c>
      <c r="BN19" s="398" t="str">
        <f t="shared" si="1"/>
        <v/>
      </c>
      <c r="BO19" s="398" t="str">
        <f t="shared" si="2"/>
        <v/>
      </c>
      <c r="BP19" s="398" t="str">
        <f t="shared" si="3"/>
        <v/>
      </c>
      <c r="BQ19" s="398" t="str">
        <f t="shared" si="4"/>
        <v/>
      </c>
      <c r="BR19" s="398" t="str">
        <f t="shared" si="5"/>
        <v/>
      </c>
      <c r="BS19" s="398" t="str">
        <f t="shared" si="6"/>
        <v/>
      </c>
      <c r="BT19" s="398" t="str">
        <f t="shared" si="7"/>
        <v/>
      </c>
      <c r="BU19" s="398" t="str">
        <f t="shared" si="8"/>
        <v/>
      </c>
      <c r="BV19" s="398" t="str">
        <f t="shared" si="9"/>
        <v/>
      </c>
      <c r="BW19" s="398" t="str">
        <f t="shared" si="10"/>
        <v/>
      </c>
      <c r="BX19" s="398" t="str">
        <f t="shared" si="11"/>
        <v/>
      </c>
      <c r="BY19" s="399"/>
    </row>
    <row r="20" spans="1:77" ht="14.1" customHeight="1">
      <c r="A20" s="385">
        <f>IF('Statement of Marks'!A24="","",'Statement of Marks'!A24)</f>
        <v>17</v>
      </c>
      <c r="B20" s="386" t="str">
        <f>IF('Statement of Marks'!B24="","",'Statement of Marks'!B24)</f>
        <v/>
      </c>
      <c r="C20" s="387" t="str">
        <f>IF('Statement of Marks'!C24="","",'Statement of Marks'!C24)</f>
        <v/>
      </c>
      <c r="D20" s="426" t="str">
        <f>IF('Statement of Marks'!D24="","",'Statement of Marks'!D24)</f>
        <v/>
      </c>
      <c r="E20" s="388" t="str">
        <f>IF('Statement of Marks'!E24="","",'Statement of Marks'!E24)</f>
        <v/>
      </c>
      <c r="F20" s="388" t="str">
        <f>IF('Statement of Marks'!F24="","",'Statement of Marks'!F24)</f>
        <v/>
      </c>
      <c r="G20" s="388" t="str">
        <f>IF('Statement of Marks'!G24="","",'Statement of Marks'!G24)</f>
        <v/>
      </c>
      <c r="H20" s="389" t="str">
        <f>IF('Statement of Marks'!H24="","",'Statement of Marks'!H24)</f>
        <v/>
      </c>
      <c r="I20" s="389" t="str">
        <f>IF('Statement of Marks'!I24="","",'Statement of Marks'!I24)</f>
        <v/>
      </c>
      <c r="J20" s="648" t="str">
        <f>IF('Statement of Marks'!GY24="","",'Statement of Marks'!GY24)</f>
        <v/>
      </c>
      <c r="K20" s="390" t="str">
        <f>IF(B20="","",IF('Statement of Marks'!GZ24="","",'Statement of Marks'!GZ24))</f>
        <v/>
      </c>
      <c r="L20" s="391" t="str">
        <f>IF('Statement of Marks'!HC24="","",'Statement of Marks'!HC24)</f>
        <v/>
      </c>
      <c r="M20" s="390" t="str">
        <f>IF('Statement of Marks'!HB24="","",'Statement of Marks'!HB24)</f>
        <v/>
      </c>
      <c r="N20" s="392" t="str">
        <f>IF(J20="FAIL","",IF('Statement of Marks'!GU24="","",'Statement of Marks'!GU24))</f>
        <v xml:space="preserve">    </v>
      </c>
      <c r="O20" s="393" t="str">
        <f>IF('Supp. Result Entry'!AS23="","",'Supp. Result Entry'!AS23)</f>
        <v/>
      </c>
      <c r="P20" s="394" t="str">
        <f>IF('Supp. Result Entry'!AT23="","",'Supp. Result Entry'!AT23)</f>
        <v/>
      </c>
      <c r="Q20" s="395" t="str">
        <f>IF('Statement of Marks'!HG24="","",'Statement of Marks'!HG24)</f>
        <v/>
      </c>
      <c r="R20" s="396" t="str">
        <f>IF('Statement of Marks'!FH24="","",'Statement of Marks'!FH24)</f>
        <v/>
      </c>
      <c r="BL20" s="397" t="str">
        <f>'Statement of Marks'!E24</f>
        <v/>
      </c>
      <c r="BM20" s="398" t="str">
        <f t="shared" si="0"/>
        <v/>
      </c>
      <c r="BN20" s="398" t="str">
        <f t="shared" si="1"/>
        <v/>
      </c>
      <c r="BO20" s="398" t="str">
        <f t="shared" si="2"/>
        <v/>
      </c>
      <c r="BP20" s="398" t="str">
        <f t="shared" si="3"/>
        <v/>
      </c>
      <c r="BQ20" s="398" t="str">
        <f t="shared" si="4"/>
        <v/>
      </c>
      <c r="BR20" s="398" t="str">
        <f t="shared" si="5"/>
        <v/>
      </c>
      <c r="BS20" s="398" t="str">
        <f t="shared" si="6"/>
        <v/>
      </c>
      <c r="BT20" s="398" t="str">
        <f t="shared" si="7"/>
        <v/>
      </c>
      <c r="BU20" s="398" t="str">
        <f t="shared" si="8"/>
        <v/>
      </c>
      <c r="BV20" s="398" t="str">
        <f t="shared" si="9"/>
        <v/>
      </c>
      <c r="BW20" s="398" t="str">
        <f t="shared" si="10"/>
        <v/>
      </c>
      <c r="BX20" s="398" t="str">
        <f t="shared" si="11"/>
        <v/>
      </c>
      <c r="BY20" s="399"/>
    </row>
    <row r="21" spans="1:77" ht="14.1" customHeight="1">
      <c r="A21" s="385">
        <f>IF('Statement of Marks'!A25="","",'Statement of Marks'!A25)</f>
        <v>18</v>
      </c>
      <c r="B21" s="386" t="str">
        <f>IF('Statement of Marks'!B25="","",'Statement of Marks'!B25)</f>
        <v/>
      </c>
      <c r="C21" s="387" t="str">
        <f>IF('Statement of Marks'!C25="","",'Statement of Marks'!C25)</f>
        <v/>
      </c>
      <c r="D21" s="426" t="str">
        <f>IF('Statement of Marks'!D25="","",'Statement of Marks'!D25)</f>
        <v/>
      </c>
      <c r="E21" s="388" t="str">
        <f>IF('Statement of Marks'!E25="","",'Statement of Marks'!E25)</f>
        <v/>
      </c>
      <c r="F21" s="388" t="str">
        <f>IF('Statement of Marks'!F25="","",'Statement of Marks'!F25)</f>
        <v/>
      </c>
      <c r="G21" s="388" t="str">
        <f>IF('Statement of Marks'!G25="","",'Statement of Marks'!G25)</f>
        <v/>
      </c>
      <c r="H21" s="389" t="str">
        <f>IF('Statement of Marks'!H25="","",'Statement of Marks'!H25)</f>
        <v/>
      </c>
      <c r="I21" s="389" t="str">
        <f>IF('Statement of Marks'!I25="","",'Statement of Marks'!I25)</f>
        <v/>
      </c>
      <c r="J21" s="648" t="str">
        <f>IF('Statement of Marks'!GY25="","",'Statement of Marks'!GY25)</f>
        <v/>
      </c>
      <c r="K21" s="390" t="str">
        <f>IF(B21="","",IF('Statement of Marks'!GZ25="","",'Statement of Marks'!GZ25))</f>
        <v/>
      </c>
      <c r="L21" s="391" t="str">
        <f>IF('Statement of Marks'!HC25="","",'Statement of Marks'!HC25)</f>
        <v/>
      </c>
      <c r="M21" s="390" t="str">
        <f>IF('Statement of Marks'!HB25="","",'Statement of Marks'!HB25)</f>
        <v/>
      </c>
      <c r="N21" s="392" t="str">
        <f>IF(J21="FAIL","",IF('Statement of Marks'!GU25="","",'Statement of Marks'!GU25))</f>
        <v xml:space="preserve">    </v>
      </c>
      <c r="O21" s="393" t="str">
        <f>IF('Supp. Result Entry'!AS24="","",'Supp. Result Entry'!AS24)</f>
        <v/>
      </c>
      <c r="P21" s="394" t="str">
        <f>IF('Supp. Result Entry'!AT24="","",'Supp. Result Entry'!AT24)</f>
        <v/>
      </c>
      <c r="Q21" s="395" t="str">
        <f>IF('Statement of Marks'!HG25="","",'Statement of Marks'!HG25)</f>
        <v/>
      </c>
      <c r="R21" s="396" t="str">
        <f>IF('Statement of Marks'!FH25="","",'Statement of Marks'!FH25)</f>
        <v/>
      </c>
      <c r="BL21" s="397" t="str">
        <f>'Statement of Marks'!E25</f>
        <v/>
      </c>
      <c r="BM21" s="398" t="str">
        <f t="shared" si="0"/>
        <v/>
      </c>
      <c r="BN21" s="398" t="str">
        <f t="shared" si="1"/>
        <v/>
      </c>
      <c r="BO21" s="398" t="str">
        <f t="shared" si="2"/>
        <v/>
      </c>
      <c r="BP21" s="398" t="str">
        <f t="shared" si="3"/>
        <v/>
      </c>
      <c r="BQ21" s="398" t="str">
        <f t="shared" si="4"/>
        <v/>
      </c>
      <c r="BR21" s="398" t="str">
        <f t="shared" si="5"/>
        <v/>
      </c>
      <c r="BS21" s="398" t="str">
        <f t="shared" si="6"/>
        <v/>
      </c>
      <c r="BT21" s="398" t="str">
        <f t="shared" si="7"/>
        <v/>
      </c>
      <c r="BU21" s="398" t="str">
        <f t="shared" si="8"/>
        <v/>
      </c>
      <c r="BV21" s="398" t="str">
        <f t="shared" si="9"/>
        <v/>
      </c>
      <c r="BW21" s="398" t="str">
        <f t="shared" si="10"/>
        <v/>
      </c>
      <c r="BX21" s="398" t="str">
        <f t="shared" si="11"/>
        <v/>
      </c>
      <c r="BY21" s="399"/>
    </row>
    <row r="22" spans="1:77" ht="14.1" customHeight="1">
      <c r="A22" s="385">
        <f>IF('Statement of Marks'!A26="","",'Statement of Marks'!A26)</f>
        <v>19</v>
      </c>
      <c r="B22" s="386" t="str">
        <f>IF('Statement of Marks'!B26="","",'Statement of Marks'!B26)</f>
        <v/>
      </c>
      <c r="C22" s="387" t="str">
        <f>IF('Statement of Marks'!C26="","",'Statement of Marks'!C26)</f>
        <v/>
      </c>
      <c r="D22" s="426" t="str">
        <f>IF('Statement of Marks'!D26="","",'Statement of Marks'!D26)</f>
        <v/>
      </c>
      <c r="E22" s="388" t="str">
        <f>IF('Statement of Marks'!E26="","",'Statement of Marks'!E26)</f>
        <v/>
      </c>
      <c r="F22" s="388" t="str">
        <f>IF('Statement of Marks'!F26="","",'Statement of Marks'!F26)</f>
        <v/>
      </c>
      <c r="G22" s="388" t="str">
        <f>IF('Statement of Marks'!G26="","",'Statement of Marks'!G26)</f>
        <v/>
      </c>
      <c r="H22" s="389" t="str">
        <f>IF('Statement of Marks'!H26="","",'Statement of Marks'!H26)</f>
        <v/>
      </c>
      <c r="I22" s="389" t="str">
        <f>IF('Statement of Marks'!I26="","",'Statement of Marks'!I26)</f>
        <v/>
      </c>
      <c r="J22" s="648" t="str">
        <f>IF('Statement of Marks'!GY26="","",'Statement of Marks'!GY26)</f>
        <v/>
      </c>
      <c r="K22" s="390" t="str">
        <f>IF(B22="","",IF('Statement of Marks'!GZ26="","",'Statement of Marks'!GZ26))</f>
        <v/>
      </c>
      <c r="L22" s="391" t="str">
        <f>IF('Statement of Marks'!HC26="","",'Statement of Marks'!HC26)</f>
        <v/>
      </c>
      <c r="M22" s="390" t="str">
        <f>IF('Statement of Marks'!HB26="","",'Statement of Marks'!HB26)</f>
        <v/>
      </c>
      <c r="N22" s="392" t="str">
        <f>IF(J22="FAIL","",IF('Statement of Marks'!GU26="","",'Statement of Marks'!GU26))</f>
        <v xml:space="preserve">    </v>
      </c>
      <c r="O22" s="393" t="str">
        <f>IF('Supp. Result Entry'!AS25="","",'Supp. Result Entry'!AS25)</f>
        <v/>
      </c>
      <c r="P22" s="394" t="str">
        <f>IF('Supp. Result Entry'!AT25="","",'Supp. Result Entry'!AT25)</f>
        <v/>
      </c>
      <c r="Q22" s="395" t="str">
        <f>IF('Statement of Marks'!HG26="","",'Statement of Marks'!HG26)</f>
        <v/>
      </c>
      <c r="R22" s="396" t="str">
        <f>IF('Statement of Marks'!FH26="","",'Statement of Marks'!FH26)</f>
        <v/>
      </c>
      <c r="BL22" s="397" t="str">
        <f>'Statement of Marks'!E26</f>
        <v/>
      </c>
      <c r="BM22" s="398" t="str">
        <f t="shared" si="0"/>
        <v/>
      </c>
      <c r="BN22" s="398" t="str">
        <f t="shared" si="1"/>
        <v/>
      </c>
      <c r="BO22" s="398" t="str">
        <f t="shared" si="2"/>
        <v/>
      </c>
      <c r="BP22" s="398" t="str">
        <f t="shared" si="3"/>
        <v/>
      </c>
      <c r="BQ22" s="398" t="str">
        <f t="shared" si="4"/>
        <v/>
      </c>
      <c r="BR22" s="398" t="str">
        <f t="shared" si="5"/>
        <v/>
      </c>
      <c r="BS22" s="398" t="str">
        <f t="shared" si="6"/>
        <v/>
      </c>
      <c r="BT22" s="398" t="str">
        <f t="shared" si="7"/>
        <v/>
      </c>
      <c r="BU22" s="398" t="str">
        <f t="shared" si="8"/>
        <v/>
      </c>
      <c r="BV22" s="398" t="str">
        <f t="shared" si="9"/>
        <v/>
      </c>
      <c r="BW22" s="398" t="str">
        <f t="shared" si="10"/>
        <v/>
      </c>
      <c r="BX22" s="398" t="str">
        <f t="shared" si="11"/>
        <v/>
      </c>
      <c r="BY22" s="399"/>
    </row>
    <row r="23" spans="1:77" ht="14.1" customHeight="1">
      <c r="A23" s="385">
        <f>IF('Statement of Marks'!A27="","",'Statement of Marks'!A27)</f>
        <v>20</v>
      </c>
      <c r="B23" s="386" t="str">
        <f>IF('Statement of Marks'!B27="","",'Statement of Marks'!B27)</f>
        <v/>
      </c>
      <c r="C23" s="387" t="str">
        <f>IF('Statement of Marks'!C27="","",'Statement of Marks'!C27)</f>
        <v/>
      </c>
      <c r="D23" s="426" t="str">
        <f>IF('Statement of Marks'!D27="","",'Statement of Marks'!D27)</f>
        <v/>
      </c>
      <c r="E23" s="388" t="str">
        <f>IF('Statement of Marks'!E27="","",'Statement of Marks'!E27)</f>
        <v/>
      </c>
      <c r="F23" s="388" t="str">
        <f>IF('Statement of Marks'!F27="","",'Statement of Marks'!F27)</f>
        <v/>
      </c>
      <c r="G23" s="388" t="str">
        <f>IF('Statement of Marks'!G27="","",'Statement of Marks'!G27)</f>
        <v/>
      </c>
      <c r="H23" s="389" t="str">
        <f>IF('Statement of Marks'!H27="","",'Statement of Marks'!H27)</f>
        <v/>
      </c>
      <c r="I23" s="389" t="str">
        <f>IF('Statement of Marks'!I27="","",'Statement of Marks'!I27)</f>
        <v/>
      </c>
      <c r="J23" s="648" t="str">
        <f>IF('Statement of Marks'!GY27="","",'Statement of Marks'!GY27)</f>
        <v/>
      </c>
      <c r="K23" s="390" t="str">
        <f>IF(B23="","",IF('Statement of Marks'!GZ27="","",'Statement of Marks'!GZ27))</f>
        <v/>
      </c>
      <c r="L23" s="391" t="str">
        <f>IF('Statement of Marks'!HC27="","",'Statement of Marks'!HC27)</f>
        <v/>
      </c>
      <c r="M23" s="390" t="str">
        <f>IF('Statement of Marks'!HB27="","",'Statement of Marks'!HB27)</f>
        <v/>
      </c>
      <c r="N23" s="392" t="str">
        <f>IF(J23="FAIL","",IF('Statement of Marks'!GU27="","",'Statement of Marks'!GU27))</f>
        <v xml:space="preserve">    </v>
      </c>
      <c r="O23" s="393" t="str">
        <f>IF('Supp. Result Entry'!AS26="","",'Supp. Result Entry'!AS26)</f>
        <v/>
      </c>
      <c r="P23" s="394" t="str">
        <f>IF('Supp. Result Entry'!AT26="","",'Supp. Result Entry'!AT26)</f>
        <v/>
      </c>
      <c r="Q23" s="395" t="str">
        <f>IF('Statement of Marks'!HG27="","",'Statement of Marks'!HG27)</f>
        <v/>
      </c>
      <c r="R23" s="396" t="str">
        <f>IF('Statement of Marks'!FH27="","",'Statement of Marks'!FH27)</f>
        <v/>
      </c>
      <c r="BL23" s="397" t="str">
        <f>'Statement of Marks'!E27</f>
        <v/>
      </c>
      <c r="BM23" s="398" t="str">
        <f t="shared" si="0"/>
        <v/>
      </c>
      <c r="BN23" s="398" t="str">
        <f t="shared" si="1"/>
        <v/>
      </c>
      <c r="BO23" s="398" t="str">
        <f t="shared" si="2"/>
        <v/>
      </c>
      <c r="BP23" s="398" t="str">
        <f t="shared" si="3"/>
        <v/>
      </c>
      <c r="BQ23" s="398" t="str">
        <f t="shared" si="4"/>
        <v/>
      </c>
      <c r="BR23" s="398" t="str">
        <f t="shared" si="5"/>
        <v/>
      </c>
      <c r="BS23" s="398" t="str">
        <f t="shared" si="6"/>
        <v/>
      </c>
      <c r="BT23" s="398" t="str">
        <f t="shared" si="7"/>
        <v/>
      </c>
      <c r="BU23" s="398" t="str">
        <f t="shared" si="8"/>
        <v/>
      </c>
      <c r="BV23" s="398" t="str">
        <f t="shared" si="9"/>
        <v/>
      </c>
      <c r="BW23" s="398" t="str">
        <f t="shared" si="10"/>
        <v/>
      </c>
      <c r="BX23" s="398" t="str">
        <f t="shared" si="11"/>
        <v/>
      </c>
      <c r="BY23" s="399"/>
    </row>
    <row r="24" spans="1:77" ht="14.1" customHeight="1">
      <c r="A24" s="385">
        <f>IF('Statement of Marks'!A28="","",'Statement of Marks'!A28)</f>
        <v>21</v>
      </c>
      <c r="B24" s="386" t="str">
        <f>IF('Statement of Marks'!B28="","",'Statement of Marks'!B28)</f>
        <v/>
      </c>
      <c r="C24" s="387" t="str">
        <f>IF('Statement of Marks'!C28="","",'Statement of Marks'!C28)</f>
        <v/>
      </c>
      <c r="D24" s="426" t="str">
        <f>IF('Statement of Marks'!D28="","",'Statement of Marks'!D28)</f>
        <v/>
      </c>
      <c r="E24" s="388" t="str">
        <f>IF('Statement of Marks'!E28="","",'Statement of Marks'!E28)</f>
        <v/>
      </c>
      <c r="F24" s="388" t="str">
        <f>IF('Statement of Marks'!F28="","",'Statement of Marks'!F28)</f>
        <v/>
      </c>
      <c r="G24" s="388" t="str">
        <f>IF('Statement of Marks'!G28="","",'Statement of Marks'!G28)</f>
        <v/>
      </c>
      <c r="H24" s="389" t="str">
        <f>IF('Statement of Marks'!H28="","",'Statement of Marks'!H28)</f>
        <v/>
      </c>
      <c r="I24" s="389" t="str">
        <f>IF('Statement of Marks'!I28="","",'Statement of Marks'!I28)</f>
        <v/>
      </c>
      <c r="J24" s="648" t="str">
        <f>IF('Statement of Marks'!GY28="","",'Statement of Marks'!GY28)</f>
        <v/>
      </c>
      <c r="K24" s="390" t="str">
        <f>IF(B24="","",IF('Statement of Marks'!GZ28="","",'Statement of Marks'!GZ28))</f>
        <v/>
      </c>
      <c r="L24" s="391" t="str">
        <f>IF('Statement of Marks'!HC28="","",'Statement of Marks'!HC28)</f>
        <v/>
      </c>
      <c r="M24" s="390" t="str">
        <f>IF('Statement of Marks'!HB28="","",'Statement of Marks'!HB28)</f>
        <v/>
      </c>
      <c r="N24" s="392" t="str">
        <f>IF(J24="FAIL","",IF('Statement of Marks'!GU28="","",'Statement of Marks'!GU28))</f>
        <v xml:space="preserve">    </v>
      </c>
      <c r="O24" s="393" t="str">
        <f>IF('Supp. Result Entry'!AS27="","",'Supp. Result Entry'!AS27)</f>
        <v/>
      </c>
      <c r="P24" s="394" t="str">
        <f>IF('Supp. Result Entry'!AT27="","",'Supp. Result Entry'!AT27)</f>
        <v/>
      </c>
      <c r="Q24" s="395" t="str">
        <f>IF('Statement of Marks'!HG28="","",'Statement of Marks'!HG28)</f>
        <v/>
      </c>
      <c r="R24" s="396" t="str">
        <f>IF('Statement of Marks'!FH28="","",'Statement of Marks'!FH28)</f>
        <v/>
      </c>
      <c r="BL24" s="397" t="str">
        <f>'Statement of Marks'!E28</f>
        <v/>
      </c>
      <c r="BM24" s="398" t="str">
        <f t="shared" si="0"/>
        <v/>
      </c>
      <c r="BN24" s="398" t="str">
        <f t="shared" si="1"/>
        <v/>
      </c>
      <c r="BO24" s="398" t="str">
        <f t="shared" si="2"/>
        <v/>
      </c>
      <c r="BP24" s="398" t="str">
        <f t="shared" si="3"/>
        <v/>
      </c>
      <c r="BQ24" s="398" t="str">
        <f t="shared" si="4"/>
        <v/>
      </c>
      <c r="BR24" s="398" t="str">
        <f t="shared" si="5"/>
        <v/>
      </c>
      <c r="BS24" s="398" t="str">
        <f t="shared" si="6"/>
        <v/>
      </c>
      <c r="BT24" s="398" t="str">
        <f t="shared" si="7"/>
        <v/>
      </c>
      <c r="BU24" s="398" t="str">
        <f t="shared" si="8"/>
        <v/>
      </c>
      <c r="BV24" s="398" t="str">
        <f t="shared" si="9"/>
        <v/>
      </c>
      <c r="BW24" s="398" t="str">
        <f t="shared" si="10"/>
        <v/>
      </c>
      <c r="BX24" s="398" t="str">
        <f t="shared" si="11"/>
        <v/>
      </c>
      <c r="BY24" s="399"/>
    </row>
    <row r="25" spans="1:77" ht="14.1" customHeight="1">
      <c r="A25" s="385">
        <f>IF('Statement of Marks'!A29="","",'Statement of Marks'!A29)</f>
        <v>22</v>
      </c>
      <c r="B25" s="386" t="str">
        <f>IF('Statement of Marks'!B29="","",'Statement of Marks'!B29)</f>
        <v/>
      </c>
      <c r="C25" s="387" t="str">
        <f>IF('Statement of Marks'!C29="","",'Statement of Marks'!C29)</f>
        <v/>
      </c>
      <c r="D25" s="426" t="str">
        <f>IF('Statement of Marks'!D29="","",'Statement of Marks'!D29)</f>
        <v/>
      </c>
      <c r="E25" s="388" t="str">
        <f>IF('Statement of Marks'!E29="","",'Statement of Marks'!E29)</f>
        <v/>
      </c>
      <c r="F25" s="388" t="str">
        <f>IF('Statement of Marks'!F29="","",'Statement of Marks'!F29)</f>
        <v/>
      </c>
      <c r="G25" s="388" t="str">
        <f>IF('Statement of Marks'!G29="","",'Statement of Marks'!G29)</f>
        <v/>
      </c>
      <c r="H25" s="389" t="str">
        <f>IF('Statement of Marks'!H29="","",'Statement of Marks'!H29)</f>
        <v/>
      </c>
      <c r="I25" s="389" t="str">
        <f>IF('Statement of Marks'!I29="","",'Statement of Marks'!I29)</f>
        <v/>
      </c>
      <c r="J25" s="648" t="str">
        <f>IF('Statement of Marks'!GY29="","",'Statement of Marks'!GY29)</f>
        <v/>
      </c>
      <c r="K25" s="390" t="str">
        <f>IF(B25="","",IF('Statement of Marks'!GZ29="","",'Statement of Marks'!GZ29))</f>
        <v/>
      </c>
      <c r="L25" s="391" t="str">
        <f>IF('Statement of Marks'!HC29="","",'Statement of Marks'!HC29)</f>
        <v/>
      </c>
      <c r="M25" s="390" t="str">
        <f>IF('Statement of Marks'!HB29="","",'Statement of Marks'!HB29)</f>
        <v/>
      </c>
      <c r="N25" s="392" t="str">
        <f>IF(J25="FAIL","",IF('Statement of Marks'!GU29="","",'Statement of Marks'!GU29))</f>
        <v xml:space="preserve">    </v>
      </c>
      <c r="O25" s="393" t="str">
        <f>IF('Supp. Result Entry'!AS28="","",'Supp. Result Entry'!AS28)</f>
        <v/>
      </c>
      <c r="P25" s="394" t="str">
        <f>IF('Supp. Result Entry'!AT28="","",'Supp. Result Entry'!AT28)</f>
        <v/>
      </c>
      <c r="Q25" s="395" t="str">
        <f>IF('Statement of Marks'!HG29="","",'Statement of Marks'!HG29)</f>
        <v/>
      </c>
      <c r="R25" s="396" t="str">
        <f>IF('Statement of Marks'!FH29="","",'Statement of Marks'!FH29)</f>
        <v/>
      </c>
      <c r="BL25" s="397" t="str">
        <f>'Statement of Marks'!E29</f>
        <v/>
      </c>
      <c r="BM25" s="398" t="str">
        <f t="shared" si="0"/>
        <v/>
      </c>
      <c r="BN25" s="398" t="str">
        <f t="shared" si="1"/>
        <v/>
      </c>
      <c r="BO25" s="398" t="str">
        <f t="shared" si="2"/>
        <v/>
      </c>
      <c r="BP25" s="398" t="str">
        <f t="shared" si="3"/>
        <v/>
      </c>
      <c r="BQ25" s="398" t="str">
        <f t="shared" si="4"/>
        <v/>
      </c>
      <c r="BR25" s="398" t="str">
        <f t="shared" si="5"/>
        <v/>
      </c>
      <c r="BS25" s="398" t="str">
        <f t="shared" si="6"/>
        <v/>
      </c>
      <c r="BT25" s="398" t="str">
        <f t="shared" si="7"/>
        <v/>
      </c>
      <c r="BU25" s="398" t="str">
        <f t="shared" si="8"/>
        <v/>
      </c>
      <c r="BV25" s="398" t="str">
        <f t="shared" si="9"/>
        <v/>
      </c>
      <c r="BW25" s="398" t="str">
        <f t="shared" si="10"/>
        <v/>
      </c>
      <c r="BX25" s="398" t="str">
        <f t="shared" si="11"/>
        <v/>
      </c>
      <c r="BY25" s="399"/>
    </row>
    <row r="26" spans="1:77" ht="14.1" customHeight="1">
      <c r="A26" s="385">
        <f>IF('Statement of Marks'!A30="","",'Statement of Marks'!A30)</f>
        <v>23</v>
      </c>
      <c r="B26" s="386" t="str">
        <f>IF('Statement of Marks'!B30="","",'Statement of Marks'!B30)</f>
        <v/>
      </c>
      <c r="C26" s="387" t="str">
        <f>IF('Statement of Marks'!C30="","",'Statement of Marks'!C30)</f>
        <v/>
      </c>
      <c r="D26" s="426" t="str">
        <f>IF('Statement of Marks'!D30="","",'Statement of Marks'!D30)</f>
        <v/>
      </c>
      <c r="E26" s="388" t="str">
        <f>IF('Statement of Marks'!E30="","",'Statement of Marks'!E30)</f>
        <v/>
      </c>
      <c r="F26" s="388" t="str">
        <f>IF('Statement of Marks'!F30="","",'Statement of Marks'!F30)</f>
        <v/>
      </c>
      <c r="G26" s="388" t="str">
        <f>IF('Statement of Marks'!G30="","",'Statement of Marks'!G30)</f>
        <v/>
      </c>
      <c r="H26" s="389" t="str">
        <f>IF('Statement of Marks'!H30="","",'Statement of Marks'!H30)</f>
        <v/>
      </c>
      <c r="I26" s="389" t="str">
        <f>IF('Statement of Marks'!I30="","",'Statement of Marks'!I30)</f>
        <v/>
      </c>
      <c r="J26" s="648" t="str">
        <f>IF('Statement of Marks'!GY30="","",'Statement of Marks'!GY30)</f>
        <v/>
      </c>
      <c r="K26" s="390" t="str">
        <f>IF(B26="","",IF('Statement of Marks'!GZ30="","",'Statement of Marks'!GZ30))</f>
        <v/>
      </c>
      <c r="L26" s="391" t="str">
        <f>IF('Statement of Marks'!HC30="","",'Statement of Marks'!HC30)</f>
        <v/>
      </c>
      <c r="M26" s="390" t="str">
        <f>IF('Statement of Marks'!HB30="","",'Statement of Marks'!HB30)</f>
        <v/>
      </c>
      <c r="N26" s="392" t="str">
        <f>IF(J26="FAIL","",IF('Statement of Marks'!GU30="","",'Statement of Marks'!GU30))</f>
        <v xml:space="preserve">    </v>
      </c>
      <c r="O26" s="393" t="str">
        <f>IF('Supp. Result Entry'!AS29="","",'Supp. Result Entry'!AS29)</f>
        <v/>
      </c>
      <c r="P26" s="394" t="str">
        <f>IF('Supp. Result Entry'!AT29="","",'Supp. Result Entry'!AT29)</f>
        <v/>
      </c>
      <c r="Q26" s="395" t="str">
        <f>IF('Statement of Marks'!HG30="","",'Statement of Marks'!HG30)</f>
        <v/>
      </c>
      <c r="R26" s="396" t="str">
        <f>IF('Statement of Marks'!FH30="","",'Statement of Marks'!FH30)</f>
        <v/>
      </c>
      <c r="BL26" s="397" t="str">
        <f>'Statement of Marks'!E30</f>
        <v/>
      </c>
      <c r="BM26" s="398" t="str">
        <f t="shared" si="0"/>
        <v/>
      </c>
      <c r="BN26" s="398" t="str">
        <f t="shared" si="1"/>
        <v/>
      </c>
      <c r="BO26" s="398" t="str">
        <f t="shared" si="2"/>
        <v/>
      </c>
      <c r="BP26" s="398" t="str">
        <f t="shared" si="3"/>
        <v/>
      </c>
      <c r="BQ26" s="398" t="str">
        <f t="shared" si="4"/>
        <v/>
      </c>
      <c r="BR26" s="398" t="str">
        <f t="shared" si="5"/>
        <v/>
      </c>
      <c r="BS26" s="398" t="str">
        <f t="shared" si="6"/>
        <v/>
      </c>
      <c r="BT26" s="398" t="str">
        <f t="shared" si="7"/>
        <v/>
      </c>
      <c r="BU26" s="398" t="str">
        <f t="shared" si="8"/>
        <v/>
      </c>
      <c r="BV26" s="398" t="str">
        <f t="shared" si="9"/>
        <v/>
      </c>
      <c r="BW26" s="398" t="str">
        <f t="shared" si="10"/>
        <v/>
      </c>
      <c r="BX26" s="398" t="str">
        <f t="shared" si="11"/>
        <v/>
      </c>
      <c r="BY26" s="399"/>
    </row>
    <row r="27" spans="1:77" ht="14.1" customHeight="1">
      <c r="A27" s="385">
        <f>IF('Statement of Marks'!A31="","",'Statement of Marks'!A31)</f>
        <v>24</v>
      </c>
      <c r="B27" s="386" t="str">
        <f>IF('Statement of Marks'!B31="","",'Statement of Marks'!B31)</f>
        <v/>
      </c>
      <c r="C27" s="387" t="str">
        <f>IF('Statement of Marks'!C31="","",'Statement of Marks'!C31)</f>
        <v/>
      </c>
      <c r="D27" s="426" t="str">
        <f>IF('Statement of Marks'!D31="","",'Statement of Marks'!D31)</f>
        <v/>
      </c>
      <c r="E27" s="388" t="str">
        <f>IF('Statement of Marks'!E31="","",'Statement of Marks'!E31)</f>
        <v/>
      </c>
      <c r="F27" s="388" t="str">
        <f>IF('Statement of Marks'!F31="","",'Statement of Marks'!F31)</f>
        <v/>
      </c>
      <c r="G27" s="388" t="str">
        <f>IF('Statement of Marks'!G31="","",'Statement of Marks'!G31)</f>
        <v/>
      </c>
      <c r="H27" s="389" t="str">
        <f>IF('Statement of Marks'!H31="","",'Statement of Marks'!H31)</f>
        <v/>
      </c>
      <c r="I27" s="389" t="str">
        <f>IF('Statement of Marks'!I31="","",'Statement of Marks'!I31)</f>
        <v/>
      </c>
      <c r="J27" s="648" t="str">
        <f>IF('Statement of Marks'!GY31="","",'Statement of Marks'!GY31)</f>
        <v/>
      </c>
      <c r="K27" s="390" t="str">
        <f>IF(B27="","",IF('Statement of Marks'!GZ31="","",'Statement of Marks'!GZ31))</f>
        <v/>
      </c>
      <c r="L27" s="391" t="str">
        <f>IF('Statement of Marks'!HC31="","",'Statement of Marks'!HC31)</f>
        <v/>
      </c>
      <c r="M27" s="390" t="str">
        <f>IF('Statement of Marks'!HB31="","",'Statement of Marks'!HB31)</f>
        <v/>
      </c>
      <c r="N27" s="392" t="str">
        <f>IF(J27="FAIL","",IF('Statement of Marks'!GU31="","",'Statement of Marks'!GU31))</f>
        <v xml:space="preserve">    </v>
      </c>
      <c r="O27" s="393" t="str">
        <f>IF('Supp. Result Entry'!AS30="","",'Supp. Result Entry'!AS30)</f>
        <v/>
      </c>
      <c r="P27" s="394" t="str">
        <f>IF('Supp. Result Entry'!AT30="","",'Supp. Result Entry'!AT30)</f>
        <v/>
      </c>
      <c r="Q27" s="395" t="str">
        <f>IF('Statement of Marks'!HG31="","",'Statement of Marks'!HG31)</f>
        <v/>
      </c>
      <c r="R27" s="396" t="str">
        <f>IF('Statement of Marks'!FH31="","",'Statement of Marks'!FH31)</f>
        <v/>
      </c>
      <c r="BL27" s="397" t="str">
        <f>'Statement of Marks'!E31</f>
        <v/>
      </c>
      <c r="BM27" s="398" t="str">
        <f t="shared" si="0"/>
        <v/>
      </c>
      <c r="BN27" s="398" t="str">
        <f t="shared" si="1"/>
        <v/>
      </c>
      <c r="BO27" s="398" t="str">
        <f t="shared" si="2"/>
        <v/>
      </c>
      <c r="BP27" s="398" t="str">
        <f t="shared" si="3"/>
        <v/>
      </c>
      <c r="BQ27" s="398" t="str">
        <f t="shared" si="4"/>
        <v/>
      </c>
      <c r="BR27" s="398" t="str">
        <f t="shared" si="5"/>
        <v/>
      </c>
      <c r="BS27" s="398" t="str">
        <f t="shared" si="6"/>
        <v/>
      </c>
      <c r="BT27" s="398" t="str">
        <f t="shared" si="7"/>
        <v/>
      </c>
      <c r="BU27" s="398" t="str">
        <f t="shared" si="8"/>
        <v/>
      </c>
      <c r="BV27" s="398" t="str">
        <f t="shared" si="9"/>
        <v/>
      </c>
      <c r="BW27" s="398" t="str">
        <f t="shared" si="10"/>
        <v/>
      </c>
      <c r="BX27" s="398" t="str">
        <f t="shared" si="11"/>
        <v/>
      </c>
      <c r="BY27" s="399"/>
    </row>
    <row r="28" spans="1:77" ht="14.1" customHeight="1">
      <c r="A28" s="385">
        <f>IF('Statement of Marks'!A32="","",'Statement of Marks'!A32)</f>
        <v>25</v>
      </c>
      <c r="B28" s="386" t="str">
        <f>IF('Statement of Marks'!B32="","",'Statement of Marks'!B32)</f>
        <v/>
      </c>
      <c r="C28" s="387" t="str">
        <f>IF('Statement of Marks'!C32="","",'Statement of Marks'!C32)</f>
        <v/>
      </c>
      <c r="D28" s="426" t="str">
        <f>IF('Statement of Marks'!D32="","",'Statement of Marks'!D32)</f>
        <v/>
      </c>
      <c r="E28" s="388" t="str">
        <f>IF('Statement of Marks'!E32="","",'Statement of Marks'!E32)</f>
        <v/>
      </c>
      <c r="F28" s="388" t="str">
        <f>IF('Statement of Marks'!F32="","",'Statement of Marks'!F32)</f>
        <v/>
      </c>
      <c r="G28" s="388" t="str">
        <f>IF('Statement of Marks'!G32="","",'Statement of Marks'!G32)</f>
        <v/>
      </c>
      <c r="H28" s="389" t="str">
        <f>IF('Statement of Marks'!H32="","",'Statement of Marks'!H32)</f>
        <v/>
      </c>
      <c r="I28" s="389" t="str">
        <f>IF('Statement of Marks'!I32="","",'Statement of Marks'!I32)</f>
        <v/>
      </c>
      <c r="J28" s="648" t="str">
        <f>IF('Statement of Marks'!GY32="","",'Statement of Marks'!GY32)</f>
        <v/>
      </c>
      <c r="K28" s="390" t="str">
        <f>IF(B28="","",IF('Statement of Marks'!GZ32="","",'Statement of Marks'!GZ32))</f>
        <v/>
      </c>
      <c r="L28" s="391" t="str">
        <f>IF('Statement of Marks'!HC32="","",'Statement of Marks'!HC32)</f>
        <v/>
      </c>
      <c r="M28" s="390" t="str">
        <f>IF('Statement of Marks'!HB32="","",'Statement of Marks'!HB32)</f>
        <v/>
      </c>
      <c r="N28" s="392" t="str">
        <f>IF(J28="FAIL","",IF('Statement of Marks'!GU32="","",'Statement of Marks'!GU32))</f>
        <v xml:space="preserve">    </v>
      </c>
      <c r="O28" s="393" t="str">
        <f>IF('Supp. Result Entry'!AS31="","",'Supp. Result Entry'!AS31)</f>
        <v/>
      </c>
      <c r="P28" s="394" t="str">
        <f>IF('Supp. Result Entry'!AT31="","",'Supp. Result Entry'!AT31)</f>
        <v/>
      </c>
      <c r="Q28" s="395" t="str">
        <f>IF('Statement of Marks'!HG32="","",'Statement of Marks'!HG32)</f>
        <v/>
      </c>
      <c r="R28" s="396" t="str">
        <f>IF('Statement of Marks'!FH32="","",'Statement of Marks'!FH32)</f>
        <v/>
      </c>
      <c r="BL28" s="397" t="str">
        <f>'Statement of Marks'!E32</f>
        <v/>
      </c>
      <c r="BM28" s="398" t="str">
        <f t="shared" si="0"/>
        <v/>
      </c>
      <c r="BN28" s="398" t="str">
        <f t="shared" si="1"/>
        <v/>
      </c>
      <c r="BO28" s="398" t="str">
        <f t="shared" si="2"/>
        <v/>
      </c>
      <c r="BP28" s="398" t="str">
        <f t="shared" si="3"/>
        <v/>
      </c>
      <c r="BQ28" s="398" t="str">
        <f t="shared" si="4"/>
        <v/>
      </c>
      <c r="BR28" s="398" t="str">
        <f t="shared" si="5"/>
        <v/>
      </c>
      <c r="BS28" s="398" t="str">
        <f t="shared" si="6"/>
        <v/>
      </c>
      <c r="BT28" s="398" t="str">
        <f t="shared" si="7"/>
        <v/>
      </c>
      <c r="BU28" s="398" t="str">
        <f t="shared" si="8"/>
        <v/>
      </c>
      <c r="BV28" s="398" t="str">
        <f t="shared" si="9"/>
        <v/>
      </c>
      <c r="BW28" s="398" t="str">
        <f t="shared" si="10"/>
        <v/>
      </c>
      <c r="BX28" s="398" t="str">
        <f t="shared" si="11"/>
        <v/>
      </c>
      <c r="BY28" s="399"/>
    </row>
    <row r="29" spans="1:77" ht="15.95" customHeight="1">
      <c r="A29" s="385">
        <f>IF('Statement of Marks'!A33="","",'Statement of Marks'!A33)</f>
        <v>26</v>
      </c>
      <c r="B29" s="386" t="str">
        <f>IF('Statement of Marks'!B33="","",'Statement of Marks'!B33)</f>
        <v/>
      </c>
      <c r="C29" s="387" t="str">
        <f>IF('Statement of Marks'!C33="","",'Statement of Marks'!C33)</f>
        <v/>
      </c>
      <c r="D29" s="426" t="str">
        <f>IF('Statement of Marks'!D33="","",'Statement of Marks'!D33)</f>
        <v/>
      </c>
      <c r="E29" s="388" t="str">
        <f>IF('Statement of Marks'!E33="","",'Statement of Marks'!E33)</f>
        <v/>
      </c>
      <c r="F29" s="388" t="str">
        <f>IF('Statement of Marks'!F33="","",'Statement of Marks'!F33)</f>
        <v/>
      </c>
      <c r="G29" s="388" t="str">
        <f>IF('Statement of Marks'!G33="","",'Statement of Marks'!G33)</f>
        <v/>
      </c>
      <c r="H29" s="389" t="str">
        <f>IF('Statement of Marks'!H33="","",'Statement of Marks'!H33)</f>
        <v/>
      </c>
      <c r="I29" s="389" t="str">
        <f>IF('Statement of Marks'!I33="","",'Statement of Marks'!I33)</f>
        <v/>
      </c>
      <c r="J29" s="648" t="str">
        <f>IF('Statement of Marks'!GY33="","",'Statement of Marks'!GY33)</f>
        <v/>
      </c>
      <c r="K29" s="390" t="str">
        <f>IF(B29="","",IF('Statement of Marks'!GZ33="","",'Statement of Marks'!GZ33))</f>
        <v/>
      </c>
      <c r="L29" s="391" t="str">
        <f>IF('Statement of Marks'!HC33="","",'Statement of Marks'!HC33)</f>
        <v/>
      </c>
      <c r="M29" s="390" t="str">
        <f>IF('Statement of Marks'!HB33="","",'Statement of Marks'!HB33)</f>
        <v/>
      </c>
      <c r="N29" s="392" t="str">
        <f>IF(J29="FAIL","",IF('Statement of Marks'!GU33="","",'Statement of Marks'!GU33))</f>
        <v xml:space="preserve">    </v>
      </c>
      <c r="O29" s="393" t="str">
        <f>IF('Supp. Result Entry'!AS32="","",'Supp. Result Entry'!AS32)</f>
        <v/>
      </c>
      <c r="P29" s="394" t="str">
        <f>IF('Supp. Result Entry'!AT32="","",'Supp. Result Entry'!AT32)</f>
        <v/>
      </c>
      <c r="Q29" s="395" t="str">
        <f>IF('Statement of Marks'!HG33="","",'Statement of Marks'!HG33)</f>
        <v/>
      </c>
      <c r="R29" s="396" t="str">
        <f>IF('Statement of Marks'!FH33="","",'Statement of Marks'!FH33)</f>
        <v/>
      </c>
      <c r="BL29" s="397" t="str">
        <f>'Statement of Marks'!E33</f>
        <v/>
      </c>
      <c r="BM29" s="398" t="str">
        <f t="shared" si="0"/>
        <v/>
      </c>
      <c r="BN29" s="398" t="str">
        <f t="shared" si="1"/>
        <v/>
      </c>
      <c r="BO29" s="398" t="str">
        <f t="shared" si="2"/>
        <v/>
      </c>
      <c r="BP29" s="398" t="str">
        <f t="shared" si="3"/>
        <v/>
      </c>
      <c r="BQ29" s="398" t="str">
        <f t="shared" si="4"/>
        <v/>
      </c>
      <c r="BR29" s="398" t="str">
        <f t="shared" si="5"/>
        <v/>
      </c>
      <c r="BS29" s="398" t="str">
        <f t="shared" si="6"/>
        <v/>
      </c>
      <c r="BT29" s="398" t="str">
        <f t="shared" si="7"/>
        <v/>
      </c>
      <c r="BU29" s="398" t="str">
        <f t="shared" si="8"/>
        <v/>
      </c>
      <c r="BV29" s="398" t="str">
        <f t="shared" si="9"/>
        <v/>
      </c>
      <c r="BW29" s="398" t="str">
        <f t="shared" si="10"/>
        <v/>
      </c>
      <c r="BX29" s="398" t="str">
        <f t="shared" si="11"/>
        <v/>
      </c>
      <c r="BY29" s="399"/>
    </row>
    <row r="30" spans="1:77" ht="15.95" customHeight="1">
      <c r="A30" s="385">
        <f>IF('Statement of Marks'!A34="","",'Statement of Marks'!A34)</f>
        <v>27</v>
      </c>
      <c r="B30" s="386" t="str">
        <f>IF('Statement of Marks'!B34="","",'Statement of Marks'!B34)</f>
        <v/>
      </c>
      <c r="C30" s="387" t="str">
        <f>IF('Statement of Marks'!C34="","",'Statement of Marks'!C34)</f>
        <v/>
      </c>
      <c r="D30" s="426" t="str">
        <f>IF('Statement of Marks'!D34="","",'Statement of Marks'!D34)</f>
        <v/>
      </c>
      <c r="E30" s="388" t="str">
        <f>IF('Statement of Marks'!E34="","",'Statement of Marks'!E34)</f>
        <v/>
      </c>
      <c r="F30" s="388" t="str">
        <f>IF('Statement of Marks'!F34="","",'Statement of Marks'!F34)</f>
        <v/>
      </c>
      <c r="G30" s="388" t="str">
        <f>IF('Statement of Marks'!G34="","",'Statement of Marks'!G34)</f>
        <v/>
      </c>
      <c r="H30" s="389" t="str">
        <f>IF('Statement of Marks'!H34="","",'Statement of Marks'!H34)</f>
        <v/>
      </c>
      <c r="I30" s="389" t="str">
        <f>IF('Statement of Marks'!I34="","",'Statement of Marks'!I34)</f>
        <v/>
      </c>
      <c r="J30" s="648" t="str">
        <f>IF('Statement of Marks'!GY34="","",'Statement of Marks'!GY34)</f>
        <v/>
      </c>
      <c r="K30" s="390" t="str">
        <f>IF(B30="","",IF('Statement of Marks'!GZ34="","",'Statement of Marks'!GZ34))</f>
        <v/>
      </c>
      <c r="L30" s="391" t="str">
        <f>IF('Statement of Marks'!HC34="","",'Statement of Marks'!HC34)</f>
        <v/>
      </c>
      <c r="M30" s="390" t="str">
        <f>IF('Statement of Marks'!HB34="","",'Statement of Marks'!HB34)</f>
        <v/>
      </c>
      <c r="N30" s="392" t="str">
        <f>IF(J30="FAIL","",IF('Statement of Marks'!GU34="","",'Statement of Marks'!GU34))</f>
        <v xml:space="preserve">    </v>
      </c>
      <c r="O30" s="393" t="str">
        <f>IF('Supp. Result Entry'!AS33="","",'Supp. Result Entry'!AS33)</f>
        <v/>
      </c>
      <c r="P30" s="394" t="str">
        <f>IF('Supp. Result Entry'!AT33="","",'Supp. Result Entry'!AT33)</f>
        <v/>
      </c>
      <c r="Q30" s="395" t="str">
        <f>IF('Statement of Marks'!HG34="","",'Statement of Marks'!HG34)</f>
        <v/>
      </c>
      <c r="R30" s="396" t="str">
        <f>IF('Statement of Marks'!FH34="","",'Statement of Marks'!FH34)</f>
        <v/>
      </c>
      <c r="BL30" s="397" t="str">
        <f>'Statement of Marks'!E34</f>
        <v/>
      </c>
      <c r="BM30" s="398" t="str">
        <f t="shared" si="0"/>
        <v/>
      </c>
      <c r="BN30" s="398" t="str">
        <f t="shared" si="1"/>
        <v/>
      </c>
      <c r="BO30" s="398" t="str">
        <f t="shared" si="2"/>
        <v/>
      </c>
      <c r="BP30" s="398" t="str">
        <f t="shared" si="3"/>
        <v/>
      </c>
      <c r="BQ30" s="398" t="str">
        <f t="shared" si="4"/>
        <v/>
      </c>
      <c r="BR30" s="398" t="str">
        <f t="shared" si="5"/>
        <v/>
      </c>
      <c r="BS30" s="398" t="str">
        <f t="shared" si="6"/>
        <v/>
      </c>
      <c r="BT30" s="398" t="str">
        <f t="shared" si="7"/>
        <v/>
      </c>
      <c r="BU30" s="398" t="str">
        <f t="shared" si="8"/>
        <v/>
      </c>
      <c r="BV30" s="398" t="str">
        <f t="shared" si="9"/>
        <v/>
      </c>
      <c r="BW30" s="398" t="str">
        <f t="shared" si="10"/>
        <v/>
      </c>
      <c r="BX30" s="398" t="str">
        <f t="shared" si="11"/>
        <v/>
      </c>
      <c r="BY30" s="399"/>
    </row>
    <row r="31" spans="1:77" ht="15.95" customHeight="1">
      <c r="A31" s="385">
        <f>IF('Statement of Marks'!A35="","",'Statement of Marks'!A35)</f>
        <v>28</v>
      </c>
      <c r="B31" s="386" t="str">
        <f>IF('Statement of Marks'!B35="","",'Statement of Marks'!B35)</f>
        <v/>
      </c>
      <c r="C31" s="387" t="str">
        <f>IF('Statement of Marks'!C35="","",'Statement of Marks'!C35)</f>
        <v/>
      </c>
      <c r="D31" s="426" t="str">
        <f>IF('Statement of Marks'!D35="","",'Statement of Marks'!D35)</f>
        <v/>
      </c>
      <c r="E31" s="388" t="str">
        <f>IF('Statement of Marks'!E35="","",'Statement of Marks'!E35)</f>
        <v/>
      </c>
      <c r="F31" s="388" t="str">
        <f>IF('Statement of Marks'!F35="","",'Statement of Marks'!F35)</f>
        <v/>
      </c>
      <c r="G31" s="388" t="str">
        <f>IF('Statement of Marks'!G35="","",'Statement of Marks'!G35)</f>
        <v/>
      </c>
      <c r="H31" s="389" t="str">
        <f>IF('Statement of Marks'!H35="","",'Statement of Marks'!H35)</f>
        <v/>
      </c>
      <c r="I31" s="389" t="str">
        <f>IF('Statement of Marks'!I35="","",'Statement of Marks'!I35)</f>
        <v/>
      </c>
      <c r="J31" s="648" t="str">
        <f>IF('Statement of Marks'!GY35="","",'Statement of Marks'!GY35)</f>
        <v/>
      </c>
      <c r="K31" s="390" t="str">
        <f>IF(B31="","",IF('Statement of Marks'!GZ35="","",'Statement of Marks'!GZ35))</f>
        <v/>
      </c>
      <c r="L31" s="391" t="str">
        <f>IF('Statement of Marks'!HC35="","",'Statement of Marks'!HC35)</f>
        <v/>
      </c>
      <c r="M31" s="390" t="str">
        <f>IF('Statement of Marks'!HB35="","",'Statement of Marks'!HB35)</f>
        <v/>
      </c>
      <c r="N31" s="392" t="str">
        <f>IF(J31="FAIL","",IF('Statement of Marks'!GU35="","",'Statement of Marks'!GU35))</f>
        <v xml:space="preserve">    </v>
      </c>
      <c r="O31" s="393" t="str">
        <f>IF('Supp. Result Entry'!AS34="","",'Supp. Result Entry'!AS34)</f>
        <v/>
      </c>
      <c r="P31" s="394" t="str">
        <f>IF('Supp. Result Entry'!AT34="","",'Supp. Result Entry'!AT34)</f>
        <v/>
      </c>
      <c r="Q31" s="395" t="str">
        <f>IF('Statement of Marks'!HG35="","",'Statement of Marks'!HG35)</f>
        <v/>
      </c>
      <c r="R31" s="396" t="str">
        <f>IF('Statement of Marks'!FH35="","",'Statement of Marks'!FH35)</f>
        <v/>
      </c>
      <c r="BL31" s="397" t="str">
        <f>'Statement of Marks'!E35</f>
        <v/>
      </c>
      <c r="BM31" s="398" t="str">
        <f t="shared" si="0"/>
        <v/>
      </c>
      <c r="BN31" s="398" t="str">
        <f t="shared" si="1"/>
        <v/>
      </c>
      <c r="BO31" s="398" t="str">
        <f t="shared" si="2"/>
        <v/>
      </c>
      <c r="BP31" s="398" t="str">
        <f t="shared" si="3"/>
        <v/>
      </c>
      <c r="BQ31" s="398" t="str">
        <f t="shared" si="4"/>
        <v/>
      </c>
      <c r="BR31" s="398" t="str">
        <f t="shared" si="5"/>
        <v/>
      </c>
      <c r="BS31" s="398" t="str">
        <f t="shared" si="6"/>
        <v/>
      </c>
      <c r="BT31" s="398" t="str">
        <f t="shared" si="7"/>
        <v/>
      </c>
      <c r="BU31" s="398" t="str">
        <f t="shared" si="8"/>
        <v/>
      </c>
      <c r="BV31" s="398" t="str">
        <f t="shared" si="9"/>
        <v/>
      </c>
      <c r="BW31" s="398" t="str">
        <f t="shared" si="10"/>
        <v/>
      </c>
      <c r="BX31" s="398" t="str">
        <f t="shared" si="11"/>
        <v/>
      </c>
      <c r="BY31" s="399"/>
    </row>
    <row r="32" spans="1:77" ht="15.95" customHeight="1">
      <c r="A32" s="385">
        <f>IF('Statement of Marks'!A36="","",'Statement of Marks'!A36)</f>
        <v>29</v>
      </c>
      <c r="B32" s="386" t="str">
        <f>IF('Statement of Marks'!B36="","",'Statement of Marks'!B36)</f>
        <v/>
      </c>
      <c r="C32" s="387" t="str">
        <f>IF('Statement of Marks'!C36="","",'Statement of Marks'!C36)</f>
        <v/>
      </c>
      <c r="D32" s="426" t="str">
        <f>IF('Statement of Marks'!D36="","",'Statement of Marks'!D36)</f>
        <v/>
      </c>
      <c r="E32" s="388" t="str">
        <f>IF('Statement of Marks'!E36="","",'Statement of Marks'!E36)</f>
        <v/>
      </c>
      <c r="F32" s="388" t="str">
        <f>IF('Statement of Marks'!F36="","",'Statement of Marks'!F36)</f>
        <v/>
      </c>
      <c r="G32" s="388" t="str">
        <f>IF('Statement of Marks'!G36="","",'Statement of Marks'!G36)</f>
        <v/>
      </c>
      <c r="H32" s="389" t="str">
        <f>IF('Statement of Marks'!H36="","",'Statement of Marks'!H36)</f>
        <v/>
      </c>
      <c r="I32" s="389" t="str">
        <f>IF('Statement of Marks'!I36="","",'Statement of Marks'!I36)</f>
        <v/>
      </c>
      <c r="J32" s="648" t="str">
        <f>IF('Statement of Marks'!GY36="","",'Statement of Marks'!GY36)</f>
        <v/>
      </c>
      <c r="K32" s="390" t="str">
        <f>IF(B32="","",IF('Statement of Marks'!GZ36="","",'Statement of Marks'!GZ36))</f>
        <v/>
      </c>
      <c r="L32" s="391" t="str">
        <f>IF('Statement of Marks'!HC36="","",'Statement of Marks'!HC36)</f>
        <v/>
      </c>
      <c r="M32" s="390" t="str">
        <f>IF('Statement of Marks'!HB36="","",'Statement of Marks'!HB36)</f>
        <v/>
      </c>
      <c r="N32" s="392" t="str">
        <f>IF(J32="FAIL","",IF('Statement of Marks'!GU36="","",'Statement of Marks'!GU36))</f>
        <v xml:space="preserve">    </v>
      </c>
      <c r="O32" s="393" t="str">
        <f>IF('Supp. Result Entry'!AS35="","",'Supp. Result Entry'!AS35)</f>
        <v/>
      </c>
      <c r="P32" s="394" t="str">
        <f>IF('Supp. Result Entry'!AT35="","",'Supp. Result Entry'!AT35)</f>
        <v/>
      </c>
      <c r="Q32" s="395" t="str">
        <f>IF('Statement of Marks'!HG36="","",'Statement of Marks'!HG36)</f>
        <v/>
      </c>
      <c r="R32" s="396" t="str">
        <f>IF('Statement of Marks'!FH36="","",'Statement of Marks'!FH36)</f>
        <v/>
      </c>
      <c r="BL32" s="397" t="str">
        <f>'Statement of Marks'!E36</f>
        <v/>
      </c>
      <c r="BM32" s="398" t="str">
        <f t="shared" si="0"/>
        <v/>
      </c>
      <c r="BN32" s="398" t="str">
        <f t="shared" si="1"/>
        <v/>
      </c>
      <c r="BO32" s="398" t="str">
        <f t="shared" si="2"/>
        <v/>
      </c>
      <c r="BP32" s="398" t="str">
        <f t="shared" si="3"/>
        <v/>
      </c>
      <c r="BQ32" s="398" t="str">
        <f t="shared" si="4"/>
        <v/>
      </c>
      <c r="BR32" s="398" t="str">
        <f t="shared" si="5"/>
        <v/>
      </c>
      <c r="BS32" s="398" t="str">
        <f t="shared" si="6"/>
        <v/>
      </c>
      <c r="BT32" s="398" t="str">
        <f t="shared" si="7"/>
        <v/>
      </c>
      <c r="BU32" s="398" t="str">
        <f t="shared" si="8"/>
        <v/>
      </c>
      <c r="BV32" s="398" t="str">
        <f t="shared" si="9"/>
        <v/>
      </c>
      <c r="BW32" s="398" t="str">
        <f t="shared" si="10"/>
        <v/>
      </c>
      <c r="BX32" s="398" t="str">
        <f t="shared" si="11"/>
        <v/>
      </c>
      <c r="BY32" s="399"/>
    </row>
    <row r="33" spans="1:77" ht="15.95" customHeight="1">
      <c r="A33" s="385">
        <f>IF('Statement of Marks'!A37="","",'Statement of Marks'!A37)</f>
        <v>30</v>
      </c>
      <c r="B33" s="386" t="str">
        <f>IF('Statement of Marks'!B37="","",'Statement of Marks'!B37)</f>
        <v/>
      </c>
      <c r="C33" s="387" t="str">
        <f>IF('Statement of Marks'!C37="","",'Statement of Marks'!C37)</f>
        <v/>
      </c>
      <c r="D33" s="426" t="str">
        <f>IF('Statement of Marks'!D37="","",'Statement of Marks'!D37)</f>
        <v/>
      </c>
      <c r="E33" s="388" t="str">
        <f>IF('Statement of Marks'!E37="","",'Statement of Marks'!E37)</f>
        <v/>
      </c>
      <c r="F33" s="388" t="str">
        <f>IF('Statement of Marks'!F37="","",'Statement of Marks'!F37)</f>
        <v/>
      </c>
      <c r="G33" s="388" t="str">
        <f>IF('Statement of Marks'!G37="","",'Statement of Marks'!G37)</f>
        <v/>
      </c>
      <c r="H33" s="389" t="str">
        <f>IF('Statement of Marks'!H37="","",'Statement of Marks'!H37)</f>
        <v/>
      </c>
      <c r="I33" s="389" t="str">
        <f>IF('Statement of Marks'!I37="","",'Statement of Marks'!I37)</f>
        <v/>
      </c>
      <c r="J33" s="648" t="str">
        <f>IF('Statement of Marks'!GY37="","",'Statement of Marks'!GY37)</f>
        <v/>
      </c>
      <c r="K33" s="390" t="str">
        <f>IF(B33="","",IF('Statement of Marks'!GZ37="","",'Statement of Marks'!GZ37))</f>
        <v/>
      </c>
      <c r="L33" s="391" t="str">
        <f>IF('Statement of Marks'!HC37="","",'Statement of Marks'!HC37)</f>
        <v/>
      </c>
      <c r="M33" s="390" t="str">
        <f>IF('Statement of Marks'!HB37="","",'Statement of Marks'!HB37)</f>
        <v/>
      </c>
      <c r="N33" s="392" t="str">
        <f>IF(J33="FAIL","",IF('Statement of Marks'!GU37="","",'Statement of Marks'!GU37))</f>
        <v xml:space="preserve">    </v>
      </c>
      <c r="O33" s="393" t="str">
        <f>IF('Supp. Result Entry'!AS36="","",'Supp. Result Entry'!AS36)</f>
        <v/>
      </c>
      <c r="P33" s="394" t="str">
        <f>IF('Supp. Result Entry'!AT36="","",'Supp. Result Entry'!AT36)</f>
        <v/>
      </c>
      <c r="Q33" s="395" t="str">
        <f>IF('Statement of Marks'!HG37="","",'Statement of Marks'!HG37)</f>
        <v/>
      </c>
      <c r="R33" s="396" t="str">
        <f>IF('Statement of Marks'!FH37="","",'Statement of Marks'!FH37)</f>
        <v/>
      </c>
      <c r="BL33" s="397" t="str">
        <f>'Statement of Marks'!E37</f>
        <v/>
      </c>
      <c r="BM33" s="398" t="str">
        <f t="shared" si="0"/>
        <v/>
      </c>
      <c r="BN33" s="398" t="str">
        <f t="shared" si="1"/>
        <v/>
      </c>
      <c r="BO33" s="398" t="str">
        <f t="shared" si="2"/>
        <v/>
      </c>
      <c r="BP33" s="398" t="str">
        <f t="shared" si="3"/>
        <v/>
      </c>
      <c r="BQ33" s="398" t="str">
        <f t="shared" si="4"/>
        <v/>
      </c>
      <c r="BR33" s="398" t="str">
        <f t="shared" si="5"/>
        <v/>
      </c>
      <c r="BS33" s="398" t="str">
        <f t="shared" si="6"/>
        <v/>
      </c>
      <c r="BT33" s="398" t="str">
        <f t="shared" si="7"/>
        <v/>
      </c>
      <c r="BU33" s="398" t="str">
        <f t="shared" si="8"/>
        <v/>
      </c>
      <c r="BV33" s="398" t="str">
        <f t="shared" si="9"/>
        <v/>
      </c>
      <c r="BW33" s="398" t="str">
        <f t="shared" si="10"/>
        <v/>
      </c>
      <c r="BX33" s="398" t="str">
        <f t="shared" si="11"/>
        <v/>
      </c>
      <c r="BY33" s="399"/>
    </row>
    <row r="34" spans="1:77" ht="15.95" customHeight="1">
      <c r="A34" s="385">
        <f>IF('Statement of Marks'!A38="","",'Statement of Marks'!A38)</f>
        <v>31</v>
      </c>
      <c r="B34" s="386" t="str">
        <f>IF('Statement of Marks'!B38="","",'Statement of Marks'!B38)</f>
        <v/>
      </c>
      <c r="C34" s="387" t="str">
        <f>IF('Statement of Marks'!C38="","",'Statement of Marks'!C38)</f>
        <v/>
      </c>
      <c r="D34" s="426" t="str">
        <f>IF('Statement of Marks'!D38="","",'Statement of Marks'!D38)</f>
        <v/>
      </c>
      <c r="E34" s="388" t="str">
        <f>IF('Statement of Marks'!E38="","",'Statement of Marks'!E38)</f>
        <v/>
      </c>
      <c r="F34" s="388" t="str">
        <f>IF('Statement of Marks'!F38="","",'Statement of Marks'!F38)</f>
        <v/>
      </c>
      <c r="G34" s="388" t="str">
        <f>IF('Statement of Marks'!G38="","",'Statement of Marks'!G38)</f>
        <v/>
      </c>
      <c r="H34" s="389" t="str">
        <f>IF('Statement of Marks'!H38="","",'Statement of Marks'!H38)</f>
        <v/>
      </c>
      <c r="I34" s="389" t="str">
        <f>IF('Statement of Marks'!I38="","",'Statement of Marks'!I38)</f>
        <v/>
      </c>
      <c r="J34" s="648" t="str">
        <f>IF('Statement of Marks'!GY38="","",'Statement of Marks'!GY38)</f>
        <v/>
      </c>
      <c r="K34" s="390" t="str">
        <f>IF(B34="","",IF('Statement of Marks'!GZ38="","",'Statement of Marks'!GZ38))</f>
        <v/>
      </c>
      <c r="L34" s="391" t="str">
        <f>IF('Statement of Marks'!HC38="","",'Statement of Marks'!HC38)</f>
        <v/>
      </c>
      <c r="M34" s="390" t="str">
        <f>IF('Statement of Marks'!HB38="","",'Statement of Marks'!HB38)</f>
        <v/>
      </c>
      <c r="N34" s="392" t="str">
        <f>IF(J34="FAIL","",IF('Statement of Marks'!GU38="","",'Statement of Marks'!GU38))</f>
        <v xml:space="preserve">    </v>
      </c>
      <c r="O34" s="393" t="str">
        <f>IF('Supp. Result Entry'!AS37="","",'Supp. Result Entry'!AS37)</f>
        <v/>
      </c>
      <c r="P34" s="394" t="str">
        <f>IF('Supp. Result Entry'!AT37="","",'Supp. Result Entry'!AT37)</f>
        <v/>
      </c>
      <c r="Q34" s="395" t="str">
        <f>IF('Statement of Marks'!HG38="","",'Statement of Marks'!HG38)</f>
        <v/>
      </c>
      <c r="R34" s="396" t="str">
        <f>IF('Statement of Marks'!FH38="","",'Statement of Marks'!FH38)</f>
        <v/>
      </c>
      <c r="BL34" s="397" t="str">
        <f>'Statement of Marks'!E38</f>
        <v/>
      </c>
      <c r="BM34" s="398" t="str">
        <f t="shared" si="0"/>
        <v/>
      </c>
      <c r="BN34" s="398" t="str">
        <f t="shared" si="1"/>
        <v/>
      </c>
      <c r="BO34" s="398" t="str">
        <f t="shared" si="2"/>
        <v/>
      </c>
      <c r="BP34" s="398" t="str">
        <f t="shared" si="3"/>
        <v/>
      </c>
      <c r="BQ34" s="398" t="str">
        <f t="shared" si="4"/>
        <v/>
      </c>
      <c r="BR34" s="398" t="str">
        <f t="shared" si="5"/>
        <v/>
      </c>
      <c r="BS34" s="398" t="str">
        <f t="shared" si="6"/>
        <v/>
      </c>
      <c r="BT34" s="398" t="str">
        <f t="shared" si="7"/>
        <v/>
      </c>
      <c r="BU34" s="398" t="str">
        <f t="shared" si="8"/>
        <v/>
      </c>
      <c r="BV34" s="398" t="str">
        <f t="shared" si="9"/>
        <v/>
      </c>
      <c r="BW34" s="398" t="str">
        <f t="shared" si="10"/>
        <v/>
      </c>
      <c r="BX34" s="398" t="str">
        <f t="shared" si="11"/>
        <v/>
      </c>
      <c r="BY34" s="399"/>
    </row>
    <row r="35" spans="1:77" ht="15.95" customHeight="1">
      <c r="A35" s="385">
        <f>IF('Statement of Marks'!A39="","",'Statement of Marks'!A39)</f>
        <v>32</v>
      </c>
      <c r="B35" s="386" t="str">
        <f>IF('Statement of Marks'!B39="","",'Statement of Marks'!B39)</f>
        <v/>
      </c>
      <c r="C35" s="387" t="str">
        <f>IF('Statement of Marks'!C39="","",'Statement of Marks'!C39)</f>
        <v/>
      </c>
      <c r="D35" s="426" t="str">
        <f>IF('Statement of Marks'!D39="","",'Statement of Marks'!D39)</f>
        <v/>
      </c>
      <c r="E35" s="388" t="str">
        <f>IF('Statement of Marks'!E39="","",'Statement of Marks'!E39)</f>
        <v/>
      </c>
      <c r="F35" s="388" t="str">
        <f>IF('Statement of Marks'!F39="","",'Statement of Marks'!F39)</f>
        <v/>
      </c>
      <c r="G35" s="388" t="str">
        <f>IF('Statement of Marks'!G39="","",'Statement of Marks'!G39)</f>
        <v/>
      </c>
      <c r="H35" s="389" t="str">
        <f>IF('Statement of Marks'!H39="","",'Statement of Marks'!H39)</f>
        <v/>
      </c>
      <c r="I35" s="389" t="str">
        <f>IF('Statement of Marks'!I39="","",'Statement of Marks'!I39)</f>
        <v/>
      </c>
      <c r="J35" s="648" t="str">
        <f>IF('Statement of Marks'!GY39="","",'Statement of Marks'!GY39)</f>
        <v/>
      </c>
      <c r="K35" s="390" t="str">
        <f>IF(B35="","",IF('Statement of Marks'!GZ39="","",'Statement of Marks'!GZ39))</f>
        <v/>
      </c>
      <c r="L35" s="391" t="str">
        <f>IF('Statement of Marks'!HC39="","",'Statement of Marks'!HC39)</f>
        <v/>
      </c>
      <c r="M35" s="390" t="str">
        <f>IF('Statement of Marks'!HB39="","",'Statement of Marks'!HB39)</f>
        <v/>
      </c>
      <c r="N35" s="392" t="str">
        <f>IF(J35="FAIL","",IF('Statement of Marks'!GU39="","",'Statement of Marks'!GU39))</f>
        <v xml:space="preserve">    </v>
      </c>
      <c r="O35" s="393" t="str">
        <f>IF('Supp. Result Entry'!AS38="","",'Supp. Result Entry'!AS38)</f>
        <v/>
      </c>
      <c r="P35" s="394" t="str">
        <f>IF('Supp. Result Entry'!AT38="","",'Supp. Result Entry'!AT38)</f>
        <v/>
      </c>
      <c r="Q35" s="395" t="str">
        <f>IF('Statement of Marks'!HG39="","",'Statement of Marks'!HG39)</f>
        <v/>
      </c>
      <c r="R35" s="396" t="str">
        <f>IF('Statement of Marks'!FH39="","",'Statement of Marks'!FH39)</f>
        <v/>
      </c>
      <c r="BL35" s="397" t="str">
        <f>'Statement of Marks'!E39</f>
        <v/>
      </c>
      <c r="BM35" s="398" t="str">
        <f t="shared" si="0"/>
        <v/>
      </c>
      <c r="BN35" s="398" t="str">
        <f t="shared" si="1"/>
        <v/>
      </c>
      <c r="BO35" s="398" t="str">
        <f t="shared" si="2"/>
        <v/>
      </c>
      <c r="BP35" s="398" t="str">
        <f t="shared" si="3"/>
        <v/>
      </c>
      <c r="BQ35" s="398" t="str">
        <f t="shared" si="4"/>
        <v/>
      </c>
      <c r="BR35" s="398" t="str">
        <f t="shared" si="5"/>
        <v/>
      </c>
      <c r="BS35" s="398" t="str">
        <f t="shared" si="6"/>
        <v/>
      </c>
      <c r="BT35" s="398" t="str">
        <f t="shared" si="7"/>
        <v/>
      </c>
      <c r="BU35" s="398" t="str">
        <f t="shared" si="8"/>
        <v/>
      </c>
      <c r="BV35" s="398" t="str">
        <f t="shared" si="9"/>
        <v/>
      </c>
      <c r="BW35" s="398" t="str">
        <f t="shared" si="10"/>
        <v/>
      </c>
      <c r="BX35" s="398" t="str">
        <f t="shared" si="11"/>
        <v/>
      </c>
      <c r="BY35" s="399"/>
    </row>
    <row r="36" spans="1:77" ht="15.95" customHeight="1">
      <c r="A36" s="385">
        <f>IF('Statement of Marks'!A40="","",'Statement of Marks'!A40)</f>
        <v>33</v>
      </c>
      <c r="B36" s="386" t="str">
        <f>IF('Statement of Marks'!B40="","",'Statement of Marks'!B40)</f>
        <v/>
      </c>
      <c r="C36" s="387" t="str">
        <f>IF('Statement of Marks'!C40="","",'Statement of Marks'!C40)</f>
        <v/>
      </c>
      <c r="D36" s="426" t="str">
        <f>IF('Statement of Marks'!D40="","",'Statement of Marks'!D40)</f>
        <v/>
      </c>
      <c r="E36" s="388" t="str">
        <f>IF('Statement of Marks'!E40="","",'Statement of Marks'!E40)</f>
        <v/>
      </c>
      <c r="F36" s="388" t="str">
        <f>IF('Statement of Marks'!F40="","",'Statement of Marks'!F40)</f>
        <v/>
      </c>
      <c r="G36" s="388" t="str">
        <f>IF('Statement of Marks'!G40="","",'Statement of Marks'!G40)</f>
        <v/>
      </c>
      <c r="H36" s="389" t="str">
        <f>IF('Statement of Marks'!H40="","",'Statement of Marks'!H40)</f>
        <v/>
      </c>
      <c r="I36" s="389" t="str">
        <f>IF('Statement of Marks'!I40="","",'Statement of Marks'!I40)</f>
        <v/>
      </c>
      <c r="J36" s="648" t="str">
        <f>IF('Statement of Marks'!GY40="","",'Statement of Marks'!GY40)</f>
        <v/>
      </c>
      <c r="K36" s="390" t="str">
        <f>IF(B36="","",IF('Statement of Marks'!GZ40="","",'Statement of Marks'!GZ40))</f>
        <v/>
      </c>
      <c r="L36" s="391" t="str">
        <f>IF('Statement of Marks'!HC40="","",'Statement of Marks'!HC40)</f>
        <v/>
      </c>
      <c r="M36" s="390" t="str">
        <f>IF('Statement of Marks'!HB40="","",'Statement of Marks'!HB40)</f>
        <v/>
      </c>
      <c r="N36" s="392" t="str">
        <f>IF(J36="FAIL","",IF('Statement of Marks'!GU40="","",'Statement of Marks'!GU40))</f>
        <v xml:space="preserve">    </v>
      </c>
      <c r="O36" s="393" t="str">
        <f>IF('Supp. Result Entry'!AS39="","",'Supp. Result Entry'!AS39)</f>
        <v/>
      </c>
      <c r="P36" s="394" t="str">
        <f>IF('Supp. Result Entry'!AT39="","",'Supp. Result Entry'!AT39)</f>
        <v/>
      </c>
      <c r="Q36" s="395" t="str">
        <f>IF('Statement of Marks'!HG40="","",'Statement of Marks'!HG40)</f>
        <v/>
      </c>
      <c r="R36" s="396" t="str">
        <f>IF('Statement of Marks'!FH40="","",'Statement of Marks'!FH40)</f>
        <v/>
      </c>
      <c r="BL36" s="397" t="str">
        <f>'Statement of Marks'!E40</f>
        <v/>
      </c>
      <c r="BM36" s="398" t="str">
        <f t="shared" si="0"/>
        <v/>
      </c>
      <c r="BN36" s="398" t="str">
        <f t="shared" si="1"/>
        <v/>
      </c>
      <c r="BO36" s="398" t="str">
        <f t="shared" si="2"/>
        <v/>
      </c>
      <c r="BP36" s="398" t="str">
        <f t="shared" si="3"/>
        <v/>
      </c>
      <c r="BQ36" s="398" t="str">
        <f t="shared" si="4"/>
        <v/>
      </c>
      <c r="BR36" s="398" t="str">
        <f t="shared" si="5"/>
        <v/>
      </c>
      <c r="BS36" s="398" t="str">
        <f t="shared" si="6"/>
        <v/>
      </c>
      <c r="BT36" s="398" t="str">
        <f t="shared" si="7"/>
        <v/>
      </c>
      <c r="BU36" s="398" t="str">
        <f t="shared" si="8"/>
        <v/>
      </c>
      <c r="BV36" s="398" t="str">
        <f t="shared" si="9"/>
        <v/>
      </c>
      <c r="BW36" s="398" t="str">
        <f t="shared" si="10"/>
        <v/>
      </c>
      <c r="BX36" s="398" t="str">
        <f t="shared" si="11"/>
        <v/>
      </c>
      <c r="BY36" s="399"/>
    </row>
    <row r="37" spans="1:77" ht="15.95" customHeight="1">
      <c r="A37" s="385">
        <f>IF('Statement of Marks'!A41="","",'Statement of Marks'!A41)</f>
        <v>34</v>
      </c>
      <c r="B37" s="386" t="str">
        <f>IF('Statement of Marks'!B41="","",'Statement of Marks'!B41)</f>
        <v/>
      </c>
      <c r="C37" s="387" t="str">
        <f>IF('Statement of Marks'!C41="","",'Statement of Marks'!C41)</f>
        <v/>
      </c>
      <c r="D37" s="426" t="str">
        <f>IF('Statement of Marks'!D41="","",'Statement of Marks'!D41)</f>
        <v/>
      </c>
      <c r="E37" s="388" t="str">
        <f>IF('Statement of Marks'!E41="","",'Statement of Marks'!E41)</f>
        <v/>
      </c>
      <c r="F37" s="388" t="str">
        <f>IF('Statement of Marks'!F41="","",'Statement of Marks'!F41)</f>
        <v/>
      </c>
      <c r="G37" s="388" t="str">
        <f>IF('Statement of Marks'!G41="","",'Statement of Marks'!G41)</f>
        <v/>
      </c>
      <c r="H37" s="389" t="str">
        <f>IF('Statement of Marks'!H41="","",'Statement of Marks'!H41)</f>
        <v/>
      </c>
      <c r="I37" s="389" t="str">
        <f>IF('Statement of Marks'!I41="","",'Statement of Marks'!I41)</f>
        <v/>
      </c>
      <c r="J37" s="648" t="str">
        <f>IF('Statement of Marks'!GY41="","",'Statement of Marks'!GY41)</f>
        <v/>
      </c>
      <c r="K37" s="390" t="str">
        <f>IF(B37="","",IF('Statement of Marks'!GZ41="","",'Statement of Marks'!GZ41))</f>
        <v/>
      </c>
      <c r="L37" s="391" t="str">
        <f>IF('Statement of Marks'!HC41="","",'Statement of Marks'!HC41)</f>
        <v/>
      </c>
      <c r="M37" s="390" t="str">
        <f>IF('Statement of Marks'!HB41="","",'Statement of Marks'!HB41)</f>
        <v/>
      </c>
      <c r="N37" s="392" t="str">
        <f>IF(J37="FAIL","",IF('Statement of Marks'!GU41="","",'Statement of Marks'!GU41))</f>
        <v xml:space="preserve">    </v>
      </c>
      <c r="O37" s="393" t="str">
        <f>IF('Supp. Result Entry'!AS40="","",'Supp. Result Entry'!AS40)</f>
        <v/>
      </c>
      <c r="P37" s="394" t="str">
        <f>IF('Supp. Result Entry'!AT40="","",'Supp. Result Entry'!AT40)</f>
        <v/>
      </c>
      <c r="Q37" s="395" t="str">
        <f>IF('Statement of Marks'!HG41="","",'Statement of Marks'!HG41)</f>
        <v/>
      </c>
      <c r="R37" s="396" t="str">
        <f>IF('Statement of Marks'!FH41="","",'Statement of Marks'!FH41)</f>
        <v/>
      </c>
      <c r="BL37" s="397" t="str">
        <f>'Statement of Marks'!E41</f>
        <v/>
      </c>
      <c r="BM37" s="398" t="str">
        <f t="shared" si="0"/>
        <v/>
      </c>
      <c r="BN37" s="398" t="str">
        <f t="shared" si="1"/>
        <v/>
      </c>
      <c r="BO37" s="398" t="str">
        <f t="shared" si="2"/>
        <v/>
      </c>
      <c r="BP37" s="398" t="str">
        <f t="shared" si="3"/>
        <v/>
      </c>
      <c r="BQ37" s="398" t="str">
        <f t="shared" si="4"/>
        <v/>
      </c>
      <c r="BR37" s="398" t="str">
        <f t="shared" si="5"/>
        <v/>
      </c>
      <c r="BS37" s="398" t="str">
        <f t="shared" si="6"/>
        <v/>
      </c>
      <c r="BT37" s="398" t="str">
        <f t="shared" si="7"/>
        <v/>
      </c>
      <c r="BU37" s="398" t="str">
        <f t="shared" si="8"/>
        <v/>
      </c>
      <c r="BV37" s="398" t="str">
        <f t="shared" si="9"/>
        <v/>
      </c>
      <c r="BW37" s="398" t="str">
        <f t="shared" si="10"/>
        <v/>
      </c>
      <c r="BX37" s="398" t="str">
        <f t="shared" si="11"/>
        <v/>
      </c>
      <c r="BY37" s="399"/>
    </row>
    <row r="38" spans="1:77" ht="15.95" customHeight="1">
      <c r="A38" s="385">
        <f>IF('Statement of Marks'!A42="","",'Statement of Marks'!A42)</f>
        <v>35</v>
      </c>
      <c r="B38" s="386" t="str">
        <f>IF('Statement of Marks'!B42="","",'Statement of Marks'!B42)</f>
        <v/>
      </c>
      <c r="C38" s="387" t="str">
        <f>IF('Statement of Marks'!C42="","",'Statement of Marks'!C42)</f>
        <v/>
      </c>
      <c r="D38" s="426" t="str">
        <f>IF('Statement of Marks'!D42="","",'Statement of Marks'!D42)</f>
        <v/>
      </c>
      <c r="E38" s="388" t="str">
        <f>IF('Statement of Marks'!E42="","",'Statement of Marks'!E42)</f>
        <v/>
      </c>
      <c r="F38" s="388" t="str">
        <f>IF('Statement of Marks'!F42="","",'Statement of Marks'!F42)</f>
        <v/>
      </c>
      <c r="G38" s="388" t="str">
        <f>IF('Statement of Marks'!G42="","",'Statement of Marks'!G42)</f>
        <v/>
      </c>
      <c r="H38" s="389" t="str">
        <f>IF('Statement of Marks'!H42="","",'Statement of Marks'!H42)</f>
        <v/>
      </c>
      <c r="I38" s="389" t="str">
        <f>IF('Statement of Marks'!I42="","",'Statement of Marks'!I42)</f>
        <v/>
      </c>
      <c r="J38" s="648" t="str">
        <f>IF('Statement of Marks'!GY42="","",'Statement of Marks'!GY42)</f>
        <v/>
      </c>
      <c r="K38" s="390" t="str">
        <f>IF(B38="","",IF('Statement of Marks'!GZ42="","",'Statement of Marks'!GZ42))</f>
        <v/>
      </c>
      <c r="L38" s="391" t="str">
        <f>IF('Statement of Marks'!HC42="","",'Statement of Marks'!HC42)</f>
        <v/>
      </c>
      <c r="M38" s="390" t="str">
        <f>IF('Statement of Marks'!HB42="","",'Statement of Marks'!HB42)</f>
        <v/>
      </c>
      <c r="N38" s="392" t="str">
        <f>IF(J38="FAIL","",IF('Statement of Marks'!GU42="","",'Statement of Marks'!GU42))</f>
        <v xml:space="preserve">    </v>
      </c>
      <c r="O38" s="393" t="str">
        <f>IF('Supp. Result Entry'!AS41="","",'Supp. Result Entry'!AS41)</f>
        <v/>
      </c>
      <c r="P38" s="394" t="str">
        <f>IF('Supp. Result Entry'!AT41="","",'Supp. Result Entry'!AT41)</f>
        <v/>
      </c>
      <c r="Q38" s="395" t="str">
        <f>IF('Statement of Marks'!HG42="","",'Statement of Marks'!HG42)</f>
        <v/>
      </c>
      <c r="R38" s="396" t="str">
        <f>IF('Statement of Marks'!FH42="","",'Statement of Marks'!FH42)</f>
        <v/>
      </c>
      <c r="BL38" s="397" t="str">
        <f>'Statement of Marks'!E42</f>
        <v/>
      </c>
      <c r="BM38" s="398" t="str">
        <f t="shared" si="0"/>
        <v/>
      </c>
      <c r="BN38" s="398" t="str">
        <f t="shared" si="1"/>
        <v/>
      </c>
      <c r="BO38" s="398" t="str">
        <f t="shared" si="2"/>
        <v/>
      </c>
      <c r="BP38" s="398" t="str">
        <f t="shared" si="3"/>
        <v/>
      </c>
      <c r="BQ38" s="398" t="str">
        <f t="shared" si="4"/>
        <v/>
      </c>
      <c r="BR38" s="398" t="str">
        <f t="shared" si="5"/>
        <v/>
      </c>
      <c r="BS38" s="398" t="str">
        <f t="shared" si="6"/>
        <v/>
      </c>
      <c r="BT38" s="398" t="str">
        <f t="shared" si="7"/>
        <v/>
      </c>
      <c r="BU38" s="398" t="str">
        <f t="shared" si="8"/>
        <v/>
      </c>
      <c r="BV38" s="398" t="str">
        <f t="shared" si="9"/>
        <v/>
      </c>
      <c r="BW38" s="398" t="str">
        <f t="shared" si="10"/>
        <v/>
      </c>
      <c r="BX38" s="398" t="str">
        <f t="shared" si="11"/>
        <v/>
      </c>
      <c r="BY38" s="399"/>
    </row>
    <row r="39" spans="1:77" ht="15.95" customHeight="1">
      <c r="A39" s="385">
        <f>IF('Statement of Marks'!A43="","",'Statement of Marks'!A43)</f>
        <v>36</v>
      </c>
      <c r="B39" s="386" t="str">
        <f>IF('Statement of Marks'!B43="","",'Statement of Marks'!B43)</f>
        <v/>
      </c>
      <c r="C39" s="387" t="str">
        <f>IF('Statement of Marks'!C43="","",'Statement of Marks'!C43)</f>
        <v/>
      </c>
      <c r="D39" s="426" t="str">
        <f>IF('Statement of Marks'!D43="","",'Statement of Marks'!D43)</f>
        <v/>
      </c>
      <c r="E39" s="388" t="str">
        <f>IF('Statement of Marks'!E43="","",'Statement of Marks'!E43)</f>
        <v/>
      </c>
      <c r="F39" s="388" t="str">
        <f>IF('Statement of Marks'!F43="","",'Statement of Marks'!F43)</f>
        <v/>
      </c>
      <c r="G39" s="388" t="str">
        <f>IF('Statement of Marks'!G43="","",'Statement of Marks'!G43)</f>
        <v/>
      </c>
      <c r="H39" s="389" t="str">
        <f>IF('Statement of Marks'!H43="","",'Statement of Marks'!H43)</f>
        <v/>
      </c>
      <c r="I39" s="389" t="str">
        <f>IF('Statement of Marks'!I43="","",'Statement of Marks'!I43)</f>
        <v/>
      </c>
      <c r="J39" s="648" t="str">
        <f>IF('Statement of Marks'!GY43="","",'Statement of Marks'!GY43)</f>
        <v/>
      </c>
      <c r="K39" s="390" t="str">
        <f>IF(B39="","",IF('Statement of Marks'!GZ43="","",'Statement of Marks'!GZ43))</f>
        <v/>
      </c>
      <c r="L39" s="391" t="str">
        <f>IF('Statement of Marks'!HC43="","",'Statement of Marks'!HC43)</f>
        <v/>
      </c>
      <c r="M39" s="390" t="str">
        <f>IF('Statement of Marks'!HB43="","",'Statement of Marks'!HB43)</f>
        <v/>
      </c>
      <c r="N39" s="392" t="str">
        <f>IF(J39="FAIL","",IF('Statement of Marks'!GU43="","",'Statement of Marks'!GU43))</f>
        <v xml:space="preserve">    </v>
      </c>
      <c r="O39" s="393" t="str">
        <f>IF('Supp. Result Entry'!AS42="","",'Supp. Result Entry'!AS42)</f>
        <v/>
      </c>
      <c r="P39" s="394" t="str">
        <f>IF('Supp. Result Entry'!AT42="","",'Supp. Result Entry'!AT42)</f>
        <v/>
      </c>
      <c r="Q39" s="395" t="str">
        <f>IF('Statement of Marks'!HG43="","",'Statement of Marks'!HG43)</f>
        <v/>
      </c>
      <c r="R39" s="396" t="str">
        <f>IF('Statement of Marks'!FH43="","",'Statement of Marks'!FH43)</f>
        <v/>
      </c>
      <c r="BL39" s="397" t="str">
        <f>'Statement of Marks'!E43</f>
        <v/>
      </c>
      <c r="BM39" s="398" t="str">
        <f t="shared" si="0"/>
        <v/>
      </c>
      <c r="BN39" s="398" t="str">
        <f t="shared" si="1"/>
        <v/>
      </c>
      <c r="BO39" s="398" t="str">
        <f t="shared" si="2"/>
        <v/>
      </c>
      <c r="BP39" s="398" t="str">
        <f t="shared" si="3"/>
        <v/>
      </c>
      <c r="BQ39" s="398" t="str">
        <f t="shared" si="4"/>
        <v/>
      </c>
      <c r="BR39" s="398" t="str">
        <f t="shared" si="5"/>
        <v/>
      </c>
      <c r="BS39" s="398" t="str">
        <f t="shared" si="6"/>
        <v/>
      </c>
      <c r="BT39" s="398" t="str">
        <f t="shared" si="7"/>
        <v/>
      </c>
      <c r="BU39" s="398" t="str">
        <f t="shared" si="8"/>
        <v/>
      </c>
      <c r="BV39" s="398" t="str">
        <f t="shared" si="9"/>
        <v/>
      </c>
      <c r="BW39" s="398" t="str">
        <f t="shared" si="10"/>
        <v/>
      </c>
      <c r="BX39" s="398" t="str">
        <f t="shared" si="11"/>
        <v/>
      </c>
      <c r="BY39" s="399"/>
    </row>
    <row r="40" spans="1:77" ht="15.95" customHeight="1">
      <c r="A40" s="385">
        <f>IF('Statement of Marks'!A44="","",'Statement of Marks'!A44)</f>
        <v>37</v>
      </c>
      <c r="B40" s="386" t="str">
        <f>IF('Statement of Marks'!B44="","",'Statement of Marks'!B44)</f>
        <v/>
      </c>
      <c r="C40" s="387" t="str">
        <f>IF('Statement of Marks'!C44="","",'Statement of Marks'!C44)</f>
        <v/>
      </c>
      <c r="D40" s="426" t="str">
        <f>IF('Statement of Marks'!D44="","",'Statement of Marks'!D44)</f>
        <v/>
      </c>
      <c r="E40" s="388" t="str">
        <f>IF('Statement of Marks'!E44="","",'Statement of Marks'!E44)</f>
        <v/>
      </c>
      <c r="F40" s="388" t="str">
        <f>IF('Statement of Marks'!F44="","",'Statement of Marks'!F44)</f>
        <v/>
      </c>
      <c r="G40" s="388" t="str">
        <f>IF('Statement of Marks'!G44="","",'Statement of Marks'!G44)</f>
        <v/>
      </c>
      <c r="H40" s="389" t="str">
        <f>IF('Statement of Marks'!H44="","",'Statement of Marks'!H44)</f>
        <v/>
      </c>
      <c r="I40" s="389" t="str">
        <f>IF('Statement of Marks'!I44="","",'Statement of Marks'!I44)</f>
        <v/>
      </c>
      <c r="J40" s="648" t="str">
        <f>IF('Statement of Marks'!GY44="","",'Statement of Marks'!GY44)</f>
        <v/>
      </c>
      <c r="K40" s="390" t="str">
        <f>IF(B40="","",IF('Statement of Marks'!GZ44="","",'Statement of Marks'!GZ44))</f>
        <v/>
      </c>
      <c r="L40" s="391" t="str">
        <f>IF('Statement of Marks'!HC44="","",'Statement of Marks'!HC44)</f>
        <v/>
      </c>
      <c r="M40" s="390" t="str">
        <f>IF('Statement of Marks'!HB44="","",'Statement of Marks'!HB44)</f>
        <v/>
      </c>
      <c r="N40" s="392" t="str">
        <f>IF(J40="FAIL","",IF('Statement of Marks'!GU44="","",'Statement of Marks'!GU44))</f>
        <v xml:space="preserve">    </v>
      </c>
      <c r="O40" s="393" t="str">
        <f>IF('Supp. Result Entry'!AS43="","",'Supp. Result Entry'!AS43)</f>
        <v/>
      </c>
      <c r="P40" s="394" t="str">
        <f>IF('Supp. Result Entry'!AT43="","",'Supp. Result Entry'!AT43)</f>
        <v/>
      </c>
      <c r="Q40" s="395" t="str">
        <f>IF('Statement of Marks'!HG44="","",'Statement of Marks'!HG44)</f>
        <v/>
      </c>
      <c r="R40" s="396" t="str">
        <f>IF('Statement of Marks'!FH44="","",'Statement of Marks'!FH44)</f>
        <v/>
      </c>
      <c r="BL40" s="397" t="str">
        <f>'Statement of Marks'!E44</f>
        <v/>
      </c>
      <c r="BM40" s="398" t="str">
        <f t="shared" si="0"/>
        <v/>
      </c>
      <c r="BN40" s="398" t="str">
        <f t="shared" si="1"/>
        <v/>
      </c>
      <c r="BO40" s="398" t="str">
        <f t="shared" si="2"/>
        <v/>
      </c>
      <c r="BP40" s="398" t="str">
        <f t="shared" si="3"/>
        <v/>
      </c>
      <c r="BQ40" s="398" t="str">
        <f t="shared" si="4"/>
        <v/>
      </c>
      <c r="BR40" s="398" t="str">
        <f t="shared" si="5"/>
        <v/>
      </c>
      <c r="BS40" s="398" t="str">
        <f t="shared" si="6"/>
        <v/>
      </c>
      <c r="BT40" s="398" t="str">
        <f t="shared" si="7"/>
        <v/>
      </c>
      <c r="BU40" s="398" t="str">
        <f t="shared" si="8"/>
        <v/>
      </c>
      <c r="BV40" s="398" t="str">
        <f t="shared" si="9"/>
        <v/>
      </c>
      <c r="BW40" s="398" t="str">
        <f t="shared" si="10"/>
        <v/>
      </c>
      <c r="BX40" s="398" t="str">
        <f t="shared" si="11"/>
        <v/>
      </c>
      <c r="BY40" s="399"/>
    </row>
    <row r="41" spans="1:77" ht="15.95" customHeight="1">
      <c r="A41" s="385">
        <f>IF('Statement of Marks'!A45="","",'Statement of Marks'!A45)</f>
        <v>38</v>
      </c>
      <c r="B41" s="386" t="str">
        <f>IF('Statement of Marks'!B45="","",'Statement of Marks'!B45)</f>
        <v/>
      </c>
      <c r="C41" s="387" t="str">
        <f>IF('Statement of Marks'!C45="","",'Statement of Marks'!C45)</f>
        <v/>
      </c>
      <c r="D41" s="426" t="str">
        <f>IF('Statement of Marks'!D45="","",'Statement of Marks'!D45)</f>
        <v/>
      </c>
      <c r="E41" s="388" t="str">
        <f>IF('Statement of Marks'!E45="","",'Statement of Marks'!E45)</f>
        <v/>
      </c>
      <c r="F41" s="388" t="str">
        <f>IF('Statement of Marks'!F45="","",'Statement of Marks'!F45)</f>
        <v/>
      </c>
      <c r="G41" s="388" t="str">
        <f>IF('Statement of Marks'!G45="","",'Statement of Marks'!G45)</f>
        <v/>
      </c>
      <c r="H41" s="389" t="str">
        <f>IF('Statement of Marks'!H45="","",'Statement of Marks'!H45)</f>
        <v/>
      </c>
      <c r="I41" s="389" t="str">
        <f>IF('Statement of Marks'!I45="","",'Statement of Marks'!I45)</f>
        <v/>
      </c>
      <c r="J41" s="648" t="str">
        <f>IF('Statement of Marks'!GY45="","",'Statement of Marks'!GY45)</f>
        <v/>
      </c>
      <c r="K41" s="390" t="str">
        <f>IF(B41="","",IF('Statement of Marks'!GZ45="","",'Statement of Marks'!GZ45))</f>
        <v/>
      </c>
      <c r="L41" s="391" t="str">
        <f>IF('Statement of Marks'!HC45="","",'Statement of Marks'!HC45)</f>
        <v/>
      </c>
      <c r="M41" s="390" t="str">
        <f>IF('Statement of Marks'!HB45="","",'Statement of Marks'!HB45)</f>
        <v/>
      </c>
      <c r="N41" s="392" t="str">
        <f>IF(J41="FAIL","",IF('Statement of Marks'!GU45="","",'Statement of Marks'!GU45))</f>
        <v xml:space="preserve">    </v>
      </c>
      <c r="O41" s="393" t="str">
        <f>IF('Supp. Result Entry'!AS44="","",'Supp. Result Entry'!AS44)</f>
        <v/>
      </c>
      <c r="P41" s="394" t="str">
        <f>IF('Supp. Result Entry'!AT44="","",'Supp. Result Entry'!AT44)</f>
        <v/>
      </c>
      <c r="Q41" s="395" t="str">
        <f>IF('Statement of Marks'!HG45="","",'Statement of Marks'!HG45)</f>
        <v/>
      </c>
      <c r="R41" s="396" t="str">
        <f>IF('Statement of Marks'!FH45="","",'Statement of Marks'!FH45)</f>
        <v/>
      </c>
      <c r="BL41" s="397" t="str">
        <f>'Statement of Marks'!E45</f>
        <v/>
      </c>
      <c r="BM41" s="398" t="str">
        <f t="shared" si="0"/>
        <v/>
      </c>
      <c r="BN41" s="398" t="str">
        <f t="shared" si="1"/>
        <v/>
      </c>
      <c r="BO41" s="398" t="str">
        <f t="shared" si="2"/>
        <v/>
      </c>
      <c r="BP41" s="398" t="str">
        <f t="shared" si="3"/>
        <v/>
      </c>
      <c r="BQ41" s="398" t="str">
        <f t="shared" si="4"/>
        <v/>
      </c>
      <c r="BR41" s="398" t="str">
        <f t="shared" si="5"/>
        <v/>
      </c>
      <c r="BS41" s="398" t="str">
        <f t="shared" si="6"/>
        <v/>
      </c>
      <c r="BT41" s="398" t="str">
        <f t="shared" si="7"/>
        <v/>
      </c>
      <c r="BU41" s="398" t="str">
        <f t="shared" si="8"/>
        <v/>
      </c>
      <c r="BV41" s="398" t="str">
        <f t="shared" si="9"/>
        <v/>
      </c>
      <c r="BW41" s="398" t="str">
        <f t="shared" si="10"/>
        <v/>
      </c>
      <c r="BX41" s="398" t="str">
        <f t="shared" si="11"/>
        <v/>
      </c>
      <c r="BY41" s="399"/>
    </row>
    <row r="42" spans="1:77" ht="15.95" customHeight="1">
      <c r="A42" s="385">
        <f>IF('Statement of Marks'!A46="","",'Statement of Marks'!A46)</f>
        <v>39</v>
      </c>
      <c r="B42" s="386" t="str">
        <f>IF('Statement of Marks'!B46="","",'Statement of Marks'!B46)</f>
        <v/>
      </c>
      <c r="C42" s="387" t="str">
        <f>IF('Statement of Marks'!C46="","",'Statement of Marks'!C46)</f>
        <v/>
      </c>
      <c r="D42" s="426" t="str">
        <f>IF('Statement of Marks'!D46="","",'Statement of Marks'!D46)</f>
        <v/>
      </c>
      <c r="E42" s="388" t="str">
        <f>IF('Statement of Marks'!E46="","",'Statement of Marks'!E46)</f>
        <v/>
      </c>
      <c r="F42" s="388" t="str">
        <f>IF('Statement of Marks'!F46="","",'Statement of Marks'!F46)</f>
        <v/>
      </c>
      <c r="G42" s="388" t="str">
        <f>IF('Statement of Marks'!G46="","",'Statement of Marks'!G46)</f>
        <v/>
      </c>
      <c r="H42" s="389" t="str">
        <f>IF('Statement of Marks'!H46="","",'Statement of Marks'!H46)</f>
        <v/>
      </c>
      <c r="I42" s="389" t="str">
        <f>IF('Statement of Marks'!I46="","",'Statement of Marks'!I46)</f>
        <v/>
      </c>
      <c r="J42" s="648" t="str">
        <f>IF('Statement of Marks'!GY46="","",'Statement of Marks'!GY46)</f>
        <v/>
      </c>
      <c r="K42" s="390" t="str">
        <f>IF(B42="","",IF('Statement of Marks'!GZ46="","",'Statement of Marks'!GZ46))</f>
        <v/>
      </c>
      <c r="L42" s="391" t="str">
        <f>IF('Statement of Marks'!HC46="","",'Statement of Marks'!HC46)</f>
        <v/>
      </c>
      <c r="M42" s="390" t="str">
        <f>IF('Statement of Marks'!HB46="","",'Statement of Marks'!HB46)</f>
        <v/>
      </c>
      <c r="N42" s="392" t="str">
        <f>IF(J42="FAIL","",IF('Statement of Marks'!GU46="","",'Statement of Marks'!GU46))</f>
        <v xml:space="preserve">    </v>
      </c>
      <c r="O42" s="393" t="str">
        <f>IF('Supp. Result Entry'!AS45="","",'Supp. Result Entry'!AS45)</f>
        <v/>
      </c>
      <c r="P42" s="394" t="str">
        <f>IF('Supp. Result Entry'!AT45="","",'Supp. Result Entry'!AT45)</f>
        <v/>
      </c>
      <c r="Q42" s="395" t="str">
        <f>IF('Statement of Marks'!HG46="","",'Statement of Marks'!HG46)</f>
        <v/>
      </c>
      <c r="R42" s="396" t="str">
        <f>IF('Statement of Marks'!FH46="","",'Statement of Marks'!FH46)</f>
        <v/>
      </c>
      <c r="BL42" s="397" t="str">
        <f>'Statement of Marks'!E46</f>
        <v/>
      </c>
      <c r="BM42" s="398" t="str">
        <f t="shared" si="0"/>
        <v/>
      </c>
      <c r="BN42" s="398" t="str">
        <f t="shared" si="1"/>
        <v/>
      </c>
      <c r="BO42" s="398" t="str">
        <f t="shared" si="2"/>
        <v/>
      </c>
      <c r="BP42" s="398" t="str">
        <f t="shared" si="3"/>
        <v/>
      </c>
      <c r="BQ42" s="398" t="str">
        <f t="shared" si="4"/>
        <v/>
      </c>
      <c r="BR42" s="398" t="str">
        <f t="shared" si="5"/>
        <v/>
      </c>
      <c r="BS42" s="398" t="str">
        <f t="shared" si="6"/>
        <v/>
      </c>
      <c r="BT42" s="398" t="str">
        <f t="shared" si="7"/>
        <v/>
      </c>
      <c r="BU42" s="398" t="str">
        <f t="shared" si="8"/>
        <v/>
      </c>
      <c r="BV42" s="398" t="str">
        <f t="shared" si="9"/>
        <v/>
      </c>
      <c r="BW42" s="398" t="str">
        <f t="shared" si="10"/>
        <v/>
      </c>
      <c r="BX42" s="398" t="str">
        <f t="shared" si="11"/>
        <v/>
      </c>
      <c r="BY42" s="399"/>
    </row>
    <row r="43" spans="1:77" ht="15.95" customHeight="1">
      <c r="A43" s="385">
        <f>IF('Statement of Marks'!A47="","",'Statement of Marks'!A47)</f>
        <v>40</v>
      </c>
      <c r="B43" s="386" t="str">
        <f>IF('Statement of Marks'!B47="","",'Statement of Marks'!B47)</f>
        <v/>
      </c>
      <c r="C43" s="387" t="str">
        <f>IF('Statement of Marks'!C47="","",'Statement of Marks'!C47)</f>
        <v/>
      </c>
      <c r="D43" s="426" t="str">
        <f>IF('Statement of Marks'!D47="","",'Statement of Marks'!D47)</f>
        <v/>
      </c>
      <c r="E43" s="388" t="str">
        <f>IF('Statement of Marks'!E47="","",'Statement of Marks'!E47)</f>
        <v/>
      </c>
      <c r="F43" s="388" t="str">
        <f>IF('Statement of Marks'!F47="","",'Statement of Marks'!F47)</f>
        <v/>
      </c>
      <c r="G43" s="388" t="str">
        <f>IF('Statement of Marks'!G47="","",'Statement of Marks'!G47)</f>
        <v/>
      </c>
      <c r="H43" s="389" t="str">
        <f>IF('Statement of Marks'!H47="","",'Statement of Marks'!H47)</f>
        <v/>
      </c>
      <c r="I43" s="389" t="str">
        <f>IF('Statement of Marks'!I47="","",'Statement of Marks'!I47)</f>
        <v/>
      </c>
      <c r="J43" s="648" t="str">
        <f>IF('Statement of Marks'!GY47="","",'Statement of Marks'!GY47)</f>
        <v/>
      </c>
      <c r="K43" s="390" t="str">
        <f>IF(B43="","",IF('Statement of Marks'!GZ47="","",'Statement of Marks'!GZ47))</f>
        <v/>
      </c>
      <c r="L43" s="391" t="str">
        <f>IF('Statement of Marks'!HC47="","",'Statement of Marks'!HC47)</f>
        <v/>
      </c>
      <c r="M43" s="390" t="str">
        <f>IF('Statement of Marks'!HB47="","",'Statement of Marks'!HB47)</f>
        <v/>
      </c>
      <c r="N43" s="392" t="str">
        <f>IF(J43="FAIL","",IF('Statement of Marks'!GU47="","",'Statement of Marks'!GU47))</f>
        <v xml:space="preserve">    </v>
      </c>
      <c r="O43" s="393" t="str">
        <f>IF('Supp. Result Entry'!AS46="","",'Supp. Result Entry'!AS46)</f>
        <v/>
      </c>
      <c r="P43" s="394" t="str">
        <f>IF('Supp. Result Entry'!AT46="","",'Supp. Result Entry'!AT46)</f>
        <v/>
      </c>
      <c r="Q43" s="395" t="str">
        <f>IF('Statement of Marks'!HG47="","",'Statement of Marks'!HG47)</f>
        <v/>
      </c>
      <c r="R43" s="396" t="str">
        <f>IF('Statement of Marks'!FH47="","",'Statement of Marks'!FH47)</f>
        <v/>
      </c>
      <c r="BL43" s="397" t="str">
        <f>'Statement of Marks'!E47</f>
        <v/>
      </c>
      <c r="BM43" s="398" t="str">
        <f t="shared" si="0"/>
        <v/>
      </c>
      <c r="BN43" s="398" t="str">
        <f t="shared" si="1"/>
        <v/>
      </c>
      <c r="BO43" s="398" t="str">
        <f t="shared" si="2"/>
        <v/>
      </c>
      <c r="BP43" s="398" t="str">
        <f t="shared" si="3"/>
        <v/>
      </c>
      <c r="BQ43" s="398" t="str">
        <f t="shared" si="4"/>
        <v/>
      </c>
      <c r="BR43" s="398" t="str">
        <f t="shared" si="5"/>
        <v/>
      </c>
      <c r="BS43" s="398" t="str">
        <f t="shared" si="6"/>
        <v/>
      </c>
      <c r="BT43" s="398" t="str">
        <f t="shared" si="7"/>
        <v/>
      </c>
      <c r="BU43" s="398" t="str">
        <f t="shared" si="8"/>
        <v/>
      </c>
      <c r="BV43" s="398" t="str">
        <f t="shared" si="9"/>
        <v/>
      </c>
      <c r="BW43" s="398" t="str">
        <f t="shared" si="10"/>
        <v/>
      </c>
      <c r="BX43" s="398" t="str">
        <f t="shared" si="11"/>
        <v/>
      </c>
      <c r="BY43" s="399"/>
    </row>
    <row r="44" spans="1:77" ht="15.95" customHeight="1">
      <c r="A44" s="385">
        <f>IF('Statement of Marks'!A48="","",'Statement of Marks'!A48)</f>
        <v>41</v>
      </c>
      <c r="B44" s="386" t="str">
        <f>IF('Statement of Marks'!B48="","",'Statement of Marks'!B48)</f>
        <v/>
      </c>
      <c r="C44" s="387" t="str">
        <f>IF('Statement of Marks'!C48="","",'Statement of Marks'!C48)</f>
        <v/>
      </c>
      <c r="D44" s="426" t="str">
        <f>IF('Statement of Marks'!D48="","",'Statement of Marks'!D48)</f>
        <v/>
      </c>
      <c r="E44" s="388" t="str">
        <f>IF('Statement of Marks'!E48="","",'Statement of Marks'!E48)</f>
        <v/>
      </c>
      <c r="F44" s="388" t="str">
        <f>IF('Statement of Marks'!F48="","",'Statement of Marks'!F48)</f>
        <v/>
      </c>
      <c r="G44" s="388" t="str">
        <f>IF('Statement of Marks'!G48="","",'Statement of Marks'!G48)</f>
        <v/>
      </c>
      <c r="H44" s="389" t="str">
        <f>IF('Statement of Marks'!H48="","",'Statement of Marks'!H48)</f>
        <v/>
      </c>
      <c r="I44" s="389" t="str">
        <f>IF('Statement of Marks'!I48="","",'Statement of Marks'!I48)</f>
        <v/>
      </c>
      <c r="J44" s="648" t="str">
        <f>IF('Statement of Marks'!GY48="","",'Statement of Marks'!GY48)</f>
        <v/>
      </c>
      <c r="K44" s="390" t="str">
        <f>IF(B44="","",IF('Statement of Marks'!GZ48="","",'Statement of Marks'!GZ48))</f>
        <v/>
      </c>
      <c r="L44" s="391" t="str">
        <f>IF('Statement of Marks'!HC48="","",'Statement of Marks'!HC48)</f>
        <v/>
      </c>
      <c r="M44" s="390" t="str">
        <f>IF('Statement of Marks'!HB48="","",'Statement of Marks'!HB48)</f>
        <v/>
      </c>
      <c r="N44" s="392" t="str">
        <f>IF(J44="FAIL","",IF('Statement of Marks'!GU48="","",'Statement of Marks'!GU48))</f>
        <v xml:space="preserve">    </v>
      </c>
      <c r="O44" s="393" t="str">
        <f>IF('Supp. Result Entry'!AS47="","",'Supp. Result Entry'!AS47)</f>
        <v/>
      </c>
      <c r="P44" s="394" t="str">
        <f>IF('Supp. Result Entry'!AT47="","",'Supp. Result Entry'!AT47)</f>
        <v/>
      </c>
      <c r="Q44" s="395" t="str">
        <f>IF('Statement of Marks'!HG48="","",'Statement of Marks'!HG48)</f>
        <v/>
      </c>
      <c r="R44" s="396" t="str">
        <f>IF('Statement of Marks'!FH48="","",'Statement of Marks'!FH48)</f>
        <v/>
      </c>
      <c r="BL44" s="397" t="str">
        <f>'Statement of Marks'!E48</f>
        <v/>
      </c>
      <c r="BM44" s="398" t="str">
        <f t="shared" si="0"/>
        <v/>
      </c>
      <c r="BN44" s="398" t="str">
        <f t="shared" si="1"/>
        <v/>
      </c>
      <c r="BO44" s="398" t="str">
        <f t="shared" si="2"/>
        <v/>
      </c>
      <c r="BP44" s="398" t="str">
        <f t="shared" si="3"/>
        <v/>
      </c>
      <c r="BQ44" s="398" t="str">
        <f t="shared" si="4"/>
        <v/>
      </c>
      <c r="BR44" s="398" t="str">
        <f t="shared" si="5"/>
        <v/>
      </c>
      <c r="BS44" s="398" t="str">
        <f t="shared" si="6"/>
        <v/>
      </c>
      <c r="BT44" s="398" t="str">
        <f t="shared" si="7"/>
        <v/>
      </c>
      <c r="BU44" s="398" t="str">
        <f t="shared" si="8"/>
        <v/>
      </c>
      <c r="BV44" s="398" t="str">
        <f t="shared" si="9"/>
        <v/>
      </c>
      <c r="BW44" s="398" t="str">
        <f t="shared" si="10"/>
        <v/>
      </c>
      <c r="BX44" s="398" t="str">
        <f t="shared" si="11"/>
        <v/>
      </c>
      <c r="BY44" s="399"/>
    </row>
    <row r="45" spans="1:77" ht="15.95" customHeight="1">
      <c r="A45" s="385">
        <f>IF('Statement of Marks'!A49="","",'Statement of Marks'!A49)</f>
        <v>42</v>
      </c>
      <c r="B45" s="386" t="str">
        <f>IF('Statement of Marks'!B49="","",'Statement of Marks'!B49)</f>
        <v/>
      </c>
      <c r="C45" s="387" t="str">
        <f>IF('Statement of Marks'!C49="","",'Statement of Marks'!C49)</f>
        <v/>
      </c>
      <c r="D45" s="426" t="str">
        <f>IF('Statement of Marks'!D49="","",'Statement of Marks'!D49)</f>
        <v/>
      </c>
      <c r="E45" s="388" t="str">
        <f>IF('Statement of Marks'!E49="","",'Statement of Marks'!E49)</f>
        <v/>
      </c>
      <c r="F45" s="388" t="str">
        <f>IF('Statement of Marks'!F49="","",'Statement of Marks'!F49)</f>
        <v/>
      </c>
      <c r="G45" s="388" t="str">
        <f>IF('Statement of Marks'!G49="","",'Statement of Marks'!G49)</f>
        <v/>
      </c>
      <c r="H45" s="389" t="str">
        <f>IF('Statement of Marks'!H49="","",'Statement of Marks'!H49)</f>
        <v/>
      </c>
      <c r="I45" s="389" t="str">
        <f>IF('Statement of Marks'!I49="","",'Statement of Marks'!I49)</f>
        <v/>
      </c>
      <c r="J45" s="648" t="str">
        <f>IF('Statement of Marks'!GY49="","",'Statement of Marks'!GY49)</f>
        <v/>
      </c>
      <c r="K45" s="390" t="str">
        <f>IF(B45="","",IF('Statement of Marks'!GZ49="","",'Statement of Marks'!GZ49))</f>
        <v/>
      </c>
      <c r="L45" s="391" t="str">
        <f>IF('Statement of Marks'!HC49="","",'Statement of Marks'!HC49)</f>
        <v/>
      </c>
      <c r="M45" s="390" t="str">
        <f>IF('Statement of Marks'!HB49="","",'Statement of Marks'!HB49)</f>
        <v/>
      </c>
      <c r="N45" s="392" t="str">
        <f>IF(J45="FAIL","",IF('Statement of Marks'!GU49="","",'Statement of Marks'!GU49))</f>
        <v xml:space="preserve">    </v>
      </c>
      <c r="O45" s="393" t="str">
        <f>IF('Supp. Result Entry'!AS48="","",'Supp. Result Entry'!AS48)</f>
        <v/>
      </c>
      <c r="P45" s="394" t="str">
        <f>IF('Supp. Result Entry'!AT48="","",'Supp. Result Entry'!AT48)</f>
        <v/>
      </c>
      <c r="Q45" s="395" t="str">
        <f>IF('Statement of Marks'!HG49="","",'Statement of Marks'!HG49)</f>
        <v/>
      </c>
      <c r="R45" s="396" t="str">
        <f>IF('Statement of Marks'!FH49="","",'Statement of Marks'!FH49)</f>
        <v/>
      </c>
      <c r="BL45" s="397" t="str">
        <f>'Statement of Marks'!E49</f>
        <v/>
      </c>
      <c r="BM45" s="398" t="str">
        <f t="shared" si="0"/>
        <v/>
      </c>
      <c r="BN45" s="398" t="str">
        <f t="shared" si="1"/>
        <v/>
      </c>
      <c r="BO45" s="398" t="str">
        <f t="shared" si="2"/>
        <v/>
      </c>
      <c r="BP45" s="398" t="str">
        <f t="shared" si="3"/>
        <v/>
      </c>
      <c r="BQ45" s="398" t="str">
        <f t="shared" si="4"/>
        <v/>
      </c>
      <c r="BR45" s="398" t="str">
        <f t="shared" si="5"/>
        <v/>
      </c>
      <c r="BS45" s="398" t="str">
        <f t="shared" si="6"/>
        <v/>
      </c>
      <c r="BT45" s="398" t="str">
        <f t="shared" si="7"/>
        <v/>
      </c>
      <c r="BU45" s="398" t="str">
        <f t="shared" si="8"/>
        <v/>
      </c>
      <c r="BV45" s="398" t="str">
        <f t="shared" si="9"/>
        <v/>
      </c>
      <c r="BW45" s="398" t="str">
        <f t="shared" si="10"/>
        <v/>
      </c>
      <c r="BX45" s="398" t="str">
        <f t="shared" si="11"/>
        <v/>
      </c>
      <c r="BY45" s="399"/>
    </row>
    <row r="46" spans="1:77" ht="15.95" customHeight="1">
      <c r="A46" s="385">
        <f>IF('Statement of Marks'!A50="","",'Statement of Marks'!A50)</f>
        <v>43</v>
      </c>
      <c r="B46" s="386" t="str">
        <f>IF('Statement of Marks'!B50="","",'Statement of Marks'!B50)</f>
        <v/>
      </c>
      <c r="C46" s="387" t="str">
        <f>IF('Statement of Marks'!C50="","",'Statement of Marks'!C50)</f>
        <v/>
      </c>
      <c r="D46" s="426" t="str">
        <f>IF('Statement of Marks'!D50="","",'Statement of Marks'!D50)</f>
        <v/>
      </c>
      <c r="E46" s="388" t="str">
        <f>IF('Statement of Marks'!E50="","",'Statement of Marks'!E50)</f>
        <v/>
      </c>
      <c r="F46" s="388" t="str">
        <f>IF('Statement of Marks'!F50="","",'Statement of Marks'!F50)</f>
        <v/>
      </c>
      <c r="G46" s="388" t="str">
        <f>IF('Statement of Marks'!G50="","",'Statement of Marks'!G50)</f>
        <v/>
      </c>
      <c r="H46" s="389" t="str">
        <f>IF('Statement of Marks'!H50="","",'Statement of Marks'!H50)</f>
        <v/>
      </c>
      <c r="I46" s="389" t="str">
        <f>IF('Statement of Marks'!I50="","",'Statement of Marks'!I50)</f>
        <v/>
      </c>
      <c r="J46" s="648" t="str">
        <f>IF('Statement of Marks'!GY50="","",'Statement of Marks'!GY50)</f>
        <v/>
      </c>
      <c r="K46" s="390" t="str">
        <f>IF(B46="","",IF('Statement of Marks'!GZ50="","",'Statement of Marks'!GZ50))</f>
        <v/>
      </c>
      <c r="L46" s="391" t="str">
        <f>IF('Statement of Marks'!HC50="","",'Statement of Marks'!HC50)</f>
        <v/>
      </c>
      <c r="M46" s="390" t="str">
        <f>IF('Statement of Marks'!HB50="","",'Statement of Marks'!HB50)</f>
        <v/>
      </c>
      <c r="N46" s="392" t="str">
        <f>IF(J46="FAIL","",IF('Statement of Marks'!GU50="","",'Statement of Marks'!GU50))</f>
        <v xml:space="preserve">    </v>
      </c>
      <c r="O46" s="393" t="str">
        <f>IF('Supp. Result Entry'!AS49="","",'Supp. Result Entry'!AS49)</f>
        <v/>
      </c>
      <c r="P46" s="394" t="str">
        <f>IF('Supp. Result Entry'!AT49="","",'Supp. Result Entry'!AT49)</f>
        <v/>
      </c>
      <c r="Q46" s="395" t="str">
        <f>IF('Statement of Marks'!HG50="","",'Statement of Marks'!HG50)</f>
        <v/>
      </c>
      <c r="R46" s="396" t="str">
        <f>IF('Statement of Marks'!FH50="","",'Statement of Marks'!FH50)</f>
        <v/>
      </c>
      <c r="BL46" s="397" t="str">
        <f>'Statement of Marks'!E50</f>
        <v/>
      </c>
      <c r="BM46" s="398" t="str">
        <f t="shared" si="0"/>
        <v/>
      </c>
      <c r="BN46" s="398" t="str">
        <f t="shared" si="1"/>
        <v/>
      </c>
      <c r="BO46" s="398" t="str">
        <f t="shared" si="2"/>
        <v/>
      </c>
      <c r="BP46" s="398" t="str">
        <f t="shared" si="3"/>
        <v/>
      </c>
      <c r="BQ46" s="398" t="str">
        <f t="shared" si="4"/>
        <v/>
      </c>
      <c r="BR46" s="398" t="str">
        <f t="shared" si="5"/>
        <v/>
      </c>
      <c r="BS46" s="398" t="str">
        <f t="shared" si="6"/>
        <v/>
      </c>
      <c r="BT46" s="398" t="str">
        <f t="shared" si="7"/>
        <v/>
      </c>
      <c r="BU46" s="398" t="str">
        <f t="shared" si="8"/>
        <v/>
      </c>
      <c r="BV46" s="398" t="str">
        <f t="shared" si="9"/>
        <v/>
      </c>
      <c r="BW46" s="398" t="str">
        <f t="shared" si="10"/>
        <v/>
      </c>
      <c r="BX46" s="398" t="str">
        <f t="shared" si="11"/>
        <v/>
      </c>
      <c r="BY46" s="399"/>
    </row>
    <row r="47" spans="1:77" ht="15.95" customHeight="1">
      <c r="A47" s="385">
        <f>IF('Statement of Marks'!A51="","",'Statement of Marks'!A51)</f>
        <v>44</v>
      </c>
      <c r="B47" s="386" t="str">
        <f>IF('Statement of Marks'!B51="","",'Statement of Marks'!B51)</f>
        <v/>
      </c>
      <c r="C47" s="387" t="str">
        <f>IF('Statement of Marks'!C51="","",'Statement of Marks'!C51)</f>
        <v/>
      </c>
      <c r="D47" s="426" t="str">
        <f>IF('Statement of Marks'!D51="","",'Statement of Marks'!D51)</f>
        <v/>
      </c>
      <c r="E47" s="388" t="str">
        <f>IF('Statement of Marks'!E51="","",'Statement of Marks'!E51)</f>
        <v/>
      </c>
      <c r="F47" s="388" t="str">
        <f>IF('Statement of Marks'!F51="","",'Statement of Marks'!F51)</f>
        <v/>
      </c>
      <c r="G47" s="388" t="str">
        <f>IF('Statement of Marks'!G51="","",'Statement of Marks'!G51)</f>
        <v/>
      </c>
      <c r="H47" s="389" t="str">
        <f>IF('Statement of Marks'!H51="","",'Statement of Marks'!H51)</f>
        <v/>
      </c>
      <c r="I47" s="389" t="str">
        <f>IF('Statement of Marks'!I51="","",'Statement of Marks'!I51)</f>
        <v/>
      </c>
      <c r="J47" s="648" t="str">
        <f>IF('Statement of Marks'!GY51="","",'Statement of Marks'!GY51)</f>
        <v/>
      </c>
      <c r="K47" s="390" t="str">
        <f>IF(B47="","",IF('Statement of Marks'!GZ51="","",'Statement of Marks'!GZ51))</f>
        <v/>
      </c>
      <c r="L47" s="391" t="str">
        <f>IF('Statement of Marks'!HC51="","",'Statement of Marks'!HC51)</f>
        <v/>
      </c>
      <c r="M47" s="390" t="str">
        <f>IF('Statement of Marks'!HB51="","",'Statement of Marks'!HB51)</f>
        <v/>
      </c>
      <c r="N47" s="392" t="str">
        <f>IF(J47="FAIL","",IF('Statement of Marks'!GU51="","",'Statement of Marks'!GU51))</f>
        <v xml:space="preserve">    </v>
      </c>
      <c r="O47" s="393" t="str">
        <f>IF('Supp. Result Entry'!AS50="","",'Supp. Result Entry'!AS50)</f>
        <v/>
      </c>
      <c r="P47" s="394" t="str">
        <f>IF('Supp. Result Entry'!AT50="","",'Supp. Result Entry'!AT50)</f>
        <v/>
      </c>
      <c r="Q47" s="395" t="str">
        <f>IF('Statement of Marks'!HG51="","",'Statement of Marks'!HG51)</f>
        <v/>
      </c>
      <c r="R47" s="396" t="str">
        <f>IF('Statement of Marks'!FH51="","",'Statement of Marks'!FH51)</f>
        <v/>
      </c>
      <c r="BL47" s="397" t="str">
        <f>'Statement of Marks'!E51</f>
        <v/>
      </c>
      <c r="BM47" s="398" t="str">
        <f t="shared" si="0"/>
        <v/>
      </c>
      <c r="BN47" s="398" t="str">
        <f t="shared" si="1"/>
        <v/>
      </c>
      <c r="BO47" s="398" t="str">
        <f t="shared" si="2"/>
        <v/>
      </c>
      <c r="BP47" s="398" t="str">
        <f t="shared" si="3"/>
        <v/>
      </c>
      <c r="BQ47" s="398" t="str">
        <f t="shared" si="4"/>
        <v/>
      </c>
      <c r="BR47" s="398" t="str">
        <f t="shared" si="5"/>
        <v/>
      </c>
      <c r="BS47" s="398" t="str">
        <f t="shared" si="6"/>
        <v/>
      </c>
      <c r="BT47" s="398" t="str">
        <f t="shared" si="7"/>
        <v/>
      </c>
      <c r="BU47" s="398" t="str">
        <f t="shared" si="8"/>
        <v/>
      </c>
      <c r="BV47" s="398" t="str">
        <f t="shared" si="9"/>
        <v/>
      </c>
      <c r="BW47" s="398" t="str">
        <f t="shared" si="10"/>
        <v/>
      </c>
      <c r="BX47" s="398" t="str">
        <f t="shared" si="11"/>
        <v/>
      </c>
      <c r="BY47" s="399"/>
    </row>
    <row r="48" spans="1:77" ht="15.95" customHeight="1">
      <c r="A48" s="385">
        <f>IF('Statement of Marks'!A52="","",'Statement of Marks'!A52)</f>
        <v>45</v>
      </c>
      <c r="B48" s="386" t="str">
        <f>IF('Statement of Marks'!B52="","",'Statement of Marks'!B52)</f>
        <v/>
      </c>
      <c r="C48" s="387" t="str">
        <f>IF('Statement of Marks'!C52="","",'Statement of Marks'!C52)</f>
        <v/>
      </c>
      <c r="D48" s="426" t="str">
        <f>IF('Statement of Marks'!D52="","",'Statement of Marks'!D52)</f>
        <v/>
      </c>
      <c r="E48" s="388" t="str">
        <f>IF('Statement of Marks'!E52="","",'Statement of Marks'!E52)</f>
        <v/>
      </c>
      <c r="F48" s="388" t="str">
        <f>IF('Statement of Marks'!F52="","",'Statement of Marks'!F52)</f>
        <v/>
      </c>
      <c r="G48" s="388" t="str">
        <f>IF('Statement of Marks'!G52="","",'Statement of Marks'!G52)</f>
        <v/>
      </c>
      <c r="H48" s="389" t="str">
        <f>IF('Statement of Marks'!H52="","",'Statement of Marks'!H52)</f>
        <v/>
      </c>
      <c r="I48" s="389" t="str">
        <f>IF('Statement of Marks'!I52="","",'Statement of Marks'!I52)</f>
        <v/>
      </c>
      <c r="J48" s="648" t="str">
        <f>IF('Statement of Marks'!GY52="","",'Statement of Marks'!GY52)</f>
        <v/>
      </c>
      <c r="K48" s="390" t="str">
        <f>IF(B48="","",IF('Statement of Marks'!GZ52="","",'Statement of Marks'!GZ52))</f>
        <v/>
      </c>
      <c r="L48" s="391" t="str">
        <f>IF('Statement of Marks'!HC52="","",'Statement of Marks'!HC52)</f>
        <v/>
      </c>
      <c r="M48" s="390" t="str">
        <f>IF('Statement of Marks'!HB52="","",'Statement of Marks'!HB52)</f>
        <v/>
      </c>
      <c r="N48" s="392" t="str">
        <f>IF(J48="FAIL","",IF('Statement of Marks'!GU52="","",'Statement of Marks'!GU52))</f>
        <v xml:space="preserve">    </v>
      </c>
      <c r="O48" s="393" t="str">
        <f>IF('Supp. Result Entry'!AS51="","",'Supp. Result Entry'!AS51)</f>
        <v/>
      </c>
      <c r="P48" s="394" t="str">
        <f>IF('Supp. Result Entry'!AT51="","",'Supp. Result Entry'!AT51)</f>
        <v/>
      </c>
      <c r="Q48" s="395" t="str">
        <f>IF('Statement of Marks'!HG52="","",'Statement of Marks'!HG52)</f>
        <v/>
      </c>
      <c r="R48" s="396" t="str">
        <f>IF('Statement of Marks'!FH52="","",'Statement of Marks'!FH52)</f>
        <v/>
      </c>
      <c r="BL48" s="397" t="str">
        <f>'Statement of Marks'!E52</f>
        <v/>
      </c>
      <c r="BM48" s="398" t="str">
        <f t="shared" si="0"/>
        <v/>
      </c>
      <c r="BN48" s="398" t="str">
        <f t="shared" si="1"/>
        <v/>
      </c>
      <c r="BO48" s="398" t="str">
        <f t="shared" si="2"/>
        <v/>
      </c>
      <c r="BP48" s="398" t="str">
        <f t="shared" si="3"/>
        <v/>
      </c>
      <c r="BQ48" s="398" t="str">
        <f t="shared" si="4"/>
        <v/>
      </c>
      <c r="BR48" s="398" t="str">
        <f t="shared" si="5"/>
        <v/>
      </c>
      <c r="BS48" s="398" t="str">
        <f t="shared" si="6"/>
        <v/>
      </c>
      <c r="BT48" s="398" t="str">
        <f t="shared" si="7"/>
        <v/>
      </c>
      <c r="BU48" s="398" t="str">
        <f t="shared" si="8"/>
        <v/>
      </c>
      <c r="BV48" s="398" t="str">
        <f t="shared" si="9"/>
        <v/>
      </c>
      <c r="BW48" s="398" t="str">
        <f t="shared" si="10"/>
        <v/>
      </c>
      <c r="BX48" s="398" t="str">
        <f t="shared" si="11"/>
        <v/>
      </c>
      <c r="BY48" s="399"/>
    </row>
    <row r="49" spans="1:77" ht="15.95" customHeight="1">
      <c r="A49" s="385">
        <f>IF('Statement of Marks'!A53="","",'Statement of Marks'!A53)</f>
        <v>46</v>
      </c>
      <c r="B49" s="386" t="str">
        <f>IF('Statement of Marks'!B53="","",'Statement of Marks'!B53)</f>
        <v/>
      </c>
      <c r="C49" s="387" t="str">
        <f>IF('Statement of Marks'!C53="","",'Statement of Marks'!C53)</f>
        <v/>
      </c>
      <c r="D49" s="426" t="str">
        <f>IF('Statement of Marks'!D53="","",'Statement of Marks'!D53)</f>
        <v/>
      </c>
      <c r="E49" s="388" t="str">
        <f>IF('Statement of Marks'!E53="","",'Statement of Marks'!E53)</f>
        <v/>
      </c>
      <c r="F49" s="388" t="str">
        <f>IF('Statement of Marks'!F53="","",'Statement of Marks'!F53)</f>
        <v/>
      </c>
      <c r="G49" s="388" t="str">
        <f>IF('Statement of Marks'!G53="","",'Statement of Marks'!G53)</f>
        <v/>
      </c>
      <c r="H49" s="389" t="str">
        <f>IF('Statement of Marks'!H53="","",'Statement of Marks'!H53)</f>
        <v/>
      </c>
      <c r="I49" s="389" t="str">
        <f>IF('Statement of Marks'!I53="","",'Statement of Marks'!I53)</f>
        <v/>
      </c>
      <c r="J49" s="648" t="str">
        <f>IF('Statement of Marks'!GY53="","",'Statement of Marks'!GY53)</f>
        <v/>
      </c>
      <c r="K49" s="390" t="str">
        <f>IF(B49="","",IF('Statement of Marks'!GZ53="","",'Statement of Marks'!GZ53))</f>
        <v/>
      </c>
      <c r="L49" s="391" t="str">
        <f>IF('Statement of Marks'!HC53="","",'Statement of Marks'!HC53)</f>
        <v/>
      </c>
      <c r="M49" s="390" t="str">
        <f>IF('Statement of Marks'!HB53="","",'Statement of Marks'!HB53)</f>
        <v/>
      </c>
      <c r="N49" s="392" t="str">
        <f>IF(J49="FAIL","",IF('Statement of Marks'!GU53="","",'Statement of Marks'!GU53))</f>
        <v xml:space="preserve">    </v>
      </c>
      <c r="O49" s="393" t="str">
        <f>IF('Supp. Result Entry'!AS52="","",'Supp. Result Entry'!AS52)</f>
        <v/>
      </c>
      <c r="P49" s="394" t="str">
        <f>IF('Supp. Result Entry'!AT52="","",'Supp. Result Entry'!AT52)</f>
        <v/>
      </c>
      <c r="Q49" s="395" t="str">
        <f>IF('Statement of Marks'!HG53="","",'Statement of Marks'!HG53)</f>
        <v/>
      </c>
      <c r="R49" s="396" t="str">
        <f>IF('Statement of Marks'!FH53="","",'Statement of Marks'!FH53)</f>
        <v/>
      </c>
      <c r="BL49" s="397" t="str">
        <f>'Statement of Marks'!E53</f>
        <v/>
      </c>
      <c r="BM49" s="398" t="str">
        <f t="shared" si="0"/>
        <v/>
      </c>
      <c r="BN49" s="398" t="str">
        <f t="shared" si="1"/>
        <v/>
      </c>
      <c r="BO49" s="398" t="str">
        <f t="shared" si="2"/>
        <v/>
      </c>
      <c r="BP49" s="398" t="str">
        <f t="shared" si="3"/>
        <v/>
      </c>
      <c r="BQ49" s="398" t="str">
        <f t="shared" si="4"/>
        <v/>
      </c>
      <c r="BR49" s="398" t="str">
        <f t="shared" si="5"/>
        <v/>
      </c>
      <c r="BS49" s="398" t="str">
        <f t="shared" si="6"/>
        <v/>
      </c>
      <c r="BT49" s="398" t="str">
        <f t="shared" si="7"/>
        <v/>
      </c>
      <c r="BU49" s="398" t="str">
        <f t="shared" si="8"/>
        <v/>
      </c>
      <c r="BV49" s="398" t="str">
        <f t="shared" si="9"/>
        <v/>
      </c>
      <c r="BW49" s="398" t="str">
        <f t="shared" si="10"/>
        <v/>
      </c>
      <c r="BX49" s="398" t="str">
        <f t="shared" si="11"/>
        <v/>
      </c>
      <c r="BY49" s="399"/>
    </row>
    <row r="50" spans="1:77" ht="15.95" customHeight="1">
      <c r="A50" s="385">
        <f>IF('Statement of Marks'!A54="","",'Statement of Marks'!A54)</f>
        <v>47</v>
      </c>
      <c r="B50" s="386" t="str">
        <f>IF('Statement of Marks'!B54="","",'Statement of Marks'!B54)</f>
        <v/>
      </c>
      <c r="C50" s="387" t="str">
        <f>IF('Statement of Marks'!C54="","",'Statement of Marks'!C54)</f>
        <v/>
      </c>
      <c r="D50" s="426" t="str">
        <f>IF('Statement of Marks'!D54="","",'Statement of Marks'!D54)</f>
        <v/>
      </c>
      <c r="E50" s="388" t="str">
        <f>IF('Statement of Marks'!E54="","",'Statement of Marks'!E54)</f>
        <v/>
      </c>
      <c r="F50" s="388" t="str">
        <f>IF('Statement of Marks'!F54="","",'Statement of Marks'!F54)</f>
        <v/>
      </c>
      <c r="G50" s="388" t="str">
        <f>IF('Statement of Marks'!G54="","",'Statement of Marks'!G54)</f>
        <v/>
      </c>
      <c r="H50" s="389" t="str">
        <f>IF('Statement of Marks'!H54="","",'Statement of Marks'!H54)</f>
        <v/>
      </c>
      <c r="I50" s="389" t="str">
        <f>IF('Statement of Marks'!I54="","",'Statement of Marks'!I54)</f>
        <v/>
      </c>
      <c r="J50" s="648" t="str">
        <f>IF('Statement of Marks'!GY54="","",'Statement of Marks'!GY54)</f>
        <v/>
      </c>
      <c r="K50" s="390" t="str">
        <f>IF(B50="","",IF('Statement of Marks'!GZ54="","",'Statement of Marks'!GZ54))</f>
        <v/>
      </c>
      <c r="L50" s="391" t="str">
        <f>IF('Statement of Marks'!HC54="","",'Statement of Marks'!HC54)</f>
        <v/>
      </c>
      <c r="M50" s="390" t="str">
        <f>IF('Statement of Marks'!HB54="","",'Statement of Marks'!HB54)</f>
        <v/>
      </c>
      <c r="N50" s="392" t="str">
        <f>IF(J50="FAIL","",IF('Statement of Marks'!GU54="","",'Statement of Marks'!GU54))</f>
        <v xml:space="preserve">    </v>
      </c>
      <c r="O50" s="393" t="str">
        <f>IF('Supp. Result Entry'!AS53="","",'Supp. Result Entry'!AS53)</f>
        <v/>
      </c>
      <c r="P50" s="394" t="str">
        <f>IF('Supp. Result Entry'!AT53="","",'Supp. Result Entry'!AT53)</f>
        <v/>
      </c>
      <c r="Q50" s="395" t="str">
        <f>IF('Statement of Marks'!HG54="","",'Statement of Marks'!HG54)</f>
        <v/>
      </c>
      <c r="R50" s="396" t="str">
        <f>IF('Statement of Marks'!FH54="","",'Statement of Marks'!FH54)</f>
        <v/>
      </c>
      <c r="BL50" s="397" t="str">
        <f>'Statement of Marks'!E54</f>
        <v/>
      </c>
      <c r="BM50" s="398" t="str">
        <f t="shared" si="0"/>
        <v/>
      </c>
      <c r="BN50" s="398" t="str">
        <f t="shared" si="1"/>
        <v/>
      </c>
      <c r="BO50" s="398" t="str">
        <f t="shared" si="2"/>
        <v/>
      </c>
      <c r="BP50" s="398" t="str">
        <f t="shared" si="3"/>
        <v/>
      </c>
      <c r="BQ50" s="398" t="str">
        <f t="shared" si="4"/>
        <v/>
      </c>
      <c r="BR50" s="398" t="str">
        <f t="shared" si="5"/>
        <v/>
      </c>
      <c r="BS50" s="398" t="str">
        <f t="shared" si="6"/>
        <v/>
      </c>
      <c r="BT50" s="398" t="str">
        <f t="shared" si="7"/>
        <v/>
      </c>
      <c r="BU50" s="398" t="str">
        <f t="shared" si="8"/>
        <v/>
      </c>
      <c r="BV50" s="398" t="str">
        <f t="shared" si="9"/>
        <v/>
      </c>
      <c r="BW50" s="398" t="str">
        <f t="shared" si="10"/>
        <v/>
      </c>
      <c r="BX50" s="398" t="str">
        <f t="shared" si="11"/>
        <v/>
      </c>
      <c r="BY50" s="399"/>
    </row>
    <row r="51" spans="1:77" ht="15.95" customHeight="1">
      <c r="A51" s="385">
        <f>IF('Statement of Marks'!A55="","",'Statement of Marks'!A55)</f>
        <v>48</v>
      </c>
      <c r="B51" s="386" t="str">
        <f>IF('Statement of Marks'!B55="","",'Statement of Marks'!B55)</f>
        <v/>
      </c>
      <c r="C51" s="387" t="str">
        <f>IF('Statement of Marks'!C55="","",'Statement of Marks'!C55)</f>
        <v/>
      </c>
      <c r="D51" s="426" t="str">
        <f>IF('Statement of Marks'!D55="","",'Statement of Marks'!D55)</f>
        <v/>
      </c>
      <c r="E51" s="388" t="str">
        <f>IF('Statement of Marks'!E55="","",'Statement of Marks'!E55)</f>
        <v/>
      </c>
      <c r="F51" s="388" t="str">
        <f>IF('Statement of Marks'!F55="","",'Statement of Marks'!F55)</f>
        <v/>
      </c>
      <c r="G51" s="388" t="str">
        <f>IF('Statement of Marks'!G55="","",'Statement of Marks'!G55)</f>
        <v/>
      </c>
      <c r="H51" s="389" t="str">
        <f>IF('Statement of Marks'!H55="","",'Statement of Marks'!H55)</f>
        <v/>
      </c>
      <c r="I51" s="389" t="str">
        <f>IF('Statement of Marks'!I55="","",'Statement of Marks'!I55)</f>
        <v/>
      </c>
      <c r="J51" s="648" t="str">
        <f>IF('Statement of Marks'!GY55="","",'Statement of Marks'!GY55)</f>
        <v/>
      </c>
      <c r="K51" s="390" t="str">
        <f>IF(B51="","",IF('Statement of Marks'!GZ55="","",'Statement of Marks'!GZ55))</f>
        <v/>
      </c>
      <c r="L51" s="391" t="str">
        <f>IF('Statement of Marks'!HC55="","",'Statement of Marks'!HC55)</f>
        <v/>
      </c>
      <c r="M51" s="390" t="str">
        <f>IF('Statement of Marks'!HB55="","",'Statement of Marks'!HB55)</f>
        <v/>
      </c>
      <c r="N51" s="392" t="str">
        <f>IF(J51="FAIL","",IF('Statement of Marks'!GU55="","",'Statement of Marks'!GU55))</f>
        <v xml:space="preserve">    </v>
      </c>
      <c r="O51" s="393" t="str">
        <f>IF('Supp. Result Entry'!AS54="","",'Supp. Result Entry'!AS54)</f>
        <v/>
      </c>
      <c r="P51" s="394" t="str">
        <f>IF('Supp. Result Entry'!AT54="","",'Supp. Result Entry'!AT54)</f>
        <v/>
      </c>
      <c r="Q51" s="395" t="str">
        <f>IF('Statement of Marks'!HG55="","",'Statement of Marks'!HG55)</f>
        <v/>
      </c>
      <c r="R51" s="396" t="str">
        <f>IF('Statement of Marks'!FH55="","",'Statement of Marks'!FH55)</f>
        <v/>
      </c>
      <c r="BL51" s="397" t="str">
        <f>'Statement of Marks'!E55</f>
        <v/>
      </c>
      <c r="BM51" s="398" t="str">
        <f t="shared" si="0"/>
        <v/>
      </c>
      <c r="BN51" s="398" t="str">
        <f t="shared" si="1"/>
        <v/>
      </c>
      <c r="BO51" s="398" t="str">
        <f t="shared" si="2"/>
        <v/>
      </c>
      <c r="BP51" s="398" t="str">
        <f t="shared" si="3"/>
        <v/>
      </c>
      <c r="BQ51" s="398" t="str">
        <f t="shared" si="4"/>
        <v/>
      </c>
      <c r="BR51" s="398" t="str">
        <f t="shared" si="5"/>
        <v/>
      </c>
      <c r="BS51" s="398" t="str">
        <f t="shared" si="6"/>
        <v/>
      </c>
      <c r="BT51" s="398" t="str">
        <f t="shared" si="7"/>
        <v/>
      </c>
      <c r="BU51" s="398" t="str">
        <f t="shared" si="8"/>
        <v/>
      </c>
      <c r="BV51" s="398" t="str">
        <f t="shared" si="9"/>
        <v/>
      </c>
      <c r="BW51" s="398" t="str">
        <f t="shared" si="10"/>
        <v/>
      </c>
      <c r="BX51" s="398" t="str">
        <f t="shared" si="11"/>
        <v/>
      </c>
      <c r="BY51" s="399"/>
    </row>
    <row r="52" spans="1:77" ht="15.95" customHeight="1">
      <c r="A52" s="385">
        <f>IF('Statement of Marks'!A56="","",'Statement of Marks'!A56)</f>
        <v>49</v>
      </c>
      <c r="B52" s="386" t="str">
        <f>IF('Statement of Marks'!B56="","",'Statement of Marks'!B56)</f>
        <v/>
      </c>
      <c r="C52" s="387" t="str">
        <f>IF('Statement of Marks'!C56="","",'Statement of Marks'!C56)</f>
        <v/>
      </c>
      <c r="D52" s="426" t="str">
        <f>IF('Statement of Marks'!D56="","",'Statement of Marks'!D56)</f>
        <v/>
      </c>
      <c r="E52" s="388" t="str">
        <f>IF('Statement of Marks'!E56="","",'Statement of Marks'!E56)</f>
        <v/>
      </c>
      <c r="F52" s="388" t="str">
        <f>IF('Statement of Marks'!F56="","",'Statement of Marks'!F56)</f>
        <v/>
      </c>
      <c r="G52" s="388" t="str">
        <f>IF('Statement of Marks'!G56="","",'Statement of Marks'!G56)</f>
        <v/>
      </c>
      <c r="H52" s="389" t="str">
        <f>IF('Statement of Marks'!H56="","",'Statement of Marks'!H56)</f>
        <v/>
      </c>
      <c r="I52" s="389" t="str">
        <f>IF('Statement of Marks'!I56="","",'Statement of Marks'!I56)</f>
        <v/>
      </c>
      <c r="J52" s="648" t="str">
        <f>IF('Statement of Marks'!GY56="","",'Statement of Marks'!GY56)</f>
        <v/>
      </c>
      <c r="K52" s="390" t="str">
        <f>IF(B52="","",IF('Statement of Marks'!GZ56="","",'Statement of Marks'!GZ56))</f>
        <v/>
      </c>
      <c r="L52" s="391" t="str">
        <f>IF('Statement of Marks'!HC56="","",'Statement of Marks'!HC56)</f>
        <v/>
      </c>
      <c r="M52" s="390" t="str">
        <f>IF('Statement of Marks'!HB56="","",'Statement of Marks'!HB56)</f>
        <v/>
      </c>
      <c r="N52" s="392" t="str">
        <f>IF(J52="FAIL","",IF('Statement of Marks'!GU56="","",'Statement of Marks'!GU56))</f>
        <v xml:space="preserve">    </v>
      </c>
      <c r="O52" s="393" t="str">
        <f>IF('Supp. Result Entry'!AS55="","",'Supp. Result Entry'!AS55)</f>
        <v/>
      </c>
      <c r="P52" s="394" t="str">
        <f>IF('Supp. Result Entry'!AT55="","",'Supp. Result Entry'!AT55)</f>
        <v/>
      </c>
      <c r="Q52" s="395" t="str">
        <f>IF('Statement of Marks'!HG56="","",'Statement of Marks'!HG56)</f>
        <v/>
      </c>
      <c r="R52" s="396" t="str">
        <f>IF('Statement of Marks'!FH56="","",'Statement of Marks'!FH56)</f>
        <v/>
      </c>
      <c r="BL52" s="397" t="str">
        <f>'Statement of Marks'!E56</f>
        <v/>
      </c>
      <c r="BM52" s="398" t="str">
        <f t="shared" si="0"/>
        <v/>
      </c>
      <c r="BN52" s="398" t="str">
        <f t="shared" si="1"/>
        <v/>
      </c>
      <c r="BO52" s="398" t="str">
        <f t="shared" si="2"/>
        <v/>
      </c>
      <c r="BP52" s="398" t="str">
        <f t="shared" si="3"/>
        <v/>
      </c>
      <c r="BQ52" s="398" t="str">
        <f t="shared" si="4"/>
        <v/>
      </c>
      <c r="BR52" s="398" t="str">
        <f t="shared" si="5"/>
        <v/>
      </c>
      <c r="BS52" s="398" t="str">
        <f t="shared" si="6"/>
        <v/>
      </c>
      <c r="BT52" s="398" t="str">
        <f t="shared" si="7"/>
        <v/>
      </c>
      <c r="BU52" s="398" t="str">
        <f t="shared" si="8"/>
        <v/>
      </c>
      <c r="BV52" s="398" t="str">
        <f t="shared" si="9"/>
        <v/>
      </c>
      <c r="BW52" s="398" t="str">
        <f t="shared" si="10"/>
        <v/>
      </c>
      <c r="BX52" s="398" t="str">
        <f t="shared" si="11"/>
        <v/>
      </c>
      <c r="BY52" s="399"/>
    </row>
    <row r="53" spans="1:77" ht="15.95" customHeight="1">
      <c r="A53" s="385">
        <f>IF('Statement of Marks'!A57="","",'Statement of Marks'!A57)</f>
        <v>50</v>
      </c>
      <c r="B53" s="386" t="str">
        <f>IF('Statement of Marks'!B57="","",'Statement of Marks'!B57)</f>
        <v/>
      </c>
      <c r="C53" s="387" t="str">
        <f>IF('Statement of Marks'!C57="","",'Statement of Marks'!C57)</f>
        <v/>
      </c>
      <c r="D53" s="426" t="str">
        <f>IF('Statement of Marks'!D57="","",'Statement of Marks'!D57)</f>
        <v/>
      </c>
      <c r="E53" s="388" t="str">
        <f>IF('Statement of Marks'!E57="","",'Statement of Marks'!E57)</f>
        <v/>
      </c>
      <c r="F53" s="388" t="str">
        <f>IF('Statement of Marks'!F57="","",'Statement of Marks'!F57)</f>
        <v/>
      </c>
      <c r="G53" s="388" t="str">
        <f>IF('Statement of Marks'!G57="","",'Statement of Marks'!G57)</f>
        <v/>
      </c>
      <c r="H53" s="389" t="str">
        <f>IF('Statement of Marks'!H57="","",'Statement of Marks'!H57)</f>
        <v/>
      </c>
      <c r="I53" s="389" t="str">
        <f>IF('Statement of Marks'!I57="","",'Statement of Marks'!I57)</f>
        <v/>
      </c>
      <c r="J53" s="648" t="str">
        <f>IF('Statement of Marks'!GY57="","",'Statement of Marks'!GY57)</f>
        <v/>
      </c>
      <c r="K53" s="390" t="str">
        <f>IF(B53="","",IF('Statement of Marks'!GZ57="","",'Statement of Marks'!GZ57))</f>
        <v/>
      </c>
      <c r="L53" s="391" t="str">
        <f>IF('Statement of Marks'!HC57="","",'Statement of Marks'!HC57)</f>
        <v/>
      </c>
      <c r="M53" s="390" t="str">
        <f>IF('Statement of Marks'!HB57="","",'Statement of Marks'!HB57)</f>
        <v/>
      </c>
      <c r="N53" s="392" t="str">
        <f>IF(J53="FAIL","",IF('Statement of Marks'!GU57="","",'Statement of Marks'!GU57))</f>
        <v xml:space="preserve">    </v>
      </c>
      <c r="O53" s="393" t="str">
        <f>IF('Supp. Result Entry'!AS56="","",'Supp. Result Entry'!AS56)</f>
        <v/>
      </c>
      <c r="P53" s="394" t="str">
        <f>IF('Supp. Result Entry'!AT56="","",'Supp. Result Entry'!AT56)</f>
        <v/>
      </c>
      <c r="Q53" s="395" t="str">
        <f>IF('Statement of Marks'!HG57="","",'Statement of Marks'!HG57)</f>
        <v/>
      </c>
      <c r="R53" s="396" t="str">
        <f>IF('Statement of Marks'!FH57="","",'Statement of Marks'!FH57)</f>
        <v/>
      </c>
      <c r="BL53" s="397" t="str">
        <f>'Statement of Marks'!E57</f>
        <v/>
      </c>
      <c r="BM53" s="398" t="str">
        <f t="shared" si="0"/>
        <v/>
      </c>
      <c r="BN53" s="398" t="str">
        <f t="shared" si="1"/>
        <v/>
      </c>
      <c r="BO53" s="398" t="str">
        <f t="shared" si="2"/>
        <v/>
      </c>
      <c r="BP53" s="398" t="str">
        <f t="shared" si="3"/>
        <v/>
      </c>
      <c r="BQ53" s="398" t="str">
        <f t="shared" si="4"/>
        <v/>
      </c>
      <c r="BR53" s="398" t="str">
        <f t="shared" si="5"/>
        <v/>
      </c>
      <c r="BS53" s="398" t="str">
        <f t="shared" si="6"/>
        <v/>
      </c>
      <c r="BT53" s="398" t="str">
        <f t="shared" si="7"/>
        <v/>
      </c>
      <c r="BU53" s="398" t="str">
        <f t="shared" si="8"/>
        <v/>
      </c>
      <c r="BV53" s="398" t="str">
        <f t="shared" si="9"/>
        <v/>
      </c>
      <c r="BW53" s="398" t="str">
        <f t="shared" si="10"/>
        <v/>
      </c>
      <c r="BX53" s="398" t="str">
        <f t="shared" si="11"/>
        <v/>
      </c>
      <c r="BY53" s="399"/>
    </row>
    <row r="54" spans="1:77" ht="15.95" customHeight="1">
      <c r="A54" s="385">
        <f>IF('Statement of Marks'!A58="","",'Statement of Marks'!A58)</f>
        <v>51</v>
      </c>
      <c r="B54" s="386" t="str">
        <f>IF('Statement of Marks'!B58="","",'Statement of Marks'!B58)</f>
        <v/>
      </c>
      <c r="C54" s="387" t="str">
        <f>IF('Statement of Marks'!C58="","",'Statement of Marks'!C58)</f>
        <v/>
      </c>
      <c r="D54" s="426" t="str">
        <f>IF('Statement of Marks'!D58="","",'Statement of Marks'!D58)</f>
        <v/>
      </c>
      <c r="E54" s="388" t="str">
        <f>IF('Statement of Marks'!E58="","",'Statement of Marks'!E58)</f>
        <v/>
      </c>
      <c r="F54" s="388" t="str">
        <f>IF('Statement of Marks'!F58="","",'Statement of Marks'!F58)</f>
        <v/>
      </c>
      <c r="G54" s="388" t="str">
        <f>IF('Statement of Marks'!G58="","",'Statement of Marks'!G58)</f>
        <v/>
      </c>
      <c r="H54" s="389" t="str">
        <f>IF('Statement of Marks'!H58="","",'Statement of Marks'!H58)</f>
        <v/>
      </c>
      <c r="I54" s="389" t="str">
        <f>IF('Statement of Marks'!I58="","",'Statement of Marks'!I58)</f>
        <v/>
      </c>
      <c r="J54" s="648" t="str">
        <f>IF('Statement of Marks'!GY58="","",'Statement of Marks'!GY58)</f>
        <v/>
      </c>
      <c r="K54" s="390" t="str">
        <f>IF(B54="","",IF('Statement of Marks'!GZ58="","",'Statement of Marks'!GZ58))</f>
        <v/>
      </c>
      <c r="L54" s="391" t="str">
        <f>IF('Statement of Marks'!HC58="","",'Statement of Marks'!HC58)</f>
        <v/>
      </c>
      <c r="M54" s="390" t="str">
        <f>IF('Statement of Marks'!HB58="","",'Statement of Marks'!HB58)</f>
        <v/>
      </c>
      <c r="N54" s="392" t="str">
        <f>IF(J54="FAIL","",IF('Statement of Marks'!GU58="","",'Statement of Marks'!GU58))</f>
        <v xml:space="preserve">    </v>
      </c>
      <c r="O54" s="393" t="str">
        <f>IF('Supp. Result Entry'!AS57="","",'Supp. Result Entry'!AS57)</f>
        <v/>
      </c>
      <c r="P54" s="394" t="str">
        <f>IF('Supp. Result Entry'!AT57="","",'Supp. Result Entry'!AT57)</f>
        <v/>
      </c>
      <c r="Q54" s="395" t="str">
        <f>IF('Statement of Marks'!HG58="","",'Statement of Marks'!HG58)</f>
        <v/>
      </c>
      <c r="R54" s="396" t="str">
        <f>IF('Statement of Marks'!FH58="","",'Statement of Marks'!FH58)</f>
        <v/>
      </c>
      <c r="BL54" s="397" t="str">
        <f>'Statement of Marks'!E58</f>
        <v/>
      </c>
      <c r="BM54" s="398" t="str">
        <f t="shared" si="0"/>
        <v/>
      </c>
      <c r="BN54" s="398" t="str">
        <f t="shared" si="1"/>
        <v/>
      </c>
      <c r="BO54" s="398" t="str">
        <f t="shared" si="2"/>
        <v/>
      </c>
      <c r="BP54" s="398" t="str">
        <f t="shared" si="3"/>
        <v/>
      </c>
      <c r="BQ54" s="398" t="str">
        <f t="shared" si="4"/>
        <v/>
      </c>
      <c r="BR54" s="398" t="str">
        <f t="shared" si="5"/>
        <v/>
      </c>
      <c r="BS54" s="398" t="str">
        <f t="shared" si="6"/>
        <v/>
      </c>
      <c r="BT54" s="398" t="str">
        <f t="shared" si="7"/>
        <v/>
      </c>
      <c r="BU54" s="398" t="str">
        <f t="shared" si="8"/>
        <v/>
      </c>
      <c r="BV54" s="398" t="str">
        <f t="shared" si="9"/>
        <v/>
      </c>
      <c r="BW54" s="398" t="str">
        <f t="shared" si="10"/>
        <v/>
      </c>
      <c r="BX54" s="398" t="str">
        <f t="shared" si="11"/>
        <v/>
      </c>
      <c r="BY54" s="399"/>
    </row>
    <row r="55" spans="1:77" ht="15.95" customHeight="1">
      <c r="A55" s="385">
        <f>IF('Statement of Marks'!A59="","",'Statement of Marks'!A59)</f>
        <v>52</v>
      </c>
      <c r="B55" s="386" t="str">
        <f>IF('Statement of Marks'!B59="","",'Statement of Marks'!B59)</f>
        <v/>
      </c>
      <c r="C55" s="387" t="str">
        <f>IF('Statement of Marks'!C59="","",'Statement of Marks'!C59)</f>
        <v/>
      </c>
      <c r="D55" s="426" t="str">
        <f>IF('Statement of Marks'!D59="","",'Statement of Marks'!D59)</f>
        <v/>
      </c>
      <c r="E55" s="388" t="str">
        <f>IF('Statement of Marks'!E59="","",'Statement of Marks'!E59)</f>
        <v/>
      </c>
      <c r="F55" s="388" t="str">
        <f>IF('Statement of Marks'!F59="","",'Statement of Marks'!F59)</f>
        <v/>
      </c>
      <c r="G55" s="388" t="str">
        <f>IF('Statement of Marks'!G59="","",'Statement of Marks'!G59)</f>
        <v/>
      </c>
      <c r="H55" s="389" t="str">
        <f>IF('Statement of Marks'!H59="","",'Statement of Marks'!H59)</f>
        <v/>
      </c>
      <c r="I55" s="389" t="str">
        <f>IF('Statement of Marks'!I59="","",'Statement of Marks'!I59)</f>
        <v/>
      </c>
      <c r="J55" s="648" t="str">
        <f>IF('Statement of Marks'!GY59="","",'Statement of Marks'!GY59)</f>
        <v/>
      </c>
      <c r="K55" s="390" t="str">
        <f>IF(B55="","",IF('Statement of Marks'!GZ59="","",'Statement of Marks'!GZ59))</f>
        <v/>
      </c>
      <c r="L55" s="391" t="str">
        <f>IF('Statement of Marks'!HC59="","",'Statement of Marks'!HC59)</f>
        <v/>
      </c>
      <c r="M55" s="390" t="str">
        <f>IF('Statement of Marks'!HB59="","",'Statement of Marks'!HB59)</f>
        <v/>
      </c>
      <c r="N55" s="392" t="str">
        <f>IF(J55="FAIL","",IF('Statement of Marks'!GU59="","",'Statement of Marks'!GU59))</f>
        <v xml:space="preserve">    </v>
      </c>
      <c r="O55" s="393" t="str">
        <f>IF('Supp. Result Entry'!AS58="","",'Supp. Result Entry'!AS58)</f>
        <v/>
      </c>
      <c r="P55" s="394" t="str">
        <f>IF('Supp. Result Entry'!AT58="","",'Supp. Result Entry'!AT58)</f>
        <v/>
      </c>
      <c r="Q55" s="395" t="str">
        <f>IF('Statement of Marks'!HG59="","",'Statement of Marks'!HG59)</f>
        <v/>
      </c>
      <c r="R55" s="396" t="str">
        <f>IF('Statement of Marks'!FH59="","",'Statement of Marks'!FH59)</f>
        <v/>
      </c>
      <c r="BL55" s="397" t="str">
        <f>'Statement of Marks'!E59</f>
        <v/>
      </c>
      <c r="BM55" s="398" t="str">
        <f t="shared" si="0"/>
        <v/>
      </c>
      <c r="BN55" s="398" t="str">
        <f t="shared" si="1"/>
        <v/>
      </c>
      <c r="BO55" s="398" t="str">
        <f t="shared" si="2"/>
        <v/>
      </c>
      <c r="BP55" s="398" t="str">
        <f t="shared" si="3"/>
        <v/>
      </c>
      <c r="BQ55" s="398" t="str">
        <f t="shared" si="4"/>
        <v/>
      </c>
      <c r="BR55" s="398" t="str">
        <f t="shared" si="5"/>
        <v/>
      </c>
      <c r="BS55" s="398" t="str">
        <f t="shared" si="6"/>
        <v/>
      </c>
      <c r="BT55" s="398" t="str">
        <f t="shared" si="7"/>
        <v/>
      </c>
      <c r="BU55" s="398" t="str">
        <f t="shared" si="8"/>
        <v/>
      </c>
      <c r="BV55" s="398" t="str">
        <f t="shared" si="9"/>
        <v/>
      </c>
      <c r="BW55" s="398" t="str">
        <f t="shared" si="10"/>
        <v/>
      </c>
      <c r="BX55" s="398" t="str">
        <f t="shared" si="11"/>
        <v/>
      </c>
      <c r="BY55" s="399"/>
    </row>
    <row r="56" spans="1:77" ht="15.95" customHeight="1">
      <c r="A56" s="385">
        <f>IF('Statement of Marks'!A60="","",'Statement of Marks'!A60)</f>
        <v>53</v>
      </c>
      <c r="B56" s="386" t="str">
        <f>IF('Statement of Marks'!B60="","",'Statement of Marks'!B60)</f>
        <v/>
      </c>
      <c r="C56" s="387" t="str">
        <f>IF('Statement of Marks'!C60="","",'Statement of Marks'!C60)</f>
        <v/>
      </c>
      <c r="D56" s="426" t="str">
        <f>IF('Statement of Marks'!D60="","",'Statement of Marks'!D60)</f>
        <v/>
      </c>
      <c r="E56" s="388" t="str">
        <f>IF('Statement of Marks'!E60="","",'Statement of Marks'!E60)</f>
        <v/>
      </c>
      <c r="F56" s="388" t="str">
        <f>IF('Statement of Marks'!F60="","",'Statement of Marks'!F60)</f>
        <v/>
      </c>
      <c r="G56" s="388" t="str">
        <f>IF('Statement of Marks'!G60="","",'Statement of Marks'!G60)</f>
        <v/>
      </c>
      <c r="H56" s="389" t="str">
        <f>IF('Statement of Marks'!H60="","",'Statement of Marks'!H60)</f>
        <v/>
      </c>
      <c r="I56" s="389" t="str">
        <f>IF('Statement of Marks'!I60="","",'Statement of Marks'!I60)</f>
        <v/>
      </c>
      <c r="J56" s="648" t="str">
        <f>IF('Statement of Marks'!GY60="","",'Statement of Marks'!GY60)</f>
        <v/>
      </c>
      <c r="K56" s="390" t="str">
        <f>IF(B56="","",IF('Statement of Marks'!GZ60="","",'Statement of Marks'!GZ60))</f>
        <v/>
      </c>
      <c r="L56" s="391" t="str">
        <f>IF('Statement of Marks'!HC60="","",'Statement of Marks'!HC60)</f>
        <v/>
      </c>
      <c r="M56" s="390" t="str">
        <f>IF('Statement of Marks'!HB60="","",'Statement of Marks'!HB60)</f>
        <v/>
      </c>
      <c r="N56" s="392" t="str">
        <f>IF(J56="FAIL","",IF('Statement of Marks'!GU60="","",'Statement of Marks'!GU60))</f>
        <v xml:space="preserve">    </v>
      </c>
      <c r="O56" s="393" t="str">
        <f>IF('Supp. Result Entry'!AS59="","",'Supp. Result Entry'!AS59)</f>
        <v/>
      </c>
      <c r="P56" s="394" t="str">
        <f>IF('Supp. Result Entry'!AT59="","",'Supp. Result Entry'!AT59)</f>
        <v/>
      </c>
      <c r="Q56" s="395" t="str">
        <f>IF('Statement of Marks'!HG60="","",'Statement of Marks'!HG60)</f>
        <v/>
      </c>
      <c r="R56" s="396" t="str">
        <f>IF('Statement of Marks'!FH60="","",'Statement of Marks'!FH60)</f>
        <v/>
      </c>
      <c r="BL56" s="397" t="str">
        <f>'Statement of Marks'!E60</f>
        <v/>
      </c>
      <c r="BM56" s="398" t="str">
        <f t="shared" si="0"/>
        <v/>
      </c>
      <c r="BN56" s="398" t="str">
        <f t="shared" si="1"/>
        <v/>
      </c>
      <c r="BO56" s="398" t="str">
        <f t="shared" si="2"/>
        <v/>
      </c>
      <c r="BP56" s="398" t="str">
        <f t="shared" si="3"/>
        <v/>
      </c>
      <c r="BQ56" s="398" t="str">
        <f t="shared" si="4"/>
        <v/>
      </c>
      <c r="BR56" s="398" t="str">
        <f t="shared" si="5"/>
        <v/>
      </c>
      <c r="BS56" s="398" t="str">
        <f t="shared" si="6"/>
        <v/>
      </c>
      <c r="BT56" s="398" t="str">
        <f t="shared" si="7"/>
        <v/>
      </c>
      <c r="BU56" s="398" t="str">
        <f t="shared" si="8"/>
        <v/>
      </c>
      <c r="BV56" s="398" t="str">
        <f t="shared" si="9"/>
        <v/>
      </c>
      <c r="BW56" s="398" t="str">
        <f t="shared" si="10"/>
        <v/>
      </c>
      <c r="BX56" s="398" t="str">
        <f t="shared" si="11"/>
        <v/>
      </c>
      <c r="BY56" s="399"/>
    </row>
    <row r="57" spans="1:77" ht="15.95" customHeight="1">
      <c r="A57" s="385">
        <f>IF('Statement of Marks'!A61="","",'Statement of Marks'!A61)</f>
        <v>54</v>
      </c>
      <c r="B57" s="386" t="str">
        <f>IF('Statement of Marks'!B61="","",'Statement of Marks'!B61)</f>
        <v/>
      </c>
      <c r="C57" s="387" t="str">
        <f>IF('Statement of Marks'!C61="","",'Statement of Marks'!C61)</f>
        <v/>
      </c>
      <c r="D57" s="426" t="str">
        <f>IF('Statement of Marks'!D61="","",'Statement of Marks'!D61)</f>
        <v/>
      </c>
      <c r="E57" s="388" t="str">
        <f>IF('Statement of Marks'!E61="","",'Statement of Marks'!E61)</f>
        <v/>
      </c>
      <c r="F57" s="388" t="str">
        <f>IF('Statement of Marks'!F61="","",'Statement of Marks'!F61)</f>
        <v/>
      </c>
      <c r="G57" s="388" t="str">
        <f>IF('Statement of Marks'!G61="","",'Statement of Marks'!G61)</f>
        <v/>
      </c>
      <c r="H57" s="389" t="str">
        <f>IF('Statement of Marks'!H61="","",'Statement of Marks'!H61)</f>
        <v/>
      </c>
      <c r="I57" s="389" t="str">
        <f>IF('Statement of Marks'!I61="","",'Statement of Marks'!I61)</f>
        <v/>
      </c>
      <c r="J57" s="648" t="str">
        <f>IF('Statement of Marks'!GY61="","",'Statement of Marks'!GY61)</f>
        <v/>
      </c>
      <c r="K57" s="390" t="str">
        <f>IF(B57="","",IF('Statement of Marks'!GZ61="","",'Statement of Marks'!GZ61))</f>
        <v/>
      </c>
      <c r="L57" s="391" t="str">
        <f>IF('Statement of Marks'!HC61="","",'Statement of Marks'!HC61)</f>
        <v/>
      </c>
      <c r="M57" s="390" t="str">
        <f>IF('Statement of Marks'!HB61="","",'Statement of Marks'!HB61)</f>
        <v/>
      </c>
      <c r="N57" s="392" t="str">
        <f>IF(J57="FAIL","",IF('Statement of Marks'!GU61="","",'Statement of Marks'!GU61))</f>
        <v xml:space="preserve">    </v>
      </c>
      <c r="O57" s="393" t="str">
        <f>IF('Supp. Result Entry'!AS60="","",'Supp. Result Entry'!AS60)</f>
        <v/>
      </c>
      <c r="P57" s="394" t="str">
        <f>IF('Supp. Result Entry'!AT60="","",'Supp. Result Entry'!AT60)</f>
        <v/>
      </c>
      <c r="Q57" s="395" t="str">
        <f>IF('Statement of Marks'!HG61="","",'Statement of Marks'!HG61)</f>
        <v/>
      </c>
      <c r="R57" s="396" t="str">
        <f>IF('Statement of Marks'!FH61="","",'Statement of Marks'!FH61)</f>
        <v/>
      </c>
      <c r="BL57" s="397" t="str">
        <f>'Statement of Marks'!E61</f>
        <v/>
      </c>
      <c r="BM57" s="398" t="str">
        <f t="shared" si="0"/>
        <v/>
      </c>
      <c r="BN57" s="398" t="str">
        <f t="shared" si="1"/>
        <v/>
      </c>
      <c r="BO57" s="398" t="str">
        <f t="shared" si="2"/>
        <v/>
      </c>
      <c r="BP57" s="398" t="str">
        <f t="shared" si="3"/>
        <v/>
      </c>
      <c r="BQ57" s="398" t="str">
        <f t="shared" si="4"/>
        <v/>
      </c>
      <c r="BR57" s="398" t="str">
        <f t="shared" si="5"/>
        <v/>
      </c>
      <c r="BS57" s="398" t="str">
        <f t="shared" si="6"/>
        <v/>
      </c>
      <c r="BT57" s="398" t="str">
        <f t="shared" si="7"/>
        <v/>
      </c>
      <c r="BU57" s="398" t="str">
        <f t="shared" si="8"/>
        <v/>
      </c>
      <c r="BV57" s="398" t="str">
        <f t="shared" si="9"/>
        <v/>
      </c>
      <c r="BW57" s="398" t="str">
        <f t="shared" si="10"/>
        <v/>
      </c>
      <c r="BX57" s="398" t="str">
        <f t="shared" si="11"/>
        <v/>
      </c>
      <c r="BY57" s="399"/>
    </row>
    <row r="58" spans="1:77" ht="15.95" customHeight="1">
      <c r="A58" s="385">
        <f>IF('Statement of Marks'!A62="","",'Statement of Marks'!A62)</f>
        <v>55</v>
      </c>
      <c r="B58" s="386" t="str">
        <f>IF('Statement of Marks'!B62="","",'Statement of Marks'!B62)</f>
        <v/>
      </c>
      <c r="C58" s="387" t="str">
        <f>IF('Statement of Marks'!C62="","",'Statement of Marks'!C62)</f>
        <v/>
      </c>
      <c r="D58" s="426" t="str">
        <f>IF('Statement of Marks'!D62="","",'Statement of Marks'!D62)</f>
        <v/>
      </c>
      <c r="E58" s="388" t="str">
        <f>IF('Statement of Marks'!E62="","",'Statement of Marks'!E62)</f>
        <v/>
      </c>
      <c r="F58" s="388" t="str">
        <f>IF('Statement of Marks'!F62="","",'Statement of Marks'!F62)</f>
        <v/>
      </c>
      <c r="G58" s="388" t="str">
        <f>IF('Statement of Marks'!G62="","",'Statement of Marks'!G62)</f>
        <v/>
      </c>
      <c r="H58" s="389" t="str">
        <f>IF('Statement of Marks'!H62="","",'Statement of Marks'!H62)</f>
        <v/>
      </c>
      <c r="I58" s="389" t="str">
        <f>IF('Statement of Marks'!I62="","",'Statement of Marks'!I62)</f>
        <v/>
      </c>
      <c r="J58" s="648" t="str">
        <f>IF('Statement of Marks'!GY62="","",'Statement of Marks'!GY62)</f>
        <v/>
      </c>
      <c r="K58" s="390" t="str">
        <f>IF(B58="","",IF('Statement of Marks'!GZ62="","",'Statement of Marks'!GZ62))</f>
        <v/>
      </c>
      <c r="L58" s="391" t="str">
        <f>IF('Statement of Marks'!HC62="","",'Statement of Marks'!HC62)</f>
        <v/>
      </c>
      <c r="M58" s="390" t="str">
        <f>IF('Statement of Marks'!HB62="","",'Statement of Marks'!HB62)</f>
        <v/>
      </c>
      <c r="N58" s="392" t="str">
        <f>IF(J58="FAIL","",IF('Statement of Marks'!GU62="","",'Statement of Marks'!GU62))</f>
        <v xml:space="preserve">    </v>
      </c>
      <c r="O58" s="393" t="str">
        <f>IF('Supp. Result Entry'!AS61="","",'Supp. Result Entry'!AS61)</f>
        <v/>
      </c>
      <c r="P58" s="394" t="str">
        <f>IF('Supp. Result Entry'!AT61="","",'Supp. Result Entry'!AT61)</f>
        <v/>
      </c>
      <c r="Q58" s="395" t="str">
        <f>IF('Statement of Marks'!HG62="","",'Statement of Marks'!HG62)</f>
        <v/>
      </c>
      <c r="R58" s="396" t="str">
        <f>IF('Statement of Marks'!FH62="","",'Statement of Marks'!FH62)</f>
        <v/>
      </c>
      <c r="BL58" s="397" t="str">
        <f>'Statement of Marks'!E62</f>
        <v/>
      </c>
      <c r="BM58" s="398" t="str">
        <f t="shared" si="0"/>
        <v/>
      </c>
      <c r="BN58" s="398" t="str">
        <f t="shared" si="1"/>
        <v/>
      </c>
      <c r="BO58" s="398" t="str">
        <f t="shared" si="2"/>
        <v/>
      </c>
      <c r="BP58" s="398" t="str">
        <f t="shared" si="3"/>
        <v/>
      </c>
      <c r="BQ58" s="398" t="str">
        <f t="shared" si="4"/>
        <v/>
      </c>
      <c r="BR58" s="398" t="str">
        <f t="shared" si="5"/>
        <v/>
      </c>
      <c r="BS58" s="398" t="str">
        <f t="shared" si="6"/>
        <v/>
      </c>
      <c r="BT58" s="398" t="str">
        <f t="shared" si="7"/>
        <v/>
      </c>
      <c r="BU58" s="398" t="str">
        <f t="shared" si="8"/>
        <v/>
      </c>
      <c r="BV58" s="398" t="str">
        <f t="shared" si="9"/>
        <v/>
      </c>
      <c r="BW58" s="398" t="str">
        <f t="shared" si="10"/>
        <v/>
      </c>
      <c r="BX58" s="398" t="str">
        <f t="shared" si="11"/>
        <v/>
      </c>
      <c r="BY58" s="399"/>
    </row>
    <row r="59" spans="1:77" ht="15.95" customHeight="1">
      <c r="A59" s="385">
        <f>IF('Statement of Marks'!A63="","",'Statement of Marks'!A63)</f>
        <v>56</v>
      </c>
      <c r="B59" s="386" t="str">
        <f>IF('Statement of Marks'!B63="","",'Statement of Marks'!B63)</f>
        <v/>
      </c>
      <c r="C59" s="387" t="str">
        <f>IF('Statement of Marks'!C63="","",'Statement of Marks'!C63)</f>
        <v/>
      </c>
      <c r="D59" s="426" t="str">
        <f>IF('Statement of Marks'!D63="","",'Statement of Marks'!D63)</f>
        <v/>
      </c>
      <c r="E59" s="388" t="str">
        <f>IF('Statement of Marks'!E63="","",'Statement of Marks'!E63)</f>
        <v/>
      </c>
      <c r="F59" s="388" t="str">
        <f>IF('Statement of Marks'!F63="","",'Statement of Marks'!F63)</f>
        <v/>
      </c>
      <c r="G59" s="388" t="str">
        <f>IF('Statement of Marks'!G63="","",'Statement of Marks'!G63)</f>
        <v/>
      </c>
      <c r="H59" s="389" t="str">
        <f>IF('Statement of Marks'!H63="","",'Statement of Marks'!H63)</f>
        <v/>
      </c>
      <c r="I59" s="389" t="str">
        <f>IF('Statement of Marks'!I63="","",'Statement of Marks'!I63)</f>
        <v/>
      </c>
      <c r="J59" s="648" t="str">
        <f>IF('Statement of Marks'!GY63="","",'Statement of Marks'!GY63)</f>
        <v/>
      </c>
      <c r="K59" s="390" t="str">
        <f>IF(B59="","",IF('Statement of Marks'!GZ63="","",'Statement of Marks'!GZ63))</f>
        <v/>
      </c>
      <c r="L59" s="391" t="str">
        <f>IF('Statement of Marks'!HC63="","",'Statement of Marks'!HC63)</f>
        <v/>
      </c>
      <c r="M59" s="390" t="str">
        <f>IF('Statement of Marks'!HB63="","",'Statement of Marks'!HB63)</f>
        <v/>
      </c>
      <c r="N59" s="392" t="str">
        <f>IF(J59="FAIL","",IF('Statement of Marks'!GU63="","",'Statement of Marks'!GU63))</f>
        <v xml:space="preserve">    </v>
      </c>
      <c r="O59" s="393" t="str">
        <f>IF('Supp. Result Entry'!AS62="","",'Supp. Result Entry'!AS62)</f>
        <v/>
      </c>
      <c r="P59" s="394" t="str">
        <f>IF('Supp. Result Entry'!AT62="","",'Supp. Result Entry'!AT62)</f>
        <v/>
      </c>
      <c r="Q59" s="395" t="str">
        <f>IF('Statement of Marks'!HG63="","",'Statement of Marks'!HG63)</f>
        <v/>
      </c>
      <c r="R59" s="396" t="str">
        <f>IF('Statement of Marks'!FH63="","",'Statement of Marks'!FH63)</f>
        <v/>
      </c>
      <c r="BL59" s="397" t="str">
        <f>'Statement of Marks'!E63</f>
        <v/>
      </c>
      <c r="BM59" s="398" t="str">
        <f t="shared" si="0"/>
        <v/>
      </c>
      <c r="BN59" s="398" t="str">
        <f t="shared" si="1"/>
        <v/>
      </c>
      <c r="BO59" s="398" t="str">
        <f t="shared" si="2"/>
        <v/>
      </c>
      <c r="BP59" s="398" t="str">
        <f t="shared" si="3"/>
        <v/>
      </c>
      <c r="BQ59" s="398" t="str">
        <f t="shared" si="4"/>
        <v/>
      </c>
      <c r="BR59" s="398" t="str">
        <f t="shared" si="5"/>
        <v/>
      </c>
      <c r="BS59" s="398" t="str">
        <f t="shared" si="6"/>
        <v/>
      </c>
      <c r="BT59" s="398" t="str">
        <f t="shared" si="7"/>
        <v/>
      </c>
      <c r="BU59" s="398" t="str">
        <f t="shared" si="8"/>
        <v/>
      </c>
      <c r="BV59" s="398" t="str">
        <f t="shared" si="9"/>
        <v/>
      </c>
      <c r="BW59" s="398" t="str">
        <f t="shared" si="10"/>
        <v/>
      </c>
      <c r="BX59" s="398" t="str">
        <f t="shared" si="11"/>
        <v/>
      </c>
      <c r="BY59" s="399"/>
    </row>
    <row r="60" spans="1:77" ht="15.95" customHeight="1">
      <c r="A60" s="385">
        <f>IF('Statement of Marks'!A64="","",'Statement of Marks'!A64)</f>
        <v>57</v>
      </c>
      <c r="B60" s="386" t="str">
        <f>IF('Statement of Marks'!B64="","",'Statement of Marks'!B64)</f>
        <v/>
      </c>
      <c r="C60" s="387" t="str">
        <f>IF('Statement of Marks'!C64="","",'Statement of Marks'!C64)</f>
        <v/>
      </c>
      <c r="D60" s="426" t="str">
        <f>IF('Statement of Marks'!D64="","",'Statement of Marks'!D64)</f>
        <v/>
      </c>
      <c r="E60" s="388" t="str">
        <f>IF('Statement of Marks'!E64="","",'Statement of Marks'!E64)</f>
        <v/>
      </c>
      <c r="F60" s="388" t="str">
        <f>IF('Statement of Marks'!F64="","",'Statement of Marks'!F64)</f>
        <v/>
      </c>
      <c r="G60" s="388" t="str">
        <f>IF('Statement of Marks'!G64="","",'Statement of Marks'!G64)</f>
        <v/>
      </c>
      <c r="H60" s="389" t="str">
        <f>IF('Statement of Marks'!H64="","",'Statement of Marks'!H64)</f>
        <v/>
      </c>
      <c r="I60" s="389" t="str">
        <f>IF('Statement of Marks'!I64="","",'Statement of Marks'!I64)</f>
        <v/>
      </c>
      <c r="J60" s="648" t="str">
        <f>IF('Statement of Marks'!GY64="","",'Statement of Marks'!GY64)</f>
        <v/>
      </c>
      <c r="K60" s="390" t="str">
        <f>IF(B60="","",IF('Statement of Marks'!GZ64="","",'Statement of Marks'!GZ64))</f>
        <v/>
      </c>
      <c r="L60" s="391" t="str">
        <f>IF('Statement of Marks'!HC64="","",'Statement of Marks'!HC64)</f>
        <v/>
      </c>
      <c r="M60" s="390" t="str">
        <f>IF('Statement of Marks'!HB64="","",'Statement of Marks'!HB64)</f>
        <v/>
      </c>
      <c r="N60" s="392" t="str">
        <f>IF(J60="FAIL","",IF('Statement of Marks'!GU64="","",'Statement of Marks'!GU64))</f>
        <v xml:space="preserve">    </v>
      </c>
      <c r="O60" s="393" t="str">
        <f>IF('Supp. Result Entry'!AS63="","",'Supp. Result Entry'!AS63)</f>
        <v/>
      </c>
      <c r="P60" s="394" t="str">
        <f>IF('Supp. Result Entry'!AT63="","",'Supp. Result Entry'!AT63)</f>
        <v/>
      </c>
      <c r="Q60" s="395" t="str">
        <f>IF('Statement of Marks'!HG64="","",'Statement of Marks'!HG64)</f>
        <v/>
      </c>
      <c r="R60" s="396" t="str">
        <f>IF('Statement of Marks'!FH64="","",'Statement of Marks'!FH64)</f>
        <v/>
      </c>
      <c r="BL60" s="397" t="str">
        <f>'Statement of Marks'!E64</f>
        <v/>
      </c>
      <c r="BM60" s="398" t="str">
        <f t="shared" si="0"/>
        <v/>
      </c>
      <c r="BN60" s="398" t="str">
        <f t="shared" si="1"/>
        <v/>
      </c>
      <c r="BO60" s="398" t="str">
        <f t="shared" si="2"/>
        <v/>
      </c>
      <c r="BP60" s="398" t="str">
        <f t="shared" si="3"/>
        <v/>
      </c>
      <c r="BQ60" s="398" t="str">
        <f t="shared" si="4"/>
        <v/>
      </c>
      <c r="BR60" s="398" t="str">
        <f t="shared" si="5"/>
        <v/>
      </c>
      <c r="BS60" s="398" t="str">
        <f t="shared" si="6"/>
        <v/>
      </c>
      <c r="BT60" s="398" t="str">
        <f t="shared" si="7"/>
        <v/>
      </c>
      <c r="BU60" s="398" t="str">
        <f t="shared" si="8"/>
        <v/>
      </c>
      <c r="BV60" s="398" t="str">
        <f t="shared" si="9"/>
        <v/>
      </c>
      <c r="BW60" s="398" t="str">
        <f t="shared" si="10"/>
        <v/>
      </c>
      <c r="BX60" s="398" t="str">
        <f t="shared" si="11"/>
        <v/>
      </c>
      <c r="BY60" s="399"/>
    </row>
    <row r="61" spans="1:77" ht="15.95" customHeight="1">
      <c r="A61" s="385">
        <f>IF('Statement of Marks'!A65="","",'Statement of Marks'!A65)</f>
        <v>58</v>
      </c>
      <c r="B61" s="386" t="str">
        <f>IF('Statement of Marks'!B65="","",'Statement of Marks'!B65)</f>
        <v/>
      </c>
      <c r="C61" s="387" t="str">
        <f>IF('Statement of Marks'!C65="","",'Statement of Marks'!C65)</f>
        <v/>
      </c>
      <c r="D61" s="426" t="str">
        <f>IF('Statement of Marks'!D65="","",'Statement of Marks'!D65)</f>
        <v/>
      </c>
      <c r="E61" s="388" t="str">
        <f>IF('Statement of Marks'!E65="","",'Statement of Marks'!E65)</f>
        <v/>
      </c>
      <c r="F61" s="388" t="str">
        <f>IF('Statement of Marks'!F65="","",'Statement of Marks'!F65)</f>
        <v/>
      </c>
      <c r="G61" s="388" t="str">
        <f>IF('Statement of Marks'!G65="","",'Statement of Marks'!G65)</f>
        <v/>
      </c>
      <c r="H61" s="389" t="str">
        <f>IF('Statement of Marks'!H65="","",'Statement of Marks'!H65)</f>
        <v/>
      </c>
      <c r="I61" s="389" t="str">
        <f>IF('Statement of Marks'!I65="","",'Statement of Marks'!I65)</f>
        <v/>
      </c>
      <c r="J61" s="648" t="str">
        <f>IF('Statement of Marks'!GY65="","",'Statement of Marks'!GY65)</f>
        <v/>
      </c>
      <c r="K61" s="390" t="str">
        <f>IF(B61="","",IF('Statement of Marks'!GZ65="","",'Statement of Marks'!GZ65))</f>
        <v/>
      </c>
      <c r="L61" s="391" t="str">
        <f>IF('Statement of Marks'!HC65="","",'Statement of Marks'!HC65)</f>
        <v/>
      </c>
      <c r="M61" s="390" t="str">
        <f>IF('Statement of Marks'!HB65="","",'Statement of Marks'!HB65)</f>
        <v/>
      </c>
      <c r="N61" s="392" t="str">
        <f>IF(J61="FAIL","",IF('Statement of Marks'!GU65="","",'Statement of Marks'!GU65))</f>
        <v xml:space="preserve">    </v>
      </c>
      <c r="O61" s="393" t="str">
        <f>IF('Supp. Result Entry'!AS64="","",'Supp. Result Entry'!AS64)</f>
        <v/>
      </c>
      <c r="P61" s="394" t="str">
        <f>IF('Supp. Result Entry'!AT64="","",'Supp. Result Entry'!AT64)</f>
        <v/>
      </c>
      <c r="Q61" s="395" t="str">
        <f>IF('Statement of Marks'!HG65="","",'Statement of Marks'!HG65)</f>
        <v/>
      </c>
      <c r="R61" s="396" t="str">
        <f>IF('Statement of Marks'!FH65="","",'Statement of Marks'!FH65)</f>
        <v/>
      </c>
      <c r="BL61" s="397" t="str">
        <f>'Statement of Marks'!E65</f>
        <v/>
      </c>
      <c r="BM61" s="398" t="str">
        <f t="shared" si="0"/>
        <v/>
      </c>
      <c r="BN61" s="398" t="str">
        <f t="shared" si="1"/>
        <v/>
      </c>
      <c r="BO61" s="398" t="str">
        <f t="shared" si="2"/>
        <v/>
      </c>
      <c r="BP61" s="398" t="str">
        <f t="shared" si="3"/>
        <v/>
      </c>
      <c r="BQ61" s="398" t="str">
        <f t="shared" si="4"/>
        <v/>
      </c>
      <c r="BR61" s="398" t="str">
        <f t="shared" si="5"/>
        <v/>
      </c>
      <c r="BS61" s="398" t="str">
        <f t="shared" si="6"/>
        <v/>
      </c>
      <c r="BT61" s="398" t="str">
        <f t="shared" si="7"/>
        <v/>
      </c>
      <c r="BU61" s="398" t="str">
        <f t="shared" si="8"/>
        <v/>
      </c>
      <c r="BV61" s="398" t="str">
        <f t="shared" si="9"/>
        <v/>
      </c>
      <c r="BW61" s="398" t="str">
        <f t="shared" si="10"/>
        <v/>
      </c>
      <c r="BX61" s="398" t="str">
        <f t="shared" si="11"/>
        <v/>
      </c>
      <c r="BY61" s="399"/>
    </row>
    <row r="62" spans="1:77" ht="15.95" customHeight="1">
      <c r="A62" s="385">
        <f>IF('Statement of Marks'!A66="","",'Statement of Marks'!A66)</f>
        <v>59</v>
      </c>
      <c r="B62" s="386" t="str">
        <f>IF('Statement of Marks'!B66="","",'Statement of Marks'!B66)</f>
        <v/>
      </c>
      <c r="C62" s="387" t="str">
        <f>IF('Statement of Marks'!C66="","",'Statement of Marks'!C66)</f>
        <v/>
      </c>
      <c r="D62" s="426" t="str">
        <f>IF('Statement of Marks'!D66="","",'Statement of Marks'!D66)</f>
        <v/>
      </c>
      <c r="E62" s="388" t="str">
        <f>IF('Statement of Marks'!E66="","",'Statement of Marks'!E66)</f>
        <v/>
      </c>
      <c r="F62" s="388" t="str">
        <f>IF('Statement of Marks'!F66="","",'Statement of Marks'!F66)</f>
        <v/>
      </c>
      <c r="G62" s="388" t="str">
        <f>IF('Statement of Marks'!G66="","",'Statement of Marks'!G66)</f>
        <v/>
      </c>
      <c r="H62" s="389" t="str">
        <f>IF('Statement of Marks'!H66="","",'Statement of Marks'!H66)</f>
        <v/>
      </c>
      <c r="I62" s="389" t="str">
        <f>IF('Statement of Marks'!I66="","",'Statement of Marks'!I66)</f>
        <v/>
      </c>
      <c r="J62" s="648" t="str">
        <f>IF('Statement of Marks'!GY66="","",'Statement of Marks'!GY66)</f>
        <v/>
      </c>
      <c r="K62" s="390" t="str">
        <f>IF(B62="","",IF('Statement of Marks'!GZ66="","",'Statement of Marks'!GZ66))</f>
        <v/>
      </c>
      <c r="L62" s="391" t="str">
        <f>IF('Statement of Marks'!HC66="","",'Statement of Marks'!HC66)</f>
        <v/>
      </c>
      <c r="M62" s="390" t="str">
        <f>IF('Statement of Marks'!HB66="","",'Statement of Marks'!HB66)</f>
        <v/>
      </c>
      <c r="N62" s="392" t="str">
        <f>IF(J62="FAIL","",IF('Statement of Marks'!GU66="","",'Statement of Marks'!GU66))</f>
        <v xml:space="preserve">    </v>
      </c>
      <c r="O62" s="393" t="str">
        <f>IF('Supp. Result Entry'!AS65="","",'Supp. Result Entry'!AS65)</f>
        <v/>
      </c>
      <c r="P62" s="394" t="str">
        <f>IF('Supp. Result Entry'!AT65="","",'Supp. Result Entry'!AT65)</f>
        <v/>
      </c>
      <c r="Q62" s="395" t="str">
        <f>IF('Statement of Marks'!HG66="","",'Statement of Marks'!HG66)</f>
        <v/>
      </c>
      <c r="R62" s="396" t="str">
        <f>IF('Statement of Marks'!FH66="","",'Statement of Marks'!FH66)</f>
        <v/>
      </c>
      <c r="BL62" s="397" t="str">
        <f>'Statement of Marks'!E66</f>
        <v/>
      </c>
      <c r="BM62" s="398" t="str">
        <f t="shared" si="0"/>
        <v/>
      </c>
      <c r="BN62" s="398" t="str">
        <f t="shared" si="1"/>
        <v/>
      </c>
      <c r="BO62" s="398" t="str">
        <f t="shared" si="2"/>
        <v/>
      </c>
      <c r="BP62" s="398" t="str">
        <f t="shared" si="3"/>
        <v/>
      </c>
      <c r="BQ62" s="398" t="str">
        <f t="shared" si="4"/>
        <v/>
      </c>
      <c r="BR62" s="398" t="str">
        <f t="shared" si="5"/>
        <v/>
      </c>
      <c r="BS62" s="398" t="str">
        <f t="shared" si="6"/>
        <v/>
      </c>
      <c r="BT62" s="398" t="str">
        <f t="shared" si="7"/>
        <v/>
      </c>
      <c r="BU62" s="398" t="str">
        <f t="shared" si="8"/>
        <v/>
      </c>
      <c r="BV62" s="398" t="str">
        <f t="shared" si="9"/>
        <v/>
      </c>
      <c r="BW62" s="398" t="str">
        <f t="shared" si="10"/>
        <v/>
      </c>
      <c r="BX62" s="398" t="str">
        <f t="shared" si="11"/>
        <v/>
      </c>
      <c r="BY62" s="399"/>
    </row>
    <row r="63" spans="1:77" ht="15.95" customHeight="1">
      <c r="A63" s="385">
        <f>IF('Statement of Marks'!A67="","",'Statement of Marks'!A67)</f>
        <v>60</v>
      </c>
      <c r="B63" s="386" t="str">
        <f>IF('Statement of Marks'!B67="","",'Statement of Marks'!B67)</f>
        <v/>
      </c>
      <c r="C63" s="387" t="str">
        <f>IF('Statement of Marks'!C67="","",'Statement of Marks'!C67)</f>
        <v/>
      </c>
      <c r="D63" s="426" t="str">
        <f>IF('Statement of Marks'!D67="","",'Statement of Marks'!D67)</f>
        <v/>
      </c>
      <c r="E63" s="388" t="str">
        <f>IF('Statement of Marks'!E67="","",'Statement of Marks'!E67)</f>
        <v/>
      </c>
      <c r="F63" s="388" t="str">
        <f>IF('Statement of Marks'!F67="","",'Statement of Marks'!F67)</f>
        <v/>
      </c>
      <c r="G63" s="388" t="str">
        <f>IF('Statement of Marks'!G67="","",'Statement of Marks'!G67)</f>
        <v/>
      </c>
      <c r="H63" s="389" t="str">
        <f>IF('Statement of Marks'!H67="","",'Statement of Marks'!H67)</f>
        <v/>
      </c>
      <c r="I63" s="389" t="str">
        <f>IF('Statement of Marks'!I67="","",'Statement of Marks'!I67)</f>
        <v/>
      </c>
      <c r="J63" s="648" t="str">
        <f>IF('Statement of Marks'!GY67="","",'Statement of Marks'!GY67)</f>
        <v/>
      </c>
      <c r="K63" s="390" t="str">
        <f>IF(B63="","",IF('Statement of Marks'!GZ67="","",'Statement of Marks'!GZ67))</f>
        <v/>
      </c>
      <c r="L63" s="391" t="str">
        <f>IF('Statement of Marks'!HC67="","",'Statement of Marks'!HC67)</f>
        <v/>
      </c>
      <c r="M63" s="390" t="str">
        <f>IF('Statement of Marks'!HB67="","",'Statement of Marks'!HB67)</f>
        <v/>
      </c>
      <c r="N63" s="392" t="str">
        <f>IF(J63="FAIL","",IF('Statement of Marks'!GU67="","",'Statement of Marks'!GU67))</f>
        <v xml:space="preserve">    </v>
      </c>
      <c r="O63" s="393" t="str">
        <f>IF('Supp. Result Entry'!AS66="","",'Supp. Result Entry'!AS66)</f>
        <v/>
      </c>
      <c r="P63" s="394" t="str">
        <f>IF('Supp. Result Entry'!AT66="","",'Supp. Result Entry'!AT66)</f>
        <v/>
      </c>
      <c r="Q63" s="395" t="str">
        <f>IF('Statement of Marks'!HG67="","",'Statement of Marks'!HG67)</f>
        <v/>
      </c>
      <c r="R63" s="396" t="str">
        <f>IF('Statement of Marks'!FH67="","",'Statement of Marks'!FH67)</f>
        <v/>
      </c>
      <c r="BL63" s="397" t="str">
        <f>'Statement of Marks'!E67</f>
        <v/>
      </c>
      <c r="BM63" s="398" t="str">
        <f t="shared" si="0"/>
        <v/>
      </c>
      <c r="BN63" s="398" t="str">
        <f t="shared" si="1"/>
        <v/>
      </c>
      <c r="BO63" s="398" t="str">
        <f t="shared" si="2"/>
        <v/>
      </c>
      <c r="BP63" s="398" t="str">
        <f t="shared" si="3"/>
        <v/>
      </c>
      <c r="BQ63" s="398" t="str">
        <f t="shared" si="4"/>
        <v/>
      </c>
      <c r="BR63" s="398" t="str">
        <f t="shared" si="5"/>
        <v/>
      </c>
      <c r="BS63" s="398" t="str">
        <f t="shared" si="6"/>
        <v/>
      </c>
      <c r="BT63" s="398" t="str">
        <f t="shared" si="7"/>
        <v/>
      </c>
      <c r="BU63" s="398" t="str">
        <f t="shared" si="8"/>
        <v/>
      </c>
      <c r="BV63" s="398" t="str">
        <f t="shared" si="9"/>
        <v/>
      </c>
      <c r="BW63" s="398" t="str">
        <f t="shared" si="10"/>
        <v/>
      </c>
      <c r="BX63" s="398" t="str">
        <f t="shared" si="11"/>
        <v/>
      </c>
      <c r="BY63" s="399"/>
    </row>
    <row r="64" spans="1:77" ht="15.95" customHeight="1">
      <c r="A64" s="385">
        <f>IF('Statement of Marks'!A68="","",'Statement of Marks'!A68)</f>
        <v>61</v>
      </c>
      <c r="B64" s="386" t="str">
        <f>IF('Statement of Marks'!B68="","",'Statement of Marks'!B68)</f>
        <v/>
      </c>
      <c r="C64" s="387" t="str">
        <f>IF('Statement of Marks'!C68="","",'Statement of Marks'!C68)</f>
        <v/>
      </c>
      <c r="D64" s="426" t="str">
        <f>IF('Statement of Marks'!D68="","",'Statement of Marks'!D68)</f>
        <v/>
      </c>
      <c r="E64" s="388" t="str">
        <f>IF('Statement of Marks'!E68="","",'Statement of Marks'!E68)</f>
        <v/>
      </c>
      <c r="F64" s="388" t="str">
        <f>IF('Statement of Marks'!F68="","",'Statement of Marks'!F68)</f>
        <v/>
      </c>
      <c r="G64" s="388" t="str">
        <f>IF('Statement of Marks'!G68="","",'Statement of Marks'!G68)</f>
        <v/>
      </c>
      <c r="H64" s="389" t="str">
        <f>IF('Statement of Marks'!H68="","",'Statement of Marks'!H68)</f>
        <v/>
      </c>
      <c r="I64" s="389" t="str">
        <f>IF('Statement of Marks'!I68="","",'Statement of Marks'!I68)</f>
        <v/>
      </c>
      <c r="J64" s="648" t="str">
        <f>IF('Statement of Marks'!GY68="","",'Statement of Marks'!GY68)</f>
        <v/>
      </c>
      <c r="K64" s="390" t="str">
        <f>IF(B64="","",IF('Statement of Marks'!GZ68="","",'Statement of Marks'!GZ68))</f>
        <v/>
      </c>
      <c r="L64" s="391" t="str">
        <f>IF('Statement of Marks'!HC68="","",'Statement of Marks'!HC68)</f>
        <v/>
      </c>
      <c r="M64" s="390" t="str">
        <f>IF('Statement of Marks'!HB68="","",'Statement of Marks'!HB68)</f>
        <v/>
      </c>
      <c r="N64" s="392" t="str">
        <f>IF(J64="FAIL","",IF('Statement of Marks'!GU68="","",'Statement of Marks'!GU68))</f>
        <v xml:space="preserve">    </v>
      </c>
      <c r="O64" s="393" t="str">
        <f>IF('Supp. Result Entry'!AS67="","",'Supp. Result Entry'!AS67)</f>
        <v/>
      </c>
      <c r="P64" s="394" t="str">
        <f>IF('Supp. Result Entry'!AT67="","",'Supp. Result Entry'!AT67)</f>
        <v/>
      </c>
      <c r="Q64" s="395" t="str">
        <f>IF('Statement of Marks'!HG68="","",'Statement of Marks'!HG68)</f>
        <v/>
      </c>
      <c r="R64" s="396" t="str">
        <f>IF('Statement of Marks'!FH68="","",'Statement of Marks'!FH68)</f>
        <v/>
      </c>
      <c r="BL64" s="397" t="str">
        <f>'Statement of Marks'!E68</f>
        <v/>
      </c>
      <c r="BM64" s="398" t="str">
        <f t="shared" si="0"/>
        <v/>
      </c>
      <c r="BN64" s="398" t="str">
        <f t="shared" si="1"/>
        <v/>
      </c>
      <c r="BO64" s="398" t="str">
        <f t="shared" si="2"/>
        <v/>
      </c>
      <c r="BP64" s="398" t="str">
        <f t="shared" si="3"/>
        <v/>
      </c>
      <c r="BQ64" s="398" t="str">
        <f t="shared" si="4"/>
        <v/>
      </c>
      <c r="BR64" s="398" t="str">
        <f t="shared" si="5"/>
        <v/>
      </c>
      <c r="BS64" s="398" t="str">
        <f t="shared" si="6"/>
        <v/>
      </c>
      <c r="BT64" s="398" t="str">
        <f t="shared" si="7"/>
        <v/>
      </c>
      <c r="BU64" s="398" t="str">
        <f t="shared" si="8"/>
        <v/>
      </c>
      <c r="BV64" s="398" t="str">
        <f t="shared" si="9"/>
        <v/>
      </c>
      <c r="BW64" s="398" t="str">
        <f t="shared" si="10"/>
        <v/>
      </c>
      <c r="BX64" s="398" t="str">
        <f t="shared" si="11"/>
        <v/>
      </c>
      <c r="BY64" s="399"/>
    </row>
    <row r="65" spans="1:77" ht="15.95" customHeight="1">
      <c r="A65" s="385">
        <f>IF('Statement of Marks'!A69="","",'Statement of Marks'!A69)</f>
        <v>62</v>
      </c>
      <c r="B65" s="386" t="str">
        <f>IF('Statement of Marks'!B69="","",'Statement of Marks'!B69)</f>
        <v/>
      </c>
      <c r="C65" s="387" t="str">
        <f>IF('Statement of Marks'!C69="","",'Statement of Marks'!C69)</f>
        <v/>
      </c>
      <c r="D65" s="426" t="str">
        <f>IF('Statement of Marks'!D69="","",'Statement of Marks'!D69)</f>
        <v/>
      </c>
      <c r="E65" s="388" t="str">
        <f>IF('Statement of Marks'!E69="","",'Statement of Marks'!E69)</f>
        <v/>
      </c>
      <c r="F65" s="388" t="str">
        <f>IF('Statement of Marks'!F69="","",'Statement of Marks'!F69)</f>
        <v/>
      </c>
      <c r="G65" s="388" t="str">
        <f>IF('Statement of Marks'!G69="","",'Statement of Marks'!G69)</f>
        <v/>
      </c>
      <c r="H65" s="389" t="str">
        <f>IF('Statement of Marks'!H69="","",'Statement of Marks'!H69)</f>
        <v/>
      </c>
      <c r="I65" s="389" t="str">
        <f>IF('Statement of Marks'!I69="","",'Statement of Marks'!I69)</f>
        <v/>
      </c>
      <c r="J65" s="648" t="str">
        <f>IF('Statement of Marks'!GY69="","",'Statement of Marks'!GY69)</f>
        <v/>
      </c>
      <c r="K65" s="390" t="str">
        <f>IF(B65="","",IF('Statement of Marks'!GZ69="","",'Statement of Marks'!GZ69))</f>
        <v/>
      </c>
      <c r="L65" s="391" t="str">
        <f>IF('Statement of Marks'!HC69="","",'Statement of Marks'!HC69)</f>
        <v/>
      </c>
      <c r="M65" s="390" t="str">
        <f>IF('Statement of Marks'!HB69="","",'Statement of Marks'!HB69)</f>
        <v/>
      </c>
      <c r="N65" s="392" t="str">
        <f>IF(J65="FAIL","",IF('Statement of Marks'!GU69="","",'Statement of Marks'!GU69))</f>
        <v xml:space="preserve">    </v>
      </c>
      <c r="O65" s="393" t="str">
        <f>IF('Supp. Result Entry'!AS68="","",'Supp. Result Entry'!AS68)</f>
        <v/>
      </c>
      <c r="P65" s="394" t="str">
        <f>IF('Supp. Result Entry'!AT68="","",'Supp. Result Entry'!AT68)</f>
        <v/>
      </c>
      <c r="Q65" s="395" t="str">
        <f>IF('Statement of Marks'!HG69="","",'Statement of Marks'!HG69)</f>
        <v/>
      </c>
      <c r="R65" s="396" t="str">
        <f>IF('Statement of Marks'!FH69="","",'Statement of Marks'!FH69)</f>
        <v/>
      </c>
      <c r="BL65" s="397" t="str">
        <f>'Statement of Marks'!E69</f>
        <v/>
      </c>
      <c r="BM65" s="398" t="str">
        <f t="shared" si="0"/>
        <v/>
      </c>
      <c r="BN65" s="398" t="str">
        <f t="shared" si="1"/>
        <v/>
      </c>
      <c r="BO65" s="398" t="str">
        <f t="shared" si="2"/>
        <v/>
      </c>
      <c r="BP65" s="398" t="str">
        <f t="shared" si="3"/>
        <v/>
      </c>
      <c r="BQ65" s="398" t="str">
        <f t="shared" si="4"/>
        <v/>
      </c>
      <c r="BR65" s="398" t="str">
        <f t="shared" si="5"/>
        <v/>
      </c>
      <c r="BS65" s="398" t="str">
        <f t="shared" si="6"/>
        <v/>
      </c>
      <c r="BT65" s="398" t="str">
        <f t="shared" si="7"/>
        <v/>
      </c>
      <c r="BU65" s="398" t="str">
        <f t="shared" si="8"/>
        <v/>
      </c>
      <c r="BV65" s="398" t="str">
        <f t="shared" si="9"/>
        <v/>
      </c>
      <c r="BW65" s="398" t="str">
        <f t="shared" si="10"/>
        <v/>
      </c>
      <c r="BX65" s="398" t="str">
        <f t="shared" si="11"/>
        <v/>
      </c>
      <c r="BY65" s="399"/>
    </row>
    <row r="66" spans="1:77" ht="15.95" customHeight="1">
      <c r="A66" s="385">
        <f>IF('Statement of Marks'!A70="","",'Statement of Marks'!A70)</f>
        <v>63</v>
      </c>
      <c r="B66" s="386" t="str">
        <f>IF('Statement of Marks'!B70="","",'Statement of Marks'!B70)</f>
        <v/>
      </c>
      <c r="C66" s="387" t="str">
        <f>IF('Statement of Marks'!C70="","",'Statement of Marks'!C70)</f>
        <v/>
      </c>
      <c r="D66" s="426" t="str">
        <f>IF('Statement of Marks'!D70="","",'Statement of Marks'!D70)</f>
        <v/>
      </c>
      <c r="E66" s="388" t="str">
        <f>IF('Statement of Marks'!E70="","",'Statement of Marks'!E70)</f>
        <v/>
      </c>
      <c r="F66" s="388" t="str">
        <f>IF('Statement of Marks'!F70="","",'Statement of Marks'!F70)</f>
        <v/>
      </c>
      <c r="G66" s="388" t="str">
        <f>IF('Statement of Marks'!G70="","",'Statement of Marks'!G70)</f>
        <v/>
      </c>
      <c r="H66" s="389" t="str">
        <f>IF('Statement of Marks'!H70="","",'Statement of Marks'!H70)</f>
        <v/>
      </c>
      <c r="I66" s="389" t="str">
        <f>IF('Statement of Marks'!I70="","",'Statement of Marks'!I70)</f>
        <v/>
      </c>
      <c r="J66" s="648" t="str">
        <f>IF('Statement of Marks'!GY70="","",'Statement of Marks'!GY70)</f>
        <v/>
      </c>
      <c r="K66" s="390" t="str">
        <f>IF(B66="","",IF('Statement of Marks'!GZ70="","",'Statement of Marks'!GZ70))</f>
        <v/>
      </c>
      <c r="L66" s="391" t="str">
        <f>IF('Statement of Marks'!HC70="","",'Statement of Marks'!HC70)</f>
        <v/>
      </c>
      <c r="M66" s="390" t="str">
        <f>IF('Statement of Marks'!HB70="","",'Statement of Marks'!HB70)</f>
        <v/>
      </c>
      <c r="N66" s="392" t="str">
        <f>IF(J66="FAIL","",IF('Statement of Marks'!GU70="","",'Statement of Marks'!GU70))</f>
        <v xml:space="preserve">    </v>
      </c>
      <c r="O66" s="393" t="str">
        <f>IF('Supp. Result Entry'!AS69="","",'Supp. Result Entry'!AS69)</f>
        <v/>
      </c>
      <c r="P66" s="394" t="str">
        <f>IF('Supp. Result Entry'!AT69="","",'Supp. Result Entry'!AT69)</f>
        <v/>
      </c>
      <c r="Q66" s="395" t="str">
        <f>IF('Statement of Marks'!HG70="","",'Statement of Marks'!HG70)</f>
        <v/>
      </c>
      <c r="R66" s="396" t="str">
        <f>IF('Statement of Marks'!FH70="","",'Statement of Marks'!FH70)</f>
        <v/>
      </c>
      <c r="BL66" s="397" t="str">
        <f>'Statement of Marks'!E70</f>
        <v/>
      </c>
      <c r="BM66" s="398" t="str">
        <f t="shared" si="0"/>
        <v/>
      </c>
      <c r="BN66" s="398" t="str">
        <f t="shared" si="1"/>
        <v/>
      </c>
      <c r="BO66" s="398" t="str">
        <f t="shared" si="2"/>
        <v/>
      </c>
      <c r="BP66" s="398" t="str">
        <f t="shared" si="3"/>
        <v/>
      </c>
      <c r="BQ66" s="398" t="str">
        <f t="shared" si="4"/>
        <v/>
      </c>
      <c r="BR66" s="398" t="str">
        <f t="shared" si="5"/>
        <v/>
      </c>
      <c r="BS66" s="398" t="str">
        <f t="shared" si="6"/>
        <v/>
      </c>
      <c r="BT66" s="398" t="str">
        <f t="shared" si="7"/>
        <v/>
      </c>
      <c r="BU66" s="398" t="str">
        <f t="shared" si="8"/>
        <v/>
      </c>
      <c r="BV66" s="398" t="str">
        <f t="shared" si="9"/>
        <v/>
      </c>
      <c r="BW66" s="398" t="str">
        <f t="shared" si="10"/>
        <v/>
      </c>
      <c r="BX66" s="398" t="str">
        <f t="shared" si="11"/>
        <v/>
      </c>
      <c r="BY66" s="399"/>
    </row>
    <row r="67" spans="1:77" ht="15.95" customHeight="1">
      <c r="A67" s="385">
        <f>IF('Statement of Marks'!A71="","",'Statement of Marks'!A71)</f>
        <v>64</v>
      </c>
      <c r="B67" s="386" t="str">
        <f>IF('Statement of Marks'!B71="","",'Statement of Marks'!B71)</f>
        <v/>
      </c>
      <c r="C67" s="387" t="str">
        <f>IF('Statement of Marks'!C71="","",'Statement of Marks'!C71)</f>
        <v/>
      </c>
      <c r="D67" s="426" t="str">
        <f>IF('Statement of Marks'!D71="","",'Statement of Marks'!D71)</f>
        <v/>
      </c>
      <c r="E67" s="388" t="str">
        <f>IF('Statement of Marks'!E71="","",'Statement of Marks'!E71)</f>
        <v/>
      </c>
      <c r="F67" s="388" t="str">
        <f>IF('Statement of Marks'!F71="","",'Statement of Marks'!F71)</f>
        <v/>
      </c>
      <c r="G67" s="388" t="str">
        <f>IF('Statement of Marks'!G71="","",'Statement of Marks'!G71)</f>
        <v/>
      </c>
      <c r="H67" s="389" t="str">
        <f>IF('Statement of Marks'!H71="","",'Statement of Marks'!H71)</f>
        <v/>
      </c>
      <c r="I67" s="389" t="str">
        <f>IF('Statement of Marks'!I71="","",'Statement of Marks'!I71)</f>
        <v/>
      </c>
      <c r="J67" s="648" t="str">
        <f>IF('Statement of Marks'!GY71="","",'Statement of Marks'!GY71)</f>
        <v/>
      </c>
      <c r="K67" s="390" t="str">
        <f>IF(B67="","",IF('Statement of Marks'!GZ71="","",'Statement of Marks'!GZ71))</f>
        <v/>
      </c>
      <c r="L67" s="391" t="str">
        <f>IF('Statement of Marks'!HC71="","",'Statement of Marks'!HC71)</f>
        <v/>
      </c>
      <c r="M67" s="390" t="str">
        <f>IF('Statement of Marks'!HB71="","",'Statement of Marks'!HB71)</f>
        <v/>
      </c>
      <c r="N67" s="392" t="str">
        <f>IF(J67="FAIL","",IF('Statement of Marks'!GU71="","",'Statement of Marks'!GU71))</f>
        <v xml:space="preserve">    </v>
      </c>
      <c r="O67" s="393" t="str">
        <f>IF('Supp. Result Entry'!AS70="","",'Supp. Result Entry'!AS70)</f>
        <v/>
      </c>
      <c r="P67" s="394" t="str">
        <f>IF('Supp. Result Entry'!AT70="","",'Supp. Result Entry'!AT70)</f>
        <v/>
      </c>
      <c r="Q67" s="395" t="str">
        <f>IF('Statement of Marks'!HG71="","",'Statement of Marks'!HG71)</f>
        <v/>
      </c>
      <c r="R67" s="396" t="str">
        <f>IF('Statement of Marks'!FH71="","",'Statement of Marks'!FH71)</f>
        <v/>
      </c>
      <c r="BL67" s="397" t="str">
        <f>'Statement of Marks'!E71</f>
        <v/>
      </c>
      <c r="BM67" s="398" t="str">
        <f t="shared" si="0"/>
        <v/>
      </c>
      <c r="BN67" s="398" t="str">
        <f t="shared" si="1"/>
        <v/>
      </c>
      <c r="BO67" s="398" t="str">
        <f t="shared" si="2"/>
        <v/>
      </c>
      <c r="BP67" s="398" t="str">
        <f t="shared" si="3"/>
        <v/>
      </c>
      <c r="BQ67" s="398" t="str">
        <f t="shared" si="4"/>
        <v/>
      </c>
      <c r="BR67" s="398" t="str">
        <f t="shared" si="5"/>
        <v/>
      </c>
      <c r="BS67" s="398" t="str">
        <f t="shared" si="6"/>
        <v/>
      </c>
      <c r="BT67" s="398" t="str">
        <f t="shared" si="7"/>
        <v/>
      </c>
      <c r="BU67" s="398" t="str">
        <f t="shared" si="8"/>
        <v/>
      </c>
      <c r="BV67" s="398" t="str">
        <f t="shared" si="9"/>
        <v/>
      </c>
      <c r="BW67" s="398" t="str">
        <f t="shared" si="10"/>
        <v/>
      </c>
      <c r="BX67" s="398" t="str">
        <f t="shared" si="11"/>
        <v/>
      </c>
      <c r="BY67" s="399"/>
    </row>
    <row r="68" spans="1:77" ht="15.95" customHeight="1">
      <c r="A68" s="385">
        <f>IF('Statement of Marks'!A72="","",'Statement of Marks'!A72)</f>
        <v>65</v>
      </c>
      <c r="B68" s="386" t="str">
        <f>IF('Statement of Marks'!B72="","",'Statement of Marks'!B72)</f>
        <v/>
      </c>
      <c r="C68" s="387" t="str">
        <f>IF('Statement of Marks'!C72="","",'Statement of Marks'!C72)</f>
        <v/>
      </c>
      <c r="D68" s="426" t="str">
        <f>IF('Statement of Marks'!D72="","",'Statement of Marks'!D72)</f>
        <v/>
      </c>
      <c r="E68" s="388" t="str">
        <f>IF('Statement of Marks'!E72="","",'Statement of Marks'!E72)</f>
        <v/>
      </c>
      <c r="F68" s="388" t="str">
        <f>IF('Statement of Marks'!F72="","",'Statement of Marks'!F72)</f>
        <v/>
      </c>
      <c r="G68" s="388" t="str">
        <f>IF('Statement of Marks'!G72="","",'Statement of Marks'!G72)</f>
        <v/>
      </c>
      <c r="H68" s="389" t="str">
        <f>IF('Statement of Marks'!H72="","",'Statement of Marks'!H72)</f>
        <v/>
      </c>
      <c r="I68" s="389" t="str">
        <f>IF('Statement of Marks'!I72="","",'Statement of Marks'!I72)</f>
        <v/>
      </c>
      <c r="J68" s="648" t="str">
        <f>IF('Statement of Marks'!GY72="","",'Statement of Marks'!GY72)</f>
        <v/>
      </c>
      <c r="K68" s="390" t="str">
        <f>IF(B68="","",IF('Statement of Marks'!GZ72="","",'Statement of Marks'!GZ72))</f>
        <v/>
      </c>
      <c r="L68" s="391" t="str">
        <f>IF('Statement of Marks'!HC72="","",'Statement of Marks'!HC72)</f>
        <v/>
      </c>
      <c r="M68" s="390" t="str">
        <f>IF('Statement of Marks'!HB72="","",'Statement of Marks'!HB72)</f>
        <v/>
      </c>
      <c r="N68" s="392" t="str">
        <f>IF(J68="FAIL","",IF('Statement of Marks'!GU72="","",'Statement of Marks'!GU72))</f>
        <v xml:space="preserve">    </v>
      </c>
      <c r="O68" s="393" t="str">
        <f>IF('Supp. Result Entry'!AS71="","",'Supp. Result Entry'!AS71)</f>
        <v/>
      </c>
      <c r="P68" s="394" t="str">
        <f>IF('Supp. Result Entry'!AT71="","",'Supp. Result Entry'!AT71)</f>
        <v/>
      </c>
      <c r="Q68" s="395" t="str">
        <f>IF('Statement of Marks'!HG72="","",'Statement of Marks'!HG72)</f>
        <v/>
      </c>
      <c r="R68" s="396" t="str">
        <f>IF('Statement of Marks'!FH72="","",'Statement of Marks'!FH72)</f>
        <v/>
      </c>
      <c r="BL68" s="397" t="str">
        <f>'Statement of Marks'!E72</f>
        <v/>
      </c>
      <c r="BM68" s="398" t="str">
        <f t="shared" si="0"/>
        <v/>
      </c>
      <c r="BN68" s="398" t="str">
        <f t="shared" si="1"/>
        <v/>
      </c>
      <c r="BO68" s="398" t="str">
        <f t="shared" si="2"/>
        <v/>
      </c>
      <c r="BP68" s="398" t="str">
        <f t="shared" si="3"/>
        <v/>
      </c>
      <c r="BQ68" s="398" t="str">
        <f t="shared" si="4"/>
        <v/>
      </c>
      <c r="BR68" s="398" t="str">
        <f t="shared" si="5"/>
        <v/>
      </c>
      <c r="BS68" s="398" t="str">
        <f t="shared" si="6"/>
        <v/>
      </c>
      <c r="BT68" s="398" t="str">
        <f t="shared" si="7"/>
        <v/>
      </c>
      <c r="BU68" s="398" t="str">
        <f t="shared" si="8"/>
        <v/>
      </c>
      <c r="BV68" s="398" t="str">
        <f t="shared" si="9"/>
        <v/>
      </c>
      <c r="BW68" s="398" t="str">
        <f t="shared" si="10"/>
        <v/>
      </c>
      <c r="BX68" s="398" t="str">
        <f t="shared" si="11"/>
        <v/>
      </c>
      <c r="BY68" s="399"/>
    </row>
    <row r="69" spans="1:77" ht="15.95" customHeight="1">
      <c r="A69" s="385">
        <f>IF('Statement of Marks'!A73="","",'Statement of Marks'!A73)</f>
        <v>66</v>
      </c>
      <c r="B69" s="386" t="str">
        <f>IF('Statement of Marks'!B73="","",'Statement of Marks'!B73)</f>
        <v/>
      </c>
      <c r="C69" s="387" t="str">
        <f>IF('Statement of Marks'!C73="","",'Statement of Marks'!C73)</f>
        <v/>
      </c>
      <c r="D69" s="426" t="str">
        <f>IF('Statement of Marks'!D73="","",'Statement of Marks'!D73)</f>
        <v/>
      </c>
      <c r="E69" s="388" t="str">
        <f>IF('Statement of Marks'!E73="","",'Statement of Marks'!E73)</f>
        <v/>
      </c>
      <c r="F69" s="388" t="str">
        <f>IF('Statement of Marks'!F73="","",'Statement of Marks'!F73)</f>
        <v/>
      </c>
      <c r="G69" s="388" t="str">
        <f>IF('Statement of Marks'!G73="","",'Statement of Marks'!G73)</f>
        <v/>
      </c>
      <c r="H69" s="389" t="str">
        <f>IF('Statement of Marks'!H73="","",'Statement of Marks'!H73)</f>
        <v/>
      </c>
      <c r="I69" s="389" t="str">
        <f>IF('Statement of Marks'!I73="","",'Statement of Marks'!I73)</f>
        <v/>
      </c>
      <c r="J69" s="648" t="str">
        <f>IF('Statement of Marks'!GY73="","",'Statement of Marks'!GY73)</f>
        <v/>
      </c>
      <c r="K69" s="390" t="str">
        <f>IF(B69="","",IF('Statement of Marks'!GZ73="","",'Statement of Marks'!GZ73))</f>
        <v/>
      </c>
      <c r="L69" s="391" t="str">
        <f>IF('Statement of Marks'!HC73="","",'Statement of Marks'!HC73)</f>
        <v/>
      </c>
      <c r="M69" s="390" t="str">
        <f>IF('Statement of Marks'!HB73="","",'Statement of Marks'!HB73)</f>
        <v/>
      </c>
      <c r="N69" s="392" t="str">
        <f>IF(J69="FAIL","",IF('Statement of Marks'!GU73="","",'Statement of Marks'!GU73))</f>
        <v xml:space="preserve">    </v>
      </c>
      <c r="O69" s="393" t="str">
        <f>IF('Supp. Result Entry'!AS72="","",'Supp. Result Entry'!AS72)</f>
        <v/>
      </c>
      <c r="P69" s="394" t="str">
        <f>IF('Supp. Result Entry'!AT72="","",'Supp. Result Entry'!AT72)</f>
        <v/>
      </c>
      <c r="Q69" s="395" t="str">
        <f>IF('Statement of Marks'!HG73="","",'Statement of Marks'!HG73)</f>
        <v/>
      </c>
      <c r="R69" s="396" t="str">
        <f>IF('Statement of Marks'!FH73="","",'Statement of Marks'!FH73)</f>
        <v/>
      </c>
      <c r="BL69" s="397" t="str">
        <f>'Statement of Marks'!E73</f>
        <v/>
      </c>
      <c r="BM69" s="398" t="str">
        <f t="shared" ref="BM69:BM132" si="12">IFERROR(IF(AND(M69="",Q69="",H69="SC",I69="M"),J69,IF(AND(M69="",H69="SC",I69="M"),Q69,IF(AND(Q69="",H69="SC",I69="M"),M69,""))),"")</f>
        <v/>
      </c>
      <c r="BN69" s="398" t="str">
        <f t="shared" ref="BN69:BN132" si="13">IFERROR(IF(AND(M69="",Q69="",H69="SC",I69="F"),J69,IF(AND(M69="",H69="SC",I69="F"),Q69,IF(AND(Q69="",H69="SC",I69="F"),M69,""))),"")</f>
        <v/>
      </c>
      <c r="BO69" s="398" t="str">
        <f t="shared" ref="BO69:BO132" si="14">IFERROR(IF(AND(M69="",Q69="",H69="ST",I69="M"),J69,IF(AND(M69="",H69="ST",I69="M"),Q69,IF(AND(Q69="",H69="ST",I69="M"),M69,""))),"")</f>
        <v/>
      </c>
      <c r="BP69" s="398" t="str">
        <f t="shared" ref="BP69:BP132" si="15">IFERROR(IF(AND(M69="",Q69="",H69="ST",I69="F"),J69,IF(AND(M69="",H69="ST",I69="F"),Q69,IF(AND(Q69="",H69="ST",I69="F"),M69,""))),"")</f>
        <v/>
      </c>
      <c r="BQ69" s="398" t="str">
        <f t="shared" ref="BQ69:BQ132" si="16">IFERROR(IF(AND(M69="",Q69="",H69="OBC",I69="M"),J69,IF(AND(M69="",H69="OBC",I69="M"),Q69,IF(AND(Q69="",H69="OBC",I69="M"),M69,""))),"")</f>
        <v/>
      </c>
      <c r="BR69" s="398" t="str">
        <f t="shared" ref="BR69:BR132" si="17">IFERROR(IF(AND(M69="",Q69="",H69="OBC",I69="F"),J69,IF(AND(M69="",H69="OBC",I69="F"),Q69,IF(AND(Q69="",H69="OBC",I69="F"),M69,""))),"")</f>
        <v/>
      </c>
      <c r="BS69" s="398" t="str">
        <f t="shared" ref="BS69:BS132" si="18">IFERROR(IF(AND(M69="",Q69="",H69="GEN",I69="M"),J69,IF(AND(M69="",H69="GEN",I69="M"),Q69,IF(AND(Q69="",H69="GEN",I69="M"),M69,""))),"")</f>
        <v/>
      </c>
      <c r="BT69" s="398" t="str">
        <f t="shared" ref="BT69:BT132" si="19">IFERROR(IF(AND(M69="",Q69="",H69="GEN",I69="F"),J69,IF(AND(M69="",H69="GEN",I69="F"),Q69,IF(AND(Q69="",H69="GEN",I69="F"),M69,""))),"")</f>
        <v/>
      </c>
      <c r="BU69" s="398" t="str">
        <f t="shared" ref="BU69:BU132" si="20">IFERROR(IF(AND(M69="",Q69="",H69="MIN",I69="M"),J69,IF(AND(M69="",H69="MIN",I69="M"),Q69,IF(AND(Q69="",H69="MIN",I69="M"),M69,""))),"")</f>
        <v/>
      </c>
      <c r="BV69" s="398" t="str">
        <f t="shared" ref="BV69:BV132" si="21">IFERROR(IF(AND(M69="",Q69="",H69="MIN",I69="F"),J69,IF(AND(M69="",H69="MIN",I69="F"),Q69,IF(AND(Q69="",H69="MIN",I69="F"),M69,""))),"")</f>
        <v/>
      </c>
      <c r="BW69" s="398" t="str">
        <f t="shared" ref="BW69:BW132" si="22">IFERROR(IF(AND(M69="",Q69="",H69="SBC",I69="M"),J69,IF(AND(M69="",H69="SBC",I69="M"),Q69,IF(AND(Q69="",H69="SBC",I69="M"),M69,""))),"")</f>
        <v/>
      </c>
      <c r="BX69" s="398" t="str">
        <f t="shared" ref="BX69:BX132" si="23">IFERROR(IF(AND(M69="",Q69="",H69="SBC",I69="F"),J69,IF(AND(M69="",H69="SBC",I69="F"),Q69,IF(AND(Q69="",H69="SBC",I69="F"),M69,""))),"")</f>
        <v/>
      </c>
      <c r="BY69" s="399"/>
    </row>
    <row r="70" spans="1:77" ht="15.95" customHeight="1">
      <c r="A70" s="385">
        <f>IF('Statement of Marks'!A74="","",'Statement of Marks'!A74)</f>
        <v>67</v>
      </c>
      <c r="B70" s="386" t="str">
        <f>IF('Statement of Marks'!B74="","",'Statement of Marks'!B74)</f>
        <v/>
      </c>
      <c r="C70" s="387" t="str">
        <f>IF('Statement of Marks'!C74="","",'Statement of Marks'!C74)</f>
        <v/>
      </c>
      <c r="D70" s="426" t="str">
        <f>IF('Statement of Marks'!D74="","",'Statement of Marks'!D74)</f>
        <v/>
      </c>
      <c r="E70" s="388" t="str">
        <f>IF('Statement of Marks'!E74="","",'Statement of Marks'!E74)</f>
        <v/>
      </c>
      <c r="F70" s="388" t="str">
        <f>IF('Statement of Marks'!F74="","",'Statement of Marks'!F74)</f>
        <v/>
      </c>
      <c r="G70" s="388" t="str">
        <f>IF('Statement of Marks'!G74="","",'Statement of Marks'!G74)</f>
        <v/>
      </c>
      <c r="H70" s="389" t="str">
        <f>IF('Statement of Marks'!H74="","",'Statement of Marks'!H74)</f>
        <v/>
      </c>
      <c r="I70" s="389" t="str">
        <f>IF('Statement of Marks'!I74="","",'Statement of Marks'!I74)</f>
        <v/>
      </c>
      <c r="J70" s="648" t="str">
        <f>IF('Statement of Marks'!GY74="","",'Statement of Marks'!GY74)</f>
        <v/>
      </c>
      <c r="K70" s="390" t="str">
        <f>IF(B70="","",IF('Statement of Marks'!GZ74="","",'Statement of Marks'!GZ74))</f>
        <v/>
      </c>
      <c r="L70" s="391" t="str">
        <f>IF('Statement of Marks'!HC74="","",'Statement of Marks'!HC74)</f>
        <v/>
      </c>
      <c r="M70" s="390" t="str">
        <f>IF('Statement of Marks'!HB74="","",'Statement of Marks'!HB74)</f>
        <v/>
      </c>
      <c r="N70" s="392" t="str">
        <f>IF(J70="FAIL","",IF('Statement of Marks'!GU74="","",'Statement of Marks'!GU74))</f>
        <v xml:space="preserve">    </v>
      </c>
      <c r="O70" s="393" t="str">
        <f>IF('Supp. Result Entry'!AS73="","",'Supp. Result Entry'!AS73)</f>
        <v/>
      </c>
      <c r="P70" s="394" t="str">
        <f>IF('Supp. Result Entry'!AT73="","",'Supp. Result Entry'!AT73)</f>
        <v/>
      </c>
      <c r="Q70" s="395" t="str">
        <f>IF('Statement of Marks'!HG74="","",'Statement of Marks'!HG74)</f>
        <v/>
      </c>
      <c r="R70" s="396" t="str">
        <f>IF('Statement of Marks'!FH74="","",'Statement of Marks'!FH74)</f>
        <v/>
      </c>
      <c r="BL70" s="397" t="str">
        <f>'Statement of Marks'!E74</f>
        <v/>
      </c>
      <c r="BM70" s="398" t="str">
        <f t="shared" si="12"/>
        <v/>
      </c>
      <c r="BN70" s="398" t="str">
        <f t="shared" si="13"/>
        <v/>
      </c>
      <c r="BO70" s="398" t="str">
        <f t="shared" si="14"/>
        <v/>
      </c>
      <c r="BP70" s="398" t="str">
        <f t="shared" si="15"/>
        <v/>
      </c>
      <c r="BQ70" s="398" t="str">
        <f t="shared" si="16"/>
        <v/>
      </c>
      <c r="BR70" s="398" t="str">
        <f t="shared" si="17"/>
        <v/>
      </c>
      <c r="BS70" s="398" t="str">
        <f t="shared" si="18"/>
        <v/>
      </c>
      <c r="BT70" s="398" t="str">
        <f t="shared" si="19"/>
        <v/>
      </c>
      <c r="BU70" s="398" t="str">
        <f t="shared" si="20"/>
        <v/>
      </c>
      <c r="BV70" s="398" t="str">
        <f t="shared" si="21"/>
        <v/>
      </c>
      <c r="BW70" s="398" t="str">
        <f t="shared" si="22"/>
        <v/>
      </c>
      <c r="BX70" s="398" t="str">
        <f t="shared" si="23"/>
        <v/>
      </c>
      <c r="BY70" s="399"/>
    </row>
    <row r="71" spans="1:77" ht="15.95" customHeight="1">
      <c r="A71" s="385">
        <f>IF('Statement of Marks'!A75="","",'Statement of Marks'!A75)</f>
        <v>68</v>
      </c>
      <c r="B71" s="386" t="str">
        <f>IF('Statement of Marks'!B75="","",'Statement of Marks'!B75)</f>
        <v/>
      </c>
      <c r="C71" s="387" t="str">
        <f>IF('Statement of Marks'!C75="","",'Statement of Marks'!C75)</f>
        <v/>
      </c>
      <c r="D71" s="426" t="str">
        <f>IF('Statement of Marks'!D75="","",'Statement of Marks'!D75)</f>
        <v/>
      </c>
      <c r="E71" s="388" t="str">
        <f>IF('Statement of Marks'!E75="","",'Statement of Marks'!E75)</f>
        <v/>
      </c>
      <c r="F71" s="388" t="str">
        <f>IF('Statement of Marks'!F75="","",'Statement of Marks'!F75)</f>
        <v/>
      </c>
      <c r="G71" s="388" t="str">
        <f>IF('Statement of Marks'!G75="","",'Statement of Marks'!G75)</f>
        <v/>
      </c>
      <c r="H71" s="389" t="str">
        <f>IF('Statement of Marks'!H75="","",'Statement of Marks'!H75)</f>
        <v/>
      </c>
      <c r="I71" s="389" t="str">
        <f>IF('Statement of Marks'!I75="","",'Statement of Marks'!I75)</f>
        <v/>
      </c>
      <c r="J71" s="648" t="str">
        <f>IF('Statement of Marks'!GY75="","",'Statement of Marks'!GY75)</f>
        <v/>
      </c>
      <c r="K71" s="390" t="str">
        <f>IF(B71="","",IF('Statement of Marks'!GZ75="","",'Statement of Marks'!GZ75))</f>
        <v/>
      </c>
      <c r="L71" s="391" t="str">
        <f>IF('Statement of Marks'!HC75="","",'Statement of Marks'!HC75)</f>
        <v/>
      </c>
      <c r="M71" s="390" t="str">
        <f>IF('Statement of Marks'!HB75="","",'Statement of Marks'!HB75)</f>
        <v/>
      </c>
      <c r="N71" s="392" t="str">
        <f>IF(J71="FAIL","",IF('Statement of Marks'!GU75="","",'Statement of Marks'!GU75))</f>
        <v xml:space="preserve">    </v>
      </c>
      <c r="O71" s="393" t="str">
        <f>IF('Supp. Result Entry'!AS74="","",'Supp. Result Entry'!AS74)</f>
        <v/>
      </c>
      <c r="P71" s="394" t="str">
        <f>IF('Supp. Result Entry'!AT74="","",'Supp. Result Entry'!AT74)</f>
        <v/>
      </c>
      <c r="Q71" s="395" t="str">
        <f>IF('Statement of Marks'!HG75="","",'Statement of Marks'!HG75)</f>
        <v/>
      </c>
      <c r="R71" s="396" t="str">
        <f>IF('Statement of Marks'!FH75="","",'Statement of Marks'!FH75)</f>
        <v/>
      </c>
      <c r="BL71" s="397" t="str">
        <f>'Statement of Marks'!E75</f>
        <v/>
      </c>
      <c r="BM71" s="398" t="str">
        <f t="shared" si="12"/>
        <v/>
      </c>
      <c r="BN71" s="398" t="str">
        <f t="shared" si="13"/>
        <v/>
      </c>
      <c r="BO71" s="398" t="str">
        <f t="shared" si="14"/>
        <v/>
      </c>
      <c r="BP71" s="398" t="str">
        <f t="shared" si="15"/>
        <v/>
      </c>
      <c r="BQ71" s="398" t="str">
        <f t="shared" si="16"/>
        <v/>
      </c>
      <c r="BR71" s="398" t="str">
        <f t="shared" si="17"/>
        <v/>
      </c>
      <c r="BS71" s="398" t="str">
        <f t="shared" si="18"/>
        <v/>
      </c>
      <c r="BT71" s="398" t="str">
        <f t="shared" si="19"/>
        <v/>
      </c>
      <c r="BU71" s="398" t="str">
        <f t="shared" si="20"/>
        <v/>
      </c>
      <c r="BV71" s="398" t="str">
        <f t="shared" si="21"/>
        <v/>
      </c>
      <c r="BW71" s="398" t="str">
        <f t="shared" si="22"/>
        <v/>
      </c>
      <c r="BX71" s="398" t="str">
        <f t="shared" si="23"/>
        <v/>
      </c>
      <c r="BY71" s="399"/>
    </row>
    <row r="72" spans="1:77" ht="15.95" customHeight="1">
      <c r="A72" s="385">
        <f>IF('Statement of Marks'!A76="","",'Statement of Marks'!A76)</f>
        <v>69</v>
      </c>
      <c r="B72" s="386" t="str">
        <f>IF('Statement of Marks'!B76="","",'Statement of Marks'!B76)</f>
        <v/>
      </c>
      <c r="C72" s="387" t="str">
        <f>IF('Statement of Marks'!C76="","",'Statement of Marks'!C76)</f>
        <v/>
      </c>
      <c r="D72" s="426" t="str">
        <f>IF('Statement of Marks'!D76="","",'Statement of Marks'!D76)</f>
        <v/>
      </c>
      <c r="E72" s="388" t="str">
        <f>IF('Statement of Marks'!E76="","",'Statement of Marks'!E76)</f>
        <v/>
      </c>
      <c r="F72" s="388" t="str">
        <f>IF('Statement of Marks'!F76="","",'Statement of Marks'!F76)</f>
        <v/>
      </c>
      <c r="G72" s="388" t="str">
        <f>IF('Statement of Marks'!G76="","",'Statement of Marks'!G76)</f>
        <v/>
      </c>
      <c r="H72" s="389" t="str">
        <f>IF('Statement of Marks'!H76="","",'Statement of Marks'!H76)</f>
        <v/>
      </c>
      <c r="I72" s="389" t="str">
        <f>IF('Statement of Marks'!I76="","",'Statement of Marks'!I76)</f>
        <v/>
      </c>
      <c r="J72" s="648" t="str">
        <f>IF('Statement of Marks'!GY76="","",'Statement of Marks'!GY76)</f>
        <v/>
      </c>
      <c r="K72" s="390" t="str">
        <f>IF(B72="","",IF('Statement of Marks'!GZ76="","",'Statement of Marks'!GZ76))</f>
        <v/>
      </c>
      <c r="L72" s="391" t="str">
        <f>IF('Statement of Marks'!HC76="","",'Statement of Marks'!HC76)</f>
        <v/>
      </c>
      <c r="M72" s="390" t="str">
        <f>IF('Statement of Marks'!HB76="","",'Statement of Marks'!HB76)</f>
        <v/>
      </c>
      <c r="N72" s="392" t="str">
        <f>IF(J72="FAIL","",IF('Statement of Marks'!GU76="","",'Statement of Marks'!GU76))</f>
        <v xml:space="preserve">    </v>
      </c>
      <c r="O72" s="393" t="str">
        <f>IF('Supp. Result Entry'!AS75="","",'Supp. Result Entry'!AS75)</f>
        <v/>
      </c>
      <c r="P72" s="394" t="str">
        <f>IF('Supp. Result Entry'!AT75="","",'Supp. Result Entry'!AT75)</f>
        <v/>
      </c>
      <c r="Q72" s="395" t="str">
        <f>IF('Statement of Marks'!HG76="","",'Statement of Marks'!HG76)</f>
        <v/>
      </c>
      <c r="R72" s="396" t="str">
        <f>IF('Statement of Marks'!FH76="","",'Statement of Marks'!FH76)</f>
        <v/>
      </c>
      <c r="BL72" s="397" t="str">
        <f>'Statement of Marks'!E76</f>
        <v/>
      </c>
      <c r="BM72" s="398" t="str">
        <f t="shared" si="12"/>
        <v/>
      </c>
      <c r="BN72" s="398" t="str">
        <f t="shared" si="13"/>
        <v/>
      </c>
      <c r="BO72" s="398" t="str">
        <f t="shared" si="14"/>
        <v/>
      </c>
      <c r="BP72" s="398" t="str">
        <f t="shared" si="15"/>
        <v/>
      </c>
      <c r="BQ72" s="398" t="str">
        <f t="shared" si="16"/>
        <v/>
      </c>
      <c r="BR72" s="398" t="str">
        <f t="shared" si="17"/>
        <v/>
      </c>
      <c r="BS72" s="398" t="str">
        <f t="shared" si="18"/>
        <v/>
      </c>
      <c r="BT72" s="398" t="str">
        <f t="shared" si="19"/>
        <v/>
      </c>
      <c r="BU72" s="398" t="str">
        <f t="shared" si="20"/>
        <v/>
      </c>
      <c r="BV72" s="398" t="str">
        <f t="shared" si="21"/>
        <v/>
      </c>
      <c r="BW72" s="398" t="str">
        <f t="shared" si="22"/>
        <v/>
      </c>
      <c r="BX72" s="398" t="str">
        <f t="shared" si="23"/>
        <v/>
      </c>
      <c r="BY72" s="399"/>
    </row>
    <row r="73" spans="1:77" ht="15" customHeight="1">
      <c r="A73" s="385">
        <f>IF('Statement of Marks'!A77="","",'Statement of Marks'!A77)</f>
        <v>70</v>
      </c>
      <c r="B73" s="386" t="str">
        <f>IF('Statement of Marks'!B77="","",'Statement of Marks'!B77)</f>
        <v/>
      </c>
      <c r="C73" s="387" t="str">
        <f>IF('Statement of Marks'!C77="","",'Statement of Marks'!C77)</f>
        <v/>
      </c>
      <c r="D73" s="426" t="str">
        <f>IF('Statement of Marks'!D77="","",'Statement of Marks'!D77)</f>
        <v/>
      </c>
      <c r="E73" s="388" t="str">
        <f>IF('Statement of Marks'!E77="","",'Statement of Marks'!E77)</f>
        <v/>
      </c>
      <c r="F73" s="388" t="str">
        <f>IF('Statement of Marks'!F77="","",'Statement of Marks'!F77)</f>
        <v/>
      </c>
      <c r="G73" s="388" t="str">
        <f>IF('Statement of Marks'!G77="","",'Statement of Marks'!G77)</f>
        <v/>
      </c>
      <c r="H73" s="389" t="str">
        <f>IF('Statement of Marks'!H77="","",'Statement of Marks'!H77)</f>
        <v/>
      </c>
      <c r="I73" s="389" t="str">
        <f>IF('Statement of Marks'!I77="","",'Statement of Marks'!I77)</f>
        <v/>
      </c>
      <c r="J73" s="648" t="str">
        <f>IF('Statement of Marks'!GY77="","",'Statement of Marks'!GY77)</f>
        <v/>
      </c>
      <c r="K73" s="390" t="str">
        <f>IF(B73="","",IF('Statement of Marks'!GZ77="","",'Statement of Marks'!GZ77))</f>
        <v/>
      </c>
      <c r="L73" s="391" t="str">
        <f>IF('Statement of Marks'!HC77="","",'Statement of Marks'!HC77)</f>
        <v/>
      </c>
      <c r="M73" s="390" t="str">
        <f>IF('Statement of Marks'!HB77="","",'Statement of Marks'!HB77)</f>
        <v/>
      </c>
      <c r="N73" s="392" t="str">
        <f>IF(J73="FAIL","",IF('Statement of Marks'!GU77="","",'Statement of Marks'!GU77))</f>
        <v xml:space="preserve">    </v>
      </c>
      <c r="O73" s="393" t="str">
        <f>IF('Supp. Result Entry'!AS76="","",'Supp. Result Entry'!AS76)</f>
        <v/>
      </c>
      <c r="P73" s="394" t="str">
        <f>IF('Supp. Result Entry'!AT76="","",'Supp. Result Entry'!AT76)</f>
        <v/>
      </c>
      <c r="Q73" s="395" t="str">
        <f>IF('Statement of Marks'!HG77="","",'Statement of Marks'!HG77)</f>
        <v/>
      </c>
      <c r="R73" s="396" t="str">
        <f>IF('Statement of Marks'!FH77="","",'Statement of Marks'!FH77)</f>
        <v/>
      </c>
      <c r="BL73" s="397" t="str">
        <f>'Statement of Marks'!E77</f>
        <v/>
      </c>
      <c r="BM73" s="398" t="str">
        <f t="shared" si="12"/>
        <v/>
      </c>
      <c r="BN73" s="398" t="str">
        <f t="shared" si="13"/>
        <v/>
      </c>
      <c r="BO73" s="398" t="str">
        <f t="shared" si="14"/>
        <v/>
      </c>
      <c r="BP73" s="398" t="str">
        <f t="shared" si="15"/>
        <v/>
      </c>
      <c r="BQ73" s="398" t="str">
        <f t="shared" si="16"/>
        <v/>
      </c>
      <c r="BR73" s="398" t="str">
        <f t="shared" si="17"/>
        <v/>
      </c>
      <c r="BS73" s="398" t="str">
        <f t="shared" si="18"/>
        <v/>
      </c>
      <c r="BT73" s="398" t="str">
        <f t="shared" si="19"/>
        <v/>
      </c>
      <c r="BU73" s="398" t="str">
        <f t="shared" si="20"/>
        <v/>
      </c>
      <c r="BV73" s="398" t="str">
        <f t="shared" si="21"/>
        <v/>
      </c>
      <c r="BW73" s="398" t="str">
        <f t="shared" si="22"/>
        <v/>
      </c>
      <c r="BX73" s="398" t="str">
        <f t="shared" si="23"/>
        <v/>
      </c>
      <c r="BY73" s="399"/>
    </row>
    <row r="74" spans="1:77" ht="15" customHeight="1">
      <c r="A74" s="385">
        <f>IF('Statement of Marks'!A78="","",'Statement of Marks'!A78)</f>
        <v>71</v>
      </c>
      <c r="B74" s="386" t="str">
        <f>IF('Statement of Marks'!B78="","",'Statement of Marks'!B78)</f>
        <v/>
      </c>
      <c r="C74" s="387" t="str">
        <f>IF('Statement of Marks'!C78="","",'Statement of Marks'!C78)</f>
        <v/>
      </c>
      <c r="D74" s="426" t="str">
        <f>IF('Statement of Marks'!D78="","",'Statement of Marks'!D78)</f>
        <v/>
      </c>
      <c r="E74" s="388" t="str">
        <f>IF('Statement of Marks'!E78="","",'Statement of Marks'!E78)</f>
        <v/>
      </c>
      <c r="F74" s="388" t="str">
        <f>IF('Statement of Marks'!F78="","",'Statement of Marks'!F78)</f>
        <v/>
      </c>
      <c r="G74" s="388" t="str">
        <f>IF('Statement of Marks'!G78="","",'Statement of Marks'!G78)</f>
        <v/>
      </c>
      <c r="H74" s="389" t="str">
        <f>IF('Statement of Marks'!H78="","",'Statement of Marks'!H78)</f>
        <v/>
      </c>
      <c r="I74" s="389" t="str">
        <f>IF('Statement of Marks'!I78="","",'Statement of Marks'!I78)</f>
        <v/>
      </c>
      <c r="J74" s="648" t="str">
        <f>IF('Statement of Marks'!GY78="","",'Statement of Marks'!GY78)</f>
        <v/>
      </c>
      <c r="K74" s="390" t="str">
        <f>IF(B74="","",IF('Statement of Marks'!GZ78="","",'Statement of Marks'!GZ78))</f>
        <v/>
      </c>
      <c r="L74" s="391" t="str">
        <f>IF('Statement of Marks'!HC78="","",'Statement of Marks'!HC78)</f>
        <v/>
      </c>
      <c r="M74" s="390" t="str">
        <f>IF('Statement of Marks'!HB78="","",'Statement of Marks'!HB78)</f>
        <v/>
      </c>
      <c r="N74" s="392" t="str">
        <f>IF(J74="FAIL","",IF('Statement of Marks'!GU78="","",'Statement of Marks'!GU78))</f>
        <v xml:space="preserve">    </v>
      </c>
      <c r="O74" s="393" t="str">
        <f>IF('Supp. Result Entry'!AS77="","",'Supp. Result Entry'!AS77)</f>
        <v/>
      </c>
      <c r="P74" s="394" t="str">
        <f>IF('Supp. Result Entry'!AT77="","",'Supp. Result Entry'!AT77)</f>
        <v/>
      </c>
      <c r="Q74" s="395" t="str">
        <f>IF('Statement of Marks'!HG78="","",'Statement of Marks'!HG78)</f>
        <v/>
      </c>
      <c r="R74" s="396" t="str">
        <f>IF('Statement of Marks'!FH78="","",'Statement of Marks'!FH78)</f>
        <v/>
      </c>
      <c r="BL74" s="397" t="str">
        <f>'Statement of Marks'!E78</f>
        <v/>
      </c>
      <c r="BM74" s="398" t="str">
        <f t="shared" si="12"/>
        <v/>
      </c>
      <c r="BN74" s="398" t="str">
        <f t="shared" si="13"/>
        <v/>
      </c>
      <c r="BO74" s="398" t="str">
        <f t="shared" si="14"/>
        <v/>
      </c>
      <c r="BP74" s="398" t="str">
        <f t="shared" si="15"/>
        <v/>
      </c>
      <c r="BQ74" s="398" t="str">
        <f t="shared" si="16"/>
        <v/>
      </c>
      <c r="BR74" s="398" t="str">
        <f t="shared" si="17"/>
        <v/>
      </c>
      <c r="BS74" s="398" t="str">
        <f t="shared" si="18"/>
        <v/>
      </c>
      <c r="BT74" s="398" t="str">
        <f t="shared" si="19"/>
        <v/>
      </c>
      <c r="BU74" s="398" t="str">
        <f t="shared" si="20"/>
        <v/>
      </c>
      <c r="BV74" s="398" t="str">
        <f t="shared" si="21"/>
        <v/>
      </c>
      <c r="BW74" s="398" t="str">
        <f t="shared" si="22"/>
        <v/>
      </c>
      <c r="BX74" s="398" t="str">
        <f t="shared" si="23"/>
        <v/>
      </c>
      <c r="BY74" s="399"/>
    </row>
    <row r="75" spans="1:77" ht="15" customHeight="1">
      <c r="A75" s="385">
        <f>IF('Statement of Marks'!A79="","",'Statement of Marks'!A79)</f>
        <v>72</v>
      </c>
      <c r="B75" s="386" t="str">
        <f>IF('Statement of Marks'!B79="","",'Statement of Marks'!B79)</f>
        <v/>
      </c>
      <c r="C75" s="387" t="str">
        <f>IF('Statement of Marks'!C79="","",'Statement of Marks'!C79)</f>
        <v/>
      </c>
      <c r="D75" s="426" t="str">
        <f>IF('Statement of Marks'!D79="","",'Statement of Marks'!D79)</f>
        <v/>
      </c>
      <c r="E75" s="388" t="str">
        <f>IF('Statement of Marks'!E79="","",'Statement of Marks'!E79)</f>
        <v/>
      </c>
      <c r="F75" s="388" t="str">
        <f>IF('Statement of Marks'!F79="","",'Statement of Marks'!F79)</f>
        <v/>
      </c>
      <c r="G75" s="388" t="str">
        <f>IF('Statement of Marks'!G79="","",'Statement of Marks'!G79)</f>
        <v/>
      </c>
      <c r="H75" s="389" t="str">
        <f>IF('Statement of Marks'!H79="","",'Statement of Marks'!H79)</f>
        <v/>
      </c>
      <c r="I75" s="389" t="str">
        <f>IF('Statement of Marks'!I79="","",'Statement of Marks'!I79)</f>
        <v/>
      </c>
      <c r="J75" s="648" t="str">
        <f>IF('Statement of Marks'!GY79="","",'Statement of Marks'!GY79)</f>
        <v/>
      </c>
      <c r="K75" s="390" t="str">
        <f>IF(B75="","",IF('Statement of Marks'!GZ79="","",'Statement of Marks'!GZ79))</f>
        <v/>
      </c>
      <c r="L75" s="391" t="str">
        <f>IF('Statement of Marks'!HC79="","",'Statement of Marks'!HC79)</f>
        <v/>
      </c>
      <c r="M75" s="390" t="str">
        <f>IF('Statement of Marks'!HB79="","",'Statement of Marks'!HB79)</f>
        <v/>
      </c>
      <c r="N75" s="392" t="str">
        <f>IF(J75="FAIL","",IF('Statement of Marks'!GU79="","",'Statement of Marks'!GU79))</f>
        <v xml:space="preserve">    </v>
      </c>
      <c r="O75" s="393" t="str">
        <f>IF('Supp. Result Entry'!AS78="","",'Supp. Result Entry'!AS78)</f>
        <v/>
      </c>
      <c r="P75" s="394" t="str">
        <f>IF('Supp. Result Entry'!AT78="","",'Supp. Result Entry'!AT78)</f>
        <v/>
      </c>
      <c r="Q75" s="395" t="str">
        <f>IF('Statement of Marks'!HG79="","",'Statement of Marks'!HG79)</f>
        <v/>
      </c>
      <c r="R75" s="396" t="str">
        <f>IF('Statement of Marks'!FH79="","",'Statement of Marks'!FH79)</f>
        <v/>
      </c>
      <c r="BL75" s="397" t="str">
        <f>'Statement of Marks'!E79</f>
        <v/>
      </c>
      <c r="BM75" s="398" t="str">
        <f t="shared" si="12"/>
        <v/>
      </c>
      <c r="BN75" s="398" t="str">
        <f t="shared" si="13"/>
        <v/>
      </c>
      <c r="BO75" s="398" t="str">
        <f t="shared" si="14"/>
        <v/>
      </c>
      <c r="BP75" s="398" t="str">
        <f t="shared" si="15"/>
        <v/>
      </c>
      <c r="BQ75" s="398" t="str">
        <f t="shared" si="16"/>
        <v/>
      </c>
      <c r="BR75" s="398" t="str">
        <f t="shared" si="17"/>
        <v/>
      </c>
      <c r="BS75" s="398" t="str">
        <f t="shared" si="18"/>
        <v/>
      </c>
      <c r="BT75" s="398" t="str">
        <f t="shared" si="19"/>
        <v/>
      </c>
      <c r="BU75" s="398" t="str">
        <f t="shared" si="20"/>
        <v/>
      </c>
      <c r="BV75" s="398" t="str">
        <f t="shared" si="21"/>
        <v/>
      </c>
      <c r="BW75" s="398" t="str">
        <f t="shared" si="22"/>
        <v/>
      </c>
      <c r="BX75" s="398" t="str">
        <f t="shared" si="23"/>
        <v/>
      </c>
      <c r="BY75" s="399"/>
    </row>
    <row r="76" spans="1:77" ht="15" customHeight="1">
      <c r="A76" s="385">
        <f>IF('Statement of Marks'!A80="","",'Statement of Marks'!A80)</f>
        <v>73</v>
      </c>
      <c r="B76" s="386" t="str">
        <f>IF('Statement of Marks'!B80="","",'Statement of Marks'!B80)</f>
        <v/>
      </c>
      <c r="C76" s="387" t="str">
        <f>IF('Statement of Marks'!C80="","",'Statement of Marks'!C80)</f>
        <v/>
      </c>
      <c r="D76" s="426" t="str">
        <f>IF('Statement of Marks'!D80="","",'Statement of Marks'!D80)</f>
        <v/>
      </c>
      <c r="E76" s="388" t="str">
        <f>IF('Statement of Marks'!E80="","",'Statement of Marks'!E80)</f>
        <v/>
      </c>
      <c r="F76" s="388" t="str">
        <f>IF('Statement of Marks'!F80="","",'Statement of Marks'!F80)</f>
        <v/>
      </c>
      <c r="G76" s="388" t="str">
        <f>IF('Statement of Marks'!G80="","",'Statement of Marks'!G80)</f>
        <v/>
      </c>
      <c r="H76" s="389" t="str">
        <f>IF('Statement of Marks'!H80="","",'Statement of Marks'!H80)</f>
        <v/>
      </c>
      <c r="I76" s="389" t="str">
        <f>IF('Statement of Marks'!I80="","",'Statement of Marks'!I80)</f>
        <v/>
      </c>
      <c r="J76" s="648" t="str">
        <f>IF('Statement of Marks'!GY80="","",'Statement of Marks'!GY80)</f>
        <v/>
      </c>
      <c r="K76" s="390" t="str">
        <f>IF(B76="","",IF('Statement of Marks'!GZ80="","",'Statement of Marks'!GZ80))</f>
        <v/>
      </c>
      <c r="L76" s="391" t="str">
        <f>IF('Statement of Marks'!HC80="","",'Statement of Marks'!HC80)</f>
        <v/>
      </c>
      <c r="M76" s="390" t="str">
        <f>IF('Statement of Marks'!HB80="","",'Statement of Marks'!HB80)</f>
        <v/>
      </c>
      <c r="N76" s="392" t="str">
        <f>IF(J76="FAIL","",IF('Statement of Marks'!GU80="","",'Statement of Marks'!GU80))</f>
        <v xml:space="preserve">    </v>
      </c>
      <c r="O76" s="393" t="str">
        <f>IF('Supp. Result Entry'!AS79="","",'Supp. Result Entry'!AS79)</f>
        <v/>
      </c>
      <c r="P76" s="394" t="str">
        <f>IF('Supp. Result Entry'!AT79="","",'Supp. Result Entry'!AT79)</f>
        <v/>
      </c>
      <c r="Q76" s="395" t="str">
        <f>IF('Statement of Marks'!HG80="","",'Statement of Marks'!HG80)</f>
        <v/>
      </c>
      <c r="R76" s="396" t="str">
        <f>IF('Statement of Marks'!FH80="","",'Statement of Marks'!FH80)</f>
        <v/>
      </c>
      <c r="BL76" s="397" t="str">
        <f>'Statement of Marks'!E80</f>
        <v/>
      </c>
      <c r="BM76" s="398" t="str">
        <f t="shared" si="12"/>
        <v/>
      </c>
      <c r="BN76" s="398" t="str">
        <f t="shared" si="13"/>
        <v/>
      </c>
      <c r="BO76" s="398" t="str">
        <f t="shared" si="14"/>
        <v/>
      </c>
      <c r="BP76" s="398" t="str">
        <f t="shared" si="15"/>
        <v/>
      </c>
      <c r="BQ76" s="398" t="str">
        <f t="shared" si="16"/>
        <v/>
      </c>
      <c r="BR76" s="398" t="str">
        <f t="shared" si="17"/>
        <v/>
      </c>
      <c r="BS76" s="398" t="str">
        <f t="shared" si="18"/>
        <v/>
      </c>
      <c r="BT76" s="398" t="str">
        <f t="shared" si="19"/>
        <v/>
      </c>
      <c r="BU76" s="398" t="str">
        <f t="shared" si="20"/>
        <v/>
      </c>
      <c r="BV76" s="398" t="str">
        <f t="shared" si="21"/>
        <v/>
      </c>
      <c r="BW76" s="398" t="str">
        <f t="shared" si="22"/>
        <v/>
      </c>
      <c r="BX76" s="398" t="str">
        <f t="shared" si="23"/>
        <v/>
      </c>
      <c r="BY76" s="399"/>
    </row>
    <row r="77" spans="1:77" ht="15" customHeight="1">
      <c r="A77" s="385">
        <f>IF('Statement of Marks'!A81="","",'Statement of Marks'!A81)</f>
        <v>74</v>
      </c>
      <c r="B77" s="386" t="str">
        <f>IF('Statement of Marks'!B81="","",'Statement of Marks'!B81)</f>
        <v/>
      </c>
      <c r="C77" s="387" t="str">
        <f>IF('Statement of Marks'!C81="","",'Statement of Marks'!C81)</f>
        <v/>
      </c>
      <c r="D77" s="426" t="str">
        <f>IF('Statement of Marks'!D81="","",'Statement of Marks'!D81)</f>
        <v/>
      </c>
      <c r="E77" s="388" t="str">
        <f>IF('Statement of Marks'!E81="","",'Statement of Marks'!E81)</f>
        <v/>
      </c>
      <c r="F77" s="388" t="str">
        <f>IF('Statement of Marks'!F81="","",'Statement of Marks'!F81)</f>
        <v/>
      </c>
      <c r="G77" s="388" t="str">
        <f>IF('Statement of Marks'!G81="","",'Statement of Marks'!G81)</f>
        <v/>
      </c>
      <c r="H77" s="389" t="str">
        <f>IF('Statement of Marks'!H81="","",'Statement of Marks'!H81)</f>
        <v/>
      </c>
      <c r="I77" s="389" t="str">
        <f>IF('Statement of Marks'!I81="","",'Statement of Marks'!I81)</f>
        <v/>
      </c>
      <c r="J77" s="648" t="str">
        <f>IF('Statement of Marks'!GY81="","",'Statement of Marks'!GY81)</f>
        <v/>
      </c>
      <c r="K77" s="390" t="str">
        <f>IF(B77="","",IF('Statement of Marks'!GZ81="","",'Statement of Marks'!GZ81))</f>
        <v/>
      </c>
      <c r="L77" s="391" t="str">
        <f>IF('Statement of Marks'!HC81="","",'Statement of Marks'!HC81)</f>
        <v/>
      </c>
      <c r="M77" s="390" t="str">
        <f>IF('Statement of Marks'!HB81="","",'Statement of Marks'!HB81)</f>
        <v/>
      </c>
      <c r="N77" s="392" t="str">
        <f>IF(J77="FAIL","",IF('Statement of Marks'!GU81="","",'Statement of Marks'!GU81))</f>
        <v xml:space="preserve">    </v>
      </c>
      <c r="O77" s="393" t="str">
        <f>IF('Supp. Result Entry'!AS80="","",'Supp. Result Entry'!AS80)</f>
        <v/>
      </c>
      <c r="P77" s="394" t="str">
        <f>IF('Supp. Result Entry'!AT80="","",'Supp. Result Entry'!AT80)</f>
        <v/>
      </c>
      <c r="Q77" s="395" t="str">
        <f>IF('Statement of Marks'!HG81="","",'Statement of Marks'!HG81)</f>
        <v/>
      </c>
      <c r="R77" s="396" t="str">
        <f>IF('Statement of Marks'!FH81="","",'Statement of Marks'!FH81)</f>
        <v/>
      </c>
      <c r="BL77" s="397" t="str">
        <f>'Statement of Marks'!E81</f>
        <v/>
      </c>
      <c r="BM77" s="398" t="str">
        <f t="shared" si="12"/>
        <v/>
      </c>
      <c r="BN77" s="398" t="str">
        <f t="shared" si="13"/>
        <v/>
      </c>
      <c r="BO77" s="398" t="str">
        <f t="shared" si="14"/>
        <v/>
      </c>
      <c r="BP77" s="398" t="str">
        <f t="shared" si="15"/>
        <v/>
      </c>
      <c r="BQ77" s="398" t="str">
        <f t="shared" si="16"/>
        <v/>
      </c>
      <c r="BR77" s="398" t="str">
        <f t="shared" si="17"/>
        <v/>
      </c>
      <c r="BS77" s="398" t="str">
        <f t="shared" si="18"/>
        <v/>
      </c>
      <c r="BT77" s="398" t="str">
        <f t="shared" si="19"/>
        <v/>
      </c>
      <c r="BU77" s="398" t="str">
        <f t="shared" si="20"/>
        <v/>
      </c>
      <c r="BV77" s="398" t="str">
        <f t="shared" si="21"/>
        <v/>
      </c>
      <c r="BW77" s="398" t="str">
        <f t="shared" si="22"/>
        <v/>
      </c>
      <c r="BX77" s="398" t="str">
        <f t="shared" si="23"/>
        <v/>
      </c>
      <c r="BY77" s="399"/>
    </row>
    <row r="78" spans="1:77" ht="15" customHeight="1">
      <c r="A78" s="385">
        <f>IF('Statement of Marks'!A82="","",'Statement of Marks'!A82)</f>
        <v>75</v>
      </c>
      <c r="B78" s="386" t="str">
        <f>IF('Statement of Marks'!B82="","",'Statement of Marks'!B82)</f>
        <v/>
      </c>
      <c r="C78" s="387" t="str">
        <f>IF('Statement of Marks'!C82="","",'Statement of Marks'!C82)</f>
        <v/>
      </c>
      <c r="D78" s="426" t="str">
        <f>IF('Statement of Marks'!D82="","",'Statement of Marks'!D82)</f>
        <v/>
      </c>
      <c r="E78" s="388" t="str">
        <f>IF('Statement of Marks'!E82="","",'Statement of Marks'!E82)</f>
        <v/>
      </c>
      <c r="F78" s="388" t="str">
        <f>IF('Statement of Marks'!F82="","",'Statement of Marks'!F82)</f>
        <v/>
      </c>
      <c r="G78" s="388" t="str">
        <f>IF('Statement of Marks'!G82="","",'Statement of Marks'!G82)</f>
        <v/>
      </c>
      <c r="H78" s="389" t="str">
        <f>IF('Statement of Marks'!H82="","",'Statement of Marks'!H82)</f>
        <v/>
      </c>
      <c r="I78" s="389" t="str">
        <f>IF('Statement of Marks'!I82="","",'Statement of Marks'!I82)</f>
        <v/>
      </c>
      <c r="J78" s="648" t="str">
        <f>IF('Statement of Marks'!GY82="","",'Statement of Marks'!GY82)</f>
        <v/>
      </c>
      <c r="K78" s="390" t="str">
        <f>IF(B78="","",IF('Statement of Marks'!GZ82="","",'Statement of Marks'!GZ82))</f>
        <v/>
      </c>
      <c r="L78" s="391" t="str">
        <f>IF('Statement of Marks'!HC82="","",'Statement of Marks'!HC82)</f>
        <v/>
      </c>
      <c r="M78" s="390" t="str">
        <f>IF('Statement of Marks'!HB82="","",'Statement of Marks'!HB82)</f>
        <v/>
      </c>
      <c r="N78" s="392" t="str">
        <f>IF(J78="FAIL","",IF('Statement of Marks'!GU82="","",'Statement of Marks'!GU82))</f>
        <v xml:space="preserve">    </v>
      </c>
      <c r="O78" s="393" t="str">
        <f>IF('Supp. Result Entry'!AS81="","",'Supp. Result Entry'!AS81)</f>
        <v/>
      </c>
      <c r="P78" s="394" t="str">
        <f>IF('Supp. Result Entry'!AT81="","",'Supp. Result Entry'!AT81)</f>
        <v/>
      </c>
      <c r="Q78" s="395" t="str">
        <f>IF('Statement of Marks'!HG82="","",'Statement of Marks'!HG82)</f>
        <v/>
      </c>
      <c r="R78" s="396" t="str">
        <f>IF('Statement of Marks'!FH82="","",'Statement of Marks'!FH82)</f>
        <v/>
      </c>
      <c r="BL78" s="397" t="str">
        <f>'Statement of Marks'!E82</f>
        <v/>
      </c>
      <c r="BM78" s="398" t="str">
        <f t="shared" si="12"/>
        <v/>
      </c>
      <c r="BN78" s="398" t="str">
        <f t="shared" si="13"/>
        <v/>
      </c>
      <c r="BO78" s="398" t="str">
        <f t="shared" si="14"/>
        <v/>
      </c>
      <c r="BP78" s="398" t="str">
        <f t="shared" si="15"/>
        <v/>
      </c>
      <c r="BQ78" s="398" t="str">
        <f t="shared" si="16"/>
        <v/>
      </c>
      <c r="BR78" s="398" t="str">
        <f t="shared" si="17"/>
        <v/>
      </c>
      <c r="BS78" s="398" t="str">
        <f t="shared" si="18"/>
        <v/>
      </c>
      <c r="BT78" s="398" t="str">
        <f t="shared" si="19"/>
        <v/>
      </c>
      <c r="BU78" s="398" t="str">
        <f t="shared" si="20"/>
        <v/>
      </c>
      <c r="BV78" s="398" t="str">
        <f t="shared" si="21"/>
        <v/>
      </c>
      <c r="BW78" s="398" t="str">
        <f t="shared" si="22"/>
        <v/>
      </c>
      <c r="BX78" s="398" t="str">
        <f t="shared" si="23"/>
        <v/>
      </c>
      <c r="BY78" s="399"/>
    </row>
    <row r="79" spans="1:77" ht="15" customHeight="1">
      <c r="A79" s="385">
        <f>IF('Statement of Marks'!A83="","",'Statement of Marks'!A83)</f>
        <v>76</v>
      </c>
      <c r="B79" s="386" t="str">
        <f>IF('Statement of Marks'!B83="","",'Statement of Marks'!B83)</f>
        <v/>
      </c>
      <c r="C79" s="387" t="str">
        <f>IF('Statement of Marks'!C83="","",'Statement of Marks'!C83)</f>
        <v/>
      </c>
      <c r="D79" s="426" t="str">
        <f>IF('Statement of Marks'!D83="","",'Statement of Marks'!D83)</f>
        <v/>
      </c>
      <c r="E79" s="388" t="str">
        <f>IF('Statement of Marks'!E83="","",'Statement of Marks'!E83)</f>
        <v/>
      </c>
      <c r="F79" s="388" t="str">
        <f>IF('Statement of Marks'!F83="","",'Statement of Marks'!F83)</f>
        <v/>
      </c>
      <c r="G79" s="388" t="str">
        <f>IF('Statement of Marks'!G83="","",'Statement of Marks'!G83)</f>
        <v/>
      </c>
      <c r="H79" s="389" t="str">
        <f>IF('Statement of Marks'!H83="","",'Statement of Marks'!H83)</f>
        <v/>
      </c>
      <c r="I79" s="389" t="str">
        <f>IF('Statement of Marks'!I83="","",'Statement of Marks'!I83)</f>
        <v/>
      </c>
      <c r="J79" s="648" t="str">
        <f>IF('Statement of Marks'!GY83="","",'Statement of Marks'!GY83)</f>
        <v/>
      </c>
      <c r="K79" s="390" t="str">
        <f>IF(B79="","",IF('Statement of Marks'!GZ83="","",'Statement of Marks'!GZ83))</f>
        <v/>
      </c>
      <c r="L79" s="391" t="str">
        <f>IF('Statement of Marks'!HC83="","",'Statement of Marks'!HC83)</f>
        <v/>
      </c>
      <c r="M79" s="390" t="str">
        <f>IF('Statement of Marks'!HB83="","",'Statement of Marks'!HB83)</f>
        <v/>
      </c>
      <c r="N79" s="392" t="str">
        <f>IF(J79="FAIL","",IF('Statement of Marks'!GU83="","",'Statement of Marks'!GU83))</f>
        <v xml:space="preserve">    </v>
      </c>
      <c r="O79" s="393" t="str">
        <f>IF('Supp. Result Entry'!AS82="","",'Supp. Result Entry'!AS82)</f>
        <v/>
      </c>
      <c r="P79" s="394" t="str">
        <f>IF('Supp. Result Entry'!AT82="","",'Supp. Result Entry'!AT82)</f>
        <v/>
      </c>
      <c r="Q79" s="395" t="str">
        <f>IF('Statement of Marks'!HG83="","",'Statement of Marks'!HG83)</f>
        <v/>
      </c>
      <c r="R79" s="396" t="str">
        <f>IF('Statement of Marks'!FH83="","",'Statement of Marks'!FH83)</f>
        <v/>
      </c>
      <c r="BL79" s="397" t="str">
        <f>'Statement of Marks'!E83</f>
        <v/>
      </c>
      <c r="BM79" s="398" t="str">
        <f t="shared" si="12"/>
        <v/>
      </c>
      <c r="BN79" s="398" t="str">
        <f t="shared" si="13"/>
        <v/>
      </c>
      <c r="BO79" s="398" t="str">
        <f t="shared" si="14"/>
        <v/>
      </c>
      <c r="BP79" s="398" t="str">
        <f t="shared" si="15"/>
        <v/>
      </c>
      <c r="BQ79" s="398" t="str">
        <f t="shared" si="16"/>
        <v/>
      </c>
      <c r="BR79" s="398" t="str">
        <f t="shared" si="17"/>
        <v/>
      </c>
      <c r="BS79" s="398" t="str">
        <f t="shared" si="18"/>
        <v/>
      </c>
      <c r="BT79" s="398" t="str">
        <f t="shared" si="19"/>
        <v/>
      </c>
      <c r="BU79" s="398" t="str">
        <f t="shared" si="20"/>
        <v/>
      </c>
      <c r="BV79" s="398" t="str">
        <f t="shared" si="21"/>
        <v/>
      </c>
      <c r="BW79" s="398" t="str">
        <f t="shared" si="22"/>
        <v/>
      </c>
      <c r="BX79" s="398" t="str">
        <f t="shared" si="23"/>
        <v/>
      </c>
      <c r="BY79" s="399"/>
    </row>
    <row r="80" spans="1:77" ht="15" customHeight="1">
      <c r="A80" s="385">
        <f>IF('Statement of Marks'!A84="","",'Statement of Marks'!A84)</f>
        <v>77</v>
      </c>
      <c r="B80" s="386" t="str">
        <f>IF('Statement of Marks'!B84="","",'Statement of Marks'!B84)</f>
        <v/>
      </c>
      <c r="C80" s="387" t="str">
        <f>IF('Statement of Marks'!C84="","",'Statement of Marks'!C84)</f>
        <v/>
      </c>
      <c r="D80" s="426" t="str">
        <f>IF('Statement of Marks'!D84="","",'Statement of Marks'!D84)</f>
        <v/>
      </c>
      <c r="E80" s="388" t="str">
        <f>IF('Statement of Marks'!E84="","",'Statement of Marks'!E84)</f>
        <v/>
      </c>
      <c r="F80" s="388" t="str">
        <f>IF('Statement of Marks'!F84="","",'Statement of Marks'!F84)</f>
        <v/>
      </c>
      <c r="G80" s="388" t="str">
        <f>IF('Statement of Marks'!G84="","",'Statement of Marks'!G84)</f>
        <v/>
      </c>
      <c r="H80" s="389" t="str">
        <f>IF('Statement of Marks'!H84="","",'Statement of Marks'!H84)</f>
        <v/>
      </c>
      <c r="I80" s="389" t="str">
        <f>IF('Statement of Marks'!I84="","",'Statement of Marks'!I84)</f>
        <v/>
      </c>
      <c r="J80" s="648" t="str">
        <f>IF('Statement of Marks'!GY84="","",'Statement of Marks'!GY84)</f>
        <v/>
      </c>
      <c r="K80" s="390" t="str">
        <f>IF(B80="","",IF('Statement of Marks'!GZ84="","",'Statement of Marks'!GZ84))</f>
        <v/>
      </c>
      <c r="L80" s="391" t="str">
        <f>IF('Statement of Marks'!HC84="","",'Statement of Marks'!HC84)</f>
        <v/>
      </c>
      <c r="M80" s="390" t="str">
        <f>IF('Statement of Marks'!HB84="","",'Statement of Marks'!HB84)</f>
        <v/>
      </c>
      <c r="N80" s="392" t="str">
        <f>IF(J80="FAIL","",IF('Statement of Marks'!GU84="","",'Statement of Marks'!GU84))</f>
        <v xml:space="preserve">    </v>
      </c>
      <c r="O80" s="393" t="str">
        <f>IF('Supp. Result Entry'!AS83="","",'Supp. Result Entry'!AS83)</f>
        <v/>
      </c>
      <c r="P80" s="394" t="str">
        <f>IF('Supp. Result Entry'!AT83="","",'Supp. Result Entry'!AT83)</f>
        <v/>
      </c>
      <c r="Q80" s="395" t="str">
        <f>IF('Statement of Marks'!HG84="","",'Statement of Marks'!HG84)</f>
        <v/>
      </c>
      <c r="R80" s="396" t="str">
        <f>IF('Statement of Marks'!FH84="","",'Statement of Marks'!FH84)</f>
        <v/>
      </c>
      <c r="BL80" s="397" t="str">
        <f>'Statement of Marks'!E84</f>
        <v/>
      </c>
      <c r="BM80" s="398" t="str">
        <f t="shared" si="12"/>
        <v/>
      </c>
      <c r="BN80" s="398" t="str">
        <f t="shared" si="13"/>
        <v/>
      </c>
      <c r="BO80" s="398" t="str">
        <f t="shared" si="14"/>
        <v/>
      </c>
      <c r="BP80" s="398" t="str">
        <f t="shared" si="15"/>
        <v/>
      </c>
      <c r="BQ80" s="398" t="str">
        <f t="shared" si="16"/>
        <v/>
      </c>
      <c r="BR80" s="398" t="str">
        <f t="shared" si="17"/>
        <v/>
      </c>
      <c r="BS80" s="398" t="str">
        <f t="shared" si="18"/>
        <v/>
      </c>
      <c r="BT80" s="398" t="str">
        <f t="shared" si="19"/>
        <v/>
      </c>
      <c r="BU80" s="398" t="str">
        <f t="shared" si="20"/>
        <v/>
      </c>
      <c r="BV80" s="398" t="str">
        <f t="shared" si="21"/>
        <v/>
      </c>
      <c r="BW80" s="398" t="str">
        <f t="shared" si="22"/>
        <v/>
      </c>
      <c r="BX80" s="398" t="str">
        <f t="shared" si="23"/>
        <v/>
      </c>
      <c r="BY80" s="399"/>
    </row>
    <row r="81" spans="1:77" ht="15" customHeight="1">
      <c r="A81" s="385">
        <f>IF('Statement of Marks'!A85="","",'Statement of Marks'!A85)</f>
        <v>78</v>
      </c>
      <c r="B81" s="386" t="str">
        <f>IF('Statement of Marks'!B85="","",'Statement of Marks'!B85)</f>
        <v/>
      </c>
      <c r="C81" s="387" t="str">
        <f>IF('Statement of Marks'!C85="","",'Statement of Marks'!C85)</f>
        <v/>
      </c>
      <c r="D81" s="426" t="str">
        <f>IF('Statement of Marks'!D85="","",'Statement of Marks'!D85)</f>
        <v/>
      </c>
      <c r="E81" s="388" t="str">
        <f>IF('Statement of Marks'!E85="","",'Statement of Marks'!E85)</f>
        <v/>
      </c>
      <c r="F81" s="388" t="str">
        <f>IF('Statement of Marks'!F85="","",'Statement of Marks'!F85)</f>
        <v/>
      </c>
      <c r="G81" s="388" t="str">
        <f>IF('Statement of Marks'!G85="","",'Statement of Marks'!G85)</f>
        <v/>
      </c>
      <c r="H81" s="389" t="str">
        <f>IF('Statement of Marks'!H85="","",'Statement of Marks'!H85)</f>
        <v/>
      </c>
      <c r="I81" s="389" t="str">
        <f>IF('Statement of Marks'!I85="","",'Statement of Marks'!I85)</f>
        <v/>
      </c>
      <c r="J81" s="648" t="str">
        <f>IF('Statement of Marks'!GY85="","",'Statement of Marks'!GY85)</f>
        <v/>
      </c>
      <c r="K81" s="390" t="str">
        <f>IF(B81="","",IF('Statement of Marks'!GZ85="","",'Statement of Marks'!GZ85))</f>
        <v/>
      </c>
      <c r="L81" s="391" t="str">
        <f>IF('Statement of Marks'!HC85="","",'Statement of Marks'!HC85)</f>
        <v/>
      </c>
      <c r="M81" s="390" t="str">
        <f>IF('Statement of Marks'!HB85="","",'Statement of Marks'!HB85)</f>
        <v/>
      </c>
      <c r="N81" s="392" t="str">
        <f>IF(J81="FAIL","",IF('Statement of Marks'!GU85="","",'Statement of Marks'!GU85))</f>
        <v xml:space="preserve">    </v>
      </c>
      <c r="O81" s="393" t="str">
        <f>IF('Supp. Result Entry'!AS84="","",'Supp. Result Entry'!AS84)</f>
        <v/>
      </c>
      <c r="P81" s="394" t="str">
        <f>IF('Supp. Result Entry'!AT84="","",'Supp. Result Entry'!AT84)</f>
        <v/>
      </c>
      <c r="Q81" s="395" t="str">
        <f>IF('Statement of Marks'!HG85="","",'Statement of Marks'!HG85)</f>
        <v/>
      </c>
      <c r="R81" s="396" t="str">
        <f>IF('Statement of Marks'!FH85="","",'Statement of Marks'!FH85)</f>
        <v/>
      </c>
      <c r="BL81" s="397" t="str">
        <f>'Statement of Marks'!E85</f>
        <v/>
      </c>
      <c r="BM81" s="398" t="str">
        <f t="shared" si="12"/>
        <v/>
      </c>
      <c r="BN81" s="398" t="str">
        <f t="shared" si="13"/>
        <v/>
      </c>
      <c r="BO81" s="398" t="str">
        <f t="shared" si="14"/>
        <v/>
      </c>
      <c r="BP81" s="398" t="str">
        <f t="shared" si="15"/>
        <v/>
      </c>
      <c r="BQ81" s="398" t="str">
        <f t="shared" si="16"/>
        <v/>
      </c>
      <c r="BR81" s="398" t="str">
        <f t="shared" si="17"/>
        <v/>
      </c>
      <c r="BS81" s="398" t="str">
        <f t="shared" si="18"/>
        <v/>
      </c>
      <c r="BT81" s="398" t="str">
        <f t="shared" si="19"/>
        <v/>
      </c>
      <c r="BU81" s="398" t="str">
        <f t="shared" si="20"/>
        <v/>
      </c>
      <c r="BV81" s="398" t="str">
        <f t="shared" si="21"/>
        <v/>
      </c>
      <c r="BW81" s="398" t="str">
        <f t="shared" si="22"/>
        <v/>
      </c>
      <c r="BX81" s="398" t="str">
        <f t="shared" si="23"/>
        <v/>
      </c>
      <c r="BY81" s="399"/>
    </row>
    <row r="82" spans="1:77" ht="15" customHeight="1">
      <c r="A82" s="385">
        <f>IF('Statement of Marks'!A86="","",'Statement of Marks'!A86)</f>
        <v>79</v>
      </c>
      <c r="B82" s="386" t="str">
        <f>IF('Statement of Marks'!B86="","",'Statement of Marks'!B86)</f>
        <v/>
      </c>
      <c r="C82" s="387" t="str">
        <f>IF('Statement of Marks'!C86="","",'Statement of Marks'!C86)</f>
        <v/>
      </c>
      <c r="D82" s="426" t="str">
        <f>IF('Statement of Marks'!D86="","",'Statement of Marks'!D86)</f>
        <v/>
      </c>
      <c r="E82" s="388" t="str">
        <f>IF('Statement of Marks'!E86="","",'Statement of Marks'!E86)</f>
        <v/>
      </c>
      <c r="F82" s="388" t="str">
        <f>IF('Statement of Marks'!F86="","",'Statement of Marks'!F86)</f>
        <v/>
      </c>
      <c r="G82" s="388" t="str">
        <f>IF('Statement of Marks'!G86="","",'Statement of Marks'!G86)</f>
        <v/>
      </c>
      <c r="H82" s="389" t="str">
        <f>IF('Statement of Marks'!H86="","",'Statement of Marks'!H86)</f>
        <v/>
      </c>
      <c r="I82" s="389" t="str">
        <f>IF('Statement of Marks'!I86="","",'Statement of Marks'!I86)</f>
        <v/>
      </c>
      <c r="J82" s="648" t="str">
        <f>IF('Statement of Marks'!GY86="","",'Statement of Marks'!GY86)</f>
        <v/>
      </c>
      <c r="K82" s="390" t="str">
        <f>IF(B82="","",IF('Statement of Marks'!GZ86="","",'Statement of Marks'!GZ86))</f>
        <v/>
      </c>
      <c r="L82" s="391" t="str">
        <f>IF('Statement of Marks'!HC86="","",'Statement of Marks'!HC86)</f>
        <v/>
      </c>
      <c r="M82" s="390" t="str">
        <f>IF('Statement of Marks'!HB86="","",'Statement of Marks'!HB86)</f>
        <v/>
      </c>
      <c r="N82" s="392" t="str">
        <f>IF(J82="FAIL","",IF('Statement of Marks'!GU86="","",'Statement of Marks'!GU86))</f>
        <v xml:space="preserve">    </v>
      </c>
      <c r="O82" s="393" t="str">
        <f>IF('Supp. Result Entry'!AS85="","",'Supp. Result Entry'!AS85)</f>
        <v/>
      </c>
      <c r="P82" s="394" t="str">
        <f>IF('Supp. Result Entry'!AT85="","",'Supp. Result Entry'!AT85)</f>
        <v/>
      </c>
      <c r="Q82" s="395" t="str">
        <f>IF('Statement of Marks'!HG86="","",'Statement of Marks'!HG86)</f>
        <v/>
      </c>
      <c r="R82" s="396" t="str">
        <f>IF('Statement of Marks'!FH86="","",'Statement of Marks'!FH86)</f>
        <v/>
      </c>
      <c r="BL82" s="397" t="str">
        <f>'Statement of Marks'!E86</f>
        <v/>
      </c>
      <c r="BM82" s="398" t="str">
        <f t="shared" si="12"/>
        <v/>
      </c>
      <c r="BN82" s="398" t="str">
        <f t="shared" si="13"/>
        <v/>
      </c>
      <c r="BO82" s="398" t="str">
        <f t="shared" si="14"/>
        <v/>
      </c>
      <c r="BP82" s="398" t="str">
        <f t="shared" si="15"/>
        <v/>
      </c>
      <c r="BQ82" s="398" t="str">
        <f t="shared" si="16"/>
        <v/>
      </c>
      <c r="BR82" s="398" t="str">
        <f t="shared" si="17"/>
        <v/>
      </c>
      <c r="BS82" s="398" t="str">
        <f t="shared" si="18"/>
        <v/>
      </c>
      <c r="BT82" s="398" t="str">
        <f t="shared" si="19"/>
        <v/>
      </c>
      <c r="BU82" s="398" t="str">
        <f t="shared" si="20"/>
        <v/>
      </c>
      <c r="BV82" s="398" t="str">
        <f t="shared" si="21"/>
        <v/>
      </c>
      <c r="BW82" s="398" t="str">
        <f t="shared" si="22"/>
        <v/>
      </c>
      <c r="BX82" s="398" t="str">
        <f t="shared" si="23"/>
        <v/>
      </c>
      <c r="BY82" s="399"/>
    </row>
    <row r="83" spans="1:77" ht="15" customHeight="1">
      <c r="A83" s="385">
        <f>IF('Statement of Marks'!A87="","",'Statement of Marks'!A87)</f>
        <v>80</v>
      </c>
      <c r="B83" s="386" t="str">
        <f>IF('Statement of Marks'!B87="","",'Statement of Marks'!B87)</f>
        <v/>
      </c>
      <c r="C83" s="387" t="str">
        <f>IF('Statement of Marks'!C87="","",'Statement of Marks'!C87)</f>
        <v/>
      </c>
      <c r="D83" s="426" t="str">
        <f>IF('Statement of Marks'!D87="","",'Statement of Marks'!D87)</f>
        <v/>
      </c>
      <c r="E83" s="388" t="str">
        <f>IF('Statement of Marks'!E87="","",'Statement of Marks'!E87)</f>
        <v/>
      </c>
      <c r="F83" s="388" t="str">
        <f>IF('Statement of Marks'!F87="","",'Statement of Marks'!F87)</f>
        <v/>
      </c>
      <c r="G83" s="388" t="str">
        <f>IF('Statement of Marks'!G87="","",'Statement of Marks'!G87)</f>
        <v/>
      </c>
      <c r="H83" s="389" t="str">
        <f>IF('Statement of Marks'!H87="","",'Statement of Marks'!H87)</f>
        <v/>
      </c>
      <c r="I83" s="389" t="str">
        <f>IF('Statement of Marks'!I87="","",'Statement of Marks'!I87)</f>
        <v/>
      </c>
      <c r="J83" s="648" t="str">
        <f>IF('Statement of Marks'!GY87="","",'Statement of Marks'!GY87)</f>
        <v/>
      </c>
      <c r="K83" s="390" t="str">
        <f>IF(B83="","",IF('Statement of Marks'!GZ87="","",'Statement of Marks'!GZ87))</f>
        <v/>
      </c>
      <c r="L83" s="391" t="str">
        <f>IF('Statement of Marks'!HC87="","",'Statement of Marks'!HC87)</f>
        <v/>
      </c>
      <c r="M83" s="390" t="str">
        <f>IF('Statement of Marks'!HB87="","",'Statement of Marks'!HB87)</f>
        <v/>
      </c>
      <c r="N83" s="392" t="str">
        <f>IF(J83="FAIL","",IF('Statement of Marks'!GU87="","",'Statement of Marks'!GU87))</f>
        <v xml:space="preserve">    </v>
      </c>
      <c r="O83" s="393" t="str">
        <f>IF('Supp. Result Entry'!AS86="","",'Supp. Result Entry'!AS86)</f>
        <v/>
      </c>
      <c r="P83" s="394" t="str">
        <f>IF('Supp. Result Entry'!AT86="","",'Supp. Result Entry'!AT86)</f>
        <v/>
      </c>
      <c r="Q83" s="395" t="str">
        <f>IF('Statement of Marks'!HG87="","",'Statement of Marks'!HG87)</f>
        <v/>
      </c>
      <c r="R83" s="396" t="str">
        <f>IF('Statement of Marks'!FH87="","",'Statement of Marks'!FH87)</f>
        <v/>
      </c>
      <c r="BL83" s="397" t="str">
        <f>'Statement of Marks'!E87</f>
        <v/>
      </c>
      <c r="BM83" s="398" t="str">
        <f t="shared" si="12"/>
        <v/>
      </c>
      <c r="BN83" s="398" t="str">
        <f t="shared" si="13"/>
        <v/>
      </c>
      <c r="BO83" s="398" t="str">
        <f t="shared" si="14"/>
        <v/>
      </c>
      <c r="BP83" s="398" t="str">
        <f t="shared" si="15"/>
        <v/>
      </c>
      <c r="BQ83" s="398" t="str">
        <f t="shared" si="16"/>
        <v/>
      </c>
      <c r="BR83" s="398" t="str">
        <f t="shared" si="17"/>
        <v/>
      </c>
      <c r="BS83" s="398" t="str">
        <f t="shared" si="18"/>
        <v/>
      </c>
      <c r="BT83" s="398" t="str">
        <f t="shared" si="19"/>
        <v/>
      </c>
      <c r="BU83" s="398" t="str">
        <f t="shared" si="20"/>
        <v/>
      </c>
      <c r="BV83" s="398" t="str">
        <f t="shared" si="21"/>
        <v/>
      </c>
      <c r="BW83" s="398" t="str">
        <f t="shared" si="22"/>
        <v/>
      </c>
      <c r="BX83" s="398" t="str">
        <f t="shared" si="23"/>
        <v/>
      </c>
      <c r="BY83" s="399"/>
    </row>
    <row r="84" spans="1:77" ht="15" customHeight="1">
      <c r="A84" s="385">
        <f>IF('Statement of Marks'!A88="","",'Statement of Marks'!A88)</f>
        <v>81</v>
      </c>
      <c r="B84" s="386" t="str">
        <f>IF('Statement of Marks'!B88="","",'Statement of Marks'!B88)</f>
        <v/>
      </c>
      <c r="C84" s="387" t="str">
        <f>IF('Statement of Marks'!C88="","",'Statement of Marks'!C88)</f>
        <v/>
      </c>
      <c r="D84" s="426" t="str">
        <f>IF('Statement of Marks'!D88="","",'Statement of Marks'!D88)</f>
        <v/>
      </c>
      <c r="E84" s="388" t="str">
        <f>IF('Statement of Marks'!E88="","",'Statement of Marks'!E88)</f>
        <v/>
      </c>
      <c r="F84" s="388" t="str">
        <f>IF('Statement of Marks'!F88="","",'Statement of Marks'!F88)</f>
        <v/>
      </c>
      <c r="G84" s="388" t="str">
        <f>IF('Statement of Marks'!G88="","",'Statement of Marks'!G88)</f>
        <v/>
      </c>
      <c r="H84" s="389" t="str">
        <f>IF('Statement of Marks'!H88="","",'Statement of Marks'!H88)</f>
        <v/>
      </c>
      <c r="I84" s="389" t="str">
        <f>IF('Statement of Marks'!I88="","",'Statement of Marks'!I88)</f>
        <v/>
      </c>
      <c r="J84" s="648" t="str">
        <f>IF('Statement of Marks'!GY88="","",'Statement of Marks'!GY88)</f>
        <v/>
      </c>
      <c r="K84" s="390" t="str">
        <f>IF(B84="","",IF('Statement of Marks'!GZ88="","",'Statement of Marks'!GZ88))</f>
        <v/>
      </c>
      <c r="L84" s="391" t="str">
        <f>IF('Statement of Marks'!HC88="","",'Statement of Marks'!HC88)</f>
        <v/>
      </c>
      <c r="M84" s="390" t="str">
        <f>IF('Statement of Marks'!HB88="","",'Statement of Marks'!HB88)</f>
        <v/>
      </c>
      <c r="N84" s="392" t="str">
        <f>IF(J84="FAIL","",IF('Statement of Marks'!GU88="","",'Statement of Marks'!GU88))</f>
        <v xml:space="preserve">    </v>
      </c>
      <c r="O84" s="393" t="str">
        <f>IF('Supp. Result Entry'!AS87="","",'Supp. Result Entry'!AS87)</f>
        <v/>
      </c>
      <c r="P84" s="394" t="str">
        <f>IF('Supp. Result Entry'!AT87="","",'Supp. Result Entry'!AT87)</f>
        <v/>
      </c>
      <c r="Q84" s="395" t="str">
        <f>IF('Statement of Marks'!HG88="","",'Statement of Marks'!HG88)</f>
        <v/>
      </c>
      <c r="R84" s="396" t="str">
        <f>IF('Statement of Marks'!FH88="","",'Statement of Marks'!FH88)</f>
        <v/>
      </c>
      <c r="BL84" s="397" t="str">
        <f>'Statement of Marks'!E88</f>
        <v/>
      </c>
      <c r="BM84" s="398" t="str">
        <f t="shared" si="12"/>
        <v/>
      </c>
      <c r="BN84" s="398" t="str">
        <f t="shared" si="13"/>
        <v/>
      </c>
      <c r="BO84" s="398" t="str">
        <f t="shared" si="14"/>
        <v/>
      </c>
      <c r="BP84" s="398" t="str">
        <f t="shared" si="15"/>
        <v/>
      </c>
      <c r="BQ84" s="398" t="str">
        <f t="shared" si="16"/>
        <v/>
      </c>
      <c r="BR84" s="398" t="str">
        <f t="shared" si="17"/>
        <v/>
      </c>
      <c r="BS84" s="398" t="str">
        <f t="shared" si="18"/>
        <v/>
      </c>
      <c r="BT84" s="398" t="str">
        <f t="shared" si="19"/>
        <v/>
      </c>
      <c r="BU84" s="398" t="str">
        <f t="shared" si="20"/>
        <v/>
      </c>
      <c r="BV84" s="398" t="str">
        <f t="shared" si="21"/>
        <v/>
      </c>
      <c r="BW84" s="398" t="str">
        <f t="shared" si="22"/>
        <v/>
      </c>
      <c r="BX84" s="398" t="str">
        <f t="shared" si="23"/>
        <v/>
      </c>
      <c r="BY84" s="399"/>
    </row>
    <row r="85" spans="1:77" ht="15" customHeight="1">
      <c r="A85" s="385">
        <f>IF('Statement of Marks'!A89="","",'Statement of Marks'!A89)</f>
        <v>82</v>
      </c>
      <c r="B85" s="386" t="str">
        <f>IF('Statement of Marks'!B89="","",'Statement of Marks'!B89)</f>
        <v/>
      </c>
      <c r="C85" s="387" t="str">
        <f>IF('Statement of Marks'!C89="","",'Statement of Marks'!C89)</f>
        <v/>
      </c>
      <c r="D85" s="426" t="str">
        <f>IF('Statement of Marks'!D89="","",'Statement of Marks'!D89)</f>
        <v/>
      </c>
      <c r="E85" s="388" t="str">
        <f>IF('Statement of Marks'!E89="","",'Statement of Marks'!E89)</f>
        <v/>
      </c>
      <c r="F85" s="388" t="str">
        <f>IF('Statement of Marks'!F89="","",'Statement of Marks'!F89)</f>
        <v/>
      </c>
      <c r="G85" s="388" t="str">
        <f>IF('Statement of Marks'!G89="","",'Statement of Marks'!G89)</f>
        <v/>
      </c>
      <c r="H85" s="389" t="str">
        <f>IF('Statement of Marks'!H89="","",'Statement of Marks'!H89)</f>
        <v/>
      </c>
      <c r="I85" s="389" t="str">
        <f>IF('Statement of Marks'!I89="","",'Statement of Marks'!I89)</f>
        <v/>
      </c>
      <c r="J85" s="648" t="str">
        <f>IF('Statement of Marks'!GY89="","",'Statement of Marks'!GY89)</f>
        <v/>
      </c>
      <c r="K85" s="390" t="str">
        <f>IF(B85="","",IF('Statement of Marks'!GZ89="","",'Statement of Marks'!GZ89))</f>
        <v/>
      </c>
      <c r="L85" s="391" t="str">
        <f>IF('Statement of Marks'!HC89="","",'Statement of Marks'!HC89)</f>
        <v/>
      </c>
      <c r="M85" s="390" t="str">
        <f>IF('Statement of Marks'!HB89="","",'Statement of Marks'!HB89)</f>
        <v/>
      </c>
      <c r="N85" s="392" t="str">
        <f>IF(J85="FAIL","",IF('Statement of Marks'!GU89="","",'Statement of Marks'!GU89))</f>
        <v xml:space="preserve">    </v>
      </c>
      <c r="O85" s="393" t="str">
        <f>IF('Supp. Result Entry'!AS88="","",'Supp. Result Entry'!AS88)</f>
        <v/>
      </c>
      <c r="P85" s="394" t="str">
        <f>IF('Supp. Result Entry'!AT88="","",'Supp. Result Entry'!AT88)</f>
        <v/>
      </c>
      <c r="Q85" s="395" t="str">
        <f>IF('Statement of Marks'!HG89="","",'Statement of Marks'!HG89)</f>
        <v/>
      </c>
      <c r="R85" s="396" t="str">
        <f>IF('Statement of Marks'!FH89="","",'Statement of Marks'!FH89)</f>
        <v/>
      </c>
      <c r="BL85" s="397" t="str">
        <f>'Statement of Marks'!E89</f>
        <v/>
      </c>
      <c r="BM85" s="398" t="str">
        <f t="shared" si="12"/>
        <v/>
      </c>
      <c r="BN85" s="398" t="str">
        <f t="shared" si="13"/>
        <v/>
      </c>
      <c r="BO85" s="398" t="str">
        <f t="shared" si="14"/>
        <v/>
      </c>
      <c r="BP85" s="398" t="str">
        <f t="shared" si="15"/>
        <v/>
      </c>
      <c r="BQ85" s="398" t="str">
        <f t="shared" si="16"/>
        <v/>
      </c>
      <c r="BR85" s="398" t="str">
        <f t="shared" si="17"/>
        <v/>
      </c>
      <c r="BS85" s="398" t="str">
        <f t="shared" si="18"/>
        <v/>
      </c>
      <c r="BT85" s="398" t="str">
        <f t="shared" si="19"/>
        <v/>
      </c>
      <c r="BU85" s="398" t="str">
        <f t="shared" si="20"/>
        <v/>
      </c>
      <c r="BV85" s="398" t="str">
        <f t="shared" si="21"/>
        <v/>
      </c>
      <c r="BW85" s="398" t="str">
        <f t="shared" si="22"/>
        <v/>
      </c>
      <c r="BX85" s="398" t="str">
        <f t="shared" si="23"/>
        <v/>
      </c>
      <c r="BY85" s="399"/>
    </row>
    <row r="86" spans="1:77" ht="15" customHeight="1">
      <c r="A86" s="385">
        <f>IF('Statement of Marks'!A90="","",'Statement of Marks'!A90)</f>
        <v>83</v>
      </c>
      <c r="B86" s="386" t="str">
        <f>IF('Statement of Marks'!B90="","",'Statement of Marks'!B90)</f>
        <v/>
      </c>
      <c r="C86" s="387" t="str">
        <f>IF('Statement of Marks'!C90="","",'Statement of Marks'!C90)</f>
        <v/>
      </c>
      <c r="D86" s="426" t="str">
        <f>IF('Statement of Marks'!D90="","",'Statement of Marks'!D90)</f>
        <v/>
      </c>
      <c r="E86" s="388" t="str">
        <f>IF('Statement of Marks'!E90="","",'Statement of Marks'!E90)</f>
        <v/>
      </c>
      <c r="F86" s="388" t="str">
        <f>IF('Statement of Marks'!F90="","",'Statement of Marks'!F90)</f>
        <v/>
      </c>
      <c r="G86" s="388" t="str">
        <f>IF('Statement of Marks'!G90="","",'Statement of Marks'!G90)</f>
        <v/>
      </c>
      <c r="H86" s="389" t="str">
        <f>IF('Statement of Marks'!H90="","",'Statement of Marks'!H90)</f>
        <v/>
      </c>
      <c r="I86" s="389" t="str">
        <f>IF('Statement of Marks'!I90="","",'Statement of Marks'!I90)</f>
        <v/>
      </c>
      <c r="J86" s="648" t="str">
        <f>IF('Statement of Marks'!GY90="","",'Statement of Marks'!GY90)</f>
        <v/>
      </c>
      <c r="K86" s="390" t="str">
        <f>IF(B86="","",IF('Statement of Marks'!GZ90="","",'Statement of Marks'!GZ90))</f>
        <v/>
      </c>
      <c r="L86" s="391" t="str">
        <f>IF('Statement of Marks'!HC90="","",'Statement of Marks'!HC90)</f>
        <v/>
      </c>
      <c r="M86" s="390" t="str">
        <f>IF('Statement of Marks'!HB90="","",'Statement of Marks'!HB90)</f>
        <v/>
      </c>
      <c r="N86" s="392" t="str">
        <f>IF(J86="FAIL","",IF('Statement of Marks'!GU90="","",'Statement of Marks'!GU90))</f>
        <v xml:space="preserve">    </v>
      </c>
      <c r="O86" s="393" t="str">
        <f>IF('Supp. Result Entry'!AS89="","",'Supp. Result Entry'!AS89)</f>
        <v/>
      </c>
      <c r="P86" s="394" t="str">
        <f>IF('Supp. Result Entry'!AT89="","",'Supp. Result Entry'!AT89)</f>
        <v/>
      </c>
      <c r="Q86" s="395" t="str">
        <f>IF('Statement of Marks'!HG90="","",'Statement of Marks'!HG90)</f>
        <v/>
      </c>
      <c r="R86" s="396" t="str">
        <f>IF('Statement of Marks'!FH90="","",'Statement of Marks'!FH90)</f>
        <v/>
      </c>
      <c r="BL86" s="397" t="str">
        <f>'Statement of Marks'!E90</f>
        <v/>
      </c>
      <c r="BM86" s="398" t="str">
        <f t="shared" si="12"/>
        <v/>
      </c>
      <c r="BN86" s="398" t="str">
        <f t="shared" si="13"/>
        <v/>
      </c>
      <c r="BO86" s="398" t="str">
        <f t="shared" si="14"/>
        <v/>
      </c>
      <c r="BP86" s="398" t="str">
        <f t="shared" si="15"/>
        <v/>
      </c>
      <c r="BQ86" s="398" t="str">
        <f t="shared" si="16"/>
        <v/>
      </c>
      <c r="BR86" s="398" t="str">
        <f t="shared" si="17"/>
        <v/>
      </c>
      <c r="BS86" s="398" t="str">
        <f t="shared" si="18"/>
        <v/>
      </c>
      <c r="BT86" s="398" t="str">
        <f t="shared" si="19"/>
        <v/>
      </c>
      <c r="BU86" s="398" t="str">
        <f t="shared" si="20"/>
        <v/>
      </c>
      <c r="BV86" s="398" t="str">
        <f t="shared" si="21"/>
        <v/>
      </c>
      <c r="BW86" s="398" t="str">
        <f t="shared" si="22"/>
        <v/>
      </c>
      <c r="BX86" s="398" t="str">
        <f t="shared" si="23"/>
        <v/>
      </c>
      <c r="BY86" s="399"/>
    </row>
    <row r="87" spans="1:77" ht="15" customHeight="1">
      <c r="A87" s="385">
        <f>IF('Statement of Marks'!A91="","",'Statement of Marks'!A91)</f>
        <v>84</v>
      </c>
      <c r="B87" s="386" t="str">
        <f>IF('Statement of Marks'!B91="","",'Statement of Marks'!B91)</f>
        <v/>
      </c>
      <c r="C87" s="387" t="str">
        <f>IF('Statement of Marks'!C91="","",'Statement of Marks'!C91)</f>
        <v/>
      </c>
      <c r="D87" s="426" t="str">
        <f>IF('Statement of Marks'!D91="","",'Statement of Marks'!D91)</f>
        <v/>
      </c>
      <c r="E87" s="388" t="str">
        <f>IF('Statement of Marks'!E91="","",'Statement of Marks'!E91)</f>
        <v/>
      </c>
      <c r="F87" s="388" t="str">
        <f>IF('Statement of Marks'!F91="","",'Statement of Marks'!F91)</f>
        <v/>
      </c>
      <c r="G87" s="388" t="str">
        <f>IF('Statement of Marks'!G91="","",'Statement of Marks'!G91)</f>
        <v/>
      </c>
      <c r="H87" s="389" t="str">
        <f>IF('Statement of Marks'!H91="","",'Statement of Marks'!H91)</f>
        <v/>
      </c>
      <c r="I87" s="389" t="str">
        <f>IF('Statement of Marks'!I91="","",'Statement of Marks'!I91)</f>
        <v/>
      </c>
      <c r="J87" s="648" t="str">
        <f>IF('Statement of Marks'!GY91="","",'Statement of Marks'!GY91)</f>
        <v/>
      </c>
      <c r="K87" s="390" t="str">
        <f>IF(B87="","",IF('Statement of Marks'!GZ91="","",'Statement of Marks'!GZ91))</f>
        <v/>
      </c>
      <c r="L87" s="391" t="str">
        <f>IF('Statement of Marks'!HC91="","",'Statement of Marks'!HC91)</f>
        <v/>
      </c>
      <c r="M87" s="390" t="str">
        <f>IF('Statement of Marks'!HB91="","",'Statement of Marks'!HB91)</f>
        <v/>
      </c>
      <c r="N87" s="392" t="str">
        <f>IF(J87="FAIL","",IF('Statement of Marks'!GU91="","",'Statement of Marks'!GU91))</f>
        <v xml:space="preserve">    </v>
      </c>
      <c r="O87" s="393" t="str">
        <f>IF('Supp. Result Entry'!AS90="","",'Supp. Result Entry'!AS90)</f>
        <v/>
      </c>
      <c r="P87" s="394" t="str">
        <f>IF('Supp. Result Entry'!AT90="","",'Supp. Result Entry'!AT90)</f>
        <v/>
      </c>
      <c r="Q87" s="395" t="str">
        <f>IF('Statement of Marks'!HG91="","",'Statement of Marks'!HG91)</f>
        <v/>
      </c>
      <c r="R87" s="396" t="str">
        <f>IF('Statement of Marks'!FH91="","",'Statement of Marks'!FH91)</f>
        <v/>
      </c>
      <c r="BL87" s="397" t="str">
        <f>'Statement of Marks'!E91</f>
        <v/>
      </c>
      <c r="BM87" s="398" t="str">
        <f t="shared" si="12"/>
        <v/>
      </c>
      <c r="BN87" s="398" t="str">
        <f t="shared" si="13"/>
        <v/>
      </c>
      <c r="BO87" s="398" t="str">
        <f t="shared" si="14"/>
        <v/>
      </c>
      <c r="BP87" s="398" t="str">
        <f t="shared" si="15"/>
        <v/>
      </c>
      <c r="BQ87" s="398" t="str">
        <f t="shared" si="16"/>
        <v/>
      </c>
      <c r="BR87" s="398" t="str">
        <f t="shared" si="17"/>
        <v/>
      </c>
      <c r="BS87" s="398" t="str">
        <f t="shared" si="18"/>
        <v/>
      </c>
      <c r="BT87" s="398" t="str">
        <f t="shared" si="19"/>
        <v/>
      </c>
      <c r="BU87" s="398" t="str">
        <f t="shared" si="20"/>
        <v/>
      </c>
      <c r="BV87" s="398" t="str">
        <f t="shared" si="21"/>
        <v/>
      </c>
      <c r="BW87" s="398" t="str">
        <f t="shared" si="22"/>
        <v/>
      </c>
      <c r="BX87" s="398" t="str">
        <f t="shared" si="23"/>
        <v/>
      </c>
      <c r="BY87" s="399"/>
    </row>
    <row r="88" spans="1:77" ht="15" customHeight="1">
      <c r="A88" s="385">
        <f>IF('Statement of Marks'!A92="","",'Statement of Marks'!A92)</f>
        <v>85</v>
      </c>
      <c r="B88" s="386" t="str">
        <f>IF('Statement of Marks'!B92="","",'Statement of Marks'!B92)</f>
        <v/>
      </c>
      <c r="C88" s="387" t="str">
        <f>IF('Statement of Marks'!C92="","",'Statement of Marks'!C92)</f>
        <v/>
      </c>
      <c r="D88" s="426" t="str">
        <f>IF('Statement of Marks'!D92="","",'Statement of Marks'!D92)</f>
        <v/>
      </c>
      <c r="E88" s="388" t="str">
        <f>IF('Statement of Marks'!E92="","",'Statement of Marks'!E92)</f>
        <v/>
      </c>
      <c r="F88" s="388" t="str">
        <f>IF('Statement of Marks'!F92="","",'Statement of Marks'!F92)</f>
        <v/>
      </c>
      <c r="G88" s="388" t="str">
        <f>IF('Statement of Marks'!G92="","",'Statement of Marks'!G92)</f>
        <v/>
      </c>
      <c r="H88" s="389" t="str">
        <f>IF('Statement of Marks'!H92="","",'Statement of Marks'!H92)</f>
        <v/>
      </c>
      <c r="I88" s="389" t="str">
        <f>IF('Statement of Marks'!I92="","",'Statement of Marks'!I92)</f>
        <v/>
      </c>
      <c r="J88" s="648" t="str">
        <f>IF('Statement of Marks'!GY92="","",'Statement of Marks'!GY92)</f>
        <v/>
      </c>
      <c r="K88" s="390" t="str">
        <f>IF(B88="","",IF('Statement of Marks'!GZ92="","",'Statement of Marks'!GZ92))</f>
        <v/>
      </c>
      <c r="L88" s="391" t="str">
        <f>IF('Statement of Marks'!HC92="","",'Statement of Marks'!HC92)</f>
        <v/>
      </c>
      <c r="M88" s="390" t="str">
        <f>IF('Statement of Marks'!HB92="","",'Statement of Marks'!HB92)</f>
        <v/>
      </c>
      <c r="N88" s="392" t="str">
        <f>IF(J88="FAIL","",IF('Statement of Marks'!GU92="","",'Statement of Marks'!GU92))</f>
        <v xml:space="preserve">    </v>
      </c>
      <c r="O88" s="393" t="str">
        <f>IF('Supp. Result Entry'!AS91="","",'Supp. Result Entry'!AS91)</f>
        <v/>
      </c>
      <c r="P88" s="394" t="str">
        <f>IF('Supp. Result Entry'!AT91="","",'Supp. Result Entry'!AT91)</f>
        <v/>
      </c>
      <c r="Q88" s="395" t="str">
        <f>IF('Statement of Marks'!HG92="","",'Statement of Marks'!HG92)</f>
        <v/>
      </c>
      <c r="R88" s="396" t="str">
        <f>IF('Statement of Marks'!FH92="","",'Statement of Marks'!FH92)</f>
        <v/>
      </c>
      <c r="BL88" s="397" t="str">
        <f>'Statement of Marks'!E92</f>
        <v/>
      </c>
      <c r="BM88" s="398" t="str">
        <f t="shared" si="12"/>
        <v/>
      </c>
      <c r="BN88" s="398" t="str">
        <f t="shared" si="13"/>
        <v/>
      </c>
      <c r="BO88" s="398" t="str">
        <f t="shared" si="14"/>
        <v/>
      </c>
      <c r="BP88" s="398" t="str">
        <f t="shared" si="15"/>
        <v/>
      </c>
      <c r="BQ88" s="398" t="str">
        <f t="shared" si="16"/>
        <v/>
      </c>
      <c r="BR88" s="398" t="str">
        <f t="shared" si="17"/>
        <v/>
      </c>
      <c r="BS88" s="398" t="str">
        <f t="shared" si="18"/>
        <v/>
      </c>
      <c r="BT88" s="398" t="str">
        <f t="shared" si="19"/>
        <v/>
      </c>
      <c r="BU88" s="398" t="str">
        <f t="shared" si="20"/>
        <v/>
      </c>
      <c r="BV88" s="398" t="str">
        <f t="shared" si="21"/>
        <v/>
      </c>
      <c r="BW88" s="398" t="str">
        <f t="shared" si="22"/>
        <v/>
      </c>
      <c r="BX88" s="398" t="str">
        <f t="shared" si="23"/>
        <v/>
      </c>
      <c r="BY88" s="399"/>
    </row>
    <row r="89" spans="1:77" ht="15" customHeight="1">
      <c r="A89" s="385">
        <f>IF('Statement of Marks'!A93="","",'Statement of Marks'!A93)</f>
        <v>86</v>
      </c>
      <c r="B89" s="386" t="str">
        <f>IF('Statement of Marks'!B93="","",'Statement of Marks'!B93)</f>
        <v/>
      </c>
      <c r="C89" s="387" t="str">
        <f>IF('Statement of Marks'!C93="","",'Statement of Marks'!C93)</f>
        <v/>
      </c>
      <c r="D89" s="426" t="str">
        <f>IF('Statement of Marks'!D93="","",'Statement of Marks'!D93)</f>
        <v/>
      </c>
      <c r="E89" s="388" t="str">
        <f>IF('Statement of Marks'!E93="","",'Statement of Marks'!E93)</f>
        <v/>
      </c>
      <c r="F89" s="388" t="str">
        <f>IF('Statement of Marks'!F93="","",'Statement of Marks'!F93)</f>
        <v/>
      </c>
      <c r="G89" s="388" t="str">
        <f>IF('Statement of Marks'!G93="","",'Statement of Marks'!G93)</f>
        <v/>
      </c>
      <c r="H89" s="389" t="str">
        <f>IF('Statement of Marks'!H93="","",'Statement of Marks'!H93)</f>
        <v/>
      </c>
      <c r="I89" s="389" t="str">
        <f>IF('Statement of Marks'!I93="","",'Statement of Marks'!I93)</f>
        <v/>
      </c>
      <c r="J89" s="648" t="str">
        <f>IF('Statement of Marks'!GY93="","",'Statement of Marks'!GY93)</f>
        <v/>
      </c>
      <c r="K89" s="390" t="str">
        <f>IF(B89="","",IF('Statement of Marks'!GZ93="","",'Statement of Marks'!GZ93))</f>
        <v/>
      </c>
      <c r="L89" s="391" t="str">
        <f>IF('Statement of Marks'!HC93="","",'Statement of Marks'!HC93)</f>
        <v/>
      </c>
      <c r="M89" s="390" t="str">
        <f>IF('Statement of Marks'!HB93="","",'Statement of Marks'!HB93)</f>
        <v/>
      </c>
      <c r="N89" s="392" t="str">
        <f>IF(J89="FAIL","",IF('Statement of Marks'!GU93="","",'Statement of Marks'!GU93))</f>
        <v xml:space="preserve">    </v>
      </c>
      <c r="O89" s="393" t="str">
        <f>IF('Supp. Result Entry'!AS92="","",'Supp. Result Entry'!AS92)</f>
        <v/>
      </c>
      <c r="P89" s="394" t="str">
        <f>IF('Supp. Result Entry'!AT92="","",'Supp. Result Entry'!AT92)</f>
        <v/>
      </c>
      <c r="Q89" s="395" t="str">
        <f>IF('Statement of Marks'!HG93="","",'Statement of Marks'!HG93)</f>
        <v/>
      </c>
      <c r="R89" s="396" t="str">
        <f>IF('Statement of Marks'!FH93="","",'Statement of Marks'!FH93)</f>
        <v/>
      </c>
      <c r="BL89" s="397" t="str">
        <f>'Statement of Marks'!E93</f>
        <v/>
      </c>
      <c r="BM89" s="398" t="str">
        <f t="shared" si="12"/>
        <v/>
      </c>
      <c r="BN89" s="398" t="str">
        <f t="shared" si="13"/>
        <v/>
      </c>
      <c r="BO89" s="398" t="str">
        <f t="shared" si="14"/>
        <v/>
      </c>
      <c r="BP89" s="398" t="str">
        <f t="shared" si="15"/>
        <v/>
      </c>
      <c r="BQ89" s="398" t="str">
        <f t="shared" si="16"/>
        <v/>
      </c>
      <c r="BR89" s="398" t="str">
        <f t="shared" si="17"/>
        <v/>
      </c>
      <c r="BS89" s="398" t="str">
        <f t="shared" si="18"/>
        <v/>
      </c>
      <c r="BT89" s="398" t="str">
        <f t="shared" si="19"/>
        <v/>
      </c>
      <c r="BU89" s="398" t="str">
        <f t="shared" si="20"/>
        <v/>
      </c>
      <c r="BV89" s="398" t="str">
        <f t="shared" si="21"/>
        <v/>
      </c>
      <c r="BW89" s="398" t="str">
        <f t="shared" si="22"/>
        <v/>
      </c>
      <c r="BX89" s="398" t="str">
        <f t="shared" si="23"/>
        <v/>
      </c>
      <c r="BY89" s="399"/>
    </row>
    <row r="90" spans="1:77" ht="15" customHeight="1">
      <c r="A90" s="385">
        <f>IF('Statement of Marks'!A94="","",'Statement of Marks'!A94)</f>
        <v>87</v>
      </c>
      <c r="B90" s="386" t="str">
        <f>IF('Statement of Marks'!B94="","",'Statement of Marks'!B94)</f>
        <v/>
      </c>
      <c r="C90" s="387" t="str">
        <f>IF('Statement of Marks'!C94="","",'Statement of Marks'!C94)</f>
        <v/>
      </c>
      <c r="D90" s="426" t="str">
        <f>IF('Statement of Marks'!D94="","",'Statement of Marks'!D94)</f>
        <v/>
      </c>
      <c r="E90" s="388" t="str">
        <f>IF('Statement of Marks'!E94="","",'Statement of Marks'!E94)</f>
        <v/>
      </c>
      <c r="F90" s="388" t="str">
        <f>IF('Statement of Marks'!F94="","",'Statement of Marks'!F94)</f>
        <v/>
      </c>
      <c r="G90" s="388" t="str">
        <f>IF('Statement of Marks'!G94="","",'Statement of Marks'!G94)</f>
        <v/>
      </c>
      <c r="H90" s="389" t="str">
        <f>IF('Statement of Marks'!H94="","",'Statement of Marks'!H94)</f>
        <v/>
      </c>
      <c r="I90" s="389" t="str">
        <f>IF('Statement of Marks'!I94="","",'Statement of Marks'!I94)</f>
        <v/>
      </c>
      <c r="J90" s="648" t="str">
        <f>IF('Statement of Marks'!GY94="","",'Statement of Marks'!GY94)</f>
        <v/>
      </c>
      <c r="K90" s="390" t="str">
        <f>IF(B90="","",IF('Statement of Marks'!GZ94="","",'Statement of Marks'!GZ94))</f>
        <v/>
      </c>
      <c r="L90" s="391" t="str">
        <f>IF('Statement of Marks'!HC94="","",'Statement of Marks'!HC94)</f>
        <v/>
      </c>
      <c r="M90" s="390" t="str">
        <f>IF('Statement of Marks'!HB94="","",'Statement of Marks'!HB94)</f>
        <v/>
      </c>
      <c r="N90" s="392" t="str">
        <f>IF(J90="FAIL","",IF('Statement of Marks'!GU94="","",'Statement of Marks'!GU94))</f>
        <v xml:space="preserve">    </v>
      </c>
      <c r="O90" s="393" t="str">
        <f>IF('Supp. Result Entry'!AS93="","",'Supp. Result Entry'!AS93)</f>
        <v/>
      </c>
      <c r="P90" s="394" t="str">
        <f>IF('Supp. Result Entry'!AT93="","",'Supp. Result Entry'!AT93)</f>
        <v/>
      </c>
      <c r="Q90" s="395" t="str">
        <f>IF('Statement of Marks'!HG94="","",'Statement of Marks'!HG94)</f>
        <v/>
      </c>
      <c r="R90" s="396" t="str">
        <f>IF('Statement of Marks'!FH94="","",'Statement of Marks'!FH94)</f>
        <v/>
      </c>
      <c r="BL90" s="397" t="str">
        <f>'Statement of Marks'!E94</f>
        <v/>
      </c>
      <c r="BM90" s="398" t="str">
        <f t="shared" si="12"/>
        <v/>
      </c>
      <c r="BN90" s="398" t="str">
        <f t="shared" si="13"/>
        <v/>
      </c>
      <c r="BO90" s="398" t="str">
        <f t="shared" si="14"/>
        <v/>
      </c>
      <c r="BP90" s="398" t="str">
        <f t="shared" si="15"/>
        <v/>
      </c>
      <c r="BQ90" s="398" t="str">
        <f t="shared" si="16"/>
        <v/>
      </c>
      <c r="BR90" s="398" t="str">
        <f t="shared" si="17"/>
        <v/>
      </c>
      <c r="BS90" s="398" t="str">
        <f t="shared" si="18"/>
        <v/>
      </c>
      <c r="BT90" s="398" t="str">
        <f t="shared" si="19"/>
        <v/>
      </c>
      <c r="BU90" s="398" t="str">
        <f t="shared" si="20"/>
        <v/>
      </c>
      <c r="BV90" s="398" t="str">
        <f t="shared" si="21"/>
        <v/>
      </c>
      <c r="BW90" s="398" t="str">
        <f t="shared" si="22"/>
        <v/>
      </c>
      <c r="BX90" s="398" t="str">
        <f t="shared" si="23"/>
        <v/>
      </c>
      <c r="BY90" s="399"/>
    </row>
    <row r="91" spans="1:77" ht="15" customHeight="1">
      <c r="A91" s="385">
        <f>IF('Statement of Marks'!A95="","",'Statement of Marks'!A95)</f>
        <v>88</v>
      </c>
      <c r="B91" s="386" t="str">
        <f>IF('Statement of Marks'!B95="","",'Statement of Marks'!B95)</f>
        <v/>
      </c>
      <c r="C91" s="387" t="str">
        <f>IF('Statement of Marks'!C95="","",'Statement of Marks'!C95)</f>
        <v/>
      </c>
      <c r="D91" s="426" t="str">
        <f>IF('Statement of Marks'!D95="","",'Statement of Marks'!D95)</f>
        <v/>
      </c>
      <c r="E91" s="388" t="str">
        <f>IF('Statement of Marks'!E95="","",'Statement of Marks'!E95)</f>
        <v/>
      </c>
      <c r="F91" s="388" t="str">
        <f>IF('Statement of Marks'!F95="","",'Statement of Marks'!F95)</f>
        <v/>
      </c>
      <c r="G91" s="388" t="str">
        <f>IF('Statement of Marks'!G95="","",'Statement of Marks'!G95)</f>
        <v/>
      </c>
      <c r="H91" s="389" t="str">
        <f>IF('Statement of Marks'!H95="","",'Statement of Marks'!H95)</f>
        <v/>
      </c>
      <c r="I91" s="389" t="str">
        <f>IF('Statement of Marks'!I95="","",'Statement of Marks'!I95)</f>
        <v/>
      </c>
      <c r="J91" s="648" t="str">
        <f>IF('Statement of Marks'!GY95="","",'Statement of Marks'!GY95)</f>
        <v/>
      </c>
      <c r="K91" s="390" t="str">
        <f>IF(B91="","",IF('Statement of Marks'!GZ95="","",'Statement of Marks'!GZ95))</f>
        <v/>
      </c>
      <c r="L91" s="391" t="str">
        <f>IF('Statement of Marks'!HC95="","",'Statement of Marks'!HC95)</f>
        <v/>
      </c>
      <c r="M91" s="390" t="str">
        <f>IF('Statement of Marks'!HB95="","",'Statement of Marks'!HB95)</f>
        <v/>
      </c>
      <c r="N91" s="392" t="str">
        <f>IF(J91="FAIL","",IF('Statement of Marks'!GU95="","",'Statement of Marks'!GU95))</f>
        <v xml:space="preserve">    </v>
      </c>
      <c r="O91" s="393" t="str">
        <f>IF('Supp. Result Entry'!AS94="","",'Supp. Result Entry'!AS94)</f>
        <v/>
      </c>
      <c r="P91" s="394" t="str">
        <f>IF('Supp. Result Entry'!AT94="","",'Supp. Result Entry'!AT94)</f>
        <v/>
      </c>
      <c r="Q91" s="395" t="str">
        <f>IF('Statement of Marks'!HG95="","",'Statement of Marks'!HG95)</f>
        <v/>
      </c>
      <c r="R91" s="396" t="str">
        <f>IF('Statement of Marks'!FH95="","",'Statement of Marks'!FH95)</f>
        <v/>
      </c>
      <c r="BL91" s="397" t="str">
        <f>'Statement of Marks'!E95</f>
        <v/>
      </c>
      <c r="BM91" s="398" t="str">
        <f t="shared" si="12"/>
        <v/>
      </c>
      <c r="BN91" s="398" t="str">
        <f t="shared" si="13"/>
        <v/>
      </c>
      <c r="BO91" s="398" t="str">
        <f t="shared" si="14"/>
        <v/>
      </c>
      <c r="BP91" s="398" t="str">
        <f t="shared" si="15"/>
        <v/>
      </c>
      <c r="BQ91" s="398" t="str">
        <f t="shared" si="16"/>
        <v/>
      </c>
      <c r="BR91" s="398" t="str">
        <f t="shared" si="17"/>
        <v/>
      </c>
      <c r="BS91" s="398" t="str">
        <f t="shared" si="18"/>
        <v/>
      </c>
      <c r="BT91" s="398" t="str">
        <f t="shared" si="19"/>
        <v/>
      </c>
      <c r="BU91" s="398" t="str">
        <f t="shared" si="20"/>
        <v/>
      </c>
      <c r="BV91" s="398" t="str">
        <f t="shared" si="21"/>
        <v/>
      </c>
      <c r="BW91" s="398" t="str">
        <f t="shared" si="22"/>
        <v/>
      </c>
      <c r="BX91" s="398" t="str">
        <f t="shared" si="23"/>
        <v/>
      </c>
      <c r="BY91" s="399"/>
    </row>
    <row r="92" spans="1:77" ht="15" customHeight="1">
      <c r="A92" s="385">
        <f>IF('Statement of Marks'!A96="","",'Statement of Marks'!A96)</f>
        <v>89</v>
      </c>
      <c r="B92" s="386" t="str">
        <f>IF('Statement of Marks'!B96="","",'Statement of Marks'!B96)</f>
        <v/>
      </c>
      <c r="C92" s="387" t="str">
        <f>IF('Statement of Marks'!C96="","",'Statement of Marks'!C96)</f>
        <v/>
      </c>
      <c r="D92" s="426" t="str">
        <f>IF('Statement of Marks'!D96="","",'Statement of Marks'!D96)</f>
        <v/>
      </c>
      <c r="E92" s="388" t="str">
        <f>IF('Statement of Marks'!E96="","",'Statement of Marks'!E96)</f>
        <v/>
      </c>
      <c r="F92" s="388" t="str">
        <f>IF('Statement of Marks'!F96="","",'Statement of Marks'!F96)</f>
        <v/>
      </c>
      <c r="G92" s="388" t="str">
        <f>IF('Statement of Marks'!G96="","",'Statement of Marks'!G96)</f>
        <v/>
      </c>
      <c r="H92" s="389" t="str">
        <f>IF('Statement of Marks'!H96="","",'Statement of Marks'!H96)</f>
        <v/>
      </c>
      <c r="I92" s="389" t="str">
        <f>IF('Statement of Marks'!I96="","",'Statement of Marks'!I96)</f>
        <v/>
      </c>
      <c r="J92" s="648" t="str">
        <f>IF('Statement of Marks'!GY96="","",'Statement of Marks'!GY96)</f>
        <v/>
      </c>
      <c r="K92" s="390" t="str">
        <f>IF(B92="","",IF('Statement of Marks'!GZ96="","",'Statement of Marks'!GZ96))</f>
        <v/>
      </c>
      <c r="L92" s="391" t="str">
        <f>IF('Statement of Marks'!HC96="","",'Statement of Marks'!HC96)</f>
        <v/>
      </c>
      <c r="M92" s="390" t="str">
        <f>IF('Statement of Marks'!HB96="","",'Statement of Marks'!HB96)</f>
        <v/>
      </c>
      <c r="N92" s="392" t="str">
        <f>IF(J92="FAIL","",IF('Statement of Marks'!GU96="","",'Statement of Marks'!GU96))</f>
        <v xml:space="preserve">    </v>
      </c>
      <c r="O92" s="393" t="str">
        <f>IF('Supp. Result Entry'!AS95="","",'Supp. Result Entry'!AS95)</f>
        <v/>
      </c>
      <c r="P92" s="394" t="str">
        <f>IF('Supp. Result Entry'!AT95="","",'Supp. Result Entry'!AT95)</f>
        <v/>
      </c>
      <c r="Q92" s="395" t="str">
        <f>IF('Statement of Marks'!HG96="","",'Statement of Marks'!HG96)</f>
        <v/>
      </c>
      <c r="R92" s="396" t="str">
        <f>IF('Statement of Marks'!FH96="","",'Statement of Marks'!FH96)</f>
        <v/>
      </c>
      <c r="BL92" s="397" t="str">
        <f>'Statement of Marks'!E96</f>
        <v/>
      </c>
      <c r="BM92" s="398" t="str">
        <f t="shared" si="12"/>
        <v/>
      </c>
      <c r="BN92" s="398" t="str">
        <f t="shared" si="13"/>
        <v/>
      </c>
      <c r="BO92" s="398" t="str">
        <f t="shared" si="14"/>
        <v/>
      </c>
      <c r="BP92" s="398" t="str">
        <f t="shared" si="15"/>
        <v/>
      </c>
      <c r="BQ92" s="398" t="str">
        <f t="shared" si="16"/>
        <v/>
      </c>
      <c r="BR92" s="398" t="str">
        <f t="shared" si="17"/>
        <v/>
      </c>
      <c r="BS92" s="398" t="str">
        <f t="shared" si="18"/>
        <v/>
      </c>
      <c r="BT92" s="398" t="str">
        <f t="shared" si="19"/>
        <v/>
      </c>
      <c r="BU92" s="398" t="str">
        <f t="shared" si="20"/>
        <v/>
      </c>
      <c r="BV92" s="398" t="str">
        <f t="shared" si="21"/>
        <v/>
      </c>
      <c r="BW92" s="398" t="str">
        <f t="shared" si="22"/>
        <v/>
      </c>
      <c r="BX92" s="398" t="str">
        <f t="shared" si="23"/>
        <v/>
      </c>
      <c r="BY92" s="399"/>
    </row>
    <row r="93" spans="1:77" ht="15" customHeight="1">
      <c r="A93" s="385">
        <f>IF('Statement of Marks'!A97="","",'Statement of Marks'!A97)</f>
        <v>90</v>
      </c>
      <c r="B93" s="386" t="str">
        <f>IF('Statement of Marks'!B97="","",'Statement of Marks'!B97)</f>
        <v/>
      </c>
      <c r="C93" s="387" t="str">
        <f>IF('Statement of Marks'!C97="","",'Statement of Marks'!C97)</f>
        <v/>
      </c>
      <c r="D93" s="426" t="str">
        <f>IF('Statement of Marks'!D97="","",'Statement of Marks'!D97)</f>
        <v/>
      </c>
      <c r="E93" s="388" t="str">
        <f>IF('Statement of Marks'!E97="","",'Statement of Marks'!E97)</f>
        <v/>
      </c>
      <c r="F93" s="388" t="str">
        <f>IF('Statement of Marks'!F97="","",'Statement of Marks'!F97)</f>
        <v/>
      </c>
      <c r="G93" s="388" t="str">
        <f>IF('Statement of Marks'!G97="","",'Statement of Marks'!G97)</f>
        <v/>
      </c>
      <c r="H93" s="389" t="str">
        <f>IF('Statement of Marks'!H97="","",'Statement of Marks'!H97)</f>
        <v/>
      </c>
      <c r="I93" s="389" t="str">
        <f>IF('Statement of Marks'!I97="","",'Statement of Marks'!I97)</f>
        <v/>
      </c>
      <c r="J93" s="648" t="str">
        <f>IF('Statement of Marks'!GY97="","",'Statement of Marks'!GY97)</f>
        <v/>
      </c>
      <c r="K93" s="390" t="str">
        <f>IF(B93="","",IF('Statement of Marks'!GZ97="","",'Statement of Marks'!GZ97))</f>
        <v/>
      </c>
      <c r="L93" s="391" t="str">
        <f>IF('Statement of Marks'!HC97="","",'Statement of Marks'!HC97)</f>
        <v/>
      </c>
      <c r="M93" s="390" t="str">
        <f>IF('Statement of Marks'!HB97="","",'Statement of Marks'!HB97)</f>
        <v/>
      </c>
      <c r="N93" s="392" t="str">
        <f>IF(J93="FAIL","",IF('Statement of Marks'!GU97="","",'Statement of Marks'!GU97))</f>
        <v xml:space="preserve">    </v>
      </c>
      <c r="O93" s="393" t="str">
        <f>IF('Supp. Result Entry'!AS96="","",'Supp. Result Entry'!AS96)</f>
        <v/>
      </c>
      <c r="P93" s="394" t="str">
        <f>IF('Supp. Result Entry'!AT96="","",'Supp. Result Entry'!AT96)</f>
        <v/>
      </c>
      <c r="Q93" s="395" t="str">
        <f>IF('Statement of Marks'!HG97="","",'Statement of Marks'!HG97)</f>
        <v/>
      </c>
      <c r="R93" s="396" t="str">
        <f>IF('Statement of Marks'!FH97="","",'Statement of Marks'!FH97)</f>
        <v/>
      </c>
      <c r="BL93" s="397" t="str">
        <f>'Statement of Marks'!E97</f>
        <v/>
      </c>
      <c r="BM93" s="398" t="str">
        <f t="shared" si="12"/>
        <v/>
      </c>
      <c r="BN93" s="398" t="str">
        <f t="shared" si="13"/>
        <v/>
      </c>
      <c r="BO93" s="398" t="str">
        <f t="shared" si="14"/>
        <v/>
      </c>
      <c r="BP93" s="398" t="str">
        <f t="shared" si="15"/>
        <v/>
      </c>
      <c r="BQ93" s="398" t="str">
        <f t="shared" si="16"/>
        <v/>
      </c>
      <c r="BR93" s="398" t="str">
        <f t="shared" si="17"/>
        <v/>
      </c>
      <c r="BS93" s="398" t="str">
        <f t="shared" si="18"/>
        <v/>
      </c>
      <c r="BT93" s="398" t="str">
        <f t="shared" si="19"/>
        <v/>
      </c>
      <c r="BU93" s="398" t="str">
        <f t="shared" si="20"/>
        <v/>
      </c>
      <c r="BV93" s="398" t="str">
        <f t="shared" si="21"/>
        <v/>
      </c>
      <c r="BW93" s="398" t="str">
        <f t="shared" si="22"/>
        <v/>
      </c>
      <c r="BX93" s="398" t="str">
        <f t="shared" si="23"/>
        <v/>
      </c>
      <c r="BY93" s="399"/>
    </row>
    <row r="94" spans="1:77" ht="15" customHeight="1">
      <c r="A94" s="385">
        <f>IF('Statement of Marks'!A98="","",'Statement of Marks'!A98)</f>
        <v>91</v>
      </c>
      <c r="B94" s="386" t="str">
        <f>IF('Statement of Marks'!B98="","",'Statement of Marks'!B98)</f>
        <v/>
      </c>
      <c r="C94" s="387" t="str">
        <f>IF('Statement of Marks'!C98="","",'Statement of Marks'!C98)</f>
        <v/>
      </c>
      <c r="D94" s="426" t="str">
        <f>IF('Statement of Marks'!D98="","",'Statement of Marks'!D98)</f>
        <v/>
      </c>
      <c r="E94" s="388" t="str">
        <f>IF('Statement of Marks'!E98="","",'Statement of Marks'!E98)</f>
        <v/>
      </c>
      <c r="F94" s="388" t="str">
        <f>IF('Statement of Marks'!F98="","",'Statement of Marks'!F98)</f>
        <v/>
      </c>
      <c r="G94" s="388" t="str">
        <f>IF('Statement of Marks'!G98="","",'Statement of Marks'!G98)</f>
        <v/>
      </c>
      <c r="H94" s="389" t="str">
        <f>IF('Statement of Marks'!H98="","",'Statement of Marks'!H98)</f>
        <v/>
      </c>
      <c r="I94" s="389" t="str">
        <f>IF('Statement of Marks'!I98="","",'Statement of Marks'!I98)</f>
        <v/>
      </c>
      <c r="J94" s="648" t="str">
        <f>IF('Statement of Marks'!GY98="","",'Statement of Marks'!GY98)</f>
        <v/>
      </c>
      <c r="K94" s="390" t="str">
        <f>IF(B94="","",IF('Statement of Marks'!GZ98="","",'Statement of Marks'!GZ98))</f>
        <v/>
      </c>
      <c r="L94" s="391" t="str">
        <f>IF('Statement of Marks'!HC98="","",'Statement of Marks'!HC98)</f>
        <v/>
      </c>
      <c r="M94" s="390" t="str">
        <f>IF('Statement of Marks'!HB98="","",'Statement of Marks'!HB98)</f>
        <v/>
      </c>
      <c r="N94" s="392" t="str">
        <f>IF(J94="FAIL","",IF('Statement of Marks'!GU98="","",'Statement of Marks'!GU98))</f>
        <v xml:space="preserve">    </v>
      </c>
      <c r="O94" s="393" t="str">
        <f>IF('Supp. Result Entry'!AS97="","",'Supp. Result Entry'!AS97)</f>
        <v/>
      </c>
      <c r="P94" s="394" t="str">
        <f>IF('Supp. Result Entry'!AT97="","",'Supp. Result Entry'!AT97)</f>
        <v/>
      </c>
      <c r="Q94" s="395" t="str">
        <f>IF('Statement of Marks'!HG98="","",'Statement of Marks'!HG98)</f>
        <v/>
      </c>
      <c r="R94" s="396" t="str">
        <f>IF('Statement of Marks'!FH98="","",'Statement of Marks'!FH98)</f>
        <v/>
      </c>
      <c r="BL94" s="397" t="str">
        <f>'Statement of Marks'!E98</f>
        <v/>
      </c>
      <c r="BM94" s="398" t="str">
        <f t="shared" si="12"/>
        <v/>
      </c>
      <c r="BN94" s="398" t="str">
        <f t="shared" si="13"/>
        <v/>
      </c>
      <c r="BO94" s="398" t="str">
        <f t="shared" si="14"/>
        <v/>
      </c>
      <c r="BP94" s="398" t="str">
        <f t="shared" si="15"/>
        <v/>
      </c>
      <c r="BQ94" s="398" t="str">
        <f t="shared" si="16"/>
        <v/>
      </c>
      <c r="BR94" s="398" t="str">
        <f t="shared" si="17"/>
        <v/>
      </c>
      <c r="BS94" s="398" t="str">
        <f t="shared" si="18"/>
        <v/>
      </c>
      <c r="BT94" s="398" t="str">
        <f t="shared" si="19"/>
        <v/>
      </c>
      <c r="BU94" s="398" t="str">
        <f t="shared" si="20"/>
        <v/>
      </c>
      <c r="BV94" s="398" t="str">
        <f t="shared" si="21"/>
        <v/>
      </c>
      <c r="BW94" s="398" t="str">
        <f t="shared" si="22"/>
        <v/>
      </c>
      <c r="BX94" s="398" t="str">
        <f t="shared" si="23"/>
        <v/>
      </c>
      <c r="BY94" s="399"/>
    </row>
    <row r="95" spans="1:77" ht="15" customHeight="1">
      <c r="A95" s="385">
        <f>IF('Statement of Marks'!A99="","",'Statement of Marks'!A99)</f>
        <v>92</v>
      </c>
      <c r="B95" s="386" t="str">
        <f>IF('Statement of Marks'!B99="","",'Statement of Marks'!B99)</f>
        <v/>
      </c>
      <c r="C95" s="387" t="str">
        <f>IF('Statement of Marks'!C99="","",'Statement of Marks'!C99)</f>
        <v/>
      </c>
      <c r="D95" s="426" t="str">
        <f>IF('Statement of Marks'!D99="","",'Statement of Marks'!D99)</f>
        <v/>
      </c>
      <c r="E95" s="388" t="str">
        <f>IF('Statement of Marks'!E99="","",'Statement of Marks'!E99)</f>
        <v/>
      </c>
      <c r="F95" s="388" t="str">
        <f>IF('Statement of Marks'!F99="","",'Statement of Marks'!F99)</f>
        <v/>
      </c>
      <c r="G95" s="388" t="str">
        <f>IF('Statement of Marks'!G99="","",'Statement of Marks'!G99)</f>
        <v/>
      </c>
      <c r="H95" s="389" t="str">
        <f>IF('Statement of Marks'!H99="","",'Statement of Marks'!H99)</f>
        <v/>
      </c>
      <c r="I95" s="389" t="str">
        <f>IF('Statement of Marks'!I99="","",'Statement of Marks'!I99)</f>
        <v/>
      </c>
      <c r="J95" s="648" t="str">
        <f>IF('Statement of Marks'!GY99="","",'Statement of Marks'!GY99)</f>
        <v/>
      </c>
      <c r="K95" s="390" t="str">
        <f>IF(B95="","",IF('Statement of Marks'!GZ99="","",'Statement of Marks'!GZ99))</f>
        <v/>
      </c>
      <c r="L95" s="391" t="str">
        <f>IF('Statement of Marks'!HC99="","",'Statement of Marks'!HC99)</f>
        <v/>
      </c>
      <c r="M95" s="390" t="str">
        <f>IF('Statement of Marks'!HB99="","",'Statement of Marks'!HB99)</f>
        <v/>
      </c>
      <c r="N95" s="392" t="str">
        <f>IF(J95="FAIL","",IF('Statement of Marks'!GU99="","",'Statement of Marks'!GU99))</f>
        <v xml:space="preserve">    </v>
      </c>
      <c r="O95" s="393" t="str">
        <f>IF('Supp. Result Entry'!AS98="","",'Supp. Result Entry'!AS98)</f>
        <v/>
      </c>
      <c r="P95" s="394" t="str">
        <f>IF('Supp. Result Entry'!AT98="","",'Supp. Result Entry'!AT98)</f>
        <v/>
      </c>
      <c r="Q95" s="395" t="str">
        <f>IF('Statement of Marks'!HG99="","",'Statement of Marks'!HG99)</f>
        <v/>
      </c>
      <c r="R95" s="396" t="str">
        <f>IF('Statement of Marks'!FH99="","",'Statement of Marks'!FH99)</f>
        <v/>
      </c>
      <c r="BL95" s="397" t="str">
        <f>'Statement of Marks'!E99</f>
        <v/>
      </c>
      <c r="BM95" s="398" t="str">
        <f t="shared" si="12"/>
        <v/>
      </c>
      <c r="BN95" s="398" t="str">
        <f t="shared" si="13"/>
        <v/>
      </c>
      <c r="BO95" s="398" t="str">
        <f t="shared" si="14"/>
        <v/>
      </c>
      <c r="BP95" s="398" t="str">
        <f t="shared" si="15"/>
        <v/>
      </c>
      <c r="BQ95" s="398" t="str">
        <f t="shared" si="16"/>
        <v/>
      </c>
      <c r="BR95" s="398" t="str">
        <f t="shared" si="17"/>
        <v/>
      </c>
      <c r="BS95" s="398" t="str">
        <f t="shared" si="18"/>
        <v/>
      </c>
      <c r="BT95" s="398" t="str">
        <f t="shared" si="19"/>
        <v/>
      </c>
      <c r="BU95" s="398" t="str">
        <f t="shared" si="20"/>
        <v/>
      </c>
      <c r="BV95" s="398" t="str">
        <f t="shared" si="21"/>
        <v/>
      </c>
      <c r="BW95" s="398" t="str">
        <f t="shared" si="22"/>
        <v/>
      </c>
      <c r="BX95" s="398" t="str">
        <f t="shared" si="23"/>
        <v/>
      </c>
      <c r="BY95" s="399"/>
    </row>
    <row r="96" spans="1:77" ht="15" customHeight="1">
      <c r="A96" s="385">
        <f>IF('Statement of Marks'!A100="","",'Statement of Marks'!A100)</f>
        <v>93</v>
      </c>
      <c r="B96" s="386" t="str">
        <f>IF('Statement of Marks'!B100="","",'Statement of Marks'!B100)</f>
        <v/>
      </c>
      <c r="C96" s="387" t="str">
        <f>IF('Statement of Marks'!C100="","",'Statement of Marks'!C100)</f>
        <v/>
      </c>
      <c r="D96" s="426" t="str">
        <f>IF('Statement of Marks'!D100="","",'Statement of Marks'!D100)</f>
        <v/>
      </c>
      <c r="E96" s="388" t="str">
        <f>IF('Statement of Marks'!E100="","",'Statement of Marks'!E100)</f>
        <v/>
      </c>
      <c r="F96" s="388" t="str">
        <f>IF('Statement of Marks'!F100="","",'Statement of Marks'!F100)</f>
        <v/>
      </c>
      <c r="G96" s="388" t="str">
        <f>IF('Statement of Marks'!G100="","",'Statement of Marks'!G100)</f>
        <v/>
      </c>
      <c r="H96" s="389" t="str">
        <f>IF('Statement of Marks'!H100="","",'Statement of Marks'!H100)</f>
        <v/>
      </c>
      <c r="I96" s="389" t="str">
        <f>IF('Statement of Marks'!I100="","",'Statement of Marks'!I100)</f>
        <v/>
      </c>
      <c r="J96" s="648" t="str">
        <f>IF('Statement of Marks'!GY100="","",'Statement of Marks'!GY100)</f>
        <v/>
      </c>
      <c r="K96" s="390" t="str">
        <f>IF(B96="","",IF('Statement of Marks'!GZ100="","",'Statement of Marks'!GZ100))</f>
        <v/>
      </c>
      <c r="L96" s="391" t="str">
        <f>IF('Statement of Marks'!HC100="","",'Statement of Marks'!HC100)</f>
        <v/>
      </c>
      <c r="M96" s="390" t="str">
        <f>IF('Statement of Marks'!HB100="","",'Statement of Marks'!HB100)</f>
        <v/>
      </c>
      <c r="N96" s="392" t="str">
        <f>IF(J96="FAIL","",IF('Statement of Marks'!GU100="","",'Statement of Marks'!GU100))</f>
        <v xml:space="preserve">    </v>
      </c>
      <c r="O96" s="393" t="str">
        <f>IF('Supp. Result Entry'!AS99="","",'Supp. Result Entry'!AS99)</f>
        <v/>
      </c>
      <c r="P96" s="394" t="str">
        <f>IF('Supp. Result Entry'!AT99="","",'Supp. Result Entry'!AT99)</f>
        <v/>
      </c>
      <c r="Q96" s="395" t="str">
        <f>IF('Statement of Marks'!HG100="","",'Statement of Marks'!HG100)</f>
        <v/>
      </c>
      <c r="R96" s="396" t="str">
        <f>IF('Statement of Marks'!FH100="","",'Statement of Marks'!FH100)</f>
        <v/>
      </c>
      <c r="BL96" s="397" t="str">
        <f>'Statement of Marks'!E100</f>
        <v/>
      </c>
      <c r="BM96" s="398" t="str">
        <f t="shared" si="12"/>
        <v/>
      </c>
      <c r="BN96" s="398" t="str">
        <f t="shared" si="13"/>
        <v/>
      </c>
      <c r="BO96" s="398" t="str">
        <f t="shared" si="14"/>
        <v/>
      </c>
      <c r="BP96" s="398" t="str">
        <f t="shared" si="15"/>
        <v/>
      </c>
      <c r="BQ96" s="398" t="str">
        <f t="shared" si="16"/>
        <v/>
      </c>
      <c r="BR96" s="398" t="str">
        <f t="shared" si="17"/>
        <v/>
      </c>
      <c r="BS96" s="398" t="str">
        <f t="shared" si="18"/>
        <v/>
      </c>
      <c r="BT96" s="398" t="str">
        <f t="shared" si="19"/>
        <v/>
      </c>
      <c r="BU96" s="398" t="str">
        <f t="shared" si="20"/>
        <v/>
      </c>
      <c r="BV96" s="398" t="str">
        <f t="shared" si="21"/>
        <v/>
      </c>
      <c r="BW96" s="398" t="str">
        <f t="shared" si="22"/>
        <v/>
      </c>
      <c r="BX96" s="398" t="str">
        <f t="shared" si="23"/>
        <v/>
      </c>
      <c r="BY96" s="399"/>
    </row>
    <row r="97" spans="1:77" ht="15" customHeight="1">
      <c r="A97" s="385">
        <f>IF('Statement of Marks'!A101="","",'Statement of Marks'!A101)</f>
        <v>94</v>
      </c>
      <c r="B97" s="386" t="str">
        <f>IF('Statement of Marks'!B101="","",'Statement of Marks'!B101)</f>
        <v/>
      </c>
      <c r="C97" s="387" t="str">
        <f>IF('Statement of Marks'!C101="","",'Statement of Marks'!C101)</f>
        <v/>
      </c>
      <c r="D97" s="426" t="str">
        <f>IF('Statement of Marks'!D101="","",'Statement of Marks'!D101)</f>
        <v/>
      </c>
      <c r="E97" s="388" t="str">
        <f>IF('Statement of Marks'!E101="","",'Statement of Marks'!E101)</f>
        <v/>
      </c>
      <c r="F97" s="388" t="str">
        <f>IF('Statement of Marks'!F101="","",'Statement of Marks'!F101)</f>
        <v/>
      </c>
      <c r="G97" s="388" t="str">
        <f>IF('Statement of Marks'!G101="","",'Statement of Marks'!G101)</f>
        <v/>
      </c>
      <c r="H97" s="389" t="str">
        <f>IF('Statement of Marks'!H101="","",'Statement of Marks'!H101)</f>
        <v/>
      </c>
      <c r="I97" s="389" t="str">
        <f>IF('Statement of Marks'!I101="","",'Statement of Marks'!I101)</f>
        <v/>
      </c>
      <c r="J97" s="648" t="str">
        <f>IF('Statement of Marks'!GY101="","",'Statement of Marks'!GY101)</f>
        <v/>
      </c>
      <c r="K97" s="390" t="str">
        <f>IF(B97="","",IF('Statement of Marks'!GZ101="","",'Statement of Marks'!GZ101))</f>
        <v/>
      </c>
      <c r="L97" s="391" t="str">
        <f>IF('Statement of Marks'!HC101="","",'Statement of Marks'!HC101)</f>
        <v/>
      </c>
      <c r="M97" s="390" t="str">
        <f>IF('Statement of Marks'!HB101="","",'Statement of Marks'!HB101)</f>
        <v/>
      </c>
      <c r="N97" s="392" t="str">
        <f>IF(J97="FAIL","",IF('Statement of Marks'!GU101="","",'Statement of Marks'!GU101))</f>
        <v xml:space="preserve">    </v>
      </c>
      <c r="O97" s="393" t="str">
        <f>IF('Supp. Result Entry'!AS100="","",'Supp. Result Entry'!AS100)</f>
        <v/>
      </c>
      <c r="P97" s="394" t="str">
        <f>IF('Supp. Result Entry'!AT100="","",'Supp. Result Entry'!AT100)</f>
        <v/>
      </c>
      <c r="Q97" s="395" t="str">
        <f>IF('Statement of Marks'!HG101="","",'Statement of Marks'!HG101)</f>
        <v/>
      </c>
      <c r="R97" s="396" t="str">
        <f>IF('Statement of Marks'!FH101="","",'Statement of Marks'!FH101)</f>
        <v/>
      </c>
      <c r="BL97" s="397" t="str">
        <f>'Statement of Marks'!E101</f>
        <v/>
      </c>
      <c r="BM97" s="398" t="str">
        <f t="shared" si="12"/>
        <v/>
      </c>
      <c r="BN97" s="398" t="str">
        <f t="shared" si="13"/>
        <v/>
      </c>
      <c r="BO97" s="398" t="str">
        <f t="shared" si="14"/>
        <v/>
      </c>
      <c r="BP97" s="398" t="str">
        <f t="shared" si="15"/>
        <v/>
      </c>
      <c r="BQ97" s="398" t="str">
        <f t="shared" si="16"/>
        <v/>
      </c>
      <c r="BR97" s="398" t="str">
        <f t="shared" si="17"/>
        <v/>
      </c>
      <c r="BS97" s="398" t="str">
        <f t="shared" si="18"/>
        <v/>
      </c>
      <c r="BT97" s="398" t="str">
        <f t="shared" si="19"/>
        <v/>
      </c>
      <c r="BU97" s="398" t="str">
        <f t="shared" si="20"/>
        <v/>
      </c>
      <c r="BV97" s="398" t="str">
        <f t="shared" si="21"/>
        <v/>
      </c>
      <c r="BW97" s="398" t="str">
        <f t="shared" si="22"/>
        <v/>
      </c>
      <c r="BX97" s="398" t="str">
        <f t="shared" si="23"/>
        <v/>
      </c>
      <c r="BY97" s="399"/>
    </row>
    <row r="98" spans="1:77" ht="15" customHeight="1">
      <c r="A98" s="385">
        <f>IF('Statement of Marks'!A102="","",'Statement of Marks'!A102)</f>
        <v>95</v>
      </c>
      <c r="B98" s="386" t="str">
        <f>IF('Statement of Marks'!B102="","",'Statement of Marks'!B102)</f>
        <v/>
      </c>
      <c r="C98" s="387" t="str">
        <f>IF('Statement of Marks'!C102="","",'Statement of Marks'!C102)</f>
        <v/>
      </c>
      <c r="D98" s="426" t="str">
        <f>IF('Statement of Marks'!D102="","",'Statement of Marks'!D102)</f>
        <v/>
      </c>
      <c r="E98" s="388" t="str">
        <f>IF('Statement of Marks'!E102="","",'Statement of Marks'!E102)</f>
        <v/>
      </c>
      <c r="F98" s="388" t="str">
        <f>IF('Statement of Marks'!F102="","",'Statement of Marks'!F102)</f>
        <v/>
      </c>
      <c r="G98" s="388" t="str">
        <f>IF('Statement of Marks'!G102="","",'Statement of Marks'!G102)</f>
        <v/>
      </c>
      <c r="H98" s="389" t="str">
        <f>IF('Statement of Marks'!H102="","",'Statement of Marks'!H102)</f>
        <v/>
      </c>
      <c r="I98" s="389" t="str">
        <f>IF('Statement of Marks'!I102="","",'Statement of Marks'!I102)</f>
        <v/>
      </c>
      <c r="J98" s="648" t="str">
        <f>IF('Statement of Marks'!GY102="","",'Statement of Marks'!GY102)</f>
        <v/>
      </c>
      <c r="K98" s="390" t="str">
        <f>IF(B98="","",IF('Statement of Marks'!GZ102="","",'Statement of Marks'!GZ102))</f>
        <v/>
      </c>
      <c r="L98" s="391" t="str">
        <f>IF('Statement of Marks'!HC102="","",'Statement of Marks'!HC102)</f>
        <v/>
      </c>
      <c r="M98" s="390" t="str">
        <f>IF('Statement of Marks'!HB102="","",'Statement of Marks'!HB102)</f>
        <v/>
      </c>
      <c r="N98" s="392" t="str">
        <f>IF(J98="FAIL","",IF('Statement of Marks'!GU102="","",'Statement of Marks'!GU102))</f>
        <v xml:space="preserve">    </v>
      </c>
      <c r="O98" s="393" t="str">
        <f>IF('Supp. Result Entry'!AS101="","",'Supp. Result Entry'!AS101)</f>
        <v/>
      </c>
      <c r="P98" s="394" t="str">
        <f>IF('Supp. Result Entry'!AT101="","",'Supp. Result Entry'!AT101)</f>
        <v/>
      </c>
      <c r="Q98" s="395" t="str">
        <f>IF('Statement of Marks'!HG102="","",'Statement of Marks'!HG102)</f>
        <v/>
      </c>
      <c r="R98" s="396" t="str">
        <f>IF('Statement of Marks'!FH102="","",'Statement of Marks'!FH102)</f>
        <v/>
      </c>
      <c r="BL98" s="397" t="str">
        <f>'Statement of Marks'!E102</f>
        <v/>
      </c>
      <c r="BM98" s="398" t="str">
        <f t="shared" si="12"/>
        <v/>
      </c>
      <c r="BN98" s="398" t="str">
        <f t="shared" si="13"/>
        <v/>
      </c>
      <c r="BO98" s="398" t="str">
        <f t="shared" si="14"/>
        <v/>
      </c>
      <c r="BP98" s="398" t="str">
        <f t="shared" si="15"/>
        <v/>
      </c>
      <c r="BQ98" s="398" t="str">
        <f t="shared" si="16"/>
        <v/>
      </c>
      <c r="BR98" s="398" t="str">
        <f t="shared" si="17"/>
        <v/>
      </c>
      <c r="BS98" s="398" t="str">
        <f t="shared" si="18"/>
        <v/>
      </c>
      <c r="BT98" s="398" t="str">
        <f t="shared" si="19"/>
        <v/>
      </c>
      <c r="BU98" s="398" t="str">
        <f t="shared" si="20"/>
        <v/>
      </c>
      <c r="BV98" s="398" t="str">
        <f t="shared" si="21"/>
        <v/>
      </c>
      <c r="BW98" s="398" t="str">
        <f t="shared" si="22"/>
        <v/>
      </c>
      <c r="BX98" s="398" t="str">
        <f t="shared" si="23"/>
        <v/>
      </c>
      <c r="BY98" s="399"/>
    </row>
    <row r="99" spans="1:77" ht="15" customHeight="1">
      <c r="A99" s="385">
        <f>IF('Statement of Marks'!A103="","",'Statement of Marks'!A103)</f>
        <v>96</v>
      </c>
      <c r="B99" s="386" t="str">
        <f>IF('Statement of Marks'!B103="","",'Statement of Marks'!B103)</f>
        <v/>
      </c>
      <c r="C99" s="387" t="str">
        <f>IF('Statement of Marks'!C103="","",'Statement of Marks'!C103)</f>
        <v/>
      </c>
      <c r="D99" s="426" t="str">
        <f>IF('Statement of Marks'!D103="","",'Statement of Marks'!D103)</f>
        <v/>
      </c>
      <c r="E99" s="388" t="str">
        <f>IF('Statement of Marks'!E103="","",'Statement of Marks'!E103)</f>
        <v/>
      </c>
      <c r="F99" s="388" t="str">
        <f>IF('Statement of Marks'!F103="","",'Statement of Marks'!F103)</f>
        <v/>
      </c>
      <c r="G99" s="388" t="str">
        <f>IF('Statement of Marks'!G103="","",'Statement of Marks'!G103)</f>
        <v/>
      </c>
      <c r="H99" s="389" t="str">
        <f>IF('Statement of Marks'!H103="","",'Statement of Marks'!H103)</f>
        <v/>
      </c>
      <c r="I99" s="389" t="str">
        <f>IF('Statement of Marks'!I103="","",'Statement of Marks'!I103)</f>
        <v/>
      </c>
      <c r="J99" s="648" t="str">
        <f>IF('Statement of Marks'!GY103="","",'Statement of Marks'!GY103)</f>
        <v/>
      </c>
      <c r="K99" s="390" t="str">
        <f>IF(B99="","",IF('Statement of Marks'!GZ103="","",'Statement of Marks'!GZ103))</f>
        <v/>
      </c>
      <c r="L99" s="391" t="str">
        <f>IF('Statement of Marks'!HC103="","",'Statement of Marks'!HC103)</f>
        <v/>
      </c>
      <c r="M99" s="390" t="str">
        <f>IF('Statement of Marks'!HB103="","",'Statement of Marks'!HB103)</f>
        <v/>
      </c>
      <c r="N99" s="392" t="str">
        <f>IF(J99="FAIL","",IF('Statement of Marks'!GU103="","",'Statement of Marks'!GU103))</f>
        <v xml:space="preserve">    </v>
      </c>
      <c r="O99" s="393" t="str">
        <f>IF('Supp. Result Entry'!AS102="","",'Supp. Result Entry'!AS102)</f>
        <v/>
      </c>
      <c r="P99" s="394" t="str">
        <f>IF('Supp. Result Entry'!AT102="","",'Supp. Result Entry'!AT102)</f>
        <v/>
      </c>
      <c r="Q99" s="395" t="str">
        <f>IF('Statement of Marks'!HG103="","",'Statement of Marks'!HG103)</f>
        <v/>
      </c>
      <c r="R99" s="396" t="str">
        <f>IF('Statement of Marks'!FH103="","",'Statement of Marks'!FH103)</f>
        <v/>
      </c>
      <c r="BL99" s="397" t="str">
        <f>'Statement of Marks'!E103</f>
        <v/>
      </c>
      <c r="BM99" s="398" t="str">
        <f t="shared" si="12"/>
        <v/>
      </c>
      <c r="BN99" s="398" t="str">
        <f t="shared" si="13"/>
        <v/>
      </c>
      <c r="BO99" s="398" t="str">
        <f t="shared" si="14"/>
        <v/>
      </c>
      <c r="BP99" s="398" t="str">
        <f t="shared" si="15"/>
        <v/>
      </c>
      <c r="BQ99" s="398" t="str">
        <f t="shared" si="16"/>
        <v/>
      </c>
      <c r="BR99" s="398" t="str">
        <f t="shared" si="17"/>
        <v/>
      </c>
      <c r="BS99" s="398" t="str">
        <f t="shared" si="18"/>
        <v/>
      </c>
      <c r="BT99" s="398" t="str">
        <f t="shared" si="19"/>
        <v/>
      </c>
      <c r="BU99" s="398" t="str">
        <f t="shared" si="20"/>
        <v/>
      </c>
      <c r="BV99" s="398" t="str">
        <f t="shared" si="21"/>
        <v/>
      </c>
      <c r="BW99" s="398" t="str">
        <f t="shared" si="22"/>
        <v/>
      </c>
      <c r="BX99" s="398" t="str">
        <f t="shared" si="23"/>
        <v/>
      </c>
      <c r="BY99" s="399"/>
    </row>
    <row r="100" spans="1:77" ht="15" customHeight="1">
      <c r="A100" s="385">
        <f>IF('Statement of Marks'!A104="","",'Statement of Marks'!A104)</f>
        <v>97</v>
      </c>
      <c r="B100" s="386" t="str">
        <f>IF('Statement of Marks'!B104="","",'Statement of Marks'!B104)</f>
        <v/>
      </c>
      <c r="C100" s="387" t="str">
        <f>IF('Statement of Marks'!C104="","",'Statement of Marks'!C104)</f>
        <v/>
      </c>
      <c r="D100" s="426" t="str">
        <f>IF('Statement of Marks'!D104="","",'Statement of Marks'!D104)</f>
        <v/>
      </c>
      <c r="E100" s="388" t="str">
        <f>IF('Statement of Marks'!E104="","",'Statement of Marks'!E104)</f>
        <v/>
      </c>
      <c r="F100" s="388" t="str">
        <f>IF('Statement of Marks'!F104="","",'Statement of Marks'!F104)</f>
        <v/>
      </c>
      <c r="G100" s="388" t="str">
        <f>IF('Statement of Marks'!G104="","",'Statement of Marks'!G104)</f>
        <v/>
      </c>
      <c r="H100" s="389" t="str">
        <f>IF('Statement of Marks'!H104="","",'Statement of Marks'!H104)</f>
        <v/>
      </c>
      <c r="I100" s="389" t="str">
        <f>IF('Statement of Marks'!I104="","",'Statement of Marks'!I104)</f>
        <v/>
      </c>
      <c r="J100" s="648" t="str">
        <f>IF('Statement of Marks'!GY104="","",'Statement of Marks'!GY104)</f>
        <v/>
      </c>
      <c r="K100" s="390" t="str">
        <f>IF(B100="","",IF('Statement of Marks'!GZ104="","",'Statement of Marks'!GZ104))</f>
        <v/>
      </c>
      <c r="L100" s="391" t="str">
        <f>IF('Statement of Marks'!HC104="","",'Statement of Marks'!HC104)</f>
        <v/>
      </c>
      <c r="M100" s="390" t="str">
        <f>IF('Statement of Marks'!HB104="","",'Statement of Marks'!HB104)</f>
        <v/>
      </c>
      <c r="N100" s="392" t="str">
        <f>IF(J100="FAIL","",IF('Statement of Marks'!GU104="","",'Statement of Marks'!GU104))</f>
        <v xml:space="preserve">    </v>
      </c>
      <c r="O100" s="393" t="str">
        <f>IF('Supp. Result Entry'!AS103="","",'Supp. Result Entry'!AS103)</f>
        <v/>
      </c>
      <c r="P100" s="394" t="str">
        <f>IF('Supp. Result Entry'!AT103="","",'Supp. Result Entry'!AT103)</f>
        <v/>
      </c>
      <c r="Q100" s="395" t="str">
        <f>IF('Statement of Marks'!HG104="","",'Statement of Marks'!HG104)</f>
        <v/>
      </c>
      <c r="R100" s="396" t="str">
        <f>IF('Statement of Marks'!FH104="","",'Statement of Marks'!FH104)</f>
        <v/>
      </c>
      <c r="BL100" s="397" t="str">
        <f>'Statement of Marks'!E104</f>
        <v/>
      </c>
      <c r="BM100" s="398" t="str">
        <f t="shared" si="12"/>
        <v/>
      </c>
      <c r="BN100" s="398" t="str">
        <f t="shared" si="13"/>
        <v/>
      </c>
      <c r="BO100" s="398" t="str">
        <f t="shared" si="14"/>
        <v/>
      </c>
      <c r="BP100" s="398" t="str">
        <f t="shared" si="15"/>
        <v/>
      </c>
      <c r="BQ100" s="398" t="str">
        <f t="shared" si="16"/>
        <v/>
      </c>
      <c r="BR100" s="398" t="str">
        <f t="shared" si="17"/>
        <v/>
      </c>
      <c r="BS100" s="398" t="str">
        <f t="shared" si="18"/>
        <v/>
      </c>
      <c r="BT100" s="398" t="str">
        <f t="shared" si="19"/>
        <v/>
      </c>
      <c r="BU100" s="398" t="str">
        <f t="shared" si="20"/>
        <v/>
      </c>
      <c r="BV100" s="398" t="str">
        <f t="shared" si="21"/>
        <v/>
      </c>
      <c r="BW100" s="398" t="str">
        <f t="shared" si="22"/>
        <v/>
      </c>
      <c r="BX100" s="398" t="str">
        <f t="shared" si="23"/>
        <v/>
      </c>
      <c r="BY100" s="399"/>
    </row>
    <row r="101" spans="1:77" ht="15" customHeight="1">
      <c r="A101" s="385">
        <f>IF('Statement of Marks'!A105="","",'Statement of Marks'!A105)</f>
        <v>98</v>
      </c>
      <c r="B101" s="386" t="str">
        <f>IF('Statement of Marks'!B105="","",'Statement of Marks'!B105)</f>
        <v/>
      </c>
      <c r="C101" s="387" t="str">
        <f>IF('Statement of Marks'!C105="","",'Statement of Marks'!C105)</f>
        <v/>
      </c>
      <c r="D101" s="426" t="str">
        <f>IF('Statement of Marks'!D105="","",'Statement of Marks'!D105)</f>
        <v/>
      </c>
      <c r="E101" s="388" t="str">
        <f>IF('Statement of Marks'!E105="","",'Statement of Marks'!E105)</f>
        <v/>
      </c>
      <c r="F101" s="388" t="str">
        <f>IF('Statement of Marks'!F105="","",'Statement of Marks'!F105)</f>
        <v/>
      </c>
      <c r="G101" s="388" t="str">
        <f>IF('Statement of Marks'!G105="","",'Statement of Marks'!G105)</f>
        <v/>
      </c>
      <c r="H101" s="389" t="str">
        <f>IF('Statement of Marks'!H105="","",'Statement of Marks'!H105)</f>
        <v/>
      </c>
      <c r="I101" s="389" t="str">
        <f>IF('Statement of Marks'!I105="","",'Statement of Marks'!I105)</f>
        <v/>
      </c>
      <c r="J101" s="648" t="str">
        <f>IF('Statement of Marks'!GY105="","",'Statement of Marks'!GY105)</f>
        <v/>
      </c>
      <c r="K101" s="390" t="str">
        <f>IF(B101="","",IF('Statement of Marks'!GZ105="","",'Statement of Marks'!GZ105))</f>
        <v/>
      </c>
      <c r="L101" s="391" t="str">
        <f>IF('Statement of Marks'!HC105="","",'Statement of Marks'!HC105)</f>
        <v/>
      </c>
      <c r="M101" s="390" t="str">
        <f>IF('Statement of Marks'!HB105="","",'Statement of Marks'!HB105)</f>
        <v/>
      </c>
      <c r="N101" s="392" t="str">
        <f>IF(J101="FAIL","",IF('Statement of Marks'!GU105="","",'Statement of Marks'!GU105))</f>
        <v xml:space="preserve">    </v>
      </c>
      <c r="O101" s="393" t="str">
        <f>IF('Supp. Result Entry'!AS104="","",'Supp. Result Entry'!AS104)</f>
        <v/>
      </c>
      <c r="P101" s="394" t="str">
        <f>IF('Supp. Result Entry'!AT104="","",'Supp. Result Entry'!AT104)</f>
        <v/>
      </c>
      <c r="Q101" s="395" t="str">
        <f>IF('Statement of Marks'!HG105="","",'Statement of Marks'!HG105)</f>
        <v/>
      </c>
      <c r="R101" s="396" t="str">
        <f>IF('Statement of Marks'!FH105="","",'Statement of Marks'!FH105)</f>
        <v/>
      </c>
      <c r="BL101" s="397" t="str">
        <f>'Statement of Marks'!E105</f>
        <v/>
      </c>
      <c r="BM101" s="398" t="str">
        <f t="shared" si="12"/>
        <v/>
      </c>
      <c r="BN101" s="398" t="str">
        <f t="shared" si="13"/>
        <v/>
      </c>
      <c r="BO101" s="398" t="str">
        <f t="shared" si="14"/>
        <v/>
      </c>
      <c r="BP101" s="398" t="str">
        <f t="shared" si="15"/>
        <v/>
      </c>
      <c r="BQ101" s="398" t="str">
        <f t="shared" si="16"/>
        <v/>
      </c>
      <c r="BR101" s="398" t="str">
        <f t="shared" si="17"/>
        <v/>
      </c>
      <c r="BS101" s="398" t="str">
        <f t="shared" si="18"/>
        <v/>
      </c>
      <c r="BT101" s="398" t="str">
        <f t="shared" si="19"/>
        <v/>
      </c>
      <c r="BU101" s="398" t="str">
        <f t="shared" si="20"/>
        <v/>
      </c>
      <c r="BV101" s="398" t="str">
        <f t="shared" si="21"/>
        <v/>
      </c>
      <c r="BW101" s="398" t="str">
        <f t="shared" si="22"/>
        <v/>
      </c>
      <c r="BX101" s="398" t="str">
        <f t="shared" si="23"/>
        <v/>
      </c>
      <c r="BY101" s="399"/>
    </row>
    <row r="102" spans="1:77" ht="15" customHeight="1">
      <c r="A102" s="385">
        <f>IF('Statement of Marks'!A106="","",'Statement of Marks'!A106)</f>
        <v>99</v>
      </c>
      <c r="B102" s="386" t="str">
        <f>IF('Statement of Marks'!B106="","",'Statement of Marks'!B106)</f>
        <v/>
      </c>
      <c r="C102" s="387" t="str">
        <f>IF('Statement of Marks'!C106="","",'Statement of Marks'!C106)</f>
        <v/>
      </c>
      <c r="D102" s="426" t="str">
        <f>IF('Statement of Marks'!D106="","",'Statement of Marks'!D106)</f>
        <v/>
      </c>
      <c r="E102" s="388" t="str">
        <f>IF('Statement of Marks'!E106="","",'Statement of Marks'!E106)</f>
        <v/>
      </c>
      <c r="F102" s="388" t="str">
        <f>IF('Statement of Marks'!F106="","",'Statement of Marks'!F106)</f>
        <v/>
      </c>
      <c r="G102" s="388" t="str">
        <f>IF('Statement of Marks'!G106="","",'Statement of Marks'!G106)</f>
        <v/>
      </c>
      <c r="H102" s="389" t="str">
        <f>IF('Statement of Marks'!H106="","",'Statement of Marks'!H106)</f>
        <v/>
      </c>
      <c r="I102" s="389" t="str">
        <f>IF('Statement of Marks'!I106="","",'Statement of Marks'!I106)</f>
        <v/>
      </c>
      <c r="J102" s="648" t="str">
        <f>IF('Statement of Marks'!GY106="","",'Statement of Marks'!GY106)</f>
        <v/>
      </c>
      <c r="K102" s="390" t="str">
        <f>IF(B102="","",IF('Statement of Marks'!GZ106="","",'Statement of Marks'!GZ106))</f>
        <v/>
      </c>
      <c r="L102" s="391" t="str">
        <f>IF('Statement of Marks'!HC106="","",'Statement of Marks'!HC106)</f>
        <v/>
      </c>
      <c r="M102" s="390" t="str">
        <f>IF('Statement of Marks'!HB106="","",'Statement of Marks'!HB106)</f>
        <v/>
      </c>
      <c r="N102" s="392" t="str">
        <f>IF(J102="FAIL","",IF('Statement of Marks'!GU106="","",'Statement of Marks'!GU106))</f>
        <v xml:space="preserve">    </v>
      </c>
      <c r="O102" s="393" t="str">
        <f>IF('Supp. Result Entry'!AS105="","",'Supp. Result Entry'!AS105)</f>
        <v/>
      </c>
      <c r="P102" s="394" t="str">
        <f>IF('Supp. Result Entry'!AT105="","",'Supp. Result Entry'!AT105)</f>
        <v/>
      </c>
      <c r="Q102" s="395" t="str">
        <f>IF('Statement of Marks'!HG106="","",'Statement of Marks'!HG106)</f>
        <v/>
      </c>
      <c r="R102" s="396" t="str">
        <f>IF('Statement of Marks'!FH106="","",'Statement of Marks'!FH106)</f>
        <v/>
      </c>
      <c r="BL102" s="397" t="str">
        <f>'Statement of Marks'!E106</f>
        <v/>
      </c>
      <c r="BM102" s="398" t="str">
        <f t="shared" si="12"/>
        <v/>
      </c>
      <c r="BN102" s="398" t="str">
        <f t="shared" si="13"/>
        <v/>
      </c>
      <c r="BO102" s="398" t="str">
        <f t="shared" si="14"/>
        <v/>
      </c>
      <c r="BP102" s="398" t="str">
        <f t="shared" si="15"/>
        <v/>
      </c>
      <c r="BQ102" s="398" t="str">
        <f t="shared" si="16"/>
        <v/>
      </c>
      <c r="BR102" s="398" t="str">
        <f t="shared" si="17"/>
        <v/>
      </c>
      <c r="BS102" s="398" t="str">
        <f t="shared" si="18"/>
        <v/>
      </c>
      <c r="BT102" s="398" t="str">
        <f t="shared" si="19"/>
        <v/>
      </c>
      <c r="BU102" s="398" t="str">
        <f t="shared" si="20"/>
        <v/>
      </c>
      <c r="BV102" s="398" t="str">
        <f t="shared" si="21"/>
        <v/>
      </c>
      <c r="BW102" s="398" t="str">
        <f t="shared" si="22"/>
        <v/>
      </c>
      <c r="BX102" s="398" t="str">
        <f t="shared" si="23"/>
        <v/>
      </c>
      <c r="BY102" s="399"/>
    </row>
    <row r="103" spans="1:77" ht="15" customHeight="1">
      <c r="A103" s="385">
        <f>IF('Statement of Marks'!A107="","",'Statement of Marks'!A107)</f>
        <v>100</v>
      </c>
      <c r="B103" s="386" t="str">
        <f>IF('Statement of Marks'!B107="","",'Statement of Marks'!B107)</f>
        <v/>
      </c>
      <c r="C103" s="387" t="str">
        <f>IF('Statement of Marks'!C107="","",'Statement of Marks'!C107)</f>
        <v/>
      </c>
      <c r="D103" s="426" t="str">
        <f>IF('Statement of Marks'!D107="","",'Statement of Marks'!D107)</f>
        <v/>
      </c>
      <c r="E103" s="388" t="str">
        <f>IF('Statement of Marks'!E107="","",'Statement of Marks'!E107)</f>
        <v/>
      </c>
      <c r="F103" s="388" t="str">
        <f>IF('Statement of Marks'!F107="","",'Statement of Marks'!F107)</f>
        <v/>
      </c>
      <c r="G103" s="388" t="str">
        <f>IF('Statement of Marks'!G107="","",'Statement of Marks'!G107)</f>
        <v/>
      </c>
      <c r="H103" s="389" t="str">
        <f>IF('Statement of Marks'!H107="","",'Statement of Marks'!H107)</f>
        <v/>
      </c>
      <c r="I103" s="389" t="str">
        <f>IF('Statement of Marks'!I107="","",'Statement of Marks'!I107)</f>
        <v/>
      </c>
      <c r="J103" s="648" t="str">
        <f>IF('Statement of Marks'!GY107="","",'Statement of Marks'!GY107)</f>
        <v/>
      </c>
      <c r="K103" s="390" t="str">
        <f>IF(B103="","",IF('Statement of Marks'!GZ107="","",'Statement of Marks'!GZ107))</f>
        <v/>
      </c>
      <c r="L103" s="391" t="str">
        <f>IF('Statement of Marks'!HC107="","",'Statement of Marks'!HC107)</f>
        <v/>
      </c>
      <c r="M103" s="390" t="str">
        <f>IF('Statement of Marks'!HB107="","",'Statement of Marks'!HB107)</f>
        <v/>
      </c>
      <c r="N103" s="392" t="str">
        <f>IF(J103="FAIL","",IF('Statement of Marks'!GU107="","",'Statement of Marks'!GU107))</f>
        <v xml:space="preserve">    </v>
      </c>
      <c r="O103" s="393" t="str">
        <f>IF('Supp. Result Entry'!AS106="","",'Supp. Result Entry'!AS106)</f>
        <v/>
      </c>
      <c r="P103" s="394" t="str">
        <f>IF('Supp. Result Entry'!AT106="","",'Supp. Result Entry'!AT106)</f>
        <v/>
      </c>
      <c r="Q103" s="395" t="str">
        <f>IF('Statement of Marks'!HG107="","",'Statement of Marks'!HG107)</f>
        <v/>
      </c>
      <c r="R103" s="396" t="str">
        <f>IF('Statement of Marks'!FH107="","",'Statement of Marks'!FH107)</f>
        <v/>
      </c>
      <c r="BL103" s="397" t="str">
        <f>'Statement of Marks'!E107</f>
        <v/>
      </c>
      <c r="BM103" s="398" t="str">
        <f t="shared" si="12"/>
        <v/>
      </c>
      <c r="BN103" s="398" t="str">
        <f t="shared" si="13"/>
        <v/>
      </c>
      <c r="BO103" s="398" t="str">
        <f t="shared" si="14"/>
        <v/>
      </c>
      <c r="BP103" s="398" t="str">
        <f t="shared" si="15"/>
        <v/>
      </c>
      <c r="BQ103" s="398" t="str">
        <f t="shared" si="16"/>
        <v/>
      </c>
      <c r="BR103" s="398" t="str">
        <f t="shared" si="17"/>
        <v/>
      </c>
      <c r="BS103" s="398" t="str">
        <f t="shared" si="18"/>
        <v/>
      </c>
      <c r="BT103" s="398" t="str">
        <f t="shared" si="19"/>
        <v/>
      </c>
      <c r="BU103" s="398" t="str">
        <f t="shared" si="20"/>
        <v/>
      </c>
      <c r="BV103" s="398" t="str">
        <f t="shared" si="21"/>
        <v/>
      </c>
      <c r="BW103" s="398" t="str">
        <f t="shared" si="22"/>
        <v/>
      </c>
      <c r="BX103" s="398" t="str">
        <f t="shared" si="23"/>
        <v/>
      </c>
      <c r="BY103" s="399"/>
    </row>
    <row r="104" spans="1:77" ht="15" customHeight="1">
      <c r="A104" s="385">
        <f>IF('Statement of Marks'!A108="","",'Statement of Marks'!A108)</f>
        <v>101</v>
      </c>
      <c r="B104" s="386" t="str">
        <f>IF('Statement of Marks'!B108="","",'Statement of Marks'!B108)</f>
        <v/>
      </c>
      <c r="C104" s="387" t="str">
        <f>IF('Statement of Marks'!C108="","",'Statement of Marks'!C108)</f>
        <v/>
      </c>
      <c r="D104" s="426" t="str">
        <f>IF('Statement of Marks'!D108="","",'Statement of Marks'!D108)</f>
        <v/>
      </c>
      <c r="E104" s="388" t="str">
        <f>IF('Statement of Marks'!E108="","",'Statement of Marks'!E108)</f>
        <v/>
      </c>
      <c r="F104" s="388" t="str">
        <f>IF('Statement of Marks'!F108="","",'Statement of Marks'!F108)</f>
        <v/>
      </c>
      <c r="G104" s="388" t="str">
        <f>IF('Statement of Marks'!G108="","",'Statement of Marks'!G108)</f>
        <v/>
      </c>
      <c r="H104" s="389" t="str">
        <f>IF('Statement of Marks'!H108="","",'Statement of Marks'!H108)</f>
        <v/>
      </c>
      <c r="I104" s="389" t="str">
        <f>IF('Statement of Marks'!I108="","",'Statement of Marks'!I108)</f>
        <v/>
      </c>
      <c r="J104" s="648" t="str">
        <f>IF('Statement of Marks'!GY108="","",'Statement of Marks'!GY108)</f>
        <v/>
      </c>
      <c r="K104" s="390" t="str">
        <f>IF(B104="","",IF('Statement of Marks'!GZ108="","",'Statement of Marks'!GZ108))</f>
        <v/>
      </c>
      <c r="L104" s="391" t="str">
        <f>IF('Statement of Marks'!HC108="","",'Statement of Marks'!HC108)</f>
        <v/>
      </c>
      <c r="M104" s="390" t="str">
        <f>IF('Statement of Marks'!HB108="","",'Statement of Marks'!HB108)</f>
        <v/>
      </c>
      <c r="N104" s="392" t="str">
        <f>IF(J104="FAIL","",IF('Statement of Marks'!GU108="","",'Statement of Marks'!GU108))</f>
        <v xml:space="preserve">    </v>
      </c>
      <c r="O104" s="393" t="str">
        <f>IF('Supp. Result Entry'!AS107="","",'Supp. Result Entry'!AS107)</f>
        <v/>
      </c>
      <c r="P104" s="394" t="str">
        <f>IF('Supp. Result Entry'!AT107="","",'Supp. Result Entry'!AT107)</f>
        <v/>
      </c>
      <c r="Q104" s="395" t="str">
        <f>IF('Statement of Marks'!HG108="","",'Statement of Marks'!HG108)</f>
        <v/>
      </c>
      <c r="R104" s="396" t="str">
        <f>IF('Statement of Marks'!FH108="","",'Statement of Marks'!FH108)</f>
        <v/>
      </c>
      <c r="BL104" s="397" t="str">
        <f>'Statement of Marks'!E108</f>
        <v/>
      </c>
      <c r="BM104" s="398" t="str">
        <f t="shared" si="12"/>
        <v/>
      </c>
      <c r="BN104" s="398" t="str">
        <f t="shared" si="13"/>
        <v/>
      </c>
      <c r="BO104" s="398" t="str">
        <f t="shared" si="14"/>
        <v/>
      </c>
      <c r="BP104" s="398" t="str">
        <f t="shared" si="15"/>
        <v/>
      </c>
      <c r="BQ104" s="398" t="str">
        <f t="shared" si="16"/>
        <v/>
      </c>
      <c r="BR104" s="398" t="str">
        <f t="shared" si="17"/>
        <v/>
      </c>
      <c r="BS104" s="398" t="str">
        <f t="shared" si="18"/>
        <v/>
      </c>
      <c r="BT104" s="398" t="str">
        <f t="shared" si="19"/>
        <v/>
      </c>
      <c r="BU104" s="398" t="str">
        <f t="shared" si="20"/>
        <v/>
      </c>
      <c r="BV104" s="398" t="str">
        <f t="shared" si="21"/>
        <v/>
      </c>
      <c r="BW104" s="398" t="str">
        <f t="shared" si="22"/>
        <v/>
      </c>
      <c r="BX104" s="398" t="str">
        <f t="shared" si="23"/>
        <v/>
      </c>
      <c r="BY104" s="399"/>
    </row>
    <row r="105" spans="1:77" ht="15" customHeight="1">
      <c r="A105" s="385">
        <f>IF('Statement of Marks'!A109="","",'Statement of Marks'!A109)</f>
        <v>102</v>
      </c>
      <c r="B105" s="386" t="str">
        <f>IF('Statement of Marks'!B109="","",'Statement of Marks'!B109)</f>
        <v/>
      </c>
      <c r="C105" s="387" t="str">
        <f>IF('Statement of Marks'!C109="","",'Statement of Marks'!C109)</f>
        <v/>
      </c>
      <c r="D105" s="426" t="str">
        <f>IF('Statement of Marks'!D109="","",'Statement of Marks'!D109)</f>
        <v/>
      </c>
      <c r="E105" s="388" t="str">
        <f>IF('Statement of Marks'!E109="","",'Statement of Marks'!E109)</f>
        <v/>
      </c>
      <c r="F105" s="388" t="str">
        <f>IF('Statement of Marks'!F109="","",'Statement of Marks'!F109)</f>
        <v/>
      </c>
      <c r="G105" s="388" t="str">
        <f>IF('Statement of Marks'!G109="","",'Statement of Marks'!G109)</f>
        <v/>
      </c>
      <c r="H105" s="389" t="str">
        <f>IF('Statement of Marks'!H109="","",'Statement of Marks'!H109)</f>
        <v/>
      </c>
      <c r="I105" s="389" t="str">
        <f>IF('Statement of Marks'!I109="","",'Statement of Marks'!I109)</f>
        <v/>
      </c>
      <c r="J105" s="648" t="str">
        <f>IF('Statement of Marks'!GY109="","",'Statement of Marks'!GY109)</f>
        <v/>
      </c>
      <c r="K105" s="390" t="str">
        <f>IF(B105="","",IF('Statement of Marks'!GZ109="","",'Statement of Marks'!GZ109))</f>
        <v/>
      </c>
      <c r="L105" s="391" t="str">
        <f>IF('Statement of Marks'!HC109="","",'Statement of Marks'!HC109)</f>
        <v/>
      </c>
      <c r="M105" s="390" t="str">
        <f>IF('Statement of Marks'!HB109="","",'Statement of Marks'!HB109)</f>
        <v/>
      </c>
      <c r="N105" s="392" t="str">
        <f>IF(J105="FAIL","",IF('Statement of Marks'!GU109="","",'Statement of Marks'!GU109))</f>
        <v xml:space="preserve">    </v>
      </c>
      <c r="O105" s="393" t="str">
        <f>IF('Supp. Result Entry'!AS108="","",'Supp. Result Entry'!AS108)</f>
        <v/>
      </c>
      <c r="P105" s="394" t="str">
        <f>IF('Supp. Result Entry'!AT108="","",'Supp. Result Entry'!AT108)</f>
        <v/>
      </c>
      <c r="Q105" s="395" t="str">
        <f>IF('Statement of Marks'!HG109="","",'Statement of Marks'!HG109)</f>
        <v/>
      </c>
      <c r="R105" s="396" t="str">
        <f>IF('Statement of Marks'!FH109="","",'Statement of Marks'!FH109)</f>
        <v/>
      </c>
      <c r="BL105" s="397" t="str">
        <f>'Statement of Marks'!E109</f>
        <v/>
      </c>
      <c r="BM105" s="398" t="str">
        <f t="shared" si="12"/>
        <v/>
      </c>
      <c r="BN105" s="398" t="str">
        <f t="shared" si="13"/>
        <v/>
      </c>
      <c r="BO105" s="398" t="str">
        <f t="shared" si="14"/>
        <v/>
      </c>
      <c r="BP105" s="398" t="str">
        <f t="shared" si="15"/>
        <v/>
      </c>
      <c r="BQ105" s="398" t="str">
        <f t="shared" si="16"/>
        <v/>
      </c>
      <c r="BR105" s="398" t="str">
        <f t="shared" si="17"/>
        <v/>
      </c>
      <c r="BS105" s="398" t="str">
        <f t="shared" si="18"/>
        <v/>
      </c>
      <c r="BT105" s="398" t="str">
        <f t="shared" si="19"/>
        <v/>
      </c>
      <c r="BU105" s="398" t="str">
        <f t="shared" si="20"/>
        <v/>
      </c>
      <c r="BV105" s="398" t="str">
        <f t="shared" si="21"/>
        <v/>
      </c>
      <c r="BW105" s="398" t="str">
        <f t="shared" si="22"/>
        <v/>
      </c>
      <c r="BX105" s="398" t="str">
        <f t="shared" si="23"/>
        <v/>
      </c>
      <c r="BY105" s="399"/>
    </row>
    <row r="106" spans="1:77" ht="15" customHeight="1">
      <c r="A106" s="385">
        <f>IF('Statement of Marks'!A110="","",'Statement of Marks'!A110)</f>
        <v>103</v>
      </c>
      <c r="B106" s="386" t="str">
        <f>IF('Statement of Marks'!B110="","",'Statement of Marks'!B110)</f>
        <v/>
      </c>
      <c r="C106" s="387" t="str">
        <f>IF('Statement of Marks'!C110="","",'Statement of Marks'!C110)</f>
        <v/>
      </c>
      <c r="D106" s="426" t="str">
        <f>IF('Statement of Marks'!D110="","",'Statement of Marks'!D110)</f>
        <v/>
      </c>
      <c r="E106" s="388" t="str">
        <f>IF('Statement of Marks'!E110="","",'Statement of Marks'!E110)</f>
        <v/>
      </c>
      <c r="F106" s="388" t="str">
        <f>IF('Statement of Marks'!F110="","",'Statement of Marks'!F110)</f>
        <v/>
      </c>
      <c r="G106" s="388" t="str">
        <f>IF('Statement of Marks'!G110="","",'Statement of Marks'!G110)</f>
        <v/>
      </c>
      <c r="H106" s="389" t="str">
        <f>IF('Statement of Marks'!H110="","",'Statement of Marks'!H110)</f>
        <v/>
      </c>
      <c r="I106" s="389" t="str">
        <f>IF('Statement of Marks'!I110="","",'Statement of Marks'!I110)</f>
        <v/>
      </c>
      <c r="J106" s="648" t="str">
        <f>IF('Statement of Marks'!GY110="","",'Statement of Marks'!GY110)</f>
        <v/>
      </c>
      <c r="K106" s="390" t="str">
        <f>IF(B106="","",IF('Statement of Marks'!GZ110="","",'Statement of Marks'!GZ110))</f>
        <v/>
      </c>
      <c r="L106" s="391" t="str">
        <f>IF('Statement of Marks'!HC110="","",'Statement of Marks'!HC110)</f>
        <v/>
      </c>
      <c r="M106" s="390" t="str">
        <f>IF('Statement of Marks'!HB110="","",'Statement of Marks'!HB110)</f>
        <v/>
      </c>
      <c r="N106" s="392" t="str">
        <f>IF(J106="FAIL","",IF('Statement of Marks'!GU110="","",'Statement of Marks'!GU110))</f>
        <v xml:space="preserve">    </v>
      </c>
      <c r="O106" s="393" t="str">
        <f>IF('Supp. Result Entry'!AS109="","",'Supp. Result Entry'!AS109)</f>
        <v/>
      </c>
      <c r="P106" s="394" t="str">
        <f>IF('Supp. Result Entry'!AT109="","",'Supp. Result Entry'!AT109)</f>
        <v/>
      </c>
      <c r="Q106" s="395" t="str">
        <f>IF('Statement of Marks'!HG110="","",'Statement of Marks'!HG110)</f>
        <v/>
      </c>
      <c r="R106" s="396" t="str">
        <f>IF('Statement of Marks'!FH110="","",'Statement of Marks'!FH110)</f>
        <v/>
      </c>
      <c r="BL106" s="397" t="str">
        <f>'Statement of Marks'!E110</f>
        <v/>
      </c>
      <c r="BM106" s="398" t="str">
        <f t="shared" si="12"/>
        <v/>
      </c>
      <c r="BN106" s="398" t="str">
        <f t="shared" si="13"/>
        <v/>
      </c>
      <c r="BO106" s="398" t="str">
        <f t="shared" si="14"/>
        <v/>
      </c>
      <c r="BP106" s="398" t="str">
        <f t="shared" si="15"/>
        <v/>
      </c>
      <c r="BQ106" s="398" t="str">
        <f t="shared" si="16"/>
        <v/>
      </c>
      <c r="BR106" s="398" t="str">
        <f t="shared" si="17"/>
        <v/>
      </c>
      <c r="BS106" s="398" t="str">
        <f t="shared" si="18"/>
        <v/>
      </c>
      <c r="BT106" s="398" t="str">
        <f t="shared" si="19"/>
        <v/>
      </c>
      <c r="BU106" s="398" t="str">
        <f t="shared" si="20"/>
        <v/>
      </c>
      <c r="BV106" s="398" t="str">
        <f t="shared" si="21"/>
        <v/>
      </c>
      <c r="BW106" s="398" t="str">
        <f t="shared" si="22"/>
        <v/>
      </c>
      <c r="BX106" s="398" t="str">
        <f t="shared" si="23"/>
        <v/>
      </c>
      <c r="BY106" s="399"/>
    </row>
    <row r="107" spans="1:77" ht="15" customHeight="1">
      <c r="A107" s="385">
        <f>IF('Statement of Marks'!A111="","",'Statement of Marks'!A111)</f>
        <v>104</v>
      </c>
      <c r="B107" s="386" t="str">
        <f>IF('Statement of Marks'!B111="","",'Statement of Marks'!B111)</f>
        <v/>
      </c>
      <c r="C107" s="387" t="str">
        <f>IF('Statement of Marks'!C111="","",'Statement of Marks'!C111)</f>
        <v/>
      </c>
      <c r="D107" s="426" t="str">
        <f>IF('Statement of Marks'!D111="","",'Statement of Marks'!D111)</f>
        <v/>
      </c>
      <c r="E107" s="388" t="str">
        <f>IF('Statement of Marks'!E111="","",'Statement of Marks'!E111)</f>
        <v/>
      </c>
      <c r="F107" s="388" t="str">
        <f>IF('Statement of Marks'!F111="","",'Statement of Marks'!F111)</f>
        <v/>
      </c>
      <c r="G107" s="388" t="str">
        <f>IF('Statement of Marks'!G111="","",'Statement of Marks'!G111)</f>
        <v/>
      </c>
      <c r="H107" s="389" t="str">
        <f>IF('Statement of Marks'!H111="","",'Statement of Marks'!H111)</f>
        <v/>
      </c>
      <c r="I107" s="389" t="str">
        <f>IF('Statement of Marks'!I111="","",'Statement of Marks'!I111)</f>
        <v/>
      </c>
      <c r="J107" s="648" t="str">
        <f>IF('Statement of Marks'!GY111="","",'Statement of Marks'!GY111)</f>
        <v/>
      </c>
      <c r="K107" s="390" t="str">
        <f>IF(B107="","",IF('Statement of Marks'!GZ111="","",'Statement of Marks'!GZ111))</f>
        <v/>
      </c>
      <c r="L107" s="391" t="str">
        <f>IF('Statement of Marks'!HC111="","",'Statement of Marks'!HC111)</f>
        <v/>
      </c>
      <c r="M107" s="390" t="str">
        <f>IF('Statement of Marks'!HB111="","",'Statement of Marks'!HB111)</f>
        <v/>
      </c>
      <c r="N107" s="392" t="str">
        <f>IF(J107="FAIL","",IF('Statement of Marks'!GU111="","",'Statement of Marks'!GU111))</f>
        <v xml:space="preserve">    </v>
      </c>
      <c r="O107" s="393" t="str">
        <f>IF('Supp. Result Entry'!AS110="","",'Supp. Result Entry'!AS110)</f>
        <v/>
      </c>
      <c r="P107" s="394" t="str">
        <f>IF('Supp. Result Entry'!AT110="","",'Supp. Result Entry'!AT110)</f>
        <v/>
      </c>
      <c r="Q107" s="395" t="str">
        <f>IF('Statement of Marks'!HG111="","",'Statement of Marks'!HG111)</f>
        <v/>
      </c>
      <c r="R107" s="396" t="str">
        <f>IF('Statement of Marks'!FH111="","",'Statement of Marks'!FH111)</f>
        <v/>
      </c>
      <c r="BL107" s="397" t="str">
        <f>'Statement of Marks'!E111</f>
        <v/>
      </c>
      <c r="BM107" s="398" t="str">
        <f t="shared" si="12"/>
        <v/>
      </c>
      <c r="BN107" s="398" t="str">
        <f t="shared" si="13"/>
        <v/>
      </c>
      <c r="BO107" s="398" t="str">
        <f t="shared" si="14"/>
        <v/>
      </c>
      <c r="BP107" s="398" t="str">
        <f t="shared" si="15"/>
        <v/>
      </c>
      <c r="BQ107" s="398" t="str">
        <f t="shared" si="16"/>
        <v/>
      </c>
      <c r="BR107" s="398" t="str">
        <f t="shared" si="17"/>
        <v/>
      </c>
      <c r="BS107" s="398" t="str">
        <f t="shared" si="18"/>
        <v/>
      </c>
      <c r="BT107" s="398" t="str">
        <f t="shared" si="19"/>
        <v/>
      </c>
      <c r="BU107" s="398" t="str">
        <f t="shared" si="20"/>
        <v/>
      </c>
      <c r="BV107" s="398" t="str">
        <f t="shared" si="21"/>
        <v/>
      </c>
      <c r="BW107" s="398" t="str">
        <f t="shared" si="22"/>
        <v/>
      </c>
      <c r="BX107" s="398" t="str">
        <f t="shared" si="23"/>
        <v/>
      </c>
      <c r="BY107" s="399"/>
    </row>
    <row r="108" spans="1:77" ht="15" customHeight="1">
      <c r="A108" s="385">
        <f>IF('Statement of Marks'!A112="","",'Statement of Marks'!A112)</f>
        <v>105</v>
      </c>
      <c r="B108" s="386" t="str">
        <f>IF('Statement of Marks'!B112="","",'Statement of Marks'!B112)</f>
        <v/>
      </c>
      <c r="C108" s="387" t="str">
        <f>IF('Statement of Marks'!C112="","",'Statement of Marks'!C112)</f>
        <v/>
      </c>
      <c r="D108" s="426" t="str">
        <f>IF('Statement of Marks'!D112="","",'Statement of Marks'!D112)</f>
        <v/>
      </c>
      <c r="E108" s="388" t="str">
        <f>IF('Statement of Marks'!E112="","",'Statement of Marks'!E112)</f>
        <v/>
      </c>
      <c r="F108" s="388" t="str">
        <f>IF('Statement of Marks'!F112="","",'Statement of Marks'!F112)</f>
        <v/>
      </c>
      <c r="G108" s="388" t="str">
        <f>IF('Statement of Marks'!G112="","",'Statement of Marks'!G112)</f>
        <v/>
      </c>
      <c r="H108" s="389" t="str">
        <f>IF('Statement of Marks'!H112="","",'Statement of Marks'!H112)</f>
        <v/>
      </c>
      <c r="I108" s="389" t="str">
        <f>IF('Statement of Marks'!I112="","",'Statement of Marks'!I112)</f>
        <v/>
      </c>
      <c r="J108" s="648" t="str">
        <f>IF('Statement of Marks'!GY112="","",'Statement of Marks'!GY112)</f>
        <v/>
      </c>
      <c r="K108" s="390" t="str">
        <f>IF(B108="","",IF('Statement of Marks'!GZ112="","",'Statement of Marks'!GZ112))</f>
        <v/>
      </c>
      <c r="L108" s="391" t="str">
        <f>IF('Statement of Marks'!HC112="","",'Statement of Marks'!HC112)</f>
        <v/>
      </c>
      <c r="M108" s="390" t="str">
        <f>IF('Statement of Marks'!HB112="","",'Statement of Marks'!HB112)</f>
        <v/>
      </c>
      <c r="N108" s="392" t="str">
        <f>IF(J108="FAIL","",IF('Statement of Marks'!GU112="","",'Statement of Marks'!GU112))</f>
        <v xml:space="preserve">    </v>
      </c>
      <c r="O108" s="393" t="str">
        <f>IF('Supp. Result Entry'!AS111="","",'Supp. Result Entry'!AS111)</f>
        <v/>
      </c>
      <c r="P108" s="394" t="str">
        <f>IF('Supp. Result Entry'!AT111="","",'Supp. Result Entry'!AT111)</f>
        <v/>
      </c>
      <c r="Q108" s="395" t="str">
        <f>IF('Statement of Marks'!HG112="","",'Statement of Marks'!HG112)</f>
        <v/>
      </c>
      <c r="R108" s="396" t="str">
        <f>IF('Statement of Marks'!FH112="","",'Statement of Marks'!FH112)</f>
        <v/>
      </c>
      <c r="BL108" s="397" t="str">
        <f>'Statement of Marks'!E112</f>
        <v/>
      </c>
      <c r="BM108" s="398" t="str">
        <f t="shared" si="12"/>
        <v/>
      </c>
      <c r="BN108" s="398" t="str">
        <f t="shared" si="13"/>
        <v/>
      </c>
      <c r="BO108" s="398" t="str">
        <f t="shared" si="14"/>
        <v/>
      </c>
      <c r="BP108" s="398" t="str">
        <f t="shared" si="15"/>
        <v/>
      </c>
      <c r="BQ108" s="398" t="str">
        <f t="shared" si="16"/>
        <v/>
      </c>
      <c r="BR108" s="398" t="str">
        <f t="shared" si="17"/>
        <v/>
      </c>
      <c r="BS108" s="398" t="str">
        <f t="shared" si="18"/>
        <v/>
      </c>
      <c r="BT108" s="398" t="str">
        <f t="shared" si="19"/>
        <v/>
      </c>
      <c r="BU108" s="398" t="str">
        <f t="shared" si="20"/>
        <v/>
      </c>
      <c r="BV108" s="398" t="str">
        <f t="shared" si="21"/>
        <v/>
      </c>
      <c r="BW108" s="398" t="str">
        <f t="shared" si="22"/>
        <v/>
      </c>
      <c r="BX108" s="398" t="str">
        <f t="shared" si="23"/>
        <v/>
      </c>
      <c r="BY108" s="399"/>
    </row>
    <row r="109" spans="1:77" ht="15" customHeight="1">
      <c r="A109" s="385">
        <f>IF('Statement of Marks'!A113="","",'Statement of Marks'!A113)</f>
        <v>106</v>
      </c>
      <c r="B109" s="386" t="str">
        <f>IF('Statement of Marks'!B113="","",'Statement of Marks'!B113)</f>
        <v/>
      </c>
      <c r="C109" s="387" t="str">
        <f>IF('Statement of Marks'!C113="","",'Statement of Marks'!C113)</f>
        <v/>
      </c>
      <c r="D109" s="426" t="str">
        <f>IF('Statement of Marks'!D113="","",'Statement of Marks'!D113)</f>
        <v/>
      </c>
      <c r="E109" s="388" t="str">
        <f>IF('Statement of Marks'!E113="","",'Statement of Marks'!E113)</f>
        <v/>
      </c>
      <c r="F109" s="388" t="str">
        <f>IF('Statement of Marks'!F113="","",'Statement of Marks'!F113)</f>
        <v/>
      </c>
      <c r="G109" s="388" t="str">
        <f>IF('Statement of Marks'!G113="","",'Statement of Marks'!G113)</f>
        <v/>
      </c>
      <c r="H109" s="389" t="str">
        <f>IF('Statement of Marks'!H113="","",'Statement of Marks'!H113)</f>
        <v/>
      </c>
      <c r="I109" s="389" t="str">
        <f>IF('Statement of Marks'!I113="","",'Statement of Marks'!I113)</f>
        <v/>
      </c>
      <c r="J109" s="648" t="str">
        <f>IF('Statement of Marks'!GY113="","",'Statement of Marks'!GY113)</f>
        <v/>
      </c>
      <c r="K109" s="390" t="str">
        <f>IF(B109="","",IF('Statement of Marks'!GZ113="","",'Statement of Marks'!GZ113))</f>
        <v/>
      </c>
      <c r="L109" s="391" t="str">
        <f>IF('Statement of Marks'!HC113="","",'Statement of Marks'!HC113)</f>
        <v/>
      </c>
      <c r="M109" s="390" t="str">
        <f>IF('Statement of Marks'!HB113="","",'Statement of Marks'!HB113)</f>
        <v/>
      </c>
      <c r="N109" s="392" t="str">
        <f>IF(J109="FAIL","",IF('Statement of Marks'!GU113="","",'Statement of Marks'!GU113))</f>
        <v xml:space="preserve">    </v>
      </c>
      <c r="O109" s="393" t="str">
        <f>IF('Supp. Result Entry'!AS112="","",'Supp. Result Entry'!AS112)</f>
        <v/>
      </c>
      <c r="P109" s="394" t="str">
        <f>IF('Supp. Result Entry'!AT112="","",'Supp. Result Entry'!AT112)</f>
        <v/>
      </c>
      <c r="Q109" s="395" t="str">
        <f>IF('Statement of Marks'!HG113="","",'Statement of Marks'!HG113)</f>
        <v/>
      </c>
      <c r="R109" s="396" t="str">
        <f>IF('Statement of Marks'!FH113="","",'Statement of Marks'!FH113)</f>
        <v/>
      </c>
      <c r="BL109" s="397" t="str">
        <f>'Statement of Marks'!E113</f>
        <v/>
      </c>
      <c r="BM109" s="398" t="str">
        <f t="shared" si="12"/>
        <v/>
      </c>
      <c r="BN109" s="398" t="str">
        <f t="shared" si="13"/>
        <v/>
      </c>
      <c r="BO109" s="398" t="str">
        <f t="shared" si="14"/>
        <v/>
      </c>
      <c r="BP109" s="398" t="str">
        <f t="shared" si="15"/>
        <v/>
      </c>
      <c r="BQ109" s="398" t="str">
        <f t="shared" si="16"/>
        <v/>
      </c>
      <c r="BR109" s="398" t="str">
        <f t="shared" si="17"/>
        <v/>
      </c>
      <c r="BS109" s="398" t="str">
        <f t="shared" si="18"/>
        <v/>
      </c>
      <c r="BT109" s="398" t="str">
        <f t="shared" si="19"/>
        <v/>
      </c>
      <c r="BU109" s="398" t="str">
        <f t="shared" si="20"/>
        <v/>
      </c>
      <c r="BV109" s="398" t="str">
        <f t="shared" si="21"/>
        <v/>
      </c>
      <c r="BW109" s="398" t="str">
        <f t="shared" si="22"/>
        <v/>
      </c>
      <c r="BX109" s="398" t="str">
        <f t="shared" si="23"/>
        <v/>
      </c>
      <c r="BY109" s="399"/>
    </row>
    <row r="110" spans="1:77" ht="15" customHeight="1">
      <c r="A110" s="385">
        <f>IF('Statement of Marks'!A114="","",'Statement of Marks'!A114)</f>
        <v>107</v>
      </c>
      <c r="B110" s="386" t="str">
        <f>IF('Statement of Marks'!B114="","",'Statement of Marks'!B114)</f>
        <v/>
      </c>
      <c r="C110" s="387" t="str">
        <f>IF('Statement of Marks'!C114="","",'Statement of Marks'!C114)</f>
        <v/>
      </c>
      <c r="D110" s="426" t="str">
        <f>IF('Statement of Marks'!D114="","",'Statement of Marks'!D114)</f>
        <v/>
      </c>
      <c r="E110" s="388" t="str">
        <f>IF('Statement of Marks'!E114="","",'Statement of Marks'!E114)</f>
        <v/>
      </c>
      <c r="F110" s="388" t="str">
        <f>IF('Statement of Marks'!F114="","",'Statement of Marks'!F114)</f>
        <v/>
      </c>
      <c r="G110" s="388" t="str">
        <f>IF('Statement of Marks'!G114="","",'Statement of Marks'!G114)</f>
        <v/>
      </c>
      <c r="H110" s="389" t="str">
        <f>IF('Statement of Marks'!H114="","",'Statement of Marks'!H114)</f>
        <v/>
      </c>
      <c r="I110" s="389" t="str">
        <f>IF('Statement of Marks'!I114="","",'Statement of Marks'!I114)</f>
        <v/>
      </c>
      <c r="J110" s="648" t="str">
        <f>IF('Statement of Marks'!GY114="","",'Statement of Marks'!GY114)</f>
        <v/>
      </c>
      <c r="K110" s="390" t="str">
        <f>IF(B110="","",IF('Statement of Marks'!GZ114="","",'Statement of Marks'!GZ114))</f>
        <v/>
      </c>
      <c r="L110" s="391" t="str">
        <f>IF('Statement of Marks'!HC114="","",'Statement of Marks'!HC114)</f>
        <v/>
      </c>
      <c r="M110" s="390" t="str">
        <f>IF('Statement of Marks'!HB114="","",'Statement of Marks'!HB114)</f>
        <v/>
      </c>
      <c r="N110" s="392" t="str">
        <f>IF(J110="FAIL","",IF('Statement of Marks'!GU114="","",'Statement of Marks'!GU114))</f>
        <v xml:space="preserve">    </v>
      </c>
      <c r="O110" s="393" t="str">
        <f>IF('Supp. Result Entry'!AS113="","",'Supp. Result Entry'!AS113)</f>
        <v/>
      </c>
      <c r="P110" s="394" t="str">
        <f>IF('Supp. Result Entry'!AT113="","",'Supp. Result Entry'!AT113)</f>
        <v/>
      </c>
      <c r="Q110" s="395" t="str">
        <f>IF('Statement of Marks'!HG114="","",'Statement of Marks'!HG114)</f>
        <v/>
      </c>
      <c r="R110" s="396" t="str">
        <f>IF('Statement of Marks'!FH114="","",'Statement of Marks'!FH114)</f>
        <v/>
      </c>
      <c r="BL110" s="397" t="str">
        <f>'Statement of Marks'!E114</f>
        <v/>
      </c>
      <c r="BM110" s="398" t="str">
        <f t="shared" si="12"/>
        <v/>
      </c>
      <c r="BN110" s="398" t="str">
        <f t="shared" si="13"/>
        <v/>
      </c>
      <c r="BO110" s="398" t="str">
        <f t="shared" si="14"/>
        <v/>
      </c>
      <c r="BP110" s="398" t="str">
        <f t="shared" si="15"/>
        <v/>
      </c>
      <c r="BQ110" s="398" t="str">
        <f t="shared" si="16"/>
        <v/>
      </c>
      <c r="BR110" s="398" t="str">
        <f t="shared" si="17"/>
        <v/>
      </c>
      <c r="BS110" s="398" t="str">
        <f t="shared" si="18"/>
        <v/>
      </c>
      <c r="BT110" s="398" t="str">
        <f t="shared" si="19"/>
        <v/>
      </c>
      <c r="BU110" s="398" t="str">
        <f t="shared" si="20"/>
        <v/>
      </c>
      <c r="BV110" s="398" t="str">
        <f t="shared" si="21"/>
        <v/>
      </c>
      <c r="BW110" s="398" t="str">
        <f t="shared" si="22"/>
        <v/>
      </c>
      <c r="BX110" s="398" t="str">
        <f t="shared" si="23"/>
        <v/>
      </c>
      <c r="BY110" s="399"/>
    </row>
    <row r="111" spans="1:77" ht="15" customHeight="1">
      <c r="A111" s="385">
        <f>IF('Statement of Marks'!A115="","",'Statement of Marks'!A115)</f>
        <v>108</v>
      </c>
      <c r="B111" s="386" t="str">
        <f>IF('Statement of Marks'!B115="","",'Statement of Marks'!B115)</f>
        <v/>
      </c>
      <c r="C111" s="387" t="str">
        <f>IF('Statement of Marks'!C115="","",'Statement of Marks'!C115)</f>
        <v/>
      </c>
      <c r="D111" s="426" t="str">
        <f>IF('Statement of Marks'!D115="","",'Statement of Marks'!D115)</f>
        <v/>
      </c>
      <c r="E111" s="388" t="str">
        <f>IF('Statement of Marks'!E115="","",'Statement of Marks'!E115)</f>
        <v/>
      </c>
      <c r="F111" s="388" t="str">
        <f>IF('Statement of Marks'!F115="","",'Statement of Marks'!F115)</f>
        <v/>
      </c>
      <c r="G111" s="388" t="str">
        <f>IF('Statement of Marks'!G115="","",'Statement of Marks'!G115)</f>
        <v/>
      </c>
      <c r="H111" s="389" t="str">
        <f>IF('Statement of Marks'!H115="","",'Statement of Marks'!H115)</f>
        <v/>
      </c>
      <c r="I111" s="389" t="str">
        <f>IF('Statement of Marks'!I115="","",'Statement of Marks'!I115)</f>
        <v/>
      </c>
      <c r="J111" s="648" t="str">
        <f>IF('Statement of Marks'!GY115="","",'Statement of Marks'!GY115)</f>
        <v/>
      </c>
      <c r="K111" s="390" t="str">
        <f>IF(B111="","",IF('Statement of Marks'!GZ115="","",'Statement of Marks'!GZ115))</f>
        <v/>
      </c>
      <c r="L111" s="391" t="str">
        <f>IF('Statement of Marks'!HC115="","",'Statement of Marks'!HC115)</f>
        <v/>
      </c>
      <c r="M111" s="390" t="str">
        <f>IF('Statement of Marks'!HB115="","",'Statement of Marks'!HB115)</f>
        <v/>
      </c>
      <c r="N111" s="392" t="str">
        <f>IF(J111="FAIL","",IF('Statement of Marks'!GU115="","",'Statement of Marks'!GU115))</f>
        <v xml:space="preserve">    </v>
      </c>
      <c r="O111" s="393" t="str">
        <f>IF('Supp. Result Entry'!AS114="","",'Supp. Result Entry'!AS114)</f>
        <v/>
      </c>
      <c r="P111" s="394" t="str">
        <f>IF('Supp. Result Entry'!AT114="","",'Supp. Result Entry'!AT114)</f>
        <v/>
      </c>
      <c r="Q111" s="395" t="str">
        <f>IF('Statement of Marks'!HG115="","",'Statement of Marks'!HG115)</f>
        <v/>
      </c>
      <c r="R111" s="396" t="str">
        <f>IF('Statement of Marks'!FH115="","",'Statement of Marks'!FH115)</f>
        <v/>
      </c>
      <c r="BL111" s="397" t="str">
        <f>'Statement of Marks'!E115</f>
        <v/>
      </c>
      <c r="BM111" s="398" t="str">
        <f t="shared" si="12"/>
        <v/>
      </c>
      <c r="BN111" s="398" t="str">
        <f t="shared" si="13"/>
        <v/>
      </c>
      <c r="BO111" s="398" t="str">
        <f t="shared" si="14"/>
        <v/>
      </c>
      <c r="BP111" s="398" t="str">
        <f t="shared" si="15"/>
        <v/>
      </c>
      <c r="BQ111" s="398" t="str">
        <f t="shared" si="16"/>
        <v/>
      </c>
      <c r="BR111" s="398" t="str">
        <f t="shared" si="17"/>
        <v/>
      </c>
      <c r="BS111" s="398" t="str">
        <f t="shared" si="18"/>
        <v/>
      </c>
      <c r="BT111" s="398" t="str">
        <f t="shared" si="19"/>
        <v/>
      </c>
      <c r="BU111" s="398" t="str">
        <f t="shared" si="20"/>
        <v/>
      </c>
      <c r="BV111" s="398" t="str">
        <f t="shared" si="21"/>
        <v/>
      </c>
      <c r="BW111" s="398" t="str">
        <f t="shared" si="22"/>
        <v/>
      </c>
      <c r="BX111" s="398" t="str">
        <f t="shared" si="23"/>
        <v/>
      </c>
      <c r="BY111" s="399"/>
    </row>
    <row r="112" spans="1:77" ht="15" customHeight="1">
      <c r="A112" s="385">
        <f>IF('Statement of Marks'!A116="","",'Statement of Marks'!A116)</f>
        <v>109</v>
      </c>
      <c r="B112" s="386" t="str">
        <f>IF('Statement of Marks'!B116="","",'Statement of Marks'!B116)</f>
        <v/>
      </c>
      <c r="C112" s="387" t="str">
        <f>IF('Statement of Marks'!C116="","",'Statement of Marks'!C116)</f>
        <v/>
      </c>
      <c r="D112" s="426" t="str">
        <f>IF('Statement of Marks'!D116="","",'Statement of Marks'!D116)</f>
        <v/>
      </c>
      <c r="E112" s="388" t="str">
        <f>IF('Statement of Marks'!E116="","",'Statement of Marks'!E116)</f>
        <v/>
      </c>
      <c r="F112" s="388" t="str">
        <f>IF('Statement of Marks'!F116="","",'Statement of Marks'!F116)</f>
        <v/>
      </c>
      <c r="G112" s="388" t="str">
        <f>IF('Statement of Marks'!G116="","",'Statement of Marks'!G116)</f>
        <v/>
      </c>
      <c r="H112" s="389" t="str">
        <f>IF('Statement of Marks'!H116="","",'Statement of Marks'!H116)</f>
        <v/>
      </c>
      <c r="I112" s="389" t="str">
        <f>IF('Statement of Marks'!I116="","",'Statement of Marks'!I116)</f>
        <v/>
      </c>
      <c r="J112" s="648" t="str">
        <f>IF('Statement of Marks'!GY116="","",'Statement of Marks'!GY116)</f>
        <v/>
      </c>
      <c r="K112" s="390" t="str">
        <f>IF(B112="","",IF('Statement of Marks'!GZ116="","",'Statement of Marks'!GZ116))</f>
        <v/>
      </c>
      <c r="L112" s="391" t="str">
        <f>IF('Statement of Marks'!HC116="","",'Statement of Marks'!HC116)</f>
        <v/>
      </c>
      <c r="M112" s="390" t="str">
        <f>IF('Statement of Marks'!HB116="","",'Statement of Marks'!HB116)</f>
        <v/>
      </c>
      <c r="N112" s="392" t="str">
        <f>IF(J112="FAIL","",IF('Statement of Marks'!GU116="","",'Statement of Marks'!GU116))</f>
        <v xml:space="preserve">    </v>
      </c>
      <c r="O112" s="393" t="str">
        <f>IF('Supp. Result Entry'!AS115="","",'Supp. Result Entry'!AS115)</f>
        <v/>
      </c>
      <c r="P112" s="394" t="str">
        <f>IF('Supp. Result Entry'!AT115="","",'Supp. Result Entry'!AT115)</f>
        <v/>
      </c>
      <c r="Q112" s="395" t="str">
        <f>IF('Statement of Marks'!HG116="","",'Statement of Marks'!HG116)</f>
        <v/>
      </c>
      <c r="R112" s="396" t="str">
        <f>IF('Statement of Marks'!FH116="","",'Statement of Marks'!FH116)</f>
        <v/>
      </c>
      <c r="BL112" s="397" t="str">
        <f>'Statement of Marks'!E116</f>
        <v/>
      </c>
      <c r="BM112" s="398" t="str">
        <f t="shared" si="12"/>
        <v/>
      </c>
      <c r="BN112" s="398" t="str">
        <f t="shared" si="13"/>
        <v/>
      </c>
      <c r="BO112" s="398" t="str">
        <f t="shared" si="14"/>
        <v/>
      </c>
      <c r="BP112" s="398" t="str">
        <f t="shared" si="15"/>
        <v/>
      </c>
      <c r="BQ112" s="398" t="str">
        <f t="shared" si="16"/>
        <v/>
      </c>
      <c r="BR112" s="398" t="str">
        <f t="shared" si="17"/>
        <v/>
      </c>
      <c r="BS112" s="398" t="str">
        <f t="shared" si="18"/>
        <v/>
      </c>
      <c r="BT112" s="398" t="str">
        <f t="shared" si="19"/>
        <v/>
      </c>
      <c r="BU112" s="398" t="str">
        <f t="shared" si="20"/>
        <v/>
      </c>
      <c r="BV112" s="398" t="str">
        <f t="shared" si="21"/>
        <v/>
      </c>
      <c r="BW112" s="398" t="str">
        <f t="shared" si="22"/>
        <v/>
      </c>
      <c r="BX112" s="398" t="str">
        <f t="shared" si="23"/>
        <v/>
      </c>
      <c r="BY112" s="399"/>
    </row>
    <row r="113" spans="1:77" ht="15" customHeight="1">
      <c r="A113" s="385">
        <f>IF('Statement of Marks'!A117="","",'Statement of Marks'!A117)</f>
        <v>110</v>
      </c>
      <c r="B113" s="386" t="str">
        <f>IF('Statement of Marks'!B117="","",'Statement of Marks'!B117)</f>
        <v/>
      </c>
      <c r="C113" s="387" t="str">
        <f>IF('Statement of Marks'!C117="","",'Statement of Marks'!C117)</f>
        <v/>
      </c>
      <c r="D113" s="426" t="str">
        <f>IF('Statement of Marks'!D117="","",'Statement of Marks'!D117)</f>
        <v/>
      </c>
      <c r="E113" s="388" t="str">
        <f>IF('Statement of Marks'!E117="","",'Statement of Marks'!E117)</f>
        <v/>
      </c>
      <c r="F113" s="388" t="str">
        <f>IF('Statement of Marks'!F117="","",'Statement of Marks'!F117)</f>
        <v/>
      </c>
      <c r="G113" s="388" t="str">
        <f>IF('Statement of Marks'!G117="","",'Statement of Marks'!G117)</f>
        <v/>
      </c>
      <c r="H113" s="389" t="str">
        <f>IF('Statement of Marks'!H117="","",'Statement of Marks'!H117)</f>
        <v/>
      </c>
      <c r="I113" s="389" t="str">
        <f>IF('Statement of Marks'!I117="","",'Statement of Marks'!I117)</f>
        <v/>
      </c>
      <c r="J113" s="648" t="str">
        <f>IF('Statement of Marks'!GY117="","",'Statement of Marks'!GY117)</f>
        <v/>
      </c>
      <c r="K113" s="390" t="str">
        <f>IF(B113="","",IF('Statement of Marks'!GZ117="","",'Statement of Marks'!GZ117))</f>
        <v/>
      </c>
      <c r="L113" s="391" t="str">
        <f>IF('Statement of Marks'!HC117="","",'Statement of Marks'!HC117)</f>
        <v/>
      </c>
      <c r="M113" s="390" t="str">
        <f>IF('Statement of Marks'!HB117="","",'Statement of Marks'!HB117)</f>
        <v/>
      </c>
      <c r="N113" s="392" t="str">
        <f>IF(J113="FAIL","",IF('Statement of Marks'!GU117="","",'Statement of Marks'!GU117))</f>
        <v xml:space="preserve">    </v>
      </c>
      <c r="O113" s="393" t="str">
        <f>IF('Supp. Result Entry'!AS116="","",'Supp. Result Entry'!AS116)</f>
        <v/>
      </c>
      <c r="P113" s="394" t="str">
        <f>IF('Supp. Result Entry'!AT116="","",'Supp. Result Entry'!AT116)</f>
        <v/>
      </c>
      <c r="Q113" s="395" t="str">
        <f>IF('Statement of Marks'!HG117="","",'Statement of Marks'!HG117)</f>
        <v/>
      </c>
      <c r="R113" s="396" t="str">
        <f>IF('Statement of Marks'!FH117="","",'Statement of Marks'!FH117)</f>
        <v/>
      </c>
      <c r="BL113" s="397" t="str">
        <f>'Statement of Marks'!E117</f>
        <v/>
      </c>
      <c r="BM113" s="398" t="str">
        <f t="shared" si="12"/>
        <v/>
      </c>
      <c r="BN113" s="398" t="str">
        <f t="shared" si="13"/>
        <v/>
      </c>
      <c r="BO113" s="398" t="str">
        <f t="shared" si="14"/>
        <v/>
      </c>
      <c r="BP113" s="398" t="str">
        <f t="shared" si="15"/>
        <v/>
      </c>
      <c r="BQ113" s="398" t="str">
        <f t="shared" si="16"/>
        <v/>
      </c>
      <c r="BR113" s="398" t="str">
        <f t="shared" si="17"/>
        <v/>
      </c>
      <c r="BS113" s="398" t="str">
        <f t="shared" si="18"/>
        <v/>
      </c>
      <c r="BT113" s="398" t="str">
        <f t="shared" si="19"/>
        <v/>
      </c>
      <c r="BU113" s="398" t="str">
        <f t="shared" si="20"/>
        <v/>
      </c>
      <c r="BV113" s="398" t="str">
        <f t="shared" si="21"/>
        <v/>
      </c>
      <c r="BW113" s="398" t="str">
        <f t="shared" si="22"/>
        <v/>
      </c>
      <c r="BX113" s="398" t="str">
        <f t="shared" si="23"/>
        <v/>
      </c>
      <c r="BY113" s="399"/>
    </row>
    <row r="114" spans="1:77" ht="15" customHeight="1">
      <c r="A114" s="385">
        <f>IF('Statement of Marks'!A118="","",'Statement of Marks'!A118)</f>
        <v>111</v>
      </c>
      <c r="B114" s="386" t="str">
        <f>IF('Statement of Marks'!B118="","",'Statement of Marks'!B118)</f>
        <v/>
      </c>
      <c r="C114" s="387" t="str">
        <f>IF('Statement of Marks'!C118="","",'Statement of Marks'!C118)</f>
        <v/>
      </c>
      <c r="D114" s="426" t="str">
        <f>IF('Statement of Marks'!D118="","",'Statement of Marks'!D118)</f>
        <v/>
      </c>
      <c r="E114" s="388" t="str">
        <f>IF('Statement of Marks'!E118="","",'Statement of Marks'!E118)</f>
        <v/>
      </c>
      <c r="F114" s="388" t="str">
        <f>IF('Statement of Marks'!F118="","",'Statement of Marks'!F118)</f>
        <v/>
      </c>
      <c r="G114" s="388" t="str">
        <f>IF('Statement of Marks'!G118="","",'Statement of Marks'!G118)</f>
        <v/>
      </c>
      <c r="H114" s="389" t="str">
        <f>IF('Statement of Marks'!H118="","",'Statement of Marks'!H118)</f>
        <v/>
      </c>
      <c r="I114" s="389" t="str">
        <f>IF('Statement of Marks'!I118="","",'Statement of Marks'!I118)</f>
        <v/>
      </c>
      <c r="J114" s="648" t="str">
        <f>IF('Statement of Marks'!GY118="","",'Statement of Marks'!GY118)</f>
        <v/>
      </c>
      <c r="K114" s="390" t="str">
        <f>IF(B114="","",IF('Statement of Marks'!GZ118="","",'Statement of Marks'!GZ118))</f>
        <v/>
      </c>
      <c r="L114" s="391" t="str">
        <f>IF('Statement of Marks'!HC118="","",'Statement of Marks'!HC118)</f>
        <v/>
      </c>
      <c r="M114" s="390" t="str">
        <f>IF('Statement of Marks'!HB118="","",'Statement of Marks'!HB118)</f>
        <v/>
      </c>
      <c r="N114" s="392" t="str">
        <f>IF(J114="FAIL","",IF('Statement of Marks'!GU118="","",'Statement of Marks'!GU118))</f>
        <v xml:space="preserve">    </v>
      </c>
      <c r="O114" s="393" t="str">
        <f>IF('Supp. Result Entry'!AS117="","",'Supp. Result Entry'!AS117)</f>
        <v/>
      </c>
      <c r="P114" s="394" t="str">
        <f>IF('Supp. Result Entry'!AT117="","",'Supp. Result Entry'!AT117)</f>
        <v/>
      </c>
      <c r="Q114" s="395" t="str">
        <f>IF('Statement of Marks'!HG118="","",'Statement of Marks'!HG118)</f>
        <v/>
      </c>
      <c r="R114" s="396" t="str">
        <f>IF('Statement of Marks'!FH118="","",'Statement of Marks'!FH118)</f>
        <v/>
      </c>
      <c r="BL114" s="397" t="str">
        <f>'Statement of Marks'!E118</f>
        <v/>
      </c>
      <c r="BM114" s="398" t="str">
        <f t="shared" si="12"/>
        <v/>
      </c>
      <c r="BN114" s="398" t="str">
        <f t="shared" si="13"/>
        <v/>
      </c>
      <c r="BO114" s="398" t="str">
        <f t="shared" si="14"/>
        <v/>
      </c>
      <c r="BP114" s="398" t="str">
        <f t="shared" si="15"/>
        <v/>
      </c>
      <c r="BQ114" s="398" t="str">
        <f t="shared" si="16"/>
        <v/>
      </c>
      <c r="BR114" s="398" t="str">
        <f t="shared" si="17"/>
        <v/>
      </c>
      <c r="BS114" s="398" t="str">
        <f t="shared" si="18"/>
        <v/>
      </c>
      <c r="BT114" s="398" t="str">
        <f t="shared" si="19"/>
        <v/>
      </c>
      <c r="BU114" s="398" t="str">
        <f t="shared" si="20"/>
        <v/>
      </c>
      <c r="BV114" s="398" t="str">
        <f t="shared" si="21"/>
        <v/>
      </c>
      <c r="BW114" s="398" t="str">
        <f t="shared" si="22"/>
        <v/>
      </c>
      <c r="BX114" s="398" t="str">
        <f t="shared" si="23"/>
        <v/>
      </c>
      <c r="BY114" s="399"/>
    </row>
    <row r="115" spans="1:77" ht="15" customHeight="1">
      <c r="A115" s="385">
        <f>IF('Statement of Marks'!A119="","",'Statement of Marks'!A119)</f>
        <v>112</v>
      </c>
      <c r="B115" s="386" t="str">
        <f>IF('Statement of Marks'!B119="","",'Statement of Marks'!B119)</f>
        <v/>
      </c>
      <c r="C115" s="387" t="str">
        <f>IF('Statement of Marks'!C119="","",'Statement of Marks'!C119)</f>
        <v/>
      </c>
      <c r="D115" s="426" t="str">
        <f>IF('Statement of Marks'!D119="","",'Statement of Marks'!D119)</f>
        <v/>
      </c>
      <c r="E115" s="388" t="str">
        <f>IF('Statement of Marks'!E119="","",'Statement of Marks'!E119)</f>
        <v/>
      </c>
      <c r="F115" s="388" t="str">
        <f>IF('Statement of Marks'!F119="","",'Statement of Marks'!F119)</f>
        <v/>
      </c>
      <c r="G115" s="388" t="str">
        <f>IF('Statement of Marks'!G119="","",'Statement of Marks'!G119)</f>
        <v/>
      </c>
      <c r="H115" s="389" t="str">
        <f>IF('Statement of Marks'!H119="","",'Statement of Marks'!H119)</f>
        <v/>
      </c>
      <c r="I115" s="389" t="str">
        <f>IF('Statement of Marks'!I119="","",'Statement of Marks'!I119)</f>
        <v/>
      </c>
      <c r="J115" s="648" t="str">
        <f>IF('Statement of Marks'!GY119="","",'Statement of Marks'!GY119)</f>
        <v/>
      </c>
      <c r="K115" s="390" t="str">
        <f>IF(B115="","",IF('Statement of Marks'!GZ119="","",'Statement of Marks'!GZ119))</f>
        <v/>
      </c>
      <c r="L115" s="391" t="str">
        <f>IF('Statement of Marks'!HC119="","",'Statement of Marks'!HC119)</f>
        <v/>
      </c>
      <c r="M115" s="390" t="str">
        <f>IF('Statement of Marks'!HB119="","",'Statement of Marks'!HB119)</f>
        <v/>
      </c>
      <c r="N115" s="392" t="str">
        <f>IF(J115="FAIL","",IF('Statement of Marks'!GU119="","",'Statement of Marks'!GU119))</f>
        <v xml:space="preserve">    </v>
      </c>
      <c r="O115" s="393" t="str">
        <f>IF('Supp. Result Entry'!AS118="","",'Supp. Result Entry'!AS118)</f>
        <v/>
      </c>
      <c r="P115" s="394" t="str">
        <f>IF('Supp. Result Entry'!AT118="","",'Supp. Result Entry'!AT118)</f>
        <v/>
      </c>
      <c r="Q115" s="395" t="str">
        <f>IF('Statement of Marks'!HG119="","",'Statement of Marks'!HG119)</f>
        <v/>
      </c>
      <c r="R115" s="396" t="str">
        <f>IF('Statement of Marks'!FH119="","",'Statement of Marks'!FH119)</f>
        <v/>
      </c>
      <c r="BL115" s="397" t="str">
        <f>'Statement of Marks'!E119</f>
        <v/>
      </c>
      <c r="BM115" s="398" t="str">
        <f t="shared" si="12"/>
        <v/>
      </c>
      <c r="BN115" s="398" t="str">
        <f t="shared" si="13"/>
        <v/>
      </c>
      <c r="BO115" s="398" t="str">
        <f t="shared" si="14"/>
        <v/>
      </c>
      <c r="BP115" s="398" t="str">
        <f t="shared" si="15"/>
        <v/>
      </c>
      <c r="BQ115" s="398" t="str">
        <f t="shared" si="16"/>
        <v/>
      </c>
      <c r="BR115" s="398" t="str">
        <f t="shared" si="17"/>
        <v/>
      </c>
      <c r="BS115" s="398" t="str">
        <f t="shared" si="18"/>
        <v/>
      </c>
      <c r="BT115" s="398" t="str">
        <f t="shared" si="19"/>
        <v/>
      </c>
      <c r="BU115" s="398" t="str">
        <f t="shared" si="20"/>
        <v/>
      </c>
      <c r="BV115" s="398" t="str">
        <f t="shared" si="21"/>
        <v/>
      </c>
      <c r="BW115" s="398" t="str">
        <f t="shared" si="22"/>
        <v/>
      </c>
      <c r="BX115" s="398" t="str">
        <f t="shared" si="23"/>
        <v/>
      </c>
      <c r="BY115" s="399"/>
    </row>
    <row r="116" spans="1:77" ht="15" customHeight="1">
      <c r="A116" s="385">
        <f>IF('Statement of Marks'!A120="","",'Statement of Marks'!A120)</f>
        <v>113</v>
      </c>
      <c r="B116" s="386" t="str">
        <f>IF('Statement of Marks'!B120="","",'Statement of Marks'!B120)</f>
        <v/>
      </c>
      <c r="C116" s="387" t="str">
        <f>IF('Statement of Marks'!C120="","",'Statement of Marks'!C120)</f>
        <v/>
      </c>
      <c r="D116" s="426" t="str">
        <f>IF('Statement of Marks'!D120="","",'Statement of Marks'!D120)</f>
        <v/>
      </c>
      <c r="E116" s="388" t="str">
        <f>IF('Statement of Marks'!E120="","",'Statement of Marks'!E120)</f>
        <v/>
      </c>
      <c r="F116" s="388" t="str">
        <f>IF('Statement of Marks'!F120="","",'Statement of Marks'!F120)</f>
        <v/>
      </c>
      <c r="G116" s="388" t="str">
        <f>IF('Statement of Marks'!G120="","",'Statement of Marks'!G120)</f>
        <v/>
      </c>
      <c r="H116" s="389" t="str">
        <f>IF('Statement of Marks'!H120="","",'Statement of Marks'!H120)</f>
        <v/>
      </c>
      <c r="I116" s="389" t="str">
        <f>IF('Statement of Marks'!I120="","",'Statement of Marks'!I120)</f>
        <v/>
      </c>
      <c r="J116" s="648" t="str">
        <f>IF('Statement of Marks'!GY120="","",'Statement of Marks'!GY120)</f>
        <v/>
      </c>
      <c r="K116" s="390" t="str">
        <f>IF(B116="","",IF('Statement of Marks'!GZ120="","",'Statement of Marks'!GZ120))</f>
        <v/>
      </c>
      <c r="L116" s="391" t="str">
        <f>IF('Statement of Marks'!HC120="","",'Statement of Marks'!HC120)</f>
        <v/>
      </c>
      <c r="M116" s="390" t="str">
        <f>IF('Statement of Marks'!HB120="","",'Statement of Marks'!HB120)</f>
        <v/>
      </c>
      <c r="N116" s="392" t="str">
        <f>IF(J116="FAIL","",IF('Statement of Marks'!GU120="","",'Statement of Marks'!GU120))</f>
        <v xml:space="preserve">    </v>
      </c>
      <c r="O116" s="393" t="str">
        <f>IF('Supp. Result Entry'!AS119="","",'Supp. Result Entry'!AS119)</f>
        <v/>
      </c>
      <c r="P116" s="394" t="str">
        <f>IF('Supp. Result Entry'!AT119="","",'Supp. Result Entry'!AT119)</f>
        <v/>
      </c>
      <c r="Q116" s="395" t="str">
        <f>IF('Statement of Marks'!HG120="","",'Statement of Marks'!HG120)</f>
        <v/>
      </c>
      <c r="R116" s="396" t="str">
        <f>IF('Statement of Marks'!FH120="","",'Statement of Marks'!FH120)</f>
        <v/>
      </c>
      <c r="BL116" s="397" t="str">
        <f>'Statement of Marks'!E120</f>
        <v/>
      </c>
      <c r="BM116" s="398" t="str">
        <f t="shared" si="12"/>
        <v/>
      </c>
      <c r="BN116" s="398" t="str">
        <f t="shared" si="13"/>
        <v/>
      </c>
      <c r="BO116" s="398" t="str">
        <f t="shared" si="14"/>
        <v/>
      </c>
      <c r="BP116" s="398" t="str">
        <f t="shared" si="15"/>
        <v/>
      </c>
      <c r="BQ116" s="398" t="str">
        <f t="shared" si="16"/>
        <v/>
      </c>
      <c r="BR116" s="398" t="str">
        <f t="shared" si="17"/>
        <v/>
      </c>
      <c r="BS116" s="398" t="str">
        <f t="shared" si="18"/>
        <v/>
      </c>
      <c r="BT116" s="398" t="str">
        <f t="shared" si="19"/>
        <v/>
      </c>
      <c r="BU116" s="398" t="str">
        <f t="shared" si="20"/>
        <v/>
      </c>
      <c r="BV116" s="398" t="str">
        <f t="shared" si="21"/>
        <v/>
      </c>
      <c r="BW116" s="398" t="str">
        <f t="shared" si="22"/>
        <v/>
      </c>
      <c r="BX116" s="398" t="str">
        <f t="shared" si="23"/>
        <v/>
      </c>
      <c r="BY116" s="399"/>
    </row>
    <row r="117" spans="1:77" ht="15" customHeight="1">
      <c r="A117" s="385">
        <f>IF('Statement of Marks'!A121="","",'Statement of Marks'!A121)</f>
        <v>114</v>
      </c>
      <c r="B117" s="386" t="str">
        <f>IF('Statement of Marks'!B121="","",'Statement of Marks'!B121)</f>
        <v/>
      </c>
      <c r="C117" s="387" t="str">
        <f>IF('Statement of Marks'!C121="","",'Statement of Marks'!C121)</f>
        <v/>
      </c>
      <c r="D117" s="426" t="str">
        <f>IF('Statement of Marks'!D121="","",'Statement of Marks'!D121)</f>
        <v/>
      </c>
      <c r="E117" s="388" t="str">
        <f>IF('Statement of Marks'!E121="","",'Statement of Marks'!E121)</f>
        <v/>
      </c>
      <c r="F117" s="388" t="str">
        <f>IF('Statement of Marks'!F121="","",'Statement of Marks'!F121)</f>
        <v/>
      </c>
      <c r="G117" s="388" t="str">
        <f>IF('Statement of Marks'!G121="","",'Statement of Marks'!G121)</f>
        <v/>
      </c>
      <c r="H117" s="389" t="str">
        <f>IF('Statement of Marks'!H121="","",'Statement of Marks'!H121)</f>
        <v/>
      </c>
      <c r="I117" s="389" t="str">
        <f>IF('Statement of Marks'!I121="","",'Statement of Marks'!I121)</f>
        <v/>
      </c>
      <c r="J117" s="648" t="str">
        <f>IF('Statement of Marks'!GY121="","",'Statement of Marks'!GY121)</f>
        <v/>
      </c>
      <c r="K117" s="390" t="str">
        <f>IF(B117="","",IF('Statement of Marks'!GZ121="","",'Statement of Marks'!GZ121))</f>
        <v/>
      </c>
      <c r="L117" s="391" t="str">
        <f>IF('Statement of Marks'!HC121="","",'Statement of Marks'!HC121)</f>
        <v/>
      </c>
      <c r="M117" s="390" t="str">
        <f>IF('Statement of Marks'!HB121="","",'Statement of Marks'!HB121)</f>
        <v/>
      </c>
      <c r="N117" s="392" t="str">
        <f>IF(J117="FAIL","",IF('Statement of Marks'!GU121="","",'Statement of Marks'!GU121))</f>
        <v xml:space="preserve">    </v>
      </c>
      <c r="O117" s="393" t="str">
        <f>IF('Supp. Result Entry'!AS120="","",'Supp. Result Entry'!AS120)</f>
        <v/>
      </c>
      <c r="P117" s="394" t="str">
        <f>IF('Supp. Result Entry'!AT120="","",'Supp. Result Entry'!AT120)</f>
        <v/>
      </c>
      <c r="Q117" s="395" t="str">
        <f>IF('Statement of Marks'!HG121="","",'Statement of Marks'!HG121)</f>
        <v/>
      </c>
      <c r="R117" s="396" t="str">
        <f>IF('Statement of Marks'!FH121="","",'Statement of Marks'!FH121)</f>
        <v/>
      </c>
      <c r="BL117" s="397" t="str">
        <f>'Statement of Marks'!E121</f>
        <v/>
      </c>
      <c r="BM117" s="398" t="str">
        <f t="shared" si="12"/>
        <v/>
      </c>
      <c r="BN117" s="398" t="str">
        <f t="shared" si="13"/>
        <v/>
      </c>
      <c r="BO117" s="398" t="str">
        <f t="shared" si="14"/>
        <v/>
      </c>
      <c r="BP117" s="398" t="str">
        <f t="shared" si="15"/>
        <v/>
      </c>
      <c r="BQ117" s="398" t="str">
        <f t="shared" si="16"/>
        <v/>
      </c>
      <c r="BR117" s="398" t="str">
        <f t="shared" si="17"/>
        <v/>
      </c>
      <c r="BS117" s="398" t="str">
        <f t="shared" si="18"/>
        <v/>
      </c>
      <c r="BT117" s="398" t="str">
        <f t="shared" si="19"/>
        <v/>
      </c>
      <c r="BU117" s="398" t="str">
        <f t="shared" si="20"/>
        <v/>
      </c>
      <c r="BV117" s="398" t="str">
        <f t="shared" si="21"/>
        <v/>
      </c>
      <c r="BW117" s="398" t="str">
        <f t="shared" si="22"/>
        <v/>
      </c>
      <c r="BX117" s="398" t="str">
        <f t="shared" si="23"/>
        <v/>
      </c>
      <c r="BY117" s="399"/>
    </row>
    <row r="118" spans="1:77" ht="15" customHeight="1">
      <c r="A118" s="385">
        <f>IF('Statement of Marks'!A122="","",'Statement of Marks'!A122)</f>
        <v>115</v>
      </c>
      <c r="B118" s="386" t="str">
        <f>IF('Statement of Marks'!B122="","",'Statement of Marks'!B122)</f>
        <v/>
      </c>
      <c r="C118" s="387" t="str">
        <f>IF('Statement of Marks'!C122="","",'Statement of Marks'!C122)</f>
        <v/>
      </c>
      <c r="D118" s="426" t="str">
        <f>IF('Statement of Marks'!D122="","",'Statement of Marks'!D122)</f>
        <v/>
      </c>
      <c r="E118" s="388" t="str">
        <f>IF('Statement of Marks'!E122="","",'Statement of Marks'!E122)</f>
        <v/>
      </c>
      <c r="F118" s="388" t="str">
        <f>IF('Statement of Marks'!F122="","",'Statement of Marks'!F122)</f>
        <v/>
      </c>
      <c r="G118" s="388" t="str">
        <f>IF('Statement of Marks'!G122="","",'Statement of Marks'!G122)</f>
        <v/>
      </c>
      <c r="H118" s="389" t="str">
        <f>IF('Statement of Marks'!H122="","",'Statement of Marks'!H122)</f>
        <v/>
      </c>
      <c r="I118" s="389" t="str">
        <f>IF('Statement of Marks'!I122="","",'Statement of Marks'!I122)</f>
        <v/>
      </c>
      <c r="J118" s="648" t="str">
        <f>IF('Statement of Marks'!GY122="","",'Statement of Marks'!GY122)</f>
        <v/>
      </c>
      <c r="K118" s="390" t="str">
        <f>IF(B118="","",IF('Statement of Marks'!GZ122="","",'Statement of Marks'!GZ122))</f>
        <v/>
      </c>
      <c r="L118" s="391" t="str">
        <f>IF('Statement of Marks'!HC122="","",'Statement of Marks'!HC122)</f>
        <v/>
      </c>
      <c r="M118" s="390" t="str">
        <f>IF('Statement of Marks'!HB122="","",'Statement of Marks'!HB122)</f>
        <v/>
      </c>
      <c r="N118" s="392" t="str">
        <f>IF(J118="FAIL","",IF('Statement of Marks'!GU122="","",'Statement of Marks'!GU122))</f>
        <v xml:space="preserve">    </v>
      </c>
      <c r="O118" s="393" t="str">
        <f>IF('Supp. Result Entry'!AS121="","",'Supp. Result Entry'!AS121)</f>
        <v/>
      </c>
      <c r="P118" s="394" t="str">
        <f>IF('Supp. Result Entry'!AT121="","",'Supp. Result Entry'!AT121)</f>
        <v/>
      </c>
      <c r="Q118" s="395" t="str">
        <f>IF('Statement of Marks'!HG122="","",'Statement of Marks'!HG122)</f>
        <v/>
      </c>
      <c r="R118" s="396" t="str">
        <f>IF('Statement of Marks'!FH122="","",'Statement of Marks'!FH122)</f>
        <v/>
      </c>
      <c r="BL118" s="397" t="str">
        <f>'Statement of Marks'!E122</f>
        <v/>
      </c>
      <c r="BM118" s="398" t="str">
        <f t="shared" si="12"/>
        <v/>
      </c>
      <c r="BN118" s="398" t="str">
        <f t="shared" si="13"/>
        <v/>
      </c>
      <c r="BO118" s="398" t="str">
        <f t="shared" si="14"/>
        <v/>
      </c>
      <c r="BP118" s="398" t="str">
        <f t="shared" si="15"/>
        <v/>
      </c>
      <c r="BQ118" s="398" t="str">
        <f t="shared" si="16"/>
        <v/>
      </c>
      <c r="BR118" s="398" t="str">
        <f t="shared" si="17"/>
        <v/>
      </c>
      <c r="BS118" s="398" t="str">
        <f t="shared" si="18"/>
        <v/>
      </c>
      <c r="BT118" s="398" t="str">
        <f t="shared" si="19"/>
        <v/>
      </c>
      <c r="BU118" s="398" t="str">
        <f t="shared" si="20"/>
        <v/>
      </c>
      <c r="BV118" s="398" t="str">
        <f t="shared" si="21"/>
        <v/>
      </c>
      <c r="BW118" s="398" t="str">
        <f t="shared" si="22"/>
        <v/>
      </c>
      <c r="BX118" s="398" t="str">
        <f t="shared" si="23"/>
        <v/>
      </c>
      <c r="BY118" s="399"/>
    </row>
    <row r="119" spans="1:77" ht="15" customHeight="1">
      <c r="A119" s="385">
        <f>IF('Statement of Marks'!A123="","",'Statement of Marks'!A123)</f>
        <v>116</v>
      </c>
      <c r="B119" s="386" t="str">
        <f>IF('Statement of Marks'!B123="","",'Statement of Marks'!B123)</f>
        <v/>
      </c>
      <c r="C119" s="387" t="str">
        <f>IF('Statement of Marks'!C123="","",'Statement of Marks'!C123)</f>
        <v/>
      </c>
      <c r="D119" s="426" t="str">
        <f>IF('Statement of Marks'!D123="","",'Statement of Marks'!D123)</f>
        <v/>
      </c>
      <c r="E119" s="388" t="str">
        <f>IF('Statement of Marks'!E123="","",'Statement of Marks'!E123)</f>
        <v/>
      </c>
      <c r="F119" s="388" t="str">
        <f>IF('Statement of Marks'!F123="","",'Statement of Marks'!F123)</f>
        <v/>
      </c>
      <c r="G119" s="388" t="str">
        <f>IF('Statement of Marks'!G123="","",'Statement of Marks'!G123)</f>
        <v/>
      </c>
      <c r="H119" s="389" t="str">
        <f>IF('Statement of Marks'!H123="","",'Statement of Marks'!H123)</f>
        <v/>
      </c>
      <c r="I119" s="389" t="str">
        <f>IF('Statement of Marks'!I123="","",'Statement of Marks'!I123)</f>
        <v/>
      </c>
      <c r="J119" s="648" t="str">
        <f>IF('Statement of Marks'!GY123="","",'Statement of Marks'!GY123)</f>
        <v/>
      </c>
      <c r="K119" s="390" t="str">
        <f>IF(B119="","",IF('Statement of Marks'!GZ123="","",'Statement of Marks'!GZ123))</f>
        <v/>
      </c>
      <c r="L119" s="391" t="str">
        <f>IF('Statement of Marks'!HC123="","",'Statement of Marks'!HC123)</f>
        <v/>
      </c>
      <c r="M119" s="390" t="str">
        <f>IF('Statement of Marks'!HB123="","",'Statement of Marks'!HB123)</f>
        <v/>
      </c>
      <c r="N119" s="392" t="str">
        <f>IF(J119="FAIL","",IF('Statement of Marks'!GU123="","",'Statement of Marks'!GU123))</f>
        <v xml:space="preserve">    </v>
      </c>
      <c r="O119" s="393" t="str">
        <f>IF('Supp. Result Entry'!AS122="","",'Supp. Result Entry'!AS122)</f>
        <v/>
      </c>
      <c r="P119" s="394" t="str">
        <f>IF('Supp. Result Entry'!AT122="","",'Supp. Result Entry'!AT122)</f>
        <v/>
      </c>
      <c r="Q119" s="395" t="str">
        <f>IF('Statement of Marks'!HG123="","",'Statement of Marks'!HG123)</f>
        <v/>
      </c>
      <c r="R119" s="396" t="str">
        <f>IF('Statement of Marks'!FH123="","",'Statement of Marks'!FH123)</f>
        <v/>
      </c>
      <c r="BL119" s="397" t="str">
        <f>'Statement of Marks'!E123</f>
        <v/>
      </c>
      <c r="BM119" s="398" t="str">
        <f t="shared" si="12"/>
        <v/>
      </c>
      <c r="BN119" s="398" t="str">
        <f t="shared" si="13"/>
        <v/>
      </c>
      <c r="BO119" s="398" t="str">
        <f t="shared" si="14"/>
        <v/>
      </c>
      <c r="BP119" s="398" t="str">
        <f t="shared" si="15"/>
        <v/>
      </c>
      <c r="BQ119" s="398" t="str">
        <f t="shared" si="16"/>
        <v/>
      </c>
      <c r="BR119" s="398" t="str">
        <f t="shared" si="17"/>
        <v/>
      </c>
      <c r="BS119" s="398" t="str">
        <f t="shared" si="18"/>
        <v/>
      </c>
      <c r="BT119" s="398" t="str">
        <f t="shared" si="19"/>
        <v/>
      </c>
      <c r="BU119" s="398" t="str">
        <f t="shared" si="20"/>
        <v/>
      </c>
      <c r="BV119" s="398" t="str">
        <f t="shared" si="21"/>
        <v/>
      </c>
      <c r="BW119" s="398" t="str">
        <f t="shared" si="22"/>
        <v/>
      </c>
      <c r="BX119" s="398" t="str">
        <f t="shared" si="23"/>
        <v/>
      </c>
      <c r="BY119" s="399"/>
    </row>
    <row r="120" spans="1:77" ht="15" customHeight="1">
      <c r="A120" s="385">
        <f>IF('Statement of Marks'!A124="","",'Statement of Marks'!A124)</f>
        <v>117</v>
      </c>
      <c r="B120" s="386" t="str">
        <f>IF('Statement of Marks'!B124="","",'Statement of Marks'!B124)</f>
        <v/>
      </c>
      <c r="C120" s="387" t="str">
        <f>IF('Statement of Marks'!C124="","",'Statement of Marks'!C124)</f>
        <v/>
      </c>
      <c r="D120" s="426" t="str">
        <f>IF('Statement of Marks'!D124="","",'Statement of Marks'!D124)</f>
        <v/>
      </c>
      <c r="E120" s="388" t="str">
        <f>IF('Statement of Marks'!E124="","",'Statement of Marks'!E124)</f>
        <v/>
      </c>
      <c r="F120" s="388" t="str">
        <f>IF('Statement of Marks'!F124="","",'Statement of Marks'!F124)</f>
        <v/>
      </c>
      <c r="G120" s="388" t="str">
        <f>IF('Statement of Marks'!G124="","",'Statement of Marks'!G124)</f>
        <v/>
      </c>
      <c r="H120" s="389" t="str">
        <f>IF('Statement of Marks'!H124="","",'Statement of Marks'!H124)</f>
        <v/>
      </c>
      <c r="I120" s="389" t="str">
        <f>IF('Statement of Marks'!I124="","",'Statement of Marks'!I124)</f>
        <v/>
      </c>
      <c r="J120" s="648" t="str">
        <f>IF('Statement of Marks'!GY124="","",'Statement of Marks'!GY124)</f>
        <v/>
      </c>
      <c r="K120" s="390" t="str">
        <f>IF(B120="","",IF('Statement of Marks'!GZ124="","",'Statement of Marks'!GZ124))</f>
        <v/>
      </c>
      <c r="L120" s="391" t="str">
        <f>IF('Statement of Marks'!HC124="","",'Statement of Marks'!HC124)</f>
        <v/>
      </c>
      <c r="M120" s="390" t="str">
        <f>IF('Statement of Marks'!HB124="","",'Statement of Marks'!HB124)</f>
        <v/>
      </c>
      <c r="N120" s="392" t="str">
        <f>IF(J120="FAIL","",IF('Statement of Marks'!GU124="","",'Statement of Marks'!GU124))</f>
        <v xml:space="preserve">    </v>
      </c>
      <c r="O120" s="393" t="str">
        <f>IF('Supp. Result Entry'!AS123="","",'Supp. Result Entry'!AS123)</f>
        <v/>
      </c>
      <c r="P120" s="394" t="str">
        <f>IF('Supp. Result Entry'!AT123="","",'Supp. Result Entry'!AT123)</f>
        <v/>
      </c>
      <c r="Q120" s="395" t="str">
        <f>IF('Statement of Marks'!HG124="","",'Statement of Marks'!HG124)</f>
        <v/>
      </c>
      <c r="R120" s="396" t="str">
        <f>IF('Statement of Marks'!FH124="","",'Statement of Marks'!FH124)</f>
        <v/>
      </c>
      <c r="BL120" s="397" t="str">
        <f>'Statement of Marks'!E124</f>
        <v/>
      </c>
      <c r="BM120" s="398" t="str">
        <f t="shared" si="12"/>
        <v/>
      </c>
      <c r="BN120" s="398" t="str">
        <f t="shared" si="13"/>
        <v/>
      </c>
      <c r="BO120" s="398" t="str">
        <f t="shared" si="14"/>
        <v/>
      </c>
      <c r="BP120" s="398" t="str">
        <f t="shared" si="15"/>
        <v/>
      </c>
      <c r="BQ120" s="398" t="str">
        <f t="shared" si="16"/>
        <v/>
      </c>
      <c r="BR120" s="398" t="str">
        <f t="shared" si="17"/>
        <v/>
      </c>
      <c r="BS120" s="398" t="str">
        <f t="shared" si="18"/>
        <v/>
      </c>
      <c r="BT120" s="398" t="str">
        <f t="shared" si="19"/>
        <v/>
      </c>
      <c r="BU120" s="398" t="str">
        <f t="shared" si="20"/>
        <v/>
      </c>
      <c r="BV120" s="398" t="str">
        <f t="shared" si="21"/>
        <v/>
      </c>
      <c r="BW120" s="398" t="str">
        <f t="shared" si="22"/>
        <v/>
      </c>
      <c r="BX120" s="398" t="str">
        <f t="shared" si="23"/>
        <v/>
      </c>
      <c r="BY120" s="399"/>
    </row>
    <row r="121" spans="1:77" ht="15" customHeight="1">
      <c r="A121" s="385">
        <f>IF('Statement of Marks'!A125="","",'Statement of Marks'!A125)</f>
        <v>118</v>
      </c>
      <c r="B121" s="386" t="str">
        <f>IF('Statement of Marks'!B125="","",'Statement of Marks'!B125)</f>
        <v/>
      </c>
      <c r="C121" s="387" t="str">
        <f>IF('Statement of Marks'!C125="","",'Statement of Marks'!C125)</f>
        <v/>
      </c>
      <c r="D121" s="426" t="str">
        <f>IF('Statement of Marks'!D125="","",'Statement of Marks'!D125)</f>
        <v/>
      </c>
      <c r="E121" s="388" t="str">
        <f>IF('Statement of Marks'!E125="","",'Statement of Marks'!E125)</f>
        <v/>
      </c>
      <c r="F121" s="388" t="str">
        <f>IF('Statement of Marks'!F125="","",'Statement of Marks'!F125)</f>
        <v/>
      </c>
      <c r="G121" s="388" t="str">
        <f>IF('Statement of Marks'!G125="","",'Statement of Marks'!G125)</f>
        <v/>
      </c>
      <c r="H121" s="389" t="str">
        <f>IF('Statement of Marks'!H125="","",'Statement of Marks'!H125)</f>
        <v/>
      </c>
      <c r="I121" s="389" t="str">
        <f>IF('Statement of Marks'!I125="","",'Statement of Marks'!I125)</f>
        <v/>
      </c>
      <c r="J121" s="648" t="str">
        <f>IF('Statement of Marks'!GY125="","",'Statement of Marks'!GY125)</f>
        <v/>
      </c>
      <c r="K121" s="390" t="str">
        <f>IF(B121="","",IF('Statement of Marks'!GZ125="","",'Statement of Marks'!GZ125))</f>
        <v/>
      </c>
      <c r="L121" s="391" t="str">
        <f>IF('Statement of Marks'!HC125="","",'Statement of Marks'!HC125)</f>
        <v/>
      </c>
      <c r="M121" s="390" t="str">
        <f>IF('Statement of Marks'!HB125="","",'Statement of Marks'!HB125)</f>
        <v/>
      </c>
      <c r="N121" s="392" t="str">
        <f>IF(J121="FAIL","",IF('Statement of Marks'!GU125="","",'Statement of Marks'!GU125))</f>
        <v xml:space="preserve">    </v>
      </c>
      <c r="O121" s="393" t="str">
        <f>IF('Supp. Result Entry'!AS124="","",'Supp. Result Entry'!AS124)</f>
        <v/>
      </c>
      <c r="P121" s="394" t="str">
        <f>IF('Supp. Result Entry'!AT124="","",'Supp. Result Entry'!AT124)</f>
        <v/>
      </c>
      <c r="Q121" s="395" t="str">
        <f>IF('Statement of Marks'!HG125="","",'Statement of Marks'!HG125)</f>
        <v/>
      </c>
      <c r="R121" s="396" t="str">
        <f>IF('Statement of Marks'!FH125="","",'Statement of Marks'!FH125)</f>
        <v/>
      </c>
      <c r="BL121" s="397" t="str">
        <f>'Statement of Marks'!E125</f>
        <v/>
      </c>
      <c r="BM121" s="398" t="str">
        <f t="shared" si="12"/>
        <v/>
      </c>
      <c r="BN121" s="398" t="str">
        <f t="shared" si="13"/>
        <v/>
      </c>
      <c r="BO121" s="398" t="str">
        <f t="shared" si="14"/>
        <v/>
      </c>
      <c r="BP121" s="398" t="str">
        <f t="shared" si="15"/>
        <v/>
      </c>
      <c r="BQ121" s="398" t="str">
        <f t="shared" si="16"/>
        <v/>
      </c>
      <c r="BR121" s="398" t="str">
        <f t="shared" si="17"/>
        <v/>
      </c>
      <c r="BS121" s="398" t="str">
        <f t="shared" si="18"/>
        <v/>
      </c>
      <c r="BT121" s="398" t="str">
        <f t="shared" si="19"/>
        <v/>
      </c>
      <c r="BU121" s="398" t="str">
        <f t="shared" si="20"/>
        <v/>
      </c>
      <c r="BV121" s="398" t="str">
        <f t="shared" si="21"/>
        <v/>
      </c>
      <c r="BW121" s="398" t="str">
        <f t="shared" si="22"/>
        <v/>
      </c>
      <c r="BX121" s="398" t="str">
        <f t="shared" si="23"/>
        <v/>
      </c>
      <c r="BY121" s="399"/>
    </row>
    <row r="122" spans="1:77" ht="15" customHeight="1">
      <c r="A122" s="385">
        <f>IF('Statement of Marks'!A126="","",'Statement of Marks'!A126)</f>
        <v>119</v>
      </c>
      <c r="B122" s="386" t="str">
        <f>IF('Statement of Marks'!B126="","",'Statement of Marks'!B126)</f>
        <v/>
      </c>
      <c r="C122" s="387" t="str">
        <f>IF('Statement of Marks'!C126="","",'Statement of Marks'!C126)</f>
        <v/>
      </c>
      <c r="D122" s="426" t="str">
        <f>IF('Statement of Marks'!D126="","",'Statement of Marks'!D126)</f>
        <v/>
      </c>
      <c r="E122" s="388" t="str">
        <f>IF('Statement of Marks'!E126="","",'Statement of Marks'!E126)</f>
        <v/>
      </c>
      <c r="F122" s="388" t="str">
        <f>IF('Statement of Marks'!F126="","",'Statement of Marks'!F126)</f>
        <v/>
      </c>
      <c r="G122" s="388" t="str">
        <f>IF('Statement of Marks'!G126="","",'Statement of Marks'!G126)</f>
        <v/>
      </c>
      <c r="H122" s="389" t="str">
        <f>IF('Statement of Marks'!H126="","",'Statement of Marks'!H126)</f>
        <v/>
      </c>
      <c r="I122" s="389" t="str">
        <f>IF('Statement of Marks'!I126="","",'Statement of Marks'!I126)</f>
        <v/>
      </c>
      <c r="J122" s="648" t="str">
        <f>IF('Statement of Marks'!GY126="","",'Statement of Marks'!GY126)</f>
        <v/>
      </c>
      <c r="K122" s="390" t="str">
        <f>IF(B122="","",IF('Statement of Marks'!GZ126="","",'Statement of Marks'!GZ126))</f>
        <v/>
      </c>
      <c r="L122" s="391" t="str">
        <f>IF('Statement of Marks'!HC126="","",'Statement of Marks'!HC126)</f>
        <v/>
      </c>
      <c r="M122" s="390" t="str">
        <f>IF('Statement of Marks'!HB126="","",'Statement of Marks'!HB126)</f>
        <v/>
      </c>
      <c r="N122" s="392" t="str">
        <f>IF(J122="FAIL","",IF('Statement of Marks'!GU126="","",'Statement of Marks'!GU126))</f>
        <v xml:space="preserve">    </v>
      </c>
      <c r="O122" s="393" t="str">
        <f>IF('Supp. Result Entry'!AS125="","",'Supp. Result Entry'!AS125)</f>
        <v/>
      </c>
      <c r="P122" s="394" t="str">
        <f>IF('Supp. Result Entry'!AT125="","",'Supp. Result Entry'!AT125)</f>
        <v/>
      </c>
      <c r="Q122" s="395" t="str">
        <f>IF('Statement of Marks'!HG126="","",'Statement of Marks'!HG126)</f>
        <v/>
      </c>
      <c r="R122" s="396" t="str">
        <f>IF('Statement of Marks'!FH126="","",'Statement of Marks'!FH126)</f>
        <v/>
      </c>
      <c r="BL122" s="397" t="str">
        <f>'Statement of Marks'!E126</f>
        <v/>
      </c>
      <c r="BM122" s="398" t="str">
        <f t="shared" si="12"/>
        <v/>
      </c>
      <c r="BN122" s="398" t="str">
        <f t="shared" si="13"/>
        <v/>
      </c>
      <c r="BO122" s="398" t="str">
        <f t="shared" si="14"/>
        <v/>
      </c>
      <c r="BP122" s="398" t="str">
        <f t="shared" si="15"/>
        <v/>
      </c>
      <c r="BQ122" s="398" t="str">
        <f t="shared" si="16"/>
        <v/>
      </c>
      <c r="BR122" s="398" t="str">
        <f t="shared" si="17"/>
        <v/>
      </c>
      <c r="BS122" s="398" t="str">
        <f t="shared" si="18"/>
        <v/>
      </c>
      <c r="BT122" s="398" t="str">
        <f t="shared" si="19"/>
        <v/>
      </c>
      <c r="BU122" s="398" t="str">
        <f t="shared" si="20"/>
        <v/>
      </c>
      <c r="BV122" s="398" t="str">
        <f t="shared" si="21"/>
        <v/>
      </c>
      <c r="BW122" s="398" t="str">
        <f t="shared" si="22"/>
        <v/>
      </c>
      <c r="BX122" s="398" t="str">
        <f t="shared" si="23"/>
        <v/>
      </c>
      <c r="BY122" s="399"/>
    </row>
    <row r="123" spans="1:77" ht="15" customHeight="1">
      <c r="A123" s="385">
        <f>IF('Statement of Marks'!A127="","",'Statement of Marks'!A127)</f>
        <v>120</v>
      </c>
      <c r="B123" s="386" t="str">
        <f>IF('Statement of Marks'!B127="","",'Statement of Marks'!B127)</f>
        <v/>
      </c>
      <c r="C123" s="387" t="str">
        <f>IF('Statement of Marks'!C127="","",'Statement of Marks'!C127)</f>
        <v/>
      </c>
      <c r="D123" s="426" t="str">
        <f>IF('Statement of Marks'!D127="","",'Statement of Marks'!D127)</f>
        <v/>
      </c>
      <c r="E123" s="388" t="str">
        <f>IF('Statement of Marks'!E127="","",'Statement of Marks'!E127)</f>
        <v/>
      </c>
      <c r="F123" s="388" t="str">
        <f>IF('Statement of Marks'!F127="","",'Statement of Marks'!F127)</f>
        <v/>
      </c>
      <c r="G123" s="388" t="str">
        <f>IF('Statement of Marks'!G127="","",'Statement of Marks'!G127)</f>
        <v/>
      </c>
      <c r="H123" s="389" t="str">
        <f>IF('Statement of Marks'!H127="","",'Statement of Marks'!H127)</f>
        <v/>
      </c>
      <c r="I123" s="389" t="str">
        <f>IF('Statement of Marks'!I127="","",'Statement of Marks'!I127)</f>
        <v/>
      </c>
      <c r="J123" s="648" t="str">
        <f>IF('Statement of Marks'!GY127="","",'Statement of Marks'!GY127)</f>
        <v/>
      </c>
      <c r="K123" s="390" t="str">
        <f>IF(B123="","",IF('Statement of Marks'!GZ127="","",'Statement of Marks'!GZ127))</f>
        <v/>
      </c>
      <c r="L123" s="391" t="str">
        <f>IF('Statement of Marks'!HC127="","",'Statement of Marks'!HC127)</f>
        <v/>
      </c>
      <c r="M123" s="390" t="str">
        <f>IF('Statement of Marks'!HB127="","",'Statement of Marks'!HB127)</f>
        <v/>
      </c>
      <c r="N123" s="392" t="str">
        <f>IF(J123="FAIL","",IF('Statement of Marks'!GU127="","",'Statement of Marks'!GU127))</f>
        <v xml:space="preserve">    </v>
      </c>
      <c r="O123" s="393" t="str">
        <f>IF('Supp. Result Entry'!AS126="","",'Supp. Result Entry'!AS126)</f>
        <v/>
      </c>
      <c r="P123" s="394" t="str">
        <f>IF('Supp. Result Entry'!AT126="","",'Supp. Result Entry'!AT126)</f>
        <v/>
      </c>
      <c r="Q123" s="395" t="str">
        <f>IF('Statement of Marks'!HG127="","",'Statement of Marks'!HG127)</f>
        <v/>
      </c>
      <c r="R123" s="396" t="str">
        <f>IF('Statement of Marks'!FH127="","",'Statement of Marks'!FH127)</f>
        <v/>
      </c>
      <c r="BL123" s="397" t="str">
        <f>'Statement of Marks'!E127</f>
        <v/>
      </c>
      <c r="BM123" s="398" t="str">
        <f t="shared" si="12"/>
        <v/>
      </c>
      <c r="BN123" s="398" t="str">
        <f t="shared" si="13"/>
        <v/>
      </c>
      <c r="BO123" s="398" t="str">
        <f t="shared" si="14"/>
        <v/>
      </c>
      <c r="BP123" s="398" t="str">
        <f t="shared" si="15"/>
        <v/>
      </c>
      <c r="BQ123" s="398" t="str">
        <f t="shared" si="16"/>
        <v/>
      </c>
      <c r="BR123" s="398" t="str">
        <f t="shared" si="17"/>
        <v/>
      </c>
      <c r="BS123" s="398" t="str">
        <f t="shared" si="18"/>
        <v/>
      </c>
      <c r="BT123" s="398" t="str">
        <f t="shared" si="19"/>
        <v/>
      </c>
      <c r="BU123" s="398" t="str">
        <f t="shared" si="20"/>
        <v/>
      </c>
      <c r="BV123" s="398" t="str">
        <f t="shared" si="21"/>
        <v/>
      </c>
      <c r="BW123" s="398" t="str">
        <f t="shared" si="22"/>
        <v/>
      </c>
      <c r="BX123" s="398" t="str">
        <f t="shared" si="23"/>
        <v/>
      </c>
      <c r="BY123" s="399"/>
    </row>
    <row r="124" spans="1:77" ht="15" customHeight="1">
      <c r="A124" s="385">
        <f>IF('Statement of Marks'!A128="","",'Statement of Marks'!A128)</f>
        <v>121</v>
      </c>
      <c r="B124" s="386" t="str">
        <f>IF('Statement of Marks'!B128="","",'Statement of Marks'!B128)</f>
        <v/>
      </c>
      <c r="C124" s="387" t="str">
        <f>IF('Statement of Marks'!C128="","",'Statement of Marks'!C128)</f>
        <v/>
      </c>
      <c r="D124" s="426" t="str">
        <f>IF('Statement of Marks'!D128="","",'Statement of Marks'!D128)</f>
        <v/>
      </c>
      <c r="E124" s="388" t="str">
        <f>IF('Statement of Marks'!E128="","",'Statement of Marks'!E128)</f>
        <v/>
      </c>
      <c r="F124" s="388" t="str">
        <f>IF('Statement of Marks'!F128="","",'Statement of Marks'!F128)</f>
        <v/>
      </c>
      <c r="G124" s="388" t="str">
        <f>IF('Statement of Marks'!G128="","",'Statement of Marks'!G128)</f>
        <v/>
      </c>
      <c r="H124" s="389" t="str">
        <f>IF('Statement of Marks'!H128="","",'Statement of Marks'!H128)</f>
        <v/>
      </c>
      <c r="I124" s="389" t="str">
        <f>IF('Statement of Marks'!I128="","",'Statement of Marks'!I128)</f>
        <v/>
      </c>
      <c r="J124" s="648" t="str">
        <f>IF('Statement of Marks'!GY128="","",'Statement of Marks'!GY128)</f>
        <v/>
      </c>
      <c r="K124" s="390" t="str">
        <f>IF(B124="","",IF('Statement of Marks'!GZ128="","",'Statement of Marks'!GZ128))</f>
        <v/>
      </c>
      <c r="L124" s="391" t="str">
        <f>IF('Statement of Marks'!HC128="","",'Statement of Marks'!HC128)</f>
        <v/>
      </c>
      <c r="M124" s="390" t="str">
        <f>IF('Statement of Marks'!HB128="","",'Statement of Marks'!HB128)</f>
        <v/>
      </c>
      <c r="N124" s="392" t="str">
        <f>IF(J124="FAIL","",IF('Statement of Marks'!GU128="","",'Statement of Marks'!GU128))</f>
        <v xml:space="preserve">    </v>
      </c>
      <c r="O124" s="393" t="str">
        <f>IF('Supp. Result Entry'!AS127="","",'Supp. Result Entry'!AS127)</f>
        <v/>
      </c>
      <c r="P124" s="394" t="str">
        <f>IF('Supp. Result Entry'!AT127="","",'Supp. Result Entry'!AT127)</f>
        <v/>
      </c>
      <c r="Q124" s="395" t="str">
        <f>IF('Statement of Marks'!HG128="","",'Statement of Marks'!HG128)</f>
        <v/>
      </c>
      <c r="R124" s="396" t="str">
        <f>IF('Statement of Marks'!FH128="","",'Statement of Marks'!FH128)</f>
        <v/>
      </c>
      <c r="BL124" s="397" t="str">
        <f>'Statement of Marks'!E128</f>
        <v/>
      </c>
      <c r="BM124" s="398" t="str">
        <f t="shared" si="12"/>
        <v/>
      </c>
      <c r="BN124" s="398" t="str">
        <f t="shared" si="13"/>
        <v/>
      </c>
      <c r="BO124" s="398" t="str">
        <f t="shared" si="14"/>
        <v/>
      </c>
      <c r="BP124" s="398" t="str">
        <f t="shared" si="15"/>
        <v/>
      </c>
      <c r="BQ124" s="398" t="str">
        <f t="shared" si="16"/>
        <v/>
      </c>
      <c r="BR124" s="398" t="str">
        <f t="shared" si="17"/>
        <v/>
      </c>
      <c r="BS124" s="398" t="str">
        <f t="shared" si="18"/>
        <v/>
      </c>
      <c r="BT124" s="398" t="str">
        <f t="shared" si="19"/>
        <v/>
      </c>
      <c r="BU124" s="398" t="str">
        <f t="shared" si="20"/>
        <v/>
      </c>
      <c r="BV124" s="398" t="str">
        <f t="shared" si="21"/>
        <v/>
      </c>
      <c r="BW124" s="398" t="str">
        <f t="shared" si="22"/>
        <v/>
      </c>
      <c r="BX124" s="398" t="str">
        <f t="shared" si="23"/>
        <v/>
      </c>
      <c r="BY124" s="399"/>
    </row>
    <row r="125" spans="1:77" ht="15" customHeight="1">
      <c r="A125" s="385">
        <f>IF('Statement of Marks'!A129="","",'Statement of Marks'!A129)</f>
        <v>122</v>
      </c>
      <c r="B125" s="386" t="str">
        <f>IF('Statement of Marks'!B129="","",'Statement of Marks'!B129)</f>
        <v/>
      </c>
      <c r="C125" s="387" t="str">
        <f>IF('Statement of Marks'!C129="","",'Statement of Marks'!C129)</f>
        <v/>
      </c>
      <c r="D125" s="426" t="str">
        <f>IF('Statement of Marks'!D129="","",'Statement of Marks'!D129)</f>
        <v/>
      </c>
      <c r="E125" s="388" t="str">
        <f>IF('Statement of Marks'!E129="","",'Statement of Marks'!E129)</f>
        <v/>
      </c>
      <c r="F125" s="388" t="str">
        <f>IF('Statement of Marks'!F129="","",'Statement of Marks'!F129)</f>
        <v/>
      </c>
      <c r="G125" s="388" t="str">
        <f>IF('Statement of Marks'!G129="","",'Statement of Marks'!G129)</f>
        <v/>
      </c>
      <c r="H125" s="389" t="str">
        <f>IF('Statement of Marks'!H129="","",'Statement of Marks'!H129)</f>
        <v/>
      </c>
      <c r="I125" s="389" t="str">
        <f>IF('Statement of Marks'!I129="","",'Statement of Marks'!I129)</f>
        <v/>
      </c>
      <c r="J125" s="648" t="str">
        <f>IF('Statement of Marks'!GY129="","",'Statement of Marks'!GY129)</f>
        <v/>
      </c>
      <c r="K125" s="390" t="str">
        <f>IF(B125="","",IF('Statement of Marks'!GZ129="","",'Statement of Marks'!GZ129))</f>
        <v/>
      </c>
      <c r="L125" s="391" t="str">
        <f>IF('Statement of Marks'!HC129="","",'Statement of Marks'!HC129)</f>
        <v/>
      </c>
      <c r="M125" s="390" t="str">
        <f>IF('Statement of Marks'!HB129="","",'Statement of Marks'!HB129)</f>
        <v/>
      </c>
      <c r="N125" s="392" t="str">
        <f>IF(J125="FAIL","",IF('Statement of Marks'!GU129="","",'Statement of Marks'!GU129))</f>
        <v xml:space="preserve">    </v>
      </c>
      <c r="O125" s="393" t="str">
        <f>IF('Supp. Result Entry'!AS128="","",'Supp. Result Entry'!AS128)</f>
        <v/>
      </c>
      <c r="P125" s="394" t="str">
        <f>IF('Supp. Result Entry'!AT128="","",'Supp. Result Entry'!AT128)</f>
        <v/>
      </c>
      <c r="Q125" s="395" t="str">
        <f>IF('Statement of Marks'!HG129="","",'Statement of Marks'!HG129)</f>
        <v/>
      </c>
      <c r="R125" s="396" t="str">
        <f>IF('Statement of Marks'!FH129="","",'Statement of Marks'!FH129)</f>
        <v/>
      </c>
      <c r="BL125" s="397" t="str">
        <f>'Statement of Marks'!E129</f>
        <v/>
      </c>
      <c r="BM125" s="398" t="str">
        <f t="shared" si="12"/>
        <v/>
      </c>
      <c r="BN125" s="398" t="str">
        <f t="shared" si="13"/>
        <v/>
      </c>
      <c r="BO125" s="398" t="str">
        <f t="shared" si="14"/>
        <v/>
      </c>
      <c r="BP125" s="398" t="str">
        <f t="shared" si="15"/>
        <v/>
      </c>
      <c r="BQ125" s="398" t="str">
        <f t="shared" si="16"/>
        <v/>
      </c>
      <c r="BR125" s="398" t="str">
        <f t="shared" si="17"/>
        <v/>
      </c>
      <c r="BS125" s="398" t="str">
        <f t="shared" si="18"/>
        <v/>
      </c>
      <c r="BT125" s="398" t="str">
        <f t="shared" si="19"/>
        <v/>
      </c>
      <c r="BU125" s="398" t="str">
        <f t="shared" si="20"/>
        <v/>
      </c>
      <c r="BV125" s="398" t="str">
        <f t="shared" si="21"/>
        <v/>
      </c>
      <c r="BW125" s="398" t="str">
        <f t="shared" si="22"/>
        <v/>
      </c>
      <c r="BX125" s="398" t="str">
        <f t="shared" si="23"/>
        <v/>
      </c>
      <c r="BY125" s="399"/>
    </row>
    <row r="126" spans="1:77" ht="15" customHeight="1">
      <c r="A126" s="385">
        <f>IF('Statement of Marks'!A130="","",'Statement of Marks'!A130)</f>
        <v>123</v>
      </c>
      <c r="B126" s="386" t="str">
        <f>IF('Statement of Marks'!B130="","",'Statement of Marks'!B130)</f>
        <v/>
      </c>
      <c r="C126" s="387" t="str">
        <f>IF('Statement of Marks'!C130="","",'Statement of Marks'!C130)</f>
        <v/>
      </c>
      <c r="D126" s="426" t="str">
        <f>IF('Statement of Marks'!D130="","",'Statement of Marks'!D130)</f>
        <v/>
      </c>
      <c r="E126" s="388" t="str">
        <f>IF('Statement of Marks'!E130="","",'Statement of Marks'!E130)</f>
        <v/>
      </c>
      <c r="F126" s="388" t="str">
        <f>IF('Statement of Marks'!F130="","",'Statement of Marks'!F130)</f>
        <v/>
      </c>
      <c r="G126" s="388" t="str">
        <f>IF('Statement of Marks'!G130="","",'Statement of Marks'!G130)</f>
        <v/>
      </c>
      <c r="H126" s="389" t="str">
        <f>IF('Statement of Marks'!H130="","",'Statement of Marks'!H130)</f>
        <v/>
      </c>
      <c r="I126" s="389" t="str">
        <f>IF('Statement of Marks'!I130="","",'Statement of Marks'!I130)</f>
        <v/>
      </c>
      <c r="J126" s="648" t="str">
        <f>IF('Statement of Marks'!GY130="","",'Statement of Marks'!GY130)</f>
        <v/>
      </c>
      <c r="K126" s="390" t="str">
        <f>IF(B126="","",IF('Statement of Marks'!GZ130="","",'Statement of Marks'!GZ130))</f>
        <v/>
      </c>
      <c r="L126" s="391" t="str">
        <f>IF('Statement of Marks'!HC130="","",'Statement of Marks'!HC130)</f>
        <v/>
      </c>
      <c r="M126" s="390" t="str">
        <f>IF('Statement of Marks'!HB130="","",'Statement of Marks'!HB130)</f>
        <v/>
      </c>
      <c r="N126" s="392" t="str">
        <f>IF(J126="FAIL","",IF('Statement of Marks'!GU130="","",'Statement of Marks'!GU130))</f>
        <v xml:space="preserve">    </v>
      </c>
      <c r="O126" s="393" t="str">
        <f>IF('Supp. Result Entry'!AS129="","",'Supp. Result Entry'!AS129)</f>
        <v/>
      </c>
      <c r="P126" s="394" t="str">
        <f>IF('Supp. Result Entry'!AT129="","",'Supp. Result Entry'!AT129)</f>
        <v/>
      </c>
      <c r="Q126" s="395" t="str">
        <f>IF('Statement of Marks'!HG130="","",'Statement of Marks'!HG130)</f>
        <v/>
      </c>
      <c r="R126" s="396" t="str">
        <f>IF('Statement of Marks'!FH130="","",'Statement of Marks'!FH130)</f>
        <v/>
      </c>
      <c r="BL126" s="397" t="str">
        <f>'Statement of Marks'!E130</f>
        <v/>
      </c>
      <c r="BM126" s="398" t="str">
        <f t="shared" si="12"/>
        <v/>
      </c>
      <c r="BN126" s="398" t="str">
        <f t="shared" si="13"/>
        <v/>
      </c>
      <c r="BO126" s="398" t="str">
        <f t="shared" si="14"/>
        <v/>
      </c>
      <c r="BP126" s="398" t="str">
        <f t="shared" si="15"/>
        <v/>
      </c>
      <c r="BQ126" s="398" t="str">
        <f t="shared" si="16"/>
        <v/>
      </c>
      <c r="BR126" s="398" t="str">
        <f t="shared" si="17"/>
        <v/>
      </c>
      <c r="BS126" s="398" t="str">
        <f t="shared" si="18"/>
        <v/>
      </c>
      <c r="BT126" s="398" t="str">
        <f t="shared" si="19"/>
        <v/>
      </c>
      <c r="BU126" s="398" t="str">
        <f t="shared" si="20"/>
        <v/>
      </c>
      <c r="BV126" s="398" t="str">
        <f t="shared" si="21"/>
        <v/>
      </c>
      <c r="BW126" s="398" t="str">
        <f t="shared" si="22"/>
        <v/>
      </c>
      <c r="BX126" s="398" t="str">
        <f t="shared" si="23"/>
        <v/>
      </c>
      <c r="BY126" s="399"/>
    </row>
    <row r="127" spans="1:77" ht="15" customHeight="1">
      <c r="A127" s="385">
        <f>IF('Statement of Marks'!A131="","",'Statement of Marks'!A131)</f>
        <v>124</v>
      </c>
      <c r="B127" s="386" t="str">
        <f>IF('Statement of Marks'!B131="","",'Statement of Marks'!B131)</f>
        <v/>
      </c>
      <c r="C127" s="387" t="str">
        <f>IF('Statement of Marks'!C131="","",'Statement of Marks'!C131)</f>
        <v/>
      </c>
      <c r="D127" s="426" t="str">
        <f>IF('Statement of Marks'!D131="","",'Statement of Marks'!D131)</f>
        <v/>
      </c>
      <c r="E127" s="388" t="str">
        <f>IF('Statement of Marks'!E131="","",'Statement of Marks'!E131)</f>
        <v/>
      </c>
      <c r="F127" s="388" t="str">
        <f>IF('Statement of Marks'!F131="","",'Statement of Marks'!F131)</f>
        <v/>
      </c>
      <c r="G127" s="388" t="str">
        <f>IF('Statement of Marks'!G131="","",'Statement of Marks'!G131)</f>
        <v/>
      </c>
      <c r="H127" s="389" t="str">
        <f>IF('Statement of Marks'!H131="","",'Statement of Marks'!H131)</f>
        <v/>
      </c>
      <c r="I127" s="389" t="str">
        <f>IF('Statement of Marks'!I131="","",'Statement of Marks'!I131)</f>
        <v/>
      </c>
      <c r="J127" s="648" t="str">
        <f>IF('Statement of Marks'!GY131="","",'Statement of Marks'!GY131)</f>
        <v/>
      </c>
      <c r="K127" s="390" t="str">
        <f>IF(B127="","",IF('Statement of Marks'!GZ131="","",'Statement of Marks'!GZ131))</f>
        <v/>
      </c>
      <c r="L127" s="391" t="str">
        <f>IF('Statement of Marks'!HC131="","",'Statement of Marks'!HC131)</f>
        <v/>
      </c>
      <c r="M127" s="390" t="str">
        <f>IF('Statement of Marks'!HB131="","",'Statement of Marks'!HB131)</f>
        <v/>
      </c>
      <c r="N127" s="392" t="str">
        <f>IF(J127="FAIL","",IF('Statement of Marks'!GU131="","",'Statement of Marks'!GU131))</f>
        <v xml:space="preserve">    </v>
      </c>
      <c r="O127" s="393" t="str">
        <f>IF('Supp. Result Entry'!AS130="","",'Supp. Result Entry'!AS130)</f>
        <v/>
      </c>
      <c r="P127" s="394" t="str">
        <f>IF('Supp. Result Entry'!AT130="","",'Supp. Result Entry'!AT130)</f>
        <v/>
      </c>
      <c r="Q127" s="395" t="str">
        <f>IF('Statement of Marks'!HG131="","",'Statement of Marks'!HG131)</f>
        <v/>
      </c>
      <c r="R127" s="396" t="str">
        <f>IF('Statement of Marks'!FH131="","",'Statement of Marks'!FH131)</f>
        <v/>
      </c>
      <c r="BL127" s="397" t="str">
        <f>'Statement of Marks'!E131</f>
        <v/>
      </c>
      <c r="BM127" s="398" t="str">
        <f t="shared" si="12"/>
        <v/>
      </c>
      <c r="BN127" s="398" t="str">
        <f t="shared" si="13"/>
        <v/>
      </c>
      <c r="BO127" s="398" t="str">
        <f t="shared" si="14"/>
        <v/>
      </c>
      <c r="BP127" s="398" t="str">
        <f t="shared" si="15"/>
        <v/>
      </c>
      <c r="BQ127" s="398" t="str">
        <f t="shared" si="16"/>
        <v/>
      </c>
      <c r="BR127" s="398" t="str">
        <f t="shared" si="17"/>
        <v/>
      </c>
      <c r="BS127" s="398" t="str">
        <f t="shared" si="18"/>
        <v/>
      </c>
      <c r="BT127" s="398" t="str">
        <f t="shared" si="19"/>
        <v/>
      </c>
      <c r="BU127" s="398" t="str">
        <f t="shared" si="20"/>
        <v/>
      </c>
      <c r="BV127" s="398" t="str">
        <f t="shared" si="21"/>
        <v/>
      </c>
      <c r="BW127" s="398" t="str">
        <f t="shared" si="22"/>
        <v/>
      </c>
      <c r="BX127" s="398" t="str">
        <f t="shared" si="23"/>
        <v/>
      </c>
      <c r="BY127" s="399"/>
    </row>
    <row r="128" spans="1:77" ht="15" customHeight="1">
      <c r="A128" s="385">
        <f>IF('Statement of Marks'!A132="","",'Statement of Marks'!A132)</f>
        <v>125</v>
      </c>
      <c r="B128" s="386" t="str">
        <f>IF('Statement of Marks'!B132="","",'Statement of Marks'!B132)</f>
        <v/>
      </c>
      <c r="C128" s="387" t="str">
        <f>IF('Statement of Marks'!C132="","",'Statement of Marks'!C132)</f>
        <v/>
      </c>
      <c r="D128" s="426" t="str">
        <f>IF('Statement of Marks'!D132="","",'Statement of Marks'!D132)</f>
        <v/>
      </c>
      <c r="E128" s="388" t="str">
        <f>IF('Statement of Marks'!E132="","",'Statement of Marks'!E132)</f>
        <v/>
      </c>
      <c r="F128" s="388" t="str">
        <f>IF('Statement of Marks'!F132="","",'Statement of Marks'!F132)</f>
        <v/>
      </c>
      <c r="G128" s="388" t="str">
        <f>IF('Statement of Marks'!G132="","",'Statement of Marks'!G132)</f>
        <v/>
      </c>
      <c r="H128" s="389" t="str">
        <f>IF('Statement of Marks'!H132="","",'Statement of Marks'!H132)</f>
        <v/>
      </c>
      <c r="I128" s="389" t="str">
        <f>IF('Statement of Marks'!I132="","",'Statement of Marks'!I132)</f>
        <v/>
      </c>
      <c r="J128" s="648" t="str">
        <f>IF('Statement of Marks'!GY132="","",'Statement of Marks'!GY132)</f>
        <v/>
      </c>
      <c r="K128" s="390" t="str">
        <f>IF(B128="","",IF('Statement of Marks'!GZ132="","",'Statement of Marks'!GZ132))</f>
        <v/>
      </c>
      <c r="L128" s="391" t="str">
        <f>IF('Statement of Marks'!HC132="","",'Statement of Marks'!HC132)</f>
        <v/>
      </c>
      <c r="M128" s="390" t="str">
        <f>IF('Statement of Marks'!HB132="","",'Statement of Marks'!HB132)</f>
        <v/>
      </c>
      <c r="N128" s="392" t="str">
        <f>IF(J128="FAIL","",IF('Statement of Marks'!GU132="","",'Statement of Marks'!GU132))</f>
        <v xml:space="preserve">    </v>
      </c>
      <c r="O128" s="393" t="str">
        <f>IF('Supp. Result Entry'!AS131="","",'Supp. Result Entry'!AS131)</f>
        <v/>
      </c>
      <c r="P128" s="394" t="str">
        <f>IF('Supp. Result Entry'!AT131="","",'Supp. Result Entry'!AT131)</f>
        <v/>
      </c>
      <c r="Q128" s="395" t="str">
        <f>IF('Statement of Marks'!HG132="","",'Statement of Marks'!HG132)</f>
        <v/>
      </c>
      <c r="R128" s="396" t="str">
        <f>IF('Statement of Marks'!FH132="","",'Statement of Marks'!FH132)</f>
        <v/>
      </c>
      <c r="BL128" s="397" t="str">
        <f>'Statement of Marks'!E132</f>
        <v/>
      </c>
      <c r="BM128" s="398" t="str">
        <f t="shared" si="12"/>
        <v/>
      </c>
      <c r="BN128" s="398" t="str">
        <f t="shared" si="13"/>
        <v/>
      </c>
      <c r="BO128" s="398" t="str">
        <f t="shared" si="14"/>
        <v/>
      </c>
      <c r="BP128" s="398" t="str">
        <f t="shared" si="15"/>
        <v/>
      </c>
      <c r="BQ128" s="398" t="str">
        <f t="shared" si="16"/>
        <v/>
      </c>
      <c r="BR128" s="398" t="str">
        <f t="shared" si="17"/>
        <v/>
      </c>
      <c r="BS128" s="398" t="str">
        <f t="shared" si="18"/>
        <v/>
      </c>
      <c r="BT128" s="398" t="str">
        <f t="shared" si="19"/>
        <v/>
      </c>
      <c r="BU128" s="398" t="str">
        <f t="shared" si="20"/>
        <v/>
      </c>
      <c r="BV128" s="398" t="str">
        <f t="shared" si="21"/>
        <v/>
      </c>
      <c r="BW128" s="398" t="str">
        <f t="shared" si="22"/>
        <v/>
      </c>
      <c r="BX128" s="398" t="str">
        <f t="shared" si="23"/>
        <v/>
      </c>
      <c r="BY128" s="399"/>
    </row>
    <row r="129" spans="1:77" ht="15" customHeight="1">
      <c r="A129" s="385">
        <f>IF('Statement of Marks'!A133="","",'Statement of Marks'!A133)</f>
        <v>126</v>
      </c>
      <c r="B129" s="386" t="str">
        <f>IF('Statement of Marks'!B133="","",'Statement of Marks'!B133)</f>
        <v/>
      </c>
      <c r="C129" s="387" t="str">
        <f>IF('Statement of Marks'!C133="","",'Statement of Marks'!C133)</f>
        <v/>
      </c>
      <c r="D129" s="426" t="str">
        <f>IF('Statement of Marks'!D133="","",'Statement of Marks'!D133)</f>
        <v/>
      </c>
      <c r="E129" s="388" t="str">
        <f>IF('Statement of Marks'!E133="","",'Statement of Marks'!E133)</f>
        <v/>
      </c>
      <c r="F129" s="388" t="str">
        <f>IF('Statement of Marks'!F133="","",'Statement of Marks'!F133)</f>
        <v/>
      </c>
      <c r="G129" s="388" t="str">
        <f>IF('Statement of Marks'!G133="","",'Statement of Marks'!G133)</f>
        <v/>
      </c>
      <c r="H129" s="389" t="str">
        <f>IF('Statement of Marks'!H133="","",'Statement of Marks'!H133)</f>
        <v/>
      </c>
      <c r="I129" s="389" t="str">
        <f>IF('Statement of Marks'!I133="","",'Statement of Marks'!I133)</f>
        <v/>
      </c>
      <c r="J129" s="648" t="str">
        <f>IF('Statement of Marks'!GY133="","",'Statement of Marks'!GY133)</f>
        <v/>
      </c>
      <c r="K129" s="390" t="str">
        <f>IF(B129="","",IF('Statement of Marks'!GZ133="","",'Statement of Marks'!GZ133))</f>
        <v/>
      </c>
      <c r="L129" s="391" t="str">
        <f>IF('Statement of Marks'!HC133="","",'Statement of Marks'!HC133)</f>
        <v/>
      </c>
      <c r="M129" s="390" t="str">
        <f>IF('Statement of Marks'!HB133="","",'Statement of Marks'!HB133)</f>
        <v/>
      </c>
      <c r="N129" s="392" t="str">
        <f>IF(J129="FAIL","",IF('Statement of Marks'!GU133="","",'Statement of Marks'!GU133))</f>
        <v xml:space="preserve">    </v>
      </c>
      <c r="O129" s="393" t="str">
        <f>IF('Supp. Result Entry'!AS132="","",'Supp. Result Entry'!AS132)</f>
        <v/>
      </c>
      <c r="P129" s="394" t="str">
        <f>IF('Supp. Result Entry'!AT132="","",'Supp. Result Entry'!AT132)</f>
        <v/>
      </c>
      <c r="Q129" s="395" t="str">
        <f>IF('Statement of Marks'!HG133="","",'Statement of Marks'!HG133)</f>
        <v/>
      </c>
      <c r="R129" s="396" t="str">
        <f>IF('Statement of Marks'!FH133="","",'Statement of Marks'!FH133)</f>
        <v/>
      </c>
      <c r="BL129" s="397" t="str">
        <f>'Statement of Marks'!E133</f>
        <v/>
      </c>
      <c r="BM129" s="398" t="str">
        <f t="shared" si="12"/>
        <v/>
      </c>
      <c r="BN129" s="398" t="str">
        <f t="shared" si="13"/>
        <v/>
      </c>
      <c r="BO129" s="398" t="str">
        <f t="shared" si="14"/>
        <v/>
      </c>
      <c r="BP129" s="398" t="str">
        <f t="shared" si="15"/>
        <v/>
      </c>
      <c r="BQ129" s="398" t="str">
        <f t="shared" si="16"/>
        <v/>
      </c>
      <c r="BR129" s="398" t="str">
        <f t="shared" si="17"/>
        <v/>
      </c>
      <c r="BS129" s="398" t="str">
        <f t="shared" si="18"/>
        <v/>
      </c>
      <c r="BT129" s="398" t="str">
        <f t="shared" si="19"/>
        <v/>
      </c>
      <c r="BU129" s="398" t="str">
        <f t="shared" si="20"/>
        <v/>
      </c>
      <c r="BV129" s="398" t="str">
        <f t="shared" si="21"/>
        <v/>
      </c>
      <c r="BW129" s="398" t="str">
        <f t="shared" si="22"/>
        <v/>
      </c>
      <c r="BX129" s="398" t="str">
        <f t="shared" si="23"/>
        <v/>
      </c>
      <c r="BY129" s="399"/>
    </row>
    <row r="130" spans="1:77" ht="15" customHeight="1">
      <c r="A130" s="385">
        <f>IF('Statement of Marks'!A134="","",'Statement of Marks'!A134)</f>
        <v>127</v>
      </c>
      <c r="B130" s="386" t="str">
        <f>IF('Statement of Marks'!B134="","",'Statement of Marks'!B134)</f>
        <v/>
      </c>
      <c r="C130" s="387" t="str">
        <f>IF('Statement of Marks'!C134="","",'Statement of Marks'!C134)</f>
        <v/>
      </c>
      <c r="D130" s="426" t="str">
        <f>IF('Statement of Marks'!D134="","",'Statement of Marks'!D134)</f>
        <v/>
      </c>
      <c r="E130" s="388" t="str">
        <f>IF('Statement of Marks'!E134="","",'Statement of Marks'!E134)</f>
        <v/>
      </c>
      <c r="F130" s="388" t="str">
        <f>IF('Statement of Marks'!F134="","",'Statement of Marks'!F134)</f>
        <v/>
      </c>
      <c r="G130" s="388" t="str">
        <f>IF('Statement of Marks'!G134="","",'Statement of Marks'!G134)</f>
        <v/>
      </c>
      <c r="H130" s="389" t="str">
        <f>IF('Statement of Marks'!H134="","",'Statement of Marks'!H134)</f>
        <v/>
      </c>
      <c r="I130" s="389" t="str">
        <f>IF('Statement of Marks'!I134="","",'Statement of Marks'!I134)</f>
        <v/>
      </c>
      <c r="J130" s="648" t="str">
        <f>IF('Statement of Marks'!GY134="","",'Statement of Marks'!GY134)</f>
        <v/>
      </c>
      <c r="K130" s="390" t="str">
        <f>IF(B130="","",IF('Statement of Marks'!GZ134="","",'Statement of Marks'!GZ134))</f>
        <v/>
      </c>
      <c r="L130" s="391" t="str">
        <f>IF('Statement of Marks'!HC134="","",'Statement of Marks'!HC134)</f>
        <v/>
      </c>
      <c r="M130" s="390" t="str">
        <f>IF('Statement of Marks'!HB134="","",'Statement of Marks'!HB134)</f>
        <v/>
      </c>
      <c r="N130" s="392" t="str">
        <f>IF(J130="FAIL","",IF('Statement of Marks'!GU134="","",'Statement of Marks'!GU134))</f>
        <v xml:space="preserve">    </v>
      </c>
      <c r="O130" s="393" t="str">
        <f>IF('Supp. Result Entry'!AS133="","",'Supp. Result Entry'!AS133)</f>
        <v/>
      </c>
      <c r="P130" s="394" t="str">
        <f>IF('Supp. Result Entry'!AT133="","",'Supp. Result Entry'!AT133)</f>
        <v/>
      </c>
      <c r="Q130" s="395" t="str">
        <f>IF('Statement of Marks'!HG134="","",'Statement of Marks'!HG134)</f>
        <v/>
      </c>
      <c r="R130" s="396" t="str">
        <f>IF('Statement of Marks'!FH134="","",'Statement of Marks'!FH134)</f>
        <v/>
      </c>
      <c r="BL130" s="397" t="str">
        <f>'Statement of Marks'!E134</f>
        <v/>
      </c>
      <c r="BM130" s="398" t="str">
        <f t="shared" si="12"/>
        <v/>
      </c>
      <c r="BN130" s="398" t="str">
        <f t="shared" si="13"/>
        <v/>
      </c>
      <c r="BO130" s="398" t="str">
        <f t="shared" si="14"/>
        <v/>
      </c>
      <c r="BP130" s="398" t="str">
        <f t="shared" si="15"/>
        <v/>
      </c>
      <c r="BQ130" s="398" t="str">
        <f t="shared" si="16"/>
        <v/>
      </c>
      <c r="BR130" s="398" t="str">
        <f t="shared" si="17"/>
        <v/>
      </c>
      <c r="BS130" s="398" t="str">
        <f t="shared" si="18"/>
        <v/>
      </c>
      <c r="BT130" s="398" t="str">
        <f t="shared" si="19"/>
        <v/>
      </c>
      <c r="BU130" s="398" t="str">
        <f t="shared" si="20"/>
        <v/>
      </c>
      <c r="BV130" s="398" t="str">
        <f t="shared" si="21"/>
        <v/>
      </c>
      <c r="BW130" s="398" t="str">
        <f t="shared" si="22"/>
        <v/>
      </c>
      <c r="BX130" s="398" t="str">
        <f t="shared" si="23"/>
        <v/>
      </c>
      <c r="BY130" s="399"/>
    </row>
    <row r="131" spans="1:77" ht="15" customHeight="1">
      <c r="A131" s="385">
        <f>IF('Statement of Marks'!A135="","",'Statement of Marks'!A135)</f>
        <v>128</v>
      </c>
      <c r="B131" s="386" t="str">
        <f>IF('Statement of Marks'!B135="","",'Statement of Marks'!B135)</f>
        <v/>
      </c>
      <c r="C131" s="387" t="str">
        <f>IF('Statement of Marks'!C135="","",'Statement of Marks'!C135)</f>
        <v/>
      </c>
      <c r="D131" s="426" t="str">
        <f>IF('Statement of Marks'!D135="","",'Statement of Marks'!D135)</f>
        <v/>
      </c>
      <c r="E131" s="388" t="str">
        <f>IF('Statement of Marks'!E135="","",'Statement of Marks'!E135)</f>
        <v/>
      </c>
      <c r="F131" s="388" t="str">
        <f>IF('Statement of Marks'!F135="","",'Statement of Marks'!F135)</f>
        <v/>
      </c>
      <c r="G131" s="388" t="str">
        <f>IF('Statement of Marks'!G135="","",'Statement of Marks'!G135)</f>
        <v/>
      </c>
      <c r="H131" s="389" t="str">
        <f>IF('Statement of Marks'!H135="","",'Statement of Marks'!H135)</f>
        <v/>
      </c>
      <c r="I131" s="389" t="str">
        <f>IF('Statement of Marks'!I135="","",'Statement of Marks'!I135)</f>
        <v/>
      </c>
      <c r="J131" s="648" t="str">
        <f>IF('Statement of Marks'!GY135="","",'Statement of Marks'!GY135)</f>
        <v/>
      </c>
      <c r="K131" s="390" t="str">
        <f>IF(B131="","",IF('Statement of Marks'!GZ135="","",'Statement of Marks'!GZ135))</f>
        <v/>
      </c>
      <c r="L131" s="391" t="str">
        <f>IF('Statement of Marks'!HC135="","",'Statement of Marks'!HC135)</f>
        <v/>
      </c>
      <c r="M131" s="390" t="str">
        <f>IF('Statement of Marks'!HB135="","",'Statement of Marks'!HB135)</f>
        <v/>
      </c>
      <c r="N131" s="392" t="str">
        <f>IF(J131="FAIL","",IF('Statement of Marks'!GU135="","",'Statement of Marks'!GU135))</f>
        <v xml:space="preserve">    </v>
      </c>
      <c r="O131" s="393" t="str">
        <f>IF('Supp. Result Entry'!AS134="","",'Supp. Result Entry'!AS134)</f>
        <v/>
      </c>
      <c r="P131" s="394" t="str">
        <f>IF('Supp. Result Entry'!AT134="","",'Supp. Result Entry'!AT134)</f>
        <v/>
      </c>
      <c r="Q131" s="395" t="str">
        <f>IF('Statement of Marks'!HG135="","",'Statement of Marks'!HG135)</f>
        <v/>
      </c>
      <c r="R131" s="396" t="str">
        <f>IF('Statement of Marks'!FH135="","",'Statement of Marks'!FH135)</f>
        <v/>
      </c>
      <c r="BL131" s="397" t="str">
        <f>'Statement of Marks'!E135</f>
        <v/>
      </c>
      <c r="BM131" s="398" t="str">
        <f t="shared" si="12"/>
        <v/>
      </c>
      <c r="BN131" s="398" t="str">
        <f t="shared" si="13"/>
        <v/>
      </c>
      <c r="BO131" s="398" t="str">
        <f t="shared" si="14"/>
        <v/>
      </c>
      <c r="BP131" s="398" t="str">
        <f t="shared" si="15"/>
        <v/>
      </c>
      <c r="BQ131" s="398" t="str">
        <f t="shared" si="16"/>
        <v/>
      </c>
      <c r="BR131" s="398" t="str">
        <f t="shared" si="17"/>
        <v/>
      </c>
      <c r="BS131" s="398" t="str">
        <f t="shared" si="18"/>
        <v/>
      </c>
      <c r="BT131" s="398" t="str">
        <f t="shared" si="19"/>
        <v/>
      </c>
      <c r="BU131" s="398" t="str">
        <f t="shared" si="20"/>
        <v/>
      </c>
      <c r="BV131" s="398" t="str">
        <f t="shared" si="21"/>
        <v/>
      </c>
      <c r="BW131" s="398" t="str">
        <f t="shared" si="22"/>
        <v/>
      </c>
      <c r="BX131" s="398" t="str">
        <f t="shared" si="23"/>
        <v/>
      </c>
      <c r="BY131" s="399"/>
    </row>
    <row r="132" spans="1:77" ht="15" customHeight="1">
      <c r="A132" s="385">
        <f>IF('Statement of Marks'!A136="","",'Statement of Marks'!A136)</f>
        <v>129</v>
      </c>
      <c r="B132" s="386" t="str">
        <f>IF('Statement of Marks'!B136="","",'Statement of Marks'!B136)</f>
        <v/>
      </c>
      <c r="C132" s="387" t="str">
        <f>IF('Statement of Marks'!C136="","",'Statement of Marks'!C136)</f>
        <v/>
      </c>
      <c r="D132" s="426" t="str">
        <f>IF('Statement of Marks'!D136="","",'Statement of Marks'!D136)</f>
        <v/>
      </c>
      <c r="E132" s="388" t="str">
        <f>IF('Statement of Marks'!E136="","",'Statement of Marks'!E136)</f>
        <v/>
      </c>
      <c r="F132" s="388" t="str">
        <f>IF('Statement of Marks'!F136="","",'Statement of Marks'!F136)</f>
        <v/>
      </c>
      <c r="G132" s="388" t="str">
        <f>IF('Statement of Marks'!G136="","",'Statement of Marks'!G136)</f>
        <v/>
      </c>
      <c r="H132" s="389" t="str">
        <f>IF('Statement of Marks'!H136="","",'Statement of Marks'!H136)</f>
        <v/>
      </c>
      <c r="I132" s="389" t="str">
        <f>IF('Statement of Marks'!I136="","",'Statement of Marks'!I136)</f>
        <v/>
      </c>
      <c r="J132" s="648" t="str">
        <f>IF('Statement of Marks'!GY136="","",'Statement of Marks'!GY136)</f>
        <v/>
      </c>
      <c r="K132" s="390" t="str">
        <f>IF(B132="","",IF('Statement of Marks'!GZ136="","",'Statement of Marks'!GZ136))</f>
        <v/>
      </c>
      <c r="L132" s="391" t="str">
        <f>IF('Statement of Marks'!HC136="","",'Statement of Marks'!HC136)</f>
        <v/>
      </c>
      <c r="M132" s="390" t="str">
        <f>IF('Statement of Marks'!HB136="","",'Statement of Marks'!HB136)</f>
        <v/>
      </c>
      <c r="N132" s="392" t="str">
        <f>IF(J132="FAIL","",IF('Statement of Marks'!GU136="","",'Statement of Marks'!GU136))</f>
        <v xml:space="preserve">    </v>
      </c>
      <c r="O132" s="393" t="str">
        <f>IF('Supp. Result Entry'!AS135="","",'Supp. Result Entry'!AS135)</f>
        <v/>
      </c>
      <c r="P132" s="394" t="str">
        <f>IF('Supp. Result Entry'!AT135="","",'Supp. Result Entry'!AT135)</f>
        <v/>
      </c>
      <c r="Q132" s="395" t="str">
        <f>IF('Statement of Marks'!HG136="","",'Statement of Marks'!HG136)</f>
        <v/>
      </c>
      <c r="R132" s="396" t="str">
        <f>IF('Statement of Marks'!FH136="","",'Statement of Marks'!FH136)</f>
        <v/>
      </c>
      <c r="BL132" s="397" t="str">
        <f>'Statement of Marks'!E136</f>
        <v/>
      </c>
      <c r="BM132" s="398" t="str">
        <f t="shared" si="12"/>
        <v/>
      </c>
      <c r="BN132" s="398" t="str">
        <f t="shared" si="13"/>
        <v/>
      </c>
      <c r="BO132" s="398" t="str">
        <f t="shared" si="14"/>
        <v/>
      </c>
      <c r="BP132" s="398" t="str">
        <f t="shared" si="15"/>
        <v/>
      </c>
      <c r="BQ132" s="398" t="str">
        <f t="shared" si="16"/>
        <v/>
      </c>
      <c r="BR132" s="398" t="str">
        <f t="shared" si="17"/>
        <v/>
      </c>
      <c r="BS132" s="398" t="str">
        <f t="shared" si="18"/>
        <v/>
      </c>
      <c r="BT132" s="398" t="str">
        <f t="shared" si="19"/>
        <v/>
      </c>
      <c r="BU132" s="398" t="str">
        <f t="shared" si="20"/>
        <v/>
      </c>
      <c r="BV132" s="398" t="str">
        <f t="shared" si="21"/>
        <v/>
      </c>
      <c r="BW132" s="398" t="str">
        <f t="shared" si="22"/>
        <v/>
      </c>
      <c r="BX132" s="398" t="str">
        <f t="shared" si="23"/>
        <v/>
      </c>
      <c r="BY132" s="399"/>
    </row>
    <row r="133" spans="1:77" ht="15" customHeight="1">
      <c r="A133" s="385">
        <f>IF('Statement of Marks'!A137="","",'Statement of Marks'!A137)</f>
        <v>130</v>
      </c>
      <c r="B133" s="386" t="str">
        <f>IF('Statement of Marks'!B137="","",'Statement of Marks'!B137)</f>
        <v/>
      </c>
      <c r="C133" s="387" t="str">
        <f>IF('Statement of Marks'!C137="","",'Statement of Marks'!C137)</f>
        <v/>
      </c>
      <c r="D133" s="426" t="str">
        <f>IF('Statement of Marks'!D137="","",'Statement of Marks'!D137)</f>
        <v/>
      </c>
      <c r="E133" s="388" t="str">
        <f>IF('Statement of Marks'!E137="","",'Statement of Marks'!E137)</f>
        <v/>
      </c>
      <c r="F133" s="388" t="str">
        <f>IF('Statement of Marks'!F137="","",'Statement of Marks'!F137)</f>
        <v/>
      </c>
      <c r="G133" s="388" t="str">
        <f>IF('Statement of Marks'!G137="","",'Statement of Marks'!G137)</f>
        <v/>
      </c>
      <c r="H133" s="389" t="str">
        <f>IF('Statement of Marks'!H137="","",'Statement of Marks'!H137)</f>
        <v/>
      </c>
      <c r="I133" s="389" t="str">
        <f>IF('Statement of Marks'!I137="","",'Statement of Marks'!I137)</f>
        <v/>
      </c>
      <c r="J133" s="648" t="str">
        <f>IF('Statement of Marks'!GY137="","",'Statement of Marks'!GY137)</f>
        <v/>
      </c>
      <c r="K133" s="390" t="str">
        <f>IF(B133="","",IF('Statement of Marks'!GZ137="","",'Statement of Marks'!GZ137))</f>
        <v/>
      </c>
      <c r="L133" s="391" t="str">
        <f>IF('Statement of Marks'!HC137="","",'Statement of Marks'!HC137)</f>
        <v/>
      </c>
      <c r="M133" s="390" t="str">
        <f>IF('Statement of Marks'!HB137="","",'Statement of Marks'!HB137)</f>
        <v/>
      </c>
      <c r="N133" s="392" t="str">
        <f>IF(J133="FAIL","",IF('Statement of Marks'!GU137="","",'Statement of Marks'!GU137))</f>
        <v xml:space="preserve">    </v>
      </c>
      <c r="O133" s="393" t="str">
        <f>IF('Supp. Result Entry'!AS136="","",'Supp. Result Entry'!AS136)</f>
        <v/>
      </c>
      <c r="P133" s="394" t="str">
        <f>IF('Supp. Result Entry'!AT136="","",'Supp. Result Entry'!AT136)</f>
        <v/>
      </c>
      <c r="Q133" s="395" t="str">
        <f>IF('Statement of Marks'!HG137="","",'Statement of Marks'!HG137)</f>
        <v/>
      </c>
      <c r="R133" s="396" t="str">
        <f>IF('Statement of Marks'!FH137="","",'Statement of Marks'!FH137)</f>
        <v/>
      </c>
      <c r="BL133" s="397" t="str">
        <f>'Statement of Marks'!E137</f>
        <v/>
      </c>
      <c r="BM133" s="398" t="str">
        <f t="shared" ref="BM133:BM196" si="24">IFERROR(IF(AND(M133="",Q133="",H133="SC",I133="M"),J133,IF(AND(M133="",H133="SC",I133="M"),Q133,IF(AND(Q133="",H133="SC",I133="M"),M133,""))),"")</f>
        <v/>
      </c>
      <c r="BN133" s="398" t="str">
        <f t="shared" ref="BN133:BN196" si="25">IFERROR(IF(AND(M133="",Q133="",H133="SC",I133="F"),J133,IF(AND(M133="",H133="SC",I133="F"),Q133,IF(AND(Q133="",H133="SC",I133="F"),M133,""))),"")</f>
        <v/>
      </c>
      <c r="BO133" s="398" t="str">
        <f t="shared" ref="BO133:BO196" si="26">IFERROR(IF(AND(M133="",Q133="",H133="ST",I133="M"),J133,IF(AND(M133="",H133="ST",I133="M"),Q133,IF(AND(Q133="",H133="ST",I133="M"),M133,""))),"")</f>
        <v/>
      </c>
      <c r="BP133" s="398" t="str">
        <f t="shared" ref="BP133:BP196" si="27">IFERROR(IF(AND(M133="",Q133="",H133="ST",I133="F"),J133,IF(AND(M133="",H133="ST",I133="F"),Q133,IF(AND(Q133="",H133="ST",I133="F"),M133,""))),"")</f>
        <v/>
      </c>
      <c r="BQ133" s="398" t="str">
        <f t="shared" ref="BQ133:BQ196" si="28">IFERROR(IF(AND(M133="",Q133="",H133="OBC",I133="M"),J133,IF(AND(M133="",H133="OBC",I133="M"),Q133,IF(AND(Q133="",H133="OBC",I133="M"),M133,""))),"")</f>
        <v/>
      </c>
      <c r="BR133" s="398" t="str">
        <f t="shared" ref="BR133:BR196" si="29">IFERROR(IF(AND(M133="",Q133="",H133="OBC",I133="F"),J133,IF(AND(M133="",H133="OBC",I133="F"),Q133,IF(AND(Q133="",H133="OBC",I133="F"),M133,""))),"")</f>
        <v/>
      </c>
      <c r="BS133" s="398" t="str">
        <f t="shared" ref="BS133:BS196" si="30">IFERROR(IF(AND(M133="",Q133="",H133="GEN",I133="M"),J133,IF(AND(M133="",H133="GEN",I133="M"),Q133,IF(AND(Q133="",H133="GEN",I133="M"),M133,""))),"")</f>
        <v/>
      </c>
      <c r="BT133" s="398" t="str">
        <f t="shared" ref="BT133:BT196" si="31">IFERROR(IF(AND(M133="",Q133="",H133="GEN",I133="F"),J133,IF(AND(M133="",H133="GEN",I133="F"),Q133,IF(AND(Q133="",H133="GEN",I133="F"),M133,""))),"")</f>
        <v/>
      </c>
      <c r="BU133" s="398" t="str">
        <f t="shared" ref="BU133:BU196" si="32">IFERROR(IF(AND(M133="",Q133="",H133="MIN",I133="M"),J133,IF(AND(M133="",H133="MIN",I133="M"),Q133,IF(AND(Q133="",H133="MIN",I133="M"),M133,""))),"")</f>
        <v/>
      </c>
      <c r="BV133" s="398" t="str">
        <f t="shared" ref="BV133:BV196" si="33">IFERROR(IF(AND(M133="",Q133="",H133="MIN",I133="F"),J133,IF(AND(M133="",H133="MIN",I133="F"),Q133,IF(AND(Q133="",H133="MIN",I133="F"),M133,""))),"")</f>
        <v/>
      </c>
      <c r="BW133" s="398" t="str">
        <f t="shared" ref="BW133:BW196" si="34">IFERROR(IF(AND(M133="",Q133="",H133="SBC",I133="M"),J133,IF(AND(M133="",H133="SBC",I133="M"),Q133,IF(AND(Q133="",H133="SBC",I133="M"),M133,""))),"")</f>
        <v/>
      </c>
      <c r="BX133" s="398" t="str">
        <f t="shared" ref="BX133:BX196" si="35">IFERROR(IF(AND(M133="",Q133="",H133="SBC",I133="F"),J133,IF(AND(M133="",H133="SBC",I133="F"),Q133,IF(AND(Q133="",H133="SBC",I133="F"),M133,""))),"")</f>
        <v/>
      </c>
      <c r="BY133" s="399"/>
    </row>
    <row r="134" spans="1:77" ht="15" customHeight="1">
      <c r="A134" s="385">
        <f>IF('Statement of Marks'!A138="","",'Statement of Marks'!A138)</f>
        <v>131</v>
      </c>
      <c r="B134" s="386" t="str">
        <f>IF('Statement of Marks'!B138="","",'Statement of Marks'!B138)</f>
        <v/>
      </c>
      <c r="C134" s="387" t="str">
        <f>IF('Statement of Marks'!C138="","",'Statement of Marks'!C138)</f>
        <v/>
      </c>
      <c r="D134" s="426" t="str">
        <f>IF('Statement of Marks'!D138="","",'Statement of Marks'!D138)</f>
        <v/>
      </c>
      <c r="E134" s="388" t="str">
        <f>IF('Statement of Marks'!E138="","",'Statement of Marks'!E138)</f>
        <v/>
      </c>
      <c r="F134" s="388" t="str">
        <f>IF('Statement of Marks'!F138="","",'Statement of Marks'!F138)</f>
        <v/>
      </c>
      <c r="G134" s="388" t="str">
        <f>IF('Statement of Marks'!G138="","",'Statement of Marks'!G138)</f>
        <v/>
      </c>
      <c r="H134" s="389" t="str">
        <f>IF('Statement of Marks'!H138="","",'Statement of Marks'!H138)</f>
        <v/>
      </c>
      <c r="I134" s="389" t="str">
        <f>IF('Statement of Marks'!I138="","",'Statement of Marks'!I138)</f>
        <v/>
      </c>
      <c r="J134" s="648" t="str">
        <f>IF('Statement of Marks'!GY138="","",'Statement of Marks'!GY138)</f>
        <v/>
      </c>
      <c r="K134" s="390" t="str">
        <f>IF(B134="","",IF('Statement of Marks'!GZ138="","",'Statement of Marks'!GZ138))</f>
        <v/>
      </c>
      <c r="L134" s="391" t="str">
        <f>IF('Statement of Marks'!HC138="","",'Statement of Marks'!HC138)</f>
        <v/>
      </c>
      <c r="M134" s="390" t="str">
        <f>IF('Statement of Marks'!HB138="","",'Statement of Marks'!HB138)</f>
        <v/>
      </c>
      <c r="N134" s="392" t="str">
        <f>IF(J134="FAIL","",IF('Statement of Marks'!GU138="","",'Statement of Marks'!GU138))</f>
        <v xml:space="preserve">    </v>
      </c>
      <c r="O134" s="393" t="str">
        <f>IF('Supp. Result Entry'!AS137="","",'Supp. Result Entry'!AS137)</f>
        <v/>
      </c>
      <c r="P134" s="394" t="str">
        <f>IF('Supp. Result Entry'!AT137="","",'Supp. Result Entry'!AT137)</f>
        <v/>
      </c>
      <c r="Q134" s="395" t="str">
        <f>IF('Statement of Marks'!HG138="","",'Statement of Marks'!HG138)</f>
        <v/>
      </c>
      <c r="R134" s="396" t="str">
        <f>IF('Statement of Marks'!FH138="","",'Statement of Marks'!FH138)</f>
        <v/>
      </c>
      <c r="BL134" s="397" t="str">
        <f>'Statement of Marks'!E138</f>
        <v/>
      </c>
      <c r="BM134" s="398" t="str">
        <f t="shared" si="24"/>
        <v/>
      </c>
      <c r="BN134" s="398" t="str">
        <f t="shared" si="25"/>
        <v/>
      </c>
      <c r="BO134" s="398" t="str">
        <f t="shared" si="26"/>
        <v/>
      </c>
      <c r="BP134" s="398" t="str">
        <f t="shared" si="27"/>
        <v/>
      </c>
      <c r="BQ134" s="398" t="str">
        <f t="shared" si="28"/>
        <v/>
      </c>
      <c r="BR134" s="398" t="str">
        <f t="shared" si="29"/>
        <v/>
      </c>
      <c r="BS134" s="398" t="str">
        <f t="shared" si="30"/>
        <v/>
      </c>
      <c r="BT134" s="398" t="str">
        <f t="shared" si="31"/>
        <v/>
      </c>
      <c r="BU134" s="398" t="str">
        <f t="shared" si="32"/>
        <v/>
      </c>
      <c r="BV134" s="398" t="str">
        <f t="shared" si="33"/>
        <v/>
      </c>
      <c r="BW134" s="398" t="str">
        <f t="shared" si="34"/>
        <v/>
      </c>
      <c r="BX134" s="398" t="str">
        <f t="shared" si="35"/>
        <v/>
      </c>
      <c r="BY134" s="399"/>
    </row>
    <row r="135" spans="1:77" ht="15" customHeight="1">
      <c r="A135" s="385">
        <f>IF('Statement of Marks'!A139="","",'Statement of Marks'!A139)</f>
        <v>132</v>
      </c>
      <c r="B135" s="386" t="str">
        <f>IF('Statement of Marks'!B139="","",'Statement of Marks'!B139)</f>
        <v/>
      </c>
      <c r="C135" s="387" t="str">
        <f>IF('Statement of Marks'!C139="","",'Statement of Marks'!C139)</f>
        <v/>
      </c>
      <c r="D135" s="426" t="str">
        <f>IF('Statement of Marks'!D139="","",'Statement of Marks'!D139)</f>
        <v/>
      </c>
      <c r="E135" s="388" t="str">
        <f>IF('Statement of Marks'!E139="","",'Statement of Marks'!E139)</f>
        <v/>
      </c>
      <c r="F135" s="388" t="str">
        <f>IF('Statement of Marks'!F139="","",'Statement of Marks'!F139)</f>
        <v/>
      </c>
      <c r="G135" s="388" t="str">
        <f>IF('Statement of Marks'!G139="","",'Statement of Marks'!G139)</f>
        <v/>
      </c>
      <c r="H135" s="389" t="str">
        <f>IF('Statement of Marks'!H139="","",'Statement of Marks'!H139)</f>
        <v/>
      </c>
      <c r="I135" s="389" t="str">
        <f>IF('Statement of Marks'!I139="","",'Statement of Marks'!I139)</f>
        <v/>
      </c>
      <c r="J135" s="648" t="str">
        <f>IF('Statement of Marks'!GY139="","",'Statement of Marks'!GY139)</f>
        <v/>
      </c>
      <c r="K135" s="390" t="str">
        <f>IF(B135="","",IF('Statement of Marks'!GZ139="","",'Statement of Marks'!GZ139))</f>
        <v/>
      </c>
      <c r="L135" s="391" t="str">
        <f>IF('Statement of Marks'!HC139="","",'Statement of Marks'!HC139)</f>
        <v/>
      </c>
      <c r="M135" s="390" t="str">
        <f>IF('Statement of Marks'!HB139="","",'Statement of Marks'!HB139)</f>
        <v/>
      </c>
      <c r="N135" s="392" t="str">
        <f>IF(J135="FAIL","",IF('Statement of Marks'!GU139="","",'Statement of Marks'!GU139))</f>
        <v xml:space="preserve">    </v>
      </c>
      <c r="O135" s="393" t="str">
        <f>IF('Supp. Result Entry'!AS138="","",'Supp. Result Entry'!AS138)</f>
        <v/>
      </c>
      <c r="P135" s="394" t="str">
        <f>IF('Supp. Result Entry'!AT138="","",'Supp. Result Entry'!AT138)</f>
        <v/>
      </c>
      <c r="Q135" s="395" t="str">
        <f>IF('Statement of Marks'!HG139="","",'Statement of Marks'!HG139)</f>
        <v/>
      </c>
      <c r="R135" s="396" t="str">
        <f>IF('Statement of Marks'!FH139="","",'Statement of Marks'!FH139)</f>
        <v/>
      </c>
      <c r="BL135" s="397" t="str">
        <f>'Statement of Marks'!E139</f>
        <v/>
      </c>
      <c r="BM135" s="398" t="str">
        <f t="shared" si="24"/>
        <v/>
      </c>
      <c r="BN135" s="398" t="str">
        <f t="shared" si="25"/>
        <v/>
      </c>
      <c r="BO135" s="398" t="str">
        <f t="shared" si="26"/>
        <v/>
      </c>
      <c r="BP135" s="398" t="str">
        <f t="shared" si="27"/>
        <v/>
      </c>
      <c r="BQ135" s="398" t="str">
        <f t="shared" si="28"/>
        <v/>
      </c>
      <c r="BR135" s="398" t="str">
        <f t="shared" si="29"/>
        <v/>
      </c>
      <c r="BS135" s="398" t="str">
        <f t="shared" si="30"/>
        <v/>
      </c>
      <c r="BT135" s="398" t="str">
        <f t="shared" si="31"/>
        <v/>
      </c>
      <c r="BU135" s="398" t="str">
        <f t="shared" si="32"/>
        <v/>
      </c>
      <c r="BV135" s="398" t="str">
        <f t="shared" si="33"/>
        <v/>
      </c>
      <c r="BW135" s="398" t="str">
        <f t="shared" si="34"/>
        <v/>
      </c>
      <c r="BX135" s="398" t="str">
        <f t="shared" si="35"/>
        <v/>
      </c>
      <c r="BY135" s="399"/>
    </row>
    <row r="136" spans="1:77" ht="15" customHeight="1">
      <c r="A136" s="385">
        <f>IF('Statement of Marks'!A140="","",'Statement of Marks'!A140)</f>
        <v>133</v>
      </c>
      <c r="B136" s="386" t="str">
        <f>IF('Statement of Marks'!B140="","",'Statement of Marks'!B140)</f>
        <v/>
      </c>
      <c r="C136" s="387" t="str">
        <f>IF('Statement of Marks'!C140="","",'Statement of Marks'!C140)</f>
        <v/>
      </c>
      <c r="D136" s="426" t="str">
        <f>IF('Statement of Marks'!D140="","",'Statement of Marks'!D140)</f>
        <v/>
      </c>
      <c r="E136" s="388" t="str">
        <f>IF('Statement of Marks'!E140="","",'Statement of Marks'!E140)</f>
        <v/>
      </c>
      <c r="F136" s="388" t="str">
        <f>IF('Statement of Marks'!F140="","",'Statement of Marks'!F140)</f>
        <v/>
      </c>
      <c r="G136" s="388" t="str">
        <f>IF('Statement of Marks'!G140="","",'Statement of Marks'!G140)</f>
        <v/>
      </c>
      <c r="H136" s="389" t="str">
        <f>IF('Statement of Marks'!H140="","",'Statement of Marks'!H140)</f>
        <v/>
      </c>
      <c r="I136" s="389" t="str">
        <f>IF('Statement of Marks'!I140="","",'Statement of Marks'!I140)</f>
        <v/>
      </c>
      <c r="J136" s="648" t="str">
        <f>IF('Statement of Marks'!GY140="","",'Statement of Marks'!GY140)</f>
        <v/>
      </c>
      <c r="K136" s="390" t="str">
        <f>IF(B136="","",IF('Statement of Marks'!GZ140="","",'Statement of Marks'!GZ140))</f>
        <v/>
      </c>
      <c r="L136" s="391" t="str">
        <f>IF('Statement of Marks'!HC140="","",'Statement of Marks'!HC140)</f>
        <v/>
      </c>
      <c r="M136" s="390" t="str">
        <f>IF('Statement of Marks'!HB140="","",'Statement of Marks'!HB140)</f>
        <v/>
      </c>
      <c r="N136" s="392" t="str">
        <f>IF(J136="FAIL","",IF('Statement of Marks'!GU140="","",'Statement of Marks'!GU140))</f>
        <v xml:space="preserve">    </v>
      </c>
      <c r="O136" s="393" t="str">
        <f>IF('Supp. Result Entry'!AS139="","",'Supp. Result Entry'!AS139)</f>
        <v/>
      </c>
      <c r="P136" s="394" t="str">
        <f>IF('Supp. Result Entry'!AT139="","",'Supp. Result Entry'!AT139)</f>
        <v/>
      </c>
      <c r="Q136" s="395" t="str">
        <f>IF('Statement of Marks'!HG140="","",'Statement of Marks'!HG140)</f>
        <v/>
      </c>
      <c r="R136" s="396" t="str">
        <f>IF('Statement of Marks'!FH140="","",'Statement of Marks'!FH140)</f>
        <v/>
      </c>
      <c r="BL136" s="397" t="str">
        <f>'Statement of Marks'!E140</f>
        <v/>
      </c>
      <c r="BM136" s="398" t="str">
        <f t="shared" si="24"/>
        <v/>
      </c>
      <c r="BN136" s="398" t="str">
        <f t="shared" si="25"/>
        <v/>
      </c>
      <c r="BO136" s="398" t="str">
        <f t="shared" si="26"/>
        <v/>
      </c>
      <c r="BP136" s="398" t="str">
        <f t="shared" si="27"/>
        <v/>
      </c>
      <c r="BQ136" s="398" t="str">
        <f t="shared" si="28"/>
        <v/>
      </c>
      <c r="BR136" s="398" t="str">
        <f t="shared" si="29"/>
        <v/>
      </c>
      <c r="BS136" s="398" t="str">
        <f t="shared" si="30"/>
        <v/>
      </c>
      <c r="BT136" s="398" t="str">
        <f t="shared" si="31"/>
        <v/>
      </c>
      <c r="BU136" s="398" t="str">
        <f t="shared" si="32"/>
        <v/>
      </c>
      <c r="BV136" s="398" t="str">
        <f t="shared" si="33"/>
        <v/>
      </c>
      <c r="BW136" s="398" t="str">
        <f t="shared" si="34"/>
        <v/>
      </c>
      <c r="BX136" s="398" t="str">
        <f t="shared" si="35"/>
        <v/>
      </c>
      <c r="BY136" s="399"/>
    </row>
    <row r="137" spans="1:77" ht="15" customHeight="1">
      <c r="A137" s="385">
        <f>IF('Statement of Marks'!A141="","",'Statement of Marks'!A141)</f>
        <v>134</v>
      </c>
      <c r="B137" s="386" t="str">
        <f>IF('Statement of Marks'!B141="","",'Statement of Marks'!B141)</f>
        <v/>
      </c>
      <c r="C137" s="387" t="str">
        <f>IF('Statement of Marks'!C141="","",'Statement of Marks'!C141)</f>
        <v/>
      </c>
      <c r="D137" s="426" t="str">
        <f>IF('Statement of Marks'!D141="","",'Statement of Marks'!D141)</f>
        <v/>
      </c>
      <c r="E137" s="388" t="str">
        <f>IF('Statement of Marks'!E141="","",'Statement of Marks'!E141)</f>
        <v/>
      </c>
      <c r="F137" s="388" t="str">
        <f>IF('Statement of Marks'!F141="","",'Statement of Marks'!F141)</f>
        <v/>
      </c>
      <c r="G137" s="388" t="str">
        <f>IF('Statement of Marks'!G141="","",'Statement of Marks'!G141)</f>
        <v/>
      </c>
      <c r="H137" s="389" t="str">
        <f>IF('Statement of Marks'!H141="","",'Statement of Marks'!H141)</f>
        <v/>
      </c>
      <c r="I137" s="389" t="str">
        <f>IF('Statement of Marks'!I141="","",'Statement of Marks'!I141)</f>
        <v/>
      </c>
      <c r="J137" s="648" t="str">
        <f>IF('Statement of Marks'!GY141="","",'Statement of Marks'!GY141)</f>
        <v/>
      </c>
      <c r="K137" s="390" t="str">
        <f>IF(B137="","",IF('Statement of Marks'!GZ141="","",'Statement of Marks'!GZ141))</f>
        <v/>
      </c>
      <c r="L137" s="391" t="str">
        <f>IF('Statement of Marks'!HC141="","",'Statement of Marks'!HC141)</f>
        <v/>
      </c>
      <c r="M137" s="390" t="str">
        <f>IF('Statement of Marks'!HB141="","",'Statement of Marks'!HB141)</f>
        <v/>
      </c>
      <c r="N137" s="392" t="str">
        <f>IF(J137="FAIL","",IF('Statement of Marks'!GU141="","",'Statement of Marks'!GU141))</f>
        <v xml:space="preserve">    </v>
      </c>
      <c r="O137" s="393" t="str">
        <f>IF('Supp. Result Entry'!AS140="","",'Supp. Result Entry'!AS140)</f>
        <v/>
      </c>
      <c r="P137" s="394" t="str">
        <f>IF('Supp. Result Entry'!AT140="","",'Supp. Result Entry'!AT140)</f>
        <v/>
      </c>
      <c r="Q137" s="395" t="str">
        <f>IF('Statement of Marks'!HG141="","",'Statement of Marks'!HG141)</f>
        <v/>
      </c>
      <c r="R137" s="396" t="str">
        <f>IF('Statement of Marks'!FH141="","",'Statement of Marks'!FH141)</f>
        <v/>
      </c>
      <c r="BL137" s="397" t="str">
        <f>'Statement of Marks'!E141</f>
        <v/>
      </c>
      <c r="BM137" s="398" t="str">
        <f t="shared" si="24"/>
        <v/>
      </c>
      <c r="BN137" s="398" t="str">
        <f t="shared" si="25"/>
        <v/>
      </c>
      <c r="BO137" s="398" t="str">
        <f t="shared" si="26"/>
        <v/>
      </c>
      <c r="BP137" s="398" t="str">
        <f t="shared" si="27"/>
        <v/>
      </c>
      <c r="BQ137" s="398" t="str">
        <f t="shared" si="28"/>
        <v/>
      </c>
      <c r="BR137" s="398" t="str">
        <f t="shared" si="29"/>
        <v/>
      </c>
      <c r="BS137" s="398" t="str">
        <f t="shared" si="30"/>
        <v/>
      </c>
      <c r="BT137" s="398" t="str">
        <f t="shared" si="31"/>
        <v/>
      </c>
      <c r="BU137" s="398" t="str">
        <f t="shared" si="32"/>
        <v/>
      </c>
      <c r="BV137" s="398" t="str">
        <f t="shared" si="33"/>
        <v/>
      </c>
      <c r="BW137" s="398" t="str">
        <f t="shared" si="34"/>
        <v/>
      </c>
      <c r="BX137" s="398" t="str">
        <f t="shared" si="35"/>
        <v/>
      </c>
      <c r="BY137" s="399"/>
    </row>
    <row r="138" spans="1:77" ht="15" customHeight="1">
      <c r="A138" s="385">
        <f>IF('Statement of Marks'!A142="","",'Statement of Marks'!A142)</f>
        <v>135</v>
      </c>
      <c r="B138" s="386" t="str">
        <f>IF('Statement of Marks'!B142="","",'Statement of Marks'!B142)</f>
        <v/>
      </c>
      <c r="C138" s="387" t="str">
        <f>IF('Statement of Marks'!C142="","",'Statement of Marks'!C142)</f>
        <v/>
      </c>
      <c r="D138" s="426" t="str">
        <f>IF('Statement of Marks'!D142="","",'Statement of Marks'!D142)</f>
        <v/>
      </c>
      <c r="E138" s="388" t="str">
        <f>IF('Statement of Marks'!E142="","",'Statement of Marks'!E142)</f>
        <v/>
      </c>
      <c r="F138" s="388" t="str">
        <f>IF('Statement of Marks'!F142="","",'Statement of Marks'!F142)</f>
        <v/>
      </c>
      <c r="G138" s="388" t="str">
        <f>IF('Statement of Marks'!G142="","",'Statement of Marks'!G142)</f>
        <v/>
      </c>
      <c r="H138" s="389" t="str">
        <f>IF('Statement of Marks'!H142="","",'Statement of Marks'!H142)</f>
        <v/>
      </c>
      <c r="I138" s="389" t="str">
        <f>IF('Statement of Marks'!I142="","",'Statement of Marks'!I142)</f>
        <v/>
      </c>
      <c r="J138" s="648" t="str">
        <f>IF('Statement of Marks'!GY142="","",'Statement of Marks'!GY142)</f>
        <v/>
      </c>
      <c r="K138" s="390" t="str">
        <f>IF(B138="","",IF('Statement of Marks'!GZ142="","",'Statement of Marks'!GZ142))</f>
        <v/>
      </c>
      <c r="L138" s="391" t="str">
        <f>IF('Statement of Marks'!HC142="","",'Statement of Marks'!HC142)</f>
        <v/>
      </c>
      <c r="M138" s="390" t="str">
        <f>IF('Statement of Marks'!HB142="","",'Statement of Marks'!HB142)</f>
        <v/>
      </c>
      <c r="N138" s="392" t="str">
        <f>IF(J138="FAIL","",IF('Statement of Marks'!GU142="","",'Statement of Marks'!GU142))</f>
        <v xml:space="preserve">    </v>
      </c>
      <c r="O138" s="393" t="str">
        <f>IF('Supp. Result Entry'!AS141="","",'Supp. Result Entry'!AS141)</f>
        <v/>
      </c>
      <c r="P138" s="394" t="str">
        <f>IF('Supp. Result Entry'!AT141="","",'Supp. Result Entry'!AT141)</f>
        <v/>
      </c>
      <c r="Q138" s="395" t="str">
        <f>IF('Statement of Marks'!HG142="","",'Statement of Marks'!HG142)</f>
        <v/>
      </c>
      <c r="R138" s="396" t="str">
        <f>IF('Statement of Marks'!FH142="","",'Statement of Marks'!FH142)</f>
        <v/>
      </c>
      <c r="BL138" s="397" t="str">
        <f>'Statement of Marks'!E142</f>
        <v/>
      </c>
      <c r="BM138" s="398" t="str">
        <f t="shared" si="24"/>
        <v/>
      </c>
      <c r="BN138" s="398" t="str">
        <f t="shared" si="25"/>
        <v/>
      </c>
      <c r="BO138" s="398" t="str">
        <f t="shared" si="26"/>
        <v/>
      </c>
      <c r="BP138" s="398" t="str">
        <f t="shared" si="27"/>
        <v/>
      </c>
      <c r="BQ138" s="398" t="str">
        <f t="shared" si="28"/>
        <v/>
      </c>
      <c r="BR138" s="398" t="str">
        <f t="shared" si="29"/>
        <v/>
      </c>
      <c r="BS138" s="398" t="str">
        <f t="shared" si="30"/>
        <v/>
      </c>
      <c r="BT138" s="398" t="str">
        <f t="shared" si="31"/>
        <v/>
      </c>
      <c r="BU138" s="398" t="str">
        <f t="shared" si="32"/>
        <v/>
      </c>
      <c r="BV138" s="398" t="str">
        <f t="shared" si="33"/>
        <v/>
      </c>
      <c r="BW138" s="398" t="str">
        <f t="shared" si="34"/>
        <v/>
      </c>
      <c r="BX138" s="398" t="str">
        <f t="shared" si="35"/>
        <v/>
      </c>
      <c r="BY138" s="399"/>
    </row>
    <row r="139" spans="1:77" ht="15" customHeight="1">
      <c r="A139" s="385">
        <f>IF('Statement of Marks'!A143="","",'Statement of Marks'!A143)</f>
        <v>136</v>
      </c>
      <c r="B139" s="386" t="str">
        <f>IF('Statement of Marks'!B143="","",'Statement of Marks'!B143)</f>
        <v/>
      </c>
      <c r="C139" s="387" t="str">
        <f>IF('Statement of Marks'!C143="","",'Statement of Marks'!C143)</f>
        <v/>
      </c>
      <c r="D139" s="426" t="str">
        <f>IF('Statement of Marks'!D143="","",'Statement of Marks'!D143)</f>
        <v/>
      </c>
      <c r="E139" s="388" t="str">
        <f>IF('Statement of Marks'!E143="","",'Statement of Marks'!E143)</f>
        <v/>
      </c>
      <c r="F139" s="388" t="str">
        <f>IF('Statement of Marks'!F143="","",'Statement of Marks'!F143)</f>
        <v/>
      </c>
      <c r="G139" s="388" t="str">
        <f>IF('Statement of Marks'!G143="","",'Statement of Marks'!G143)</f>
        <v/>
      </c>
      <c r="H139" s="389" t="str">
        <f>IF('Statement of Marks'!H143="","",'Statement of Marks'!H143)</f>
        <v/>
      </c>
      <c r="I139" s="389" t="str">
        <f>IF('Statement of Marks'!I143="","",'Statement of Marks'!I143)</f>
        <v/>
      </c>
      <c r="J139" s="648" t="str">
        <f>IF('Statement of Marks'!GY143="","",'Statement of Marks'!GY143)</f>
        <v/>
      </c>
      <c r="K139" s="390" t="str">
        <f>IF(B139="","",IF('Statement of Marks'!GZ143="","",'Statement of Marks'!GZ143))</f>
        <v/>
      </c>
      <c r="L139" s="391" t="str">
        <f>IF('Statement of Marks'!HC143="","",'Statement of Marks'!HC143)</f>
        <v/>
      </c>
      <c r="M139" s="390" t="str">
        <f>IF('Statement of Marks'!HB143="","",'Statement of Marks'!HB143)</f>
        <v/>
      </c>
      <c r="N139" s="392" t="str">
        <f>IF(J139="FAIL","",IF('Statement of Marks'!GU143="","",'Statement of Marks'!GU143))</f>
        <v xml:space="preserve">    </v>
      </c>
      <c r="O139" s="393" t="str">
        <f>IF('Supp. Result Entry'!AS142="","",'Supp. Result Entry'!AS142)</f>
        <v/>
      </c>
      <c r="P139" s="394" t="str">
        <f>IF('Supp. Result Entry'!AT142="","",'Supp. Result Entry'!AT142)</f>
        <v/>
      </c>
      <c r="Q139" s="395" t="str">
        <f>IF('Statement of Marks'!HG143="","",'Statement of Marks'!HG143)</f>
        <v/>
      </c>
      <c r="R139" s="396" t="str">
        <f>IF('Statement of Marks'!FH143="","",'Statement of Marks'!FH143)</f>
        <v/>
      </c>
      <c r="BL139" s="397" t="str">
        <f>'Statement of Marks'!E143</f>
        <v/>
      </c>
      <c r="BM139" s="398" t="str">
        <f t="shared" si="24"/>
        <v/>
      </c>
      <c r="BN139" s="398" t="str">
        <f t="shared" si="25"/>
        <v/>
      </c>
      <c r="BO139" s="398" t="str">
        <f t="shared" si="26"/>
        <v/>
      </c>
      <c r="BP139" s="398" t="str">
        <f t="shared" si="27"/>
        <v/>
      </c>
      <c r="BQ139" s="398" t="str">
        <f t="shared" si="28"/>
        <v/>
      </c>
      <c r="BR139" s="398" t="str">
        <f t="shared" si="29"/>
        <v/>
      </c>
      <c r="BS139" s="398" t="str">
        <f t="shared" si="30"/>
        <v/>
      </c>
      <c r="BT139" s="398" t="str">
        <f t="shared" si="31"/>
        <v/>
      </c>
      <c r="BU139" s="398" t="str">
        <f t="shared" si="32"/>
        <v/>
      </c>
      <c r="BV139" s="398" t="str">
        <f t="shared" si="33"/>
        <v/>
      </c>
      <c r="BW139" s="398" t="str">
        <f t="shared" si="34"/>
        <v/>
      </c>
      <c r="BX139" s="398" t="str">
        <f t="shared" si="35"/>
        <v/>
      </c>
      <c r="BY139" s="399"/>
    </row>
    <row r="140" spans="1:77" ht="15" customHeight="1">
      <c r="A140" s="385">
        <f>IF('Statement of Marks'!A144="","",'Statement of Marks'!A144)</f>
        <v>137</v>
      </c>
      <c r="B140" s="386" t="str">
        <f>IF('Statement of Marks'!B144="","",'Statement of Marks'!B144)</f>
        <v/>
      </c>
      <c r="C140" s="387" t="str">
        <f>IF('Statement of Marks'!C144="","",'Statement of Marks'!C144)</f>
        <v/>
      </c>
      <c r="D140" s="426" t="str">
        <f>IF('Statement of Marks'!D144="","",'Statement of Marks'!D144)</f>
        <v/>
      </c>
      <c r="E140" s="388" t="str">
        <f>IF('Statement of Marks'!E144="","",'Statement of Marks'!E144)</f>
        <v/>
      </c>
      <c r="F140" s="388" t="str">
        <f>IF('Statement of Marks'!F144="","",'Statement of Marks'!F144)</f>
        <v/>
      </c>
      <c r="G140" s="388" t="str">
        <f>IF('Statement of Marks'!G144="","",'Statement of Marks'!G144)</f>
        <v/>
      </c>
      <c r="H140" s="389" t="str">
        <f>IF('Statement of Marks'!H144="","",'Statement of Marks'!H144)</f>
        <v/>
      </c>
      <c r="I140" s="389" t="str">
        <f>IF('Statement of Marks'!I144="","",'Statement of Marks'!I144)</f>
        <v/>
      </c>
      <c r="J140" s="648" t="str">
        <f>IF('Statement of Marks'!GY144="","",'Statement of Marks'!GY144)</f>
        <v/>
      </c>
      <c r="K140" s="390" t="str">
        <f>IF(B140="","",IF('Statement of Marks'!GZ144="","",'Statement of Marks'!GZ144))</f>
        <v/>
      </c>
      <c r="L140" s="391" t="str">
        <f>IF('Statement of Marks'!HC144="","",'Statement of Marks'!HC144)</f>
        <v/>
      </c>
      <c r="M140" s="390" t="str">
        <f>IF('Statement of Marks'!HB144="","",'Statement of Marks'!HB144)</f>
        <v/>
      </c>
      <c r="N140" s="392" t="str">
        <f>IF(J140="FAIL","",IF('Statement of Marks'!GU144="","",'Statement of Marks'!GU144))</f>
        <v xml:space="preserve">    </v>
      </c>
      <c r="O140" s="393" t="str">
        <f>IF('Supp. Result Entry'!AS143="","",'Supp. Result Entry'!AS143)</f>
        <v/>
      </c>
      <c r="P140" s="394" t="str">
        <f>IF('Supp. Result Entry'!AT143="","",'Supp. Result Entry'!AT143)</f>
        <v/>
      </c>
      <c r="Q140" s="395" t="str">
        <f>IF('Statement of Marks'!HG144="","",'Statement of Marks'!HG144)</f>
        <v/>
      </c>
      <c r="R140" s="396" t="str">
        <f>IF('Statement of Marks'!FH144="","",'Statement of Marks'!FH144)</f>
        <v/>
      </c>
      <c r="BL140" s="397" t="str">
        <f>'Statement of Marks'!E144</f>
        <v/>
      </c>
      <c r="BM140" s="398" t="str">
        <f t="shared" si="24"/>
        <v/>
      </c>
      <c r="BN140" s="398" t="str">
        <f t="shared" si="25"/>
        <v/>
      </c>
      <c r="BO140" s="398" t="str">
        <f t="shared" si="26"/>
        <v/>
      </c>
      <c r="BP140" s="398" t="str">
        <f t="shared" si="27"/>
        <v/>
      </c>
      <c r="BQ140" s="398" t="str">
        <f t="shared" si="28"/>
        <v/>
      </c>
      <c r="BR140" s="398" t="str">
        <f t="shared" si="29"/>
        <v/>
      </c>
      <c r="BS140" s="398" t="str">
        <f t="shared" si="30"/>
        <v/>
      </c>
      <c r="BT140" s="398" t="str">
        <f t="shared" si="31"/>
        <v/>
      </c>
      <c r="BU140" s="398" t="str">
        <f t="shared" si="32"/>
        <v/>
      </c>
      <c r="BV140" s="398" t="str">
        <f t="shared" si="33"/>
        <v/>
      </c>
      <c r="BW140" s="398" t="str">
        <f t="shared" si="34"/>
        <v/>
      </c>
      <c r="BX140" s="398" t="str">
        <f t="shared" si="35"/>
        <v/>
      </c>
      <c r="BY140" s="399"/>
    </row>
    <row r="141" spans="1:77" ht="15" customHeight="1">
      <c r="A141" s="385">
        <f>IF('Statement of Marks'!A145="","",'Statement of Marks'!A145)</f>
        <v>138</v>
      </c>
      <c r="B141" s="386" t="str">
        <f>IF('Statement of Marks'!B145="","",'Statement of Marks'!B145)</f>
        <v/>
      </c>
      <c r="C141" s="387" t="str">
        <f>IF('Statement of Marks'!C145="","",'Statement of Marks'!C145)</f>
        <v/>
      </c>
      <c r="D141" s="426" t="str">
        <f>IF('Statement of Marks'!D145="","",'Statement of Marks'!D145)</f>
        <v/>
      </c>
      <c r="E141" s="388" t="str">
        <f>IF('Statement of Marks'!E145="","",'Statement of Marks'!E145)</f>
        <v/>
      </c>
      <c r="F141" s="388" t="str">
        <f>IF('Statement of Marks'!F145="","",'Statement of Marks'!F145)</f>
        <v/>
      </c>
      <c r="G141" s="388" t="str">
        <f>IF('Statement of Marks'!G145="","",'Statement of Marks'!G145)</f>
        <v/>
      </c>
      <c r="H141" s="389" t="str">
        <f>IF('Statement of Marks'!H145="","",'Statement of Marks'!H145)</f>
        <v/>
      </c>
      <c r="I141" s="389" t="str">
        <f>IF('Statement of Marks'!I145="","",'Statement of Marks'!I145)</f>
        <v/>
      </c>
      <c r="J141" s="648" t="str">
        <f>IF('Statement of Marks'!GY145="","",'Statement of Marks'!GY145)</f>
        <v/>
      </c>
      <c r="K141" s="390" t="str">
        <f>IF(B141="","",IF('Statement of Marks'!GZ145="","",'Statement of Marks'!GZ145))</f>
        <v/>
      </c>
      <c r="L141" s="391" t="str">
        <f>IF('Statement of Marks'!HC145="","",'Statement of Marks'!HC145)</f>
        <v/>
      </c>
      <c r="M141" s="390" t="str">
        <f>IF('Statement of Marks'!HB145="","",'Statement of Marks'!HB145)</f>
        <v/>
      </c>
      <c r="N141" s="392" t="str">
        <f>IF(J141="FAIL","",IF('Statement of Marks'!GU145="","",'Statement of Marks'!GU145))</f>
        <v xml:space="preserve">    </v>
      </c>
      <c r="O141" s="393" t="str">
        <f>IF('Supp. Result Entry'!AS144="","",'Supp. Result Entry'!AS144)</f>
        <v/>
      </c>
      <c r="P141" s="394" t="str">
        <f>IF('Supp. Result Entry'!AT144="","",'Supp. Result Entry'!AT144)</f>
        <v/>
      </c>
      <c r="Q141" s="395" t="str">
        <f>IF('Statement of Marks'!HG145="","",'Statement of Marks'!HG145)</f>
        <v/>
      </c>
      <c r="R141" s="396" t="str">
        <f>IF('Statement of Marks'!FH145="","",'Statement of Marks'!FH145)</f>
        <v/>
      </c>
      <c r="BL141" s="397" t="str">
        <f>'Statement of Marks'!E145</f>
        <v/>
      </c>
      <c r="BM141" s="398" t="str">
        <f t="shared" si="24"/>
        <v/>
      </c>
      <c r="BN141" s="398" t="str">
        <f t="shared" si="25"/>
        <v/>
      </c>
      <c r="BO141" s="398" t="str">
        <f t="shared" si="26"/>
        <v/>
      </c>
      <c r="BP141" s="398" t="str">
        <f t="shared" si="27"/>
        <v/>
      </c>
      <c r="BQ141" s="398" t="str">
        <f t="shared" si="28"/>
        <v/>
      </c>
      <c r="BR141" s="398" t="str">
        <f t="shared" si="29"/>
        <v/>
      </c>
      <c r="BS141" s="398" t="str">
        <f t="shared" si="30"/>
        <v/>
      </c>
      <c r="BT141" s="398" t="str">
        <f t="shared" si="31"/>
        <v/>
      </c>
      <c r="BU141" s="398" t="str">
        <f t="shared" si="32"/>
        <v/>
      </c>
      <c r="BV141" s="398" t="str">
        <f t="shared" si="33"/>
        <v/>
      </c>
      <c r="BW141" s="398" t="str">
        <f t="shared" si="34"/>
        <v/>
      </c>
      <c r="BX141" s="398" t="str">
        <f t="shared" si="35"/>
        <v/>
      </c>
      <c r="BY141" s="399"/>
    </row>
    <row r="142" spans="1:77" ht="15" customHeight="1">
      <c r="A142" s="385">
        <f>IF('Statement of Marks'!A146="","",'Statement of Marks'!A146)</f>
        <v>139</v>
      </c>
      <c r="B142" s="386" t="str">
        <f>IF('Statement of Marks'!B146="","",'Statement of Marks'!B146)</f>
        <v/>
      </c>
      <c r="C142" s="387" t="str">
        <f>IF('Statement of Marks'!C146="","",'Statement of Marks'!C146)</f>
        <v/>
      </c>
      <c r="D142" s="426" t="str">
        <f>IF('Statement of Marks'!D146="","",'Statement of Marks'!D146)</f>
        <v/>
      </c>
      <c r="E142" s="388" t="str">
        <f>IF('Statement of Marks'!E146="","",'Statement of Marks'!E146)</f>
        <v/>
      </c>
      <c r="F142" s="388" t="str">
        <f>IF('Statement of Marks'!F146="","",'Statement of Marks'!F146)</f>
        <v/>
      </c>
      <c r="G142" s="388" t="str">
        <f>IF('Statement of Marks'!G146="","",'Statement of Marks'!G146)</f>
        <v/>
      </c>
      <c r="H142" s="389" t="str">
        <f>IF('Statement of Marks'!H146="","",'Statement of Marks'!H146)</f>
        <v/>
      </c>
      <c r="I142" s="389" t="str">
        <f>IF('Statement of Marks'!I146="","",'Statement of Marks'!I146)</f>
        <v/>
      </c>
      <c r="J142" s="648" t="str">
        <f>IF('Statement of Marks'!GY146="","",'Statement of Marks'!GY146)</f>
        <v/>
      </c>
      <c r="K142" s="390" t="str">
        <f>IF(B142="","",IF('Statement of Marks'!GZ146="","",'Statement of Marks'!GZ146))</f>
        <v/>
      </c>
      <c r="L142" s="391" t="str">
        <f>IF('Statement of Marks'!HC146="","",'Statement of Marks'!HC146)</f>
        <v/>
      </c>
      <c r="M142" s="390" t="str">
        <f>IF('Statement of Marks'!HB146="","",'Statement of Marks'!HB146)</f>
        <v/>
      </c>
      <c r="N142" s="392" t="str">
        <f>IF(J142="FAIL","",IF('Statement of Marks'!GU146="","",'Statement of Marks'!GU146))</f>
        <v xml:space="preserve">    </v>
      </c>
      <c r="O142" s="393" t="str">
        <f>IF('Supp. Result Entry'!AS145="","",'Supp. Result Entry'!AS145)</f>
        <v/>
      </c>
      <c r="P142" s="394" t="str">
        <f>IF('Supp. Result Entry'!AT145="","",'Supp. Result Entry'!AT145)</f>
        <v/>
      </c>
      <c r="Q142" s="395" t="str">
        <f>IF('Statement of Marks'!HG146="","",'Statement of Marks'!HG146)</f>
        <v/>
      </c>
      <c r="R142" s="396" t="str">
        <f>IF('Statement of Marks'!FH146="","",'Statement of Marks'!FH146)</f>
        <v/>
      </c>
      <c r="BL142" s="397" t="str">
        <f>'Statement of Marks'!E146</f>
        <v/>
      </c>
      <c r="BM142" s="398" t="str">
        <f t="shared" si="24"/>
        <v/>
      </c>
      <c r="BN142" s="398" t="str">
        <f t="shared" si="25"/>
        <v/>
      </c>
      <c r="BO142" s="398" t="str">
        <f t="shared" si="26"/>
        <v/>
      </c>
      <c r="BP142" s="398" t="str">
        <f t="shared" si="27"/>
        <v/>
      </c>
      <c r="BQ142" s="398" t="str">
        <f t="shared" si="28"/>
        <v/>
      </c>
      <c r="BR142" s="398" t="str">
        <f t="shared" si="29"/>
        <v/>
      </c>
      <c r="BS142" s="398" t="str">
        <f t="shared" si="30"/>
        <v/>
      </c>
      <c r="BT142" s="398" t="str">
        <f t="shared" si="31"/>
        <v/>
      </c>
      <c r="BU142" s="398" t="str">
        <f t="shared" si="32"/>
        <v/>
      </c>
      <c r="BV142" s="398" t="str">
        <f t="shared" si="33"/>
        <v/>
      </c>
      <c r="BW142" s="398" t="str">
        <f t="shared" si="34"/>
        <v/>
      </c>
      <c r="BX142" s="398" t="str">
        <f t="shared" si="35"/>
        <v/>
      </c>
      <c r="BY142" s="399"/>
    </row>
    <row r="143" spans="1:77" ht="15" customHeight="1">
      <c r="A143" s="385">
        <f>IF('Statement of Marks'!A147="","",'Statement of Marks'!A147)</f>
        <v>140</v>
      </c>
      <c r="B143" s="386" t="str">
        <f>IF('Statement of Marks'!B147="","",'Statement of Marks'!B147)</f>
        <v/>
      </c>
      <c r="C143" s="387" t="str">
        <f>IF('Statement of Marks'!C147="","",'Statement of Marks'!C147)</f>
        <v/>
      </c>
      <c r="D143" s="426" t="str">
        <f>IF('Statement of Marks'!D147="","",'Statement of Marks'!D147)</f>
        <v/>
      </c>
      <c r="E143" s="388" t="str">
        <f>IF('Statement of Marks'!E147="","",'Statement of Marks'!E147)</f>
        <v/>
      </c>
      <c r="F143" s="388" t="str">
        <f>IF('Statement of Marks'!F147="","",'Statement of Marks'!F147)</f>
        <v/>
      </c>
      <c r="G143" s="388" t="str">
        <f>IF('Statement of Marks'!G147="","",'Statement of Marks'!G147)</f>
        <v/>
      </c>
      <c r="H143" s="389" t="str">
        <f>IF('Statement of Marks'!H147="","",'Statement of Marks'!H147)</f>
        <v/>
      </c>
      <c r="I143" s="389" t="str">
        <f>IF('Statement of Marks'!I147="","",'Statement of Marks'!I147)</f>
        <v/>
      </c>
      <c r="J143" s="648" t="str">
        <f>IF('Statement of Marks'!GY147="","",'Statement of Marks'!GY147)</f>
        <v/>
      </c>
      <c r="K143" s="390" t="str">
        <f>IF(B143="","",IF('Statement of Marks'!GZ147="","",'Statement of Marks'!GZ147))</f>
        <v/>
      </c>
      <c r="L143" s="391" t="str">
        <f>IF('Statement of Marks'!HC147="","",'Statement of Marks'!HC147)</f>
        <v/>
      </c>
      <c r="M143" s="390" t="str">
        <f>IF('Statement of Marks'!HB147="","",'Statement of Marks'!HB147)</f>
        <v/>
      </c>
      <c r="N143" s="392" t="str">
        <f>IF(J143="FAIL","",IF('Statement of Marks'!GU147="","",'Statement of Marks'!GU147))</f>
        <v xml:space="preserve">    </v>
      </c>
      <c r="O143" s="393" t="str">
        <f>IF('Supp. Result Entry'!AS146="","",'Supp. Result Entry'!AS146)</f>
        <v/>
      </c>
      <c r="P143" s="394" t="str">
        <f>IF('Supp. Result Entry'!AT146="","",'Supp. Result Entry'!AT146)</f>
        <v/>
      </c>
      <c r="Q143" s="395" t="str">
        <f>IF('Statement of Marks'!HG147="","",'Statement of Marks'!HG147)</f>
        <v/>
      </c>
      <c r="R143" s="396" t="str">
        <f>IF('Statement of Marks'!FH147="","",'Statement of Marks'!FH147)</f>
        <v/>
      </c>
      <c r="BL143" s="397" t="str">
        <f>'Statement of Marks'!E147</f>
        <v/>
      </c>
      <c r="BM143" s="398" t="str">
        <f t="shared" si="24"/>
        <v/>
      </c>
      <c r="BN143" s="398" t="str">
        <f t="shared" si="25"/>
        <v/>
      </c>
      <c r="BO143" s="398" t="str">
        <f t="shared" si="26"/>
        <v/>
      </c>
      <c r="BP143" s="398" t="str">
        <f t="shared" si="27"/>
        <v/>
      </c>
      <c r="BQ143" s="398" t="str">
        <f t="shared" si="28"/>
        <v/>
      </c>
      <c r="BR143" s="398" t="str">
        <f t="shared" si="29"/>
        <v/>
      </c>
      <c r="BS143" s="398" t="str">
        <f t="shared" si="30"/>
        <v/>
      </c>
      <c r="BT143" s="398" t="str">
        <f t="shared" si="31"/>
        <v/>
      </c>
      <c r="BU143" s="398" t="str">
        <f t="shared" si="32"/>
        <v/>
      </c>
      <c r="BV143" s="398" t="str">
        <f t="shared" si="33"/>
        <v/>
      </c>
      <c r="BW143" s="398" t="str">
        <f t="shared" si="34"/>
        <v/>
      </c>
      <c r="BX143" s="398" t="str">
        <f t="shared" si="35"/>
        <v/>
      </c>
      <c r="BY143" s="399"/>
    </row>
    <row r="144" spans="1:77" ht="15" customHeight="1">
      <c r="A144" s="385">
        <f>IF('Statement of Marks'!A148="","",'Statement of Marks'!A148)</f>
        <v>141</v>
      </c>
      <c r="B144" s="386" t="str">
        <f>IF('Statement of Marks'!B148="","",'Statement of Marks'!B148)</f>
        <v/>
      </c>
      <c r="C144" s="387" t="str">
        <f>IF('Statement of Marks'!C148="","",'Statement of Marks'!C148)</f>
        <v/>
      </c>
      <c r="D144" s="426" t="str">
        <f>IF('Statement of Marks'!D148="","",'Statement of Marks'!D148)</f>
        <v/>
      </c>
      <c r="E144" s="388" t="str">
        <f>IF('Statement of Marks'!E148="","",'Statement of Marks'!E148)</f>
        <v/>
      </c>
      <c r="F144" s="388" t="str">
        <f>IF('Statement of Marks'!F148="","",'Statement of Marks'!F148)</f>
        <v/>
      </c>
      <c r="G144" s="388" t="str">
        <f>IF('Statement of Marks'!G148="","",'Statement of Marks'!G148)</f>
        <v/>
      </c>
      <c r="H144" s="389" t="str">
        <f>IF('Statement of Marks'!H148="","",'Statement of Marks'!H148)</f>
        <v/>
      </c>
      <c r="I144" s="389" t="str">
        <f>IF('Statement of Marks'!I148="","",'Statement of Marks'!I148)</f>
        <v/>
      </c>
      <c r="J144" s="648" t="str">
        <f>IF('Statement of Marks'!GY148="","",'Statement of Marks'!GY148)</f>
        <v/>
      </c>
      <c r="K144" s="390" t="str">
        <f>IF(B144="","",IF('Statement of Marks'!GZ148="","",'Statement of Marks'!GZ148))</f>
        <v/>
      </c>
      <c r="L144" s="391" t="str">
        <f>IF('Statement of Marks'!HC148="","",'Statement of Marks'!HC148)</f>
        <v/>
      </c>
      <c r="M144" s="390" t="str">
        <f>IF('Statement of Marks'!HB148="","",'Statement of Marks'!HB148)</f>
        <v/>
      </c>
      <c r="N144" s="392" t="str">
        <f>IF(J144="FAIL","",IF('Statement of Marks'!GU148="","",'Statement of Marks'!GU148))</f>
        <v xml:space="preserve">    </v>
      </c>
      <c r="O144" s="393" t="str">
        <f>IF('Supp. Result Entry'!AS147="","",'Supp. Result Entry'!AS147)</f>
        <v/>
      </c>
      <c r="P144" s="394" t="str">
        <f>IF('Supp. Result Entry'!AT147="","",'Supp. Result Entry'!AT147)</f>
        <v/>
      </c>
      <c r="Q144" s="395" t="str">
        <f>IF('Statement of Marks'!HG148="","",'Statement of Marks'!HG148)</f>
        <v/>
      </c>
      <c r="R144" s="396" t="str">
        <f>IF('Statement of Marks'!FH148="","",'Statement of Marks'!FH148)</f>
        <v/>
      </c>
      <c r="BL144" s="397" t="str">
        <f>'Statement of Marks'!E148</f>
        <v/>
      </c>
      <c r="BM144" s="398" t="str">
        <f t="shared" si="24"/>
        <v/>
      </c>
      <c r="BN144" s="398" t="str">
        <f t="shared" si="25"/>
        <v/>
      </c>
      <c r="BO144" s="398" t="str">
        <f t="shared" si="26"/>
        <v/>
      </c>
      <c r="BP144" s="398" t="str">
        <f t="shared" si="27"/>
        <v/>
      </c>
      <c r="BQ144" s="398" t="str">
        <f t="shared" si="28"/>
        <v/>
      </c>
      <c r="BR144" s="398" t="str">
        <f t="shared" si="29"/>
        <v/>
      </c>
      <c r="BS144" s="398" t="str">
        <f t="shared" si="30"/>
        <v/>
      </c>
      <c r="BT144" s="398" t="str">
        <f t="shared" si="31"/>
        <v/>
      </c>
      <c r="BU144" s="398" t="str">
        <f t="shared" si="32"/>
        <v/>
      </c>
      <c r="BV144" s="398" t="str">
        <f t="shared" si="33"/>
        <v/>
      </c>
      <c r="BW144" s="398" t="str">
        <f t="shared" si="34"/>
        <v/>
      </c>
      <c r="BX144" s="398" t="str">
        <f t="shared" si="35"/>
        <v/>
      </c>
      <c r="BY144" s="399"/>
    </row>
    <row r="145" spans="1:77" ht="15" customHeight="1">
      <c r="A145" s="385">
        <f>IF('Statement of Marks'!A149="","",'Statement of Marks'!A149)</f>
        <v>142</v>
      </c>
      <c r="B145" s="386" t="str">
        <f>IF('Statement of Marks'!B149="","",'Statement of Marks'!B149)</f>
        <v/>
      </c>
      <c r="C145" s="387" t="str">
        <f>IF('Statement of Marks'!C149="","",'Statement of Marks'!C149)</f>
        <v/>
      </c>
      <c r="D145" s="426" t="str">
        <f>IF('Statement of Marks'!D149="","",'Statement of Marks'!D149)</f>
        <v/>
      </c>
      <c r="E145" s="388" t="str">
        <f>IF('Statement of Marks'!E149="","",'Statement of Marks'!E149)</f>
        <v/>
      </c>
      <c r="F145" s="388" t="str">
        <f>IF('Statement of Marks'!F149="","",'Statement of Marks'!F149)</f>
        <v/>
      </c>
      <c r="G145" s="388" t="str">
        <f>IF('Statement of Marks'!G149="","",'Statement of Marks'!G149)</f>
        <v/>
      </c>
      <c r="H145" s="389" t="str">
        <f>IF('Statement of Marks'!H149="","",'Statement of Marks'!H149)</f>
        <v/>
      </c>
      <c r="I145" s="389" t="str">
        <f>IF('Statement of Marks'!I149="","",'Statement of Marks'!I149)</f>
        <v/>
      </c>
      <c r="J145" s="648" t="str">
        <f>IF('Statement of Marks'!GY149="","",'Statement of Marks'!GY149)</f>
        <v/>
      </c>
      <c r="K145" s="390" t="str">
        <f>IF(B145="","",IF('Statement of Marks'!GZ149="","",'Statement of Marks'!GZ149))</f>
        <v/>
      </c>
      <c r="L145" s="391" t="str">
        <f>IF('Statement of Marks'!HC149="","",'Statement of Marks'!HC149)</f>
        <v/>
      </c>
      <c r="M145" s="390" t="str">
        <f>IF('Statement of Marks'!HB149="","",'Statement of Marks'!HB149)</f>
        <v/>
      </c>
      <c r="N145" s="392" t="str">
        <f>IF(J145="FAIL","",IF('Statement of Marks'!GU149="","",'Statement of Marks'!GU149))</f>
        <v xml:space="preserve">    </v>
      </c>
      <c r="O145" s="393" t="str">
        <f>IF('Supp. Result Entry'!AS148="","",'Supp. Result Entry'!AS148)</f>
        <v/>
      </c>
      <c r="P145" s="394" t="str">
        <f>IF('Supp. Result Entry'!AT148="","",'Supp. Result Entry'!AT148)</f>
        <v/>
      </c>
      <c r="Q145" s="395" t="str">
        <f>IF('Statement of Marks'!HG149="","",'Statement of Marks'!HG149)</f>
        <v/>
      </c>
      <c r="R145" s="396" t="str">
        <f>IF('Statement of Marks'!FH149="","",'Statement of Marks'!FH149)</f>
        <v/>
      </c>
      <c r="BL145" s="397" t="str">
        <f>'Statement of Marks'!E149</f>
        <v/>
      </c>
      <c r="BM145" s="398" t="str">
        <f t="shared" si="24"/>
        <v/>
      </c>
      <c r="BN145" s="398" t="str">
        <f t="shared" si="25"/>
        <v/>
      </c>
      <c r="BO145" s="398" t="str">
        <f t="shared" si="26"/>
        <v/>
      </c>
      <c r="BP145" s="398" t="str">
        <f t="shared" si="27"/>
        <v/>
      </c>
      <c r="BQ145" s="398" t="str">
        <f t="shared" si="28"/>
        <v/>
      </c>
      <c r="BR145" s="398" t="str">
        <f t="shared" si="29"/>
        <v/>
      </c>
      <c r="BS145" s="398" t="str">
        <f t="shared" si="30"/>
        <v/>
      </c>
      <c r="BT145" s="398" t="str">
        <f t="shared" si="31"/>
        <v/>
      </c>
      <c r="BU145" s="398" t="str">
        <f t="shared" si="32"/>
        <v/>
      </c>
      <c r="BV145" s="398" t="str">
        <f t="shared" si="33"/>
        <v/>
      </c>
      <c r="BW145" s="398" t="str">
        <f t="shared" si="34"/>
        <v/>
      </c>
      <c r="BX145" s="398" t="str">
        <f t="shared" si="35"/>
        <v/>
      </c>
      <c r="BY145" s="399"/>
    </row>
    <row r="146" spans="1:77" ht="15" customHeight="1">
      <c r="A146" s="385">
        <f>IF('Statement of Marks'!A150="","",'Statement of Marks'!A150)</f>
        <v>143</v>
      </c>
      <c r="B146" s="386" t="str">
        <f>IF('Statement of Marks'!B150="","",'Statement of Marks'!B150)</f>
        <v/>
      </c>
      <c r="C146" s="387" t="str">
        <f>IF('Statement of Marks'!C150="","",'Statement of Marks'!C150)</f>
        <v/>
      </c>
      <c r="D146" s="426" t="str">
        <f>IF('Statement of Marks'!D150="","",'Statement of Marks'!D150)</f>
        <v/>
      </c>
      <c r="E146" s="388" t="str">
        <f>IF('Statement of Marks'!E150="","",'Statement of Marks'!E150)</f>
        <v/>
      </c>
      <c r="F146" s="388" t="str">
        <f>IF('Statement of Marks'!F150="","",'Statement of Marks'!F150)</f>
        <v/>
      </c>
      <c r="G146" s="388" t="str">
        <f>IF('Statement of Marks'!G150="","",'Statement of Marks'!G150)</f>
        <v/>
      </c>
      <c r="H146" s="389" t="str">
        <f>IF('Statement of Marks'!H150="","",'Statement of Marks'!H150)</f>
        <v/>
      </c>
      <c r="I146" s="389" t="str">
        <f>IF('Statement of Marks'!I150="","",'Statement of Marks'!I150)</f>
        <v/>
      </c>
      <c r="J146" s="648" t="str">
        <f>IF('Statement of Marks'!GY150="","",'Statement of Marks'!GY150)</f>
        <v/>
      </c>
      <c r="K146" s="390" t="str">
        <f>IF(B146="","",IF('Statement of Marks'!GZ150="","",'Statement of Marks'!GZ150))</f>
        <v/>
      </c>
      <c r="L146" s="391" t="str">
        <f>IF('Statement of Marks'!HC150="","",'Statement of Marks'!HC150)</f>
        <v/>
      </c>
      <c r="M146" s="390" t="str">
        <f>IF('Statement of Marks'!HB150="","",'Statement of Marks'!HB150)</f>
        <v/>
      </c>
      <c r="N146" s="392" t="str">
        <f>IF(J146="FAIL","",IF('Statement of Marks'!GU150="","",'Statement of Marks'!GU150))</f>
        <v xml:space="preserve">    </v>
      </c>
      <c r="O146" s="393" t="str">
        <f>IF('Supp. Result Entry'!AS149="","",'Supp. Result Entry'!AS149)</f>
        <v/>
      </c>
      <c r="P146" s="394" t="str">
        <f>IF('Supp. Result Entry'!AT149="","",'Supp. Result Entry'!AT149)</f>
        <v/>
      </c>
      <c r="Q146" s="395" t="str">
        <f>IF('Statement of Marks'!HG150="","",'Statement of Marks'!HG150)</f>
        <v/>
      </c>
      <c r="R146" s="396" t="str">
        <f>IF('Statement of Marks'!FH150="","",'Statement of Marks'!FH150)</f>
        <v/>
      </c>
      <c r="BL146" s="397" t="str">
        <f>'Statement of Marks'!E150</f>
        <v/>
      </c>
      <c r="BM146" s="398" t="str">
        <f t="shared" si="24"/>
        <v/>
      </c>
      <c r="BN146" s="398" t="str">
        <f t="shared" si="25"/>
        <v/>
      </c>
      <c r="BO146" s="398" t="str">
        <f t="shared" si="26"/>
        <v/>
      </c>
      <c r="BP146" s="398" t="str">
        <f t="shared" si="27"/>
        <v/>
      </c>
      <c r="BQ146" s="398" t="str">
        <f t="shared" si="28"/>
        <v/>
      </c>
      <c r="BR146" s="398" t="str">
        <f t="shared" si="29"/>
        <v/>
      </c>
      <c r="BS146" s="398" t="str">
        <f t="shared" si="30"/>
        <v/>
      </c>
      <c r="BT146" s="398" t="str">
        <f t="shared" si="31"/>
        <v/>
      </c>
      <c r="BU146" s="398" t="str">
        <f t="shared" si="32"/>
        <v/>
      </c>
      <c r="BV146" s="398" t="str">
        <f t="shared" si="33"/>
        <v/>
      </c>
      <c r="BW146" s="398" t="str">
        <f t="shared" si="34"/>
        <v/>
      </c>
      <c r="BX146" s="398" t="str">
        <f t="shared" si="35"/>
        <v/>
      </c>
      <c r="BY146" s="399"/>
    </row>
    <row r="147" spans="1:77" ht="15" customHeight="1">
      <c r="A147" s="385">
        <f>IF('Statement of Marks'!A151="","",'Statement of Marks'!A151)</f>
        <v>144</v>
      </c>
      <c r="B147" s="386" t="str">
        <f>IF('Statement of Marks'!B151="","",'Statement of Marks'!B151)</f>
        <v/>
      </c>
      <c r="C147" s="387" t="str">
        <f>IF('Statement of Marks'!C151="","",'Statement of Marks'!C151)</f>
        <v/>
      </c>
      <c r="D147" s="426" t="str">
        <f>IF('Statement of Marks'!D151="","",'Statement of Marks'!D151)</f>
        <v/>
      </c>
      <c r="E147" s="388" t="str">
        <f>IF('Statement of Marks'!E151="","",'Statement of Marks'!E151)</f>
        <v/>
      </c>
      <c r="F147" s="388" t="str">
        <f>IF('Statement of Marks'!F151="","",'Statement of Marks'!F151)</f>
        <v/>
      </c>
      <c r="G147" s="388" t="str">
        <f>IF('Statement of Marks'!G151="","",'Statement of Marks'!G151)</f>
        <v/>
      </c>
      <c r="H147" s="389" t="str">
        <f>IF('Statement of Marks'!H151="","",'Statement of Marks'!H151)</f>
        <v/>
      </c>
      <c r="I147" s="389" t="str">
        <f>IF('Statement of Marks'!I151="","",'Statement of Marks'!I151)</f>
        <v/>
      </c>
      <c r="J147" s="648" t="str">
        <f>IF('Statement of Marks'!GY151="","",'Statement of Marks'!GY151)</f>
        <v/>
      </c>
      <c r="K147" s="390" t="str">
        <f>IF(B147="","",IF('Statement of Marks'!GZ151="","",'Statement of Marks'!GZ151))</f>
        <v/>
      </c>
      <c r="L147" s="391" t="str">
        <f>IF('Statement of Marks'!HC151="","",'Statement of Marks'!HC151)</f>
        <v/>
      </c>
      <c r="M147" s="390" t="str">
        <f>IF('Statement of Marks'!HB151="","",'Statement of Marks'!HB151)</f>
        <v/>
      </c>
      <c r="N147" s="392" t="str">
        <f>IF(J147="FAIL","",IF('Statement of Marks'!GU151="","",'Statement of Marks'!GU151))</f>
        <v xml:space="preserve">    </v>
      </c>
      <c r="O147" s="393" t="str">
        <f>IF('Supp. Result Entry'!AS150="","",'Supp. Result Entry'!AS150)</f>
        <v/>
      </c>
      <c r="P147" s="394" t="str">
        <f>IF('Supp. Result Entry'!AT150="","",'Supp. Result Entry'!AT150)</f>
        <v/>
      </c>
      <c r="Q147" s="395" t="str">
        <f>IF('Statement of Marks'!HG151="","",'Statement of Marks'!HG151)</f>
        <v/>
      </c>
      <c r="R147" s="396" t="str">
        <f>IF('Statement of Marks'!FH151="","",'Statement of Marks'!FH151)</f>
        <v/>
      </c>
      <c r="BL147" s="397" t="str">
        <f>'Statement of Marks'!E151</f>
        <v/>
      </c>
      <c r="BM147" s="398" t="str">
        <f t="shared" si="24"/>
        <v/>
      </c>
      <c r="BN147" s="398" t="str">
        <f t="shared" si="25"/>
        <v/>
      </c>
      <c r="BO147" s="398" t="str">
        <f t="shared" si="26"/>
        <v/>
      </c>
      <c r="BP147" s="398" t="str">
        <f t="shared" si="27"/>
        <v/>
      </c>
      <c r="BQ147" s="398" t="str">
        <f t="shared" si="28"/>
        <v/>
      </c>
      <c r="BR147" s="398" t="str">
        <f t="shared" si="29"/>
        <v/>
      </c>
      <c r="BS147" s="398" t="str">
        <f t="shared" si="30"/>
        <v/>
      </c>
      <c r="BT147" s="398" t="str">
        <f t="shared" si="31"/>
        <v/>
      </c>
      <c r="BU147" s="398" t="str">
        <f t="shared" si="32"/>
        <v/>
      </c>
      <c r="BV147" s="398" t="str">
        <f t="shared" si="33"/>
        <v/>
      </c>
      <c r="BW147" s="398" t="str">
        <f t="shared" si="34"/>
        <v/>
      </c>
      <c r="BX147" s="398" t="str">
        <f t="shared" si="35"/>
        <v/>
      </c>
      <c r="BY147" s="399"/>
    </row>
    <row r="148" spans="1:77" ht="15" customHeight="1">
      <c r="A148" s="385">
        <f>IF('Statement of Marks'!A152="","",'Statement of Marks'!A152)</f>
        <v>145</v>
      </c>
      <c r="B148" s="386" t="str">
        <f>IF('Statement of Marks'!B152="","",'Statement of Marks'!B152)</f>
        <v/>
      </c>
      <c r="C148" s="387" t="str">
        <f>IF('Statement of Marks'!C152="","",'Statement of Marks'!C152)</f>
        <v/>
      </c>
      <c r="D148" s="426" t="str">
        <f>IF('Statement of Marks'!D152="","",'Statement of Marks'!D152)</f>
        <v/>
      </c>
      <c r="E148" s="388" t="str">
        <f>IF('Statement of Marks'!E152="","",'Statement of Marks'!E152)</f>
        <v/>
      </c>
      <c r="F148" s="388" t="str">
        <f>IF('Statement of Marks'!F152="","",'Statement of Marks'!F152)</f>
        <v/>
      </c>
      <c r="G148" s="388" t="str">
        <f>IF('Statement of Marks'!G152="","",'Statement of Marks'!G152)</f>
        <v/>
      </c>
      <c r="H148" s="389" t="str">
        <f>IF('Statement of Marks'!H152="","",'Statement of Marks'!H152)</f>
        <v/>
      </c>
      <c r="I148" s="389" t="str">
        <f>IF('Statement of Marks'!I152="","",'Statement of Marks'!I152)</f>
        <v/>
      </c>
      <c r="J148" s="648" t="str">
        <f>IF('Statement of Marks'!GY152="","",'Statement of Marks'!GY152)</f>
        <v/>
      </c>
      <c r="K148" s="390" t="str">
        <f>IF(B148="","",IF('Statement of Marks'!GZ152="","",'Statement of Marks'!GZ152))</f>
        <v/>
      </c>
      <c r="L148" s="391" t="str">
        <f>IF('Statement of Marks'!HC152="","",'Statement of Marks'!HC152)</f>
        <v/>
      </c>
      <c r="M148" s="390" t="str">
        <f>IF('Statement of Marks'!HB152="","",'Statement of Marks'!HB152)</f>
        <v/>
      </c>
      <c r="N148" s="392" t="str">
        <f>IF(J148="FAIL","",IF('Statement of Marks'!GU152="","",'Statement of Marks'!GU152))</f>
        <v xml:space="preserve">    </v>
      </c>
      <c r="O148" s="393" t="str">
        <f>IF('Supp. Result Entry'!AS151="","",'Supp. Result Entry'!AS151)</f>
        <v/>
      </c>
      <c r="P148" s="394" t="str">
        <f>IF('Supp. Result Entry'!AT151="","",'Supp. Result Entry'!AT151)</f>
        <v/>
      </c>
      <c r="Q148" s="395" t="str">
        <f>IF('Statement of Marks'!HG152="","",'Statement of Marks'!HG152)</f>
        <v/>
      </c>
      <c r="R148" s="396" t="str">
        <f>IF('Statement of Marks'!FH152="","",'Statement of Marks'!FH152)</f>
        <v/>
      </c>
      <c r="BL148" s="397" t="str">
        <f>'Statement of Marks'!E152</f>
        <v/>
      </c>
      <c r="BM148" s="398" t="str">
        <f t="shared" si="24"/>
        <v/>
      </c>
      <c r="BN148" s="398" t="str">
        <f t="shared" si="25"/>
        <v/>
      </c>
      <c r="BO148" s="398" t="str">
        <f t="shared" si="26"/>
        <v/>
      </c>
      <c r="BP148" s="398" t="str">
        <f t="shared" si="27"/>
        <v/>
      </c>
      <c r="BQ148" s="398" t="str">
        <f t="shared" si="28"/>
        <v/>
      </c>
      <c r="BR148" s="398" t="str">
        <f t="shared" si="29"/>
        <v/>
      </c>
      <c r="BS148" s="398" t="str">
        <f t="shared" si="30"/>
        <v/>
      </c>
      <c r="BT148" s="398" t="str">
        <f t="shared" si="31"/>
        <v/>
      </c>
      <c r="BU148" s="398" t="str">
        <f t="shared" si="32"/>
        <v/>
      </c>
      <c r="BV148" s="398" t="str">
        <f t="shared" si="33"/>
        <v/>
      </c>
      <c r="BW148" s="398" t="str">
        <f t="shared" si="34"/>
        <v/>
      </c>
      <c r="BX148" s="398" t="str">
        <f t="shared" si="35"/>
        <v/>
      </c>
      <c r="BY148" s="399"/>
    </row>
    <row r="149" spans="1:77" ht="15" customHeight="1">
      <c r="A149" s="385">
        <f>IF('Statement of Marks'!A153="","",'Statement of Marks'!A153)</f>
        <v>146</v>
      </c>
      <c r="B149" s="386" t="str">
        <f>IF('Statement of Marks'!B153="","",'Statement of Marks'!B153)</f>
        <v/>
      </c>
      <c r="C149" s="387" t="str">
        <f>IF('Statement of Marks'!C153="","",'Statement of Marks'!C153)</f>
        <v/>
      </c>
      <c r="D149" s="426" t="str">
        <f>IF('Statement of Marks'!D153="","",'Statement of Marks'!D153)</f>
        <v/>
      </c>
      <c r="E149" s="388" t="str">
        <f>IF('Statement of Marks'!E153="","",'Statement of Marks'!E153)</f>
        <v/>
      </c>
      <c r="F149" s="388" t="str">
        <f>IF('Statement of Marks'!F153="","",'Statement of Marks'!F153)</f>
        <v/>
      </c>
      <c r="G149" s="388" t="str">
        <f>IF('Statement of Marks'!G153="","",'Statement of Marks'!G153)</f>
        <v/>
      </c>
      <c r="H149" s="389" t="str">
        <f>IF('Statement of Marks'!H153="","",'Statement of Marks'!H153)</f>
        <v/>
      </c>
      <c r="I149" s="389" t="str">
        <f>IF('Statement of Marks'!I153="","",'Statement of Marks'!I153)</f>
        <v/>
      </c>
      <c r="J149" s="648" t="str">
        <f>IF('Statement of Marks'!GY153="","",'Statement of Marks'!GY153)</f>
        <v/>
      </c>
      <c r="K149" s="390" t="str">
        <f>IF(B149="","",IF('Statement of Marks'!GZ153="","",'Statement of Marks'!GZ153))</f>
        <v/>
      </c>
      <c r="L149" s="391" t="str">
        <f>IF('Statement of Marks'!HC153="","",'Statement of Marks'!HC153)</f>
        <v/>
      </c>
      <c r="M149" s="390" t="str">
        <f>IF('Statement of Marks'!HB153="","",'Statement of Marks'!HB153)</f>
        <v/>
      </c>
      <c r="N149" s="392" t="str">
        <f>IF(J149="FAIL","",IF('Statement of Marks'!GU153="","",'Statement of Marks'!GU153))</f>
        <v xml:space="preserve">    </v>
      </c>
      <c r="O149" s="393" t="str">
        <f>IF('Supp. Result Entry'!AS152="","",'Supp. Result Entry'!AS152)</f>
        <v/>
      </c>
      <c r="P149" s="394" t="str">
        <f>IF('Supp. Result Entry'!AT152="","",'Supp. Result Entry'!AT152)</f>
        <v/>
      </c>
      <c r="Q149" s="395" t="str">
        <f>IF('Statement of Marks'!HG153="","",'Statement of Marks'!HG153)</f>
        <v/>
      </c>
      <c r="R149" s="396" t="str">
        <f>IF('Statement of Marks'!FH153="","",'Statement of Marks'!FH153)</f>
        <v/>
      </c>
      <c r="BL149" s="397" t="str">
        <f>'Statement of Marks'!E153</f>
        <v/>
      </c>
      <c r="BM149" s="398" t="str">
        <f t="shared" si="24"/>
        <v/>
      </c>
      <c r="BN149" s="398" t="str">
        <f t="shared" si="25"/>
        <v/>
      </c>
      <c r="BO149" s="398" t="str">
        <f t="shared" si="26"/>
        <v/>
      </c>
      <c r="BP149" s="398" t="str">
        <f t="shared" si="27"/>
        <v/>
      </c>
      <c r="BQ149" s="398" t="str">
        <f t="shared" si="28"/>
        <v/>
      </c>
      <c r="BR149" s="398" t="str">
        <f t="shared" si="29"/>
        <v/>
      </c>
      <c r="BS149" s="398" t="str">
        <f t="shared" si="30"/>
        <v/>
      </c>
      <c r="BT149" s="398" t="str">
        <f t="shared" si="31"/>
        <v/>
      </c>
      <c r="BU149" s="398" t="str">
        <f t="shared" si="32"/>
        <v/>
      </c>
      <c r="BV149" s="398" t="str">
        <f t="shared" si="33"/>
        <v/>
      </c>
      <c r="BW149" s="398" t="str">
        <f t="shared" si="34"/>
        <v/>
      </c>
      <c r="BX149" s="398" t="str">
        <f t="shared" si="35"/>
        <v/>
      </c>
      <c r="BY149" s="399"/>
    </row>
    <row r="150" spans="1:77" ht="15" customHeight="1">
      <c r="A150" s="385">
        <f>IF('Statement of Marks'!A154="","",'Statement of Marks'!A154)</f>
        <v>147</v>
      </c>
      <c r="B150" s="386" t="str">
        <f>IF('Statement of Marks'!B154="","",'Statement of Marks'!B154)</f>
        <v/>
      </c>
      <c r="C150" s="387" t="str">
        <f>IF('Statement of Marks'!C154="","",'Statement of Marks'!C154)</f>
        <v/>
      </c>
      <c r="D150" s="426" t="str">
        <f>IF('Statement of Marks'!D154="","",'Statement of Marks'!D154)</f>
        <v/>
      </c>
      <c r="E150" s="388" t="str">
        <f>IF('Statement of Marks'!E154="","",'Statement of Marks'!E154)</f>
        <v/>
      </c>
      <c r="F150" s="388" t="str">
        <f>IF('Statement of Marks'!F154="","",'Statement of Marks'!F154)</f>
        <v/>
      </c>
      <c r="G150" s="388" t="str">
        <f>IF('Statement of Marks'!G154="","",'Statement of Marks'!G154)</f>
        <v/>
      </c>
      <c r="H150" s="389" t="str">
        <f>IF('Statement of Marks'!H154="","",'Statement of Marks'!H154)</f>
        <v/>
      </c>
      <c r="I150" s="389" t="str">
        <f>IF('Statement of Marks'!I154="","",'Statement of Marks'!I154)</f>
        <v/>
      </c>
      <c r="J150" s="648" t="str">
        <f>IF('Statement of Marks'!GY154="","",'Statement of Marks'!GY154)</f>
        <v/>
      </c>
      <c r="K150" s="390" t="str">
        <f>IF(B150="","",IF('Statement of Marks'!GZ154="","",'Statement of Marks'!GZ154))</f>
        <v/>
      </c>
      <c r="L150" s="391" t="str">
        <f>IF('Statement of Marks'!HC154="","",'Statement of Marks'!HC154)</f>
        <v/>
      </c>
      <c r="M150" s="390" t="str">
        <f>IF('Statement of Marks'!HB154="","",'Statement of Marks'!HB154)</f>
        <v/>
      </c>
      <c r="N150" s="392" t="str">
        <f>IF(J150="FAIL","",IF('Statement of Marks'!GU154="","",'Statement of Marks'!GU154))</f>
        <v xml:space="preserve">    </v>
      </c>
      <c r="O150" s="393" t="str">
        <f>IF('Supp. Result Entry'!AS153="","",'Supp. Result Entry'!AS153)</f>
        <v/>
      </c>
      <c r="P150" s="394" t="str">
        <f>IF('Supp. Result Entry'!AT153="","",'Supp. Result Entry'!AT153)</f>
        <v/>
      </c>
      <c r="Q150" s="395" t="str">
        <f>IF('Statement of Marks'!HG154="","",'Statement of Marks'!HG154)</f>
        <v/>
      </c>
      <c r="R150" s="396" t="str">
        <f>IF('Statement of Marks'!FH154="","",'Statement of Marks'!FH154)</f>
        <v/>
      </c>
      <c r="BL150" s="397" t="str">
        <f>'Statement of Marks'!E154</f>
        <v/>
      </c>
      <c r="BM150" s="398" t="str">
        <f t="shared" si="24"/>
        <v/>
      </c>
      <c r="BN150" s="398" t="str">
        <f t="shared" si="25"/>
        <v/>
      </c>
      <c r="BO150" s="398" t="str">
        <f t="shared" si="26"/>
        <v/>
      </c>
      <c r="BP150" s="398" t="str">
        <f t="shared" si="27"/>
        <v/>
      </c>
      <c r="BQ150" s="398" t="str">
        <f t="shared" si="28"/>
        <v/>
      </c>
      <c r="BR150" s="398" t="str">
        <f t="shared" si="29"/>
        <v/>
      </c>
      <c r="BS150" s="398" t="str">
        <f t="shared" si="30"/>
        <v/>
      </c>
      <c r="BT150" s="398" t="str">
        <f t="shared" si="31"/>
        <v/>
      </c>
      <c r="BU150" s="398" t="str">
        <f t="shared" si="32"/>
        <v/>
      </c>
      <c r="BV150" s="398" t="str">
        <f t="shared" si="33"/>
        <v/>
      </c>
      <c r="BW150" s="398" t="str">
        <f t="shared" si="34"/>
        <v/>
      </c>
      <c r="BX150" s="398" t="str">
        <f t="shared" si="35"/>
        <v/>
      </c>
      <c r="BY150" s="399"/>
    </row>
    <row r="151" spans="1:77" ht="15" customHeight="1">
      <c r="A151" s="385">
        <f>IF('Statement of Marks'!A155="","",'Statement of Marks'!A155)</f>
        <v>148</v>
      </c>
      <c r="B151" s="386" t="str">
        <f>IF('Statement of Marks'!B155="","",'Statement of Marks'!B155)</f>
        <v/>
      </c>
      <c r="C151" s="387" t="str">
        <f>IF('Statement of Marks'!C155="","",'Statement of Marks'!C155)</f>
        <v/>
      </c>
      <c r="D151" s="426" t="str">
        <f>IF('Statement of Marks'!D155="","",'Statement of Marks'!D155)</f>
        <v/>
      </c>
      <c r="E151" s="388" t="str">
        <f>IF('Statement of Marks'!E155="","",'Statement of Marks'!E155)</f>
        <v/>
      </c>
      <c r="F151" s="388" t="str">
        <f>IF('Statement of Marks'!F155="","",'Statement of Marks'!F155)</f>
        <v/>
      </c>
      <c r="G151" s="388" t="str">
        <f>IF('Statement of Marks'!G155="","",'Statement of Marks'!G155)</f>
        <v/>
      </c>
      <c r="H151" s="389" t="str">
        <f>IF('Statement of Marks'!H155="","",'Statement of Marks'!H155)</f>
        <v/>
      </c>
      <c r="I151" s="389" t="str">
        <f>IF('Statement of Marks'!I155="","",'Statement of Marks'!I155)</f>
        <v/>
      </c>
      <c r="J151" s="648" t="str">
        <f>IF('Statement of Marks'!GY155="","",'Statement of Marks'!GY155)</f>
        <v/>
      </c>
      <c r="K151" s="390" t="str">
        <f>IF(B151="","",IF('Statement of Marks'!GZ155="","",'Statement of Marks'!GZ155))</f>
        <v/>
      </c>
      <c r="L151" s="391" t="str">
        <f>IF('Statement of Marks'!HC155="","",'Statement of Marks'!HC155)</f>
        <v/>
      </c>
      <c r="M151" s="390" t="str">
        <f>IF('Statement of Marks'!HB155="","",'Statement of Marks'!HB155)</f>
        <v/>
      </c>
      <c r="N151" s="392" t="str">
        <f>IF(J151="FAIL","",IF('Statement of Marks'!GU155="","",'Statement of Marks'!GU155))</f>
        <v xml:space="preserve">    </v>
      </c>
      <c r="O151" s="393" t="str">
        <f>IF('Supp. Result Entry'!AS154="","",'Supp. Result Entry'!AS154)</f>
        <v/>
      </c>
      <c r="P151" s="394" t="str">
        <f>IF('Supp. Result Entry'!AT154="","",'Supp. Result Entry'!AT154)</f>
        <v/>
      </c>
      <c r="Q151" s="395" t="str">
        <f>IF('Statement of Marks'!HG155="","",'Statement of Marks'!HG155)</f>
        <v/>
      </c>
      <c r="R151" s="396" t="str">
        <f>IF('Statement of Marks'!FH155="","",'Statement of Marks'!FH155)</f>
        <v/>
      </c>
      <c r="BL151" s="397" t="str">
        <f>'Statement of Marks'!E155</f>
        <v/>
      </c>
      <c r="BM151" s="398" t="str">
        <f t="shared" si="24"/>
        <v/>
      </c>
      <c r="BN151" s="398" t="str">
        <f t="shared" si="25"/>
        <v/>
      </c>
      <c r="BO151" s="398" t="str">
        <f t="shared" si="26"/>
        <v/>
      </c>
      <c r="BP151" s="398" t="str">
        <f t="shared" si="27"/>
        <v/>
      </c>
      <c r="BQ151" s="398" t="str">
        <f t="shared" si="28"/>
        <v/>
      </c>
      <c r="BR151" s="398" t="str">
        <f t="shared" si="29"/>
        <v/>
      </c>
      <c r="BS151" s="398" t="str">
        <f t="shared" si="30"/>
        <v/>
      </c>
      <c r="BT151" s="398" t="str">
        <f t="shared" si="31"/>
        <v/>
      </c>
      <c r="BU151" s="398" t="str">
        <f t="shared" si="32"/>
        <v/>
      </c>
      <c r="BV151" s="398" t="str">
        <f t="shared" si="33"/>
        <v/>
      </c>
      <c r="BW151" s="398" t="str">
        <f t="shared" si="34"/>
        <v/>
      </c>
      <c r="BX151" s="398" t="str">
        <f t="shared" si="35"/>
        <v/>
      </c>
      <c r="BY151" s="399"/>
    </row>
    <row r="152" spans="1:77" ht="15" customHeight="1">
      <c r="A152" s="385">
        <f>IF('Statement of Marks'!A156="","",'Statement of Marks'!A156)</f>
        <v>149</v>
      </c>
      <c r="B152" s="386" t="str">
        <f>IF('Statement of Marks'!B156="","",'Statement of Marks'!B156)</f>
        <v/>
      </c>
      <c r="C152" s="387" t="str">
        <f>IF('Statement of Marks'!C156="","",'Statement of Marks'!C156)</f>
        <v/>
      </c>
      <c r="D152" s="426" t="str">
        <f>IF('Statement of Marks'!D156="","",'Statement of Marks'!D156)</f>
        <v/>
      </c>
      <c r="E152" s="388" t="str">
        <f>IF('Statement of Marks'!E156="","",'Statement of Marks'!E156)</f>
        <v/>
      </c>
      <c r="F152" s="388" t="str">
        <f>IF('Statement of Marks'!F156="","",'Statement of Marks'!F156)</f>
        <v/>
      </c>
      <c r="G152" s="388" t="str">
        <f>IF('Statement of Marks'!G156="","",'Statement of Marks'!G156)</f>
        <v/>
      </c>
      <c r="H152" s="389" t="str">
        <f>IF('Statement of Marks'!H156="","",'Statement of Marks'!H156)</f>
        <v/>
      </c>
      <c r="I152" s="389" t="str">
        <f>IF('Statement of Marks'!I156="","",'Statement of Marks'!I156)</f>
        <v/>
      </c>
      <c r="J152" s="648" t="str">
        <f>IF('Statement of Marks'!GY156="","",'Statement of Marks'!GY156)</f>
        <v/>
      </c>
      <c r="K152" s="390" t="str">
        <f>IF(B152="","",IF('Statement of Marks'!GZ156="","",'Statement of Marks'!GZ156))</f>
        <v/>
      </c>
      <c r="L152" s="391" t="str">
        <f>IF('Statement of Marks'!HC156="","",'Statement of Marks'!HC156)</f>
        <v/>
      </c>
      <c r="M152" s="390" t="str">
        <f>IF('Statement of Marks'!HB156="","",'Statement of Marks'!HB156)</f>
        <v/>
      </c>
      <c r="N152" s="392" t="str">
        <f>IF(J152="FAIL","",IF('Statement of Marks'!GU156="","",'Statement of Marks'!GU156))</f>
        <v xml:space="preserve">    </v>
      </c>
      <c r="O152" s="393" t="str">
        <f>IF('Supp. Result Entry'!AS155="","",'Supp. Result Entry'!AS155)</f>
        <v/>
      </c>
      <c r="P152" s="394" t="str">
        <f>IF('Supp. Result Entry'!AT155="","",'Supp. Result Entry'!AT155)</f>
        <v/>
      </c>
      <c r="Q152" s="395" t="str">
        <f>IF('Statement of Marks'!HG156="","",'Statement of Marks'!HG156)</f>
        <v/>
      </c>
      <c r="R152" s="396" t="str">
        <f>IF('Statement of Marks'!FH156="","",'Statement of Marks'!FH156)</f>
        <v/>
      </c>
      <c r="BL152" s="397" t="str">
        <f>'Statement of Marks'!E156</f>
        <v/>
      </c>
      <c r="BM152" s="398" t="str">
        <f t="shared" si="24"/>
        <v/>
      </c>
      <c r="BN152" s="398" t="str">
        <f t="shared" si="25"/>
        <v/>
      </c>
      <c r="BO152" s="398" t="str">
        <f t="shared" si="26"/>
        <v/>
      </c>
      <c r="BP152" s="398" t="str">
        <f t="shared" si="27"/>
        <v/>
      </c>
      <c r="BQ152" s="398" t="str">
        <f t="shared" si="28"/>
        <v/>
      </c>
      <c r="BR152" s="398" t="str">
        <f t="shared" si="29"/>
        <v/>
      </c>
      <c r="BS152" s="398" t="str">
        <f t="shared" si="30"/>
        <v/>
      </c>
      <c r="BT152" s="398" t="str">
        <f t="shared" si="31"/>
        <v/>
      </c>
      <c r="BU152" s="398" t="str">
        <f t="shared" si="32"/>
        <v/>
      </c>
      <c r="BV152" s="398" t="str">
        <f t="shared" si="33"/>
        <v/>
      </c>
      <c r="BW152" s="398" t="str">
        <f t="shared" si="34"/>
        <v/>
      </c>
      <c r="BX152" s="398" t="str">
        <f t="shared" si="35"/>
        <v/>
      </c>
      <c r="BY152" s="399"/>
    </row>
    <row r="153" spans="1:77" ht="15" customHeight="1">
      <c r="A153" s="385">
        <f>IF('Statement of Marks'!A157="","",'Statement of Marks'!A157)</f>
        <v>150</v>
      </c>
      <c r="B153" s="386" t="str">
        <f>IF('Statement of Marks'!B157="","",'Statement of Marks'!B157)</f>
        <v/>
      </c>
      <c r="C153" s="387" t="str">
        <f>IF('Statement of Marks'!C157="","",'Statement of Marks'!C157)</f>
        <v/>
      </c>
      <c r="D153" s="426" t="str">
        <f>IF('Statement of Marks'!D157="","",'Statement of Marks'!D157)</f>
        <v/>
      </c>
      <c r="E153" s="388" t="str">
        <f>IF('Statement of Marks'!E157="","",'Statement of Marks'!E157)</f>
        <v/>
      </c>
      <c r="F153" s="388" t="str">
        <f>IF('Statement of Marks'!F157="","",'Statement of Marks'!F157)</f>
        <v/>
      </c>
      <c r="G153" s="388" t="str">
        <f>IF('Statement of Marks'!G157="","",'Statement of Marks'!G157)</f>
        <v/>
      </c>
      <c r="H153" s="389" t="str">
        <f>IF('Statement of Marks'!H157="","",'Statement of Marks'!H157)</f>
        <v/>
      </c>
      <c r="I153" s="389" t="str">
        <f>IF('Statement of Marks'!I157="","",'Statement of Marks'!I157)</f>
        <v/>
      </c>
      <c r="J153" s="648" t="str">
        <f>IF('Statement of Marks'!GY157="","",'Statement of Marks'!GY157)</f>
        <v/>
      </c>
      <c r="K153" s="390" t="str">
        <f>IF(B153="","",IF('Statement of Marks'!GZ157="","",'Statement of Marks'!GZ157))</f>
        <v/>
      </c>
      <c r="L153" s="391" t="str">
        <f>IF('Statement of Marks'!HC157="","",'Statement of Marks'!HC157)</f>
        <v/>
      </c>
      <c r="M153" s="390" t="str">
        <f>IF('Statement of Marks'!HB157="","",'Statement of Marks'!HB157)</f>
        <v/>
      </c>
      <c r="N153" s="392" t="str">
        <f>IF(J153="FAIL","",IF('Statement of Marks'!GU157="","",'Statement of Marks'!GU157))</f>
        <v xml:space="preserve">    </v>
      </c>
      <c r="O153" s="393" t="str">
        <f>IF('Supp. Result Entry'!AS156="","",'Supp. Result Entry'!AS156)</f>
        <v/>
      </c>
      <c r="P153" s="394" t="str">
        <f>IF('Supp. Result Entry'!AT156="","",'Supp. Result Entry'!AT156)</f>
        <v/>
      </c>
      <c r="Q153" s="395" t="str">
        <f>IF('Statement of Marks'!HG157="","",'Statement of Marks'!HG157)</f>
        <v/>
      </c>
      <c r="R153" s="396" t="str">
        <f>IF('Statement of Marks'!FH157="","",'Statement of Marks'!FH157)</f>
        <v/>
      </c>
      <c r="BL153" s="397" t="str">
        <f>'Statement of Marks'!E157</f>
        <v/>
      </c>
      <c r="BM153" s="398" t="str">
        <f t="shared" si="24"/>
        <v/>
      </c>
      <c r="BN153" s="398" t="str">
        <f t="shared" si="25"/>
        <v/>
      </c>
      <c r="BO153" s="398" t="str">
        <f t="shared" si="26"/>
        <v/>
      </c>
      <c r="BP153" s="398" t="str">
        <f t="shared" si="27"/>
        <v/>
      </c>
      <c r="BQ153" s="398" t="str">
        <f t="shared" si="28"/>
        <v/>
      </c>
      <c r="BR153" s="398" t="str">
        <f t="shared" si="29"/>
        <v/>
      </c>
      <c r="BS153" s="398" t="str">
        <f t="shared" si="30"/>
        <v/>
      </c>
      <c r="BT153" s="398" t="str">
        <f t="shared" si="31"/>
        <v/>
      </c>
      <c r="BU153" s="398" t="str">
        <f t="shared" si="32"/>
        <v/>
      </c>
      <c r="BV153" s="398" t="str">
        <f t="shared" si="33"/>
        <v/>
      </c>
      <c r="BW153" s="398" t="str">
        <f t="shared" si="34"/>
        <v/>
      </c>
      <c r="BX153" s="398" t="str">
        <f t="shared" si="35"/>
        <v/>
      </c>
      <c r="BY153" s="399"/>
    </row>
    <row r="154" spans="1:77" ht="15" customHeight="1">
      <c r="A154" s="385">
        <f>IF('Statement of Marks'!A158="","",'Statement of Marks'!A158)</f>
        <v>151</v>
      </c>
      <c r="B154" s="386" t="str">
        <f>IF('Statement of Marks'!B158="","",'Statement of Marks'!B158)</f>
        <v/>
      </c>
      <c r="C154" s="387" t="str">
        <f>IF('Statement of Marks'!C158="","",'Statement of Marks'!C158)</f>
        <v/>
      </c>
      <c r="D154" s="426" t="str">
        <f>IF('Statement of Marks'!D158="","",'Statement of Marks'!D158)</f>
        <v/>
      </c>
      <c r="E154" s="388" t="str">
        <f>IF('Statement of Marks'!E158="","",'Statement of Marks'!E158)</f>
        <v/>
      </c>
      <c r="F154" s="388" t="str">
        <f>IF('Statement of Marks'!F158="","",'Statement of Marks'!F158)</f>
        <v/>
      </c>
      <c r="G154" s="388" t="str">
        <f>IF('Statement of Marks'!G158="","",'Statement of Marks'!G158)</f>
        <v/>
      </c>
      <c r="H154" s="389" t="str">
        <f>IF('Statement of Marks'!H158="","",'Statement of Marks'!H158)</f>
        <v/>
      </c>
      <c r="I154" s="389" t="str">
        <f>IF('Statement of Marks'!I158="","",'Statement of Marks'!I158)</f>
        <v/>
      </c>
      <c r="J154" s="648" t="str">
        <f>IF('Statement of Marks'!GY158="","",'Statement of Marks'!GY158)</f>
        <v/>
      </c>
      <c r="K154" s="390" t="str">
        <f>IF(B154="","",IF('Statement of Marks'!GZ158="","",'Statement of Marks'!GZ158))</f>
        <v/>
      </c>
      <c r="L154" s="391" t="str">
        <f>IF('Statement of Marks'!HC158="","",'Statement of Marks'!HC158)</f>
        <v/>
      </c>
      <c r="M154" s="390" t="str">
        <f>IF('Statement of Marks'!HB158="","",'Statement of Marks'!HB158)</f>
        <v/>
      </c>
      <c r="N154" s="392" t="str">
        <f>IF(J154="FAIL","",IF('Statement of Marks'!GU158="","",'Statement of Marks'!GU158))</f>
        <v xml:space="preserve">    </v>
      </c>
      <c r="O154" s="393" t="str">
        <f>IF('Supp. Result Entry'!AS157="","",'Supp. Result Entry'!AS157)</f>
        <v/>
      </c>
      <c r="P154" s="394" t="str">
        <f>IF('Supp. Result Entry'!AT157="","",'Supp. Result Entry'!AT157)</f>
        <v/>
      </c>
      <c r="Q154" s="395" t="str">
        <f>IF('Statement of Marks'!HG158="","",'Statement of Marks'!HG158)</f>
        <v/>
      </c>
      <c r="R154" s="396" t="str">
        <f>IF('Statement of Marks'!FH158="","",'Statement of Marks'!FH158)</f>
        <v/>
      </c>
      <c r="BL154" s="397" t="str">
        <f>'Statement of Marks'!E158</f>
        <v/>
      </c>
      <c r="BM154" s="398" t="str">
        <f t="shared" si="24"/>
        <v/>
      </c>
      <c r="BN154" s="398" t="str">
        <f t="shared" si="25"/>
        <v/>
      </c>
      <c r="BO154" s="398" t="str">
        <f t="shared" si="26"/>
        <v/>
      </c>
      <c r="BP154" s="398" t="str">
        <f t="shared" si="27"/>
        <v/>
      </c>
      <c r="BQ154" s="398" t="str">
        <f t="shared" si="28"/>
        <v/>
      </c>
      <c r="BR154" s="398" t="str">
        <f t="shared" si="29"/>
        <v/>
      </c>
      <c r="BS154" s="398" t="str">
        <f t="shared" si="30"/>
        <v/>
      </c>
      <c r="BT154" s="398" t="str">
        <f t="shared" si="31"/>
        <v/>
      </c>
      <c r="BU154" s="398" t="str">
        <f t="shared" si="32"/>
        <v/>
      </c>
      <c r="BV154" s="398" t="str">
        <f t="shared" si="33"/>
        <v/>
      </c>
      <c r="BW154" s="398" t="str">
        <f t="shared" si="34"/>
        <v/>
      </c>
      <c r="BX154" s="398" t="str">
        <f t="shared" si="35"/>
        <v/>
      </c>
      <c r="BY154" s="399"/>
    </row>
    <row r="155" spans="1:77" ht="15" customHeight="1">
      <c r="A155" s="385">
        <f>IF('Statement of Marks'!A159="","",'Statement of Marks'!A159)</f>
        <v>152</v>
      </c>
      <c r="B155" s="386" t="str">
        <f>IF('Statement of Marks'!B159="","",'Statement of Marks'!B159)</f>
        <v/>
      </c>
      <c r="C155" s="387" t="str">
        <f>IF('Statement of Marks'!C159="","",'Statement of Marks'!C159)</f>
        <v/>
      </c>
      <c r="D155" s="426" t="str">
        <f>IF('Statement of Marks'!D159="","",'Statement of Marks'!D159)</f>
        <v/>
      </c>
      <c r="E155" s="388" t="str">
        <f>IF('Statement of Marks'!E159="","",'Statement of Marks'!E159)</f>
        <v/>
      </c>
      <c r="F155" s="388" t="str">
        <f>IF('Statement of Marks'!F159="","",'Statement of Marks'!F159)</f>
        <v/>
      </c>
      <c r="G155" s="388" t="str">
        <f>IF('Statement of Marks'!G159="","",'Statement of Marks'!G159)</f>
        <v/>
      </c>
      <c r="H155" s="389" t="str">
        <f>IF('Statement of Marks'!H159="","",'Statement of Marks'!H159)</f>
        <v/>
      </c>
      <c r="I155" s="389" t="str">
        <f>IF('Statement of Marks'!I159="","",'Statement of Marks'!I159)</f>
        <v/>
      </c>
      <c r="J155" s="648" t="str">
        <f>IF('Statement of Marks'!GY159="","",'Statement of Marks'!GY159)</f>
        <v/>
      </c>
      <c r="K155" s="390" t="str">
        <f>IF(B155="","",IF('Statement of Marks'!GZ159="","",'Statement of Marks'!GZ159))</f>
        <v/>
      </c>
      <c r="L155" s="391" t="str">
        <f>IF('Statement of Marks'!HC159="","",'Statement of Marks'!HC159)</f>
        <v/>
      </c>
      <c r="M155" s="390" t="str">
        <f>IF('Statement of Marks'!HB159="","",'Statement of Marks'!HB159)</f>
        <v/>
      </c>
      <c r="N155" s="392" t="str">
        <f>IF(J155="FAIL","",IF('Statement of Marks'!GU159="","",'Statement of Marks'!GU159))</f>
        <v xml:space="preserve">    </v>
      </c>
      <c r="O155" s="393" t="str">
        <f>IF('Supp. Result Entry'!AS158="","",'Supp. Result Entry'!AS158)</f>
        <v/>
      </c>
      <c r="P155" s="394" t="str">
        <f>IF('Supp. Result Entry'!AT158="","",'Supp. Result Entry'!AT158)</f>
        <v/>
      </c>
      <c r="Q155" s="395" t="str">
        <f>IF('Statement of Marks'!HG159="","",'Statement of Marks'!HG159)</f>
        <v/>
      </c>
      <c r="R155" s="396" t="str">
        <f>IF('Statement of Marks'!FH159="","",'Statement of Marks'!FH159)</f>
        <v/>
      </c>
      <c r="BL155" s="397" t="str">
        <f>'Statement of Marks'!E159</f>
        <v/>
      </c>
      <c r="BM155" s="398" t="str">
        <f t="shared" si="24"/>
        <v/>
      </c>
      <c r="BN155" s="398" t="str">
        <f t="shared" si="25"/>
        <v/>
      </c>
      <c r="BO155" s="398" t="str">
        <f t="shared" si="26"/>
        <v/>
      </c>
      <c r="BP155" s="398" t="str">
        <f t="shared" si="27"/>
        <v/>
      </c>
      <c r="BQ155" s="398" t="str">
        <f t="shared" si="28"/>
        <v/>
      </c>
      <c r="BR155" s="398" t="str">
        <f t="shared" si="29"/>
        <v/>
      </c>
      <c r="BS155" s="398" t="str">
        <f t="shared" si="30"/>
        <v/>
      </c>
      <c r="BT155" s="398" t="str">
        <f t="shared" si="31"/>
        <v/>
      </c>
      <c r="BU155" s="398" t="str">
        <f t="shared" si="32"/>
        <v/>
      </c>
      <c r="BV155" s="398" t="str">
        <f t="shared" si="33"/>
        <v/>
      </c>
      <c r="BW155" s="398" t="str">
        <f t="shared" si="34"/>
        <v/>
      </c>
      <c r="BX155" s="398" t="str">
        <f t="shared" si="35"/>
        <v/>
      </c>
      <c r="BY155" s="399"/>
    </row>
    <row r="156" spans="1:77" ht="15" customHeight="1">
      <c r="A156" s="385">
        <f>IF('Statement of Marks'!A160="","",'Statement of Marks'!A160)</f>
        <v>153</v>
      </c>
      <c r="B156" s="386" t="str">
        <f>IF('Statement of Marks'!B160="","",'Statement of Marks'!B160)</f>
        <v/>
      </c>
      <c r="C156" s="387" t="str">
        <f>IF('Statement of Marks'!C160="","",'Statement of Marks'!C160)</f>
        <v/>
      </c>
      <c r="D156" s="426" t="str">
        <f>IF('Statement of Marks'!D160="","",'Statement of Marks'!D160)</f>
        <v/>
      </c>
      <c r="E156" s="388" t="str">
        <f>IF('Statement of Marks'!E160="","",'Statement of Marks'!E160)</f>
        <v/>
      </c>
      <c r="F156" s="388" t="str">
        <f>IF('Statement of Marks'!F160="","",'Statement of Marks'!F160)</f>
        <v/>
      </c>
      <c r="G156" s="388" t="str">
        <f>IF('Statement of Marks'!G160="","",'Statement of Marks'!G160)</f>
        <v/>
      </c>
      <c r="H156" s="389" t="str">
        <f>IF('Statement of Marks'!H160="","",'Statement of Marks'!H160)</f>
        <v/>
      </c>
      <c r="I156" s="389" t="str">
        <f>IF('Statement of Marks'!I160="","",'Statement of Marks'!I160)</f>
        <v/>
      </c>
      <c r="J156" s="648" t="str">
        <f>IF('Statement of Marks'!GY160="","",'Statement of Marks'!GY160)</f>
        <v/>
      </c>
      <c r="K156" s="390" t="str">
        <f>IF(B156="","",IF('Statement of Marks'!GZ160="","",'Statement of Marks'!GZ160))</f>
        <v/>
      </c>
      <c r="L156" s="391" t="str">
        <f>IF('Statement of Marks'!HC160="","",'Statement of Marks'!HC160)</f>
        <v/>
      </c>
      <c r="M156" s="390" t="str">
        <f>IF('Statement of Marks'!HB160="","",'Statement of Marks'!HB160)</f>
        <v/>
      </c>
      <c r="N156" s="392" t="str">
        <f>IF(J156="FAIL","",IF('Statement of Marks'!GU160="","",'Statement of Marks'!GU160))</f>
        <v xml:space="preserve">    </v>
      </c>
      <c r="O156" s="393" t="str">
        <f>IF('Supp. Result Entry'!AS159="","",'Supp. Result Entry'!AS159)</f>
        <v/>
      </c>
      <c r="P156" s="394" t="str">
        <f>IF('Supp. Result Entry'!AT159="","",'Supp. Result Entry'!AT159)</f>
        <v/>
      </c>
      <c r="Q156" s="395" t="str">
        <f>IF('Statement of Marks'!HG160="","",'Statement of Marks'!HG160)</f>
        <v/>
      </c>
      <c r="R156" s="396" t="str">
        <f>IF('Statement of Marks'!FH160="","",'Statement of Marks'!FH160)</f>
        <v/>
      </c>
      <c r="BL156" s="397" t="str">
        <f>'Statement of Marks'!E160</f>
        <v/>
      </c>
      <c r="BM156" s="398" t="str">
        <f t="shared" si="24"/>
        <v/>
      </c>
      <c r="BN156" s="398" t="str">
        <f t="shared" si="25"/>
        <v/>
      </c>
      <c r="BO156" s="398" t="str">
        <f t="shared" si="26"/>
        <v/>
      </c>
      <c r="BP156" s="398" t="str">
        <f t="shared" si="27"/>
        <v/>
      </c>
      <c r="BQ156" s="398" t="str">
        <f t="shared" si="28"/>
        <v/>
      </c>
      <c r="BR156" s="398" t="str">
        <f t="shared" si="29"/>
        <v/>
      </c>
      <c r="BS156" s="398" t="str">
        <f t="shared" si="30"/>
        <v/>
      </c>
      <c r="BT156" s="398" t="str">
        <f t="shared" si="31"/>
        <v/>
      </c>
      <c r="BU156" s="398" t="str">
        <f t="shared" si="32"/>
        <v/>
      </c>
      <c r="BV156" s="398" t="str">
        <f t="shared" si="33"/>
        <v/>
      </c>
      <c r="BW156" s="398" t="str">
        <f t="shared" si="34"/>
        <v/>
      </c>
      <c r="BX156" s="398" t="str">
        <f t="shared" si="35"/>
        <v/>
      </c>
      <c r="BY156" s="399"/>
    </row>
    <row r="157" spans="1:77" ht="15" customHeight="1">
      <c r="A157" s="385">
        <f>IF('Statement of Marks'!A161="","",'Statement of Marks'!A161)</f>
        <v>154</v>
      </c>
      <c r="B157" s="386" t="str">
        <f>IF('Statement of Marks'!B161="","",'Statement of Marks'!B161)</f>
        <v/>
      </c>
      <c r="C157" s="387" t="str">
        <f>IF('Statement of Marks'!C161="","",'Statement of Marks'!C161)</f>
        <v/>
      </c>
      <c r="D157" s="426" t="str">
        <f>IF('Statement of Marks'!D161="","",'Statement of Marks'!D161)</f>
        <v/>
      </c>
      <c r="E157" s="388" t="str">
        <f>IF('Statement of Marks'!E161="","",'Statement of Marks'!E161)</f>
        <v/>
      </c>
      <c r="F157" s="388" t="str">
        <f>IF('Statement of Marks'!F161="","",'Statement of Marks'!F161)</f>
        <v/>
      </c>
      <c r="G157" s="388" t="str">
        <f>IF('Statement of Marks'!G161="","",'Statement of Marks'!G161)</f>
        <v/>
      </c>
      <c r="H157" s="389" t="str">
        <f>IF('Statement of Marks'!H161="","",'Statement of Marks'!H161)</f>
        <v/>
      </c>
      <c r="I157" s="389" t="str">
        <f>IF('Statement of Marks'!I161="","",'Statement of Marks'!I161)</f>
        <v/>
      </c>
      <c r="J157" s="648" t="str">
        <f>IF('Statement of Marks'!GY161="","",'Statement of Marks'!GY161)</f>
        <v/>
      </c>
      <c r="K157" s="390" t="str">
        <f>IF(B157="","",IF('Statement of Marks'!GZ161="","",'Statement of Marks'!GZ161))</f>
        <v/>
      </c>
      <c r="L157" s="391" t="str">
        <f>IF('Statement of Marks'!HC161="","",'Statement of Marks'!HC161)</f>
        <v/>
      </c>
      <c r="M157" s="390" t="str">
        <f>IF('Statement of Marks'!HB161="","",'Statement of Marks'!HB161)</f>
        <v/>
      </c>
      <c r="N157" s="392" t="str">
        <f>IF(J157="FAIL","",IF('Statement of Marks'!GU161="","",'Statement of Marks'!GU161))</f>
        <v xml:space="preserve">    </v>
      </c>
      <c r="O157" s="393" t="str">
        <f>IF('Supp. Result Entry'!AS160="","",'Supp. Result Entry'!AS160)</f>
        <v/>
      </c>
      <c r="P157" s="394" t="str">
        <f>IF('Supp. Result Entry'!AT160="","",'Supp. Result Entry'!AT160)</f>
        <v/>
      </c>
      <c r="Q157" s="395" t="str">
        <f>IF('Statement of Marks'!HG161="","",'Statement of Marks'!HG161)</f>
        <v/>
      </c>
      <c r="R157" s="396" t="str">
        <f>IF('Statement of Marks'!FH161="","",'Statement of Marks'!FH161)</f>
        <v/>
      </c>
      <c r="BL157" s="397" t="str">
        <f>'Statement of Marks'!E161</f>
        <v/>
      </c>
      <c r="BM157" s="398" t="str">
        <f t="shared" si="24"/>
        <v/>
      </c>
      <c r="BN157" s="398" t="str">
        <f t="shared" si="25"/>
        <v/>
      </c>
      <c r="BO157" s="398" t="str">
        <f t="shared" si="26"/>
        <v/>
      </c>
      <c r="BP157" s="398" t="str">
        <f t="shared" si="27"/>
        <v/>
      </c>
      <c r="BQ157" s="398" t="str">
        <f t="shared" si="28"/>
        <v/>
      </c>
      <c r="BR157" s="398" t="str">
        <f t="shared" si="29"/>
        <v/>
      </c>
      <c r="BS157" s="398" t="str">
        <f t="shared" si="30"/>
        <v/>
      </c>
      <c r="BT157" s="398" t="str">
        <f t="shared" si="31"/>
        <v/>
      </c>
      <c r="BU157" s="398" t="str">
        <f t="shared" si="32"/>
        <v/>
      </c>
      <c r="BV157" s="398" t="str">
        <f t="shared" si="33"/>
        <v/>
      </c>
      <c r="BW157" s="398" t="str">
        <f t="shared" si="34"/>
        <v/>
      </c>
      <c r="BX157" s="398" t="str">
        <f t="shared" si="35"/>
        <v/>
      </c>
      <c r="BY157" s="399"/>
    </row>
    <row r="158" spans="1:77" ht="15" customHeight="1">
      <c r="A158" s="385">
        <f>IF('Statement of Marks'!A162="","",'Statement of Marks'!A162)</f>
        <v>155</v>
      </c>
      <c r="B158" s="386" t="str">
        <f>IF('Statement of Marks'!B162="","",'Statement of Marks'!B162)</f>
        <v/>
      </c>
      <c r="C158" s="387" t="str">
        <f>IF('Statement of Marks'!C162="","",'Statement of Marks'!C162)</f>
        <v/>
      </c>
      <c r="D158" s="426" t="str">
        <f>IF('Statement of Marks'!D162="","",'Statement of Marks'!D162)</f>
        <v/>
      </c>
      <c r="E158" s="388" t="str">
        <f>IF('Statement of Marks'!E162="","",'Statement of Marks'!E162)</f>
        <v/>
      </c>
      <c r="F158" s="388" t="str">
        <f>IF('Statement of Marks'!F162="","",'Statement of Marks'!F162)</f>
        <v/>
      </c>
      <c r="G158" s="388" t="str">
        <f>IF('Statement of Marks'!G162="","",'Statement of Marks'!G162)</f>
        <v/>
      </c>
      <c r="H158" s="389" t="str">
        <f>IF('Statement of Marks'!H162="","",'Statement of Marks'!H162)</f>
        <v/>
      </c>
      <c r="I158" s="389" t="str">
        <f>IF('Statement of Marks'!I162="","",'Statement of Marks'!I162)</f>
        <v/>
      </c>
      <c r="J158" s="648" t="str">
        <f>IF('Statement of Marks'!GY162="","",'Statement of Marks'!GY162)</f>
        <v/>
      </c>
      <c r="K158" s="390" t="str">
        <f>IF(B158="","",IF('Statement of Marks'!GZ162="","",'Statement of Marks'!GZ162))</f>
        <v/>
      </c>
      <c r="L158" s="391" t="str">
        <f>IF('Statement of Marks'!HC162="","",'Statement of Marks'!HC162)</f>
        <v/>
      </c>
      <c r="M158" s="390" t="str">
        <f>IF('Statement of Marks'!HB162="","",'Statement of Marks'!HB162)</f>
        <v/>
      </c>
      <c r="N158" s="392" t="str">
        <f>IF(J158="FAIL","",IF('Statement of Marks'!GU162="","",'Statement of Marks'!GU162))</f>
        <v xml:space="preserve">    </v>
      </c>
      <c r="O158" s="393" t="str">
        <f>IF('Supp. Result Entry'!AS161="","",'Supp. Result Entry'!AS161)</f>
        <v/>
      </c>
      <c r="P158" s="394" t="str">
        <f>IF('Supp. Result Entry'!AT161="","",'Supp. Result Entry'!AT161)</f>
        <v/>
      </c>
      <c r="Q158" s="395" t="str">
        <f>IF('Statement of Marks'!HG162="","",'Statement of Marks'!HG162)</f>
        <v/>
      </c>
      <c r="R158" s="396" t="str">
        <f>IF('Statement of Marks'!FH162="","",'Statement of Marks'!FH162)</f>
        <v/>
      </c>
      <c r="BL158" s="397" t="str">
        <f>'Statement of Marks'!E162</f>
        <v/>
      </c>
      <c r="BM158" s="398" t="str">
        <f t="shared" si="24"/>
        <v/>
      </c>
      <c r="BN158" s="398" t="str">
        <f t="shared" si="25"/>
        <v/>
      </c>
      <c r="BO158" s="398" t="str">
        <f t="shared" si="26"/>
        <v/>
      </c>
      <c r="BP158" s="398" t="str">
        <f t="shared" si="27"/>
        <v/>
      </c>
      <c r="BQ158" s="398" t="str">
        <f t="shared" si="28"/>
        <v/>
      </c>
      <c r="BR158" s="398" t="str">
        <f t="shared" si="29"/>
        <v/>
      </c>
      <c r="BS158" s="398" t="str">
        <f t="shared" si="30"/>
        <v/>
      </c>
      <c r="BT158" s="398" t="str">
        <f t="shared" si="31"/>
        <v/>
      </c>
      <c r="BU158" s="398" t="str">
        <f t="shared" si="32"/>
        <v/>
      </c>
      <c r="BV158" s="398" t="str">
        <f t="shared" si="33"/>
        <v/>
      </c>
      <c r="BW158" s="398" t="str">
        <f t="shared" si="34"/>
        <v/>
      </c>
      <c r="BX158" s="398" t="str">
        <f t="shared" si="35"/>
        <v/>
      </c>
      <c r="BY158" s="399"/>
    </row>
    <row r="159" spans="1:77" ht="15" customHeight="1">
      <c r="A159" s="385">
        <f>IF('Statement of Marks'!A163="","",'Statement of Marks'!A163)</f>
        <v>156</v>
      </c>
      <c r="B159" s="386" t="str">
        <f>IF('Statement of Marks'!B163="","",'Statement of Marks'!B163)</f>
        <v/>
      </c>
      <c r="C159" s="387" t="str">
        <f>IF('Statement of Marks'!C163="","",'Statement of Marks'!C163)</f>
        <v/>
      </c>
      <c r="D159" s="426" t="str">
        <f>IF('Statement of Marks'!D163="","",'Statement of Marks'!D163)</f>
        <v/>
      </c>
      <c r="E159" s="388" t="str">
        <f>IF('Statement of Marks'!E163="","",'Statement of Marks'!E163)</f>
        <v/>
      </c>
      <c r="F159" s="388" t="str">
        <f>IF('Statement of Marks'!F163="","",'Statement of Marks'!F163)</f>
        <v/>
      </c>
      <c r="G159" s="388" t="str">
        <f>IF('Statement of Marks'!G163="","",'Statement of Marks'!G163)</f>
        <v/>
      </c>
      <c r="H159" s="389" t="str">
        <f>IF('Statement of Marks'!H163="","",'Statement of Marks'!H163)</f>
        <v/>
      </c>
      <c r="I159" s="389" t="str">
        <f>IF('Statement of Marks'!I163="","",'Statement of Marks'!I163)</f>
        <v/>
      </c>
      <c r="J159" s="648" t="str">
        <f>IF('Statement of Marks'!GY163="","",'Statement of Marks'!GY163)</f>
        <v/>
      </c>
      <c r="K159" s="390" t="str">
        <f>IF(B159="","",IF('Statement of Marks'!GZ163="","",'Statement of Marks'!GZ163))</f>
        <v/>
      </c>
      <c r="L159" s="391" t="str">
        <f>IF('Statement of Marks'!HC163="","",'Statement of Marks'!HC163)</f>
        <v/>
      </c>
      <c r="M159" s="390" t="str">
        <f>IF('Statement of Marks'!HB163="","",'Statement of Marks'!HB163)</f>
        <v/>
      </c>
      <c r="N159" s="392" t="str">
        <f>IF(J159="FAIL","",IF('Statement of Marks'!GU163="","",'Statement of Marks'!GU163))</f>
        <v xml:space="preserve">    </v>
      </c>
      <c r="O159" s="393" t="str">
        <f>IF('Supp. Result Entry'!AS162="","",'Supp. Result Entry'!AS162)</f>
        <v/>
      </c>
      <c r="P159" s="394" t="str">
        <f>IF('Supp. Result Entry'!AT162="","",'Supp. Result Entry'!AT162)</f>
        <v/>
      </c>
      <c r="Q159" s="395" t="str">
        <f>IF('Statement of Marks'!HG163="","",'Statement of Marks'!HG163)</f>
        <v/>
      </c>
      <c r="R159" s="396" t="str">
        <f>IF('Statement of Marks'!FH163="","",'Statement of Marks'!FH163)</f>
        <v/>
      </c>
      <c r="BL159" s="397" t="str">
        <f>'Statement of Marks'!E163</f>
        <v/>
      </c>
      <c r="BM159" s="398" t="str">
        <f t="shared" si="24"/>
        <v/>
      </c>
      <c r="BN159" s="398" t="str">
        <f t="shared" si="25"/>
        <v/>
      </c>
      <c r="BO159" s="398" t="str">
        <f t="shared" si="26"/>
        <v/>
      </c>
      <c r="BP159" s="398" t="str">
        <f t="shared" si="27"/>
        <v/>
      </c>
      <c r="BQ159" s="398" t="str">
        <f t="shared" si="28"/>
        <v/>
      </c>
      <c r="BR159" s="398" t="str">
        <f t="shared" si="29"/>
        <v/>
      </c>
      <c r="BS159" s="398" t="str">
        <f t="shared" si="30"/>
        <v/>
      </c>
      <c r="BT159" s="398" t="str">
        <f t="shared" si="31"/>
        <v/>
      </c>
      <c r="BU159" s="398" t="str">
        <f t="shared" si="32"/>
        <v/>
      </c>
      <c r="BV159" s="398" t="str">
        <f t="shared" si="33"/>
        <v/>
      </c>
      <c r="BW159" s="398" t="str">
        <f t="shared" si="34"/>
        <v/>
      </c>
      <c r="BX159" s="398" t="str">
        <f t="shared" si="35"/>
        <v/>
      </c>
      <c r="BY159" s="399"/>
    </row>
    <row r="160" spans="1:77" ht="15" customHeight="1">
      <c r="A160" s="385">
        <f>IF('Statement of Marks'!A164="","",'Statement of Marks'!A164)</f>
        <v>157</v>
      </c>
      <c r="B160" s="386" t="str">
        <f>IF('Statement of Marks'!B164="","",'Statement of Marks'!B164)</f>
        <v/>
      </c>
      <c r="C160" s="387" t="str">
        <f>IF('Statement of Marks'!C164="","",'Statement of Marks'!C164)</f>
        <v/>
      </c>
      <c r="D160" s="426" t="str">
        <f>IF('Statement of Marks'!D164="","",'Statement of Marks'!D164)</f>
        <v/>
      </c>
      <c r="E160" s="388" t="str">
        <f>IF('Statement of Marks'!E164="","",'Statement of Marks'!E164)</f>
        <v/>
      </c>
      <c r="F160" s="388" t="str">
        <f>IF('Statement of Marks'!F164="","",'Statement of Marks'!F164)</f>
        <v/>
      </c>
      <c r="G160" s="388" t="str">
        <f>IF('Statement of Marks'!G164="","",'Statement of Marks'!G164)</f>
        <v/>
      </c>
      <c r="H160" s="389" t="str">
        <f>IF('Statement of Marks'!H164="","",'Statement of Marks'!H164)</f>
        <v/>
      </c>
      <c r="I160" s="389" t="str">
        <f>IF('Statement of Marks'!I164="","",'Statement of Marks'!I164)</f>
        <v/>
      </c>
      <c r="J160" s="648" t="str">
        <f>IF('Statement of Marks'!GY164="","",'Statement of Marks'!GY164)</f>
        <v/>
      </c>
      <c r="K160" s="390" t="str">
        <f>IF(B160="","",IF('Statement of Marks'!GZ164="","",'Statement of Marks'!GZ164))</f>
        <v/>
      </c>
      <c r="L160" s="391" t="str">
        <f>IF('Statement of Marks'!HC164="","",'Statement of Marks'!HC164)</f>
        <v/>
      </c>
      <c r="M160" s="390" t="str">
        <f>IF('Statement of Marks'!HB164="","",'Statement of Marks'!HB164)</f>
        <v/>
      </c>
      <c r="N160" s="392" t="str">
        <f>IF(J160="FAIL","",IF('Statement of Marks'!GU164="","",'Statement of Marks'!GU164))</f>
        <v xml:space="preserve">    </v>
      </c>
      <c r="O160" s="393" t="str">
        <f>IF('Supp. Result Entry'!AS163="","",'Supp. Result Entry'!AS163)</f>
        <v/>
      </c>
      <c r="P160" s="394" t="str">
        <f>IF('Supp. Result Entry'!AT163="","",'Supp. Result Entry'!AT163)</f>
        <v/>
      </c>
      <c r="Q160" s="395" t="str">
        <f>IF('Statement of Marks'!HG164="","",'Statement of Marks'!HG164)</f>
        <v/>
      </c>
      <c r="R160" s="396" t="str">
        <f>IF('Statement of Marks'!FH164="","",'Statement of Marks'!FH164)</f>
        <v/>
      </c>
      <c r="BL160" s="397" t="str">
        <f>'Statement of Marks'!E164</f>
        <v/>
      </c>
      <c r="BM160" s="398" t="str">
        <f t="shared" si="24"/>
        <v/>
      </c>
      <c r="BN160" s="398" t="str">
        <f t="shared" si="25"/>
        <v/>
      </c>
      <c r="BO160" s="398" t="str">
        <f t="shared" si="26"/>
        <v/>
      </c>
      <c r="BP160" s="398" t="str">
        <f t="shared" si="27"/>
        <v/>
      </c>
      <c r="BQ160" s="398" t="str">
        <f t="shared" si="28"/>
        <v/>
      </c>
      <c r="BR160" s="398" t="str">
        <f t="shared" si="29"/>
        <v/>
      </c>
      <c r="BS160" s="398" t="str">
        <f t="shared" si="30"/>
        <v/>
      </c>
      <c r="BT160" s="398" t="str">
        <f t="shared" si="31"/>
        <v/>
      </c>
      <c r="BU160" s="398" t="str">
        <f t="shared" si="32"/>
        <v/>
      </c>
      <c r="BV160" s="398" t="str">
        <f t="shared" si="33"/>
        <v/>
      </c>
      <c r="BW160" s="398" t="str">
        <f t="shared" si="34"/>
        <v/>
      </c>
      <c r="BX160" s="398" t="str">
        <f t="shared" si="35"/>
        <v/>
      </c>
      <c r="BY160" s="399"/>
    </row>
    <row r="161" spans="1:77" ht="15" customHeight="1">
      <c r="A161" s="385">
        <f>IF('Statement of Marks'!A165="","",'Statement of Marks'!A165)</f>
        <v>158</v>
      </c>
      <c r="B161" s="386" t="str">
        <f>IF('Statement of Marks'!B165="","",'Statement of Marks'!B165)</f>
        <v/>
      </c>
      <c r="C161" s="387" t="str">
        <f>IF('Statement of Marks'!C165="","",'Statement of Marks'!C165)</f>
        <v/>
      </c>
      <c r="D161" s="426" t="str">
        <f>IF('Statement of Marks'!D165="","",'Statement of Marks'!D165)</f>
        <v/>
      </c>
      <c r="E161" s="388" t="str">
        <f>IF('Statement of Marks'!E165="","",'Statement of Marks'!E165)</f>
        <v/>
      </c>
      <c r="F161" s="388" t="str">
        <f>IF('Statement of Marks'!F165="","",'Statement of Marks'!F165)</f>
        <v/>
      </c>
      <c r="G161" s="388" t="str">
        <f>IF('Statement of Marks'!G165="","",'Statement of Marks'!G165)</f>
        <v/>
      </c>
      <c r="H161" s="389" t="str">
        <f>IF('Statement of Marks'!H165="","",'Statement of Marks'!H165)</f>
        <v/>
      </c>
      <c r="I161" s="389" t="str">
        <f>IF('Statement of Marks'!I165="","",'Statement of Marks'!I165)</f>
        <v/>
      </c>
      <c r="J161" s="648" t="str">
        <f>IF('Statement of Marks'!GY165="","",'Statement of Marks'!GY165)</f>
        <v/>
      </c>
      <c r="K161" s="390" t="str">
        <f>IF(B161="","",IF('Statement of Marks'!GZ165="","",'Statement of Marks'!GZ165))</f>
        <v/>
      </c>
      <c r="L161" s="391" t="str">
        <f>IF('Statement of Marks'!HC165="","",'Statement of Marks'!HC165)</f>
        <v/>
      </c>
      <c r="M161" s="390" t="str">
        <f>IF('Statement of Marks'!HB165="","",'Statement of Marks'!HB165)</f>
        <v/>
      </c>
      <c r="N161" s="392" t="str">
        <f>IF(J161="FAIL","",IF('Statement of Marks'!GU165="","",'Statement of Marks'!GU165))</f>
        <v xml:space="preserve">    </v>
      </c>
      <c r="O161" s="393" t="str">
        <f>IF('Supp. Result Entry'!AS164="","",'Supp. Result Entry'!AS164)</f>
        <v/>
      </c>
      <c r="P161" s="394" t="str">
        <f>IF('Supp. Result Entry'!AT164="","",'Supp. Result Entry'!AT164)</f>
        <v/>
      </c>
      <c r="Q161" s="395" t="str">
        <f>IF('Statement of Marks'!HG165="","",'Statement of Marks'!HG165)</f>
        <v/>
      </c>
      <c r="R161" s="396" t="str">
        <f>IF('Statement of Marks'!FH165="","",'Statement of Marks'!FH165)</f>
        <v/>
      </c>
      <c r="BL161" s="397" t="str">
        <f>'Statement of Marks'!E165</f>
        <v/>
      </c>
      <c r="BM161" s="398" t="str">
        <f t="shared" si="24"/>
        <v/>
      </c>
      <c r="BN161" s="398" t="str">
        <f t="shared" si="25"/>
        <v/>
      </c>
      <c r="BO161" s="398" t="str">
        <f t="shared" si="26"/>
        <v/>
      </c>
      <c r="BP161" s="398" t="str">
        <f t="shared" si="27"/>
        <v/>
      </c>
      <c r="BQ161" s="398" t="str">
        <f t="shared" si="28"/>
        <v/>
      </c>
      <c r="BR161" s="398" t="str">
        <f t="shared" si="29"/>
        <v/>
      </c>
      <c r="BS161" s="398" t="str">
        <f t="shared" si="30"/>
        <v/>
      </c>
      <c r="BT161" s="398" t="str">
        <f t="shared" si="31"/>
        <v/>
      </c>
      <c r="BU161" s="398" t="str">
        <f t="shared" si="32"/>
        <v/>
      </c>
      <c r="BV161" s="398" t="str">
        <f t="shared" si="33"/>
        <v/>
      </c>
      <c r="BW161" s="398" t="str">
        <f t="shared" si="34"/>
        <v/>
      </c>
      <c r="BX161" s="398" t="str">
        <f t="shared" si="35"/>
        <v/>
      </c>
      <c r="BY161" s="399"/>
    </row>
    <row r="162" spans="1:77" ht="15" customHeight="1">
      <c r="A162" s="385">
        <f>IF('Statement of Marks'!A166="","",'Statement of Marks'!A166)</f>
        <v>159</v>
      </c>
      <c r="B162" s="386" t="str">
        <f>IF('Statement of Marks'!B166="","",'Statement of Marks'!B166)</f>
        <v/>
      </c>
      <c r="C162" s="387" t="str">
        <f>IF('Statement of Marks'!C166="","",'Statement of Marks'!C166)</f>
        <v/>
      </c>
      <c r="D162" s="426" t="str">
        <f>IF('Statement of Marks'!D166="","",'Statement of Marks'!D166)</f>
        <v/>
      </c>
      <c r="E162" s="388" t="str">
        <f>IF('Statement of Marks'!E166="","",'Statement of Marks'!E166)</f>
        <v/>
      </c>
      <c r="F162" s="388" t="str">
        <f>IF('Statement of Marks'!F166="","",'Statement of Marks'!F166)</f>
        <v/>
      </c>
      <c r="G162" s="388" t="str">
        <f>IF('Statement of Marks'!G166="","",'Statement of Marks'!G166)</f>
        <v/>
      </c>
      <c r="H162" s="389" t="str">
        <f>IF('Statement of Marks'!H166="","",'Statement of Marks'!H166)</f>
        <v/>
      </c>
      <c r="I162" s="389" t="str">
        <f>IF('Statement of Marks'!I166="","",'Statement of Marks'!I166)</f>
        <v/>
      </c>
      <c r="J162" s="648" t="str">
        <f>IF('Statement of Marks'!GY166="","",'Statement of Marks'!GY166)</f>
        <v/>
      </c>
      <c r="K162" s="390" t="str">
        <f>IF(B162="","",IF('Statement of Marks'!GZ166="","",'Statement of Marks'!GZ166))</f>
        <v/>
      </c>
      <c r="L162" s="391" t="str">
        <f>IF('Statement of Marks'!HC166="","",'Statement of Marks'!HC166)</f>
        <v/>
      </c>
      <c r="M162" s="390" t="str">
        <f>IF('Statement of Marks'!HB166="","",'Statement of Marks'!HB166)</f>
        <v/>
      </c>
      <c r="N162" s="392" t="str">
        <f>IF(J162="FAIL","",IF('Statement of Marks'!GU166="","",'Statement of Marks'!GU166))</f>
        <v xml:space="preserve">    </v>
      </c>
      <c r="O162" s="393" t="str">
        <f>IF('Supp. Result Entry'!AS165="","",'Supp. Result Entry'!AS165)</f>
        <v/>
      </c>
      <c r="P162" s="394" t="str">
        <f>IF('Supp. Result Entry'!AT165="","",'Supp. Result Entry'!AT165)</f>
        <v/>
      </c>
      <c r="Q162" s="395" t="str">
        <f>IF('Statement of Marks'!HG166="","",'Statement of Marks'!HG166)</f>
        <v/>
      </c>
      <c r="R162" s="396" t="str">
        <f>IF('Statement of Marks'!FH166="","",'Statement of Marks'!FH166)</f>
        <v/>
      </c>
      <c r="BL162" s="397" t="str">
        <f>'Statement of Marks'!E166</f>
        <v/>
      </c>
      <c r="BM162" s="398" t="str">
        <f t="shared" si="24"/>
        <v/>
      </c>
      <c r="BN162" s="398" t="str">
        <f t="shared" si="25"/>
        <v/>
      </c>
      <c r="BO162" s="398" t="str">
        <f t="shared" si="26"/>
        <v/>
      </c>
      <c r="BP162" s="398" t="str">
        <f t="shared" si="27"/>
        <v/>
      </c>
      <c r="BQ162" s="398" t="str">
        <f t="shared" si="28"/>
        <v/>
      </c>
      <c r="BR162" s="398" t="str">
        <f t="shared" si="29"/>
        <v/>
      </c>
      <c r="BS162" s="398" t="str">
        <f t="shared" si="30"/>
        <v/>
      </c>
      <c r="BT162" s="398" t="str">
        <f t="shared" si="31"/>
        <v/>
      </c>
      <c r="BU162" s="398" t="str">
        <f t="shared" si="32"/>
        <v/>
      </c>
      <c r="BV162" s="398" t="str">
        <f t="shared" si="33"/>
        <v/>
      </c>
      <c r="BW162" s="398" t="str">
        <f t="shared" si="34"/>
        <v/>
      </c>
      <c r="BX162" s="398" t="str">
        <f t="shared" si="35"/>
        <v/>
      </c>
      <c r="BY162" s="399"/>
    </row>
    <row r="163" spans="1:77" ht="15" customHeight="1">
      <c r="A163" s="385">
        <f>IF('Statement of Marks'!A167="","",'Statement of Marks'!A167)</f>
        <v>160</v>
      </c>
      <c r="B163" s="386" t="str">
        <f>IF('Statement of Marks'!B167="","",'Statement of Marks'!B167)</f>
        <v/>
      </c>
      <c r="C163" s="387" t="str">
        <f>IF('Statement of Marks'!C167="","",'Statement of Marks'!C167)</f>
        <v/>
      </c>
      <c r="D163" s="426" t="str">
        <f>IF('Statement of Marks'!D167="","",'Statement of Marks'!D167)</f>
        <v/>
      </c>
      <c r="E163" s="388" t="str">
        <f>IF('Statement of Marks'!E167="","",'Statement of Marks'!E167)</f>
        <v/>
      </c>
      <c r="F163" s="388" t="str">
        <f>IF('Statement of Marks'!F167="","",'Statement of Marks'!F167)</f>
        <v/>
      </c>
      <c r="G163" s="388" t="str">
        <f>IF('Statement of Marks'!G167="","",'Statement of Marks'!G167)</f>
        <v/>
      </c>
      <c r="H163" s="389" t="str">
        <f>IF('Statement of Marks'!H167="","",'Statement of Marks'!H167)</f>
        <v/>
      </c>
      <c r="I163" s="389" t="str">
        <f>IF('Statement of Marks'!I167="","",'Statement of Marks'!I167)</f>
        <v/>
      </c>
      <c r="J163" s="648" t="str">
        <f>IF('Statement of Marks'!GY167="","",'Statement of Marks'!GY167)</f>
        <v/>
      </c>
      <c r="K163" s="390" t="str">
        <f>IF(B163="","",IF('Statement of Marks'!GZ167="","",'Statement of Marks'!GZ167))</f>
        <v/>
      </c>
      <c r="L163" s="391" t="str">
        <f>IF('Statement of Marks'!HC167="","",'Statement of Marks'!HC167)</f>
        <v/>
      </c>
      <c r="M163" s="390" t="str">
        <f>IF('Statement of Marks'!HB167="","",'Statement of Marks'!HB167)</f>
        <v/>
      </c>
      <c r="N163" s="392" t="str">
        <f>IF(J163="FAIL","",IF('Statement of Marks'!GU167="","",'Statement of Marks'!GU167))</f>
        <v xml:space="preserve">    </v>
      </c>
      <c r="O163" s="393" t="str">
        <f>IF('Supp. Result Entry'!AS166="","",'Supp. Result Entry'!AS166)</f>
        <v/>
      </c>
      <c r="P163" s="394" t="str">
        <f>IF('Supp. Result Entry'!AT166="","",'Supp. Result Entry'!AT166)</f>
        <v/>
      </c>
      <c r="Q163" s="395" t="str">
        <f>IF('Statement of Marks'!HG167="","",'Statement of Marks'!HG167)</f>
        <v/>
      </c>
      <c r="R163" s="396" t="str">
        <f>IF('Statement of Marks'!FH167="","",'Statement of Marks'!FH167)</f>
        <v/>
      </c>
      <c r="BL163" s="397" t="str">
        <f>'Statement of Marks'!E167</f>
        <v/>
      </c>
      <c r="BM163" s="398" t="str">
        <f t="shared" si="24"/>
        <v/>
      </c>
      <c r="BN163" s="398" t="str">
        <f t="shared" si="25"/>
        <v/>
      </c>
      <c r="BO163" s="398" t="str">
        <f t="shared" si="26"/>
        <v/>
      </c>
      <c r="BP163" s="398" t="str">
        <f t="shared" si="27"/>
        <v/>
      </c>
      <c r="BQ163" s="398" t="str">
        <f t="shared" si="28"/>
        <v/>
      </c>
      <c r="BR163" s="398" t="str">
        <f t="shared" si="29"/>
        <v/>
      </c>
      <c r="BS163" s="398" t="str">
        <f t="shared" si="30"/>
        <v/>
      </c>
      <c r="BT163" s="398" t="str">
        <f t="shared" si="31"/>
        <v/>
      </c>
      <c r="BU163" s="398" t="str">
        <f t="shared" si="32"/>
        <v/>
      </c>
      <c r="BV163" s="398" t="str">
        <f t="shared" si="33"/>
        <v/>
      </c>
      <c r="BW163" s="398" t="str">
        <f t="shared" si="34"/>
        <v/>
      </c>
      <c r="BX163" s="398" t="str">
        <f t="shared" si="35"/>
        <v/>
      </c>
      <c r="BY163" s="399"/>
    </row>
    <row r="164" spans="1:77" ht="15" customHeight="1">
      <c r="A164" s="385">
        <f>IF('Statement of Marks'!A168="","",'Statement of Marks'!A168)</f>
        <v>161</v>
      </c>
      <c r="B164" s="386" t="str">
        <f>IF('Statement of Marks'!B168="","",'Statement of Marks'!B168)</f>
        <v/>
      </c>
      <c r="C164" s="387" t="str">
        <f>IF('Statement of Marks'!C168="","",'Statement of Marks'!C168)</f>
        <v/>
      </c>
      <c r="D164" s="426" t="str">
        <f>IF('Statement of Marks'!D168="","",'Statement of Marks'!D168)</f>
        <v/>
      </c>
      <c r="E164" s="388" t="str">
        <f>IF('Statement of Marks'!E168="","",'Statement of Marks'!E168)</f>
        <v/>
      </c>
      <c r="F164" s="388" t="str">
        <f>IF('Statement of Marks'!F168="","",'Statement of Marks'!F168)</f>
        <v/>
      </c>
      <c r="G164" s="388" t="str">
        <f>IF('Statement of Marks'!G168="","",'Statement of Marks'!G168)</f>
        <v/>
      </c>
      <c r="H164" s="389" t="str">
        <f>IF('Statement of Marks'!H168="","",'Statement of Marks'!H168)</f>
        <v/>
      </c>
      <c r="I164" s="389" t="str">
        <f>IF('Statement of Marks'!I168="","",'Statement of Marks'!I168)</f>
        <v/>
      </c>
      <c r="J164" s="648" t="str">
        <f>IF('Statement of Marks'!GY168="","",'Statement of Marks'!GY168)</f>
        <v/>
      </c>
      <c r="K164" s="390" t="str">
        <f>IF(B164="","",IF('Statement of Marks'!GZ168="","",'Statement of Marks'!GZ168))</f>
        <v/>
      </c>
      <c r="L164" s="391" t="str">
        <f>IF('Statement of Marks'!HC168="","",'Statement of Marks'!HC168)</f>
        <v/>
      </c>
      <c r="M164" s="390" t="str">
        <f>IF('Statement of Marks'!HB168="","",'Statement of Marks'!HB168)</f>
        <v/>
      </c>
      <c r="N164" s="392" t="str">
        <f>IF(J164="FAIL","",IF('Statement of Marks'!GU168="","",'Statement of Marks'!GU168))</f>
        <v xml:space="preserve">    </v>
      </c>
      <c r="O164" s="393" t="str">
        <f>IF('Supp. Result Entry'!AS167="","",'Supp. Result Entry'!AS167)</f>
        <v/>
      </c>
      <c r="P164" s="394" t="str">
        <f>IF('Supp. Result Entry'!AT167="","",'Supp. Result Entry'!AT167)</f>
        <v/>
      </c>
      <c r="Q164" s="395" t="str">
        <f>IF('Statement of Marks'!HG168="","",'Statement of Marks'!HG168)</f>
        <v/>
      </c>
      <c r="R164" s="396" t="str">
        <f>IF('Statement of Marks'!FH168="","",'Statement of Marks'!FH168)</f>
        <v/>
      </c>
      <c r="BL164" s="397" t="str">
        <f>'Statement of Marks'!E168</f>
        <v/>
      </c>
      <c r="BM164" s="398" t="str">
        <f t="shared" si="24"/>
        <v/>
      </c>
      <c r="BN164" s="398" t="str">
        <f t="shared" si="25"/>
        <v/>
      </c>
      <c r="BO164" s="398" t="str">
        <f t="shared" si="26"/>
        <v/>
      </c>
      <c r="BP164" s="398" t="str">
        <f t="shared" si="27"/>
        <v/>
      </c>
      <c r="BQ164" s="398" t="str">
        <f t="shared" si="28"/>
        <v/>
      </c>
      <c r="BR164" s="398" t="str">
        <f t="shared" si="29"/>
        <v/>
      </c>
      <c r="BS164" s="398" t="str">
        <f t="shared" si="30"/>
        <v/>
      </c>
      <c r="BT164" s="398" t="str">
        <f t="shared" si="31"/>
        <v/>
      </c>
      <c r="BU164" s="398" t="str">
        <f t="shared" si="32"/>
        <v/>
      </c>
      <c r="BV164" s="398" t="str">
        <f t="shared" si="33"/>
        <v/>
      </c>
      <c r="BW164" s="398" t="str">
        <f t="shared" si="34"/>
        <v/>
      </c>
      <c r="BX164" s="398" t="str">
        <f t="shared" si="35"/>
        <v/>
      </c>
      <c r="BY164" s="399"/>
    </row>
    <row r="165" spans="1:77" ht="15" customHeight="1">
      <c r="A165" s="385">
        <f>IF('Statement of Marks'!A169="","",'Statement of Marks'!A169)</f>
        <v>162</v>
      </c>
      <c r="B165" s="386" t="str">
        <f>IF('Statement of Marks'!B169="","",'Statement of Marks'!B169)</f>
        <v/>
      </c>
      <c r="C165" s="387" t="str">
        <f>IF('Statement of Marks'!C169="","",'Statement of Marks'!C169)</f>
        <v/>
      </c>
      <c r="D165" s="426" t="str">
        <f>IF('Statement of Marks'!D169="","",'Statement of Marks'!D169)</f>
        <v/>
      </c>
      <c r="E165" s="388" t="str">
        <f>IF('Statement of Marks'!E169="","",'Statement of Marks'!E169)</f>
        <v/>
      </c>
      <c r="F165" s="388" t="str">
        <f>IF('Statement of Marks'!F169="","",'Statement of Marks'!F169)</f>
        <v/>
      </c>
      <c r="G165" s="388" t="str">
        <f>IF('Statement of Marks'!G169="","",'Statement of Marks'!G169)</f>
        <v/>
      </c>
      <c r="H165" s="389" t="str">
        <f>IF('Statement of Marks'!H169="","",'Statement of Marks'!H169)</f>
        <v/>
      </c>
      <c r="I165" s="389" t="str">
        <f>IF('Statement of Marks'!I169="","",'Statement of Marks'!I169)</f>
        <v/>
      </c>
      <c r="J165" s="648" t="str">
        <f>IF('Statement of Marks'!GY169="","",'Statement of Marks'!GY169)</f>
        <v/>
      </c>
      <c r="K165" s="390" t="str">
        <f>IF(B165="","",IF('Statement of Marks'!GZ169="","",'Statement of Marks'!GZ169))</f>
        <v/>
      </c>
      <c r="L165" s="391" t="str">
        <f>IF('Statement of Marks'!HC169="","",'Statement of Marks'!HC169)</f>
        <v/>
      </c>
      <c r="M165" s="390" t="str">
        <f>IF('Statement of Marks'!HB169="","",'Statement of Marks'!HB169)</f>
        <v/>
      </c>
      <c r="N165" s="392" t="str">
        <f>IF(J165="FAIL","",IF('Statement of Marks'!GU169="","",'Statement of Marks'!GU169))</f>
        <v xml:space="preserve">    </v>
      </c>
      <c r="O165" s="393" t="str">
        <f>IF('Supp. Result Entry'!AS168="","",'Supp. Result Entry'!AS168)</f>
        <v/>
      </c>
      <c r="P165" s="394" t="str">
        <f>IF('Supp. Result Entry'!AT168="","",'Supp. Result Entry'!AT168)</f>
        <v/>
      </c>
      <c r="Q165" s="395" t="str">
        <f>IF('Statement of Marks'!HG169="","",'Statement of Marks'!HG169)</f>
        <v/>
      </c>
      <c r="R165" s="396" t="str">
        <f>IF('Statement of Marks'!FH169="","",'Statement of Marks'!FH169)</f>
        <v/>
      </c>
      <c r="BL165" s="397" t="str">
        <f>'Statement of Marks'!E169</f>
        <v/>
      </c>
      <c r="BM165" s="398" t="str">
        <f t="shared" si="24"/>
        <v/>
      </c>
      <c r="BN165" s="398" t="str">
        <f t="shared" si="25"/>
        <v/>
      </c>
      <c r="BO165" s="398" t="str">
        <f t="shared" si="26"/>
        <v/>
      </c>
      <c r="BP165" s="398" t="str">
        <f t="shared" si="27"/>
        <v/>
      </c>
      <c r="BQ165" s="398" t="str">
        <f t="shared" si="28"/>
        <v/>
      </c>
      <c r="BR165" s="398" t="str">
        <f t="shared" si="29"/>
        <v/>
      </c>
      <c r="BS165" s="398" t="str">
        <f t="shared" si="30"/>
        <v/>
      </c>
      <c r="BT165" s="398" t="str">
        <f t="shared" si="31"/>
        <v/>
      </c>
      <c r="BU165" s="398" t="str">
        <f t="shared" si="32"/>
        <v/>
      </c>
      <c r="BV165" s="398" t="str">
        <f t="shared" si="33"/>
        <v/>
      </c>
      <c r="BW165" s="398" t="str">
        <f t="shared" si="34"/>
        <v/>
      </c>
      <c r="BX165" s="398" t="str">
        <f t="shared" si="35"/>
        <v/>
      </c>
      <c r="BY165" s="399"/>
    </row>
    <row r="166" spans="1:77" ht="15" customHeight="1">
      <c r="A166" s="385">
        <f>IF('Statement of Marks'!A170="","",'Statement of Marks'!A170)</f>
        <v>163</v>
      </c>
      <c r="B166" s="386" t="str">
        <f>IF('Statement of Marks'!B170="","",'Statement of Marks'!B170)</f>
        <v/>
      </c>
      <c r="C166" s="387" t="str">
        <f>IF('Statement of Marks'!C170="","",'Statement of Marks'!C170)</f>
        <v/>
      </c>
      <c r="D166" s="426" t="str">
        <f>IF('Statement of Marks'!D170="","",'Statement of Marks'!D170)</f>
        <v/>
      </c>
      <c r="E166" s="388" t="str">
        <f>IF('Statement of Marks'!E170="","",'Statement of Marks'!E170)</f>
        <v/>
      </c>
      <c r="F166" s="388" t="str">
        <f>IF('Statement of Marks'!F170="","",'Statement of Marks'!F170)</f>
        <v/>
      </c>
      <c r="G166" s="388" t="str">
        <f>IF('Statement of Marks'!G170="","",'Statement of Marks'!G170)</f>
        <v/>
      </c>
      <c r="H166" s="389" t="str">
        <f>IF('Statement of Marks'!H170="","",'Statement of Marks'!H170)</f>
        <v/>
      </c>
      <c r="I166" s="389" t="str">
        <f>IF('Statement of Marks'!I170="","",'Statement of Marks'!I170)</f>
        <v/>
      </c>
      <c r="J166" s="648" t="str">
        <f>IF('Statement of Marks'!GY170="","",'Statement of Marks'!GY170)</f>
        <v/>
      </c>
      <c r="K166" s="390" t="str">
        <f>IF(B166="","",IF('Statement of Marks'!GZ170="","",'Statement of Marks'!GZ170))</f>
        <v/>
      </c>
      <c r="L166" s="391" t="str">
        <f>IF('Statement of Marks'!HC170="","",'Statement of Marks'!HC170)</f>
        <v/>
      </c>
      <c r="M166" s="390" t="str">
        <f>IF('Statement of Marks'!HB170="","",'Statement of Marks'!HB170)</f>
        <v/>
      </c>
      <c r="N166" s="392" t="str">
        <f>IF(J166="FAIL","",IF('Statement of Marks'!GU170="","",'Statement of Marks'!GU170))</f>
        <v xml:space="preserve">    </v>
      </c>
      <c r="O166" s="393" t="str">
        <f>IF('Supp. Result Entry'!AS169="","",'Supp. Result Entry'!AS169)</f>
        <v/>
      </c>
      <c r="P166" s="394" t="str">
        <f>IF('Supp. Result Entry'!AT169="","",'Supp. Result Entry'!AT169)</f>
        <v/>
      </c>
      <c r="Q166" s="395" t="str">
        <f>IF('Statement of Marks'!HG170="","",'Statement of Marks'!HG170)</f>
        <v/>
      </c>
      <c r="R166" s="396" t="str">
        <f>IF('Statement of Marks'!FH170="","",'Statement of Marks'!FH170)</f>
        <v/>
      </c>
      <c r="BL166" s="397" t="str">
        <f>'Statement of Marks'!E170</f>
        <v/>
      </c>
      <c r="BM166" s="398" t="str">
        <f t="shared" si="24"/>
        <v/>
      </c>
      <c r="BN166" s="398" t="str">
        <f t="shared" si="25"/>
        <v/>
      </c>
      <c r="BO166" s="398" t="str">
        <f t="shared" si="26"/>
        <v/>
      </c>
      <c r="BP166" s="398" t="str">
        <f t="shared" si="27"/>
        <v/>
      </c>
      <c r="BQ166" s="398" t="str">
        <f t="shared" si="28"/>
        <v/>
      </c>
      <c r="BR166" s="398" t="str">
        <f t="shared" si="29"/>
        <v/>
      </c>
      <c r="BS166" s="398" t="str">
        <f t="shared" si="30"/>
        <v/>
      </c>
      <c r="BT166" s="398" t="str">
        <f t="shared" si="31"/>
        <v/>
      </c>
      <c r="BU166" s="398" t="str">
        <f t="shared" si="32"/>
        <v/>
      </c>
      <c r="BV166" s="398" t="str">
        <f t="shared" si="33"/>
        <v/>
      </c>
      <c r="BW166" s="398" t="str">
        <f t="shared" si="34"/>
        <v/>
      </c>
      <c r="BX166" s="398" t="str">
        <f t="shared" si="35"/>
        <v/>
      </c>
      <c r="BY166" s="399"/>
    </row>
    <row r="167" spans="1:77" ht="15" customHeight="1">
      <c r="A167" s="385">
        <f>IF('Statement of Marks'!A171="","",'Statement of Marks'!A171)</f>
        <v>164</v>
      </c>
      <c r="B167" s="386" t="str">
        <f>IF('Statement of Marks'!B171="","",'Statement of Marks'!B171)</f>
        <v/>
      </c>
      <c r="C167" s="387" t="str">
        <f>IF('Statement of Marks'!C171="","",'Statement of Marks'!C171)</f>
        <v/>
      </c>
      <c r="D167" s="426" t="str">
        <f>IF('Statement of Marks'!D171="","",'Statement of Marks'!D171)</f>
        <v/>
      </c>
      <c r="E167" s="388" t="str">
        <f>IF('Statement of Marks'!E171="","",'Statement of Marks'!E171)</f>
        <v/>
      </c>
      <c r="F167" s="388" t="str">
        <f>IF('Statement of Marks'!F171="","",'Statement of Marks'!F171)</f>
        <v/>
      </c>
      <c r="G167" s="388" t="str">
        <f>IF('Statement of Marks'!G171="","",'Statement of Marks'!G171)</f>
        <v/>
      </c>
      <c r="H167" s="389" t="str">
        <f>IF('Statement of Marks'!H171="","",'Statement of Marks'!H171)</f>
        <v/>
      </c>
      <c r="I167" s="389" t="str">
        <f>IF('Statement of Marks'!I171="","",'Statement of Marks'!I171)</f>
        <v/>
      </c>
      <c r="J167" s="648" t="str">
        <f>IF('Statement of Marks'!GY171="","",'Statement of Marks'!GY171)</f>
        <v/>
      </c>
      <c r="K167" s="390" t="str">
        <f>IF(B167="","",IF('Statement of Marks'!GZ171="","",'Statement of Marks'!GZ171))</f>
        <v/>
      </c>
      <c r="L167" s="391" t="str">
        <f>IF('Statement of Marks'!HC171="","",'Statement of Marks'!HC171)</f>
        <v/>
      </c>
      <c r="M167" s="390" t="str">
        <f>IF('Statement of Marks'!HB171="","",'Statement of Marks'!HB171)</f>
        <v/>
      </c>
      <c r="N167" s="392" t="str">
        <f>IF(J167="FAIL","",IF('Statement of Marks'!GU171="","",'Statement of Marks'!GU171))</f>
        <v xml:space="preserve">    </v>
      </c>
      <c r="O167" s="393" t="str">
        <f>IF('Supp. Result Entry'!AS170="","",'Supp. Result Entry'!AS170)</f>
        <v/>
      </c>
      <c r="P167" s="394" t="str">
        <f>IF('Supp. Result Entry'!AT170="","",'Supp. Result Entry'!AT170)</f>
        <v/>
      </c>
      <c r="Q167" s="395" t="str">
        <f>IF('Statement of Marks'!HG171="","",'Statement of Marks'!HG171)</f>
        <v/>
      </c>
      <c r="R167" s="396" t="str">
        <f>IF('Statement of Marks'!FH171="","",'Statement of Marks'!FH171)</f>
        <v/>
      </c>
      <c r="BL167" s="397" t="str">
        <f>'Statement of Marks'!E171</f>
        <v/>
      </c>
      <c r="BM167" s="398" t="str">
        <f t="shared" si="24"/>
        <v/>
      </c>
      <c r="BN167" s="398" t="str">
        <f t="shared" si="25"/>
        <v/>
      </c>
      <c r="BO167" s="398" t="str">
        <f t="shared" si="26"/>
        <v/>
      </c>
      <c r="BP167" s="398" t="str">
        <f t="shared" si="27"/>
        <v/>
      </c>
      <c r="BQ167" s="398" t="str">
        <f t="shared" si="28"/>
        <v/>
      </c>
      <c r="BR167" s="398" t="str">
        <f t="shared" si="29"/>
        <v/>
      </c>
      <c r="BS167" s="398" t="str">
        <f t="shared" si="30"/>
        <v/>
      </c>
      <c r="BT167" s="398" t="str">
        <f t="shared" si="31"/>
        <v/>
      </c>
      <c r="BU167" s="398" t="str">
        <f t="shared" si="32"/>
        <v/>
      </c>
      <c r="BV167" s="398" t="str">
        <f t="shared" si="33"/>
        <v/>
      </c>
      <c r="BW167" s="398" t="str">
        <f t="shared" si="34"/>
        <v/>
      </c>
      <c r="BX167" s="398" t="str">
        <f t="shared" si="35"/>
        <v/>
      </c>
      <c r="BY167" s="399"/>
    </row>
    <row r="168" spans="1:77" ht="15" customHeight="1">
      <c r="A168" s="385">
        <f>IF('Statement of Marks'!A172="","",'Statement of Marks'!A172)</f>
        <v>165</v>
      </c>
      <c r="B168" s="386" t="str">
        <f>IF('Statement of Marks'!B172="","",'Statement of Marks'!B172)</f>
        <v/>
      </c>
      <c r="C168" s="387" t="str">
        <f>IF('Statement of Marks'!C172="","",'Statement of Marks'!C172)</f>
        <v/>
      </c>
      <c r="D168" s="426" t="str">
        <f>IF('Statement of Marks'!D172="","",'Statement of Marks'!D172)</f>
        <v/>
      </c>
      <c r="E168" s="388" t="str">
        <f>IF('Statement of Marks'!E172="","",'Statement of Marks'!E172)</f>
        <v/>
      </c>
      <c r="F168" s="388" t="str">
        <f>IF('Statement of Marks'!F172="","",'Statement of Marks'!F172)</f>
        <v/>
      </c>
      <c r="G168" s="388" t="str">
        <f>IF('Statement of Marks'!G172="","",'Statement of Marks'!G172)</f>
        <v/>
      </c>
      <c r="H168" s="389" t="str">
        <f>IF('Statement of Marks'!H172="","",'Statement of Marks'!H172)</f>
        <v/>
      </c>
      <c r="I168" s="389" t="str">
        <f>IF('Statement of Marks'!I172="","",'Statement of Marks'!I172)</f>
        <v/>
      </c>
      <c r="J168" s="648" t="str">
        <f>IF('Statement of Marks'!GY172="","",'Statement of Marks'!GY172)</f>
        <v/>
      </c>
      <c r="K168" s="390" t="str">
        <f>IF(B168="","",IF('Statement of Marks'!GZ172="","",'Statement of Marks'!GZ172))</f>
        <v/>
      </c>
      <c r="L168" s="391" t="str">
        <f>IF('Statement of Marks'!HC172="","",'Statement of Marks'!HC172)</f>
        <v/>
      </c>
      <c r="M168" s="390" t="str">
        <f>IF('Statement of Marks'!HB172="","",'Statement of Marks'!HB172)</f>
        <v/>
      </c>
      <c r="N168" s="392" t="str">
        <f>IF(J168="FAIL","",IF('Statement of Marks'!GU172="","",'Statement of Marks'!GU172))</f>
        <v xml:space="preserve">    </v>
      </c>
      <c r="O168" s="393" t="str">
        <f>IF('Supp. Result Entry'!AS171="","",'Supp. Result Entry'!AS171)</f>
        <v/>
      </c>
      <c r="P168" s="394" t="str">
        <f>IF('Supp. Result Entry'!AT171="","",'Supp. Result Entry'!AT171)</f>
        <v/>
      </c>
      <c r="Q168" s="395" t="str">
        <f>IF('Statement of Marks'!HG172="","",'Statement of Marks'!HG172)</f>
        <v/>
      </c>
      <c r="R168" s="396" t="str">
        <f>IF('Statement of Marks'!FH172="","",'Statement of Marks'!FH172)</f>
        <v/>
      </c>
      <c r="BL168" s="397" t="str">
        <f>'Statement of Marks'!E172</f>
        <v/>
      </c>
      <c r="BM168" s="398" t="str">
        <f t="shared" si="24"/>
        <v/>
      </c>
      <c r="BN168" s="398" t="str">
        <f t="shared" si="25"/>
        <v/>
      </c>
      <c r="BO168" s="398" t="str">
        <f t="shared" si="26"/>
        <v/>
      </c>
      <c r="BP168" s="398" t="str">
        <f t="shared" si="27"/>
        <v/>
      </c>
      <c r="BQ168" s="398" t="str">
        <f t="shared" si="28"/>
        <v/>
      </c>
      <c r="BR168" s="398" t="str">
        <f t="shared" si="29"/>
        <v/>
      </c>
      <c r="BS168" s="398" t="str">
        <f t="shared" si="30"/>
        <v/>
      </c>
      <c r="BT168" s="398" t="str">
        <f t="shared" si="31"/>
        <v/>
      </c>
      <c r="BU168" s="398" t="str">
        <f t="shared" si="32"/>
        <v/>
      </c>
      <c r="BV168" s="398" t="str">
        <f t="shared" si="33"/>
        <v/>
      </c>
      <c r="BW168" s="398" t="str">
        <f t="shared" si="34"/>
        <v/>
      </c>
      <c r="BX168" s="398" t="str">
        <f t="shared" si="35"/>
        <v/>
      </c>
      <c r="BY168" s="399"/>
    </row>
    <row r="169" spans="1:77" ht="15" customHeight="1">
      <c r="A169" s="385">
        <f>IF('Statement of Marks'!A173="","",'Statement of Marks'!A173)</f>
        <v>166</v>
      </c>
      <c r="B169" s="386" t="str">
        <f>IF('Statement of Marks'!B173="","",'Statement of Marks'!B173)</f>
        <v/>
      </c>
      <c r="C169" s="387" t="str">
        <f>IF('Statement of Marks'!C173="","",'Statement of Marks'!C173)</f>
        <v/>
      </c>
      <c r="D169" s="426" t="str">
        <f>IF('Statement of Marks'!D173="","",'Statement of Marks'!D173)</f>
        <v/>
      </c>
      <c r="E169" s="388" t="str">
        <f>IF('Statement of Marks'!E173="","",'Statement of Marks'!E173)</f>
        <v/>
      </c>
      <c r="F169" s="388" t="str">
        <f>IF('Statement of Marks'!F173="","",'Statement of Marks'!F173)</f>
        <v/>
      </c>
      <c r="G169" s="388" t="str">
        <f>IF('Statement of Marks'!G173="","",'Statement of Marks'!G173)</f>
        <v/>
      </c>
      <c r="H169" s="389" t="str">
        <f>IF('Statement of Marks'!H173="","",'Statement of Marks'!H173)</f>
        <v/>
      </c>
      <c r="I169" s="389" t="str">
        <f>IF('Statement of Marks'!I173="","",'Statement of Marks'!I173)</f>
        <v/>
      </c>
      <c r="J169" s="648" t="str">
        <f>IF('Statement of Marks'!GY173="","",'Statement of Marks'!GY173)</f>
        <v/>
      </c>
      <c r="K169" s="390" t="str">
        <f>IF(B169="","",IF('Statement of Marks'!GZ173="","",'Statement of Marks'!GZ173))</f>
        <v/>
      </c>
      <c r="L169" s="391" t="str">
        <f>IF('Statement of Marks'!HC173="","",'Statement of Marks'!HC173)</f>
        <v/>
      </c>
      <c r="M169" s="390" t="str">
        <f>IF('Statement of Marks'!HB173="","",'Statement of Marks'!HB173)</f>
        <v/>
      </c>
      <c r="N169" s="392" t="str">
        <f>IF(J169="FAIL","",IF('Statement of Marks'!GU173="","",'Statement of Marks'!GU173))</f>
        <v xml:space="preserve">    </v>
      </c>
      <c r="O169" s="393" t="str">
        <f>IF('Supp. Result Entry'!AS172="","",'Supp. Result Entry'!AS172)</f>
        <v/>
      </c>
      <c r="P169" s="394" t="str">
        <f>IF('Supp. Result Entry'!AT172="","",'Supp. Result Entry'!AT172)</f>
        <v/>
      </c>
      <c r="Q169" s="395" t="str">
        <f>IF('Statement of Marks'!HG173="","",'Statement of Marks'!HG173)</f>
        <v/>
      </c>
      <c r="R169" s="396" t="str">
        <f>IF('Statement of Marks'!FH173="","",'Statement of Marks'!FH173)</f>
        <v/>
      </c>
      <c r="BL169" s="397" t="str">
        <f>'Statement of Marks'!E173</f>
        <v/>
      </c>
      <c r="BM169" s="398" t="str">
        <f t="shared" si="24"/>
        <v/>
      </c>
      <c r="BN169" s="398" t="str">
        <f t="shared" si="25"/>
        <v/>
      </c>
      <c r="BO169" s="398" t="str">
        <f t="shared" si="26"/>
        <v/>
      </c>
      <c r="BP169" s="398" t="str">
        <f t="shared" si="27"/>
        <v/>
      </c>
      <c r="BQ169" s="398" t="str">
        <f t="shared" si="28"/>
        <v/>
      </c>
      <c r="BR169" s="398" t="str">
        <f t="shared" si="29"/>
        <v/>
      </c>
      <c r="BS169" s="398" t="str">
        <f t="shared" si="30"/>
        <v/>
      </c>
      <c r="BT169" s="398" t="str">
        <f t="shared" si="31"/>
        <v/>
      </c>
      <c r="BU169" s="398" t="str">
        <f t="shared" si="32"/>
        <v/>
      </c>
      <c r="BV169" s="398" t="str">
        <f t="shared" si="33"/>
        <v/>
      </c>
      <c r="BW169" s="398" t="str">
        <f t="shared" si="34"/>
        <v/>
      </c>
      <c r="BX169" s="398" t="str">
        <f t="shared" si="35"/>
        <v/>
      </c>
      <c r="BY169" s="399"/>
    </row>
    <row r="170" spans="1:77" ht="15" customHeight="1">
      <c r="A170" s="385">
        <f>IF('Statement of Marks'!A174="","",'Statement of Marks'!A174)</f>
        <v>167</v>
      </c>
      <c r="B170" s="386" t="str">
        <f>IF('Statement of Marks'!B174="","",'Statement of Marks'!B174)</f>
        <v/>
      </c>
      <c r="C170" s="387" t="str">
        <f>IF('Statement of Marks'!C174="","",'Statement of Marks'!C174)</f>
        <v/>
      </c>
      <c r="D170" s="426" t="str">
        <f>IF('Statement of Marks'!D174="","",'Statement of Marks'!D174)</f>
        <v/>
      </c>
      <c r="E170" s="388" t="str">
        <f>IF('Statement of Marks'!E174="","",'Statement of Marks'!E174)</f>
        <v/>
      </c>
      <c r="F170" s="388" t="str">
        <f>IF('Statement of Marks'!F174="","",'Statement of Marks'!F174)</f>
        <v/>
      </c>
      <c r="G170" s="388" t="str">
        <f>IF('Statement of Marks'!G174="","",'Statement of Marks'!G174)</f>
        <v/>
      </c>
      <c r="H170" s="389" t="str">
        <f>IF('Statement of Marks'!H174="","",'Statement of Marks'!H174)</f>
        <v/>
      </c>
      <c r="I170" s="389" t="str">
        <f>IF('Statement of Marks'!I174="","",'Statement of Marks'!I174)</f>
        <v/>
      </c>
      <c r="J170" s="648" t="str">
        <f>IF('Statement of Marks'!GY174="","",'Statement of Marks'!GY174)</f>
        <v/>
      </c>
      <c r="K170" s="390" t="str">
        <f>IF(B170="","",IF('Statement of Marks'!GZ174="","",'Statement of Marks'!GZ174))</f>
        <v/>
      </c>
      <c r="L170" s="391" t="str">
        <f>IF('Statement of Marks'!HC174="","",'Statement of Marks'!HC174)</f>
        <v/>
      </c>
      <c r="M170" s="390" t="str">
        <f>IF('Statement of Marks'!HB174="","",'Statement of Marks'!HB174)</f>
        <v/>
      </c>
      <c r="N170" s="392" t="str">
        <f>IF(J170="FAIL","",IF('Statement of Marks'!GU174="","",'Statement of Marks'!GU174))</f>
        <v xml:space="preserve">    </v>
      </c>
      <c r="O170" s="393" t="str">
        <f>IF('Supp. Result Entry'!AS173="","",'Supp. Result Entry'!AS173)</f>
        <v/>
      </c>
      <c r="P170" s="394" t="str">
        <f>IF('Supp. Result Entry'!AT173="","",'Supp. Result Entry'!AT173)</f>
        <v/>
      </c>
      <c r="Q170" s="395" t="str">
        <f>IF('Statement of Marks'!HG174="","",'Statement of Marks'!HG174)</f>
        <v/>
      </c>
      <c r="R170" s="396" t="str">
        <f>IF('Statement of Marks'!FH174="","",'Statement of Marks'!FH174)</f>
        <v/>
      </c>
      <c r="BL170" s="397" t="str">
        <f>'Statement of Marks'!E174</f>
        <v/>
      </c>
      <c r="BM170" s="398" t="str">
        <f t="shared" si="24"/>
        <v/>
      </c>
      <c r="BN170" s="398" t="str">
        <f t="shared" si="25"/>
        <v/>
      </c>
      <c r="BO170" s="398" t="str">
        <f t="shared" si="26"/>
        <v/>
      </c>
      <c r="BP170" s="398" t="str">
        <f t="shared" si="27"/>
        <v/>
      </c>
      <c r="BQ170" s="398" t="str">
        <f t="shared" si="28"/>
        <v/>
      </c>
      <c r="BR170" s="398" t="str">
        <f t="shared" si="29"/>
        <v/>
      </c>
      <c r="BS170" s="398" t="str">
        <f t="shared" si="30"/>
        <v/>
      </c>
      <c r="BT170" s="398" t="str">
        <f t="shared" si="31"/>
        <v/>
      </c>
      <c r="BU170" s="398" t="str">
        <f t="shared" si="32"/>
        <v/>
      </c>
      <c r="BV170" s="398" t="str">
        <f t="shared" si="33"/>
        <v/>
      </c>
      <c r="BW170" s="398" t="str">
        <f t="shared" si="34"/>
        <v/>
      </c>
      <c r="BX170" s="398" t="str">
        <f t="shared" si="35"/>
        <v/>
      </c>
      <c r="BY170" s="399"/>
    </row>
    <row r="171" spans="1:77" ht="15" customHeight="1">
      <c r="A171" s="385">
        <f>IF('Statement of Marks'!A175="","",'Statement of Marks'!A175)</f>
        <v>168</v>
      </c>
      <c r="B171" s="386" t="str">
        <f>IF('Statement of Marks'!B175="","",'Statement of Marks'!B175)</f>
        <v/>
      </c>
      <c r="C171" s="387" t="str">
        <f>IF('Statement of Marks'!C175="","",'Statement of Marks'!C175)</f>
        <v/>
      </c>
      <c r="D171" s="426" t="str">
        <f>IF('Statement of Marks'!D175="","",'Statement of Marks'!D175)</f>
        <v/>
      </c>
      <c r="E171" s="388" t="str">
        <f>IF('Statement of Marks'!E175="","",'Statement of Marks'!E175)</f>
        <v/>
      </c>
      <c r="F171" s="388" t="str">
        <f>IF('Statement of Marks'!F175="","",'Statement of Marks'!F175)</f>
        <v/>
      </c>
      <c r="G171" s="388" t="str">
        <f>IF('Statement of Marks'!G175="","",'Statement of Marks'!G175)</f>
        <v/>
      </c>
      <c r="H171" s="389" t="str">
        <f>IF('Statement of Marks'!H175="","",'Statement of Marks'!H175)</f>
        <v/>
      </c>
      <c r="I171" s="389" t="str">
        <f>IF('Statement of Marks'!I175="","",'Statement of Marks'!I175)</f>
        <v/>
      </c>
      <c r="J171" s="648" t="str">
        <f>IF('Statement of Marks'!GY175="","",'Statement of Marks'!GY175)</f>
        <v/>
      </c>
      <c r="K171" s="390" t="str">
        <f>IF(B171="","",IF('Statement of Marks'!GZ175="","",'Statement of Marks'!GZ175))</f>
        <v/>
      </c>
      <c r="L171" s="391" t="str">
        <f>IF('Statement of Marks'!HC175="","",'Statement of Marks'!HC175)</f>
        <v/>
      </c>
      <c r="M171" s="390" t="str">
        <f>IF('Statement of Marks'!HB175="","",'Statement of Marks'!HB175)</f>
        <v/>
      </c>
      <c r="N171" s="392" t="str">
        <f>IF(J171="FAIL","",IF('Statement of Marks'!GU175="","",'Statement of Marks'!GU175))</f>
        <v xml:space="preserve">    </v>
      </c>
      <c r="O171" s="393" t="str">
        <f>IF('Supp. Result Entry'!AS174="","",'Supp. Result Entry'!AS174)</f>
        <v/>
      </c>
      <c r="P171" s="394" t="str">
        <f>IF('Supp. Result Entry'!AT174="","",'Supp. Result Entry'!AT174)</f>
        <v/>
      </c>
      <c r="Q171" s="395" t="str">
        <f>IF('Statement of Marks'!HG175="","",'Statement of Marks'!HG175)</f>
        <v/>
      </c>
      <c r="R171" s="396" t="str">
        <f>IF('Statement of Marks'!FH175="","",'Statement of Marks'!FH175)</f>
        <v/>
      </c>
      <c r="BL171" s="397" t="str">
        <f>'Statement of Marks'!E175</f>
        <v/>
      </c>
      <c r="BM171" s="398" t="str">
        <f t="shared" si="24"/>
        <v/>
      </c>
      <c r="BN171" s="398" t="str">
        <f t="shared" si="25"/>
        <v/>
      </c>
      <c r="BO171" s="398" t="str">
        <f t="shared" si="26"/>
        <v/>
      </c>
      <c r="BP171" s="398" t="str">
        <f t="shared" si="27"/>
        <v/>
      </c>
      <c r="BQ171" s="398" t="str">
        <f t="shared" si="28"/>
        <v/>
      </c>
      <c r="BR171" s="398" t="str">
        <f t="shared" si="29"/>
        <v/>
      </c>
      <c r="BS171" s="398" t="str">
        <f t="shared" si="30"/>
        <v/>
      </c>
      <c r="BT171" s="398" t="str">
        <f t="shared" si="31"/>
        <v/>
      </c>
      <c r="BU171" s="398" t="str">
        <f t="shared" si="32"/>
        <v/>
      </c>
      <c r="BV171" s="398" t="str">
        <f t="shared" si="33"/>
        <v/>
      </c>
      <c r="BW171" s="398" t="str">
        <f t="shared" si="34"/>
        <v/>
      </c>
      <c r="BX171" s="398" t="str">
        <f t="shared" si="35"/>
        <v/>
      </c>
      <c r="BY171" s="399"/>
    </row>
    <row r="172" spans="1:77" ht="15" customHeight="1">
      <c r="A172" s="385">
        <f>IF('Statement of Marks'!A176="","",'Statement of Marks'!A176)</f>
        <v>169</v>
      </c>
      <c r="B172" s="386" t="str">
        <f>IF('Statement of Marks'!B176="","",'Statement of Marks'!B176)</f>
        <v/>
      </c>
      <c r="C172" s="387" t="str">
        <f>IF('Statement of Marks'!C176="","",'Statement of Marks'!C176)</f>
        <v/>
      </c>
      <c r="D172" s="426" t="str">
        <f>IF('Statement of Marks'!D176="","",'Statement of Marks'!D176)</f>
        <v/>
      </c>
      <c r="E172" s="388" t="str">
        <f>IF('Statement of Marks'!E176="","",'Statement of Marks'!E176)</f>
        <v/>
      </c>
      <c r="F172" s="388" t="str">
        <f>IF('Statement of Marks'!F176="","",'Statement of Marks'!F176)</f>
        <v/>
      </c>
      <c r="G172" s="388" t="str">
        <f>IF('Statement of Marks'!G176="","",'Statement of Marks'!G176)</f>
        <v/>
      </c>
      <c r="H172" s="389" t="str">
        <f>IF('Statement of Marks'!H176="","",'Statement of Marks'!H176)</f>
        <v/>
      </c>
      <c r="I172" s="389" t="str">
        <f>IF('Statement of Marks'!I176="","",'Statement of Marks'!I176)</f>
        <v/>
      </c>
      <c r="J172" s="648" t="str">
        <f>IF('Statement of Marks'!GY176="","",'Statement of Marks'!GY176)</f>
        <v/>
      </c>
      <c r="K172" s="390" t="str">
        <f>IF(B172="","",IF('Statement of Marks'!GZ176="","",'Statement of Marks'!GZ176))</f>
        <v/>
      </c>
      <c r="L172" s="391" t="str">
        <f>IF('Statement of Marks'!HC176="","",'Statement of Marks'!HC176)</f>
        <v/>
      </c>
      <c r="M172" s="390" t="str">
        <f>IF('Statement of Marks'!HB176="","",'Statement of Marks'!HB176)</f>
        <v/>
      </c>
      <c r="N172" s="392" t="str">
        <f>IF(J172="FAIL","",IF('Statement of Marks'!GU176="","",'Statement of Marks'!GU176))</f>
        <v xml:space="preserve">    </v>
      </c>
      <c r="O172" s="393" t="str">
        <f>IF('Supp. Result Entry'!AS175="","",'Supp. Result Entry'!AS175)</f>
        <v/>
      </c>
      <c r="P172" s="394" t="str">
        <f>IF('Supp. Result Entry'!AT175="","",'Supp. Result Entry'!AT175)</f>
        <v/>
      </c>
      <c r="Q172" s="395" t="str">
        <f>IF('Statement of Marks'!HG176="","",'Statement of Marks'!HG176)</f>
        <v/>
      </c>
      <c r="R172" s="396" t="str">
        <f>IF('Statement of Marks'!FH176="","",'Statement of Marks'!FH176)</f>
        <v/>
      </c>
      <c r="BL172" s="397" t="str">
        <f>'Statement of Marks'!E176</f>
        <v/>
      </c>
      <c r="BM172" s="398" t="str">
        <f t="shared" si="24"/>
        <v/>
      </c>
      <c r="BN172" s="398" t="str">
        <f t="shared" si="25"/>
        <v/>
      </c>
      <c r="BO172" s="398" t="str">
        <f t="shared" si="26"/>
        <v/>
      </c>
      <c r="BP172" s="398" t="str">
        <f t="shared" si="27"/>
        <v/>
      </c>
      <c r="BQ172" s="398" t="str">
        <f t="shared" si="28"/>
        <v/>
      </c>
      <c r="BR172" s="398" t="str">
        <f t="shared" si="29"/>
        <v/>
      </c>
      <c r="BS172" s="398" t="str">
        <f t="shared" si="30"/>
        <v/>
      </c>
      <c r="BT172" s="398" t="str">
        <f t="shared" si="31"/>
        <v/>
      </c>
      <c r="BU172" s="398" t="str">
        <f t="shared" si="32"/>
        <v/>
      </c>
      <c r="BV172" s="398" t="str">
        <f t="shared" si="33"/>
        <v/>
      </c>
      <c r="BW172" s="398" t="str">
        <f t="shared" si="34"/>
        <v/>
      </c>
      <c r="BX172" s="398" t="str">
        <f t="shared" si="35"/>
        <v/>
      </c>
      <c r="BY172" s="399"/>
    </row>
    <row r="173" spans="1:77" ht="15" customHeight="1">
      <c r="A173" s="385">
        <f>IF('Statement of Marks'!A177="","",'Statement of Marks'!A177)</f>
        <v>170</v>
      </c>
      <c r="B173" s="386" t="str">
        <f>IF('Statement of Marks'!B177="","",'Statement of Marks'!B177)</f>
        <v/>
      </c>
      <c r="C173" s="387" t="str">
        <f>IF('Statement of Marks'!C177="","",'Statement of Marks'!C177)</f>
        <v/>
      </c>
      <c r="D173" s="426" t="str">
        <f>IF('Statement of Marks'!D177="","",'Statement of Marks'!D177)</f>
        <v/>
      </c>
      <c r="E173" s="388" t="str">
        <f>IF('Statement of Marks'!E177="","",'Statement of Marks'!E177)</f>
        <v/>
      </c>
      <c r="F173" s="388" t="str">
        <f>IF('Statement of Marks'!F177="","",'Statement of Marks'!F177)</f>
        <v/>
      </c>
      <c r="G173" s="388" t="str">
        <f>IF('Statement of Marks'!G177="","",'Statement of Marks'!G177)</f>
        <v/>
      </c>
      <c r="H173" s="389" t="str">
        <f>IF('Statement of Marks'!H177="","",'Statement of Marks'!H177)</f>
        <v/>
      </c>
      <c r="I173" s="389" t="str">
        <f>IF('Statement of Marks'!I177="","",'Statement of Marks'!I177)</f>
        <v/>
      </c>
      <c r="J173" s="648" t="str">
        <f>IF('Statement of Marks'!GY177="","",'Statement of Marks'!GY177)</f>
        <v/>
      </c>
      <c r="K173" s="390" t="str">
        <f>IF(B173="","",IF('Statement of Marks'!GZ177="","",'Statement of Marks'!GZ177))</f>
        <v/>
      </c>
      <c r="L173" s="391" t="str">
        <f>IF('Statement of Marks'!HC177="","",'Statement of Marks'!HC177)</f>
        <v/>
      </c>
      <c r="M173" s="390" t="str">
        <f>IF('Statement of Marks'!HB177="","",'Statement of Marks'!HB177)</f>
        <v/>
      </c>
      <c r="N173" s="392" t="str">
        <f>IF(J173="FAIL","",IF('Statement of Marks'!GU177="","",'Statement of Marks'!GU177))</f>
        <v xml:space="preserve">    </v>
      </c>
      <c r="O173" s="393" t="str">
        <f>IF('Supp. Result Entry'!AS176="","",'Supp. Result Entry'!AS176)</f>
        <v/>
      </c>
      <c r="P173" s="394" t="str">
        <f>IF('Supp. Result Entry'!AT176="","",'Supp. Result Entry'!AT176)</f>
        <v/>
      </c>
      <c r="Q173" s="395" t="str">
        <f>IF('Statement of Marks'!HG177="","",'Statement of Marks'!HG177)</f>
        <v/>
      </c>
      <c r="R173" s="396" t="str">
        <f>IF('Statement of Marks'!FH177="","",'Statement of Marks'!FH177)</f>
        <v/>
      </c>
      <c r="BL173" s="397" t="str">
        <f>'Statement of Marks'!E177</f>
        <v/>
      </c>
      <c r="BM173" s="398" t="str">
        <f t="shared" si="24"/>
        <v/>
      </c>
      <c r="BN173" s="398" t="str">
        <f t="shared" si="25"/>
        <v/>
      </c>
      <c r="BO173" s="398" t="str">
        <f t="shared" si="26"/>
        <v/>
      </c>
      <c r="BP173" s="398" t="str">
        <f t="shared" si="27"/>
        <v/>
      </c>
      <c r="BQ173" s="398" t="str">
        <f t="shared" si="28"/>
        <v/>
      </c>
      <c r="BR173" s="398" t="str">
        <f t="shared" si="29"/>
        <v/>
      </c>
      <c r="BS173" s="398" t="str">
        <f t="shared" si="30"/>
        <v/>
      </c>
      <c r="BT173" s="398" t="str">
        <f t="shared" si="31"/>
        <v/>
      </c>
      <c r="BU173" s="398" t="str">
        <f t="shared" si="32"/>
        <v/>
      </c>
      <c r="BV173" s="398" t="str">
        <f t="shared" si="33"/>
        <v/>
      </c>
      <c r="BW173" s="398" t="str">
        <f t="shared" si="34"/>
        <v/>
      </c>
      <c r="BX173" s="398" t="str">
        <f t="shared" si="35"/>
        <v/>
      </c>
      <c r="BY173" s="399"/>
    </row>
    <row r="174" spans="1:77" ht="15" customHeight="1">
      <c r="A174" s="385">
        <f>IF('Statement of Marks'!A178="","",'Statement of Marks'!A178)</f>
        <v>171</v>
      </c>
      <c r="B174" s="386" t="str">
        <f>IF('Statement of Marks'!B178="","",'Statement of Marks'!B178)</f>
        <v/>
      </c>
      <c r="C174" s="387" t="str">
        <f>IF('Statement of Marks'!C178="","",'Statement of Marks'!C178)</f>
        <v/>
      </c>
      <c r="D174" s="426" t="str">
        <f>IF('Statement of Marks'!D178="","",'Statement of Marks'!D178)</f>
        <v/>
      </c>
      <c r="E174" s="388" t="str">
        <f>IF('Statement of Marks'!E178="","",'Statement of Marks'!E178)</f>
        <v/>
      </c>
      <c r="F174" s="388" t="str">
        <f>IF('Statement of Marks'!F178="","",'Statement of Marks'!F178)</f>
        <v/>
      </c>
      <c r="G174" s="388" t="str">
        <f>IF('Statement of Marks'!G178="","",'Statement of Marks'!G178)</f>
        <v/>
      </c>
      <c r="H174" s="389" t="str">
        <f>IF('Statement of Marks'!H178="","",'Statement of Marks'!H178)</f>
        <v/>
      </c>
      <c r="I174" s="389" t="str">
        <f>IF('Statement of Marks'!I178="","",'Statement of Marks'!I178)</f>
        <v/>
      </c>
      <c r="J174" s="648" t="str">
        <f>IF('Statement of Marks'!GY178="","",'Statement of Marks'!GY178)</f>
        <v/>
      </c>
      <c r="K174" s="390" t="str">
        <f>IF(B174="","",IF('Statement of Marks'!GZ178="","",'Statement of Marks'!GZ178))</f>
        <v/>
      </c>
      <c r="L174" s="391" t="str">
        <f>IF('Statement of Marks'!HC178="","",'Statement of Marks'!HC178)</f>
        <v/>
      </c>
      <c r="M174" s="390" t="str">
        <f>IF('Statement of Marks'!HB178="","",'Statement of Marks'!HB178)</f>
        <v/>
      </c>
      <c r="N174" s="392" t="str">
        <f>IF(J174="FAIL","",IF('Statement of Marks'!GU178="","",'Statement of Marks'!GU178))</f>
        <v xml:space="preserve">    </v>
      </c>
      <c r="O174" s="393" t="str">
        <f>IF('Supp. Result Entry'!AS177="","",'Supp. Result Entry'!AS177)</f>
        <v/>
      </c>
      <c r="P174" s="394" t="str">
        <f>IF('Supp. Result Entry'!AT177="","",'Supp. Result Entry'!AT177)</f>
        <v/>
      </c>
      <c r="Q174" s="395" t="str">
        <f>IF('Statement of Marks'!HG178="","",'Statement of Marks'!HG178)</f>
        <v/>
      </c>
      <c r="R174" s="396" t="str">
        <f>IF('Statement of Marks'!FH178="","",'Statement of Marks'!FH178)</f>
        <v/>
      </c>
      <c r="BL174" s="397" t="str">
        <f>'Statement of Marks'!E178</f>
        <v/>
      </c>
      <c r="BM174" s="398" t="str">
        <f t="shared" si="24"/>
        <v/>
      </c>
      <c r="BN174" s="398" t="str">
        <f t="shared" si="25"/>
        <v/>
      </c>
      <c r="BO174" s="398" t="str">
        <f t="shared" si="26"/>
        <v/>
      </c>
      <c r="BP174" s="398" t="str">
        <f t="shared" si="27"/>
        <v/>
      </c>
      <c r="BQ174" s="398" t="str">
        <f t="shared" si="28"/>
        <v/>
      </c>
      <c r="BR174" s="398" t="str">
        <f t="shared" si="29"/>
        <v/>
      </c>
      <c r="BS174" s="398" t="str">
        <f t="shared" si="30"/>
        <v/>
      </c>
      <c r="BT174" s="398" t="str">
        <f t="shared" si="31"/>
        <v/>
      </c>
      <c r="BU174" s="398" t="str">
        <f t="shared" si="32"/>
        <v/>
      </c>
      <c r="BV174" s="398" t="str">
        <f t="shared" si="33"/>
        <v/>
      </c>
      <c r="BW174" s="398" t="str">
        <f t="shared" si="34"/>
        <v/>
      </c>
      <c r="BX174" s="398" t="str">
        <f t="shared" si="35"/>
        <v/>
      </c>
      <c r="BY174" s="399"/>
    </row>
    <row r="175" spans="1:77" ht="15" customHeight="1">
      <c r="A175" s="385">
        <f>IF('Statement of Marks'!A179="","",'Statement of Marks'!A179)</f>
        <v>172</v>
      </c>
      <c r="B175" s="386" t="str">
        <f>IF('Statement of Marks'!B179="","",'Statement of Marks'!B179)</f>
        <v/>
      </c>
      <c r="C175" s="387" t="str">
        <f>IF('Statement of Marks'!C179="","",'Statement of Marks'!C179)</f>
        <v/>
      </c>
      <c r="D175" s="426" t="str">
        <f>IF('Statement of Marks'!D179="","",'Statement of Marks'!D179)</f>
        <v/>
      </c>
      <c r="E175" s="388" t="str">
        <f>IF('Statement of Marks'!E179="","",'Statement of Marks'!E179)</f>
        <v/>
      </c>
      <c r="F175" s="388" t="str">
        <f>IF('Statement of Marks'!F179="","",'Statement of Marks'!F179)</f>
        <v/>
      </c>
      <c r="G175" s="388" t="str">
        <f>IF('Statement of Marks'!G179="","",'Statement of Marks'!G179)</f>
        <v/>
      </c>
      <c r="H175" s="389" t="str">
        <f>IF('Statement of Marks'!H179="","",'Statement of Marks'!H179)</f>
        <v/>
      </c>
      <c r="I175" s="389" t="str">
        <f>IF('Statement of Marks'!I179="","",'Statement of Marks'!I179)</f>
        <v/>
      </c>
      <c r="J175" s="648" t="str">
        <f>IF('Statement of Marks'!GY179="","",'Statement of Marks'!GY179)</f>
        <v/>
      </c>
      <c r="K175" s="390" t="str">
        <f>IF(B175="","",IF('Statement of Marks'!GZ179="","",'Statement of Marks'!GZ179))</f>
        <v/>
      </c>
      <c r="L175" s="391" t="str">
        <f>IF('Statement of Marks'!HC179="","",'Statement of Marks'!HC179)</f>
        <v/>
      </c>
      <c r="M175" s="390" t="str">
        <f>IF('Statement of Marks'!HB179="","",'Statement of Marks'!HB179)</f>
        <v/>
      </c>
      <c r="N175" s="392" t="str">
        <f>IF(J175="FAIL","",IF('Statement of Marks'!GU179="","",'Statement of Marks'!GU179))</f>
        <v xml:space="preserve">    </v>
      </c>
      <c r="O175" s="393" t="str">
        <f>IF('Supp. Result Entry'!AS178="","",'Supp. Result Entry'!AS178)</f>
        <v/>
      </c>
      <c r="P175" s="394" t="str">
        <f>IF('Supp. Result Entry'!AT178="","",'Supp. Result Entry'!AT178)</f>
        <v/>
      </c>
      <c r="Q175" s="395" t="str">
        <f>IF('Statement of Marks'!HG179="","",'Statement of Marks'!HG179)</f>
        <v/>
      </c>
      <c r="R175" s="396" t="str">
        <f>IF('Statement of Marks'!FH179="","",'Statement of Marks'!FH179)</f>
        <v/>
      </c>
      <c r="BL175" s="397" t="str">
        <f>'Statement of Marks'!E179</f>
        <v/>
      </c>
      <c r="BM175" s="398" t="str">
        <f t="shared" si="24"/>
        <v/>
      </c>
      <c r="BN175" s="398" t="str">
        <f t="shared" si="25"/>
        <v/>
      </c>
      <c r="BO175" s="398" t="str">
        <f t="shared" si="26"/>
        <v/>
      </c>
      <c r="BP175" s="398" t="str">
        <f t="shared" si="27"/>
        <v/>
      </c>
      <c r="BQ175" s="398" t="str">
        <f t="shared" si="28"/>
        <v/>
      </c>
      <c r="BR175" s="398" t="str">
        <f t="shared" si="29"/>
        <v/>
      </c>
      <c r="BS175" s="398" t="str">
        <f t="shared" si="30"/>
        <v/>
      </c>
      <c r="BT175" s="398" t="str">
        <f t="shared" si="31"/>
        <v/>
      </c>
      <c r="BU175" s="398" t="str">
        <f t="shared" si="32"/>
        <v/>
      </c>
      <c r="BV175" s="398" t="str">
        <f t="shared" si="33"/>
        <v/>
      </c>
      <c r="BW175" s="398" t="str">
        <f t="shared" si="34"/>
        <v/>
      </c>
      <c r="BX175" s="398" t="str">
        <f t="shared" si="35"/>
        <v/>
      </c>
      <c r="BY175" s="399"/>
    </row>
    <row r="176" spans="1:77" ht="15" customHeight="1">
      <c r="A176" s="385">
        <f>IF('Statement of Marks'!A180="","",'Statement of Marks'!A180)</f>
        <v>173</v>
      </c>
      <c r="B176" s="386" t="str">
        <f>IF('Statement of Marks'!B180="","",'Statement of Marks'!B180)</f>
        <v/>
      </c>
      <c r="C176" s="387" t="str">
        <f>IF('Statement of Marks'!C180="","",'Statement of Marks'!C180)</f>
        <v/>
      </c>
      <c r="D176" s="426" t="str">
        <f>IF('Statement of Marks'!D180="","",'Statement of Marks'!D180)</f>
        <v/>
      </c>
      <c r="E176" s="388" t="str">
        <f>IF('Statement of Marks'!E180="","",'Statement of Marks'!E180)</f>
        <v/>
      </c>
      <c r="F176" s="388" t="str">
        <f>IF('Statement of Marks'!F180="","",'Statement of Marks'!F180)</f>
        <v/>
      </c>
      <c r="G176" s="388" t="str">
        <f>IF('Statement of Marks'!G180="","",'Statement of Marks'!G180)</f>
        <v/>
      </c>
      <c r="H176" s="389" t="str">
        <f>IF('Statement of Marks'!H180="","",'Statement of Marks'!H180)</f>
        <v/>
      </c>
      <c r="I176" s="389" t="str">
        <f>IF('Statement of Marks'!I180="","",'Statement of Marks'!I180)</f>
        <v/>
      </c>
      <c r="J176" s="648" t="str">
        <f>IF('Statement of Marks'!GY180="","",'Statement of Marks'!GY180)</f>
        <v/>
      </c>
      <c r="K176" s="390" t="str">
        <f>IF(B176="","",IF('Statement of Marks'!GZ180="","",'Statement of Marks'!GZ180))</f>
        <v/>
      </c>
      <c r="L176" s="391" t="str">
        <f>IF('Statement of Marks'!HC180="","",'Statement of Marks'!HC180)</f>
        <v/>
      </c>
      <c r="M176" s="390" t="str">
        <f>IF('Statement of Marks'!HB180="","",'Statement of Marks'!HB180)</f>
        <v/>
      </c>
      <c r="N176" s="392" t="str">
        <f>IF(J176="FAIL","",IF('Statement of Marks'!GU180="","",'Statement of Marks'!GU180))</f>
        <v xml:space="preserve">    </v>
      </c>
      <c r="O176" s="393" t="str">
        <f>IF('Supp. Result Entry'!AS179="","",'Supp. Result Entry'!AS179)</f>
        <v/>
      </c>
      <c r="P176" s="394" t="str">
        <f>IF('Supp. Result Entry'!AT179="","",'Supp. Result Entry'!AT179)</f>
        <v/>
      </c>
      <c r="Q176" s="395" t="str">
        <f>IF('Statement of Marks'!HG180="","",'Statement of Marks'!HG180)</f>
        <v/>
      </c>
      <c r="R176" s="396" t="str">
        <f>IF('Statement of Marks'!FH180="","",'Statement of Marks'!FH180)</f>
        <v/>
      </c>
      <c r="BL176" s="397" t="str">
        <f>'Statement of Marks'!E180</f>
        <v/>
      </c>
      <c r="BM176" s="398" t="str">
        <f t="shared" si="24"/>
        <v/>
      </c>
      <c r="BN176" s="398" t="str">
        <f t="shared" si="25"/>
        <v/>
      </c>
      <c r="BO176" s="398" t="str">
        <f t="shared" si="26"/>
        <v/>
      </c>
      <c r="BP176" s="398" t="str">
        <f t="shared" si="27"/>
        <v/>
      </c>
      <c r="BQ176" s="398" t="str">
        <f t="shared" si="28"/>
        <v/>
      </c>
      <c r="BR176" s="398" t="str">
        <f t="shared" si="29"/>
        <v/>
      </c>
      <c r="BS176" s="398" t="str">
        <f t="shared" si="30"/>
        <v/>
      </c>
      <c r="BT176" s="398" t="str">
        <f t="shared" si="31"/>
        <v/>
      </c>
      <c r="BU176" s="398" t="str">
        <f t="shared" si="32"/>
        <v/>
      </c>
      <c r="BV176" s="398" t="str">
        <f t="shared" si="33"/>
        <v/>
      </c>
      <c r="BW176" s="398" t="str">
        <f t="shared" si="34"/>
        <v/>
      </c>
      <c r="BX176" s="398" t="str">
        <f t="shared" si="35"/>
        <v/>
      </c>
      <c r="BY176" s="399"/>
    </row>
    <row r="177" spans="1:77" ht="15" customHeight="1">
      <c r="A177" s="385">
        <f>IF('Statement of Marks'!A181="","",'Statement of Marks'!A181)</f>
        <v>174</v>
      </c>
      <c r="B177" s="386" t="str">
        <f>IF('Statement of Marks'!B181="","",'Statement of Marks'!B181)</f>
        <v/>
      </c>
      <c r="C177" s="387" t="str">
        <f>IF('Statement of Marks'!C181="","",'Statement of Marks'!C181)</f>
        <v/>
      </c>
      <c r="D177" s="426" t="str">
        <f>IF('Statement of Marks'!D181="","",'Statement of Marks'!D181)</f>
        <v/>
      </c>
      <c r="E177" s="388" t="str">
        <f>IF('Statement of Marks'!E181="","",'Statement of Marks'!E181)</f>
        <v/>
      </c>
      <c r="F177" s="388" t="str">
        <f>IF('Statement of Marks'!F181="","",'Statement of Marks'!F181)</f>
        <v/>
      </c>
      <c r="G177" s="388" t="str">
        <f>IF('Statement of Marks'!G181="","",'Statement of Marks'!G181)</f>
        <v/>
      </c>
      <c r="H177" s="389" t="str">
        <f>IF('Statement of Marks'!H181="","",'Statement of Marks'!H181)</f>
        <v/>
      </c>
      <c r="I177" s="389" t="str">
        <f>IF('Statement of Marks'!I181="","",'Statement of Marks'!I181)</f>
        <v/>
      </c>
      <c r="J177" s="648" t="str">
        <f>IF('Statement of Marks'!GY181="","",'Statement of Marks'!GY181)</f>
        <v/>
      </c>
      <c r="K177" s="390" t="str">
        <f>IF(B177="","",IF('Statement of Marks'!GZ181="","",'Statement of Marks'!GZ181))</f>
        <v/>
      </c>
      <c r="L177" s="391" t="str">
        <f>IF('Statement of Marks'!HC181="","",'Statement of Marks'!HC181)</f>
        <v/>
      </c>
      <c r="M177" s="390" t="str">
        <f>IF('Statement of Marks'!HB181="","",'Statement of Marks'!HB181)</f>
        <v/>
      </c>
      <c r="N177" s="392" t="str">
        <f>IF(J177="FAIL","",IF('Statement of Marks'!GU181="","",'Statement of Marks'!GU181))</f>
        <v xml:space="preserve">    </v>
      </c>
      <c r="O177" s="393" t="str">
        <f>IF('Supp. Result Entry'!AS180="","",'Supp. Result Entry'!AS180)</f>
        <v/>
      </c>
      <c r="P177" s="394" t="str">
        <f>IF('Supp. Result Entry'!AT180="","",'Supp. Result Entry'!AT180)</f>
        <v/>
      </c>
      <c r="Q177" s="395" t="str">
        <f>IF('Statement of Marks'!HG181="","",'Statement of Marks'!HG181)</f>
        <v/>
      </c>
      <c r="R177" s="396" t="str">
        <f>IF('Statement of Marks'!FH181="","",'Statement of Marks'!FH181)</f>
        <v/>
      </c>
      <c r="BL177" s="397" t="str">
        <f>'Statement of Marks'!E181</f>
        <v/>
      </c>
      <c r="BM177" s="398" t="str">
        <f t="shared" si="24"/>
        <v/>
      </c>
      <c r="BN177" s="398" t="str">
        <f t="shared" si="25"/>
        <v/>
      </c>
      <c r="BO177" s="398" t="str">
        <f t="shared" si="26"/>
        <v/>
      </c>
      <c r="BP177" s="398" t="str">
        <f t="shared" si="27"/>
        <v/>
      </c>
      <c r="BQ177" s="398" t="str">
        <f t="shared" si="28"/>
        <v/>
      </c>
      <c r="BR177" s="398" t="str">
        <f t="shared" si="29"/>
        <v/>
      </c>
      <c r="BS177" s="398" t="str">
        <f t="shared" si="30"/>
        <v/>
      </c>
      <c r="BT177" s="398" t="str">
        <f t="shared" si="31"/>
        <v/>
      </c>
      <c r="BU177" s="398" t="str">
        <f t="shared" si="32"/>
        <v/>
      </c>
      <c r="BV177" s="398" t="str">
        <f t="shared" si="33"/>
        <v/>
      </c>
      <c r="BW177" s="398" t="str">
        <f t="shared" si="34"/>
        <v/>
      </c>
      <c r="BX177" s="398" t="str">
        <f t="shared" si="35"/>
        <v/>
      </c>
      <c r="BY177" s="399"/>
    </row>
    <row r="178" spans="1:77" ht="15" customHeight="1">
      <c r="A178" s="385">
        <f>IF('Statement of Marks'!A182="","",'Statement of Marks'!A182)</f>
        <v>175</v>
      </c>
      <c r="B178" s="386" t="str">
        <f>IF('Statement of Marks'!B182="","",'Statement of Marks'!B182)</f>
        <v/>
      </c>
      <c r="C178" s="387" t="str">
        <f>IF('Statement of Marks'!C182="","",'Statement of Marks'!C182)</f>
        <v/>
      </c>
      <c r="D178" s="426" t="str">
        <f>IF('Statement of Marks'!D182="","",'Statement of Marks'!D182)</f>
        <v/>
      </c>
      <c r="E178" s="388" t="str">
        <f>IF('Statement of Marks'!E182="","",'Statement of Marks'!E182)</f>
        <v/>
      </c>
      <c r="F178" s="388" t="str">
        <f>IF('Statement of Marks'!F182="","",'Statement of Marks'!F182)</f>
        <v/>
      </c>
      <c r="G178" s="388" t="str">
        <f>IF('Statement of Marks'!G182="","",'Statement of Marks'!G182)</f>
        <v/>
      </c>
      <c r="H178" s="389" t="str">
        <f>IF('Statement of Marks'!H182="","",'Statement of Marks'!H182)</f>
        <v/>
      </c>
      <c r="I178" s="389" t="str">
        <f>IF('Statement of Marks'!I182="","",'Statement of Marks'!I182)</f>
        <v/>
      </c>
      <c r="J178" s="648" t="str">
        <f>IF('Statement of Marks'!GY182="","",'Statement of Marks'!GY182)</f>
        <v/>
      </c>
      <c r="K178" s="390" t="str">
        <f>IF(B178="","",IF('Statement of Marks'!GZ182="","",'Statement of Marks'!GZ182))</f>
        <v/>
      </c>
      <c r="L178" s="391" t="str">
        <f>IF('Statement of Marks'!HC182="","",'Statement of Marks'!HC182)</f>
        <v/>
      </c>
      <c r="M178" s="390" t="str">
        <f>IF('Statement of Marks'!HB182="","",'Statement of Marks'!HB182)</f>
        <v/>
      </c>
      <c r="N178" s="392" t="str">
        <f>IF(J178="FAIL","",IF('Statement of Marks'!GU182="","",'Statement of Marks'!GU182))</f>
        <v xml:space="preserve">    </v>
      </c>
      <c r="O178" s="393" t="str">
        <f>IF('Supp. Result Entry'!AS181="","",'Supp. Result Entry'!AS181)</f>
        <v/>
      </c>
      <c r="P178" s="394" t="str">
        <f>IF('Supp. Result Entry'!AT181="","",'Supp. Result Entry'!AT181)</f>
        <v/>
      </c>
      <c r="Q178" s="395" t="str">
        <f>IF('Statement of Marks'!HG182="","",'Statement of Marks'!HG182)</f>
        <v/>
      </c>
      <c r="R178" s="396" t="str">
        <f>IF('Statement of Marks'!FH182="","",'Statement of Marks'!FH182)</f>
        <v/>
      </c>
      <c r="BL178" s="397" t="str">
        <f>'Statement of Marks'!E182</f>
        <v/>
      </c>
      <c r="BM178" s="398" t="str">
        <f t="shared" si="24"/>
        <v/>
      </c>
      <c r="BN178" s="398" t="str">
        <f t="shared" si="25"/>
        <v/>
      </c>
      <c r="BO178" s="398" t="str">
        <f t="shared" si="26"/>
        <v/>
      </c>
      <c r="BP178" s="398" t="str">
        <f t="shared" si="27"/>
        <v/>
      </c>
      <c r="BQ178" s="398" t="str">
        <f t="shared" si="28"/>
        <v/>
      </c>
      <c r="BR178" s="398" t="str">
        <f t="shared" si="29"/>
        <v/>
      </c>
      <c r="BS178" s="398" t="str">
        <f t="shared" si="30"/>
        <v/>
      </c>
      <c r="BT178" s="398" t="str">
        <f t="shared" si="31"/>
        <v/>
      </c>
      <c r="BU178" s="398" t="str">
        <f t="shared" si="32"/>
        <v/>
      </c>
      <c r="BV178" s="398" t="str">
        <f t="shared" si="33"/>
        <v/>
      </c>
      <c r="BW178" s="398" t="str">
        <f t="shared" si="34"/>
        <v/>
      </c>
      <c r="BX178" s="398" t="str">
        <f t="shared" si="35"/>
        <v/>
      </c>
      <c r="BY178" s="399"/>
    </row>
    <row r="179" spans="1:77" ht="15" customHeight="1">
      <c r="A179" s="385">
        <f>IF('Statement of Marks'!A183="","",'Statement of Marks'!A183)</f>
        <v>176</v>
      </c>
      <c r="B179" s="386" t="str">
        <f>IF('Statement of Marks'!B183="","",'Statement of Marks'!B183)</f>
        <v/>
      </c>
      <c r="C179" s="387" t="str">
        <f>IF('Statement of Marks'!C183="","",'Statement of Marks'!C183)</f>
        <v/>
      </c>
      <c r="D179" s="426" t="str">
        <f>IF('Statement of Marks'!D183="","",'Statement of Marks'!D183)</f>
        <v/>
      </c>
      <c r="E179" s="388" t="str">
        <f>IF('Statement of Marks'!E183="","",'Statement of Marks'!E183)</f>
        <v/>
      </c>
      <c r="F179" s="388" t="str">
        <f>IF('Statement of Marks'!F183="","",'Statement of Marks'!F183)</f>
        <v/>
      </c>
      <c r="G179" s="388" t="str">
        <f>IF('Statement of Marks'!G183="","",'Statement of Marks'!G183)</f>
        <v/>
      </c>
      <c r="H179" s="389" t="str">
        <f>IF('Statement of Marks'!H183="","",'Statement of Marks'!H183)</f>
        <v/>
      </c>
      <c r="I179" s="389" t="str">
        <f>IF('Statement of Marks'!I183="","",'Statement of Marks'!I183)</f>
        <v/>
      </c>
      <c r="J179" s="648" t="str">
        <f>IF('Statement of Marks'!GY183="","",'Statement of Marks'!GY183)</f>
        <v/>
      </c>
      <c r="K179" s="390" t="str">
        <f>IF(B179="","",IF('Statement of Marks'!GZ183="","",'Statement of Marks'!GZ183))</f>
        <v/>
      </c>
      <c r="L179" s="391" t="str">
        <f>IF('Statement of Marks'!HC183="","",'Statement of Marks'!HC183)</f>
        <v/>
      </c>
      <c r="M179" s="390" t="str">
        <f>IF('Statement of Marks'!HB183="","",'Statement of Marks'!HB183)</f>
        <v/>
      </c>
      <c r="N179" s="392" t="str">
        <f>IF(J179="FAIL","",IF('Statement of Marks'!GU183="","",'Statement of Marks'!GU183))</f>
        <v xml:space="preserve">    </v>
      </c>
      <c r="O179" s="393" t="str">
        <f>IF('Supp. Result Entry'!AS182="","",'Supp. Result Entry'!AS182)</f>
        <v/>
      </c>
      <c r="P179" s="394" t="str">
        <f>IF('Supp. Result Entry'!AT182="","",'Supp. Result Entry'!AT182)</f>
        <v/>
      </c>
      <c r="Q179" s="395" t="str">
        <f>IF('Statement of Marks'!HG183="","",'Statement of Marks'!HG183)</f>
        <v/>
      </c>
      <c r="R179" s="396" t="str">
        <f>IF('Statement of Marks'!FH183="","",'Statement of Marks'!FH183)</f>
        <v/>
      </c>
      <c r="BL179" s="397" t="str">
        <f>'Statement of Marks'!E183</f>
        <v/>
      </c>
      <c r="BM179" s="398" t="str">
        <f t="shared" si="24"/>
        <v/>
      </c>
      <c r="BN179" s="398" t="str">
        <f t="shared" si="25"/>
        <v/>
      </c>
      <c r="BO179" s="398" t="str">
        <f t="shared" si="26"/>
        <v/>
      </c>
      <c r="BP179" s="398" t="str">
        <f t="shared" si="27"/>
        <v/>
      </c>
      <c r="BQ179" s="398" t="str">
        <f t="shared" si="28"/>
        <v/>
      </c>
      <c r="BR179" s="398" t="str">
        <f t="shared" si="29"/>
        <v/>
      </c>
      <c r="BS179" s="398" t="str">
        <f t="shared" si="30"/>
        <v/>
      </c>
      <c r="BT179" s="398" t="str">
        <f t="shared" si="31"/>
        <v/>
      </c>
      <c r="BU179" s="398" t="str">
        <f t="shared" si="32"/>
        <v/>
      </c>
      <c r="BV179" s="398" t="str">
        <f t="shared" si="33"/>
        <v/>
      </c>
      <c r="BW179" s="398" t="str">
        <f t="shared" si="34"/>
        <v/>
      </c>
      <c r="BX179" s="398" t="str">
        <f t="shared" si="35"/>
        <v/>
      </c>
      <c r="BY179" s="399"/>
    </row>
    <row r="180" spans="1:77" ht="15" customHeight="1">
      <c r="A180" s="385">
        <f>IF('Statement of Marks'!A184="","",'Statement of Marks'!A184)</f>
        <v>177</v>
      </c>
      <c r="B180" s="386" t="str">
        <f>IF('Statement of Marks'!B184="","",'Statement of Marks'!B184)</f>
        <v/>
      </c>
      <c r="C180" s="387" t="str">
        <f>IF('Statement of Marks'!C184="","",'Statement of Marks'!C184)</f>
        <v/>
      </c>
      <c r="D180" s="426" t="str">
        <f>IF('Statement of Marks'!D184="","",'Statement of Marks'!D184)</f>
        <v/>
      </c>
      <c r="E180" s="388" t="str">
        <f>IF('Statement of Marks'!E184="","",'Statement of Marks'!E184)</f>
        <v/>
      </c>
      <c r="F180" s="388" t="str">
        <f>IF('Statement of Marks'!F184="","",'Statement of Marks'!F184)</f>
        <v/>
      </c>
      <c r="G180" s="388" t="str">
        <f>IF('Statement of Marks'!G184="","",'Statement of Marks'!G184)</f>
        <v/>
      </c>
      <c r="H180" s="389" t="str">
        <f>IF('Statement of Marks'!H184="","",'Statement of Marks'!H184)</f>
        <v/>
      </c>
      <c r="I180" s="389" t="str">
        <f>IF('Statement of Marks'!I184="","",'Statement of Marks'!I184)</f>
        <v/>
      </c>
      <c r="J180" s="648" t="str">
        <f>IF('Statement of Marks'!GY184="","",'Statement of Marks'!GY184)</f>
        <v/>
      </c>
      <c r="K180" s="390" t="str">
        <f>IF(B180="","",IF('Statement of Marks'!GZ184="","",'Statement of Marks'!GZ184))</f>
        <v/>
      </c>
      <c r="L180" s="391" t="str">
        <f>IF('Statement of Marks'!HC184="","",'Statement of Marks'!HC184)</f>
        <v/>
      </c>
      <c r="M180" s="390" t="str">
        <f>IF('Statement of Marks'!HB184="","",'Statement of Marks'!HB184)</f>
        <v/>
      </c>
      <c r="N180" s="392" t="str">
        <f>IF(J180="FAIL","",IF('Statement of Marks'!GU184="","",'Statement of Marks'!GU184))</f>
        <v xml:space="preserve">    </v>
      </c>
      <c r="O180" s="393" t="str">
        <f>IF('Supp. Result Entry'!AS183="","",'Supp. Result Entry'!AS183)</f>
        <v/>
      </c>
      <c r="P180" s="394" t="str">
        <f>IF('Supp. Result Entry'!AT183="","",'Supp. Result Entry'!AT183)</f>
        <v/>
      </c>
      <c r="Q180" s="395" t="str">
        <f>IF('Statement of Marks'!HG184="","",'Statement of Marks'!HG184)</f>
        <v/>
      </c>
      <c r="R180" s="396" t="str">
        <f>IF('Statement of Marks'!FH184="","",'Statement of Marks'!FH184)</f>
        <v/>
      </c>
      <c r="BL180" s="397" t="str">
        <f>'Statement of Marks'!E184</f>
        <v/>
      </c>
      <c r="BM180" s="398" t="str">
        <f t="shared" si="24"/>
        <v/>
      </c>
      <c r="BN180" s="398" t="str">
        <f t="shared" si="25"/>
        <v/>
      </c>
      <c r="BO180" s="398" t="str">
        <f t="shared" si="26"/>
        <v/>
      </c>
      <c r="BP180" s="398" t="str">
        <f t="shared" si="27"/>
        <v/>
      </c>
      <c r="BQ180" s="398" t="str">
        <f t="shared" si="28"/>
        <v/>
      </c>
      <c r="BR180" s="398" t="str">
        <f t="shared" si="29"/>
        <v/>
      </c>
      <c r="BS180" s="398" t="str">
        <f t="shared" si="30"/>
        <v/>
      </c>
      <c r="BT180" s="398" t="str">
        <f t="shared" si="31"/>
        <v/>
      </c>
      <c r="BU180" s="398" t="str">
        <f t="shared" si="32"/>
        <v/>
      </c>
      <c r="BV180" s="398" t="str">
        <f t="shared" si="33"/>
        <v/>
      </c>
      <c r="BW180" s="398" t="str">
        <f t="shared" si="34"/>
        <v/>
      </c>
      <c r="BX180" s="398" t="str">
        <f t="shared" si="35"/>
        <v/>
      </c>
      <c r="BY180" s="399"/>
    </row>
    <row r="181" spans="1:77" ht="15" customHeight="1">
      <c r="A181" s="385">
        <f>IF('Statement of Marks'!A185="","",'Statement of Marks'!A185)</f>
        <v>178</v>
      </c>
      <c r="B181" s="386" t="str">
        <f>IF('Statement of Marks'!B185="","",'Statement of Marks'!B185)</f>
        <v/>
      </c>
      <c r="C181" s="387" t="str">
        <f>IF('Statement of Marks'!C185="","",'Statement of Marks'!C185)</f>
        <v/>
      </c>
      <c r="D181" s="426" t="str">
        <f>IF('Statement of Marks'!D185="","",'Statement of Marks'!D185)</f>
        <v/>
      </c>
      <c r="E181" s="388" t="str">
        <f>IF('Statement of Marks'!E185="","",'Statement of Marks'!E185)</f>
        <v/>
      </c>
      <c r="F181" s="388" t="str">
        <f>IF('Statement of Marks'!F185="","",'Statement of Marks'!F185)</f>
        <v/>
      </c>
      <c r="G181" s="388" t="str">
        <f>IF('Statement of Marks'!G185="","",'Statement of Marks'!G185)</f>
        <v/>
      </c>
      <c r="H181" s="389" t="str">
        <f>IF('Statement of Marks'!H185="","",'Statement of Marks'!H185)</f>
        <v/>
      </c>
      <c r="I181" s="389" t="str">
        <f>IF('Statement of Marks'!I185="","",'Statement of Marks'!I185)</f>
        <v/>
      </c>
      <c r="J181" s="648" t="str">
        <f>IF('Statement of Marks'!GY185="","",'Statement of Marks'!GY185)</f>
        <v/>
      </c>
      <c r="K181" s="390" t="str">
        <f>IF(B181="","",IF('Statement of Marks'!GZ185="","",'Statement of Marks'!GZ185))</f>
        <v/>
      </c>
      <c r="L181" s="391" t="str">
        <f>IF('Statement of Marks'!HC185="","",'Statement of Marks'!HC185)</f>
        <v/>
      </c>
      <c r="M181" s="390" t="str">
        <f>IF('Statement of Marks'!HB185="","",'Statement of Marks'!HB185)</f>
        <v/>
      </c>
      <c r="N181" s="392" t="str">
        <f>IF(J181="FAIL","",IF('Statement of Marks'!GU185="","",'Statement of Marks'!GU185))</f>
        <v xml:space="preserve">    </v>
      </c>
      <c r="O181" s="393" t="str">
        <f>IF('Supp. Result Entry'!AS184="","",'Supp. Result Entry'!AS184)</f>
        <v/>
      </c>
      <c r="P181" s="394" t="str">
        <f>IF('Supp. Result Entry'!AT184="","",'Supp. Result Entry'!AT184)</f>
        <v/>
      </c>
      <c r="Q181" s="395" t="str">
        <f>IF('Statement of Marks'!HG185="","",'Statement of Marks'!HG185)</f>
        <v/>
      </c>
      <c r="R181" s="396" t="str">
        <f>IF('Statement of Marks'!FH185="","",'Statement of Marks'!FH185)</f>
        <v/>
      </c>
      <c r="BL181" s="397" t="str">
        <f>'Statement of Marks'!E185</f>
        <v/>
      </c>
      <c r="BM181" s="398" t="str">
        <f t="shared" si="24"/>
        <v/>
      </c>
      <c r="BN181" s="398" t="str">
        <f t="shared" si="25"/>
        <v/>
      </c>
      <c r="BO181" s="398" t="str">
        <f t="shared" si="26"/>
        <v/>
      </c>
      <c r="BP181" s="398" t="str">
        <f t="shared" si="27"/>
        <v/>
      </c>
      <c r="BQ181" s="398" t="str">
        <f t="shared" si="28"/>
        <v/>
      </c>
      <c r="BR181" s="398" t="str">
        <f t="shared" si="29"/>
        <v/>
      </c>
      <c r="BS181" s="398" t="str">
        <f t="shared" si="30"/>
        <v/>
      </c>
      <c r="BT181" s="398" t="str">
        <f t="shared" si="31"/>
        <v/>
      </c>
      <c r="BU181" s="398" t="str">
        <f t="shared" si="32"/>
        <v/>
      </c>
      <c r="BV181" s="398" t="str">
        <f t="shared" si="33"/>
        <v/>
      </c>
      <c r="BW181" s="398" t="str">
        <f t="shared" si="34"/>
        <v/>
      </c>
      <c r="BX181" s="398" t="str">
        <f t="shared" si="35"/>
        <v/>
      </c>
      <c r="BY181" s="399"/>
    </row>
    <row r="182" spans="1:77" ht="15" customHeight="1">
      <c r="A182" s="385">
        <f>IF('Statement of Marks'!A186="","",'Statement of Marks'!A186)</f>
        <v>179</v>
      </c>
      <c r="B182" s="386" t="str">
        <f>IF('Statement of Marks'!B186="","",'Statement of Marks'!B186)</f>
        <v/>
      </c>
      <c r="C182" s="387" t="str">
        <f>IF('Statement of Marks'!C186="","",'Statement of Marks'!C186)</f>
        <v/>
      </c>
      <c r="D182" s="426" t="str">
        <f>IF('Statement of Marks'!D186="","",'Statement of Marks'!D186)</f>
        <v/>
      </c>
      <c r="E182" s="388" t="str">
        <f>IF('Statement of Marks'!E186="","",'Statement of Marks'!E186)</f>
        <v/>
      </c>
      <c r="F182" s="388" t="str">
        <f>IF('Statement of Marks'!F186="","",'Statement of Marks'!F186)</f>
        <v/>
      </c>
      <c r="G182" s="388" t="str">
        <f>IF('Statement of Marks'!G186="","",'Statement of Marks'!G186)</f>
        <v/>
      </c>
      <c r="H182" s="389" t="str">
        <f>IF('Statement of Marks'!H186="","",'Statement of Marks'!H186)</f>
        <v/>
      </c>
      <c r="I182" s="389" t="str">
        <f>IF('Statement of Marks'!I186="","",'Statement of Marks'!I186)</f>
        <v/>
      </c>
      <c r="J182" s="648" t="str">
        <f>IF('Statement of Marks'!GY186="","",'Statement of Marks'!GY186)</f>
        <v/>
      </c>
      <c r="K182" s="390" t="str">
        <f>IF(B182="","",IF('Statement of Marks'!GZ186="","",'Statement of Marks'!GZ186))</f>
        <v/>
      </c>
      <c r="L182" s="391" t="str">
        <f>IF('Statement of Marks'!HC186="","",'Statement of Marks'!HC186)</f>
        <v/>
      </c>
      <c r="M182" s="390" t="str">
        <f>IF('Statement of Marks'!HB186="","",'Statement of Marks'!HB186)</f>
        <v/>
      </c>
      <c r="N182" s="392" t="str">
        <f>IF(J182="FAIL","",IF('Statement of Marks'!GU186="","",'Statement of Marks'!GU186))</f>
        <v xml:space="preserve">    </v>
      </c>
      <c r="O182" s="393" t="str">
        <f>IF('Supp. Result Entry'!AS185="","",'Supp. Result Entry'!AS185)</f>
        <v/>
      </c>
      <c r="P182" s="394" t="str">
        <f>IF('Supp. Result Entry'!AT185="","",'Supp. Result Entry'!AT185)</f>
        <v/>
      </c>
      <c r="Q182" s="395" t="str">
        <f>IF('Statement of Marks'!HG186="","",'Statement of Marks'!HG186)</f>
        <v/>
      </c>
      <c r="R182" s="396" t="str">
        <f>IF('Statement of Marks'!FH186="","",'Statement of Marks'!FH186)</f>
        <v/>
      </c>
      <c r="BL182" s="397" t="str">
        <f>'Statement of Marks'!E186</f>
        <v/>
      </c>
      <c r="BM182" s="398" t="str">
        <f t="shared" si="24"/>
        <v/>
      </c>
      <c r="BN182" s="398" t="str">
        <f t="shared" si="25"/>
        <v/>
      </c>
      <c r="BO182" s="398" t="str">
        <f t="shared" si="26"/>
        <v/>
      </c>
      <c r="BP182" s="398" t="str">
        <f t="shared" si="27"/>
        <v/>
      </c>
      <c r="BQ182" s="398" t="str">
        <f t="shared" si="28"/>
        <v/>
      </c>
      <c r="BR182" s="398" t="str">
        <f t="shared" si="29"/>
        <v/>
      </c>
      <c r="BS182" s="398" t="str">
        <f t="shared" si="30"/>
        <v/>
      </c>
      <c r="BT182" s="398" t="str">
        <f t="shared" si="31"/>
        <v/>
      </c>
      <c r="BU182" s="398" t="str">
        <f t="shared" si="32"/>
        <v/>
      </c>
      <c r="BV182" s="398" t="str">
        <f t="shared" si="33"/>
        <v/>
      </c>
      <c r="BW182" s="398" t="str">
        <f t="shared" si="34"/>
        <v/>
      </c>
      <c r="BX182" s="398" t="str">
        <f t="shared" si="35"/>
        <v/>
      </c>
      <c r="BY182" s="399"/>
    </row>
    <row r="183" spans="1:77" ht="15" customHeight="1">
      <c r="A183" s="385">
        <f>IF('Statement of Marks'!A187="","",'Statement of Marks'!A187)</f>
        <v>180</v>
      </c>
      <c r="B183" s="386" t="str">
        <f>IF('Statement of Marks'!B187="","",'Statement of Marks'!B187)</f>
        <v/>
      </c>
      <c r="C183" s="387" t="str">
        <f>IF('Statement of Marks'!C187="","",'Statement of Marks'!C187)</f>
        <v/>
      </c>
      <c r="D183" s="426" t="str">
        <f>IF('Statement of Marks'!D187="","",'Statement of Marks'!D187)</f>
        <v/>
      </c>
      <c r="E183" s="388" t="str">
        <f>IF('Statement of Marks'!E187="","",'Statement of Marks'!E187)</f>
        <v/>
      </c>
      <c r="F183" s="388" t="str">
        <f>IF('Statement of Marks'!F187="","",'Statement of Marks'!F187)</f>
        <v/>
      </c>
      <c r="G183" s="388" t="str">
        <f>IF('Statement of Marks'!G187="","",'Statement of Marks'!G187)</f>
        <v/>
      </c>
      <c r="H183" s="389" t="str">
        <f>IF('Statement of Marks'!H187="","",'Statement of Marks'!H187)</f>
        <v/>
      </c>
      <c r="I183" s="389" t="str">
        <f>IF('Statement of Marks'!I187="","",'Statement of Marks'!I187)</f>
        <v/>
      </c>
      <c r="J183" s="648" t="str">
        <f>IF('Statement of Marks'!GY187="","",'Statement of Marks'!GY187)</f>
        <v/>
      </c>
      <c r="K183" s="390" t="str">
        <f>IF(B183="","",IF('Statement of Marks'!GZ187="","",'Statement of Marks'!GZ187))</f>
        <v/>
      </c>
      <c r="L183" s="391" t="str">
        <f>IF('Statement of Marks'!HC187="","",'Statement of Marks'!HC187)</f>
        <v/>
      </c>
      <c r="M183" s="390" t="str">
        <f>IF('Statement of Marks'!HB187="","",'Statement of Marks'!HB187)</f>
        <v/>
      </c>
      <c r="N183" s="392" t="str">
        <f>IF(J183="FAIL","",IF('Statement of Marks'!GU187="","",'Statement of Marks'!GU187))</f>
        <v xml:space="preserve">    </v>
      </c>
      <c r="O183" s="393" t="str">
        <f>IF('Supp. Result Entry'!AS186="","",'Supp. Result Entry'!AS186)</f>
        <v/>
      </c>
      <c r="P183" s="394" t="str">
        <f>IF('Supp. Result Entry'!AT186="","",'Supp. Result Entry'!AT186)</f>
        <v/>
      </c>
      <c r="Q183" s="395" t="str">
        <f>IF('Statement of Marks'!HG187="","",'Statement of Marks'!HG187)</f>
        <v/>
      </c>
      <c r="R183" s="396" t="str">
        <f>IF('Statement of Marks'!FH187="","",'Statement of Marks'!FH187)</f>
        <v/>
      </c>
      <c r="BL183" s="397" t="str">
        <f>'Statement of Marks'!E187</f>
        <v/>
      </c>
      <c r="BM183" s="398" t="str">
        <f t="shared" si="24"/>
        <v/>
      </c>
      <c r="BN183" s="398" t="str">
        <f t="shared" si="25"/>
        <v/>
      </c>
      <c r="BO183" s="398" t="str">
        <f t="shared" si="26"/>
        <v/>
      </c>
      <c r="BP183" s="398" t="str">
        <f t="shared" si="27"/>
        <v/>
      </c>
      <c r="BQ183" s="398" t="str">
        <f t="shared" si="28"/>
        <v/>
      </c>
      <c r="BR183" s="398" t="str">
        <f t="shared" si="29"/>
        <v/>
      </c>
      <c r="BS183" s="398" t="str">
        <f t="shared" si="30"/>
        <v/>
      </c>
      <c r="BT183" s="398" t="str">
        <f t="shared" si="31"/>
        <v/>
      </c>
      <c r="BU183" s="398" t="str">
        <f t="shared" si="32"/>
        <v/>
      </c>
      <c r="BV183" s="398" t="str">
        <f t="shared" si="33"/>
        <v/>
      </c>
      <c r="BW183" s="398" t="str">
        <f t="shared" si="34"/>
        <v/>
      </c>
      <c r="BX183" s="398" t="str">
        <f t="shared" si="35"/>
        <v/>
      </c>
      <c r="BY183" s="399"/>
    </row>
    <row r="184" spans="1:77" ht="15" customHeight="1">
      <c r="A184" s="385">
        <f>IF('Statement of Marks'!A188="","",'Statement of Marks'!A188)</f>
        <v>181</v>
      </c>
      <c r="B184" s="386" t="str">
        <f>IF('Statement of Marks'!B188="","",'Statement of Marks'!B188)</f>
        <v/>
      </c>
      <c r="C184" s="387" t="str">
        <f>IF('Statement of Marks'!C188="","",'Statement of Marks'!C188)</f>
        <v/>
      </c>
      <c r="D184" s="426" t="str">
        <f>IF('Statement of Marks'!D188="","",'Statement of Marks'!D188)</f>
        <v/>
      </c>
      <c r="E184" s="388" t="str">
        <f>IF('Statement of Marks'!E188="","",'Statement of Marks'!E188)</f>
        <v/>
      </c>
      <c r="F184" s="388" t="str">
        <f>IF('Statement of Marks'!F188="","",'Statement of Marks'!F188)</f>
        <v/>
      </c>
      <c r="G184" s="388" t="str">
        <f>IF('Statement of Marks'!G188="","",'Statement of Marks'!G188)</f>
        <v/>
      </c>
      <c r="H184" s="389" t="str">
        <f>IF('Statement of Marks'!H188="","",'Statement of Marks'!H188)</f>
        <v/>
      </c>
      <c r="I184" s="389" t="str">
        <f>IF('Statement of Marks'!I188="","",'Statement of Marks'!I188)</f>
        <v/>
      </c>
      <c r="J184" s="648" t="str">
        <f>IF('Statement of Marks'!GY188="","",'Statement of Marks'!GY188)</f>
        <v/>
      </c>
      <c r="K184" s="390" t="str">
        <f>IF(B184="","",IF('Statement of Marks'!GZ188="","",'Statement of Marks'!GZ188))</f>
        <v/>
      </c>
      <c r="L184" s="391" t="str">
        <f>IF('Statement of Marks'!HC188="","",'Statement of Marks'!HC188)</f>
        <v/>
      </c>
      <c r="M184" s="390" t="str">
        <f>IF('Statement of Marks'!HB188="","",'Statement of Marks'!HB188)</f>
        <v/>
      </c>
      <c r="N184" s="392" t="str">
        <f>IF(J184="FAIL","",IF('Statement of Marks'!GU188="","",'Statement of Marks'!GU188))</f>
        <v xml:space="preserve">    </v>
      </c>
      <c r="O184" s="393" t="str">
        <f>IF('Supp. Result Entry'!AS187="","",'Supp. Result Entry'!AS187)</f>
        <v/>
      </c>
      <c r="P184" s="394" t="str">
        <f>IF('Supp. Result Entry'!AT187="","",'Supp. Result Entry'!AT187)</f>
        <v/>
      </c>
      <c r="Q184" s="395" t="str">
        <f>IF('Statement of Marks'!HG188="","",'Statement of Marks'!HG188)</f>
        <v/>
      </c>
      <c r="R184" s="396" t="str">
        <f>IF('Statement of Marks'!FH188="","",'Statement of Marks'!FH188)</f>
        <v/>
      </c>
      <c r="BL184" s="397" t="str">
        <f>'Statement of Marks'!E188</f>
        <v/>
      </c>
      <c r="BM184" s="398" t="str">
        <f t="shared" si="24"/>
        <v/>
      </c>
      <c r="BN184" s="398" t="str">
        <f t="shared" si="25"/>
        <v/>
      </c>
      <c r="BO184" s="398" t="str">
        <f t="shared" si="26"/>
        <v/>
      </c>
      <c r="BP184" s="398" t="str">
        <f t="shared" si="27"/>
        <v/>
      </c>
      <c r="BQ184" s="398" t="str">
        <f t="shared" si="28"/>
        <v/>
      </c>
      <c r="BR184" s="398" t="str">
        <f t="shared" si="29"/>
        <v/>
      </c>
      <c r="BS184" s="398" t="str">
        <f t="shared" si="30"/>
        <v/>
      </c>
      <c r="BT184" s="398" t="str">
        <f t="shared" si="31"/>
        <v/>
      </c>
      <c r="BU184" s="398" t="str">
        <f t="shared" si="32"/>
        <v/>
      </c>
      <c r="BV184" s="398" t="str">
        <f t="shared" si="33"/>
        <v/>
      </c>
      <c r="BW184" s="398" t="str">
        <f t="shared" si="34"/>
        <v/>
      </c>
      <c r="BX184" s="398" t="str">
        <f t="shared" si="35"/>
        <v/>
      </c>
      <c r="BY184" s="399"/>
    </row>
    <row r="185" spans="1:77" ht="15" customHeight="1">
      <c r="A185" s="385">
        <f>IF('Statement of Marks'!A189="","",'Statement of Marks'!A189)</f>
        <v>182</v>
      </c>
      <c r="B185" s="386" t="str">
        <f>IF('Statement of Marks'!B189="","",'Statement of Marks'!B189)</f>
        <v/>
      </c>
      <c r="C185" s="387" t="str">
        <f>IF('Statement of Marks'!C189="","",'Statement of Marks'!C189)</f>
        <v/>
      </c>
      <c r="D185" s="426" t="str">
        <f>IF('Statement of Marks'!D189="","",'Statement of Marks'!D189)</f>
        <v/>
      </c>
      <c r="E185" s="388" t="str">
        <f>IF('Statement of Marks'!E189="","",'Statement of Marks'!E189)</f>
        <v/>
      </c>
      <c r="F185" s="388" t="str">
        <f>IF('Statement of Marks'!F189="","",'Statement of Marks'!F189)</f>
        <v/>
      </c>
      <c r="G185" s="388" t="str">
        <f>IF('Statement of Marks'!G189="","",'Statement of Marks'!G189)</f>
        <v/>
      </c>
      <c r="H185" s="389" t="str">
        <f>IF('Statement of Marks'!H189="","",'Statement of Marks'!H189)</f>
        <v/>
      </c>
      <c r="I185" s="389" t="str">
        <f>IF('Statement of Marks'!I189="","",'Statement of Marks'!I189)</f>
        <v/>
      </c>
      <c r="J185" s="648" t="str">
        <f>IF('Statement of Marks'!GY189="","",'Statement of Marks'!GY189)</f>
        <v/>
      </c>
      <c r="K185" s="390" t="str">
        <f>IF(B185="","",IF('Statement of Marks'!GZ189="","",'Statement of Marks'!GZ189))</f>
        <v/>
      </c>
      <c r="L185" s="391" t="str">
        <f>IF('Statement of Marks'!HC189="","",'Statement of Marks'!HC189)</f>
        <v/>
      </c>
      <c r="M185" s="390" t="str">
        <f>IF('Statement of Marks'!HB189="","",'Statement of Marks'!HB189)</f>
        <v/>
      </c>
      <c r="N185" s="392" t="str">
        <f>IF(J185="FAIL","",IF('Statement of Marks'!GU189="","",'Statement of Marks'!GU189))</f>
        <v xml:space="preserve">    </v>
      </c>
      <c r="O185" s="393" t="str">
        <f>IF('Supp. Result Entry'!AS188="","",'Supp. Result Entry'!AS188)</f>
        <v/>
      </c>
      <c r="P185" s="394" t="str">
        <f>IF('Supp. Result Entry'!AT188="","",'Supp. Result Entry'!AT188)</f>
        <v/>
      </c>
      <c r="Q185" s="395" t="str">
        <f>IF('Statement of Marks'!HG189="","",'Statement of Marks'!HG189)</f>
        <v/>
      </c>
      <c r="R185" s="396" t="str">
        <f>IF('Statement of Marks'!FH189="","",'Statement of Marks'!FH189)</f>
        <v/>
      </c>
      <c r="BL185" s="397" t="str">
        <f>'Statement of Marks'!E189</f>
        <v/>
      </c>
      <c r="BM185" s="398" t="str">
        <f t="shared" si="24"/>
        <v/>
      </c>
      <c r="BN185" s="398" t="str">
        <f t="shared" si="25"/>
        <v/>
      </c>
      <c r="BO185" s="398" t="str">
        <f t="shared" si="26"/>
        <v/>
      </c>
      <c r="BP185" s="398" t="str">
        <f t="shared" si="27"/>
        <v/>
      </c>
      <c r="BQ185" s="398" t="str">
        <f t="shared" si="28"/>
        <v/>
      </c>
      <c r="BR185" s="398" t="str">
        <f t="shared" si="29"/>
        <v/>
      </c>
      <c r="BS185" s="398" t="str">
        <f t="shared" si="30"/>
        <v/>
      </c>
      <c r="BT185" s="398" t="str">
        <f t="shared" si="31"/>
        <v/>
      </c>
      <c r="BU185" s="398" t="str">
        <f t="shared" si="32"/>
        <v/>
      </c>
      <c r="BV185" s="398" t="str">
        <f t="shared" si="33"/>
        <v/>
      </c>
      <c r="BW185" s="398" t="str">
        <f t="shared" si="34"/>
        <v/>
      </c>
      <c r="BX185" s="398" t="str">
        <f t="shared" si="35"/>
        <v/>
      </c>
      <c r="BY185" s="399"/>
    </row>
    <row r="186" spans="1:77" ht="15" customHeight="1">
      <c r="A186" s="385">
        <f>IF('Statement of Marks'!A190="","",'Statement of Marks'!A190)</f>
        <v>183</v>
      </c>
      <c r="B186" s="386" t="str">
        <f>IF('Statement of Marks'!B190="","",'Statement of Marks'!B190)</f>
        <v/>
      </c>
      <c r="C186" s="387" t="str">
        <f>IF('Statement of Marks'!C190="","",'Statement of Marks'!C190)</f>
        <v/>
      </c>
      <c r="D186" s="426" t="str">
        <f>IF('Statement of Marks'!D190="","",'Statement of Marks'!D190)</f>
        <v/>
      </c>
      <c r="E186" s="388" t="str">
        <f>IF('Statement of Marks'!E190="","",'Statement of Marks'!E190)</f>
        <v/>
      </c>
      <c r="F186" s="388" t="str">
        <f>IF('Statement of Marks'!F190="","",'Statement of Marks'!F190)</f>
        <v/>
      </c>
      <c r="G186" s="388" t="str">
        <f>IF('Statement of Marks'!G190="","",'Statement of Marks'!G190)</f>
        <v/>
      </c>
      <c r="H186" s="389" t="str">
        <f>IF('Statement of Marks'!H190="","",'Statement of Marks'!H190)</f>
        <v/>
      </c>
      <c r="I186" s="389" t="str">
        <f>IF('Statement of Marks'!I190="","",'Statement of Marks'!I190)</f>
        <v/>
      </c>
      <c r="J186" s="648" t="str">
        <f>IF('Statement of Marks'!GY190="","",'Statement of Marks'!GY190)</f>
        <v/>
      </c>
      <c r="K186" s="390" t="str">
        <f>IF(B186="","",IF('Statement of Marks'!GZ190="","",'Statement of Marks'!GZ190))</f>
        <v/>
      </c>
      <c r="L186" s="391" t="str">
        <f>IF('Statement of Marks'!HC190="","",'Statement of Marks'!HC190)</f>
        <v/>
      </c>
      <c r="M186" s="390" t="str">
        <f>IF('Statement of Marks'!HB190="","",'Statement of Marks'!HB190)</f>
        <v/>
      </c>
      <c r="N186" s="392" t="str">
        <f>IF(J186="FAIL","",IF('Statement of Marks'!GU190="","",'Statement of Marks'!GU190))</f>
        <v xml:space="preserve">    </v>
      </c>
      <c r="O186" s="393" t="str">
        <f>IF('Supp. Result Entry'!AS189="","",'Supp. Result Entry'!AS189)</f>
        <v/>
      </c>
      <c r="P186" s="394" t="str">
        <f>IF('Supp. Result Entry'!AT189="","",'Supp. Result Entry'!AT189)</f>
        <v/>
      </c>
      <c r="Q186" s="395" t="str">
        <f>IF('Statement of Marks'!HG190="","",'Statement of Marks'!HG190)</f>
        <v/>
      </c>
      <c r="R186" s="396" t="str">
        <f>IF('Statement of Marks'!FH190="","",'Statement of Marks'!FH190)</f>
        <v/>
      </c>
      <c r="BL186" s="397" t="str">
        <f>'Statement of Marks'!E190</f>
        <v/>
      </c>
      <c r="BM186" s="398" t="str">
        <f t="shared" si="24"/>
        <v/>
      </c>
      <c r="BN186" s="398" t="str">
        <f t="shared" si="25"/>
        <v/>
      </c>
      <c r="BO186" s="398" t="str">
        <f t="shared" si="26"/>
        <v/>
      </c>
      <c r="BP186" s="398" t="str">
        <f t="shared" si="27"/>
        <v/>
      </c>
      <c r="BQ186" s="398" t="str">
        <f t="shared" si="28"/>
        <v/>
      </c>
      <c r="BR186" s="398" t="str">
        <f t="shared" si="29"/>
        <v/>
      </c>
      <c r="BS186" s="398" t="str">
        <f t="shared" si="30"/>
        <v/>
      </c>
      <c r="BT186" s="398" t="str">
        <f t="shared" si="31"/>
        <v/>
      </c>
      <c r="BU186" s="398" t="str">
        <f t="shared" si="32"/>
        <v/>
      </c>
      <c r="BV186" s="398" t="str">
        <f t="shared" si="33"/>
        <v/>
      </c>
      <c r="BW186" s="398" t="str">
        <f t="shared" si="34"/>
        <v/>
      </c>
      <c r="BX186" s="398" t="str">
        <f t="shared" si="35"/>
        <v/>
      </c>
      <c r="BY186" s="399"/>
    </row>
    <row r="187" spans="1:77" ht="15" customHeight="1">
      <c r="A187" s="385">
        <f>IF('Statement of Marks'!A191="","",'Statement of Marks'!A191)</f>
        <v>184</v>
      </c>
      <c r="B187" s="386" t="str">
        <f>IF('Statement of Marks'!B191="","",'Statement of Marks'!B191)</f>
        <v/>
      </c>
      <c r="C187" s="387" t="str">
        <f>IF('Statement of Marks'!C191="","",'Statement of Marks'!C191)</f>
        <v/>
      </c>
      <c r="D187" s="426" t="str">
        <f>IF('Statement of Marks'!D191="","",'Statement of Marks'!D191)</f>
        <v/>
      </c>
      <c r="E187" s="388" t="str">
        <f>IF('Statement of Marks'!E191="","",'Statement of Marks'!E191)</f>
        <v/>
      </c>
      <c r="F187" s="388" t="str">
        <f>IF('Statement of Marks'!F191="","",'Statement of Marks'!F191)</f>
        <v/>
      </c>
      <c r="G187" s="388" t="str">
        <f>IF('Statement of Marks'!G191="","",'Statement of Marks'!G191)</f>
        <v/>
      </c>
      <c r="H187" s="389" t="str">
        <f>IF('Statement of Marks'!H191="","",'Statement of Marks'!H191)</f>
        <v/>
      </c>
      <c r="I187" s="389" t="str">
        <f>IF('Statement of Marks'!I191="","",'Statement of Marks'!I191)</f>
        <v/>
      </c>
      <c r="J187" s="648" t="str">
        <f>IF('Statement of Marks'!GY191="","",'Statement of Marks'!GY191)</f>
        <v/>
      </c>
      <c r="K187" s="390" t="str">
        <f>IF(B187="","",IF('Statement of Marks'!GZ191="","",'Statement of Marks'!GZ191))</f>
        <v/>
      </c>
      <c r="L187" s="391" t="str">
        <f>IF('Statement of Marks'!HC191="","",'Statement of Marks'!HC191)</f>
        <v/>
      </c>
      <c r="M187" s="390" t="str">
        <f>IF('Statement of Marks'!HB191="","",'Statement of Marks'!HB191)</f>
        <v/>
      </c>
      <c r="N187" s="392" t="str">
        <f>IF(J187="FAIL","",IF('Statement of Marks'!GU191="","",'Statement of Marks'!GU191))</f>
        <v xml:space="preserve">    </v>
      </c>
      <c r="O187" s="393" t="str">
        <f>IF('Supp. Result Entry'!AS190="","",'Supp. Result Entry'!AS190)</f>
        <v/>
      </c>
      <c r="P187" s="394" t="str">
        <f>IF('Supp. Result Entry'!AT190="","",'Supp. Result Entry'!AT190)</f>
        <v/>
      </c>
      <c r="Q187" s="395" t="str">
        <f>IF('Statement of Marks'!HG191="","",'Statement of Marks'!HG191)</f>
        <v/>
      </c>
      <c r="R187" s="396" t="str">
        <f>IF('Statement of Marks'!FH191="","",'Statement of Marks'!FH191)</f>
        <v/>
      </c>
      <c r="BL187" s="397" t="str">
        <f>'Statement of Marks'!E191</f>
        <v/>
      </c>
      <c r="BM187" s="398" t="str">
        <f t="shared" si="24"/>
        <v/>
      </c>
      <c r="BN187" s="398" t="str">
        <f t="shared" si="25"/>
        <v/>
      </c>
      <c r="BO187" s="398" t="str">
        <f t="shared" si="26"/>
        <v/>
      </c>
      <c r="BP187" s="398" t="str">
        <f t="shared" si="27"/>
        <v/>
      </c>
      <c r="BQ187" s="398" t="str">
        <f t="shared" si="28"/>
        <v/>
      </c>
      <c r="BR187" s="398" t="str">
        <f t="shared" si="29"/>
        <v/>
      </c>
      <c r="BS187" s="398" t="str">
        <f t="shared" si="30"/>
        <v/>
      </c>
      <c r="BT187" s="398" t="str">
        <f t="shared" si="31"/>
        <v/>
      </c>
      <c r="BU187" s="398" t="str">
        <f t="shared" si="32"/>
        <v/>
      </c>
      <c r="BV187" s="398" t="str">
        <f t="shared" si="33"/>
        <v/>
      </c>
      <c r="BW187" s="398" t="str">
        <f t="shared" si="34"/>
        <v/>
      </c>
      <c r="BX187" s="398" t="str">
        <f t="shared" si="35"/>
        <v/>
      </c>
      <c r="BY187" s="399"/>
    </row>
    <row r="188" spans="1:77" ht="15" customHeight="1">
      <c r="A188" s="385">
        <f>IF('Statement of Marks'!A192="","",'Statement of Marks'!A192)</f>
        <v>185</v>
      </c>
      <c r="B188" s="386" t="str">
        <f>IF('Statement of Marks'!B192="","",'Statement of Marks'!B192)</f>
        <v/>
      </c>
      <c r="C188" s="387" t="str">
        <f>IF('Statement of Marks'!C192="","",'Statement of Marks'!C192)</f>
        <v/>
      </c>
      <c r="D188" s="426" t="str">
        <f>IF('Statement of Marks'!D192="","",'Statement of Marks'!D192)</f>
        <v/>
      </c>
      <c r="E188" s="388" t="str">
        <f>IF('Statement of Marks'!E192="","",'Statement of Marks'!E192)</f>
        <v/>
      </c>
      <c r="F188" s="388" t="str">
        <f>IF('Statement of Marks'!F192="","",'Statement of Marks'!F192)</f>
        <v/>
      </c>
      <c r="G188" s="388" t="str">
        <f>IF('Statement of Marks'!G192="","",'Statement of Marks'!G192)</f>
        <v/>
      </c>
      <c r="H188" s="389" t="str">
        <f>IF('Statement of Marks'!H192="","",'Statement of Marks'!H192)</f>
        <v/>
      </c>
      <c r="I188" s="389" t="str">
        <f>IF('Statement of Marks'!I192="","",'Statement of Marks'!I192)</f>
        <v/>
      </c>
      <c r="J188" s="648" t="str">
        <f>IF('Statement of Marks'!GY192="","",'Statement of Marks'!GY192)</f>
        <v/>
      </c>
      <c r="K188" s="390" t="str">
        <f>IF(B188="","",IF('Statement of Marks'!GZ192="","",'Statement of Marks'!GZ192))</f>
        <v/>
      </c>
      <c r="L188" s="391" t="str">
        <f>IF('Statement of Marks'!HC192="","",'Statement of Marks'!HC192)</f>
        <v/>
      </c>
      <c r="M188" s="390" t="str">
        <f>IF('Statement of Marks'!HB192="","",'Statement of Marks'!HB192)</f>
        <v/>
      </c>
      <c r="N188" s="392" t="str">
        <f>IF(J188="FAIL","",IF('Statement of Marks'!GU192="","",'Statement of Marks'!GU192))</f>
        <v xml:space="preserve">    </v>
      </c>
      <c r="O188" s="393" t="str">
        <f>IF('Supp. Result Entry'!AS191="","",'Supp. Result Entry'!AS191)</f>
        <v/>
      </c>
      <c r="P188" s="394" t="str">
        <f>IF('Supp. Result Entry'!AT191="","",'Supp. Result Entry'!AT191)</f>
        <v/>
      </c>
      <c r="Q188" s="395" t="str">
        <f>IF('Statement of Marks'!HG192="","",'Statement of Marks'!HG192)</f>
        <v/>
      </c>
      <c r="R188" s="396" t="str">
        <f>IF('Statement of Marks'!FH192="","",'Statement of Marks'!FH192)</f>
        <v/>
      </c>
      <c r="BL188" s="397" t="str">
        <f>'Statement of Marks'!E192</f>
        <v/>
      </c>
      <c r="BM188" s="398" t="str">
        <f t="shared" si="24"/>
        <v/>
      </c>
      <c r="BN188" s="398" t="str">
        <f t="shared" si="25"/>
        <v/>
      </c>
      <c r="BO188" s="398" t="str">
        <f t="shared" si="26"/>
        <v/>
      </c>
      <c r="BP188" s="398" t="str">
        <f t="shared" si="27"/>
        <v/>
      </c>
      <c r="BQ188" s="398" t="str">
        <f t="shared" si="28"/>
        <v/>
      </c>
      <c r="BR188" s="398" t="str">
        <f t="shared" si="29"/>
        <v/>
      </c>
      <c r="BS188" s="398" t="str">
        <f t="shared" si="30"/>
        <v/>
      </c>
      <c r="BT188" s="398" t="str">
        <f t="shared" si="31"/>
        <v/>
      </c>
      <c r="BU188" s="398" t="str">
        <f t="shared" si="32"/>
        <v/>
      </c>
      <c r="BV188" s="398" t="str">
        <f t="shared" si="33"/>
        <v/>
      </c>
      <c r="BW188" s="398" t="str">
        <f t="shared" si="34"/>
        <v/>
      </c>
      <c r="BX188" s="398" t="str">
        <f t="shared" si="35"/>
        <v/>
      </c>
      <c r="BY188" s="399"/>
    </row>
    <row r="189" spans="1:77" ht="15" customHeight="1">
      <c r="A189" s="385">
        <f>IF('Statement of Marks'!A193="","",'Statement of Marks'!A193)</f>
        <v>186</v>
      </c>
      <c r="B189" s="386" t="str">
        <f>IF('Statement of Marks'!B193="","",'Statement of Marks'!B193)</f>
        <v/>
      </c>
      <c r="C189" s="387" t="str">
        <f>IF('Statement of Marks'!C193="","",'Statement of Marks'!C193)</f>
        <v/>
      </c>
      <c r="D189" s="426" t="str">
        <f>IF('Statement of Marks'!D193="","",'Statement of Marks'!D193)</f>
        <v/>
      </c>
      <c r="E189" s="388" t="str">
        <f>IF('Statement of Marks'!E193="","",'Statement of Marks'!E193)</f>
        <v/>
      </c>
      <c r="F189" s="388" t="str">
        <f>IF('Statement of Marks'!F193="","",'Statement of Marks'!F193)</f>
        <v/>
      </c>
      <c r="G189" s="388" t="str">
        <f>IF('Statement of Marks'!G193="","",'Statement of Marks'!G193)</f>
        <v/>
      </c>
      <c r="H189" s="389" t="str">
        <f>IF('Statement of Marks'!H193="","",'Statement of Marks'!H193)</f>
        <v/>
      </c>
      <c r="I189" s="389" t="str">
        <f>IF('Statement of Marks'!I193="","",'Statement of Marks'!I193)</f>
        <v/>
      </c>
      <c r="J189" s="648" t="str">
        <f>IF('Statement of Marks'!GY193="","",'Statement of Marks'!GY193)</f>
        <v/>
      </c>
      <c r="K189" s="390" t="str">
        <f>IF(B189="","",IF('Statement of Marks'!GZ193="","",'Statement of Marks'!GZ193))</f>
        <v/>
      </c>
      <c r="L189" s="391" t="str">
        <f>IF('Statement of Marks'!HC193="","",'Statement of Marks'!HC193)</f>
        <v/>
      </c>
      <c r="M189" s="390" t="str">
        <f>IF('Statement of Marks'!HB193="","",'Statement of Marks'!HB193)</f>
        <v/>
      </c>
      <c r="N189" s="392" t="str">
        <f>IF(J189="FAIL","",IF('Statement of Marks'!GU193="","",'Statement of Marks'!GU193))</f>
        <v xml:space="preserve">    </v>
      </c>
      <c r="O189" s="393" t="str">
        <f>IF('Supp. Result Entry'!AS192="","",'Supp. Result Entry'!AS192)</f>
        <v/>
      </c>
      <c r="P189" s="394" t="str">
        <f>IF('Supp. Result Entry'!AT192="","",'Supp. Result Entry'!AT192)</f>
        <v/>
      </c>
      <c r="Q189" s="395" t="str">
        <f>IF('Statement of Marks'!HG193="","",'Statement of Marks'!HG193)</f>
        <v/>
      </c>
      <c r="R189" s="396" t="str">
        <f>IF('Statement of Marks'!FH193="","",'Statement of Marks'!FH193)</f>
        <v/>
      </c>
      <c r="BL189" s="397" t="str">
        <f>'Statement of Marks'!E193</f>
        <v/>
      </c>
      <c r="BM189" s="398" t="str">
        <f t="shared" si="24"/>
        <v/>
      </c>
      <c r="BN189" s="398" t="str">
        <f t="shared" si="25"/>
        <v/>
      </c>
      <c r="BO189" s="398" t="str">
        <f t="shared" si="26"/>
        <v/>
      </c>
      <c r="BP189" s="398" t="str">
        <f t="shared" si="27"/>
        <v/>
      </c>
      <c r="BQ189" s="398" t="str">
        <f t="shared" si="28"/>
        <v/>
      </c>
      <c r="BR189" s="398" t="str">
        <f t="shared" si="29"/>
        <v/>
      </c>
      <c r="BS189" s="398" t="str">
        <f t="shared" si="30"/>
        <v/>
      </c>
      <c r="BT189" s="398" t="str">
        <f t="shared" si="31"/>
        <v/>
      </c>
      <c r="BU189" s="398" t="str">
        <f t="shared" si="32"/>
        <v/>
      </c>
      <c r="BV189" s="398" t="str">
        <f t="shared" si="33"/>
        <v/>
      </c>
      <c r="BW189" s="398" t="str">
        <f t="shared" si="34"/>
        <v/>
      </c>
      <c r="BX189" s="398" t="str">
        <f t="shared" si="35"/>
        <v/>
      </c>
      <c r="BY189" s="399"/>
    </row>
    <row r="190" spans="1:77" ht="15" customHeight="1">
      <c r="A190" s="385">
        <f>IF('Statement of Marks'!A194="","",'Statement of Marks'!A194)</f>
        <v>187</v>
      </c>
      <c r="B190" s="386" t="str">
        <f>IF('Statement of Marks'!B194="","",'Statement of Marks'!B194)</f>
        <v/>
      </c>
      <c r="C190" s="387" t="str">
        <f>IF('Statement of Marks'!C194="","",'Statement of Marks'!C194)</f>
        <v/>
      </c>
      <c r="D190" s="426" t="str">
        <f>IF('Statement of Marks'!D194="","",'Statement of Marks'!D194)</f>
        <v/>
      </c>
      <c r="E190" s="388" t="str">
        <f>IF('Statement of Marks'!E194="","",'Statement of Marks'!E194)</f>
        <v/>
      </c>
      <c r="F190" s="388" t="str">
        <f>IF('Statement of Marks'!F194="","",'Statement of Marks'!F194)</f>
        <v/>
      </c>
      <c r="G190" s="388" t="str">
        <f>IF('Statement of Marks'!G194="","",'Statement of Marks'!G194)</f>
        <v/>
      </c>
      <c r="H190" s="389" t="str">
        <f>IF('Statement of Marks'!H194="","",'Statement of Marks'!H194)</f>
        <v/>
      </c>
      <c r="I190" s="389" t="str">
        <f>IF('Statement of Marks'!I194="","",'Statement of Marks'!I194)</f>
        <v/>
      </c>
      <c r="J190" s="648" t="str">
        <f>IF('Statement of Marks'!GY194="","",'Statement of Marks'!GY194)</f>
        <v/>
      </c>
      <c r="K190" s="390" t="str">
        <f>IF(B190="","",IF('Statement of Marks'!GZ194="","",'Statement of Marks'!GZ194))</f>
        <v/>
      </c>
      <c r="L190" s="391" t="str">
        <f>IF('Statement of Marks'!HC194="","",'Statement of Marks'!HC194)</f>
        <v/>
      </c>
      <c r="M190" s="390" t="str">
        <f>IF('Statement of Marks'!HB194="","",'Statement of Marks'!HB194)</f>
        <v/>
      </c>
      <c r="N190" s="392" t="str">
        <f>IF(J190="FAIL","",IF('Statement of Marks'!GU194="","",'Statement of Marks'!GU194))</f>
        <v xml:space="preserve">    </v>
      </c>
      <c r="O190" s="393" t="str">
        <f>IF('Supp. Result Entry'!AS193="","",'Supp. Result Entry'!AS193)</f>
        <v/>
      </c>
      <c r="P190" s="394" t="str">
        <f>IF('Supp. Result Entry'!AT193="","",'Supp. Result Entry'!AT193)</f>
        <v/>
      </c>
      <c r="Q190" s="395" t="str">
        <f>IF('Statement of Marks'!HG194="","",'Statement of Marks'!HG194)</f>
        <v/>
      </c>
      <c r="R190" s="396" t="str">
        <f>IF('Statement of Marks'!FH194="","",'Statement of Marks'!FH194)</f>
        <v/>
      </c>
      <c r="BL190" s="397" t="str">
        <f>'Statement of Marks'!E194</f>
        <v/>
      </c>
      <c r="BM190" s="398" t="str">
        <f t="shared" si="24"/>
        <v/>
      </c>
      <c r="BN190" s="398" t="str">
        <f t="shared" si="25"/>
        <v/>
      </c>
      <c r="BO190" s="398" t="str">
        <f t="shared" si="26"/>
        <v/>
      </c>
      <c r="BP190" s="398" t="str">
        <f t="shared" si="27"/>
        <v/>
      </c>
      <c r="BQ190" s="398" t="str">
        <f t="shared" si="28"/>
        <v/>
      </c>
      <c r="BR190" s="398" t="str">
        <f t="shared" si="29"/>
        <v/>
      </c>
      <c r="BS190" s="398" t="str">
        <f t="shared" si="30"/>
        <v/>
      </c>
      <c r="BT190" s="398" t="str">
        <f t="shared" si="31"/>
        <v/>
      </c>
      <c r="BU190" s="398" t="str">
        <f t="shared" si="32"/>
        <v/>
      </c>
      <c r="BV190" s="398" t="str">
        <f t="shared" si="33"/>
        <v/>
      </c>
      <c r="BW190" s="398" t="str">
        <f t="shared" si="34"/>
        <v/>
      </c>
      <c r="BX190" s="398" t="str">
        <f t="shared" si="35"/>
        <v/>
      </c>
      <c r="BY190" s="399"/>
    </row>
    <row r="191" spans="1:77" ht="15" customHeight="1">
      <c r="A191" s="385">
        <f>IF('Statement of Marks'!A195="","",'Statement of Marks'!A195)</f>
        <v>188</v>
      </c>
      <c r="B191" s="386" t="str">
        <f>IF('Statement of Marks'!B195="","",'Statement of Marks'!B195)</f>
        <v/>
      </c>
      <c r="C191" s="387" t="str">
        <f>IF('Statement of Marks'!C195="","",'Statement of Marks'!C195)</f>
        <v/>
      </c>
      <c r="D191" s="426" t="str">
        <f>IF('Statement of Marks'!D195="","",'Statement of Marks'!D195)</f>
        <v/>
      </c>
      <c r="E191" s="388" t="str">
        <f>IF('Statement of Marks'!E195="","",'Statement of Marks'!E195)</f>
        <v/>
      </c>
      <c r="F191" s="388" t="str">
        <f>IF('Statement of Marks'!F195="","",'Statement of Marks'!F195)</f>
        <v/>
      </c>
      <c r="G191" s="388" t="str">
        <f>IF('Statement of Marks'!G195="","",'Statement of Marks'!G195)</f>
        <v/>
      </c>
      <c r="H191" s="389" t="str">
        <f>IF('Statement of Marks'!H195="","",'Statement of Marks'!H195)</f>
        <v/>
      </c>
      <c r="I191" s="389" t="str">
        <f>IF('Statement of Marks'!I195="","",'Statement of Marks'!I195)</f>
        <v/>
      </c>
      <c r="J191" s="648" t="str">
        <f>IF('Statement of Marks'!GY195="","",'Statement of Marks'!GY195)</f>
        <v/>
      </c>
      <c r="K191" s="390" t="str">
        <f>IF(B191="","",IF('Statement of Marks'!GZ195="","",'Statement of Marks'!GZ195))</f>
        <v/>
      </c>
      <c r="L191" s="391" t="str">
        <f>IF('Statement of Marks'!HC195="","",'Statement of Marks'!HC195)</f>
        <v/>
      </c>
      <c r="M191" s="390" t="str">
        <f>IF('Statement of Marks'!HB195="","",'Statement of Marks'!HB195)</f>
        <v/>
      </c>
      <c r="N191" s="392" t="str">
        <f>IF(J191="FAIL","",IF('Statement of Marks'!GU195="","",'Statement of Marks'!GU195))</f>
        <v xml:space="preserve">    </v>
      </c>
      <c r="O191" s="393" t="str">
        <f>IF('Supp. Result Entry'!AS194="","",'Supp. Result Entry'!AS194)</f>
        <v/>
      </c>
      <c r="P191" s="394" t="str">
        <f>IF('Supp. Result Entry'!AT194="","",'Supp. Result Entry'!AT194)</f>
        <v/>
      </c>
      <c r="Q191" s="395" t="str">
        <f>IF('Statement of Marks'!HG195="","",'Statement of Marks'!HG195)</f>
        <v/>
      </c>
      <c r="R191" s="396" t="str">
        <f>IF('Statement of Marks'!FH195="","",'Statement of Marks'!FH195)</f>
        <v/>
      </c>
      <c r="BL191" s="397" t="str">
        <f>'Statement of Marks'!E195</f>
        <v/>
      </c>
      <c r="BM191" s="398" t="str">
        <f t="shared" si="24"/>
        <v/>
      </c>
      <c r="BN191" s="398" t="str">
        <f t="shared" si="25"/>
        <v/>
      </c>
      <c r="BO191" s="398" t="str">
        <f t="shared" si="26"/>
        <v/>
      </c>
      <c r="BP191" s="398" t="str">
        <f t="shared" si="27"/>
        <v/>
      </c>
      <c r="BQ191" s="398" t="str">
        <f t="shared" si="28"/>
        <v/>
      </c>
      <c r="BR191" s="398" t="str">
        <f t="shared" si="29"/>
        <v/>
      </c>
      <c r="BS191" s="398" t="str">
        <f t="shared" si="30"/>
        <v/>
      </c>
      <c r="BT191" s="398" t="str">
        <f t="shared" si="31"/>
        <v/>
      </c>
      <c r="BU191" s="398" t="str">
        <f t="shared" si="32"/>
        <v/>
      </c>
      <c r="BV191" s="398" t="str">
        <f t="shared" si="33"/>
        <v/>
      </c>
      <c r="BW191" s="398" t="str">
        <f t="shared" si="34"/>
        <v/>
      </c>
      <c r="BX191" s="398" t="str">
        <f t="shared" si="35"/>
        <v/>
      </c>
      <c r="BY191" s="399"/>
    </row>
    <row r="192" spans="1:77" ht="15" customHeight="1">
      <c r="A192" s="385">
        <f>IF('Statement of Marks'!A196="","",'Statement of Marks'!A196)</f>
        <v>189</v>
      </c>
      <c r="B192" s="386" t="str">
        <f>IF('Statement of Marks'!B196="","",'Statement of Marks'!B196)</f>
        <v/>
      </c>
      <c r="C192" s="387" t="str">
        <f>IF('Statement of Marks'!C196="","",'Statement of Marks'!C196)</f>
        <v/>
      </c>
      <c r="D192" s="426" t="str">
        <f>IF('Statement of Marks'!D196="","",'Statement of Marks'!D196)</f>
        <v/>
      </c>
      <c r="E192" s="388" t="str">
        <f>IF('Statement of Marks'!E196="","",'Statement of Marks'!E196)</f>
        <v/>
      </c>
      <c r="F192" s="388" t="str">
        <f>IF('Statement of Marks'!F196="","",'Statement of Marks'!F196)</f>
        <v/>
      </c>
      <c r="G192" s="388" t="str">
        <f>IF('Statement of Marks'!G196="","",'Statement of Marks'!G196)</f>
        <v/>
      </c>
      <c r="H192" s="389" t="str">
        <f>IF('Statement of Marks'!H196="","",'Statement of Marks'!H196)</f>
        <v/>
      </c>
      <c r="I192" s="389" t="str">
        <f>IF('Statement of Marks'!I196="","",'Statement of Marks'!I196)</f>
        <v/>
      </c>
      <c r="J192" s="648" t="str">
        <f>IF('Statement of Marks'!GY196="","",'Statement of Marks'!GY196)</f>
        <v/>
      </c>
      <c r="K192" s="390" t="str">
        <f>IF(B192="","",IF('Statement of Marks'!GZ196="","",'Statement of Marks'!GZ196))</f>
        <v/>
      </c>
      <c r="L192" s="391" t="str">
        <f>IF('Statement of Marks'!HC196="","",'Statement of Marks'!HC196)</f>
        <v/>
      </c>
      <c r="M192" s="390" t="str">
        <f>IF('Statement of Marks'!HB196="","",'Statement of Marks'!HB196)</f>
        <v/>
      </c>
      <c r="N192" s="392" t="str">
        <f>IF(J192="FAIL","",IF('Statement of Marks'!GU196="","",'Statement of Marks'!GU196))</f>
        <v xml:space="preserve">    </v>
      </c>
      <c r="O192" s="393" t="str">
        <f>IF('Supp. Result Entry'!AS195="","",'Supp. Result Entry'!AS195)</f>
        <v/>
      </c>
      <c r="P192" s="394" t="str">
        <f>IF('Supp. Result Entry'!AT195="","",'Supp. Result Entry'!AT195)</f>
        <v/>
      </c>
      <c r="Q192" s="395" t="str">
        <f>IF('Statement of Marks'!HG196="","",'Statement of Marks'!HG196)</f>
        <v/>
      </c>
      <c r="R192" s="396" t="str">
        <f>IF('Statement of Marks'!FH196="","",'Statement of Marks'!FH196)</f>
        <v/>
      </c>
      <c r="BL192" s="397" t="str">
        <f>'Statement of Marks'!E196</f>
        <v/>
      </c>
      <c r="BM192" s="398" t="str">
        <f t="shared" si="24"/>
        <v/>
      </c>
      <c r="BN192" s="398" t="str">
        <f t="shared" si="25"/>
        <v/>
      </c>
      <c r="BO192" s="398" t="str">
        <f t="shared" si="26"/>
        <v/>
      </c>
      <c r="BP192" s="398" t="str">
        <f t="shared" si="27"/>
        <v/>
      </c>
      <c r="BQ192" s="398" t="str">
        <f t="shared" si="28"/>
        <v/>
      </c>
      <c r="BR192" s="398" t="str">
        <f t="shared" si="29"/>
        <v/>
      </c>
      <c r="BS192" s="398" t="str">
        <f t="shared" si="30"/>
        <v/>
      </c>
      <c r="BT192" s="398" t="str">
        <f t="shared" si="31"/>
        <v/>
      </c>
      <c r="BU192" s="398" t="str">
        <f t="shared" si="32"/>
        <v/>
      </c>
      <c r="BV192" s="398" t="str">
        <f t="shared" si="33"/>
        <v/>
      </c>
      <c r="BW192" s="398" t="str">
        <f t="shared" si="34"/>
        <v/>
      </c>
      <c r="BX192" s="398" t="str">
        <f t="shared" si="35"/>
        <v/>
      </c>
      <c r="BY192" s="399"/>
    </row>
    <row r="193" spans="1:77" ht="15" customHeight="1">
      <c r="A193" s="385">
        <f>IF('Statement of Marks'!A197="","",'Statement of Marks'!A197)</f>
        <v>190</v>
      </c>
      <c r="B193" s="386" t="str">
        <f>IF('Statement of Marks'!B197="","",'Statement of Marks'!B197)</f>
        <v/>
      </c>
      <c r="C193" s="387" t="str">
        <f>IF('Statement of Marks'!C197="","",'Statement of Marks'!C197)</f>
        <v/>
      </c>
      <c r="D193" s="426" t="str">
        <f>IF('Statement of Marks'!D197="","",'Statement of Marks'!D197)</f>
        <v/>
      </c>
      <c r="E193" s="388" t="str">
        <f>IF('Statement of Marks'!E197="","",'Statement of Marks'!E197)</f>
        <v/>
      </c>
      <c r="F193" s="388" t="str">
        <f>IF('Statement of Marks'!F197="","",'Statement of Marks'!F197)</f>
        <v/>
      </c>
      <c r="G193" s="388" t="str">
        <f>IF('Statement of Marks'!G197="","",'Statement of Marks'!G197)</f>
        <v/>
      </c>
      <c r="H193" s="389" t="str">
        <f>IF('Statement of Marks'!H197="","",'Statement of Marks'!H197)</f>
        <v/>
      </c>
      <c r="I193" s="389" t="str">
        <f>IF('Statement of Marks'!I197="","",'Statement of Marks'!I197)</f>
        <v/>
      </c>
      <c r="J193" s="648" t="str">
        <f>IF('Statement of Marks'!GY197="","",'Statement of Marks'!GY197)</f>
        <v/>
      </c>
      <c r="K193" s="390" t="str">
        <f>IF(B193="","",IF('Statement of Marks'!GZ197="","",'Statement of Marks'!GZ197))</f>
        <v/>
      </c>
      <c r="L193" s="391" t="str">
        <f>IF('Statement of Marks'!HC197="","",'Statement of Marks'!HC197)</f>
        <v/>
      </c>
      <c r="M193" s="390" t="str">
        <f>IF('Statement of Marks'!HB197="","",'Statement of Marks'!HB197)</f>
        <v/>
      </c>
      <c r="N193" s="392" t="str">
        <f>IF(J193="FAIL","",IF('Statement of Marks'!GU197="","",'Statement of Marks'!GU197))</f>
        <v xml:space="preserve">    </v>
      </c>
      <c r="O193" s="393" t="str">
        <f>IF('Supp. Result Entry'!AS196="","",'Supp. Result Entry'!AS196)</f>
        <v/>
      </c>
      <c r="P193" s="394" t="str">
        <f>IF('Supp. Result Entry'!AT196="","",'Supp. Result Entry'!AT196)</f>
        <v/>
      </c>
      <c r="Q193" s="395" t="str">
        <f>IF('Statement of Marks'!HG197="","",'Statement of Marks'!HG197)</f>
        <v/>
      </c>
      <c r="R193" s="396" t="str">
        <f>IF('Statement of Marks'!FH197="","",'Statement of Marks'!FH197)</f>
        <v/>
      </c>
      <c r="BL193" s="397" t="str">
        <f>'Statement of Marks'!E197</f>
        <v/>
      </c>
      <c r="BM193" s="398" t="str">
        <f t="shared" si="24"/>
        <v/>
      </c>
      <c r="BN193" s="398" t="str">
        <f t="shared" si="25"/>
        <v/>
      </c>
      <c r="BO193" s="398" t="str">
        <f t="shared" si="26"/>
        <v/>
      </c>
      <c r="BP193" s="398" t="str">
        <f t="shared" si="27"/>
        <v/>
      </c>
      <c r="BQ193" s="398" t="str">
        <f t="shared" si="28"/>
        <v/>
      </c>
      <c r="BR193" s="398" t="str">
        <f t="shared" si="29"/>
        <v/>
      </c>
      <c r="BS193" s="398" t="str">
        <f t="shared" si="30"/>
        <v/>
      </c>
      <c r="BT193" s="398" t="str">
        <f t="shared" si="31"/>
        <v/>
      </c>
      <c r="BU193" s="398" t="str">
        <f t="shared" si="32"/>
        <v/>
      </c>
      <c r="BV193" s="398" t="str">
        <f t="shared" si="33"/>
        <v/>
      </c>
      <c r="BW193" s="398" t="str">
        <f t="shared" si="34"/>
        <v/>
      </c>
      <c r="BX193" s="398" t="str">
        <f t="shared" si="35"/>
        <v/>
      </c>
      <c r="BY193" s="399"/>
    </row>
    <row r="194" spans="1:77" ht="15" customHeight="1">
      <c r="A194" s="385">
        <f>IF('Statement of Marks'!A198="","",'Statement of Marks'!A198)</f>
        <v>191</v>
      </c>
      <c r="B194" s="386" t="str">
        <f>IF('Statement of Marks'!B198="","",'Statement of Marks'!B198)</f>
        <v/>
      </c>
      <c r="C194" s="387" t="str">
        <f>IF('Statement of Marks'!C198="","",'Statement of Marks'!C198)</f>
        <v/>
      </c>
      <c r="D194" s="426" t="str">
        <f>IF('Statement of Marks'!D198="","",'Statement of Marks'!D198)</f>
        <v/>
      </c>
      <c r="E194" s="388" t="str">
        <f>IF('Statement of Marks'!E198="","",'Statement of Marks'!E198)</f>
        <v/>
      </c>
      <c r="F194" s="388" t="str">
        <f>IF('Statement of Marks'!F198="","",'Statement of Marks'!F198)</f>
        <v/>
      </c>
      <c r="G194" s="388" t="str">
        <f>IF('Statement of Marks'!G198="","",'Statement of Marks'!G198)</f>
        <v/>
      </c>
      <c r="H194" s="389" t="str">
        <f>IF('Statement of Marks'!H198="","",'Statement of Marks'!H198)</f>
        <v/>
      </c>
      <c r="I194" s="389" t="str">
        <f>IF('Statement of Marks'!I198="","",'Statement of Marks'!I198)</f>
        <v/>
      </c>
      <c r="J194" s="648" t="str">
        <f>IF('Statement of Marks'!GY198="","",'Statement of Marks'!GY198)</f>
        <v/>
      </c>
      <c r="K194" s="390" t="str">
        <f>IF(B194="","",IF('Statement of Marks'!GZ198="","",'Statement of Marks'!GZ198))</f>
        <v/>
      </c>
      <c r="L194" s="391" t="str">
        <f>IF('Statement of Marks'!HC198="","",'Statement of Marks'!HC198)</f>
        <v/>
      </c>
      <c r="M194" s="390" t="str">
        <f>IF('Statement of Marks'!HB198="","",'Statement of Marks'!HB198)</f>
        <v/>
      </c>
      <c r="N194" s="392" t="str">
        <f>IF(J194="FAIL","",IF('Statement of Marks'!GU198="","",'Statement of Marks'!GU198))</f>
        <v xml:space="preserve">    </v>
      </c>
      <c r="O194" s="393" t="str">
        <f>IF('Supp. Result Entry'!AS197="","",'Supp. Result Entry'!AS197)</f>
        <v/>
      </c>
      <c r="P194" s="394" t="str">
        <f>IF('Supp. Result Entry'!AT197="","",'Supp. Result Entry'!AT197)</f>
        <v/>
      </c>
      <c r="Q194" s="395" t="str">
        <f>IF('Statement of Marks'!HG198="","",'Statement of Marks'!HG198)</f>
        <v/>
      </c>
      <c r="R194" s="396" t="str">
        <f>IF('Statement of Marks'!FH198="","",'Statement of Marks'!FH198)</f>
        <v/>
      </c>
      <c r="BL194" s="397" t="str">
        <f>'Statement of Marks'!E198</f>
        <v/>
      </c>
      <c r="BM194" s="398" t="str">
        <f t="shared" si="24"/>
        <v/>
      </c>
      <c r="BN194" s="398" t="str">
        <f t="shared" si="25"/>
        <v/>
      </c>
      <c r="BO194" s="398" t="str">
        <f t="shared" si="26"/>
        <v/>
      </c>
      <c r="BP194" s="398" t="str">
        <f t="shared" si="27"/>
        <v/>
      </c>
      <c r="BQ194" s="398" t="str">
        <f t="shared" si="28"/>
        <v/>
      </c>
      <c r="BR194" s="398" t="str">
        <f t="shared" si="29"/>
        <v/>
      </c>
      <c r="BS194" s="398" t="str">
        <f t="shared" si="30"/>
        <v/>
      </c>
      <c r="BT194" s="398" t="str">
        <f t="shared" si="31"/>
        <v/>
      </c>
      <c r="BU194" s="398" t="str">
        <f t="shared" si="32"/>
        <v/>
      </c>
      <c r="BV194" s="398" t="str">
        <f t="shared" si="33"/>
        <v/>
      </c>
      <c r="BW194" s="398" t="str">
        <f t="shared" si="34"/>
        <v/>
      </c>
      <c r="BX194" s="398" t="str">
        <f t="shared" si="35"/>
        <v/>
      </c>
      <c r="BY194" s="399"/>
    </row>
    <row r="195" spans="1:77" ht="15" customHeight="1">
      <c r="A195" s="385">
        <f>IF('Statement of Marks'!A199="","",'Statement of Marks'!A199)</f>
        <v>192</v>
      </c>
      <c r="B195" s="386" t="str">
        <f>IF('Statement of Marks'!B199="","",'Statement of Marks'!B199)</f>
        <v/>
      </c>
      <c r="C195" s="387" t="str">
        <f>IF('Statement of Marks'!C199="","",'Statement of Marks'!C199)</f>
        <v/>
      </c>
      <c r="D195" s="426" t="str">
        <f>IF('Statement of Marks'!D199="","",'Statement of Marks'!D199)</f>
        <v/>
      </c>
      <c r="E195" s="388" t="str">
        <f>IF('Statement of Marks'!E199="","",'Statement of Marks'!E199)</f>
        <v/>
      </c>
      <c r="F195" s="388" t="str">
        <f>IF('Statement of Marks'!F199="","",'Statement of Marks'!F199)</f>
        <v/>
      </c>
      <c r="G195" s="388" t="str">
        <f>IF('Statement of Marks'!G199="","",'Statement of Marks'!G199)</f>
        <v/>
      </c>
      <c r="H195" s="389" t="str">
        <f>IF('Statement of Marks'!H199="","",'Statement of Marks'!H199)</f>
        <v/>
      </c>
      <c r="I195" s="389" t="str">
        <f>IF('Statement of Marks'!I199="","",'Statement of Marks'!I199)</f>
        <v/>
      </c>
      <c r="J195" s="648" t="str">
        <f>IF('Statement of Marks'!GY199="","",'Statement of Marks'!GY199)</f>
        <v/>
      </c>
      <c r="K195" s="390" t="str">
        <f>IF(B195="","",IF('Statement of Marks'!GZ199="","",'Statement of Marks'!GZ199))</f>
        <v/>
      </c>
      <c r="L195" s="391" t="str">
        <f>IF('Statement of Marks'!HC199="","",'Statement of Marks'!HC199)</f>
        <v/>
      </c>
      <c r="M195" s="390" t="str">
        <f>IF('Statement of Marks'!HB199="","",'Statement of Marks'!HB199)</f>
        <v/>
      </c>
      <c r="N195" s="392" t="str">
        <f>IF(J195="FAIL","",IF('Statement of Marks'!GU199="","",'Statement of Marks'!GU199))</f>
        <v xml:space="preserve">    </v>
      </c>
      <c r="O195" s="393" t="str">
        <f>IF('Supp. Result Entry'!AS198="","",'Supp. Result Entry'!AS198)</f>
        <v/>
      </c>
      <c r="P195" s="394" t="str">
        <f>IF('Supp. Result Entry'!AT198="","",'Supp. Result Entry'!AT198)</f>
        <v/>
      </c>
      <c r="Q195" s="395" t="str">
        <f>IF('Statement of Marks'!HG199="","",'Statement of Marks'!HG199)</f>
        <v/>
      </c>
      <c r="R195" s="396" t="str">
        <f>IF('Statement of Marks'!FH199="","",'Statement of Marks'!FH199)</f>
        <v/>
      </c>
      <c r="BL195" s="397" t="str">
        <f>'Statement of Marks'!E199</f>
        <v/>
      </c>
      <c r="BM195" s="398" t="str">
        <f t="shared" si="24"/>
        <v/>
      </c>
      <c r="BN195" s="398" t="str">
        <f t="shared" si="25"/>
        <v/>
      </c>
      <c r="BO195" s="398" t="str">
        <f t="shared" si="26"/>
        <v/>
      </c>
      <c r="BP195" s="398" t="str">
        <f t="shared" si="27"/>
        <v/>
      </c>
      <c r="BQ195" s="398" t="str">
        <f t="shared" si="28"/>
        <v/>
      </c>
      <c r="BR195" s="398" t="str">
        <f t="shared" si="29"/>
        <v/>
      </c>
      <c r="BS195" s="398" t="str">
        <f t="shared" si="30"/>
        <v/>
      </c>
      <c r="BT195" s="398" t="str">
        <f t="shared" si="31"/>
        <v/>
      </c>
      <c r="BU195" s="398" t="str">
        <f t="shared" si="32"/>
        <v/>
      </c>
      <c r="BV195" s="398" t="str">
        <f t="shared" si="33"/>
        <v/>
      </c>
      <c r="BW195" s="398" t="str">
        <f t="shared" si="34"/>
        <v/>
      </c>
      <c r="BX195" s="398" t="str">
        <f t="shared" si="35"/>
        <v/>
      </c>
      <c r="BY195" s="399"/>
    </row>
    <row r="196" spans="1:77" ht="15" customHeight="1">
      <c r="A196" s="385">
        <f>IF('Statement of Marks'!A200="","",'Statement of Marks'!A200)</f>
        <v>193</v>
      </c>
      <c r="B196" s="386" t="str">
        <f>IF('Statement of Marks'!B200="","",'Statement of Marks'!B200)</f>
        <v/>
      </c>
      <c r="C196" s="387" t="str">
        <f>IF('Statement of Marks'!C200="","",'Statement of Marks'!C200)</f>
        <v/>
      </c>
      <c r="D196" s="426" t="str">
        <f>IF('Statement of Marks'!D200="","",'Statement of Marks'!D200)</f>
        <v/>
      </c>
      <c r="E196" s="388" t="str">
        <f>IF('Statement of Marks'!E200="","",'Statement of Marks'!E200)</f>
        <v/>
      </c>
      <c r="F196" s="388" t="str">
        <f>IF('Statement of Marks'!F200="","",'Statement of Marks'!F200)</f>
        <v/>
      </c>
      <c r="G196" s="388" t="str">
        <f>IF('Statement of Marks'!G200="","",'Statement of Marks'!G200)</f>
        <v/>
      </c>
      <c r="H196" s="389" t="str">
        <f>IF('Statement of Marks'!H200="","",'Statement of Marks'!H200)</f>
        <v/>
      </c>
      <c r="I196" s="389" t="str">
        <f>IF('Statement of Marks'!I200="","",'Statement of Marks'!I200)</f>
        <v/>
      </c>
      <c r="J196" s="648" t="str">
        <f>IF('Statement of Marks'!GY200="","",'Statement of Marks'!GY200)</f>
        <v/>
      </c>
      <c r="K196" s="390" t="str">
        <f>IF(B196="","",IF('Statement of Marks'!GZ200="","",'Statement of Marks'!GZ200))</f>
        <v/>
      </c>
      <c r="L196" s="391" t="str">
        <f>IF('Statement of Marks'!HC200="","",'Statement of Marks'!HC200)</f>
        <v/>
      </c>
      <c r="M196" s="390" t="str">
        <f>IF('Statement of Marks'!HB200="","",'Statement of Marks'!HB200)</f>
        <v/>
      </c>
      <c r="N196" s="392" t="str">
        <f>IF(J196="FAIL","",IF('Statement of Marks'!GU200="","",'Statement of Marks'!GU200))</f>
        <v xml:space="preserve">    </v>
      </c>
      <c r="O196" s="393" t="str">
        <f>IF('Supp. Result Entry'!AS199="","",'Supp. Result Entry'!AS199)</f>
        <v/>
      </c>
      <c r="P196" s="394" t="str">
        <f>IF('Supp. Result Entry'!AT199="","",'Supp. Result Entry'!AT199)</f>
        <v/>
      </c>
      <c r="Q196" s="395" t="str">
        <f>IF('Statement of Marks'!HG200="","",'Statement of Marks'!HG200)</f>
        <v/>
      </c>
      <c r="R196" s="396" t="str">
        <f>IF('Statement of Marks'!FH200="","",'Statement of Marks'!FH200)</f>
        <v/>
      </c>
      <c r="BL196" s="397" t="str">
        <f>'Statement of Marks'!E200</f>
        <v/>
      </c>
      <c r="BM196" s="398" t="str">
        <f t="shared" si="24"/>
        <v/>
      </c>
      <c r="BN196" s="398" t="str">
        <f t="shared" si="25"/>
        <v/>
      </c>
      <c r="BO196" s="398" t="str">
        <f t="shared" si="26"/>
        <v/>
      </c>
      <c r="BP196" s="398" t="str">
        <f t="shared" si="27"/>
        <v/>
      </c>
      <c r="BQ196" s="398" t="str">
        <f t="shared" si="28"/>
        <v/>
      </c>
      <c r="BR196" s="398" t="str">
        <f t="shared" si="29"/>
        <v/>
      </c>
      <c r="BS196" s="398" t="str">
        <f t="shared" si="30"/>
        <v/>
      </c>
      <c r="BT196" s="398" t="str">
        <f t="shared" si="31"/>
        <v/>
      </c>
      <c r="BU196" s="398" t="str">
        <f t="shared" si="32"/>
        <v/>
      </c>
      <c r="BV196" s="398" t="str">
        <f t="shared" si="33"/>
        <v/>
      </c>
      <c r="BW196" s="398" t="str">
        <f t="shared" si="34"/>
        <v/>
      </c>
      <c r="BX196" s="398" t="str">
        <f t="shared" si="35"/>
        <v/>
      </c>
      <c r="BY196" s="399"/>
    </row>
    <row r="197" spans="1:77" ht="15" customHeight="1">
      <c r="A197" s="385">
        <f>IF('Statement of Marks'!A201="","",'Statement of Marks'!A201)</f>
        <v>194</v>
      </c>
      <c r="B197" s="386" t="str">
        <f>IF('Statement of Marks'!B201="","",'Statement of Marks'!B201)</f>
        <v/>
      </c>
      <c r="C197" s="387" t="str">
        <f>IF('Statement of Marks'!C201="","",'Statement of Marks'!C201)</f>
        <v/>
      </c>
      <c r="D197" s="426" t="str">
        <f>IF('Statement of Marks'!D201="","",'Statement of Marks'!D201)</f>
        <v/>
      </c>
      <c r="E197" s="388" t="str">
        <f>IF('Statement of Marks'!E201="","",'Statement of Marks'!E201)</f>
        <v/>
      </c>
      <c r="F197" s="388" t="str">
        <f>IF('Statement of Marks'!F201="","",'Statement of Marks'!F201)</f>
        <v/>
      </c>
      <c r="G197" s="388" t="str">
        <f>IF('Statement of Marks'!G201="","",'Statement of Marks'!G201)</f>
        <v/>
      </c>
      <c r="H197" s="389" t="str">
        <f>IF('Statement of Marks'!H201="","",'Statement of Marks'!H201)</f>
        <v/>
      </c>
      <c r="I197" s="389" t="str">
        <f>IF('Statement of Marks'!I201="","",'Statement of Marks'!I201)</f>
        <v/>
      </c>
      <c r="J197" s="648" t="str">
        <f>IF('Statement of Marks'!GY201="","",'Statement of Marks'!GY201)</f>
        <v/>
      </c>
      <c r="K197" s="390" t="str">
        <f>IF(B197="","",IF('Statement of Marks'!GZ201="","",'Statement of Marks'!GZ201))</f>
        <v/>
      </c>
      <c r="L197" s="391" t="str">
        <f>IF('Statement of Marks'!HC201="","",'Statement of Marks'!HC201)</f>
        <v/>
      </c>
      <c r="M197" s="390" t="str">
        <f>IF('Statement of Marks'!HB201="","",'Statement of Marks'!HB201)</f>
        <v/>
      </c>
      <c r="N197" s="392" t="str">
        <f>IF(J197="FAIL","",IF('Statement of Marks'!GU201="","",'Statement of Marks'!GU201))</f>
        <v xml:space="preserve">    </v>
      </c>
      <c r="O197" s="393" t="str">
        <f>IF('Supp. Result Entry'!AS200="","",'Supp. Result Entry'!AS200)</f>
        <v/>
      </c>
      <c r="P197" s="394" t="str">
        <f>IF('Supp. Result Entry'!AT200="","",'Supp. Result Entry'!AT200)</f>
        <v/>
      </c>
      <c r="Q197" s="395" t="str">
        <f>IF('Statement of Marks'!HG201="","",'Statement of Marks'!HG201)</f>
        <v/>
      </c>
      <c r="R197" s="396" t="str">
        <f>IF('Statement of Marks'!FH201="","",'Statement of Marks'!FH201)</f>
        <v/>
      </c>
      <c r="BL197" s="397" t="str">
        <f>'Statement of Marks'!E201</f>
        <v/>
      </c>
      <c r="BM197" s="398" t="str">
        <f t="shared" ref="BM197:BM203" si="36">IFERROR(IF(AND(M197="",Q197="",H197="SC",I197="M"),J197,IF(AND(M197="",H197="SC",I197="M"),Q197,IF(AND(Q197="",H197="SC",I197="M"),M197,""))),"")</f>
        <v/>
      </c>
      <c r="BN197" s="398" t="str">
        <f t="shared" ref="BN197:BN203" si="37">IFERROR(IF(AND(M197="",Q197="",H197="SC",I197="F"),J197,IF(AND(M197="",H197="SC",I197="F"),Q197,IF(AND(Q197="",H197="SC",I197="F"),M197,""))),"")</f>
        <v/>
      </c>
      <c r="BO197" s="398" t="str">
        <f t="shared" ref="BO197:BO203" si="38">IFERROR(IF(AND(M197="",Q197="",H197="ST",I197="M"),J197,IF(AND(M197="",H197="ST",I197="M"),Q197,IF(AND(Q197="",H197="ST",I197="M"),M197,""))),"")</f>
        <v/>
      </c>
      <c r="BP197" s="398" t="str">
        <f t="shared" ref="BP197:BP203" si="39">IFERROR(IF(AND(M197="",Q197="",H197="ST",I197="F"),J197,IF(AND(M197="",H197="ST",I197="F"),Q197,IF(AND(Q197="",H197="ST",I197="F"),M197,""))),"")</f>
        <v/>
      </c>
      <c r="BQ197" s="398" t="str">
        <f t="shared" ref="BQ197:BQ203" si="40">IFERROR(IF(AND(M197="",Q197="",H197="OBC",I197="M"),J197,IF(AND(M197="",H197="OBC",I197="M"),Q197,IF(AND(Q197="",H197="OBC",I197="M"),M197,""))),"")</f>
        <v/>
      </c>
      <c r="BR197" s="398" t="str">
        <f t="shared" ref="BR197:BR203" si="41">IFERROR(IF(AND(M197="",Q197="",H197="OBC",I197="F"),J197,IF(AND(M197="",H197="OBC",I197="F"),Q197,IF(AND(Q197="",H197="OBC",I197="F"),M197,""))),"")</f>
        <v/>
      </c>
      <c r="BS197" s="398" t="str">
        <f t="shared" ref="BS197:BS203" si="42">IFERROR(IF(AND(M197="",Q197="",H197="GEN",I197="M"),J197,IF(AND(M197="",H197="GEN",I197="M"),Q197,IF(AND(Q197="",H197="GEN",I197="M"),M197,""))),"")</f>
        <v/>
      </c>
      <c r="BT197" s="398" t="str">
        <f t="shared" ref="BT197:BT203" si="43">IFERROR(IF(AND(M197="",Q197="",H197="GEN",I197="F"),J197,IF(AND(M197="",H197="GEN",I197="F"),Q197,IF(AND(Q197="",H197="GEN",I197="F"),M197,""))),"")</f>
        <v/>
      </c>
      <c r="BU197" s="398" t="str">
        <f t="shared" ref="BU197:BU203" si="44">IFERROR(IF(AND(M197="",Q197="",H197="MIN",I197="M"),J197,IF(AND(M197="",H197="MIN",I197="M"),Q197,IF(AND(Q197="",H197="MIN",I197="M"),M197,""))),"")</f>
        <v/>
      </c>
      <c r="BV197" s="398" t="str">
        <f t="shared" ref="BV197:BV203" si="45">IFERROR(IF(AND(M197="",Q197="",H197="MIN",I197="F"),J197,IF(AND(M197="",H197="MIN",I197="F"),Q197,IF(AND(Q197="",H197="MIN",I197="F"),M197,""))),"")</f>
        <v/>
      </c>
      <c r="BW197" s="398" t="str">
        <f t="shared" ref="BW197:BW203" si="46">IFERROR(IF(AND(M197="",Q197="",H197="SBC",I197="M"),J197,IF(AND(M197="",H197="SBC",I197="M"),Q197,IF(AND(Q197="",H197="SBC",I197="M"),M197,""))),"")</f>
        <v/>
      </c>
      <c r="BX197" s="398" t="str">
        <f t="shared" ref="BX197:BX203" si="47">IFERROR(IF(AND(M197="",Q197="",H197="SBC",I197="F"),J197,IF(AND(M197="",H197="SBC",I197="F"),Q197,IF(AND(Q197="",H197="SBC",I197="F"),M197,""))),"")</f>
        <v/>
      </c>
      <c r="BY197" s="399"/>
    </row>
    <row r="198" spans="1:77" ht="15" customHeight="1">
      <c r="A198" s="385">
        <f>IF('Statement of Marks'!A202="","",'Statement of Marks'!A202)</f>
        <v>195</v>
      </c>
      <c r="B198" s="386" t="str">
        <f>IF('Statement of Marks'!B202="","",'Statement of Marks'!B202)</f>
        <v/>
      </c>
      <c r="C198" s="387" t="str">
        <f>IF('Statement of Marks'!C202="","",'Statement of Marks'!C202)</f>
        <v/>
      </c>
      <c r="D198" s="426" t="str">
        <f>IF('Statement of Marks'!D202="","",'Statement of Marks'!D202)</f>
        <v/>
      </c>
      <c r="E198" s="388" t="str">
        <f>IF('Statement of Marks'!E202="","",'Statement of Marks'!E202)</f>
        <v/>
      </c>
      <c r="F198" s="388" t="str">
        <f>IF('Statement of Marks'!F202="","",'Statement of Marks'!F202)</f>
        <v/>
      </c>
      <c r="G198" s="388" t="str">
        <f>IF('Statement of Marks'!G202="","",'Statement of Marks'!G202)</f>
        <v/>
      </c>
      <c r="H198" s="389" t="str">
        <f>IF('Statement of Marks'!H202="","",'Statement of Marks'!H202)</f>
        <v/>
      </c>
      <c r="I198" s="389" t="str">
        <f>IF('Statement of Marks'!I202="","",'Statement of Marks'!I202)</f>
        <v/>
      </c>
      <c r="J198" s="648" t="str">
        <f>IF('Statement of Marks'!GY202="","",'Statement of Marks'!GY202)</f>
        <v/>
      </c>
      <c r="K198" s="390" t="str">
        <f>IF(B198="","",IF('Statement of Marks'!GZ202="","",'Statement of Marks'!GZ202))</f>
        <v/>
      </c>
      <c r="L198" s="391" t="str">
        <f>IF('Statement of Marks'!HC202="","",'Statement of Marks'!HC202)</f>
        <v/>
      </c>
      <c r="M198" s="390" t="str">
        <f>IF('Statement of Marks'!HB202="","",'Statement of Marks'!HB202)</f>
        <v/>
      </c>
      <c r="N198" s="392" t="str">
        <f>IF(J198="FAIL","",IF('Statement of Marks'!GU202="","",'Statement of Marks'!GU202))</f>
        <v xml:space="preserve">    </v>
      </c>
      <c r="O198" s="393" t="str">
        <f>IF('Supp. Result Entry'!AS201="","",'Supp. Result Entry'!AS201)</f>
        <v/>
      </c>
      <c r="P198" s="394" t="str">
        <f>IF('Supp. Result Entry'!AT201="","",'Supp. Result Entry'!AT201)</f>
        <v/>
      </c>
      <c r="Q198" s="395" t="str">
        <f>IF('Statement of Marks'!HG202="","",'Statement of Marks'!HG202)</f>
        <v/>
      </c>
      <c r="R198" s="396" t="str">
        <f>IF('Statement of Marks'!FH202="","",'Statement of Marks'!FH202)</f>
        <v/>
      </c>
      <c r="BL198" s="397" t="str">
        <f>'Statement of Marks'!E202</f>
        <v/>
      </c>
      <c r="BM198" s="398" t="str">
        <f t="shared" si="36"/>
        <v/>
      </c>
      <c r="BN198" s="398" t="str">
        <f t="shared" si="37"/>
        <v/>
      </c>
      <c r="BO198" s="398" t="str">
        <f t="shared" si="38"/>
        <v/>
      </c>
      <c r="BP198" s="398" t="str">
        <f t="shared" si="39"/>
        <v/>
      </c>
      <c r="BQ198" s="398" t="str">
        <f t="shared" si="40"/>
        <v/>
      </c>
      <c r="BR198" s="398" t="str">
        <f t="shared" si="41"/>
        <v/>
      </c>
      <c r="BS198" s="398" t="str">
        <f t="shared" si="42"/>
        <v/>
      </c>
      <c r="BT198" s="398" t="str">
        <f t="shared" si="43"/>
        <v/>
      </c>
      <c r="BU198" s="398" t="str">
        <f t="shared" si="44"/>
        <v/>
      </c>
      <c r="BV198" s="398" t="str">
        <f t="shared" si="45"/>
        <v/>
      </c>
      <c r="BW198" s="398" t="str">
        <f t="shared" si="46"/>
        <v/>
      </c>
      <c r="BX198" s="398" t="str">
        <f t="shared" si="47"/>
        <v/>
      </c>
      <c r="BY198" s="399"/>
    </row>
    <row r="199" spans="1:77" ht="15" customHeight="1">
      <c r="A199" s="385">
        <f>IF('Statement of Marks'!A203="","",'Statement of Marks'!A203)</f>
        <v>196</v>
      </c>
      <c r="B199" s="386" t="str">
        <f>IF('Statement of Marks'!B203="","",'Statement of Marks'!B203)</f>
        <v/>
      </c>
      <c r="C199" s="387" t="str">
        <f>IF('Statement of Marks'!C203="","",'Statement of Marks'!C203)</f>
        <v/>
      </c>
      <c r="D199" s="426" t="str">
        <f>IF('Statement of Marks'!D203="","",'Statement of Marks'!D203)</f>
        <v/>
      </c>
      <c r="E199" s="388" t="str">
        <f>IF('Statement of Marks'!E203="","",'Statement of Marks'!E203)</f>
        <v/>
      </c>
      <c r="F199" s="388" t="str">
        <f>IF('Statement of Marks'!F203="","",'Statement of Marks'!F203)</f>
        <v/>
      </c>
      <c r="G199" s="388" t="str">
        <f>IF('Statement of Marks'!G203="","",'Statement of Marks'!G203)</f>
        <v/>
      </c>
      <c r="H199" s="389" t="str">
        <f>IF('Statement of Marks'!H203="","",'Statement of Marks'!H203)</f>
        <v/>
      </c>
      <c r="I199" s="389" t="str">
        <f>IF('Statement of Marks'!I203="","",'Statement of Marks'!I203)</f>
        <v/>
      </c>
      <c r="J199" s="648" t="str">
        <f>IF('Statement of Marks'!GY203="","",'Statement of Marks'!GY203)</f>
        <v/>
      </c>
      <c r="K199" s="390" t="str">
        <f>IF(B199="","",IF('Statement of Marks'!GZ203="","",'Statement of Marks'!GZ203))</f>
        <v/>
      </c>
      <c r="L199" s="391" t="str">
        <f>IF('Statement of Marks'!HC203="","",'Statement of Marks'!HC203)</f>
        <v/>
      </c>
      <c r="M199" s="390" t="str">
        <f>IF('Statement of Marks'!HB203="","",'Statement of Marks'!HB203)</f>
        <v/>
      </c>
      <c r="N199" s="392" t="str">
        <f>IF(J199="FAIL","",IF('Statement of Marks'!GU203="","",'Statement of Marks'!GU203))</f>
        <v xml:space="preserve">    </v>
      </c>
      <c r="O199" s="393" t="str">
        <f>IF('Supp. Result Entry'!AS202="","",'Supp. Result Entry'!AS202)</f>
        <v/>
      </c>
      <c r="P199" s="394" t="str">
        <f>IF('Supp. Result Entry'!AT202="","",'Supp. Result Entry'!AT202)</f>
        <v/>
      </c>
      <c r="Q199" s="395" t="str">
        <f>IF('Statement of Marks'!HG203="","",'Statement of Marks'!HG203)</f>
        <v/>
      </c>
      <c r="R199" s="396" t="str">
        <f>IF('Statement of Marks'!FH203="","",'Statement of Marks'!FH203)</f>
        <v/>
      </c>
      <c r="BL199" s="397" t="str">
        <f>'Statement of Marks'!E203</f>
        <v/>
      </c>
      <c r="BM199" s="398" t="str">
        <f t="shared" si="36"/>
        <v/>
      </c>
      <c r="BN199" s="398" t="str">
        <f t="shared" si="37"/>
        <v/>
      </c>
      <c r="BO199" s="398" t="str">
        <f t="shared" si="38"/>
        <v/>
      </c>
      <c r="BP199" s="398" t="str">
        <f t="shared" si="39"/>
        <v/>
      </c>
      <c r="BQ199" s="398" t="str">
        <f t="shared" si="40"/>
        <v/>
      </c>
      <c r="BR199" s="398" t="str">
        <f t="shared" si="41"/>
        <v/>
      </c>
      <c r="BS199" s="398" t="str">
        <f t="shared" si="42"/>
        <v/>
      </c>
      <c r="BT199" s="398" t="str">
        <f t="shared" si="43"/>
        <v/>
      </c>
      <c r="BU199" s="398" t="str">
        <f t="shared" si="44"/>
        <v/>
      </c>
      <c r="BV199" s="398" t="str">
        <f t="shared" si="45"/>
        <v/>
      </c>
      <c r="BW199" s="398" t="str">
        <f t="shared" si="46"/>
        <v/>
      </c>
      <c r="BX199" s="398" t="str">
        <f t="shared" si="47"/>
        <v/>
      </c>
      <c r="BY199" s="399"/>
    </row>
    <row r="200" spans="1:77" ht="15" customHeight="1">
      <c r="A200" s="385">
        <f>IF('Statement of Marks'!A204="","",'Statement of Marks'!A204)</f>
        <v>197</v>
      </c>
      <c r="B200" s="386" t="str">
        <f>IF('Statement of Marks'!B204="","",'Statement of Marks'!B204)</f>
        <v/>
      </c>
      <c r="C200" s="387" t="str">
        <f>IF('Statement of Marks'!C204="","",'Statement of Marks'!C204)</f>
        <v/>
      </c>
      <c r="D200" s="426" t="str">
        <f>IF('Statement of Marks'!D204="","",'Statement of Marks'!D204)</f>
        <v/>
      </c>
      <c r="E200" s="388" t="str">
        <f>IF('Statement of Marks'!E204="","",'Statement of Marks'!E204)</f>
        <v/>
      </c>
      <c r="F200" s="388" t="str">
        <f>IF('Statement of Marks'!F204="","",'Statement of Marks'!F204)</f>
        <v/>
      </c>
      <c r="G200" s="388" t="str">
        <f>IF('Statement of Marks'!G204="","",'Statement of Marks'!G204)</f>
        <v/>
      </c>
      <c r="H200" s="389" t="str">
        <f>IF('Statement of Marks'!H204="","",'Statement of Marks'!H204)</f>
        <v/>
      </c>
      <c r="I200" s="389" t="str">
        <f>IF('Statement of Marks'!I204="","",'Statement of Marks'!I204)</f>
        <v/>
      </c>
      <c r="J200" s="648" t="str">
        <f>IF('Statement of Marks'!GY204="","",'Statement of Marks'!GY204)</f>
        <v/>
      </c>
      <c r="K200" s="390" t="str">
        <f>IF(B200="","",IF('Statement of Marks'!GZ204="","",'Statement of Marks'!GZ204))</f>
        <v/>
      </c>
      <c r="L200" s="391" t="str">
        <f>IF('Statement of Marks'!HC204="","",'Statement of Marks'!HC204)</f>
        <v/>
      </c>
      <c r="M200" s="390" t="str">
        <f>IF('Statement of Marks'!HB204="","",'Statement of Marks'!HB204)</f>
        <v/>
      </c>
      <c r="N200" s="392" t="str">
        <f>IF(J200="FAIL","",IF('Statement of Marks'!GU204="","",'Statement of Marks'!GU204))</f>
        <v xml:space="preserve">    </v>
      </c>
      <c r="O200" s="393" t="str">
        <f>IF('Supp. Result Entry'!AS203="","",'Supp. Result Entry'!AS203)</f>
        <v/>
      </c>
      <c r="P200" s="394" t="str">
        <f>IF('Supp. Result Entry'!AT203="","",'Supp. Result Entry'!AT203)</f>
        <v/>
      </c>
      <c r="Q200" s="395" t="str">
        <f>IF('Statement of Marks'!HG204="","",'Statement of Marks'!HG204)</f>
        <v/>
      </c>
      <c r="R200" s="396" t="str">
        <f>IF('Statement of Marks'!FH204="","",'Statement of Marks'!FH204)</f>
        <v/>
      </c>
      <c r="BL200" s="397" t="str">
        <f>'Statement of Marks'!E204</f>
        <v/>
      </c>
      <c r="BM200" s="398" t="str">
        <f t="shared" si="36"/>
        <v/>
      </c>
      <c r="BN200" s="398" t="str">
        <f t="shared" si="37"/>
        <v/>
      </c>
      <c r="BO200" s="398" t="str">
        <f t="shared" si="38"/>
        <v/>
      </c>
      <c r="BP200" s="398" t="str">
        <f t="shared" si="39"/>
        <v/>
      </c>
      <c r="BQ200" s="398" t="str">
        <f t="shared" si="40"/>
        <v/>
      </c>
      <c r="BR200" s="398" t="str">
        <f t="shared" si="41"/>
        <v/>
      </c>
      <c r="BS200" s="398" t="str">
        <f t="shared" si="42"/>
        <v/>
      </c>
      <c r="BT200" s="398" t="str">
        <f t="shared" si="43"/>
        <v/>
      </c>
      <c r="BU200" s="398" t="str">
        <f t="shared" si="44"/>
        <v/>
      </c>
      <c r="BV200" s="398" t="str">
        <f t="shared" si="45"/>
        <v/>
      </c>
      <c r="BW200" s="398" t="str">
        <f t="shared" si="46"/>
        <v/>
      </c>
      <c r="BX200" s="398" t="str">
        <f t="shared" si="47"/>
        <v/>
      </c>
      <c r="BY200" s="399"/>
    </row>
    <row r="201" spans="1:77" ht="15" customHeight="1">
      <c r="A201" s="385">
        <f>IF('Statement of Marks'!A205="","",'Statement of Marks'!A205)</f>
        <v>198</v>
      </c>
      <c r="B201" s="386" t="str">
        <f>IF('Statement of Marks'!B205="","",'Statement of Marks'!B205)</f>
        <v/>
      </c>
      <c r="C201" s="387" t="str">
        <f>IF('Statement of Marks'!C205="","",'Statement of Marks'!C205)</f>
        <v/>
      </c>
      <c r="D201" s="426" t="str">
        <f>IF('Statement of Marks'!D205="","",'Statement of Marks'!D205)</f>
        <v/>
      </c>
      <c r="E201" s="388" t="str">
        <f>IF('Statement of Marks'!E205="","",'Statement of Marks'!E205)</f>
        <v/>
      </c>
      <c r="F201" s="388" t="str">
        <f>IF('Statement of Marks'!F205="","",'Statement of Marks'!F205)</f>
        <v/>
      </c>
      <c r="G201" s="388" t="str">
        <f>IF('Statement of Marks'!G205="","",'Statement of Marks'!G205)</f>
        <v/>
      </c>
      <c r="H201" s="389" t="str">
        <f>IF('Statement of Marks'!H205="","",'Statement of Marks'!H205)</f>
        <v/>
      </c>
      <c r="I201" s="389" t="str">
        <f>IF('Statement of Marks'!I205="","",'Statement of Marks'!I205)</f>
        <v/>
      </c>
      <c r="J201" s="648" t="str">
        <f>IF('Statement of Marks'!GY205="","",'Statement of Marks'!GY205)</f>
        <v/>
      </c>
      <c r="K201" s="390" t="str">
        <f>IF(B201="","",IF('Statement of Marks'!GZ205="","",'Statement of Marks'!GZ205))</f>
        <v/>
      </c>
      <c r="L201" s="391" t="str">
        <f>IF('Statement of Marks'!HC205="","",'Statement of Marks'!HC205)</f>
        <v/>
      </c>
      <c r="M201" s="390" t="str">
        <f>IF('Statement of Marks'!HB205="","",'Statement of Marks'!HB205)</f>
        <v/>
      </c>
      <c r="N201" s="392" t="str">
        <f>IF(J201="FAIL","",IF('Statement of Marks'!GU205="","",'Statement of Marks'!GU205))</f>
        <v xml:space="preserve">    </v>
      </c>
      <c r="O201" s="393" t="str">
        <f>IF('Supp. Result Entry'!AS204="","",'Supp. Result Entry'!AS204)</f>
        <v/>
      </c>
      <c r="P201" s="394" t="str">
        <f>IF('Supp. Result Entry'!AT204="","",'Supp. Result Entry'!AT204)</f>
        <v/>
      </c>
      <c r="Q201" s="395" t="str">
        <f>IF('Statement of Marks'!HG205="","",'Statement of Marks'!HG205)</f>
        <v/>
      </c>
      <c r="R201" s="396" t="str">
        <f>IF('Statement of Marks'!FH205="","",'Statement of Marks'!FH205)</f>
        <v/>
      </c>
      <c r="BL201" s="397" t="str">
        <f>'Statement of Marks'!E205</f>
        <v/>
      </c>
      <c r="BM201" s="398" t="str">
        <f t="shared" si="36"/>
        <v/>
      </c>
      <c r="BN201" s="398" t="str">
        <f t="shared" si="37"/>
        <v/>
      </c>
      <c r="BO201" s="398" t="str">
        <f t="shared" si="38"/>
        <v/>
      </c>
      <c r="BP201" s="398" t="str">
        <f t="shared" si="39"/>
        <v/>
      </c>
      <c r="BQ201" s="398" t="str">
        <f t="shared" si="40"/>
        <v/>
      </c>
      <c r="BR201" s="398" t="str">
        <f t="shared" si="41"/>
        <v/>
      </c>
      <c r="BS201" s="398" t="str">
        <f t="shared" si="42"/>
        <v/>
      </c>
      <c r="BT201" s="398" t="str">
        <f t="shared" si="43"/>
        <v/>
      </c>
      <c r="BU201" s="398" t="str">
        <f t="shared" si="44"/>
        <v/>
      </c>
      <c r="BV201" s="398" t="str">
        <f t="shared" si="45"/>
        <v/>
      </c>
      <c r="BW201" s="398" t="str">
        <f t="shared" si="46"/>
        <v/>
      </c>
      <c r="BX201" s="398" t="str">
        <f t="shared" si="47"/>
        <v/>
      </c>
      <c r="BY201" s="399"/>
    </row>
    <row r="202" spans="1:77" ht="15" customHeight="1">
      <c r="A202" s="385">
        <f>IF('Statement of Marks'!A206="","",'Statement of Marks'!A206)</f>
        <v>199</v>
      </c>
      <c r="B202" s="386" t="str">
        <f>IF('Statement of Marks'!B206="","",'Statement of Marks'!B206)</f>
        <v/>
      </c>
      <c r="C202" s="387" t="str">
        <f>IF('Statement of Marks'!C206="","",'Statement of Marks'!C206)</f>
        <v/>
      </c>
      <c r="D202" s="426" t="str">
        <f>IF('Statement of Marks'!D206="","",'Statement of Marks'!D206)</f>
        <v/>
      </c>
      <c r="E202" s="388" t="str">
        <f>IF('Statement of Marks'!E206="","",'Statement of Marks'!E206)</f>
        <v/>
      </c>
      <c r="F202" s="388" t="str">
        <f>IF('Statement of Marks'!F206="","",'Statement of Marks'!F206)</f>
        <v/>
      </c>
      <c r="G202" s="388" t="str">
        <f>IF('Statement of Marks'!G206="","",'Statement of Marks'!G206)</f>
        <v/>
      </c>
      <c r="H202" s="389" t="str">
        <f>IF('Statement of Marks'!H206="","",'Statement of Marks'!H206)</f>
        <v/>
      </c>
      <c r="I202" s="389" t="str">
        <f>IF('Statement of Marks'!I206="","",'Statement of Marks'!I206)</f>
        <v/>
      </c>
      <c r="J202" s="648" t="str">
        <f>IF('Statement of Marks'!GY206="","",'Statement of Marks'!GY206)</f>
        <v/>
      </c>
      <c r="K202" s="390" t="str">
        <f>IF(B202="","",IF('Statement of Marks'!GZ206="","",'Statement of Marks'!GZ206))</f>
        <v/>
      </c>
      <c r="L202" s="391" t="str">
        <f>IF('Statement of Marks'!HC206="","",'Statement of Marks'!HC206)</f>
        <v/>
      </c>
      <c r="M202" s="390" t="str">
        <f>IF('Statement of Marks'!HB206="","",'Statement of Marks'!HB206)</f>
        <v/>
      </c>
      <c r="N202" s="392" t="str">
        <f>IF(J202="FAIL","",IF('Statement of Marks'!GU206="","",'Statement of Marks'!GU206))</f>
        <v xml:space="preserve">    </v>
      </c>
      <c r="O202" s="393" t="str">
        <f>IF('Supp. Result Entry'!AS205="","",'Supp. Result Entry'!AS205)</f>
        <v/>
      </c>
      <c r="P202" s="394" t="str">
        <f>IF('Supp. Result Entry'!AT205="","",'Supp. Result Entry'!AT205)</f>
        <v/>
      </c>
      <c r="Q202" s="395" t="str">
        <f>IF('Statement of Marks'!HG206="","",'Statement of Marks'!HG206)</f>
        <v/>
      </c>
      <c r="R202" s="396" t="str">
        <f>IF('Statement of Marks'!FH206="","",'Statement of Marks'!FH206)</f>
        <v/>
      </c>
      <c r="BL202" s="397" t="str">
        <f>'Statement of Marks'!E206</f>
        <v/>
      </c>
      <c r="BM202" s="398" t="str">
        <f t="shared" si="36"/>
        <v/>
      </c>
      <c r="BN202" s="398" t="str">
        <f t="shared" si="37"/>
        <v/>
      </c>
      <c r="BO202" s="398" t="str">
        <f t="shared" si="38"/>
        <v/>
      </c>
      <c r="BP202" s="398" t="str">
        <f t="shared" si="39"/>
        <v/>
      </c>
      <c r="BQ202" s="398" t="str">
        <f t="shared" si="40"/>
        <v/>
      </c>
      <c r="BR202" s="398" t="str">
        <f t="shared" si="41"/>
        <v/>
      </c>
      <c r="BS202" s="398" t="str">
        <f t="shared" si="42"/>
        <v/>
      </c>
      <c r="BT202" s="398" t="str">
        <f t="shared" si="43"/>
        <v/>
      </c>
      <c r="BU202" s="398" t="str">
        <f t="shared" si="44"/>
        <v/>
      </c>
      <c r="BV202" s="398" t="str">
        <f t="shared" si="45"/>
        <v/>
      </c>
      <c r="BW202" s="398" t="str">
        <f t="shared" si="46"/>
        <v/>
      </c>
      <c r="BX202" s="398" t="str">
        <f t="shared" si="47"/>
        <v/>
      </c>
      <c r="BY202" s="399"/>
    </row>
    <row r="203" spans="1:77" ht="15" customHeight="1">
      <c r="A203" s="385">
        <f>IF('Statement of Marks'!A207="","",'Statement of Marks'!A207)</f>
        <v>200</v>
      </c>
      <c r="B203" s="386" t="str">
        <f>IF('Statement of Marks'!B207="","",'Statement of Marks'!B207)</f>
        <v/>
      </c>
      <c r="C203" s="387" t="str">
        <f>IF('Statement of Marks'!C207="","",'Statement of Marks'!C207)</f>
        <v/>
      </c>
      <c r="D203" s="426" t="str">
        <f>IF('Statement of Marks'!D207="","",'Statement of Marks'!D207)</f>
        <v/>
      </c>
      <c r="E203" s="388" t="str">
        <f>IF('Statement of Marks'!E207="","",'Statement of Marks'!E207)</f>
        <v/>
      </c>
      <c r="F203" s="388" t="str">
        <f>IF('Statement of Marks'!F207="","",'Statement of Marks'!F207)</f>
        <v/>
      </c>
      <c r="G203" s="388" t="str">
        <f>IF('Statement of Marks'!G207="","",'Statement of Marks'!G207)</f>
        <v/>
      </c>
      <c r="H203" s="389" t="str">
        <f>IF('Statement of Marks'!H207="","",'Statement of Marks'!H207)</f>
        <v/>
      </c>
      <c r="I203" s="389" t="str">
        <f>IF('Statement of Marks'!I207="","",'Statement of Marks'!I207)</f>
        <v/>
      </c>
      <c r="J203" s="648" t="str">
        <f>IF('Statement of Marks'!GY207="","",'Statement of Marks'!GY207)</f>
        <v/>
      </c>
      <c r="K203" s="390" t="str">
        <f>IF(B203="","",IF('Statement of Marks'!GZ207="","",'Statement of Marks'!GZ207))</f>
        <v/>
      </c>
      <c r="L203" s="391" t="str">
        <f>IF('Statement of Marks'!HC207="","",'Statement of Marks'!HC207)</f>
        <v/>
      </c>
      <c r="M203" s="390" t="str">
        <f>IF('Statement of Marks'!HB207="","",'Statement of Marks'!HB207)</f>
        <v/>
      </c>
      <c r="N203" s="392" t="str">
        <f>IF(J203="FAIL","",IF('Statement of Marks'!GU207="","",'Statement of Marks'!GU207))</f>
        <v xml:space="preserve">    </v>
      </c>
      <c r="O203" s="393" t="str">
        <f>IF('Supp. Result Entry'!AS206="","",'Supp. Result Entry'!AS206)</f>
        <v/>
      </c>
      <c r="P203" s="394" t="str">
        <f>IF('Supp. Result Entry'!AT206="","",'Supp. Result Entry'!AT206)</f>
        <v/>
      </c>
      <c r="Q203" s="395" t="str">
        <f>IF('Statement of Marks'!HG207="","",'Statement of Marks'!HG207)</f>
        <v/>
      </c>
      <c r="R203" s="396" t="str">
        <f>IF('Statement of Marks'!FH207="","",'Statement of Marks'!FH207)</f>
        <v/>
      </c>
      <c r="BL203" s="397" t="str">
        <f>'Statement of Marks'!E207</f>
        <v/>
      </c>
      <c r="BM203" s="398" t="str">
        <f t="shared" si="36"/>
        <v/>
      </c>
      <c r="BN203" s="398" t="str">
        <f t="shared" si="37"/>
        <v/>
      </c>
      <c r="BO203" s="398" t="str">
        <f t="shared" si="38"/>
        <v/>
      </c>
      <c r="BP203" s="398" t="str">
        <f t="shared" si="39"/>
        <v/>
      </c>
      <c r="BQ203" s="398" t="str">
        <f t="shared" si="40"/>
        <v/>
      </c>
      <c r="BR203" s="398" t="str">
        <f t="shared" si="41"/>
        <v/>
      </c>
      <c r="BS203" s="398" t="str">
        <f t="shared" si="42"/>
        <v/>
      </c>
      <c r="BT203" s="398" t="str">
        <f t="shared" si="43"/>
        <v/>
      </c>
      <c r="BU203" s="398" t="str">
        <f t="shared" si="44"/>
        <v/>
      </c>
      <c r="BV203" s="398" t="str">
        <f t="shared" si="45"/>
        <v/>
      </c>
      <c r="BW203" s="398" t="str">
        <f t="shared" si="46"/>
        <v/>
      </c>
      <c r="BX203" s="398" t="str">
        <f t="shared" si="47"/>
        <v/>
      </c>
      <c r="BY203" s="399"/>
    </row>
    <row r="204" spans="1:77" ht="8.25" customHeight="1" thickBot="1">
      <c r="A204" s="1478"/>
      <c r="B204" s="1479"/>
      <c r="C204" s="1479"/>
      <c r="D204" s="1479"/>
      <c r="E204" s="1479"/>
      <c r="F204" s="1479"/>
      <c r="G204" s="1479"/>
      <c r="H204" s="1479"/>
      <c r="I204" s="1479"/>
      <c r="J204" s="1479"/>
      <c r="K204" s="1479"/>
      <c r="L204" s="1479"/>
      <c r="M204" s="1479"/>
      <c r="N204" s="1479"/>
      <c r="O204" s="1479"/>
      <c r="P204" s="1479"/>
      <c r="Q204" s="1479"/>
      <c r="R204" s="1480"/>
      <c r="BL204" s="1495"/>
      <c r="BM204" s="1496"/>
      <c r="BN204" s="1496"/>
      <c r="BO204" s="1496"/>
      <c r="BP204" s="1496"/>
      <c r="BQ204" s="1496"/>
      <c r="BR204" s="1496"/>
      <c r="BS204" s="1496"/>
      <c r="BT204" s="1496"/>
      <c r="BU204" s="1496"/>
      <c r="BV204" s="1496"/>
      <c r="BW204" s="1496"/>
      <c r="BX204" s="1496"/>
      <c r="BY204" s="1497"/>
    </row>
    <row r="205" spans="1:77" ht="15" customHeight="1" thickTop="1">
      <c r="A205" s="401"/>
      <c r="B205" s="402" t="s">
        <v>92</v>
      </c>
      <c r="C205" s="402"/>
      <c r="D205" s="1498" t="s">
        <v>221</v>
      </c>
      <c r="E205" s="1498"/>
      <c r="F205" s="114" t="s">
        <v>223</v>
      </c>
      <c r="G205" s="114" t="s">
        <v>224</v>
      </c>
      <c r="H205" s="1499" t="s">
        <v>46</v>
      </c>
      <c r="I205" s="1499"/>
      <c r="J205" s="1472" t="str">
        <f>IF('Master Sheet'!D11="Hindi","परिणाम तैयारकर्ता","Signature of the maker")</f>
        <v>परिणाम तैयारकर्ता</v>
      </c>
      <c r="K205" s="1472"/>
      <c r="L205" s="1472"/>
      <c r="M205" s="1481" t="str">
        <f>CONCATENATE("( ",UPPER('Master Sheet'!D16)," )")</f>
        <v>( SURESH KUMAR )</v>
      </c>
      <c r="N205" s="1481"/>
      <c r="O205" s="1486" t="str">
        <f>CONCATENATE("( ",UPPER('Master Sheet'!D12)," )")</f>
        <v>( USHA PALIYA )</v>
      </c>
      <c r="P205" s="1487"/>
      <c r="Q205" s="1487"/>
      <c r="R205" s="1488"/>
      <c r="BL205" s="403"/>
      <c r="BM205" s="1500" t="str">
        <f>BL1</f>
        <v>tkfrokj ifj.kke</v>
      </c>
      <c r="BN205" s="1500"/>
      <c r="BO205" s="1500"/>
      <c r="BP205" s="1500"/>
      <c r="BQ205" s="1500"/>
      <c r="BR205" s="1500"/>
      <c r="BS205" s="1500"/>
      <c r="BT205" s="1500"/>
      <c r="BU205" s="1500"/>
      <c r="BV205" s="1500"/>
      <c r="BW205" s="1500"/>
      <c r="BX205" s="1500"/>
      <c r="BY205" s="1501"/>
    </row>
    <row r="206" spans="1:77" ht="15" customHeight="1">
      <c r="A206" s="401"/>
      <c r="B206" s="402" t="s">
        <v>92</v>
      </c>
      <c r="C206" s="402"/>
      <c r="D206" s="1470" t="str">
        <f>IF('Master Sheet'!$D$11="Hindi","कुल प्रविष्ट","Total appeared")</f>
        <v>कुल प्रविष्ट</v>
      </c>
      <c r="E206" s="1470"/>
      <c r="F206" s="404">
        <f>COUNTA(B4:B203)-COUNTIF(B4:B203,"nso")-COUNTBLANK(B4:B203)</f>
        <v>11</v>
      </c>
      <c r="G206" s="405">
        <f>COUNTIF(J4:J203,"SUPPLEMENTARY")</f>
        <v>1</v>
      </c>
      <c r="H206" s="1475">
        <f>F206</f>
        <v>11</v>
      </c>
      <c r="I206" s="1475"/>
      <c r="J206" s="1472"/>
      <c r="K206" s="1472"/>
      <c r="L206" s="1472"/>
      <c r="M206" s="1481"/>
      <c r="N206" s="1481"/>
      <c r="O206" s="1489"/>
      <c r="P206" s="1490"/>
      <c r="Q206" s="1490"/>
      <c r="R206" s="1491"/>
      <c r="BL206" s="406"/>
      <c r="BM206" s="407" t="str">
        <f t="shared" ref="BM206:BX206" si="48">BM3</f>
        <v>SC BOYS</v>
      </c>
      <c r="BN206" s="407" t="str">
        <f t="shared" si="48"/>
        <v>SC GIRLS</v>
      </c>
      <c r="BO206" s="407" t="str">
        <f t="shared" si="48"/>
        <v>ST BOYS</v>
      </c>
      <c r="BP206" s="407" t="str">
        <f t="shared" si="48"/>
        <v>ST GIRLS</v>
      </c>
      <c r="BQ206" s="407" t="str">
        <f t="shared" si="48"/>
        <v>OBC BOYS</v>
      </c>
      <c r="BR206" s="407" t="str">
        <f t="shared" si="48"/>
        <v>OBC GIRLS</v>
      </c>
      <c r="BS206" s="407" t="str">
        <f t="shared" si="48"/>
        <v>GEN BOYS</v>
      </c>
      <c r="BT206" s="407" t="str">
        <f t="shared" si="48"/>
        <v>GEN GIRLS</v>
      </c>
      <c r="BU206" s="407" t="str">
        <f t="shared" si="48"/>
        <v>MIN BOYS</v>
      </c>
      <c r="BV206" s="407" t="str">
        <f t="shared" si="48"/>
        <v>MIN GIRLS</v>
      </c>
      <c r="BW206" s="407" t="str">
        <f t="shared" si="48"/>
        <v>SBC BOYS</v>
      </c>
      <c r="BX206" s="407" t="str">
        <f t="shared" si="48"/>
        <v>SBC GIRLS</v>
      </c>
      <c r="BY206" s="408" t="s">
        <v>91</v>
      </c>
    </row>
    <row r="207" spans="1:77" ht="15" customHeight="1">
      <c r="A207" s="401"/>
      <c r="B207" s="402" t="s">
        <v>92</v>
      </c>
      <c r="C207" s="402"/>
      <c r="D207" s="1473" t="str">
        <f>IF('Master Sheet'!$D$11="Hindi","प्रथम श्रेणी","1st Div.")</f>
        <v>प्रथम श्रेणी</v>
      </c>
      <c r="E207" s="1473"/>
      <c r="F207" s="409">
        <f>COUNTIF(M4:M203,"I")</f>
        <v>5</v>
      </c>
      <c r="G207" s="409">
        <f>COUNTIF(Q4:Q203,"I")</f>
        <v>0</v>
      </c>
      <c r="H207" s="1474">
        <f>F207+G207</f>
        <v>5</v>
      </c>
      <c r="I207" s="1475"/>
      <c r="J207" s="1472" t="str">
        <f>IF('Master Sheet'!D11="Hindi","हस्ताक्षर कक्षाध्यापक","Signature of the class teacher")</f>
        <v>हस्ताक्षर कक्षाध्यापक</v>
      </c>
      <c r="K207" s="1472"/>
      <c r="L207" s="1472"/>
      <c r="M207" s="1481" t="str">
        <f>CONCATENATE("( ",UPPER('Master Sheet'!D17)," )")</f>
        <v>( YOGESH )</v>
      </c>
      <c r="N207" s="1481"/>
      <c r="O207" s="1489"/>
      <c r="P207" s="1490"/>
      <c r="Q207" s="1490"/>
      <c r="R207" s="1491"/>
      <c r="BL207" s="774" t="str">
        <f>'Statement of Marks'!GY210</f>
        <v>प्रथम श्रेणी</v>
      </c>
      <c r="BM207" s="410">
        <f>COUNTIF(BM4:BM203,"I")</f>
        <v>0</v>
      </c>
      <c r="BN207" s="410">
        <f t="shared" ref="BN207:BX207" si="49">COUNTIF(BN4:BN203,"I")</f>
        <v>1</v>
      </c>
      <c r="BO207" s="410">
        <f t="shared" si="49"/>
        <v>1</v>
      </c>
      <c r="BP207" s="410">
        <f t="shared" si="49"/>
        <v>0</v>
      </c>
      <c r="BQ207" s="410">
        <f t="shared" si="49"/>
        <v>1</v>
      </c>
      <c r="BR207" s="410">
        <f t="shared" si="49"/>
        <v>0</v>
      </c>
      <c r="BS207" s="410">
        <f t="shared" si="49"/>
        <v>1</v>
      </c>
      <c r="BT207" s="410">
        <f t="shared" si="49"/>
        <v>0</v>
      </c>
      <c r="BU207" s="410">
        <f t="shared" si="49"/>
        <v>0</v>
      </c>
      <c r="BV207" s="410">
        <f t="shared" si="49"/>
        <v>0</v>
      </c>
      <c r="BW207" s="410">
        <f t="shared" si="49"/>
        <v>0</v>
      </c>
      <c r="BX207" s="410">
        <f t="shared" si="49"/>
        <v>1</v>
      </c>
      <c r="BY207" s="411">
        <f>SUM(BM207:BX207)</f>
        <v>5</v>
      </c>
    </row>
    <row r="208" spans="1:77" ht="15" customHeight="1">
      <c r="A208" s="401"/>
      <c r="B208" s="402" t="s">
        <v>92</v>
      </c>
      <c r="C208" s="402"/>
      <c r="D208" s="1473" t="str">
        <f>IF('Master Sheet'!$D$11="Hindi","द्वितीय श्रेणी","2nd Div.")</f>
        <v>द्वितीय श्रेणी</v>
      </c>
      <c r="E208" s="1473"/>
      <c r="F208" s="412">
        <f>COUNTIF(M4:M203,"II")</f>
        <v>1</v>
      </c>
      <c r="G208" s="412">
        <f>COUNTIF(Q4:Q203,"II")</f>
        <v>0</v>
      </c>
      <c r="H208" s="1474">
        <f>F208+G208</f>
        <v>1</v>
      </c>
      <c r="I208" s="1475"/>
      <c r="J208" s="1472"/>
      <c r="K208" s="1472"/>
      <c r="L208" s="1472"/>
      <c r="M208" s="1481"/>
      <c r="N208" s="1481"/>
      <c r="O208" s="1489"/>
      <c r="P208" s="1490"/>
      <c r="Q208" s="1490"/>
      <c r="R208" s="1491"/>
      <c r="BL208" s="774" t="str">
        <f>'Statement of Marks'!GY211</f>
        <v>द्वितीय श्रेणी</v>
      </c>
      <c r="BM208" s="410">
        <f t="shared" ref="BM208" si="50">COUNTIF(BM4:BM203,"II")</f>
        <v>0</v>
      </c>
      <c r="BN208" s="410">
        <f t="shared" ref="BN208:BX208" si="51">COUNTIF(BN4:BN203,"II")</f>
        <v>0</v>
      </c>
      <c r="BO208" s="410">
        <f t="shared" si="51"/>
        <v>0</v>
      </c>
      <c r="BP208" s="410">
        <f t="shared" si="51"/>
        <v>0</v>
      </c>
      <c r="BQ208" s="410">
        <f t="shared" si="51"/>
        <v>1</v>
      </c>
      <c r="BR208" s="410">
        <f t="shared" si="51"/>
        <v>0</v>
      </c>
      <c r="BS208" s="410">
        <f t="shared" si="51"/>
        <v>0</v>
      </c>
      <c r="BT208" s="410">
        <f t="shared" si="51"/>
        <v>0</v>
      </c>
      <c r="BU208" s="410">
        <f t="shared" si="51"/>
        <v>0</v>
      </c>
      <c r="BV208" s="410">
        <f t="shared" si="51"/>
        <v>0</v>
      </c>
      <c r="BW208" s="410">
        <f t="shared" si="51"/>
        <v>0</v>
      </c>
      <c r="BX208" s="410">
        <f t="shared" si="51"/>
        <v>0</v>
      </c>
      <c r="BY208" s="411">
        <f t="shared" ref="BY208:BY214" si="52">SUM(BM208:BX208)</f>
        <v>1</v>
      </c>
    </row>
    <row r="209" spans="1:77" ht="15" customHeight="1">
      <c r="A209" s="401"/>
      <c r="B209" s="402" t="s">
        <v>92</v>
      </c>
      <c r="C209" s="402"/>
      <c r="D209" s="1473" t="str">
        <f>IF('Master Sheet'!$D$11="Hindi","तृतीय श्रेणी","3rd Div.")</f>
        <v>तृतीय श्रेणी</v>
      </c>
      <c r="E209" s="1473"/>
      <c r="F209" s="405">
        <f>COUNTIF(M4:M203,"III")</f>
        <v>3</v>
      </c>
      <c r="G209" s="409">
        <f>COUNTIF(Q4:Q203,"III")</f>
        <v>1</v>
      </c>
      <c r="H209" s="1476">
        <f>F209+G209</f>
        <v>4</v>
      </c>
      <c r="I209" s="1477"/>
      <c r="J209" s="1472" t="str">
        <f>IF('Master Sheet'!D11="Hindi","हस्ताक्षर जांचकर्ता","Signature of the checker")</f>
        <v>हस्ताक्षर जांचकर्ता</v>
      </c>
      <c r="K209" s="1472"/>
      <c r="L209" s="1472"/>
      <c r="M209" s="1481" t="str">
        <f>CONCATENATE("( ",UPPER('Master Sheet'!D15)," )")</f>
        <v>( RAKESH KUMAR )</v>
      </c>
      <c r="N209" s="1481"/>
      <c r="O209" s="1489"/>
      <c r="P209" s="1490"/>
      <c r="Q209" s="1490"/>
      <c r="R209" s="1491"/>
      <c r="BL209" s="774" t="str">
        <f>'Statement of Marks'!GY212</f>
        <v>तृतीय श्रेणी</v>
      </c>
      <c r="BM209" s="410">
        <f t="shared" ref="BM209" si="53">COUNTIF(BM4:BM203,"III")</f>
        <v>0</v>
      </c>
      <c r="BN209" s="410">
        <f t="shared" ref="BN209:BX209" si="54">COUNTIF(BN4:BN203,"III")</f>
        <v>0</v>
      </c>
      <c r="BO209" s="410">
        <f t="shared" si="54"/>
        <v>0</v>
      </c>
      <c r="BP209" s="410">
        <f t="shared" si="54"/>
        <v>0</v>
      </c>
      <c r="BQ209" s="410">
        <f t="shared" si="54"/>
        <v>1</v>
      </c>
      <c r="BR209" s="410">
        <f t="shared" si="54"/>
        <v>0</v>
      </c>
      <c r="BS209" s="410">
        <f t="shared" si="54"/>
        <v>1</v>
      </c>
      <c r="BT209" s="410">
        <f t="shared" si="54"/>
        <v>0</v>
      </c>
      <c r="BU209" s="410">
        <f t="shared" si="54"/>
        <v>1</v>
      </c>
      <c r="BV209" s="410">
        <f t="shared" si="54"/>
        <v>0</v>
      </c>
      <c r="BW209" s="410">
        <f t="shared" si="54"/>
        <v>1</v>
      </c>
      <c r="BX209" s="410">
        <f t="shared" si="54"/>
        <v>0</v>
      </c>
      <c r="BY209" s="411">
        <f t="shared" si="52"/>
        <v>4</v>
      </c>
    </row>
    <row r="210" spans="1:77" ht="15" customHeight="1">
      <c r="A210" s="401"/>
      <c r="B210" s="402" t="s">
        <v>92</v>
      </c>
      <c r="C210" s="402"/>
      <c r="D210" s="1470" t="str">
        <f>IF('Master Sheet'!D11="Hindi","कुल उत्तीर्ण","Total Pass")</f>
        <v>कुल उत्तीर्ण</v>
      </c>
      <c r="E210" s="1470"/>
      <c r="F210" s="404">
        <f>COUNTIF(J4:J203,"PASS")+COUNTIF(J4:J203,"BY GRACE PASS")</f>
        <v>9</v>
      </c>
      <c r="G210" s="413">
        <f>COUNTIF(O4:O203,"PASS")</f>
        <v>1</v>
      </c>
      <c r="H210" s="1475">
        <f t="shared" ref="H210" si="55">F210+G210</f>
        <v>10</v>
      </c>
      <c r="I210" s="1475"/>
      <c r="J210" s="1472"/>
      <c r="K210" s="1472"/>
      <c r="L210" s="1472"/>
      <c r="M210" s="1481"/>
      <c r="N210" s="1481"/>
      <c r="O210" s="1492"/>
      <c r="P210" s="1493"/>
      <c r="Q210" s="1493"/>
      <c r="R210" s="1494"/>
      <c r="BL210" s="774" t="str">
        <f>'Statement of Marks'!GY213</f>
        <v>उतीर्ण</v>
      </c>
      <c r="BM210" s="410">
        <f>SUM(BM207,BM208,BM209)</f>
        <v>0</v>
      </c>
      <c r="BN210" s="410">
        <f t="shared" ref="BN210:BX210" si="56">SUM(BN207,BN208,BN209)</f>
        <v>1</v>
      </c>
      <c r="BO210" s="410">
        <f t="shared" si="56"/>
        <v>1</v>
      </c>
      <c r="BP210" s="410">
        <f t="shared" si="56"/>
        <v>0</v>
      </c>
      <c r="BQ210" s="410">
        <f t="shared" si="56"/>
        <v>3</v>
      </c>
      <c r="BR210" s="410">
        <f t="shared" si="56"/>
        <v>0</v>
      </c>
      <c r="BS210" s="410">
        <f t="shared" si="56"/>
        <v>2</v>
      </c>
      <c r="BT210" s="410">
        <f t="shared" si="56"/>
        <v>0</v>
      </c>
      <c r="BU210" s="410">
        <f t="shared" si="56"/>
        <v>1</v>
      </c>
      <c r="BV210" s="410">
        <f t="shared" si="56"/>
        <v>0</v>
      </c>
      <c r="BW210" s="410">
        <f t="shared" si="56"/>
        <v>1</v>
      </c>
      <c r="BX210" s="410">
        <f t="shared" si="56"/>
        <v>1</v>
      </c>
      <c r="BY210" s="411">
        <f t="shared" si="52"/>
        <v>10</v>
      </c>
    </row>
    <row r="211" spans="1:77" ht="15" customHeight="1">
      <c r="A211" s="414"/>
      <c r="B211" s="415" t="s">
        <v>92</v>
      </c>
      <c r="C211" s="415"/>
      <c r="D211" s="1470" t="str">
        <f>IF('Master Sheet'!$D$11="Hindi","उतीर्ण प्रतिशत","Pass %")</f>
        <v>उतीर्ण प्रतिशत</v>
      </c>
      <c r="E211" s="1470"/>
      <c r="F211" s="416">
        <f>IF(F206=0,"",F210/F206*100)</f>
        <v>81.818181818181827</v>
      </c>
      <c r="G211" s="417">
        <f>IF(G206=0,"",G210/G206*100)</f>
        <v>100</v>
      </c>
      <c r="H211" s="1471">
        <f>IF(H206=0,"",H210/H206*100)</f>
        <v>90.909090909090907</v>
      </c>
      <c r="I211" s="1471"/>
      <c r="J211" s="1472" t="str">
        <f>IF('Master Sheet'!D11="Hindi","हस्ताक्षर परीक्षा प्रभारी","Signature of the exam. Incharge")</f>
        <v>हस्ताक्षर परीक्षा प्रभारी</v>
      </c>
      <c r="K211" s="1472"/>
      <c r="L211" s="1472"/>
      <c r="M211" s="1481" t="str">
        <f>CONCATENATE("( ",UPPER('Master Sheet'!D14)," )")</f>
        <v>( HEERALAL JAT )</v>
      </c>
      <c r="N211" s="1481"/>
      <c r="O211" s="1482" t="str">
        <f>IF('Master Sheet'!D11="Hindi","हस्ताक्षर मय सील मोहर संस्था प्रधान","Signature &amp; Seal of the Head of the Institution")</f>
        <v>हस्ताक्षर मय सील मोहर संस्था प्रधान</v>
      </c>
      <c r="P211" s="1482"/>
      <c r="Q211" s="1482"/>
      <c r="R211" s="1483"/>
      <c r="BL211" s="774" t="str">
        <f>'Statement of Marks'!GY214</f>
        <v>पूरक</v>
      </c>
      <c r="BM211" s="410">
        <f>COUNTIF(BM4:BM203,"SUPPLEMENTARY")</f>
        <v>0</v>
      </c>
      <c r="BN211" s="410">
        <f t="shared" ref="BN211:BX211" si="57">COUNTIF(BN4:BN203,"SUPPLEMENTARY")</f>
        <v>0</v>
      </c>
      <c r="BO211" s="410">
        <f t="shared" si="57"/>
        <v>0</v>
      </c>
      <c r="BP211" s="410">
        <f t="shared" si="57"/>
        <v>0</v>
      </c>
      <c r="BQ211" s="410">
        <f t="shared" si="57"/>
        <v>0</v>
      </c>
      <c r="BR211" s="410">
        <f t="shared" si="57"/>
        <v>0</v>
      </c>
      <c r="BS211" s="410">
        <f t="shared" si="57"/>
        <v>0</v>
      </c>
      <c r="BT211" s="410">
        <f t="shared" si="57"/>
        <v>0</v>
      </c>
      <c r="BU211" s="410">
        <f t="shared" si="57"/>
        <v>0</v>
      </c>
      <c r="BV211" s="410">
        <f t="shared" si="57"/>
        <v>0</v>
      </c>
      <c r="BW211" s="410">
        <f t="shared" si="57"/>
        <v>0</v>
      </c>
      <c r="BX211" s="410">
        <f t="shared" si="57"/>
        <v>0</v>
      </c>
      <c r="BY211" s="411">
        <f>SUM(BM211:BX211)</f>
        <v>0</v>
      </c>
    </row>
    <row r="212" spans="1:77" ht="15" customHeight="1" thickBot="1">
      <c r="A212" s="401"/>
      <c r="B212" s="402" t="s">
        <v>92</v>
      </c>
      <c r="C212" s="402"/>
      <c r="D212" s="1470" t="str">
        <f>IF('Master Sheet'!$D$11="Hindi","अनुतीर्ण","Failed")</f>
        <v>अनुतीर्ण</v>
      </c>
      <c r="E212" s="1470"/>
      <c r="F212" s="405">
        <f>COUNTIF(J4:J203,"FAIL")</f>
        <v>1</v>
      </c>
      <c r="G212" s="405">
        <f>COUNTIF(O4:O203,"FAIL")</f>
        <v>0</v>
      </c>
      <c r="H212" s="1475">
        <f>SUM(F212,G212)</f>
        <v>1</v>
      </c>
      <c r="I212" s="1475"/>
      <c r="J212" s="1472"/>
      <c r="K212" s="1472"/>
      <c r="L212" s="1472"/>
      <c r="M212" s="1481"/>
      <c r="N212" s="1481"/>
      <c r="O212" s="1484"/>
      <c r="P212" s="1484"/>
      <c r="Q212" s="1484"/>
      <c r="R212" s="1485"/>
      <c r="BL212" s="774" t="str">
        <f>'Statement of Marks'!GY217</f>
        <v>पुनः परीक्षा</v>
      </c>
      <c r="BM212" s="418">
        <f>COUNTIF(BM4:BM203,"RE-EXAM")</f>
        <v>0</v>
      </c>
      <c r="BN212" s="418">
        <f t="shared" ref="BN212:BX212" si="58">COUNTIF(BN4:BN203,"RE-EXAM")</f>
        <v>0</v>
      </c>
      <c r="BO212" s="418">
        <f t="shared" si="58"/>
        <v>0</v>
      </c>
      <c r="BP212" s="418">
        <f t="shared" si="58"/>
        <v>0</v>
      </c>
      <c r="BQ212" s="418">
        <f t="shared" si="58"/>
        <v>0</v>
      </c>
      <c r="BR212" s="418">
        <f t="shared" si="58"/>
        <v>0</v>
      </c>
      <c r="BS212" s="418">
        <f t="shared" si="58"/>
        <v>0</v>
      </c>
      <c r="BT212" s="418">
        <f t="shared" si="58"/>
        <v>0</v>
      </c>
      <c r="BU212" s="418">
        <f t="shared" si="58"/>
        <v>0</v>
      </c>
      <c r="BV212" s="418">
        <f t="shared" si="58"/>
        <v>0</v>
      </c>
      <c r="BW212" s="418">
        <f t="shared" si="58"/>
        <v>0</v>
      </c>
      <c r="BX212" s="418">
        <f t="shared" si="58"/>
        <v>0</v>
      </c>
      <c r="BY212" s="411">
        <f t="shared" si="52"/>
        <v>0</v>
      </c>
    </row>
    <row r="213" spans="1:77" ht="17.100000000000001" customHeight="1" thickTop="1">
      <c r="BL213" s="774" t="str">
        <f>'Statement of Marks'!GY215</f>
        <v>अनुतीर्ण</v>
      </c>
      <c r="BM213" s="410">
        <f>COUNTIF(BM4:BM203,"FAIL")</f>
        <v>0</v>
      </c>
      <c r="BN213" s="410">
        <f t="shared" ref="BN213:BX213" si="59">COUNTIF(BN4:BN203,"FAIL")</f>
        <v>1</v>
      </c>
      <c r="BO213" s="410">
        <f t="shared" si="59"/>
        <v>0</v>
      </c>
      <c r="BP213" s="410">
        <f t="shared" si="59"/>
        <v>0</v>
      </c>
      <c r="BQ213" s="410">
        <f t="shared" si="59"/>
        <v>0</v>
      </c>
      <c r="BR213" s="410">
        <f t="shared" si="59"/>
        <v>0</v>
      </c>
      <c r="BS213" s="410">
        <f t="shared" si="59"/>
        <v>0</v>
      </c>
      <c r="BT213" s="410">
        <f t="shared" si="59"/>
        <v>0</v>
      </c>
      <c r="BU213" s="410">
        <f t="shared" si="59"/>
        <v>0</v>
      </c>
      <c r="BV213" s="410">
        <f t="shared" si="59"/>
        <v>0</v>
      </c>
      <c r="BW213" s="410">
        <f t="shared" si="59"/>
        <v>0</v>
      </c>
      <c r="BX213" s="410">
        <f t="shared" si="59"/>
        <v>0</v>
      </c>
      <c r="BY213" s="411">
        <f>SUM(BM213:BX213)</f>
        <v>1</v>
      </c>
    </row>
    <row r="214" spans="1:77" ht="15">
      <c r="BL214" s="774" t="str">
        <f>IF('Master Sheet'!D11="Hindi","कुल प्रविष्ट","Total appeared")</f>
        <v>कुल प्रविष्ट</v>
      </c>
      <c r="BM214" s="410">
        <f>SUM(BM210:BM213)</f>
        <v>0</v>
      </c>
      <c r="BN214" s="410">
        <f t="shared" ref="BN214:BX214" si="60">SUM(BN210:BN213)</f>
        <v>2</v>
      </c>
      <c r="BO214" s="410">
        <f t="shared" si="60"/>
        <v>1</v>
      </c>
      <c r="BP214" s="410">
        <f t="shared" si="60"/>
        <v>0</v>
      </c>
      <c r="BQ214" s="410">
        <f t="shared" si="60"/>
        <v>3</v>
      </c>
      <c r="BR214" s="410">
        <f t="shared" si="60"/>
        <v>0</v>
      </c>
      <c r="BS214" s="410">
        <f t="shared" si="60"/>
        <v>2</v>
      </c>
      <c r="BT214" s="410">
        <f t="shared" si="60"/>
        <v>0</v>
      </c>
      <c r="BU214" s="410">
        <f t="shared" si="60"/>
        <v>1</v>
      </c>
      <c r="BV214" s="410">
        <f t="shared" si="60"/>
        <v>0</v>
      </c>
      <c r="BW214" s="410">
        <f t="shared" si="60"/>
        <v>1</v>
      </c>
      <c r="BX214" s="410">
        <f t="shared" si="60"/>
        <v>1</v>
      </c>
      <c r="BY214" s="411">
        <f t="shared" si="52"/>
        <v>11</v>
      </c>
    </row>
    <row r="215" spans="1:77" ht="15">
      <c r="BL215" s="774" t="str">
        <f>'Statement of Marks'!GY216</f>
        <v>उतीर्ण प्रतिशत</v>
      </c>
      <c r="BM215" s="422" t="str">
        <f>IF(BM214=0,"",BM210/BM214*100)</f>
        <v/>
      </c>
      <c r="BN215" s="422">
        <f t="shared" ref="BN215:BX215" si="61">IF(BN214=0,"",BN210/BN214*100)</f>
        <v>50</v>
      </c>
      <c r="BO215" s="422">
        <f t="shared" si="61"/>
        <v>100</v>
      </c>
      <c r="BP215" s="422" t="str">
        <f t="shared" si="61"/>
        <v/>
      </c>
      <c r="BQ215" s="422">
        <f t="shared" si="61"/>
        <v>100</v>
      </c>
      <c r="BR215" s="422" t="str">
        <f t="shared" si="61"/>
        <v/>
      </c>
      <c r="BS215" s="422">
        <f t="shared" si="61"/>
        <v>100</v>
      </c>
      <c r="BT215" s="422" t="str">
        <f t="shared" si="61"/>
        <v/>
      </c>
      <c r="BU215" s="422">
        <f t="shared" si="61"/>
        <v>100</v>
      </c>
      <c r="BV215" s="422" t="str">
        <f t="shared" si="61"/>
        <v/>
      </c>
      <c r="BW215" s="422">
        <f t="shared" si="61"/>
        <v>100</v>
      </c>
      <c r="BX215" s="422">
        <f t="shared" si="61"/>
        <v>100</v>
      </c>
      <c r="BY215" s="423">
        <f>IF(BY214=0,"",BY210/BY214*100)</f>
        <v>90.909090909090907</v>
      </c>
    </row>
    <row r="216" spans="1:77" ht="16.5" customHeight="1" thickBot="1">
      <c r="BL216" s="774" t="str">
        <f>'Statement of Marks'!GY218</f>
        <v>नाम पृथक</v>
      </c>
      <c r="BM216" s="424">
        <f>COUNTIF(BM4:BM203,"NSO")</f>
        <v>0</v>
      </c>
      <c r="BN216" s="424">
        <f t="shared" ref="BN216:BX216" si="62">COUNTIF(BN4:BN203,"NSO")</f>
        <v>0</v>
      </c>
      <c r="BO216" s="424">
        <f t="shared" si="62"/>
        <v>0</v>
      </c>
      <c r="BP216" s="424">
        <f t="shared" si="62"/>
        <v>0</v>
      </c>
      <c r="BQ216" s="424">
        <f t="shared" si="62"/>
        <v>0</v>
      </c>
      <c r="BR216" s="424">
        <f t="shared" si="62"/>
        <v>0</v>
      </c>
      <c r="BS216" s="424">
        <f t="shared" si="62"/>
        <v>0</v>
      </c>
      <c r="BT216" s="424">
        <f t="shared" si="62"/>
        <v>0</v>
      </c>
      <c r="BU216" s="424">
        <f t="shared" si="62"/>
        <v>0</v>
      </c>
      <c r="BV216" s="424">
        <f t="shared" si="62"/>
        <v>0</v>
      </c>
      <c r="BW216" s="424">
        <f t="shared" si="62"/>
        <v>0</v>
      </c>
      <c r="BX216" s="424">
        <f t="shared" si="62"/>
        <v>0</v>
      </c>
      <c r="BY216" s="425">
        <f>SUM(BM216:BX216)</f>
        <v>0</v>
      </c>
    </row>
    <row r="217" spans="1:77" ht="15.75" thickTop="1"/>
    <row r="218" spans="1:77" ht="12.75" customHeight="1"/>
    <row r="219" spans="1:77" ht="12.75" customHeight="1"/>
    <row r="220" spans="1:77" ht="12.75" customHeight="1"/>
    <row r="221" spans="1:77" ht="12.75" customHeight="1"/>
    <row r="222" spans="1:77" ht="12.75" customHeight="1"/>
    <row r="223" spans="1:77" ht="12.75" customHeight="1"/>
    <row r="224" spans="1:77"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1E2" sheet="1" objects="1" scenarios="1" formatColumns="0" formatRows="0"/>
  <protectedRanges>
    <protectedRange password="DC77" sqref="A207:F210 H207:R210 A211:R212 A1:R206" name="Range1"/>
  </protectedRanges>
  <mergeCells count="46">
    <mergeCell ref="N1:R1"/>
    <mergeCell ref="A1:M1"/>
    <mergeCell ref="R2:R3"/>
    <mergeCell ref="BL1:BY2"/>
    <mergeCell ref="B2:C2"/>
    <mergeCell ref="E2:E3"/>
    <mergeCell ref="F2:F3"/>
    <mergeCell ref="G2:G3"/>
    <mergeCell ref="K2:K3"/>
    <mergeCell ref="L2:L3"/>
    <mergeCell ref="M2:M3"/>
    <mergeCell ref="N2:N3"/>
    <mergeCell ref="O2:O3"/>
    <mergeCell ref="P2:P3"/>
    <mergeCell ref="Q2:Q3"/>
    <mergeCell ref="H2:I2"/>
    <mergeCell ref="BL204:BY204"/>
    <mergeCell ref="D205:E205"/>
    <mergeCell ref="H205:I205"/>
    <mergeCell ref="J205:L206"/>
    <mergeCell ref="BM205:BY205"/>
    <mergeCell ref="D206:E206"/>
    <mergeCell ref="H206:I206"/>
    <mergeCell ref="M205:N206"/>
    <mergeCell ref="O211:R212"/>
    <mergeCell ref="M211:N212"/>
    <mergeCell ref="O205:R210"/>
    <mergeCell ref="D208:E208"/>
    <mergeCell ref="H208:I208"/>
    <mergeCell ref="M207:N208"/>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R204"/>
    <mergeCell ref="M209:N210"/>
  </mergeCells>
  <conditionalFormatting sqref="H206:J206 H205:I205 F205 J208:J211 BM205:BY206 BY216 BY207:BY214 I3 BM1:BY3 B2 J2 A203:B203 H207:I208 H210:I212 A2:A204 C4:I203 R4:R203 N4:N203 B3:C203 D2:H2 BL1:BL216">
    <cfRule type="cellIs" dxfId="76" priority="148" stopIfTrue="1" operator="equal">
      <formula>0</formula>
    </cfRule>
  </conditionalFormatting>
  <conditionalFormatting sqref="J213:J217 H205:I205 F205 J206:J211 J2">
    <cfRule type="containsText" dxfId="75" priority="147" stopIfTrue="1" operator="containsText" text="iwjd">
      <formula>NOT(ISERROR(SEARCH("iwjd",F2)))</formula>
    </cfRule>
  </conditionalFormatting>
  <conditionalFormatting sqref="J4:J203">
    <cfRule type="containsText" dxfId="74" priority="146" stopIfTrue="1" operator="containsText" text="iwjd">
      <formula>NOT(ISERROR(SEARCH("iwjd",J4)))</formula>
    </cfRule>
  </conditionalFormatting>
  <conditionalFormatting sqref="H2:H3 I3">
    <cfRule type="containsText" dxfId="73" priority="144" stopIfTrue="1" operator="containsText" text="ST">
      <formula>NOT(ISERROR(SEARCH("ST",H2)))</formula>
    </cfRule>
    <cfRule type="containsText" dxfId="72" priority="145" stopIfTrue="1" operator="containsText" text="SC">
      <formula>NOT(ISERROR(SEARCH("SC",H2)))</formula>
    </cfRule>
  </conditionalFormatting>
  <conditionalFormatting sqref="H4:I203">
    <cfRule type="containsText" dxfId="71" priority="141" stopIfTrue="1" operator="containsText" text="OBC">
      <formula>NOT(ISERROR(SEARCH("OBC",H4)))</formula>
    </cfRule>
    <cfRule type="containsText" dxfId="70" priority="142" stopIfTrue="1" operator="containsText" text="ST">
      <formula>NOT(ISERROR(SEARCH("ST",H4)))</formula>
    </cfRule>
    <cfRule type="containsText" dxfId="69" priority="143" stopIfTrue="1" operator="containsText" text="SC">
      <formula>NOT(ISERROR(SEARCH("SC",H4)))</formula>
    </cfRule>
  </conditionalFormatting>
  <conditionalFormatting sqref="O4:Q203 BM4:BY203">
    <cfRule type="containsText" dxfId="68" priority="139" stopIfTrue="1" operator="containsText" text="mRrh.kZ">
      <formula>NOT(ISERROR(SEARCH("mRrh.kZ",O4)))</formula>
    </cfRule>
    <cfRule type="containsText" dxfId="67" priority="140" stopIfTrue="1" operator="containsText" text="vuqRrh.kZ">
      <formula>NOT(ISERROR(SEARCH("vuqRrh.kZ",O4)))</formula>
    </cfRule>
  </conditionalFormatting>
  <conditionalFormatting sqref="BM207:BY216">
    <cfRule type="cellIs" dxfId="66" priority="134" operator="equal">
      <formula>0</formula>
    </cfRule>
  </conditionalFormatting>
  <conditionalFormatting sqref="Q4:Q203 BM4:BY203">
    <cfRule type="containsText" dxfId="65" priority="130" operator="containsText" text="iwjd">
      <formula>NOT(ISERROR(SEARCH("iwjd",Q4)))</formula>
    </cfRule>
    <cfRule type="containsText" dxfId="64" priority="131" operator="containsText" text="uke i`Fkd">
      <formula>NOT(ISERROR(SEARCH("uke i`Fkd",Q4)))</formula>
    </cfRule>
    <cfRule type="containsText" dxfId="63" priority="132" operator="containsText" text="iqu% ijh{k">
      <formula>NOT(ISERROR(SEARCH("iqu% ijh{k",Q4)))</formula>
    </cfRule>
    <cfRule type="containsText" dxfId="62" priority="133" operator="containsText" text="vuqRrh.kZ">
      <formula>NOT(ISERROR(SEARCH("vuqRrh.kZ",Q4)))</formula>
    </cfRule>
  </conditionalFormatting>
  <conditionalFormatting sqref="A2:B3 I3 J2 B3:C3 D2:H2">
    <cfRule type="cellIs" dxfId="61" priority="51" stopIfTrue="1" operator="equal">
      <formula>0</formula>
    </cfRule>
  </conditionalFormatting>
  <conditionalFormatting sqref="J2">
    <cfRule type="containsText" dxfId="60" priority="50" stopIfTrue="1" operator="containsText" text="iwjd">
      <formula>NOT(ISERROR(SEARCH("iwjd",J2)))</formula>
    </cfRule>
  </conditionalFormatting>
  <conditionalFormatting sqref="H2:H3 I3">
    <cfRule type="containsText" dxfId="59" priority="48" stopIfTrue="1" operator="containsText" text="ST">
      <formula>NOT(ISERROR(SEARCH("ST",H2)))</formula>
    </cfRule>
    <cfRule type="containsText" dxfId="58" priority="49" stopIfTrue="1" operator="containsText" text="SC">
      <formula>NOT(ISERROR(SEARCH("SC",H2)))</formula>
    </cfRule>
  </conditionalFormatting>
  <conditionalFormatting sqref="H2:H3 I3">
    <cfRule type="containsText" dxfId="57" priority="46" stopIfTrue="1" operator="containsText" text="ST">
      <formula>NOT(ISERROR(SEARCH("ST",H2)))</formula>
    </cfRule>
    <cfRule type="containsText" dxfId="56" priority="47" stopIfTrue="1" operator="containsText" text="SC">
      <formula>NOT(ISERROR(SEARCH("SC",H2)))</formula>
    </cfRule>
  </conditionalFormatting>
  <conditionalFormatting sqref="N1">
    <cfRule type="cellIs" dxfId="55" priority="45" stopIfTrue="1" operator="equal">
      <formula>0</formula>
    </cfRule>
  </conditionalFormatting>
  <conditionalFormatting sqref="F205">
    <cfRule type="cellIs" dxfId="54" priority="44" stopIfTrue="1" operator="equal">
      <formula>0</formula>
    </cfRule>
  </conditionalFormatting>
  <conditionalFormatting sqref="F205">
    <cfRule type="containsText" dxfId="53" priority="43" stopIfTrue="1" operator="containsText" text="iwjd">
      <formula>NOT(ISERROR(SEARCH("iwjd",F205)))</formula>
    </cfRule>
  </conditionalFormatting>
  <conditionalFormatting sqref="G205">
    <cfRule type="cellIs" dxfId="52" priority="42" stopIfTrue="1" operator="equal">
      <formula>0</formula>
    </cfRule>
  </conditionalFormatting>
  <conditionalFormatting sqref="G205">
    <cfRule type="containsText" dxfId="51" priority="41" stopIfTrue="1" operator="containsText" text="iwjd">
      <formula>NOT(ISERROR(SEARCH("iwjd",G205)))</formula>
    </cfRule>
  </conditionalFormatting>
  <conditionalFormatting sqref="G205">
    <cfRule type="cellIs" dxfId="50" priority="40" stopIfTrue="1" operator="equal">
      <formula>0</formula>
    </cfRule>
  </conditionalFormatting>
  <conditionalFormatting sqref="G205">
    <cfRule type="containsText" dxfId="49" priority="39" stopIfTrue="1" operator="containsText" text="iwjd">
      <formula>NOT(ISERROR(SEARCH("iwjd",G205)))</formula>
    </cfRule>
  </conditionalFormatting>
  <conditionalFormatting sqref="H205:I205">
    <cfRule type="cellIs" dxfId="48" priority="38" stopIfTrue="1" operator="equal">
      <formula>0</formula>
    </cfRule>
  </conditionalFormatting>
  <conditionalFormatting sqref="H205:I205">
    <cfRule type="containsText" dxfId="47" priority="37" stopIfTrue="1" operator="containsText" text="iwjd">
      <formula>NOT(ISERROR(SEARCH("iwjd",H205)))</formula>
    </cfRule>
  </conditionalFormatting>
  <conditionalFormatting sqref="H205:I205">
    <cfRule type="cellIs" dxfId="46" priority="36" stopIfTrue="1" operator="equal">
      <formula>0</formula>
    </cfRule>
  </conditionalFormatting>
  <conditionalFormatting sqref="H205:I205">
    <cfRule type="containsText" dxfId="45" priority="35" stopIfTrue="1" operator="containsText" text="iwjd">
      <formula>NOT(ISERROR(SEARCH("iwjd",H205)))</formula>
    </cfRule>
  </conditionalFormatting>
  <conditionalFormatting sqref="J206 J208:J211">
    <cfRule type="cellIs" dxfId="44" priority="34" stopIfTrue="1" operator="equal">
      <formula>0</formula>
    </cfRule>
  </conditionalFormatting>
  <conditionalFormatting sqref="J206:J211">
    <cfRule type="containsText" dxfId="43" priority="33" stopIfTrue="1" operator="containsText" text="iwjd">
      <formula>NOT(ISERROR(SEARCH("iwjd",J206)))</formula>
    </cfRule>
  </conditionalFormatting>
  <conditionalFormatting sqref="J206 J208:J211">
    <cfRule type="cellIs" dxfId="42" priority="32" stopIfTrue="1" operator="equal">
      <formula>0</formula>
    </cfRule>
  </conditionalFormatting>
  <conditionalFormatting sqref="J206:J211">
    <cfRule type="containsText" dxfId="41" priority="31" stopIfTrue="1" operator="containsText" text="iwjd">
      <formula>NOT(ISERROR(SEARCH("iwjd",J206)))</formula>
    </cfRule>
  </conditionalFormatting>
  <conditionalFormatting sqref="J206 J208:J211">
    <cfRule type="cellIs" dxfId="40" priority="30" stopIfTrue="1" operator="equal">
      <formula>0</formula>
    </cfRule>
  </conditionalFormatting>
  <conditionalFormatting sqref="J206:J211">
    <cfRule type="containsText" dxfId="39" priority="29" stopIfTrue="1" operator="containsText" text="iwjd">
      <formula>NOT(ISERROR(SEARCH("iwjd",J206)))</formula>
    </cfRule>
  </conditionalFormatting>
  <conditionalFormatting sqref="O211">
    <cfRule type="cellIs" dxfId="38" priority="28" stopIfTrue="1" operator="equal">
      <formula>0</formula>
    </cfRule>
  </conditionalFormatting>
  <conditionalFormatting sqref="O211">
    <cfRule type="containsText" dxfId="37" priority="27" stopIfTrue="1" operator="containsText" text="iwjd">
      <formula>NOT(ISERROR(SEARCH("iwjd",O211)))</formula>
    </cfRule>
  </conditionalFormatting>
  <conditionalFormatting sqref="I4:I203">
    <cfRule type="expression" dxfId="36" priority="26">
      <formula>I4="M"</formula>
    </cfRule>
    <cfRule type="expression" dxfId="35" priority="25">
      <formula>I4="F"</formula>
    </cfRule>
  </conditionalFormatting>
  <conditionalFormatting sqref="L4:L203">
    <cfRule type="top10" dxfId="34" priority="24" percent="1" rank="3"/>
    <cfRule type="top10" dxfId="33" priority="23" rank="3"/>
    <cfRule type="expression" dxfId="32" priority="21">
      <formula>L4=""</formula>
    </cfRule>
  </conditionalFormatting>
  <conditionalFormatting sqref="I3">
    <cfRule type="cellIs" dxfId="31" priority="20" stopIfTrue="1" operator="equal">
      <formula>0</formula>
    </cfRule>
  </conditionalFormatting>
  <conditionalFormatting sqref="H3:I3">
    <cfRule type="containsText" dxfId="30" priority="18" stopIfTrue="1" operator="containsText" text="ST">
      <formula>NOT(ISERROR(SEARCH("ST",H3)))</formula>
    </cfRule>
    <cfRule type="containsText" dxfId="29" priority="19" stopIfTrue="1" operator="containsText" text="SC">
      <formula>NOT(ISERROR(SEARCH("SC",H3)))</formula>
    </cfRule>
  </conditionalFormatting>
  <conditionalFormatting sqref="I3">
    <cfRule type="cellIs" dxfId="28" priority="17" stopIfTrue="1" operator="equal">
      <formula>0</formula>
    </cfRule>
  </conditionalFormatting>
  <conditionalFormatting sqref="H3:I3">
    <cfRule type="containsText" dxfId="27" priority="15" stopIfTrue="1" operator="containsText" text="ST">
      <formula>NOT(ISERROR(SEARCH("ST",H3)))</formula>
    </cfRule>
    <cfRule type="containsText" dxfId="26" priority="16" stopIfTrue="1" operator="containsText" text="SC">
      <formula>NOT(ISERROR(SEARCH("SC",H3)))</formula>
    </cfRule>
  </conditionalFormatting>
  <conditionalFormatting sqref="H3:I3">
    <cfRule type="containsText" dxfId="25" priority="13" stopIfTrue="1" operator="containsText" text="ST">
      <formula>NOT(ISERROR(SEARCH("ST",H3)))</formula>
    </cfRule>
    <cfRule type="containsText" dxfId="24" priority="14" stopIfTrue="1" operator="containsText" text="SC">
      <formula>NOT(ISERROR(SEARCH("SC",H3)))</formula>
    </cfRule>
  </conditionalFormatting>
  <conditionalFormatting sqref="J206 J208:J211">
    <cfRule type="cellIs" dxfId="23" priority="12" stopIfTrue="1" operator="equal">
      <formula>0</formula>
    </cfRule>
  </conditionalFormatting>
  <conditionalFormatting sqref="J206:J211">
    <cfRule type="containsText" dxfId="22" priority="11" stopIfTrue="1" operator="containsText" text="iwjd">
      <formula>NOT(ISERROR(SEARCH("iwjd",J206)))</formula>
    </cfRule>
  </conditionalFormatting>
  <conditionalFormatting sqref="J206 J208:J211">
    <cfRule type="cellIs" dxfId="21" priority="10" stopIfTrue="1" operator="equal">
      <formula>0</formula>
    </cfRule>
  </conditionalFormatting>
  <conditionalFormatting sqref="J206:J211">
    <cfRule type="containsText" dxfId="20" priority="9" stopIfTrue="1" operator="containsText" text="iwjd">
      <formula>NOT(ISERROR(SEARCH("iwjd",J206)))</formula>
    </cfRule>
  </conditionalFormatting>
  <conditionalFormatting sqref="J206 J208:J211">
    <cfRule type="cellIs" dxfId="19" priority="8" stopIfTrue="1" operator="equal">
      <formula>0</formula>
    </cfRule>
  </conditionalFormatting>
  <conditionalFormatting sqref="J206:J211">
    <cfRule type="containsText" dxfId="18" priority="7" stopIfTrue="1" operator="containsText" text="iwjd">
      <formula>NOT(ISERROR(SEARCH("iwjd",J206)))</formula>
    </cfRule>
  </conditionalFormatting>
  <conditionalFormatting sqref="J206 J208:J211">
    <cfRule type="cellIs" dxfId="17" priority="6" stopIfTrue="1" operator="equal">
      <formula>0</formula>
    </cfRule>
  </conditionalFormatting>
  <conditionalFormatting sqref="J206:J211">
    <cfRule type="containsText" dxfId="16" priority="5" stopIfTrue="1" operator="containsText" text="iwjd">
      <formula>NOT(ISERROR(SEARCH("iwjd",J206)))</formula>
    </cfRule>
  </conditionalFormatting>
  <conditionalFormatting sqref="J206 J208:J211">
    <cfRule type="cellIs" dxfId="15" priority="4" stopIfTrue="1" operator="equal">
      <formula>0</formula>
    </cfRule>
  </conditionalFormatting>
  <conditionalFormatting sqref="J206:J211">
    <cfRule type="containsText" dxfId="14" priority="3" stopIfTrue="1" operator="containsText" text="iwjd">
      <formula>NOT(ISERROR(SEARCH("iwjd",J206)))</formula>
    </cfRule>
  </conditionalFormatting>
  <conditionalFormatting sqref="O211">
    <cfRule type="cellIs" dxfId="13" priority="2" stopIfTrue="1" operator="equal">
      <formula>0</formula>
    </cfRule>
  </conditionalFormatting>
  <conditionalFormatting sqref="O211">
    <cfRule type="containsText" dxfId="12" priority="1" stopIfTrue="1" operator="containsText" text="iwjd">
      <formula>NOT(ISERROR(SEARCH("iwjd",O211)))</formula>
    </cfRule>
  </conditionalFormatting>
  <pageMargins left="0.45" right="0.2" top="0.5" bottom="0.25" header="0.3" footer="0.3"/>
  <pageSetup paperSize="9" scale="96"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instruction</vt:lpstr>
      <vt:lpstr>Master Sheet</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vt:lpstr>
      <vt:lpstr>Double MarkSheet</vt:lpstr>
      <vt:lpstr>Marksheet After Supp. Result</vt:lpstr>
      <vt:lpstr>'Double MarkSheet'!Print_Area</vt:lpstr>
      <vt:lpstr>'Green sheet'!Print_Area</vt:lpstr>
      <vt:lpstr>MARKSHEET!Print_Area</vt:lpstr>
      <vt:lpstr>'Marksheet After Supp. Result'!Print_Area</vt:lpstr>
      <vt:lpstr>'Result Subject-wise'!Print_Area</vt:lpstr>
      <vt:lpstr>'Statement of Marks'!Print_Area</vt:lpstr>
      <vt:lpstr>'Teacher &amp; Cat. Wise Result'!Print_Area</vt:lpstr>
      <vt:lpstr>rolln</vt:lpstr>
      <vt:lpstr>Subject</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2024-04-13T14:35:26Z</cp:lastPrinted>
  <dcterms:created xsi:type="dcterms:W3CDTF">2017-08-30T13:27:31Z</dcterms:created>
  <dcterms:modified xsi:type="dcterms:W3CDTF">2024-05-01T12:09:33Z</dcterms:modified>
</cp:coreProperties>
</file>